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jdfhdmpipe-my.sharepoint.com/personal/ftonget_jdfhdmpipe_com/Documents/Desktop/"/>
    </mc:Choice>
  </mc:AlternateContent>
  <xr:revisionPtr revIDLastSave="14559" documentId="13_ncr:1_{E2D477D8-FCAD-4FF8-8280-013400D34369}" xr6:coauthVersionLast="47" xr6:coauthVersionMax="47" xr10:uidLastSave="{D7377FFC-F286-4779-9A78-C77CCE9888DB}"/>
  <bookViews>
    <workbookView xWindow="28680" yWindow="-120" windowWidth="29040" windowHeight="15720" tabRatio="900" xr2:uid="{00000000-000D-0000-FFFF-FFFF00000000}"/>
  </bookViews>
  <sheets>
    <sheet name="Daily Activity w Contents" sheetId="173" r:id="rId1"/>
    <sheet name="Daily Repair Rate (Old)" sheetId="361" state="hidden" r:id="rId2"/>
    <sheet name="Daily Repair Rate" sheetId="363" r:id="rId3"/>
    <sheet name="05-095 (2.)" sheetId="34" state="hidden" r:id="rId4"/>
    <sheet name="01-117" sheetId="373" r:id="rId5"/>
    <sheet name="06-131" sheetId="372" r:id="rId6"/>
    <sheet name="10-107" sheetId="271" r:id="rId7"/>
    <sheet name="10-108 (84xx)" sheetId="332" state="hidden" r:id="rId8"/>
    <sheet name="10-108 (90xx)" sheetId="333" state="hidden" r:id="rId9"/>
    <sheet name="11-111(90XX)" sheetId="335" state="hidden" r:id="rId10"/>
    <sheet name="01-115" sheetId="327" state="hidden" r:id="rId11"/>
    <sheet name="01-116 (36)" sheetId="352" state="hidden" r:id="rId12"/>
    <sheet name="01-116 (42)" sheetId="342" r:id="rId13"/>
    <sheet name="05-126" sheetId="349" state="hidden" r:id="rId14"/>
    <sheet name="05-093 PT" sheetId="257" state="hidden" r:id="rId15"/>
    <sheet name="05-093 (HDD)" sheetId="350" state="hidden" r:id="rId16"/>
    <sheet name="10-105 (36)" sheetId="353" state="hidden" r:id="rId17"/>
    <sheet name="12-112 (60)" sheetId="298" state="hidden" r:id="rId18"/>
    <sheet name="Daily Activity w Contents (2)" sheetId="182" state="hidden" r:id="rId19"/>
    <sheet name="10-108 (84x.5)" sheetId="250" state="hidden" r:id="rId20"/>
    <sheet name="11-111 (84)" sheetId="325" state="hidden" r:id="rId21"/>
    <sheet name="12-113" sheetId="320" state="hidden" r:id="rId22"/>
    <sheet name="10-108 (68x375)" sheetId="290" state="hidden" r:id="rId23"/>
    <sheet name="05-128" sheetId="362" state="hidden" r:id="rId24"/>
    <sheet name="11-111 (78x.5)" sheetId="364" r:id="rId25"/>
    <sheet name="11-111(84x0.75)" sheetId="365" r:id="rId26"/>
    <sheet name="11-111 (96x.75)" sheetId="368" r:id="rId27"/>
    <sheet name="10-108 (78x.5)" sheetId="248" r:id="rId28"/>
    <sheet name="10-108 (96x.625)" sheetId="367" r:id="rId29"/>
    <sheet name="10-108 (60x.375)" sheetId="261" r:id="rId30"/>
    <sheet name="10-108 (66x375)" sheetId="262" r:id="rId31"/>
    <sheet name="10-108 (54x.375)" sheetId="369" r:id="rId32"/>
    <sheet name="01-118" sheetId="370" r:id="rId33"/>
    <sheet name="02-123 Pri1" sheetId="366" r:id="rId34"/>
    <sheet name="10-108 (72x.5)" sheetId="246" state="hidden" r:id="rId35"/>
    <sheet name="Sheet1" sheetId="300" state="hidden" r:id="rId36"/>
    <sheet name="12-112 (3)" sheetId="302" state="hidden" r:id="rId37"/>
    <sheet name="12-112SN" sheetId="293" state="hidden" r:id="rId38"/>
    <sheet name="06-097(Ø42)" sheetId="172" state="hidden" r:id="rId39"/>
    <sheet name="05-093 fb" sheetId="278" state="hidden" r:id="rId40"/>
    <sheet name="11-109" sheetId="204" state="hidden" r:id="rId41"/>
    <sheet name="06-097" sheetId="155" state="hidden" r:id="rId42"/>
    <sheet name="02-120" sheetId="252" state="hidden" r:id="rId43"/>
    <sheet name="02-122" sheetId="274" state="hidden" r:id="rId44"/>
    <sheet name="02-121" sheetId="259" state="hidden" r:id="rId45"/>
    <sheet name="10-106" sheetId="234" state="hidden" r:id="rId46"/>
    <sheet name="12-114" sheetId="194" state="hidden" r:id="rId47"/>
    <sheet name="05-093 MA" sheetId="231" state="hidden" r:id="rId48"/>
    <sheet name="05-092 (60&quot;)" sheetId="150" state="hidden" r:id="rId49"/>
    <sheet name="05-092 (75)" sheetId="307" state="hidden" r:id="rId50"/>
    <sheet name="05-093 LP (2)" sheetId="196" state="hidden" r:id="rId51"/>
    <sheet name="11-110" sheetId="210" state="hidden" r:id="rId52"/>
    <sheet name="05-093 Land Accs." sheetId="147" state="hidden" r:id="rId53"/>
    <sheet name="05-093(54&quot;)" sheetId="141" state="hidden" r:id="rId54"/>
    <sheet name="05-093" sheetId="88" state="hidden" r:id="rId55"/>
    <sheet name="05-093 (2.)" sheetId="100" state="hidden" r:id="rId56"/>
    <sheet name="07-063b" sheetId="72" state="hidden" r:id="rId57"/>
    <sheet name="09-104" sheetId="118" state="hidden" r:id="rId58"/>
    <sheet name="06-099b" sheetId="134" state="hidden" r:id="rId59"/>
    <sheet name="06-99a" sheetId="123" state="hidden" r:id="rId60"/>
    <sheet name="05-092" sheetId="130" state="hidden" r:id="rId61"/>
    <sheet name="Daily Chart" sheetId="120" state="hidden" r:id="rId62"/>
    <sheet name="05-095" sheetId="8" state="hidden" r:id="rId63"/>
    <sheet name="06-101 (2)" sheetId="112" state="hidden" r:id="rId64"/>
    <sheet name="06-101 " sheetId="138" state="hidden" r:id="rId65"/>
  </sheets>
  <definedNames>
    <definedName name="_xlnm.Print_Area" localSheetId="10">'01-115'!$A$1:$BR$49</definedName>
    <definedName name="_xlnm.Print_Area" localSheetId="11">'01-116 (36)'!$A$1:$BS$48</definedName>
    <definedName name="_xlnm.Print_Area" localSheetId="12">'01-116 (42)'!$A$1:$BR$48</definedName>
    <definedName name="_xlnm.Print_Area" localSheetId="4">'01-117'!$A$1:$AX$48</definedName>
    <definedName name="_xlnm.Print_Area" localSheetId="32">'01-118'!$A$1:$CC$280</definedName>
    <definedName name="_xlnm.Print_Area" localSheetId="42">'02-120'!$A$1:$BR$49</definedName>
    <definedName name="_xlnm.Print_Area" localSheetId="44">'02-121'!$A$1:$BR$49</definedName>
    <definedName name="_xlnm.Print_Area" localSheetId="43">'02-122'!$A$1:$AX$42</definedName>
    <definedName name="_xlnm.Print_Area" localSheetId="33">'02-123 Pri1'!$A$1:$BR$133</definedName>
    <definedName name="_xlnm.Print_Area" localSheetId="60">'05-092'!$A$1:$AX$42</definedName>
    <definedName name="_xlnm.Print_Area" localSheetId="48">'05-092 (60")'!$A$1:$BR$64</definedName>
    <definedName name="_xlnm.Print_Area" localSheetId="49">'05-092 (75)'!$A$1:$BR$64</definedName>
    <definedName name="_xlnm.Print_Area" localSheetId="54">'05-093'!$A$1:$BR$48</definedName>
    <definedName name="_xlnm.Print_Area" localSheetId="55">'05-093 (2.)'!$A$1:$BR$121</definedName>
    <definedName name="_xlnm.Print_Area" localSheetId="15">'05-093 (HDD)'!$A$1:$AX$42</definedName>
    <definedName name="_xlnm.Print_Area" localSheetId="39">'05-093 fb'!$A$1:$BR$121</definedName>
    <definedName name="_xlnm.Print_Area" localSheetId="52">'05-093 Land Accs.'!$A$1:$AX$42</definedName>
    <definedName name="_xlnm.Print_Area" localSheetId="50">'05-093 LP (2)'!$A$1:$BR$85</definedName>
    <definedName name="_xlnm.Print_Area" localSheetId="47">'05-093 MA'!$A$1:$BR$49</definedName>
    <definedName name="_xlnm.Print_Area" localSheetId="14">'05-093 PT'!$A$1:$BR$49</definedName>
    <definedName name="_xlnm.Print_Area" localSheetId="53">'05-093(54")'!$A$1:$AX$42</definedName>
    <definedName name="_xlnm.Print_Area" localSheetId="62">'05-095'!$A$1:$BR$72</definedName>
    <definedName name="_xlnm.Print_Area" localSheetId="3">'05-095 (2.)'!$A$1:$BR$109</definedName>
    <definedName name="_xlnm.Print_Area" localSheetId="13">'05-126'!$A$1:$AX$42</definedName>
    <definedName name="_xlnm.Print_Area" localSheetId="23">'05-128'!$A$1:$AX$42</definedName>
    <definedName name="_xlnm.Print_Area" localSheetId="41">'06-097'!$A$1:$BR$47</definedName>
    <definedName name="_xlnm.Print_Area" localSheetId="38">'06-097(Ø42)'!$A$1:$AX$42</definedName>
    <definedName name="_xlnm.Print_Area" localSheetId="58">'06-099b'!$A$1:$AX$42</definedName>
    <definedName name="_xlnm.Print_Area" localSheetId="64">'06-101 '!$A$1:$AJ$30</definedName>
    <definedName name="_xlnm.Print_Area" localSheetId="63">'06-101 (2)'!$A$1:$BR$75</definedName>
    <definedName name="_xlnm.Print_Area" localSheetId="5">'06-131'!$A$1:$BH$133</definedName>
    <definedName name="_xlnm.Print_Area" localSheetId="59">'06-99a'!$A$1:$BR$49</definedName>
    <definedName name="_xlnm.Print_Area" localSheetId="56">'07-063b'!$A$1:$BR$101</definedName>
    <definedName name="_xlnm.Print_Area" localSheetId="57">'09-104'!$A$1:$BR$64</definedName>
    <definedName name="_xlnm.Print_Area" localSheetId="16">'10-105 (36)'!$A$1:$BR$121</definedName>
    <definedName name="_xlnm.Print_Area" localSheetId="45">'10-106'!$A$1:$BR$49</definedName>
    <definedName name="_xlnm.Print_Area" localSheetId="6">'10-107'!$A$1:$BS$133</definedName>
    <definedName name="_xlnm.Print_Area" localSheetId="31">'10-108 (54x.375)'!$A$1:$AX$42</definedName>
    <definedName name="_xlnm.Print_Area" localSheetId="29">'10-108 (60x.375)'!$A$1:$AX$48</definedName>
    <definedName name="_xlnm.Print_Area" localSheetId="30">'10-108 (66x375)'!$A$1:$BR$121</definedName>
    <definedName name="_xlnm.Print_Area" localSheetId="22">'10-108 (68x375)'!$A$1:$BR$121</definedName>
    <definedName name="_xlnm.Print_Area" localSheetId="34">'10-108 (72x.5)'!$A$1:$AX$42</definedName>
    <definedName name="_xlnm.Print_Area" localSheetId="27">'10-108 (78x.5)'!$A$1:$AX$42</definedName>
    <definedName name="_xlnm.Print_Area" localSheetId="19">'10-108 (84x.5)'!$A$1:$AX$42</definedName>
    <definedName name="_xlnm.Print_Area" localSheetId="7">'10-108 (84xx)'!$A$1:$AX$42</definedName>
    <definedName name="_xlnm.Print_Area" localSheetId="8">'10-108 (90xx)'!$A$1:$AX$42</definedName>
    <definedName name="_xlnm.Print_Area" localSheetId="28">'10-108 (96x.625)'!$A$1:$AX$42</definedName>
    <definedName name="_xlnm.Print_Area" localSheetId="40">'11-109'!$A$1:$AX$42</definedName>
    <definedName name="_xlnm.Print_Area" localSheetId="51">'11-110'!$A$1:$BR$121</definedName>
    <definedName name="_xlnm.Print_Area" localSheetId="24">'11-111 (78x.5)'!$A$1:$AX$42</definedName>
    <definedName name="_xlnm.Print_Area" localSheetId="20">'11-111 (84)'!$A$1:$BR$49</definedName>
    <definedName name="_xlnm.Print_Area" localSheetId="26">'11-111 (96x.75)'!$A$1:$AX$42</definedName>
    <definedName name="_xlnm.Print_Area" localSheetId="25">'11-111(84x0.75)'!$A$1:$BR$121</definedName>
    <definedName name="_xlnm.Print_Area" localSheetId="9">'11-111(90XX)'!$A$1:$BR$121</definedName>
    <definedName name="_xlnm.Print_Area" localSheetId="36">'12-112 (3)'!$A$1:$AX$42</definedName>
    <definedName name="_xlnm.Print_Area" localSheetId="17">'12-112 (60)'!$A$1:$BR$49</definedName>
    <definedName name="_xlnm.Print_Area" localSheetId="37">'12-112SN'!$A$1:$AX$42</definedName>
    <definedName name="_xlnm.Print_Area" localSheetId="21">'12-113'!$A$1:$BR$49</definedName>
    <definedName name="_xlnm.Print_Area" localSheetId="46">'12-114'!$A$1:$BR$48</definedName>
    <definedName name="_xlnm.Print_Area" localSheetId="0">'Daily Activity w Contents'!$A$1:$W$37</definedName>
    <definedName name="_xlnm.Print_Area" localSheetId="18">'Daily Activity w Contents (2)'!$A$1:$W$36</definedName>
    <definedName name="_xlnm.Print_Area" localSheetId="2">'Daily Repair Rate'!$A$1:$P$54</definedName>
    <definedName name="_xlnm.Print_Area" localSheetId="1">'Daily Repair Rate (Old)'!$A$1:$P$37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58" i="373" l="1"/>
  <c r="K17" i="363"/>
  <c r="N14" i="373"/>
  <c r="AB81" i="373"/>
  <c r="AE69" i="373"/>
  <c r="AE66" i="373"/>
  <c r="AE81" i="373" s="1"/>
  <c r="AE60" i="373"/>
  <c r="D14" i="373"/>
  <c r="AM2" i="373"/>
  <c r="AH2" i="373"/>
  <c r="AC2" i="373"/>
  <c r="X2" i="373"/>
  <c r="S2" i="373"/>
  <c r="N2" i="373"/>
  <c r="I2" i="373"/>
  <c r="D2" i="373"/>
  <c r="AY132" i="372"/>
  <c r="AU128" i="372"/>
  <c r="BF4" i="372"/>
  <c r="AB16" i="372"/>
  <c r="I14" i="373"/>
  <c r="AW8" i="373"/>
  <c r="AR8" i="373"/>
  <c r="AM8" i="373"/>
  <c r="AH8" i="373"/>
  <c r="AC8" i="373"/>
  <c r="X8" i="373"/>
  <c r="S8" i="373"/>
  <c r="N8" i="373"/>
  <c r="I8" i="373"/>
  <c r="D8" i="373"/>
  <c r="AW2" i="373"/>
  <c r="AR2" i="373"/>
  <c r="AQ82" i="373"/>
  <c r="AT70" i="373"/>
  <c r="AT67" i="373"/>
  <c r="AT82" i="373" s="1"/>
  <c r="AO54" i="373" s="1"/>
  <c r="AT64" i="373"/>
  <c r="AT61" i="373"/>
  <c r="AO38" i="373"/>
  <c r="AO40" i="373" s="1"/>
  <c r="AT54" i="373" s="1"/>
  <c r="AC38" i="373"/>
  <c r="AR54" i="373" s="1"/>
  <c r="D20" i="373"/>
  <c r="H38" i="373" a="1"/>
  <c r="H41" i="373" a="1"/>
  <c r="AC43" i="373"/>
  <c r="AP153" i="372"/>
  <c r="AP150" i="372"/>
  <c r="AP147" i="372"/>
  <c r="AP144" i="372"/>
  <c r="AP141" i="372"/>
  <c r="AP138" i="372"/>
  <c r="AY133" i="372"/>
  <c r="BA142" i="372"/>
  <c r="H111" i="372"/>
  <c r="C111" i="372"/>
  <c r="BP105" i="372"/>
  <c r="BK105" i="372"/>
  <c r="BF105" i="372"/>
  <c r="BA105" i="372"/>
  <c r="AV105" i="372"/>
  <c r="AQ105" i="372"/>
  <c r="AL105" i="372"/>
  <c r="AG105" i="372"/>
  <c r="AB105" i="372"/>
  <c r="W105" i="372"/>
  <c r="R105" i="372"/>
  <c r="M105" i="372"/>
  <c r="H105" i="372"/>
  <c r="C105" i="372"/>
  <c r="BP99" i="372"/>
  <c r="BK99" i="372"/>
  <c r="BF99" i="372"/>
  <c r="BA99" i="372"/>
  <c r="AV99" i="372"/>
  <c r="AQ99" i="372"/>
  <c r="AL99" i="372"/>
  <c r="AG99" i="372"/>
  <c r="AB99" i="372"/>
  <c r="W99" i="372"/>
  <c r="R99" i="372"/>
  <c r="M99" i="372"/>
  <c r="H99" i="372"/>
  <c r="C99" i="372"/>
  <c r="BP93" i="372"/>
  <c r="BK93" i="372"/>
  <c r="BF93" i="372"/>
  <c r="BA93" i="372"/>
  <c r="AV93" i="372"/>
  <c r="AQ93" i="372"/>
  <c r="AL93" i="372"/>
  <c r="AG93" i="372"/>
  <c r="AB93" i="372"/>
  <c r="W93" i="372"/>
  <c r="R93" i="372"/>
  <c r="M93" i="372"/>
  <c r="H93" i="372"/>
  <c r="C93" i="372"/>
  <c r="BP87" i="372"/>
  <c r="BK87" i="372"/>
  <c r="BF87" i="372"/>
  <c r="BA87" i="372"/>
  <c r="AV87" i="372"/>
  <c r="AQ87" i="372"/>
  <c r="AL87" i="372"/>
  <c r="AG87" i="372"/>
  <c r="AB87" i="372"/>
  <c r="W87" i="372"/>
  <c r="R87" i="372"/>
  <c r="M87" i="372"/>
  <c r="H87" i="372"/>
  <c r="C87" i="372"/>
  <c r="BP81" i="372"/>
  <c r="BK81" i="372"/>
  <c r="BF81" i="372"/>
  <c r="BA81" i="372"/>
  <c r="AV81" i="372"/>
  <c r="AQ81" i="372"/>
  <c r="AL81" i="372"/>
  <c r="AG81" i="372"/>
  <c r="AB81" i="372"/>
  <c r="W81" i="372"/>
  <c r="R81" i="372"/>
  <c r="M81" i="372"/>
  <c r="H81" i="372"/>
  <c r="C81" i="372"/>
  <c r="BP75" i="372"/>
  <c r="BK75" i="372"/>
  <c r="BF75" i="372"/>
  <c r="BA75" i="372"/>
  <c r="AV75" i="372"/>
  <c r="AQ75" i="372"/>
  <c r="AL75" i="372"/>
  <c r="AG75" i="372"/>
  <c r="AB75" i="372"/>
  <c r="W75" i="372"/>
  <c r="R75" i="372"/>
  <c r="M75" i="372"/>
  <c r="H75" i="372"/>
  <c r="C75" i="372"/>
  <c r="BP69" i="372"/>
  <c r="BK69" i="372"/>
  <c r="BF69" i="372"/>
  <c r="BA69" i="372"/>
  <c r="AV69" i="372"/>
  <c r="AQ69" i="372"/>
  <c r="AL69" i="372"/>
  <c r="AG69" i="372"/>
  <c r="AB69" i="372"/>
  <c r="W69" i="372"/>
  <c r="R69" i="372"/>
  <c r="M69" i="372"/>
  <c r="H69" i="372"/>
  <c r="C69" i="372"/>
  <c r="BP63" i="372"/>
  <c r="BK63" i="372"/>
  <c r="BF63" i="372"/>
  <c r="BA63" i="372"/>
  <c r="AV63" i="372"/>
  <c r="AQ63" i="372"/>
  <c r="AL63" i="372"/>
  <c r="AG63" i="372"/>
  <c r="AB63" i="372"/>
  <c r="W63" i="372"/>
  <c r="R63" i="372"/>
  <c r="M63" i="372"/>
  <c r="H63" i="372"/>
  <c r="C63" i="372"/>
  <c r="BD34" i="372"/>
  <c r="BA34" i="372"/>
  <c r="AV34" i="372"/>
  <c r="AO34" i="372"/>
  <c r="AL34" i="372"/>
  <c r="AG34" i="372"/>
  <c r="Z34" i="372"/>
  <c r="W34" i="372"/>
  <c r="R34" i="372"/>
  <c r="M34" i="372"/>
  <c r="H34" i="372"/>
  <c r="C34" i="372"/>
  <c r="BF28" i="372"/>
  <c r="BA28" i="372"/>
  <c r="AV28" i="372"/>
  <c r="AQ28" i="372"/>
  <c r="AL28" i="372"/>
  <c r="AG28" i="372"/>
  <c r="AB28" i="372"/>
  <c r="W28" i="372"/>
  <c r="R28" i="372"/>
  <c r="M28" i="372"/>
  <c r="H28" i="372"/>
  <c r="C28" i="372"/>
  <c r="BF22" i="372"/>
  <c r="BA22" i="372"/>
  <c r="AV22" i="372"/>
  <c r="AQ22" i="372"/>
  <c r="AL22" i="372"/>
  <c r="AG22" i="372"/>
  <c r="AB22" i="372"/>
  <c r="W22" i="372"/>
  <c r="R22" i="372"/>
  <c r="M22" i="372"/>
  <c r="H22" i="372"/>
  <c r="C22" i="372"/>
  <c r="BF16" i="372"/>
  <c r="BA16" i="372"/>
  <c r="AV16" i="372"/>
  <c r="AQ16" i="372"/>
  <c r="AL16" i="372"/>
  <c r="AG16" i="372"/>
  <c r="W16" i="372"/>
  <c r="R16" i="372"/>
  <c r="M16" i="372"/>
  <c r="H16" i="372"/>
  <c r="C16" i="372"/>
  <c r="BF10" i="372"/>
  <c r="BA10" i="372"/>
  <c r="AV10" i="372"/>
  <c r="AO10" i="372"/>
  <c r="AL10" i="372"/>
  <c r="AG10" i="372"/>
  <c r="Z10" i="372"/>
  <c r="W10" i="372"/>
  <c r="R10" i="372"/>
  <c r="K10" i="372"/>
  <c r="H10" i="372"/>
  <c r="C10" i="372"/>
  <c r="BA4" i="372"/>
  <c r="AV4" i="372"/>
  <c r="AO4" i="372"/>
  <c r="AL4" i="372"/>
  <c r="AG4" i="372"/>
  <c r="AB4" i="372"/>
  <c r="W4" i="372"/>
  <c r="R4" i="372"/>
  <c r="K4" i="372"/>
  <c r="H4" i="372"/>
  <c r="C4" i="372"/>
  <c r="AU128" i="366"/>
  <c r="K35" i="363"/>
  <c r="K38" i="363"/>
  <c r="AQ73" i="248"/>
  <c r="K41" i="363"/>
  <c r="AO148" i="365"/>
  <c r="BQ271" i="370"/>
  <c r="BQ275" i="370" s="1"/>
  <c r="AU275" i="370"/>
  <c r="AJ275" i="370" s="1"/>
  <c r="R264" i="370"/>
  <c r="M264" i="370"/>
  <c r="H264" i="370"/>
  <c r="C264" i="370"/>
  <c r="BZ246" i="370"/>
  <c r="BU246" i="370"/>
  <c r="BP246" i="370"/>
  <c r="BK246" i="370"/>
  <c r="BF246" i="370"/>
  <c r="BA246" i="370"/>
  <c r="AV246" i="370"/>
  <c r="AQ246" i="370"/>
  <c r="AL246" i="370"/>
  <c r="BZ258" i="370"/>
  <c r="BU258" i="370"/>
  <c r="BP258" i="370"/>
  <c r="BK258" i="370"/>
  <c r="BF258" i="370"/>
  <c r="BA258" i="370"/>
  <c r="AV258" i="370"/>
  <c r="AQ258" i="370"/>
  <c r="AL258" i="370"/>
  <c r="AG258" i="370"/>
  <c r="AB258" i="370"/>
  <c r="W258" i="370"/>
  <c r="R258" i="370"/>
  <c r="M258" i="370"/>
  <c r="H258" i="370"/>
  <c r="C258" i="370"/>
  <c r="BZ252" i="370"/>
  <c r="BU252" i="370"/>
  <c r="BP252" i="370"/>
  <c r="BK252" i="370"/>
  <c r="BF252" i="370"/>
  <c r="BA252" i="370"/>
  <c r="AV252" i="370"/>
  <c r="AQ252" i="370"/>
  <c r="AL252" i="370"/>
  <c r="AG252" i="370"/>
  <c r="AB252" i="370"/>
  <c r="W252" i="370"/>
  <c r="R252" i="370"/>
  <c r="M252" i="370"/>
  <c r="H252" i="370"/>
  <c r="C252" i="370"/>
  <c r="AG246" i="370"/>
  <c r="AB246" i="370"/>
  <c r="W246" i="370"/>
  <c r="R246" i="370"/>
  <c r="M246" i="370"/>
  <c r="H246" i="370"/>
  <c r="C246" i="370"/>
  <c r="BZ240" i="370"/>
  <c r="BU240" i="370"/>
  <c r="BP240" i="370"/>
  <c r="BK240" i="370"/>
  <c r="BF240" i="370"/>
  <c r="BA240" i="370"/>
  <c r="AV240" i="370"/>
  <c r="AQ240" i="370"/>
  <c r="AL240" i="370"/>
  <c r="AG240" i="370"/>
  <c r="AB240" i="370"/>
  <c r="W240" i="370"/>
  <c r="R240" i="370"/>
  <c r="M240" i="370"/>
  <c r="H240" i="370"/>
  <c r="C240" i="370"/>
  <c r="BZ234" i="370"/>
  <c r="BU234" i="370"/>
  <c r="BP234" i="370"/>
  <c r="BK234" i="370"/>
  <c r="BF234" i="370"/>
  <c r="BA234" i="370"/>
  <c r="AV234" i="370"/>
  <c r="AQ234" i="370"/>
  <c r="AL234" i="370"/>
  <c r="AG234" i="370"/>
  <c r="AB234" i="370"/>
  <c r="W234" i="370"/>
  <c r="R234" i="370"/>
  <c r="M234" i="370"/>
  <c r="H234" i="370"/>
  <c r="C234" i="370"/>
  <c r="BZ228" i="370"/>
  <c r="BZ222" i="370"/>
  <c r="BU228" i="370"/>
  <c r="BP228" i="370"/>
  <c r="BK228" i="370"/>
  <c r="BF228" i="370"/>
  <c r="BA228" i="370"/>
  <c r="AV228" i="370"/>
  <c r="AQ228" i="370"/>
  <c r="AL228" i="370"/>
  <c r="AG228" i="370"/>
  <c r="AB228" i="370"/>
  <c r="W228" i="370"/>
  <c r="R228" i="370"/>
  <c r="M228" i="370"/>
  <c r="H228" i="370"/>
  <c r="C228" i="370"/>
  <c r="BU222" i="370"/>
  <c r="BP222" i="370"/>
  <c r="BK222" i="370"/>
  <c r="BF222" i="370"/>
  <c r="BA222" i="370"/>
  <c r="AV222" i="370"/>
  <c r="AQ222" i="370"/>
  <c r="AL222" i="370"/>
  <c r="AG222" i="370"/>
  <c r="AB222" i="370"/>
  <c r="W222" i="370"/>
  <c r="R222" i="370"/>
  <c r="M222" i="370"/>
  <c r="H222" i="370"/>
  <c r="C222" i="370"/>
  <c r="BZ216" i="370"/>
  <c r="BU216" i="370"/>
  <c r="BP216" i="370"/>
  <c r="BK216" i="370"/>
  <c r="BF216" i="370"/>
  <c r="BA216" i="370"/>
  <c r="AV216" i="370"/>
  <c r="AQ216" i="370"/>
  <c r="AL216" i="370"/>
  <c r="AG216" i="370"/>
  <c r="AB216" i="370"/>
  <c r="W216" i="370"/>
  <c r="R216" i="370"/>
  <c r="M216" i="370"/>
  <c r="H216" i="370"/>
  <c r="C216" i="370"/>
  <c r="BZ210" i="370"/>
  <c r="BU210" i="370"/>
  <c r="BP210" i="370"/>
  <c r="BK210" i="370"/>
  <c r="BF210" i="370"/>
  <c r="BA210" i="370"/>
  <c r="AV210" i="370"/>
  <c r="AQ210" i="370"/>
  <c r="AL210" i="370"/>
  <c r="AG210" i="370"/>
  <c r="AB210" i="370"/>
  <c r="W210" i="370"/>
  <c r="R210" i="370"/>
  <c r="M210" i="370"/>
  <c r="H210" i="370"/>
  <c r="C210" i="370"/>
  <c r="BZ204" i="370"/>
  <c r="BU204" i="370"/>
  <c r="BP204" i="370"/>
  <c r="BK204" i="370"/>
  <c r="BF204" i="370"/>
  <c r="BA204" i="370"/>
  <c r="AV204" i="370"/>
  <c r="AQ204" i="370"/>
  <c r="AL204" i="370"/>
  <c r="AG204" i="370"/>
  <c r="AB204" i="370"/>
  <c r="W204" i="370"/>
  <c r="R204" i="370"/>
  <c r="M204" i="370"/>
  <c r="H204" i="370"/>
  <c r="C204" i="370"/>
  <c r="BZ198" i="370"/>
  <c r="BU198" i="370"/>
  <c r="BP198" i="370"/>
  <c r="BK198" i="370"/>
  <c r="BF198" i="370"/>
  <c r="BA198" i="370"/>
  <c r="AV198" i="370"/>
  <c r="AQ198" i="370"/>
  <c r="AL198" i="370"/>
  <c r="AG198" i="370"/>
  <c r="AB198" i="370"/>
  <c r="W198" i="370"/>
  <c r="R198" i="370"/>
  <c r="M198" i="370"/>
  <c r="H198" i="370"/>
  <c r="C198" i="370"/>
  <c r="BZ192" i="370"/>
  <c r="BU192" i="370"/>
  <c r="BP192" i="370"/>
  <c r="BK192" i="370"/>
  <c r="BF192" i="370"/>
  <c r="BA192" i="370"/>
  <c r="AV192" i="370"/>
  <c r="AQ192" i="370"/>
  <c r="AL192" i="370"/>
  <c r="AG192" i="370"/>
  <c r="AB192" i="370"/>
  <c r="W192" i="370"/>
  <c r="R192" i="370"/>
  <c r="M192" i="370"/>
  <c r="H192" i="370"/>
  <c r="C192" i="370"/>
  <c r="BZ186" i="370"/>
  <c r="BU186" i="370"/>
  <c r="BP186" i="370"/>
  <c r="BK186" i="370"/>
  <c r="BF186" i="370"/>
  <c r="BA186" i="370"/>
  <c r="AV186" i="370"/>
  <c r="AQ186" i="370"/>
  <c r="AL186" i="370"/>
  <c r="AG186" i="370"/>
  <c r="AB186" i="370"/>
  <c r="W186" i="370"/>
  <c r="R186" i="370"/>
  <c r="M186" i="370"/>
  <c r="H186" i="370"/>
  <c r="C186" i="370"/>
  <c r="BZ180" i="370"/>
  <c r="BU180" i="370"/>
  <c r="BP180" i="370"/>
  <c r="BK180" i="370"/>
  <c r="BF180" i="370"/>
  <c r="BA180" i="370"/>
  <c r="AV180" i="370"/>
  <c r="AQ180" i="370"/>
  <c r="AL180" i="370"/>
  <c r="AG180" i="370"/>
  <c r="AB180" i="370"/>
  <c r="W180" i="370"/>
  <c r="R180" i="370"/>
  <c r="M180" i="370"/>
  <c r="H180" i="370"/>
  <c r="C180" i="370"/>
  <c r="BZ174" i="370"/>
  <c r="BU174" i="370"/>
  <c r="BP174" i="370"/>
  <c r="BK174" i="370"/>
  <c r="BF174" i="370"/>
  <c r="BA174" i="370"/>
  <c r="AV174" i="370"/>
  <c r="AQ174" i="370"/>
  <c r="AL174" i="370"/>
  <c r="AG174" i="370"/>
  <c r="AB174" i="370"/>
  <c r="W174" i="370"/>
  <c r="R174" i="370"/>
  <c r="M174" i="370"/>
  <c r="H174" i="370"/>
  <c r="C174" i="370"/>
  <c r="BZ168" i="370"/>
  <c r="BU168" i="370"/>
  <c r="BP168" i="370"/>
  <c r="BK168" i="370"/>
  <c r="BF168" i="370"/>
  <c r="BA168" i="370"/>
  <c r="AV168" i="370"/>
  <c r="AQ168" i="370"/>
  <c r="AL168" i="370"/>
  <c r="AG168" i="370"/>
  <c r="AB168" i="370"/>
  <c r="W168" i="370"/>
  <c r="R168" i="370"/>
  <c r="M168" i="370"/>
  <c r="H168" i="370"/>
  <c r="C168" i="370"/>
  <c r="BZ162" i="370"/>
  <c r="BU162" i="370"/>
  <c r="BP162" i="370"/>
  <c r="BK162" i="370"/>
  <c r="BF162" i="370"/>
  <c r="BA162" i="370"/>
  <c r="AV162" i="370"/>
  <c r="AQ162" i="370"/>
  <c r="AL162" i="370"/>
  <c r="AG162" i="370"/>
  <c r="AB162" i="370"/>
  <c r="W162" i="370"/>
  <c r="R162" i="370"/>
  <c r="M162" i="370"/>
  <c r="H162" i="370"/>
  <c r="C162" i="370"/>
  <c r="BZ156" i="370"/>
  <c r="BU156" i="370"/>
  <c r="BP156" i="370"/>
  <c r="BK156" i="370"/>
  <c r="BF156" i="370"/>
  <c r="BA156" i="370"/>
  <c r="AV156" i="370"/>
  <c r="AQ156" i="370"/>
  <c r="AL156" i="370"/>
  <c r="AG156" i="370"/>
  <c r="AB156" i="370"/>
  <c r="W156" i="370"/>
  <c r="R156" i="370"/>
  <c r="M156" i="370"/>
  <c r="H156" i="370"/>
  <c r="C156" i="370"/>
  <c r="BZ150" i="370"/>
  <c r="BU150" i="370"/>
  <c r="BP150" i="370"/>
  <c r="BK150" i="370"/>
  <c r="BF150" i="370"/>
  <c r="BA150" i="370"/>
  <c r="AV150" i="370"/>
  <c r="AQ150" i="370"/>
  <c r="AL150" i="370"/>
  <c r="AG150" i="370"/>
  <c r="AB150" i="370"/>
  <c r="W150" i="370"/>
  <c r="R150" i="370"/>
  <c r="M150" i="370"/>
  <c r="H150" i="370"/>
  <c r="C150" i="370"/>
  <c r="BZ144" i="370"/>
  <c r="BU144" i="370"/>
  <c r="BP144" i="370"/>
  <c r="BK144" i="370"/>
  <c r="BF144" i="370"/>
  <c r="BA144" i="370"/>
  <c r="AV144" i="370"/>
  <c r="AQ144" i="370"/>
  <c r="AL144" i="370"/>
  <c r="AG144" i="370"/>
  <c r="AB144" i="370"/>
  <c r="W144" i="370"/>
  <c r="R144" i="370"/>
  <c r="M144" i="370"/>
  <c r="H144" i="370"/>
  <c r="C144" i="370"/>
  <c r="BZ128" i="370"/>
  <c r="BU128" i="370"/>
  <c r="BP128" i="370"/>
  <c r="BK128" i="370"/>
  <c r="BF128" i="370"/>
  <c r="BA128" i="370"/>
  <c r="AV128" i="370"/>
  <c r="AQ128" i="370"/>
  <c r="AL128" i="370"/>
  <c r="AG128" i="370"/>
  <c r="AB128" i="370"/>
  <c r="W128" i="370"/>
  <c r="R128" i="370"/>
  <c r="M128" i="370"/>
  <c r="H128" i="370"/>
  <c r="C128" i="370"/>
  <c r="BZ122" i="370"/>
  <c r="BU122" i="370"/>
  <c r="BP122" i="370"/>
  <c r="BK122" i="370"/>
  <c r="BF122" i="370"/>
  <c r="BA122" i="370"/>
  <c r="AV122" i="370"/>
  <c r="AQ122" i="370"/>
  <c r="AL122" i="370"/>
  <c r="AG122" i="370"/>
  <c r="AB122" i="370"/>
  <c r="W122" i="370"/>
  <c r="R122" i="370"/>
  <c r="M122" i="370"/>
  <c r="H122" i="370"/>
  <c r="C122" i="370"/>
  <c r="BZ116" i="370"/>
  <c r="BU116" i="370"/>
  <c r="BP116" i="370"/>
  <c r="BK116" i="370"/>
  <c r="BF116" i="370"/>
  <c r="BA116" i="370"/>
  <c r="AV116" i="370"/>
  <c r="AQ116" i="370"/>
  <c r="AL116" i="370"/>
  <c r="AG116" i="370"/>
  <c r="AB116" i="370"/>
  <c r="W116" i="370"/>
  <c r="R116" i="370"/>
  <c r="M116" i="370"/>
  <c r="H116" i="370"/>
  <c r="C116" i="370"/>
  <c r="BZ110" i="370"/>
  <c r="BU110" i="370"/>
  <c r="BP110" i="370"/>
  <c r="BK110" i="370"/>
  <c r="BF110" i="370"/>
  <c r="BA110" i="370"/>
  <c r="AV110" i="370"/>
  <c r="AQ110" i="370"/>
  <c r="AL110" i="370"/>
  <c r="AG110" i="370"/>
  <c r="AB110" i="370"/>
  <c r="W110" i="370"/>
  <c r="R110" i="370"/>
  <c r="M110" i="370"/>
  <c r="H110" i="370"/>
  <c r="C110" i="370"/>
  <c r="BZ104" i="370"/>
  <c r="BU104" i="370"/>
  <c r="BP104" i="370"/>
  <c r="BK104" i="370"/>
  <c r="BF104" i="370"/>
  <c r="BA104" i="370"/>
  <c r="AV104" i="370"/>
  <c r="AQ104" i="370"/>
  <c r="AL104" i="370"/>
  <c r="AG104" i="370"/>
  <c r="AB104" i="370"/>
  <c r="W104" i="370"/>
  <c r="R104" i="370"/>
  <c r="M104" i="370"/>
  <c r="H104" i="370"/>
  <c r="C104" i="370"/>
  <c r="BZ98" i="370"/>
  <c r="BU98" i="370"/>
  <c r="BP98" i="370"/>
  <c r="BK98" i="370"/>
  <c r="BF98" i="370"/>
  <c r="BA98" i="370"/>
  <c r="AV98" i="370"/>
  <c r="AQ98" i="370"/>
  <c r="AL98" i="370"/>
  <c r="AG98" i="370"/>
  <c r="AB98" i="370"/>
  <c r="W98" i="370"/>
  <c r="R98" i="370"/>
  <c r="M98" i="370"/>
  <c r="H98" i="370"/>
  <c r="C98" i="370"/>
  <c r="BZ92" i="370"/>
  <c r="BU92" i="370"/>
  <c r="BP92" i="370"/>
  <c r="BK92" i="370"/>
  <c r="BF92" i="370"/>
  <c r="BA92" i="370"/>
  <c r="AV92" i="370"/>
  <c r="AQ92" i="370"/>
  <c r="AL92" i="370"/>
  <c r="AG92" i="370"/>
  <c r="AB92" i="370"/>
  <c r="W92" i="370"/>
  <c r="R92" i="370"/>
  <c r="M92" i="370"/>
  <c r="H92" i="370"/>
  <c r="C92" i="370"/>
  <c r="BZ86" i="370"/>
  <c r="BU86" i="370"/>
  <c r="BP86" i="370"/>
  <c r="BK86" i="370"/>
  <c r="BF86" i="370"/>
  <c r="BA86" i="370"/>
  <c r="AV86" i="370"/>
  <c r="AQ86" i="370"/>
  <c r="AL86" i="370"/>
  <c r="AG86" i="370"/>
  <c r="AB86" i="370"/>
  <c r="W86" i="370"/>
  <c r="R86" i="370"/>
  <c r="M86" i="370"/>
  <c r="H86" i="370"/>
  <c r="C86" i="370"/>
  <c r="BZ80" i="370"/>
  <c r="BU80" i="370"/>
  <c r="BP80" i="370"/>
  <c r="BK80" i="370"/>
  <c r="BF80" i="370"/>
  <c r="BA80" i="370"/>
  <c r="AV80" i="370"/>
  <c r="AQ80" i="370"/>
  <c r="AL80" i="370"/>
  <c r="AG80" i="370"/>
  <c r="AB80" i="370"/>
  <c r="W80" i="370"/>
  <c r="R80" i="370"/>
  <c r="M80" i="370"/>
  <c r="H80" i="370"/>
  <c r="C80" i="370"/>
  <c r="BZ74" i="370"/>
  <c r="BU74" i="370"/>
  <c r="BP74" i="370"/>
  <c r="BK74" i="370"/>
  <c r="BF74" i="370"/>
  <c r="BA74" i="370"/>
  <c r="AV74" i="370"/>
  <c r="AQ74" i="370"/>
  <c r="AL74" i="370"/>
  <c r="AG74" i="370"/>
  <c r="AB74" i="370"/>
  <c r="W74" i="370"/>
  <c r="R74" i="370"/>
  <c r="M74" i="370"/>
  <c r="H74" i="370"/>
  <c r="C74" i="370"/>
  <c r="BZ68" i="370"/>
  <c r="BU68" i="370"/>
  <c r="BP68" i="370"/>
  <c r="BK68" i="370"/>
  <c r="BF68" i="370"/>
  <c r="BA68" i="370"/>
  <c r="AV68" i="370"/>
  <c r="AQ68" i="370"/>
  <c r="AL68" i="370"/>
  <c r="AG68" i="370"/>
  <c r="AB68" i="370"/>
  <c r="W68" i="370"/>
  <c r="R68" i="370"/>
  <c r="M68" i="370"/>
  <c r="H68" i="370"/>
  <c r="C68" i="370"/>
  <c r="BZ62" i="370"/>
  <c r="BU62" i="370"/>
  <c r="BP62" i="370"/>
  <c r="BK62" i="370"/>
  <c r="BF62" i="370"/>
  <c r="BA62" i="370"/>
  <c r="AV62" i="370"/>
  <c r="AQ62" i="370"/>
  <c r="AL62" i="370"/>
  <c r="AG62" i="370"/>
  <c r="AB62" i="370"/>
  <c r="W62" i="370"/>
  <c r="R62" i="370"/>
  <c r="M62" i="370"/>
  <c r="H62" i="370"/>
  <c r="C62" i="370"/>
  <c r="BZ56" i="370"/>
  <c r="BU56" i="370"/>
  <c r="BP56" i="370"/>
  <c r="BK56" i="370"/>
  <c r="BF56" i="370"/>
  <c r="BA56" i="370"/>
  <c r="AV56" i="370"/>
  <c r="AQ56" i="370"/>
  <c r="AL56" i="370"/>
  <c r="AG56" i="370"/>
  <c r="AB56" i="370"/>
  <c r="W56" i="370"/>
  <c r="R56" i="370"/>
  <c r="M56" i="370"/>
  <c r="H56" i="370"/>
  <c r="C56" i="370"/>
  <c r="BZ50" i="370"/>
  <c r="BU50" i="370"/>
  <c r="BP50" i="370"/>
  <c r="BK50" i="370"/>
  <c r="BF50" i="370"/>
  <c r="BA50" i="370"/>
  <c r="AV50" i="370"/>
  <c r="AQ50" i="370"/>
  <c r="AL50" i="370"/>
  <c r="AG50" i="370"/>
  <c r="AB50" i="370"/>
  <c r="W50" i="370"/>
  <c r="R50" i="370"/>
  <c r="M50" i="370"/>
  <c r="H50" i="370"/>
  <c r="C50" i="370"/>
  <c r="BZ44" i="370"/>
  <c r="BU44" i="370"/>
  <c r="BP44" i="370"/>
  <c r="BK44" i="370"/>
  <c r="BF44" i="370"/>
  <c r="BA44" i="370"/>
  <c r="AV44" i="370"/>
  <c r="AQ44" i="370"/>
  <c r="AL44" i="370"/>
  <c r="AG44" i="370"/>
  <c r="AB44" i="370"/>
  <c r="W44" i="370"/>
  <c r="R44" i="370"/>
  <c r="M44" i="370"/>
  <c r="H44" i="370"/>
  <c r="C44" i="370"/>
  <c r="BZ38" i="370"/>
  <c r="BU38" i="370"/>
  <c r="BP38" i="370"/>
  <c r="BK38" i="370"/>
  <c r="BF38" i="370"/>
  <c r="BA38" i="370"/>
  <c r="AV38" i="370"/>
  <c r="AQ38" i="370"/>
  <c r="AL38" i="370"/>
  <c r="AG38" i="370"/>
  <c r="AB38" i="370"/>
  <c r="W38" i="370"/>
  <c r="R38" i="370"/>
  <c r="M38" i="370"/>
  <c r="H38" i="370"/>
  <c r="C38" i="370"/>
  <c r="BZ32" i="370"/>
  <c r="BU32" i="370"/>
  <c r="BP32" i="370"/>
  <c r="BK32" i="370"/>
  <c r="BF32" i="370"/>
  <c r="BA32" i="370"/>
  <c r="AV32" i="370"/>
  <c r="AQ32" i="370"/>
  <c r="AL32" i="370"/>
  <c r="AG32" i="370"/>
  <c r="AB32" i="370"/>
  <c r="W32" i="370"/>
  <c r="R32" i="370"/>
  <c r="M32" i="370"/>
  <c r="H32" i="370"/>
  <c r="C32" i="370"/>
  <c r="BZ26" i="370"/>
  <c r="BU26" i="370"/>
  <c r="BP26" i="370"/>
  <c r="BK26" i="370"/>
  <c r="BF26" i="370"/>
  <c r="BA26" i="370"/>
  <c r="AV26" i="370"/>
  <c r="AQ26" i="370"/>
  <c r="AL26" i="370"/>
  <c r="AG26" i="370"/>
  <c r="AB26" i="370"/>
  <c r="W26" i="370"/>
  <c r="R26" i="370"/>
  <c r="M26" i="370"/>
  <c r="H26" i="370"/>
  <c r="C26" i="370"/>
  <c r="BZ20" i="370"/>
  <c r="BU20" i="370"/>
  <c r="BP20" i="370"/>
  <c r="BK20" i="370"/>
  <c r="BF20" i="370"/>
  <c r="BA20" i="370"/>
  <c r="AV20" i="370"/>
  <c r="AQ20" i="370"/>
  <c r="AL20" i="370"/>
  <c r="AG20" i="370"/>
  <c r="AB20" i="370"/>
  <c r="W20" i="370"/>
  <c r="R20" i="370"/>
  <c r="M20" i="370"/>
  <c r="H20" i="370"/>
  <c r="C20" i="370"/>
  <c r="BZ14" i="370"/>
  <c r="BU14" i="370"/>
  <c r="BP14" i="370"/>
  <c r="BK14" i="370"/>
  <c r="BF14" i="370"/>
  <c r="BA14" i="370"/>
  <c r="AV14" i="370"/>
  <c r="AQ14" i="370"/>
  <c r="AL14" i="370"/>
  <c r="AG14" i="370"/>
  <c r="AB14" i="370"/>
  <c r="W14" i="370"/>
  <c r="R14" i="370"/>
  <c r="M14" i="370"/>
  <c r="H14" i="370"/>
  <c r="C14" i="370"/>
  <c r="BZ8" i="370"/>
  <c r="BU8" i="370"/>
  <c r="BP8" i="370"/>
  <c r="BK8" i="370"/>
  <c r="BF8" i="370"/>
  <c r="BA8" i="370"/>
  <c r="AV8" i="370"/>
  <c r="AQ8" i="370"/>
  <c r="AL8" i="370"/>
  <c r="AG8" i="370"/>
  <c r="AB8" i="370"/>
  <c r="W8" i="370"/>
  <c r="R8" i="370"/>
  <c r="M8" i="370"/>
  <c r="H8" i="370"/>
  <c r="C8" i="370"/>
  <c r="BZ2" i="370"/>
  <c r="BU2" i="370"/>
  <c r="BP2" i="370"/>
  <c r="BK2" i="370"/>
  <c r="BF2" i="370"/>
  <c r="BA2" i="370"/>
  <c r="AV2" i="370"/>
  <c r="AQ2" i="370"/>
  <c r="AL2" i="370"/>
  <c r="AG2" i="370"/>
  <c r="AB2" i="370"/>
  <c r="W2" i="370"/>
  <c r="R2" i="370"/>
  <c r="M2" i="370"/>
  <c r="H2" i="370"/>
  <c r="C2" i="370"/>
  <c r="AT58" i="369"/>
  <c r="AM2" i="369"/>
  <c r="AH2" i="369"/>
  <c r="AC2" i="369"/>
  <c r="X2" i="369"/>
  <c r="S2" i="369"/>
  <c r="N2" i="369"/>
  <c r="AM342" i="370" a="1"/>
  <c r="AM384" i="370" a="1"/>
  <c r="AM360" i="370" a="1"/>
  <c r="G124" i="372" a="1"/>
  <c r="AG269" i="370" a="1"/>
  <c r="AM324" i="370" a="1"/>
  <c r="AM330" i="370" a="1"/>
  <c r="AM312" i="370" a="1"/>
  <c r="AG265" i="370" a="1"/>
  <c r="AM297" i="370" a="1"/>
  <c r="AM378" i="370" a="1"/>
  <c r="AM303" i="370" a="1"/>
  <c r="AM309" i="370" a="1"/>
  <c r="AM333" i="370" a="1"/>
  <c r="AM351" i="370" a="1"/>
  <c r="AM381" i="370" a="1"/>
  <c r="AM375" i="370" a="1"/>
  <c r="AM306" i="370" a="1"/>
  <c r="AM327" i="370" a="1"/>
  <c r="AM369" i="370" a="1"/>
  <c r="AM372" i="370" a="1"/>
  <c r="AM354" i="370" a="1"/>
  <c r="AM315" i="370" a="1"/>
  <c r="AM387" i="370" a="1"/>
  <c r="AM363" i="370" a="1"/>
  <c r="AM336" i="370" a="1"/>
  <c r="G127" i="366" a="1"/>
  <c r="AM300" i="370" a="1"/>
  <c r="AM366" i="370" a="1"/>
  <c r="G124" i="366" a="1"/>
  <c r="AM318" i="370" a="1"/>
  <c r="AM357" i="370" a="1"/>
  <c r="AM348" i="370" a="1"/>
  <c r="AM321" i="370" a="1"/>
  <c r="AM339" i="370" a="1"/>
  <c r="G128" i="372" a="1"/>
  <c r="AM345" i="370" a="1"/>
  <c r="AY56" i="373" l="1"/>
  <c r="AY65" i="373"/>
  <c r="AJ156" i="372"/>
  <c r="AX142" i="372" s="1"/>
  <c r="AU153" i="372" s="1"/>
  <c r="AJ128" i="372"/>
  <c r="BC142" i="372"/>
  <c r="AU162" i="372" s="1"/>
  <c r="AP354" i="370" s="1"/>
  <c r="AP357" i="370" s="1"/>
  <c r="AP321" i="370" s="1"/>
  <c r="AP324" i="370" s="1"/>
  <c r="AP360" i="370" s="1"/>
  <c r="AP363" i="370" s="1"/>
  <c r="AP366" i="370" s="1"/>
  <c r="AP369" i="370" s="1"/>
  <c r="AP372" i="370" s="1"/>
  <c r="AP318" i="370" s="1"/>
  <c r="AP327" i="370" s="1"/>
  <c r="AP297" i="370" s="1"/>
  <c r="AP336" i="370" s="1"/>
  <c r="AP303" i="370" s="1"/>
  <c r="AP339" i="370" s="1"/>
  <c r="AP375" i="370" s="1"/>
  <c r="AP306" i="370" s="1"/>
  <c r="AP342" i="370" s="1"/>
  <c r="AP378" i="370" s="1"/>
  <c r="AP330" i="370" s="1"/>
  <c r="AP333" i="370" s="1"/>
  <c r="AP309" i="370" s="1"/>
  <c r="AP345" i="370" s="1"/>
  <c r="AP381" i="370" s="1"/>
  <c r="AP384" i="370" s="1"/>
  <c r="AP312" i="370" s="1"/>
  <c r="AP348" i="370" s="1"/>
  <c r="AP315" i="370" s="1"/>
  <c r="AP351" i="370" s="1"/>
  <c r="AP387" i="370" s="1"/>
  <c r="AP290" i="370"/>
  <c r="AN290" i="370"/>
  <c r="AQ73" i="369"/>
  <c r="AT55" i="369"/>
  <c r="AT73" i="369" s="1"/>
  <c r="AO48" i="369" s="1"/>
  <c r="AO32" i="369"/>
  <c r="AO34" i="369" s="1"/>
  <c r="AC32" i="369"/>
  <c r="D14" i="369"/>
  <c r="H35" i="369" a="1"/>
  <c r="AP300" i="370" l="1"/>
  <c r="AT48" i="369"/>
  <c r="AY59" i="369" s="1"/>
  <c r="AC37" i="369"/>
  <c r="AR48" i="369"/>
  <c r="AY50" i="369" s="1"/>
  <c r="AU116" i="262"/>
  <c r="C2" i="352"/>
  <c r="AQ20" i="352"/>
  <c r="AL20" i="352"/>
  <c r="AG20" i="352"/>
  <c r="AB20" i="352"/>
  <c r="W20" i="352"/>
  <c r="R20" i="352"/>
  <c r="M20" i="352"/>
  <c r="H20" i="352"/>
  <c r="C20" i="352"/>
  <c r="BP14" i="352"/>
  <c r="BK14" i="352"/>
  <c r="BF14" i="352"/>
  <c r="BA14" i="352"/>
  <c r="R2" i="352"/>
  <c r="M2" i="352"/>
  <c r="H2" i="352"/>
  <c r="AS35" i="352"/>
  <c r="BJ31" i="352"/>
  <c r="BA8" i="352"/>
  <c r="AM123" i="262"/>
  <c r="K40" i="363"/>
  <c r="AM129" i="34" a="1"/>
  <c r="G112" i="262" a="1"/>
  <c r="G115" i="262" a="1"/>
  <c r="Q27" i="352" a="1"/>
  <c r="AP390" i="370" l="1"/>
  <c r="AK290" i="370" s="1"/>
  <c r="AU301" i="370" s="1"/>
  <c r="CG311" i="370"/>
  <c r="CG302" i="370"/>
  <c r="AT112" i="352"/>
  <c r="AT109" i="352"/>
  <c r="AT106" i="352"/>
  <c r="BK99" i="262"/>
  <c r="BF99" i="262"/>
  <c r="BA99" i="262"/>
  <c r="AV99" i="262"/>
  <c r="AQ99" i="262"/>
  <c r="AQ82" i="261"/>
  <c r="AM2" i="368"/>
  <c r="AH2" i="368"/>
  <c r="AC2" i="368"/>
  <c r="X2" i="368"/>
  <c r="S2" i="368"/>
  <c r="N2" i="368"/>
  <c r="AQ73" i="368"/>
  <c r="AT55" i="368"/>
  <c r="AT73" i="368" s="1"/>
  <c r="AO48" i="368" s="1"/>
  <c r="AO32" i="368"/>
  <c r="AO34" i="368" s="1"/>
  <c r="AC32" i="368"/>
  <c r="AR48" i="368" s="1"/>
  <c r="D14" i="368"/>
  <c r="H35" i="368" a="1"/>
  <c r="AU292" i="370" l="1"/>
  <c r="AY50" i="368"/>
  <c r="AC37" i="368"/>
  <c r="AT48" i="368"/>
  <c r="AY59" i="368" s="1"/>
  <c r="K39" i="363"/>
  <c r="AT58" i="367"/>
  <c r="AH2" i="367"/>
  <c r="AC2" i="367"/>
  <c r="X2" i="367"/>
  <c r="S2" i="367"/>
  <c r="AQ73" i="367"/>
  <c r="AT55" i="367"/>
  <c r="AO32" i="367"/>
  <c r="AO34" i="367" s="1"/>
  <c r="AC32" i="367"/>
  <c r="AT48" i="367" s="1"/>
  <c r="D14" i="367"/>
  <c r="H35" i="367" a="1"/>
  <c r="AT73" i="367" l="1"/>
  <c r="AO48" i="367" s="1"/>
  <c r="AY59" i="367" s="1"/>
  <c r="AC37" i="367"/>
  <c r="AR48" i="367"/>
  <c r="BQ153" i="366"/>
  <c r="BL124" i="366"/>
  <c r="BL128" i="366" s="1"/>
  <c r="AL20" i="366"/>
  <c r="AG20" i="366"/>
  <c r="AB20" i="366"/>
  <c r="W20" i="366"/>
  <c r="R20" i="366"/>
  <c r="M20" i="366"/>
  <c r="H20" i="366"/>
  <c r="C20" i="366"/>
  <c r="BP14" i="366"/>
  <c r="BK14" i="366"/>
  <c r="BF14" i="366"/>
  <c r="BA14" i="366"/>
  <c r="AV14" i="366"/>
  <c r="AQ14" i="366"/>
  <c r="AL14" i="366"/>
  <c r="AG14" i="366"/>
  <c r="AB14" i="366"/>
  <c r="W14" i="366"/>
  <c r="R14" i="366"/>
  <c r="M14" i="366"/>
  <c r="H14" i="366"/>
  <c r="C14" i="366"/>
  <c r="BP8" i="366"/>
  <c r="BK8" i="366"/>
  <c r="BF8" i="366"/>
  <c r="BA8" i="366"/>
  <c r="AV8" i="366"/>
  <c r="AQ8" i="366"/>
  <c r="AL8" i="366"/>
  <c r="AL105" i="366"/>
  <c r="AG105" i="366"/>
  <c r="AB105" i="366"/>
  <c r="W105" i="366"/>
  <c r="R105" i="366"/>
  <c r="M105" i="366"/>
  <c r="H105" i="366"/>
  <c r="C105" i="366"/>
  <c r="BP44" i="366"/>
  <c r="BK44" i="366"/>
  <c r="BF44" i="366"/>
  <c r="BA44" i="366"/>
  <c r="AV44" i="366"/>
  <c r="AQ44" i="366"/>
  <c r="AL44" i="366"/>
  <c r="AG44" i="366"/>
  <c r="AB44" i="366"/>
  <c r="W44" i="366"/>
  <c r="R44" i="366"/>
  <c r="M44" i="366"/>
  <c r="H44" i="366"/>
  <c r="C44" i="366"/>
  <c r="BP38" i="366"/>
  <c r="BK38" i="366"/>
  <c r="BF38" i="366"/>
  <c r="BA38" i="366"/>
  <c r="AV38" i="366"/>
  <c r="AQ38" i="366"/>
  <c r="AL38" i="366"/>
  <c r="AG38" i="366"/>
  <c r="AB38" i="366"/>
  <c r="W38" i="366"/>
  <c r="R38" i="366"/>
  <c r="M38" i="366"/>
  <c r="H38" i="366"/>
  <c r="C38" i="366"/>
  <c r="BP32" i="366"/>
  <c r="BK32" i="366"/>
  <c r="BF32" i="366"/>
  <c r="BA32" i="366"/>
  <c r="AV32" i="366"/>
  <c r="AQ32" i="366"/>
  <c r="AL32" i="366"/>
  <c r="AG32" i="366"/>
  <c r="AB32" i="366"/>
  <c r="W32" i="366"/>
  <c r="R32" i="366"/>
  <c r="M32" i="366"/>
  <c r="H32" i="366"/>
  <c r="C32" i="366"/>
  <c r="BP26" i="366"/>
  <c r="BK26" i="366"/>
  <c r="BF26" i="366"/>
  <c r="BA26" i="366"/>
  <c r="AV26" i="366"/>
  <c r="AQ26" i="366"/>
  <c r="AL26" i="366"/>
  <c r="AG26" i="366"/>
  <c r="AB26" i="366"/>
  <c r="W26" i="366"/>
  <c r="R26" i="366"/>
  <c r="M26" i="366"/>
  <c r="H26" i="366"/>
  <c r="C26" i="366"/>
  <c r="BP20" i="366"/>
  <c r="BK20" i="366"/>
  <c r="BF20" i="366"/>
  <c r="BA20" i="366"/>
  <c r="AV20" i="366"/>
  <c r="AQ20" i="366"/>
  <c r="AG8" i="366"/>
  <c r="AB8" i="366"/>
  <c r="W8" i="366"/>
  <c r="R8" i="366"/>
  <c r="M8" i="366"/>
  <c r="H8" i="366"/>
  <c r="C8" i="366"/>
  <c r="BP2" i="366"/>
  <c r="BK2" i="366"/>
  <c r="BF2" i="366"/>
  <c r="BA2" i="366"/>
  <c r="AV2" i="366"/>
  <c r="AQ2" i="366"/>
  <c r="AL2" i="366"/>
  <c r="AG2" i="366"/>
  <c r="AB2" i="366"/>
  <c r="W2" i="366"/>
  <c r="R2" i="366"/>
  <c r="M2" i="366"/>
  <c r="H2" i="366"/>
  <c r="C2" i="366"/>
  <c r="H111" i="366"/>
  <c r="C111" i="366"/>
  <c r="BP99" i="366"/>
  <c r="BK99" i="366"/>
  <c r="BF99" i="366"/>
  <c r="BA99" i="366"/>
  <c r="AV99" i="366"/>
  <c r="AQ99" i="366"/>
  <c r="AL99" i="366"/>
  <c r="AG99" i="366"/>
  <c r="AB99" i="366"/>
  <c r="W99" i="366"/>
  <c r="R99" i="366"/>
  <c r="M99" i="366"/>
  <c r="H99" i="366"/>
  <c r="C99" i="366"/>
  <c r="BP93" i="366"/>
  <c r="BK93" i="366"/>
  <c r="BF93" i="366"/>
  <c r="BA93" i="366"/>
  <c r="AV93" i="366"/>
  <c r="AQ93" i="366"/>
  <c r="AL93" i="366"/>
  <c r="AG93" i="366"/>
  <c r="AB93" i="366"/>
  <c r="W93" i="366"/>
  <c r="R93" i="366"/>
  <c r="M93" i="366"/>
  <c r="H93" i="366"/>
  <c r="C93" i="366"/>
  <c r="BP87" i="366"/>
  <c r="BK87" i="366"/>
  <c r="BF87" i="366"/>
  <c r="BA87" i="366"/>
  <c r="AV87" i="366"/>
  <c r="AQ87" i="366"/>
  <c r="AL87" i="366"/>
  <c r="AG87" i="366"/>
  <c r="AB87" i="366"/>
  <c r="W87" i="366"/>
  <c r="R87" i="366"/>
  <c r="M87" i="366"/>
  <c r="H87" i="366"/>
  <c r="C87" i="366"/>
  <c r="BP81" i="366"/>
  <c r="BK81" i="366"/>
  <c r="BF81" i="366"/>
  <c r="BA81" i="366"/>
  <c r="AV81" i="366"/>
  <c r="AQ81" i="366"/>
  <c r="AL81" i="366"/>
  <c r="AG81" i="366"/>
  <c r="AB81" i="366"/>
  <c r="W81" i="366"/>
  <c r="R81" i="366"/>
  <c r="M81" i="366"/>
  <c r="H81" i="366"/>
  <c r="C81" i="366"/>
  <c r="BP75" i="366"/>
  <c r="BK75" i="366"/>
  <c r="BF75" i="366"/>
  <c r="BA75" i="366"/>
  <c r="AV75" i="366"/>
  <c r="AQ75" i="366"/>
  <c r="AL75" i="366"/>
  <c r="AG75" i="366"/>
  <c r="AB75" i="366"/>
  <c r="W75" i="366"/>
  <c r="R75" i="366"/>
  <c r="M75" i="366"/>
  <c r="H75" i="366"/>
  <c r="C75" i="366"/>
  <c r="BP69" i="366"/>
  <c r="BK69" i="366"/>
  <c r="BF69" i="366"/>
  <c r="BA69" i="366"/>
  <c r="AV69" i="366"/>
  <c r="AQ69" i="366"/>
  <c r="AL69" i="366"/>
  <c r="AG69" i="366"/>
  <c r="AB69" i="366"/>
  <c r="W69" i="366"/>
  <c r="R69" i="366"/>
  <c r="M69" i="366"/>
  <c r="H69" i="366"/>
  <c r="C69" i="366"/>
  <c r="BP63" i="366"/>
  <c r="BK63" i="366"/>
  <c r="BF63" i="366"/>
  <c r="BA63" i="366"/>
  <c r="AV63" i="366"/>
  <c r="AQ63" i="366"/>
  <c r="AL63" i="366"/>
  <c r="AG63" i="366"/>
  <c r="AB63" i="366"/>
  <c r="W63" i="366"/>
  <c r="R63" i="366"/>
  <c r="M63" i="366"/>
  <c r="H63" i="366"/>
  <c r="C63" i="366"/>
  <c r="K27" i="363"/>
  <c r="AM138" i="366" a="1"/>
  <c r="AM162" i="366" a="1"/>
  <c r="AM144" i="366" a="1"/>
  <c r="AM141" i="366" a="1"/>
  <c r="AM156" i="366" a="1"/>
  <c r="AM150" i="366" a="1"/>
  <c r="AM153" i="366" a="1"/>
  <c r="AM159" i="366" a="1"/>
  <c r="AM147" i="366" a="1"/>
  <c r="AY50" i="367" l="1"/>
  <c r="AP162" i="366" s="1"/>
  <c r="AP159" i="366" s="1"/>
  <c r="AP156" i="366" s="1"/>
  <c r="AP153" i="366" s="1"/>
  <c r="AP150" i="366" s="1"/>
  <c r="AP147" i="366" s="1"/>
  <c r="AP144" i="366" s="1"/>
  <c r="AP141" i="366" s="1"/>
  <c r="AJ128" i="366"/>
  <c r="BS153" i="366"/>
  <c r="BF8" i="365"/>
  <c r="BA8" i="365"/>
  <c r="AV8" i="365"/>
  <c r="AQ8" i="365"/>
  <c r="AL8" i="365"/>
  <c r="AG8" i="365"/>
  <c r="AB8" i="365"/>
  <c r="W8" i="365"/>
  <c r="R8" i="365"/>
  <c r="M8" i="365"/>
  <c r="H8" i="365"/>
  <c r="C8" i="365"/>
  <c r="BF2" i="365"/>
  <c r="BA2" i="365"/>
  <c r="AV2" i="365"/>
  <c r="AQ2" i="365"/>
  <c r="AL2" i="365"/>
  <c r="AG2" i="365"/>
  <c r="AB2" i="365"/>
  <c r="W2" i="365"/>
  <c r="R2" i="365"/>
  <c r="M2" i="365"/>
  <c r="H2" i="365"/>
  <c r="C2" i="365"/>
  <c r="AO164" i="365"/>
  <c r="AR164" i="365"/>
  <c r="AR147" i="365"/>
  <c r="AR146" i="365"/>
  <c r="AR145" i="365"/>
  <c r="AR143" i="365"/>
  <c r="AR140" i="365"/>
  <c r="AR137" i="365"/>
  <c r="AV110" i="365"/>
  <c r="AK110" i="365" s="1"/>
  <c r="BM106" i="365"/>
  <c r="BM110" i="365" s="1"/>
  <c r="AU104" i="34"/>
  <c r="AN119" i="34" s="1"/>
  <c r="AC2" i="364"/>
  <c r="X2" i="364"/>
  <c r="S2" i="364"/>
  <c r="AQ73" i="364"/>
  <c r="AT55" i="364"/>
  <c r="AO32" i="364"/>
  <c r="AO34" i="364" s="1"/>
  <c r="AC32" i="364"/>
  <c r="AC37" i="364" s="1"/>
  <c r="D14" i="364"/>
  <c r="H110" i="365" a="1"/>
  <c r="H35" i="364" a="1"/>
  <c r="H113" i="365" a="1"/>
  <c r="AP138" i="366" l="1"/>
  <c r="AP165" i="366" s="1"/>
  <c r="BN153" i="366" s="1"/>
  <c r="BW155" i="366" s="1"/>
  <c r="AM165" i="366"/>
  <c r="AR148" i="365"/>
  <c r="AM130" i="365" s="1"/>
  <c r="AR130" i="365"/>
  <c r="AP130" i="365"/>
  <c r="AT73" i="364"/>
  <c r="AO48" i="364" s="1"/>
  <c r="AT48" i="364"/>
  <c r="AR48" i="364"/>
  <c r="BJ36" i="257"/>
  <c r="AS40" i="257"/>
  <c r="BF20" i="352"/>
  <c r="BA20" i="352"/>
  <c r="AV20" i="352"/>
  <c r="AV8" i="352"/>
  <c r="AQ8" i="352"/>
  <c r="AL8" i="352"/>
  <c r="AG8" i="352"/>
  <c r="AB8" i="352"/>
  <c r="W8" i="352"/>
  <c r="R8" i="352"/>
  <c r="M8" i="352"/>
  <c r="H8" i="352"/>
  <c r="AB20" i="342"/>
  <c r="W20" i="342"/>
  <c r="R20" i="342"/>
  <c r="M20" i="342"/>
  <c r="H20" i="342"/>
  <c r="C20" i="342"/>
  <c r="BP14" i="342"/>
  <c r="BK14" i="342"/>
  <c r="BF14" i="342"/>
  <c r="BA14" i="342"/>
  <c r="AV14" i="342"/>
  <c r="AQ14" i="342"/>
  <c r="AL14" i="342"/>
  <c r="AG14" i="342"/>
  <c r="AB14" i="342"/>
  <c r="W14" i="342"/>
  <c r="R14" i="342"/>
  <c r="M14" i="342"/>
  <c r="H14" i="342"/>
  <c r="C14" i="342"/>
  <c r="BP8" i="342"/>
  <c r="BK8" i="342"/>
  <c r="BF8" i="342"/>
  <c r="BA8" i="342"/>
  <c r="AT107" i="257"/>
  <c r="AT104" i="257"/>
  <c r="AT101" i="257"/>
  <c r="AG21" i="257"/>
  <c r="AB21" i="257"/>
  <c r="W21" i="257"/>
  <c r="R21" i="257"/>
  <c r="M21" i="257"/>
  <c r="H21" i="257"/>
  <c r="C21" i="257"/>
  <c r="BP15" i="257"/>
  <c r="BK15" i="257"/>
  <c r="BF15" i="257"/>
  <c r="BA15" i="257"/>
  <c r="AV15" i="257"/>
  <c r="AQ15" i="257"/>
  <c r="AL15" i="257"/>
  <c r="AG15" i="257"/>
  <c r="AB15" i="257"/>
  <c r="W15" i="257"/>
  <c r="K5" i="363"/>
  <c r="J61" i="363" s="1"/>
  <c r="AQ97" i="342" a="1"/>
  <c r="AQ100" i="342" a="1"/>
  <c r="J32" i="257" a="1"/>
  <c r="Y32" i="257" a="1"/>
  <c r="AW141" i="365" l="1"/>
  <c r="AW132" i="365"/>
  <c r="BW164" i="366"/>
  <c r="AY59" i="364"/>
  <c r="AY50" i="364"/>
  <c r="AT100" i="342" s="1"/>
  <c r="O48" i="363"/>
  <c r="F60" i="363" l="1"/>
  <c r="C60" i="363"/>
  <c r="K37" i="363"/>
  <c r="K36" i="363"/>
  <c r="K34" i="363"/>
  <c r="K33" i="363"/>
  <c r="K32" i="363"/>
  <c r="K31" i="363"/>
  <c r="K30" i="363"/>
  <c r="K29" i="363"/>
  <c r="K28" i="363"/>
  <c r="K26" i="363"/>
  <c r="K25" i="363"/>
  <c r="K24" i="363"/>
  <c r="K23" i="363"/>
  <c r="K22" i="363"/>
  <c r="K21" i="363"/>
  <c r="K20" i="363"/>
  <c r="K19" i="363"/>
  <c r="K18" i="363"/>
  <c r="K25" i="361"/>
  <c r="AO32" i="362"/>
  <c r="AO34" i="362" s="1"/>
  <c r="AC32" i="362"/>
  <c r="AT58" i="362"/>
  <c r="AM8" i="362"/>
  <c r="AH8" i="362"/>
  <c r="AC8" i="362"/>
  <c r="X8" i="362"/>
  <c r="S8" i="362"/>
  <c r="N8" i="362"/>
  <c r="I8" i="362"/>
  <c r="D8" i="362"/>
  <c r="AW2" i="362"/>
  <c r="AR2" i="362"/>
  <c r="AM2" i="362"/>
  <c r="AH2" i="362"/>
  <c r="AC2" i="362"/>
  <c r="X2" i="362"/>
  <c r="S2" i="362"/>
  <c r="N2" i="362"/>
  <c r="I2" i="362"/>
  <c r="D2" i="362"/>
  <c r="AQ70" i="362"/>
  <c r="AT55" i="362"/>
  <c r="D14" i="362"/>
  <c r="K19" i="361"/>
  <c r="R15" i="257"/>
  <c r="M15" i="257"/>
  <c r="H15" i="257"/>
  <c r="C15" i="257"/>
  <c r="BP9" i="257"/>
  <c r="BK9" i="257"/>
  <c r="BF9" i="257"/>
  <c r="BA9" i="257"/>
  <c r="AV9" i="257"/>
  <c r="AQ9" i="257"/>
  <c r="AL9" i="257"/>
  <c r="AG9" i="257"/>
  <c r="AB9" i="257"/>
  <c r="W9" i="257"/>
  <c r="BJ42" i="257"/>
  <c r="F43" i="361"/>
  <c r="C43" i="361"/>
  <c r="K10" i="361"/>
  <c r="K5" i="361"/>
  <c r="K8" i="361"/>
  <c r="K13" i="361"/>
  <c r="K9" i="361"/>
  <c r="K21" i="361"/>
  <c r="K20" i="361"/>
  <c r="K24" i="361"/>
  <c r="K23" i="361"/>
  <c r="K22" i="361"/>
  <c r="K14" i="361"/>
  <c r="K12" i="361"/>
  <c r="K11" i="361"/>
  <c r="AQ86" i="257" a="1"/>
  <c r="AQ98" i="257" a="1"/>
  <c r="I61" i="363" l="1"/>
  <c r="H48" i="363" s="1"/>
  <c r="F61" i="363"/>
  <c r="O44" i="363" s="1"/>
  <c r="C61" i="363"/>
  <c r="H44" i="363" s="1"/>
  <c r="C59" i="363"/>
  <c r="F59" i="363"/>
  <c r="C58" i="363"/>
  <c r="F58" i="363"/>
  <c r="AT70" i="362"/>
  <c r="AO48" i="362" s="1"/>
  <c r="AT48" i="362"/>
  <c r="AC37" i="362"/>
  <c r="AR48" i="362"/>
  <c r="AQ110" i="257" s="1"/>
  <c r="K7" i="361"/>
  <c r="K17" i="361"/>
  <c r="K16" i="361"/>
  <c r="K15" i="361"/>
  <c r="K6" i="361"/>
  <c r="K4" i="361"/>
  <c r="H69" i="361"/>
  <c r="G69" i="361"/>
  <c r="F69" i="361"/>
  <c r="AS35" i="342"/>
  <c r="G115" i="353" a="1"/>
  <c r="Q28" i="342" a="1"/>
  <c r="C44" i="361" l="1"/>
  <c r="J30" i="361" s="1"/>
  <c r="AY59" i="362"/>
  <c r="AY50" i="362"/>
  <c r="AT98" i="257"/>
  <c r="AT110" i="257" s="1"/>
  <c r="AO83" i="257" s="1"/>
  <c r="C42" i="361"/>
  <c r="F42" i="361"/>
  <c r="F44" i="361"/>
  <c r="O30" i="361" s="1"/>
  <c r="F41" i="361"/>
  <c r="C41" i="361"/>
  <c r="W38" i="353"/>
  <c r="R38" i="353"/>
  <c r="M38" i="353"/>
  <c r="H38" i="353"/>
  <c r="C38" i="353"/>
  <c r="BP32" i="353"/>
  <c r="BK32" i="353"/>
  <c r="BF32" i="353"/>
  <c r="BA32" i="353"/>
  <c r="AV32" i="353"/>
  <c r="AQ32" i="353"/>
  <c r="AL32" i="353"/>
  <c r="AG32" i="353"/>
  <c r="AB32" i="353"/>
  <c r="W32" i="353"/>
  <c r="R32" i="353"/>
  <c r="M32" i="353"/>
  <c r="H32" i="353"/>
  <c r="C32" i="353"/>
  <c r="BP26" i="353"/>
  <c r="BK26" i="353"/>
  <c r="BF26" i="353"/>
  <c r="BA26" i="353"/>
  <c r="AV26" i="353"/>
  <c r="AQ26" i="353"/>
  <c r="AL26" i="353"/>
  <c r="AG26" i="353"/>
  <c r="AB26" i="353"/>
  <c r="W26" i="353"/>
  <c r="R26" i="353"/>
  <c r="M26" i="353"/>
  <c r="H26" i="353"/>
  <c r="C26" i="353"/>
  <c r="BP20" i="353"/>
  <c r="BK20" i="353"/>
  <c r="BF20" i="353"/>
  <c r="BA20" i="353"/>
  <c r="AV20" i="353"/>
  <c r="AQ20" i="353"/>
  <c r="AL20" i="353"/>
  <c r="AG20" i="353"/>
  <c r="AB20" i="353"/>
  <c r="W20" i="353"/>
  <c r="R20" i="353"/>
  <c r="M20" i="353"/>
  <c r="H20" i="353"/>
  <c r="C20" i="353"/>
  <c r="BP14" i="353"/>
  <c r="BK14" i="353"/>
  <c r="BF14" i="353"/>
  <c r="BA14" i="353"/>
  <c r="AV14" i="353"/>
  <c r="AQ14" i="353"/>
  <c r="AL14" i="353"/>
  <c r="AG14" i="353"/>
  <c r="AB14" i="353"/>
  <c r="W14" i="353"/>
  <c r="R14" i="353"/>
  <c r="M14" i="353"/>
  <c r="H14" i="353"/>
  <c r="C14" i="353"/>
  <c r="BP8" i="353"/>
  <c r="BK8" i="353"/>
  <c r="BF8" i="353"/>
  <c r="BA8" i="353"/>
  <c r="AV8" i="353"/>
  <c r="AQ8" i="353"/>
  <c r="AL8" i="353"/>
  <c r="AG8" i="353"/>
  <c r="AB8" i="353"/>
  <c r="W8" i="353"/>
  <c r="R8" i="353"/>
  <c r="M8" i="353"/>
  <c r="H8" i="353"/>
  <c r="C8" i="353"/>
  <c r="BP2" i="353"/>
  <c r="BK2" i="353"/>
  <c r="BF2" i="353"/>
  <c r="BA2" i="353"/>
  <c r="AB2" i="353"/>
  <c r="W2" i="353"/>
  <c r="AV2" i="353"/>
  <c r="AQ2" i="353"/>
  <c r="AL2" i="353"/>
  <c r="AG2" i="353"/>
  <c r="R2" i="353"/>
  <c r="M2" i="353"/>
  <c r="H2" i="353"/>
  <c r="C2" i="353"/>
  <c r="AU116" i="353"/>
  <c r="AJ116" i="353" s="1"/>
  <c r="BL112" i="353"/>
  <c r="BL116" i="353" s="1"/>
  <c r="G112" i="353" a="1"/>
  <c r="AM126" i="353" a="1"/>
  <c r="AM129" i="353" a="1"/>
  <c r="AM132" i="353" a="1"/>
  <c r="AP132" i="353" s="1"/>
  <c r="AP129" i="353" s="1"/>
  <c r="AP126" i="353" s="1"/>
  <c r="BQ141" i="353"/>
  <c r="BJ35" i="352"/>
  <c r="AH35" i="352"/>
  <c r="AV14" i="352"/>
  <c r="AQ14" i="352"/>
  <c r="AL14" i="352"/>
  <c r="AG14" i="352"/>
  <c r="AB14" i="352"/>
  <c r="W14" i="352"/>
  <c r="R14" i="352"/>
  <c r="M14" i="352"/>
  <c r="H14" i="352"/>
  <c r="C14" i="352"/>
  <c r="BP8" i="352"/>
  <c r="BK8" i="352"/>
  <c r="BF8" i="352"/>
  <c r="C8" i="352"/>
  <c r="BP2" i="352"/>
  <c r="BK2" i="352"/>
  <c r="BF2" i="352"/>
  <c r="BA2" i="352"/>
  <c r="AV2" i="352"/>
  <c r="AQ2" i="352"/>
  <c r="AL2" i="352"/>
  <c r="AG2" i="352"/>
  <c r="AB2" i="352"/>
  <c r="W2" i="352"/>
  <c r="AR2" i="349"/>
  <c r="AM2" i="349"/>
  <c r="AH2" i="349"/>
  <c r="AC2" i="349"/>
  <c r="X2" i="349"/>
  <c r="S2" i="349"/>
  <c r="N2" i="349"/>
  <c r="AC32" i="350"/>
  <c r="AM8" i="350"/>
  <c r="AH8" i="350"/>
  <c r="AC8" i="350"/>
  <c r="X8" i="350"/>
  <c r="S8" i="350"/>
  <c r="N8" i="350"/>
  <c r="AR2" i="350"/>
  <c r="AM2" i="350"/>
  <c r="AH2" i="350"/>
  <c r="AC2" i="350"/>
  <c r="X2" i="350"/>
  <c r="S2" i="350"/>
  <c r="N2" i="350"/>
  <c r="AU138" i="353" l="1"/>
  <c r="BN141" i="353" s="1"/>
  <c r="BS141" i="353"/>
  <c r="AT103" i="352"/>
  <c r="AT100" i="352"/>
  <c r="AR90" i="352"/>
  <c r="AT90" i="352"/>
  <c r="I2" i="350"/>
  <c r="AQ70" i="350"/>
  <c r="AT55" i="350"/>
  <c r="AT70" i="350" s="1"/>
  <c r="AO48" i="350" s="1"/>
  <c r="AO32" i="350"/>
  <c r="AO34" i="350" s="1"/>
  <c r="D14" i="350"/>
  <c r="I2" i="349"/>
  <c r="AQ70" i="349"/>
  <c r="AT55" i="349"/>
  <c r="AT70" i="349" s="1"/>
  <c r="AO48" i="349" s="1"/>
  <c r="AO32" i="349"/>
  <c r="AO34" i="349" s="1"/>
  <c r="AC32" i="349"/>
  <c r="AC37" i="349" s="1"/>
  <c r="D14" i="349"/>
  <c r="AO164" i="335"/>
  <c r="AR161" i="335"/>
  <c r="AR159" i="335"/>
  <c r="AR156" i="335"/>
  <c r="AR153" i="335"/>
  <c r="AO148" i="335"/>
  <c r="AR147" i="335"/>
  <c r="AR146" i="335"/>
  <c r="AV8" i="342"/>
  <c r="AQ8" i="342"/>
  <c r="AL8" i="342"/>
  <c r="AG8" i="342"/>
  <c r="AB8" i="342"/>
  <c r="W8" i="342"/>
  <c r="R8" i="342"/>
  <c r="M8" i="342"/>
  <c r="H8" i="342"/>
  <c r="C8" i="342"/>
  <c r="BP2" i="342"/>
  <c r="BK2" i="342"/>
  <c r="BF2" i="342"/>
  <c r="BA2" i="342"/>
  <c r="AV2" i="342"/>
  <c r="AQ2" i="342"/>
  <c r="AL2" i="342"/>
  <c r="AG2" i="342"/>
  <c r="AB2" i="342"/>
  <c r="W2" i="342"/>
  <c r="R2" i="342"/>
  <c r="M2" i="342"/>
  <c r="H2" i="342"/>
  <c r="C2" i="342"/>
  <c r="AH35" i="342"/>
  <c r="BJ31" i="342"/>
  <c r="BJ35" i="342" s="1"/>
  <c r="AC2" i="333"/>
  <c r="Q27" i="342" a="1"/>
  <c r="AQ116" i="352" l="1"/>
  <c r="BW152" i="353"/>
  <c r="BW143" i="353"/>
  <c r="AT97" i="352"/>
  <c r="AT48" i="350"/>
  <c r="AY59" i="350" s="1"/>
  <c r="AC37" i="350"/>
  <c r="AR48" i="350"/>
  <c r="AY50" i="350" s="1"/>
  <c r="AT48" i="349"/>
  <c r="AY59" i="349" s="1"/>
  <c r="AR48" i="349"/>
  <c r="AY50" i="349" s="1"/>
  <c r="AR164" i="335"/>
  <c r="AT90" i="342"/>
  <c r="AR90" i="342"/>
  <c r="BM106" i="335"/>
  <c r="BM110" i="335" s="1"/>
  <c r="AV110" i="335"/>
  <c r="AK110" i="335" s="1"/>
  <c r="AG32" i="335"/>
  <c r="AB32" i="335"/>
  <c r="W32" i="335"/>
  <c r="R32" i="335"/>
  <c r="M32" i="335"/>
  <c r="H32" i="335"/>
  <c r="C32" i="335"/>
  <c r="BP26" i="335"/>
  <c r="BK26" i="335"/>
  <c r="BF26" i="335"/>
  <c r="BA26" i="335"/>
  <c r="AV26" i="335"/>
  <c r="AQ26" i="335"/>
  <c r="AL26" i="335"/>
  <c r="AG26" i="335"/>
  <c r="AB26" i="335"/>
  <c r="W26" i="335"/>
  <c r="R26" i="335"/>
  <c r="M26" i="335"/>
  <c r="H26" i="335"/>
  <c r="C26" i="335"/>
  <c r="W14" i="335"/>
  <c r="R14" i="335"/>
  <c r="M14" i="335"/>
  <c r="H14" i="335"/>
  <c r="C14" i="335"/>
  <c r="BP8" i="335"/>
  <c r="BK8" i="335"/>
  <c r="BF8" i="335"/>
  <c r="BA8" i="335"/>
  <c r="AV8" i="335"/>
  <c r="AQ8" i="335"/>
  <c r="AL8" i="335"/>
  <c r="AG8" i="335"/>
  <c r="AB8" i="335"/>
  <c r="W8" i="335"/>
  <c r="R8" i="335"/>
  <c r="M8" i="335"/>
  <c r="H8" i="335"/>
  <c r="C8" i="335"/>
  <c r="BP2" i="335"/>
  <c r="BK2" i="335"/>
  <c r="BF2" i="335"/>
  <c r="BA2" i="335"/>
  <c r="AV2" i="335"/>
  <c r="AQ2" i="335"/>
  <c r="AL2" i="335"/>
  <c r="AG2" i="335"/>
  <c r="AB2" i="335"/>
  <c r="W2" i="335"/>
  <c r="R2" i="335"/>
  <c r="M2" i="335"/>
  <c r="H2" i="335"/>
  <c r="C2" i="335"/>
  <c r="AR145" i="335"/>
  <c r="AR143" i="335"/>
  <c r="AR140" i="335"/>
  <c r="AR137" i="335"/>
  <c r="H113" i="335" a="1"/>
  <c r="H110" i="335" a="1"/>
  <c r="AT116" i="352" l="1"/>
  <c r="AO90" i="352" s="1"/>
  <c r="AY101" i="352" s="1"/>
  <c r="AR148" i="335"/>
  <c r="AM130" i="335" s="1"/>
  <c r="AQ106" i="342"/>
  <c r="AT97" i="342"/>
  <c r="AT106" i="342" s="1"/>
  <c r="AO90" i="342" s="1"/>
  <c r="AR130" i="335"/>
  <c r="AP130" i="335"/>
  <c r="AY92" i="352" l="1"/>
  <c r="AY92" i="342"/>
  <c r="AY101" i="342"/>
  <c r="AW132" i="335"/>
  <c r="AW141" i="335"/>
  <c r="AO32" i="333"/>
  <c r="AO34" i="333" s="1"/>
  <c r="AC32" i="333"/>
  <c r="AR48" i="333" s="1"/>
  <c r="AM2" i="333"/>
  <c r="AH2" i="333"/>
  <c r="AC12" i="333"/>
  <c r="X12" i="333"/>
  <c r="X2" i="333"/>
  <c r="AW2" i="333"/>
  <c r="AR2" i="333"/>
  <c r="AR2" i="332"/>
  <c r="AM2" i="332"/>
  <c r="D2" i="333"/>
  <c r="S2" i="333"/>
  <c r="N2" i="333"/>
  <c r="I2" i="333"/>
  <c r="AQ70" i="333"/>
  <c r="AT61" i="333"/>
  <c r="AT58" i="333"/>
  <c r="AT55" i="333"/>
  <c r="AO32" i="332"/>
  <c r="AO34" i="332" s="1"/>
  <c r="AC32" i="332"/>
  <c r="AC37" i="332" s="1"/>
  <c r="X2" i="332"/>
  <c r="S2" i="332"/>
  <c r="N2" i="332"/>
  <c r="I2" i="332"/>
  <c r="AQ70" i="332"/>
  <c r="AT61" i="332"/>
  <c r="AT58" i="332"/>
  <c r="AT55" i="332"/>
  <c r="D14" i="332"/>
  <c r="AT48" i="333" l="1"/>
  <c r="AT70" i="333"/>
  <c r="AO48" i="333" s="1"/>
  <c r="AC37" i="333"/>
  <c r="AT70" i="332"/>
  <c r="AO48" i="332" s="1"/>
  <c r="AT48" i="332"/>
  <c r="AR48" i="332"/>
  <c r="AQ76" i="250"/>
  <c r="AY59" i="332" l="1"/>
  <c r="AY59" i="333"/>
  <c r="AY50" i="332"/>
  <c r="AY50" i="333"/>
  <c r="BK9" i="327" l="1"/>
  <c r="BF9" i="327"/>
  <c r="BA9" i="327"/>
  <c r="AV9" i="327"/>
  <c r="AQ9" i="327"/>
  <c r="AL9" i="327"/>
  <c r="AG9" i="327"/>
  <c r="AB9" i="327"/>
  <c r="W9" i="327"/>
  <c r="R9" i="327"/>
  <c r="M9" i="327"/>
  <c r="H9" i="327"/>
  <c r="C9" i="327"/>
  <c r="BP3" i="327"/>
  <c r="BK3" i="327"/>
  <c r="BF3" i="327"/>
  <c r="BA3" i="327"/>
  <c r="AV3" i="327"/>
  <c r="AQ3" i="327"/>
  <c r="AL3" i="327"/>
  <c r="AG3" i="327"/>
  <c r="AB3" i="327"/>
  <c r="W3" i="327"/>
  <c r="R3" i="327"/>
  <c r="M3" i="327"/>
  <c r="H3" i="327"/>
  <c r="C3" i="327"/>
  <c r="AS40" i="327"/>
  <c r="AH40" i="327" s="1"/>
  <c r="BJ36" i="327"/>
  <c r="BJ42" i="327" s="1"/>
  <c r="M8" i="307"/>
  <c r="AQ86" i="327" a="1"/>
  <c r="J32" i="327" a="1"/>
  <c r="Y32" i="327" a="1"/>
  <c r="AR79" i="327"/>
  <c r="AT79" i="327"/>
  <c r="AT92" i="325"/>
  <c r="AT95" i="325"/>
  <c r="AT98" i="325"/>
  <c r="AT101" i="325"/>
  <c r="BA15" i="325"/>
  <c r="AV15" i="325"/>
  <c r="AQ15" i="325"/>
  <c r="AL15" i="325"/>
  <c r="AG15" i="325"/>
  <c r="AB15" i="325"/>
  <c r="W15" i="325"/>
  <c r="R15" i="325"/>
  <c r="M15" i="325"/>
  <c r="H15" i="325"/>
  <c r="C15" i="325"/>
  <c r="BP9" i="325"/>
  <c r="BK9" i="325"/>
  <c r="BF9" i="325"/>
  <c r="BA9" i="325"/>
  <c r="AV9" i="325"/>
  <c r="AQ9" i="325"/>
  <c r="AL9" i="325"/>
  <c r="AG9" i="325"/>
  <c r="AB9" i="325"/>
  <c r="W9" i="325"/>
  <c r="R9" i="325"/>
  <c r="M9" i="325"/>
  <c r="H9" i="325"/>
  <c r="AQ3" i="325"/>
  <c r="AL3" i="325"/>
  <c r="AG3" i="325"/>
  <c r="AB3" i="325"/>
  <c r="W3" i="325"/>
  <c r="R3" i="325"/>
  <c r="M3" i="325"/>
  <c r="H3" i="325"/>
  <c r="C9" i="325"/>
  <c r="BP3" i="325"/>
  <c r="BK3" i="325"/>
  <c r="BF3" i="325"/>
  <c r="BA3" i="325"/>
  <c r="AV3" i="325"/>
  <c r="C3" i="325"/>
  <c r="AS40" i="325"/>
  <c r="AH40" i="325" s="1"/>
  <c r="BJ36" i="325"/>
  <c r="BJ42" i="325" s="1"/>
  <c r="Y32" i="325" a="1"/>
  <c r="J32" i="325" a="1"/>
  <c r="AQ95" i="327" l="1"/>
  <c r="AT86" i="327"/>
  <c r="AT95" i="327" s="1"/>
  <c r="AO79" i="327" s="1"/>
  <c r="AY90" i="327" s="1"/>
  <c r="AT89" i="325"/>
  <c r="AQ107" i="325"/>
  <c r="AR79" i="325"/>
  <c r="AT79" i="325"/>
  <c r="N8" i="250"/>
  <c r="I8" i="250"/>
  <c r="AC8" i="250"/>
  <c r="X8" i="250"/>
  <c r="AY81" i="327" l="1"/>
  <c r="AT86" i="325"/>
  <c r="BA9" i="320"/>
  <c r="AV9" i="320"/>
  <c r="AQ9" i="320"/>
  <c r="AL9" i="320"/>
  <c r="AG9" i="320"/>
  <c r="AB9" i="320"/>
  <c r="W9" i="320"/>
  <c r="R9" i="320"/>
  <c r="M9" i="320"/>
  <c r="H9" i="320"/>
  <c r="C9" i="320"/>
  <c r="BP3" i="320"/>
  <c r="BK3" i="320"/>
  <c r="BF3" i="320"/>
  <c r="BA3" i="320"/>
  <c r="AV3" i="320"/>
  <c r="AQ3" i="320"/>
  <c r="AL3" i="320"/>
  <c r="AG3" i="320"/>
  <c r="AB3" i="320"/>
  <c r="W3" i="320"/>
  <c r="R3" i="320"/>
  <c r="M3" i="320"/>
  <c r="H3" i="320"/>
  <c r="C3" i="320"/>
  <c r="AS40" i="320"/>
  <c r="BJ36" i="320"/>
  <c r="BJ42" i="320" s="1"/>
  <c r="AC32" i="246"/>
  <c r="AV2" i="246"/>
  <c r="I2" i="246"/>
  <c r="AQ86" i="320" a="1"/>
  <c r="Y32" i="320" a="1"/>
  <c r="H32" i="246" a="1"/>
  <c r="J32" i="320" a="1"/>
  <c r="AT107" i="325" l="1"/>
  <c r="AO79" i="325" s="1"/>
  <c r="AY81" i="325" s="1"/>
  <c r="AT79" i="320"/>
  <c r="AH40" i="320"/>
  <c r="AR79" i="320"/>
  <c r="AY90" i="325" l="1"/>
  <c r="AQ95" i="320"/>
  <c r="AT86" i="320"/>
  <c r="AT95" i="320" s="1"/>
  <c r="AO79" i="320" s="1"/>
  <c r="AY90" i="320" s="1"/>
  <c r="BZ2" i="262"/>
  <c r="BP14" i="307"/>
  <c r="BK14" i="307"/>
  <c r="BF14" i="307"/>
  <c r="BA14" i="307"/>
  <c r="AV14" i="307"/>
  <c r="AQ14" i="307"/>
  <c r="AL14" i="307"/>
  <c r="AG14" i="307"/>
  <c r="AB14" i="307"/>
  <c r="W14" i="307"/>
  <c r="R14" i="307"/>
  <c r="M14" i="307"/>
  <c r="H14" i="307"/>
  <c r="C14" i="307"/>
  <c r="BP8" i="307"/>
  <c r="BK8" i="307"/>
  <c r="BF8" i="307"/>
  <c r="BA8" i="307"/>
  <c r="AV8" i="307"/>
  <c r="AQ8" i="307"/>
  <c r="AL8" i="307"/>
  <c r="AG8" i="307"/>
  <c r="AB8" i="307"/>
  <c r="W8" i="307"/>
  <c r="R8" i="307"/>
  <c r="H8" i="307"/>
  <c r="C8" i="307"/>
  <c r="BP2" i="307"/>
  <c r="BK2" i="307"/>
  <c r="BF2" i="307"/>
  <c r="BA2" i="307"/>
  <c r="AV2" i="307"/>
  <c r="AQ2" i="307"/>
  <c r="AL2" i="307"/>
  <c r="AG2" i="307"/>
  <c r="AB2" i="307"/>
  <c r="W2" i="307"/>
  <c r="R2" i="307"/>
  <c r="M2" i="307"/>
  <c r="H2" i="307"/>
  <c r="C2" i="307"/>
  <c r="AS39" i="307"/>
  <c r="AR78" i="307" s="1"/>
  <c r="BJ35" i="307"/>
  <c r="BJ41" i="307" s="1"/>
  <c r="AH9" i="302"/>
  <c r="S9" i="302"/>
  <c r="H35" i="307" a="1"/>
  <c r="H33" i="307" a="1"/>
  <c r="AQ85" i="307" a="1"/>
  <c r="AY81" i="320" l="1"/>
  <c r="AH39" i="307"/>
  <c r="AT78" i="307"/>
  <c r="AT85" i="307" l="1"/>
  <c r="AT94" i="307" s="1"/>
  <c r="AO78" i="307" s="1"/>
  <c r="AQ94" i="307"/>
  <c r="AY80" i="307" l="1"/>
  <c r="AY89" i="307"/>
  <c r="AO34" i="302"/>
  <c r="AO32" i="302"/>
  <c r="AC32" i="302"/>
  <c r="AC37" i="302" s="1"/>
  <c r="AM9" i="302"/>
  <c r="AC9" i="302"/>
  <c r="X9" i="302"/>
  <c r="AT2" i="302"/>
  <c r="AO2" i="302"/>
  <c r="AJ2" i="302"/>
  <c r="AE2" i="302"/>
  <c r="X2" i="302"/>
  <c r="S2" i="302"/>
  <c r="N2" i="302"/>
  <c r="I2" i="302"/>
  <c r="D2" i="302"/>
  <c r="AR48" i="302" l="1"/>
  <c r="AT48" i="302"/>
  <c r="AE61" i="302"/>
  <c r="AE58" i="302"/>
  <c r="AL62" i="302" s="1"/>
  <c r="J44" i="300"/>
  <c r="H44" i="300"/>
  <c r="F44" i="300"/>
  <c r="AE55" i="302" l="1"/>
  <c r="AB70" i="302"/>
  <c r="H15" i="298"/>
  <c r="C15" i="298"/>
  <c r="BP9" i="298"/>
  <c r="BK9" i="298"/>
  <c r="BF9" i="298"/>
  <c r="BA9" i="298"/>
  <c r="AV9" i="298"/>
  <c r="AQ9" i="298"/>
  <c r="AL9" i="298"/>
  <c r="AG9" i="298"/>
  <c r="AB9" i="298"/>
  <c r="W9" i="298"/>
  <c r="R9" i="298"/>
  <c r="M9" i="298"/>
  <c r="H9" i="298"/>
  <c r="C9" i="298"/>
  <c r="BP3" i="298"/>
  <c r="BK3" i="298"/>
  <c r="BF3" i="298"/>
  <c r="BA3" i="298"/>
  <c r="AV3" i="298"/>
  <c r="AQ3" i="298"/>
  <c r="AL3" i="298"/>
  <c r="AG3" i="298"/>
  <c r="AB3" i="298"/>
  <c r="W3" i="298"/>
  <c r="R3" i="298"/>
  <c r="M3" i="298"/>
  <c r="H3" i="298"/>
  <c r="C3" i="298"/>
  <c r="AS40" i="298"/>
  <c r="AH40" i="298" s="1"/>
  <c r="BJ36" i="298"/>
  <c r="BJ42" i="298" s="1"/>
  <c r="AH2" i="293"/>
  <c r="AC2" i="293"/>
  <c r="X2" i="293"/>
  <c r="S2" i="293"/>
  <c r="T59" i="293"/>
  <c r="AO32" i="293"/>
  <c r="AO34" i="293" s="1"/>
  <c r="AC32" i="293"/>
  <c r="AC37" i="293" s="1"/>
  <c r="D14" i="293"/>
  <c r="AQ55" i="293" a="1"/>
  <c r="AQ86" i="298" a="1"/>
  <c r="Y32" i="298" a="1"/>
  <c r="J32" i="298" a="1"/>
  <c r="AY50" i="302" l="1"/>
  <c r="AY59" i="302"/>
  <c r="AO48" i="302"/>
  <c r="AE70" i="302"/>
  <c r="AT79" i="298"/>
  <c r="AR79" i="298"/>
  <c r="AR48" i="293"/>
  <c r="AT48" i="293"/>
  <c r="AP153" i="290"/>
  <c r="AP150" i="290"/>
  <c r="AP147" i="290"/>
  <c r="AP144" i="290"/>
  <c r="AP141" i="290"/>
  <c r="AP138" i="290"/>
  <c r="AP135" i="290"/>
  <c r="AP132" i="290"/>
  <c r="AP129" i="290"/>
  <c r="AV44" i="290"/>
  <c r="AQ44" i="290"/>
  <c r="AL44" i="290"/>
  <c r="AG44" i="290"/>
  <c r="AB44" i="290"/>
  <c r="W44" i="290"/>
  <c r="R44" i="290"/>
  <c r="M44" i="290"/>
  <c r="H44" i="290"/>
  <c r="C44" i="290"/>
  <c r="BP38" i="290"/>
  <c r="BK38" i="290"/>
  <c r="BF38" i="290"/>
  <c r="BA38" i="290"/>
  <c r="AV38" i="290"/>
  <c r="AQ38" i="290"/>
  <c r="AL38" i="290"/>
  <c r="AG38" i="290"/>
  <c r="AB38" i="290"/>
  <c r="W38" i="290"/>
  <c r="R38" i="290"/>
  <c r="M38" i="290"/>
  <c r="H38" i="290"/>
  <c r="C38" i="290"/>
  <c r="BP32" i="290"/>
  <c r="BK32" i="290"/>
  <c r="BF32" i="290"/>
  <c r="BA32" i="290"/>
  <c r="AV32" i="290"/>
  <c r="AQ32" i="290"/>
  <c r="AL32" i="290"/>
  <c r="AG32" i="290"/>
  <c r="AB32" i="290"/>
  <c r="W32" i="290"/>
  <c r="R32" i="290"/>
  <c r="M32" i="290"/>
  <c r="H32" i="290"/>
  <c r="C32" i="290"/>
  <c r="BP26" i="290"/>
  <c r="BK26" i="290"/>
  <c r="BF26" i="290"/>
  <c r="BA26" i="290"/>
  <c r="AV26" i="290"/>
  <c r="AQ26" i="290"/>
  <c r="AL26" i="290"/>
  <c r="AG26" i="290"/>
  <c r="AB26" i="290"/>
  <c r="W26" i="290"/>
  <c r="R26" i="290"/>
  <c r="M26" i="290"/>
  <c r="H26" i="290"/>
  <c r="C26" i="290"/>
  <c r="BP20" i="290"/>
  <c r="BK20" i="290"/>
  <c r="BF20" i="290"/>
  <c r="BA20" i="290"/>
  <c r="AV20" i="290"/>
  <c r="AQ20" i="290"/>
  <c r="AL20" i="290"/>
  <c r="AG20" i="290"/>
  <c r="AB20" i="290"/>
  <c r="W20" i="290"/>
  <c r="R20" i="290"/>
  <c r="M20" i="290"/>
  <c r="H20" i="290"/>
  <c r="C20" i="290"/>
  <c r="BP14" i="290"/>
  <c r="BK14" i="290"/>
  <c r="BF14" i="290"/>
  <c r="BA14" i="290"/>
  <c r="AV14" i="290"/>
  <c r="AQ14" i="290"/>
  <c r="AL14" i="290"/>
  <c r="AG14" i="290"/>
  <c r="AB14" i="290"/>
  <c r="W14" i="290"/>
  <c r="R14" i="290"/>
  <c r="M14" i="290"/>
  <c r="H14" i="290"/>
  <c r="C14" i="290"/>
  <c r="BP8" i="290"/>
  <c r="BK8" i="290"/>
  <c r="BF8" i="290"/>
  <c r="BA8" i="290"/>
  <c r="AV8" i="290"/>
  <c r="AQ8" i="290"/>
  <c r="AL8" i="290"/>
  <c r="AG8" i="290"/>
  <c r="AB8" i="290"/>
  <c r="W8" i="290"/>
  <c r="R8" i="290"/>
  <c r="M8" i="290"/>
  <c r="H8" i="290"/>
  <c r="C8" i="290"/>
  <c r="BP2" i="290"/>
  <c r="BK2" i="290"/>
  <c r="BF2" i="290"/>
  <c r="BA2" i="290"/>
  <c r="AV2" i="290"/>
  <c r="AQ2" i="290"/>
  <c r="AL2" i="290"/>
  <c r="AG2" i="290"/>
  <c r="AB2" i="290"/>
  <c r="W2" i="290"/>
  <c r="R2" i="290"/>
  <c r="M2" i="290"/>
  <c r="H2" i="290"/>
  <c r="C2" i="290"/>
  <c r="AP126" i="290"/>
  <c r="AU116" i="290"/>
  <c r="BQ141" i="290" s="1"/>
  <c r="BL112" i="290"/>
  <c r="BL116" i="290" s="1"/>
  <c r="BL112" i="262"/>
  <c r="AL99" i="262"/>
  <c r="AG99" i="262"/>
  <c r="BL124" i="271"/>
  <c r="M32" i="278"/>
  <c r="H32" i="278"/>
  <c r="C32" i="278"/>
  <c r="BP26" i="278"/>
  <c r="BK26" i="278"/>
  <c r="BF26" i="278"/>
  <c r="BA26" i="278"/>
  <c r="AV26" i="278"/>
  <c r="AQ26" i="278"/>
  <c r="AL26" i="278"/>
  <c r="AG26" i="278"/>
  <c r="AB26" i="278"/>
  <c r="W26" i="278"/>
  <c r="R26" i="278"/>
  <c r="M26" i="278"/>
  <c r="H26" i="278"/>
  <c r="C26" i="278"/>
  <c r="BP20" i="278"/>
  <c r="BK20" i="278"/>
  <c r="BF20" i="278"/>
  <c r="BA20" i="278"/>
  <c r="AV20" i="278"/>
  <c r="AQ20" i="278"/>
  <c r="AL20" i="278"/>
  <c r="AG20" i="278"/>
  <c r="AB20" i="278"/>
  <c r="W20" i="278"/>
  <c r="R20" i="278"/>
  <c r="M20" i="278"/>
  <c r="H20" i="278"/>
  <c r="C20" i="278"/>
  <c r="BP14" i="278"/>
  <c r="BK14" i="278"/>
  <c r="BF14" i="278"/>
  <c r="BA14" i="278"/>
  <c r="AV14" i="278"/>
  <c r="AQ14" i="278"/>
  <c r="AL14" i="278"/>
  <c r="AG14" i="278"/>
  <c r="AB14" i="278"/>
  <c r="W14" i="278"/>
  <c r="R14" i="278"/>
  <c r="M14" i="278"/>
  <c r="H14" i="278"/>
  <c r="C14" i="278"/>
  <c r="BP8" i="278"/>
  <c r="BK8" i="278"/>
  <c r="BF8" i="278"/>
  <c r="BA8" i="278"/>
  <c r="AV8" i="278"/>
  <c r="AQ8" i="278"/>
  <c r="AL8" i="278"/>
  <c r="AG8" i="278"/>
  <c r="AB8" i="278"/>
  <c r="W8" i="278"/>
  <c r="R8" i="278"/>
  <c r="M8" i="278"/>
  <c r="H8" i="278"/>
  <c r="C8" i="278"/>
  <c r="BP2" i="278"/>
  <c r="BK2" i="278"/>
  <c r="BF2" i="278"/>
  <c r="BA2" i="278"/>
  <c r="AV2" i="278"/>
  <c r="AQ2" i="278"/>
  <c r="AL2" i="278"/>
  <c r="AG2" i="278"/>
  <c r="AB2" i="278"/>
  <c r="W2" i="278"/>
  <c r="R2" i="278"/>
  <c r="M2" i="278"/>
  <c r="H2" i="278"/>
  <c r="C2" i="278"/>
  <c r="BV141" i="278"/>
  <c r="AV110" i="278"/>
  <c r="AP130" i="278" s="1"/>
  <c r="BM106" i="278"/>
  <c r="BM110" i="278" s="1"/>
  <c r="H109" i="278" a="1"/>
  <c r="G112" i="290" a="1"/>
  <c r="H106" i="278" a="1"/>
  <c r="G115" i="290" a="1"/>
  <c r="AQ95" i="298" l="1"/>
  <c r="AT86" i="298"/>
  <c r="AT95" i="298" s="1"/>
  <c r="AO79" i="298" s="1"/>
  <c r="AY90" i="298" s="1"/>
  <c r="AQ70" i="293"/>
  <c r="AT55" i="293"/>
  <c r="AT70" i="293" s="1"/>
  <c r="AO48" i="293" s="1"/>
  <c r="AY59" i="293" s="1"/>
  <c r="AU138" i="290"/>
  <c r="BN141" i="290" s="1"/>
  <c r="BW143" i="290" s="1"/>
  <c r="AJ116" i="290"/>
  <c r="BS141" i="290"/>
  <c r="AR130" i="278"/>
  <c r="CD141" i="278" s="1"/>
  <c r="AK110" i="278"/>
  <c r="AR137" i="278"/>
  <c r="AR140" i="278"/>
  <c r="AR145" i="278"/>
  <c r="CB141" i="278"/>
  <c r="AC2" i="274"/>
  <c r="X2" i="274"/>
  <c r="T59" i="274"/>
  <c r="AO32" i="274"/>
  <c r="AO34" i="274" s="1"/>
  <c r="AC32" i="274"/>
  <c r="AC37" i="274" s="1"/>
  <c r="D14" i="274"/>
  <c r="H111" i="271"/>
  <c r="C111" i="271"/>
  <c r="BP105" i="271"/>
  <c r="BK105" i="271"/>
  <c r="BF105" i="271"/>
  <c r="BA105" i="271"/>
  <c r="AV105" i="271"/>
  <c r="AQ105" i="271"/>
  <c r="AL105" i="271"/>
  <c r="AG105" i="271"/>
  <c r="AB105" i="271"/>
  <c r="W105" i="271"/>
  <c r="R105" i="271"/>
  <c r="M105" i="271"/>
  <c r="H105" i="271"/>
  <c r="C105" i="271"/>
  <c r="BP99" i="271"/>
  <c r="BK99" i="271"/>
  <c r="BF99" i="271"/>
  <c r="BA99" i="271"/>
  <c r="AV99" i="271"/>
  <c r="AQ99" i="271"/>
  <c r="AL99" i="271"/>
  <c r="AG99" i="271"/>
  <c r="AB99" i="271"/>
  <c r="W99" i="271"/>
  <c r="R99" i="271"/>
  <c r="M99" i="271"/>
  <c r="H99" i="271"/>
  <c r="C99" i="271"/>
  <c r="BP93" i="271"/>
  <c r="BK93" i="271"/>
  <c r="BF93" i="271"/>
  <c r="BA93" i="271"/>
  <c r="AV93" i="271"/>
  <c r="AQ93" i="271"/>
  <c r="AL93" i="271"/>
  <c r="AG93" i="271"/>
  <c r="AB93" i="271"/>
  <c r="W93" i="271"/>
  <c r="R93" i="271"/>
  <c r="M93" i="271"/>
  <c r="H93" i="271"/>
  <c r="C93" i="271"/>
  <c r="BP87" i="271"/>
  <c r="BK87" i="271"/>
  <c r="BF87" i="271"/>
  <c r="BA87" i="271"/>
  <c r="AV87" i="271"/>
  <c r="AQ87" i="271"/>
  <c r="AL87" i="271"/>
  <c r="AG87" i="271"/>
  <c r="AB87" i="271"/>
  <c r="W87" i="271"/>
  <c r="R87" i="271"/>
  <c r="M87" i="271"/>
  <c r="H87" i="271"/>
  <c r="C87" i="271"/>
  <c r="BP81" i="271"/>
  <c r="BK81" i="271"/>
  <c r="BF81" i="271"/>
  <c r="BA81" i="271"/>
  <c r="AV81" i="271"/>
  <c r="AQ81" i="271"/>
  <c r="AL81" i="271"/>
  <c r="AG81" i="271"/>
  <c r="AB81" i="271"/>
  <c r="W81" i="271"/>
  <c r="R81" i="271"/>
  <c r="M81" i="271"/>
  <c r="H81" i="271"/>
  <c r="C81" i="271"/>
  <c r="BP75" i="271"/>
  <c r="BK75" i="271"/>
  <c r="BF75" i="271"/>
  <c r="BA75" i="271"/>
  <c r="AV75" i="271"/>
  <c r="AQ75" i="271"/>
  <c r="AL75" i="271"/>
  <c r="AG75" i="271"/>
  <c r="AB75" i="271"/>
  <c r="W75" i="271"/>
  <c r="R75" i="271"/>
  <c r="M75" i="271"/>
  <c r="H75" i="271"/>
  <c r="C75" i="271"/>
  <c r="BP69" i="271"/>
  <c r="BK69" i="271"/>
  <c r="BF69" i="271"/>
  <c r="BA69" i="271"/>
  <c r="AV69" i="271"/>
  <c r="AQ69" i="271"/>
  <c r="AL69" i="271"/>
  <c r="AG69" i="271"/>
  <c r="AB69" i="271"/>
  <c r="W69" i="271"/>
  <c r="R69" i="271"/>
  <c r="M69" i="271"/>
  <c r="H69" i="271"/>
  <c r="C69" i="271"/>
  <c r="BP63" i="271"/>
  <c r="BK63" i="271"/>
  <c r="BF63" i="271"/>
  <c r="BA63" i="271"/>
  <c r="AV63" i="271"/>
  <c r="AQ63" i="271"/>
  <c r="AL63" i="271"/>
  <c r="AG63" i="271"/>
  <c r="AB63" i="271"/>
  <c r="W63" i="271"/>
  <c r="R63" i="271"/>
  <c r="M63" i="271"/>
  <c r="H63" i="271"/>
  <c r="C63" i="271"/>
  <c r="AV44" i="271"/>
  <c r="AQ44" i="271"/>
  <c r="AL44" i="271"/>
  <c r="AG44" i="271"/>
  <c r="AB44" i="271"/>
  <c r="W44" i="271"/>
  <c r="R44" i="271"/>
  <c r="M44" i="271"/>
  <c r="H44" i="271"/>
  <c r="C44" i="271"/>
  <c r="BP38" i="271"/>
  <c r="BK38" i="271"/>
  <c r="BF38" i="271"/>
  <c r="BA38" i="271"/>
  <c r="AV38" i="271"/>
  <c r="AQ38" i="271"/>
  <c r="AL38" i="271"/>
  <c r="AG38" i="271"/>
  <c r="AB38" i="271"/>
  <c r="W38" i="271"/>
  <c r="R38" i="271"/>
  <c r="M38" i="271"/>
  <c r="H38" i="271"/>
  <c r="C38" i="271"/>
  <c r="BP32" i="271"/>
  <c r="BK32" i="271"/>
  <c r="BF32" i="271"/>
  <c r="BA32" i="271"/>
  <c r="AV32" i="271"/>
  <c r="AQ32" i="271"/>
  <c r="AL32" i="271"/>
  <c r="AG32" i="271"/>
  <c r="AB32" i="271"/>
  <c r="W32" i="271"/>
  <c r="R32" i="271"/>
  <c r="M32" i="271"/>
  <c r="H32" i="271"/>
  <c r="C32" i="271"/>
  <c r="BP26" i="271"/>
  <c r="BK26" i="271"/>
  <c r="BF26" i="271"/>
  <c r="BA26" i="271"/>
  <c r="AV26" i="271"/>
  <c r="AQ26" i="271"/>
  <c r="AL26" i="271"/>
  <c r="AG26" i="271"/>
  <c r="AB26" i="271"/>
  <c r="W26" i="271"/>
  <c r="R26" i="271"/>
  <c r="M26" i="271"/>
  <c r="H26" i="271"/>
  <c r="C26" i="271"/>
  <c r="BP20" i="271"/>
  <c r="BK20" i="271"/>
  <c r="BF20" i="271"/>
  <c r="BA20" i="271"/>
  <c r="AV20" i="271"/>
  <c r="AQ20" i="271"/>
  <c r="AL20" i="271"/>
  <c r="AG20" i="271"/>
  <c r="AB20" i="271"/>
  <c r="W20" i="271"/>
  <c r="R20" i="271"/>
  <c r="M20" i="271"/>
  <c r="H20" i="271"/>
  <c r="C20" i="271"/>
  <c r="BP14" i="271"/>
  <c r="BK14" i="271"/>
  <c r="BF14" i="271"/>
  <c r="BA14" i="271"/>
  <c r="AV14" i="271"/>
  <c r="AQ14" i="271"/>
  <c r="AL14" i="271"/>
  <c r="AG14" i="271"/>
  <c r="AB14" i="271"/>
  <c r="W14" i="271"/>
  <c r="R14" i="271"/>
  <c r="M14" i="271"/>
  <c r="H14" i="271"/>
  <c r="C14" i="271"/>
  <c r="BP8" i="271"/>
  <c r="BK8" i="271"/>
  <c r="BF8" i="271"/>
  <c r="BA8" i="271"/>
  <c r="AV8" i="271"/>
  <c r="AQ8" i="271"/>
  <c r="AL8" i="271"/>
  <c r="AG8" i="271"/>
  <c r="AB8" i="271"/>
  <c r="W8" i="271"/>
  <c r="R8" i="271"/>
  <c r="M8" i="271"/>
  <c r="H8" i="271"/>
  <c r="C8" i="271"/>
  <c r="BP2" i="271"/>
  <c r="BK2" i="271"/>
  <c r="BF2" i="271"/>
  <c r="BA2" i="271"/>
  <c r="AV2" i="271"/>
  <c r="AQ2" i="271"/>
  <c r="AL2" i="271"/>
  <c r="AG2" i="271"/>
  <c r="AB2" i="271"/>
  <c r="W2" i="271"/>
  <c r="R2" i="271"/>
  <c r="M2" i="271"/>
  <c r="H2" i="271"/>
  <c r="C2" i="271"/>
  <c r="AU128" i="271"/>
  <c r="BQ153" i="271" s="1"/>
  <c r="BL128" i="271"/>
  <c r="T59" i="204"/>
  <c r="AC32" i="204"/>
  <c r="X9" i="204"/>
  <c r="AS40" i="259"/>
  <c r="AH40" i="259" s="1"/>
  <c r="BJ36" i="259"/>
  <c r="BJ42" i="259" s="1"/>
  <c r="AP147" i="262"/>
  <c r="AP144" i="262"/>
  <c r="BL116" i="262"/>
  <c r="BQ141" i="262"/>
  <c r="W99" i="262"/>
  <c r="AB99" i="262"/>
  <c r="R99" i="262"/>
  <c r="M99" i="262"/>
  <c r="H99" i="262"/>
  <c r="C99" i="262"/>
  <c r="BP93" i="262"/>
  <c r="BK93" i="262"/>
  <c r="BF93" i="262"/>
  <c r="BA93" i="262"/>
  <c r="AV93" i="262"/>
  <c r="AQ93" i="262"/>
  <c r="AL93" i="262"/>
  <c r="AG93" i="262"/>
  <c r="AB93" i="262"/>
  <c r="W93" i="262"/>
  <c r="R93" i="262"/>
  <c r="M93" i="262"/>
  <c r="H93" i="262"/>
  <c r="C93" i="262"/>
  <c r="BP87" i="262"/>
  <c r="BK87" i="262"/>
  <c r="BF87" i="262"/>
  <c r="BA87" i="262"/>
  <c r="AV87" i="262"/>
  <c r="AQ87" i="262"/>
  <c r="AL87" i="262"/>
  <c r="AG87" i="262"/>
  <c r="AB87" i="262"/>
  <c r="W87" i="262"/>
  <c r="R87" i="262"/>
  <c r="M87" i="262"/>
  <c r="H87" i="262"/>
  <c r="C87" i="262"/>
  <c r="BP81" i="262"/>
  <c r="BK81" i="262"/>
  <c r="BF81" i="262"/>
  <c r="BA81" i="262"/>
  <c r="AV81" i="262"/>
  <c r="AQ81" i="262"/>
  <c r="AL81" i="262"/>
  <c r="AG81" i="262"/>
  <c r="AB81" i="262"/>
  <c r="W81" i="262"/>
  <c r="R81" i="262"/>
  <c r="M81" i="262"/>
  <c r="H81" i="262"/>
  <c r="C81" i="262"/>
  <c r="BP75" i="262"/>
  <c r="BK75" i="262"/>
  <c r="BF75" i="262"/>
  <c r="BA75" i="262"/>
  <c r="AV75" i="262"/>
  <c r="AQ75" i="262"/>
  <c r="AL75" i="262"/>
  <c r="AG75" i="262"/>
  <c r="AB75" i="262"/>
  <c r="W75" i="262"/>
  <c r="R75" i="262"/>
  <c r="M75" i="262"/>
  <c r="H75" i="262"/>
  <c r="C75" i="262"/>
  <c r="BP69" i="262"/>
  <c r="BK69" i="262"/>
  <c r="BF69" i="262"/>
  <c r="BA69" i="262"/>
  <c r="AV69" i="262"/>
  <c r="AQ69" i="262"/>
  <c r="AL69" i="262"/>
  <c r="AG69" i="262"/>
  <c r="AB69" i="262"/>
  <c r="W69" i="262"/>
  <c r="R69" i="262"/>
  <c r="M69" i="262"/>
  <c r="H69" i="262"/>
  <c r="C69" i="262"/>
  <c r="BP63" i="262"/>
  <c r="BK63" i="262"/>
  <c r="BF63" i="262"/>
  <c r="BA63" i="262"/>
  <c r="AV63" i="262"/>
  <c r="AQ63" i="262"/>
  <c r="AL63" i="262"/>
  <c r="AG63" i="262"/>
  <c r="AB63" i="262"/>
  <c r="W63" i="262"/>
  <c r="R63" i="262"/>
  <c r="M63" i="262"/>
  <c r="H63" i="262"/>
  <c r="C63" i="262"/>
  <c r="BP44" i="262"/>
  <c r="BK44" i="262"/>
  <c r="BF44" i="262"/>
  <c r="BA44" i="262"/>
  <c r="AV44" i="262"/>
  <c r="AQ44" i="262"/>
  <c r="AL44" i="262"/>
  <c r="AG44" i="262"/>
  <c r="AB44" i="262"/>
  <c r="W44" i="262"/>
  <c r="R44" i="262"/>
  <c r="M44" i="262"/>
  <c r="H44" i="262"/>
  <c r="C44" i="262"/>
  <c r="BP38" i="262"/>
  <c r="BK38" i="262"/>
  <c r="BF38" i="262"/>
  <c r="BA38" i="262"/>
  <c r="AV38" i="262"/>
  <c r="AQ38" i="262"/>
  <c r="AL38" i="262"/>
  <c r="AG38" i="262"/>
  <c r="AB38" i="262"/>
  <c r="W38" i="262"/>
  <c r="R38" i="262"/>
  <c r="M38" i="262"/>
  <c r="H38" i="262"/>
  <c r="C38" i="262"/>
  <c r="BP32" i="262"/>
  <c r="BK32" i="262"/>
  <c r="BF32" i="262"/>
  <c r="BA32" i="262"/>
  <c r="AV32" i="262"/>
  <c r="AQ32" i="262"/>
  <c r="AL32" i="262"/>
  <c r="AG32" i="262"/>
  <c r="AB32" i="262"/>
  <c r="W32" i="262"/>
  <c r="R32" i="262"/>
  <c r="M32" i="262"/>
  <c r="H32" i="262"/>
  <c r="C32" i="262"/>
  <c r="BP26" i="262"/>
  <c r="BK26" i="262"/>
  <c r="BF26" i="262"/>
  <c r="BA26" i="262"/>
  <c r="AV26" i="262"/>
  <c r="AQ26" i="262"/>
  <c r="AL26" i="262"/>
  <c r="AG26" i="262"/>
  <c r="AB26" i="262"/>
  <c r="W26" i="262"/>
  <c r="R26" i="262"/>
  <c r="M26" i="262"/>
  <c r="H26" i="262"/>
  <c r="C26" i="262"/>
  <c r="BP20" i="262"/>
  <c r="BK20" i="262"/>
  <c r="BF20" i="262"/>
  <c r="BA20" i="262"/>
  <c r="AV20" i="262"/>
  <c r="AQ20" i="262"/>
  <c r="AL20" i="262"/>
  <c r="AG20" i="262"/>
  <c r="AB20" i="262"/>
  <c r="W20" i="262"/>
  <c r="R20" i="262"/>
  <c r="M20" i="262"/>
  <c r="H20" i="262"/>
  <c r="C20" i="262"/>
  <c r="BP14" i="262"/>
  <c r="BK14" i="262"/>
  <c r="BF14" i="262"/>
  <c r="BA14" i="262"/>
  <c r="AV14" i="262"/>
  <c r="AQ14" i="262"/>
  <c r="AL14" i="262"/>
  <c r="AG14" i="262"/>
  <c r="AB14" i="262"/>
  <c r="W14" i="262"/>
  <c r="R14" i="262"/>
  <c r="M14" i="262"/>
  <c r="H14" i="262"/>
  <c r="C14" i="262"/>
  <c r="BP8" i="262"/>
  <c r="BK8" i="262"/>
  <c r="BF8" i="262"/>
  <c r="BA8" i="262"/>
  <c r="AV8" i="262"/>
  <c r="AQ8" i="262"/>
  <c r="AL8" i="262"/>
  <c r="AG8" i="262"/>
  <c r="AB8" i="262"/>
  <c r="W8" i="262"/>
  <c r="R8" i="262"/>
  <c r="M8" i="262"/>
  <c r="H8" i="262"/>
  <c r="C8" i="262"/>
  <c r="BP2" i="262"/>
  <c r="BK2" i="262"/>
  <c r="BF2" i="262"/>
  <c r="BA2" i="262"/>
  <c r="AV2" i="262"/>
  <c r="AQ2" i="262"/>
  <c r="AL2" i="262"/>
  <c r="AG2" i="262"/>
  <c r="AB2" i="262"/>
  <c r="W2" i="262"/>
  <c r="R2" i="262"/>
  <c r="M2" i="262"/>
  <c r="H2" i="262"/>
  <c r="C2" i="262"/>
  <c r="AT79" i="261"/>
  <c r="AO38" i="261"/>
  <c r="AO40" i="261" s="1"/>
  <c r="AC38" i="261"/>
  <c r="AR54" i="261" s="1"/>
  <c r="AR14" i="261"/>
  <c r="AW8" i="261"/>
  <c r="AR8" i="261"/>
  <c r="AM8" i="261"/>
  <c r="AH8" i="261"/>
  <c r="AC8" i="261"/>
  <c r="X8" i="261"/>
  <c r="S8" i="261"/>
  <c r="N8" i="261"/>
  <c r="I8" i="261"/>
  <c r="D8" i="261"/>
  <c r="AW14" i="261"/>
  <c r="AW2" i="261"/>
  <c r="AR2" i="261"/>
  <c r="AM2" i="261"/>
  <c r="AH2" i="261"/>
  <c r="AC2" i="261"/>
  <c r="X2" i="261"/>
  <c r="S2" i="261"/>
  <c r="N2" i="261"/>
  <c r="I2" i="261"/>
  <c r="D2" i="261"/>
  <c r="AT76" i="261"/>
  <c r="AT73" i="261"/>
  <c r="AT70" i="261"/>
  <c r="AT67" i="261"/>
  <c r="AT64" i="261"/>
  <c r="AT61" i="261"/>
  <c r="D20" i="261"/>
  <c r="D8" i="250"/>
  <c r="AW2" i="250"/>
  <c r="AC8" i="248"/>
  <c r="X8" i="248"/>
  <c r="S8" i="248"/>
  <c r="AC2" i="248"/>
  <c r="BA15" i="259"/>
  <c r="AV15" i="259"/>
  <c r="AQ15" i="259"/>
  <c r="AL15" i="259"/>
  <c r="AG15" i="259"/>
  <c r="AB15" i="259"/>
  <c r="W15" i="259"/>
  <c r="R15" i="259"/>
  <c r="M15" i="259"/>
  <c r="H15" i="259"/>
  <c r="C15" i="259"/>
  <c r="BP9" i="259"/>
  <c r="BK9" i="259"/>
  <c r="BF9" i="259"/>
  <c r="BA9" i="259"/>
  <c r="AV9" i="259"/>
  <c r="AQ9" i="259"/>
  <c r="AL9" i="259"/>
  <c r="AG9" i="259"/>
  <c r="AB9" i="259"/>
  <c r="W9" i="259"/>
  <c r="R9" i="259"/>
  <c r="M9" i="259"/>
  <c r="H9" i="259"/>
  <c r="C9" i="259"/>
  <c r="BP3" i="259"/>
  <c r="BK3" i="259"/>
  <c r="BF3" i="259"/>
  <c r="BA3" i="259"/>
  <c r="AV3" i="259"/>
  <c r="AQ3" i="259"/>
  <c r="AL3" i="259"/>
  <c r="AG3" i="259"/>
  <c r="AB3" i="259"/>
  <c r="W3" i="259"/>
  <c r="R3" i="259"/>
  <c r="M3" i="259"/>
  <c r="H3" i="259"/>
  <c r="C3" i="259"/>
  <c r="H38" i="261" a="1"/>
  <c r="G127" i="271" a="1"/>
  <c r="Y32" i="259" a="1"/>
  <c r="AM138" i="271" a="1"/>
  <c r="AQ86" i="259" a="1"/>
  <c r="AQ55" i="274" a="1"/>
  <c r="H41" i="261" a="1"/>
  <c r="G124" i="271" a="1"/>
  <c r="J32" i="259" a="1"/>
  <c r="AY81" i="298" l="1"/>
  <c r="AY50" i="293"/>
  <c r="T58" i="293"/>
  <c r="BW152" i="290"/>
  <c r="AO146" i="278"/>
  <c r="AR143" i="278"/>
  <c r="AR146" i="278" s="1"/>
  <c r="AM130" i="278" s="1"/>
  <c r="AT48" i="274"/>
  <c r="AR48" i="274"/>
  <c r="AP138" i="271" s="1"/>
  <c r="AK162" i="271" s="1"/>
  <c r="BN153" i="271" s="1"/>
  <c r="AJ128" i="271"/>
  <c r="BS153" i="271"/>
  <c r="BS141" i="262"/>
  <c r="AP126" i="262"/>
  <c r="AJ116" i="262"/>
  <c r="AP129" i="262"/>
  <c r="AP132" i="262"/>
  <c r="AP135" i="262"/>
  <c r="AP138" i="262"/>
  <c r="AT82" i="261"/>
  <c r="AO54" i="261" s="1"/>
  <c r="AY56" i="261" s="1"/>
  <c r="AT54" i="261"/>
  <c r="AC43" i="261"/>
  <c r="AT79" i="259"/>
  <c r="AR79" i="259"/>
  <c r="R9" i="257"/>
  <c r="M9" i="257"/>
  <c r="H9" i="257"/>
  <c r="C9" i="257"/>
  <c r="BP3" i="257"/>
  <c r="BK3" i="257"/>
  <c r="BF3" i="257"/>
  <c r="BA3" i="257"/>
  <c r="AV3" i="257"/>
  <c r="AQ3" i="257"/>
  <c r="AL3" i="257"/>
  <c r="AG3" i="257"/>
  <c r="AB3" i="257"/>
  <c r="W3" i="257"/>
  <c r="R3" i="257"/>
  <c r="M3" i="257"/>
  <c r="H3" i="257"/>
  <c r="C3" i="257"/>
  <c r="AH40" i="257" l="1"/>
  <c r="AR79" i="257"/>
  <c r="AT79" i="257"/>
  <c r="BY141" i="278"/>
  <c r="AW141" i="278"/>
  <c r="AW132" i="278"/>
  <c r="AQ70" i="274"/>
  <c r="AT55" i="274"/>
  <c r="AT70" i="274" s="1"/>
  <c r="AO48" i="274" s="1"/>
  <c r="W60" i="274" s="1"/>
  <c r="BW155" i="271"/>
  <c r="BW164" i="271"/>
  <c r="AP141" i="262"/>
  <c r="AK150" i="262" s="1"/>
  <c r="BN141" i="262" s="1"/>
  <c r="AY65" i="261"/>
  <c r="AQ95" i="259"/>
  <c r="AT86" i="259"/>
  <c r="AT95" i="259" s="1"/>
  <c r="AO79" i="259" s="1"/>
  <c r="AY90" i="259" s="1"/>
  <c r="BJ36" i="252"/>
  <c r="BJ42" i="252" s="1"/>
  <c r="AS40" i="252"/>
  <c r="AH40" i="252" s="1"/>
  <c r="AV9" i="252"/>
  <c r="AQ9" i="252"/>
  <c r="AL9" i="252"/>
  <c r="AG9" i="252"/>
  <c r="AB9" i="252"/>
  <c r="W9" i="252"/>
  <c r="R9" i="252"/>
  <c r="M9" i="252"/>
  <c r="H9" i="252"/>
  <c r="C9" i="252"/>
  <c r="BP3" i="252"/>
  <c r="BK3" i="252"/>
  <c r="BF3" i="252"/>
  <c r="BA3" i="252"/>
  <c r="AV3" i="252"/>
  <c r="AQ3" i="252"/>
  <c r="AL3" i="252"/>
  <c r="AG3" i="252"/>
  <c r="AB3" i="252"/>
  <c r="W3" i="252"/>
  <c r="R3" i="252"/>
  <c r="M3" i="252"/>
  <c r="H3" i="252"/>
  <c r="C3" i="252"/>
  <c r="AM2" i="250"/>
  <c r="AH2" i="250"/>
  <c r="AC2" i="250"/>
  <c r="X2" i="250"/>
  <c r="S2" i="250"/>
  <c r="N2" i="250"/>
  <c r="I2" i="250"/>
  <c r="D2" i="250"/>
  <c r="AR2" i="250"/>
  <c r="S8" i="250"/>
  <c r="AT70" i="250"/>
  <c r="AT67" i="250"/>
  <c r="AT64" i="250"/>
  <c r="AT61" i="250"/>
  <c r="AT58" i="250"/>
  <c r="AT55" i="250"/>
  <c r="AO32" i="250"/>
  <c r="AO34" i="250" s="1"/>
  <c r="AC32" i="250"/>
  <c r="AC37" i="250" s="1"/>
  <c r="D14" i="250"/>
  <c r="J32" i="252" a="1"/>
  <c r="H35" i="250" a="1"/>
  <c r="Y32" i="252" a="1"/>
  <c r="H32" i="250" a="1"/>
  <c r="AQ86" i="252" a="1"/>
  <c r="CI152" i="278" l="1"/>
  <c r="CI143" i="278"/>
  <c r="AY50" i="274"/>
  <c r="AY59" i="274"/>
  <c r="T58" i="274"/>
  <c r="BW152" i="262"/>
  <c r="BW143" i="262"/>
  <c r="AY81" i="259"/>
  <c r="AQ95" i="257"/>
  <c r="AT86" i="257"/>
  <c r="AT95" i="257" s="1"/>
  <c r="AO79" i="257" s="1"/>
  <c r="AT79" i="252"/>
  <c r="AR79" i="252"/>
  <c r="AT76" i="250"/>
  <c r="AO48" i="250" s="1"/>
  <c r="AT48" i="250"/>
  <c r="AR48" i="250"/>
  <c r="AT70" i="248"/>
  <c r="AT67" i="248"/>
  <c r="AT64" i="248"/>
  <c r="AT61" i="248"/>
  <c r="AT58" i="248"/>
  <c r="AY90" i="257" l="1"/>
  <c r="AA95" i="257"/>
  <c r="AY81" i="257"/>
  <c r="AY50" i="250"/>
  <c r="AY59" i="250"/>
  <c r="AQ95" i="252"/>
  <c r="AT86" i="252"/>
  <c r="AT95" i="252" s="1"/>
  <c r="AO79" i="252" s="1"/>
  <c r="N8" i="248"/>
  <c r="I8" i="248"/>
  <c r="D8" i="248"/>
  <c r="AR2" i="248"/>
  <c r="AM2" i="248"/>
  <c r="AH2" i="248"/>
  <c r="X2" i="248"/>
  <c r="S2" i="248"/>
  <c r="N2" i="248"/>
  <c r="I2" i="248"/>
  <c r="D2" i="248"/>
  <c r="AO32" i="248"/>
  <c r="AO34" i="248" s="1"/>
  <c r="AC32" i="248"/>
  <c r="AR48" i="248" s="1"/>
  <c r="D14" i="248"/>
  <c r="H32" i="248" a="1"/>
  <c r="H35" i="248" a="1"/>
  <c r="AY81" i="252" l="1"/>
  <c r="AY90" i="252"/>
  <c r="AT48" i="248"/>
  <c r="AC37" i="248"/>
  <c r="AM2" i="246"/>
  <c r="AH2" i="246"/>
  <c r="AC2" i="246"/>
  <c r="X2" i="246"/>
  <c r="S2" i="246"/>
  <c r="N2" i="246"/>
  <c r="AT55" i="248" l="1"/>
  <c r="AO32" i="246"/>
  <c r="AO34" i="246" s="1"/>
  <c r="D14" i="246"/>
  <c r="AT73" i="248" l="1"/>
  <c r="AO48" i="248" s="1"/>
  <c r="AT67" i="246"/>
  <c r="AT58" i="246"/>
  <c r="AT61" i="246"/>
  <c r="AT64" i="246"/>
  <c r="AT48" i="246"/>
  <c r="AC37" i="246"/>
  <c r="AR48" i="246"/>
  <c r="H15" i="234"/>
  <c r="C15" i="234"/>
  <c r="BP9" i="234"/>
  <c r="BK9" i="234"/>
  <c r="BF9" i="234"/>
  <c r="BA9" i="234"/>
  <c r="AV9" i="234"/>
  <c r="AQ9" i="234"/>
  <c r="AL9" i="234"/>
  <c r="AG9" i="234"/>
  <c r="AB9" i="234"/>
  <c r="W9" i="234"/>
  <c r="R9" i="234"/>
  <c r="M9" i="234"/>
  <c r="H9" i="234"/>
  <c r="C9" i="234"/>
  <c r="BP3" i="234"/>
  <c r="BK3" i="234"/>
  <c r="BF3" i="234"/>
  <c r="BA3" i="234"/>
  <c r="AV3" i="234"/>
  <c r="AQ3" i="234"/>
  <c r="AL3" i="234"/>
  <c r="AG3" i="234"/>
  <c r="AB3" i="234"/>
  <c r="W3" i="234"/>
  <c r="R3" i="234"/>
  <c r="M3" i="234"/>
  <c r="H3" i="234"/>
  <c r="C3" i="234"/>
  <c r="AS40" i="234"/>
  <c r="AH40" i="234" s="1"/>
  <c r="BJ36" i="234"/>
  <c r="BJ42" i="234" s="1"/>
  <c r="BP9" i="231"/>
  <c r="BK9" i="231"/>
  <c r="BF9" i="231"/>
  <c r="BA9" i="231"/>
  <c r="BP3" i="231"/>
  <c r="BK3" i="231"/>
  <c r="BF3" i="231"/>
  <c r="BA3" i="231"/>
  <c r="AV3" i="231"/>
  <c r="AQ3" i="231"/>
  <c r="AL3" i="231"/>
  <c r="AG3" i="231"/>
  <c r="AB3" i="231"/>
  <c r="W3" i="231"/>
  <c r="R3" i="231"/>
  <c r="M3" i="231"/>
  <c r="H3" i="231"/>
  <c r="AV15" i="231"/>
  <c r="AQ15" i="231"/>
  <c r="AL15" i="231"/>
  <c r="AG15" i="231"/>
  <c r="AB15" i="231"/>
  <c r="W15" i="231"/>
  <c r="R15" i="231"/>
  <c r="M15" i="231"/>
  <c r="H15" i="231"/>
  <c r="C15" i="231"/>
  <c r="AV9" i="231"/>
  <c r="AQ9" i="231"/>
  <c r="AL9" i="231"/>
  <c r="AG9" i="231"/>
  <c r="AB9" i="231"/>
  <c r="W9" i="231"/>
  <c r="R9" i="231"/>
  <c r="M9" i="231"/>
  <c r="H9" i="231"/>
  <c r="C9" i="231"/>
  <c r="C3" i="231"/>
  <c r="AS40" i="231"/>
  <c r="AR79" i="231" s="1"/>
  <c r="BJ36" i="231"/>
  <c r="BJ42" i="231" s="1"/>
  <c r="AV32" i="210"/>
  <c r="AQ32" i="210"/>
  <c r="AL32" i="210"/>
  <c r="AG32" i="210"/>
  <c r="AB32" i="210"/>
  <c r="W32" i="210"/>
  <c r="R32" i="210"/>
  <c r="M32" i="210"/>
  <c r="H32" i="210"/>
  <c r="C32" i="210"/>
  <c r="BP26" i="210"/>
  <c r="BK26" i="210"/>
  <c r="BF26" i="210"/>
  <c r="BA26" i="210"/>
  <c r="AV26" i="210"/>
  <c r="AQ26" i="210"/>
  <c r="AL26" i="210"/>
  <c r="AG26" i="210"/>
  <c r="AB26" i="210"/>
  <c r="W26" i="210"/>
  <c r="R26" i="210"/>
  <c r="M26" i="210"/>
  <c r="H26" i="210"/>
  <c r="C26" i="210"/>
  <c r="BP20" i="210"/>
  <c r="BK20" i="210"/>
  <c r="BF20" i="210"/>
  <c r="BA20" i="210"/>
  <c r="AV20" i="210"/>
  <c r="AQ20" i="210"/>
  <c r="AL20" i="210"/>
  <c r="AG20" i="210"/>
  <c r="BM106" i="210"/>
  <c r="AV110" i="210"/>
  <c r="AB20" i="210"/>
  <c r="W20" i="210"/>
  <c r="R20" i="210"/>
  <c r="M20" i="210"/>
  <c r="H20" i="210"/>
  <c r="C20" i="210"/>
  <c r="BP14" i="210"/>
  <c r="BK14" i="210"/>
  <c r="BF14" i="210"/>
  <c r="BA14" i="210"/>
  <c r="AV14" i="210"/>
  <c r="AQ14" i="210"/>
  <c r="AL14" i="210"/>
  <c r="AG14" i="210"/>
  <c r="AB14" i="210"/>
  <c r="W14" i="210"/>
  <c r="R14" i="210"/>
  <c r="M14" i="210"/>
  <c r="H14" i="210"/>
  <c r="C14" i="210"/>
  <c r="BP8" i="210"/>
  <c r="BK8" i="210"/>
  <c r="BF8" i="210"/>
  <c r="BA8" i="210"/>
  <c r="AV8" i="210"/>
  <c r="AQ8" i="210"/>
  <c r="AL8" i="210"/>
  <c r="AG8" i="210"/>
  <c r="AB8" i="210"/>
  <c r="W8" i="210"/>
  <c r="R8" i="210"/>
  <c r="M8" i="210"/>
  <c r="H8" i="210"/>
  <c r="C8" i="210"/>
  <c r="BP2" i="210"/>
  <c r="BK2" i="210"/>
  <c r="BF2" i="210"/>
  <c r="BA2" i="210"/>
  <c r="AV2" i="210"/>
  <c r="AQ2" i="210"/>
  <c r="AL2" i="210"/>
  <c r="AG2" i="210"/>
  <c r="AB2" i="210"/>
  <c r="W2" i="210"/>
  <c r="R2" i="210"/>
  <c r="M2" i="210"/>
  <c r="H2" i="210"/>
  <c r="Y32" i="231" a="1"/>
  <c r="AQ86" i="234" a="1"/>
  <c r="AO137" i="210" a="1"/>
  <c r="AO145" i="210" a="1"/>
  <c r="J32" i="231" a="1"/>
  <c r="Y32" i="234" a="1"/>
  <c r="J32" i="234" a="1"/>
  <c r="H109" i="210" a="1"/>
  <c r="AQ89" i="234" a="1"/>
  <c r="AO140" i="210" a="1"/>
  <c r="AQ86" i="231" a="1"/>
  <c r="AO143" i="210" a="1"/>
  <c r="H106" i="210" a="1"/>
  <c r="AY50" i="248" l="1"/>
  <c r="AY59" i="248"/>
  <c r="AT55" i="246"/>
  <c r="AQ70" i="246"/>
  <c r="AT89" i="234" s="1"/>
  <c r="AR79" i="234"/>
  <c r="AT79" i="234"/>
  <c r="AT79" i="231"/>
  <c r="AH40" i="231"/>
  <c r="AR145" i="210" s="1"/>
  <c r="BV141" i="210"/>
  <c r="AP130" i="210"/>
  <c r="CB141" i="210" s="1"/>
  <c r="BM110" i="210"/>
  <c r="C2" i="210"/>
  <c r="AT70" i="246" l="1"/>
  <c r="AO48" i="246" s="1"/>
  <c r="AT86" i="234"/>
  <c r="AT95" i="234" s="1"/>
  <c r="AO79" i="234" s="1"/>
  <c r="AQ95" i="234"/>
  <c r="AQ95" i="231"/>
  <c r="AT86" i="231"/>
  <c r="AT95" i="231" s="1"/>
  <c r="AO79" i="231" s="1"/>
  <c r="AR143" i="210"/>
  <c r="AO146" i="210"/>
  <c r="AK110" i="210"/>
  <c r="AR130" i="210"/>
  <c r="CD141" i="210" s="1"/>
  <c r="AR137" i="210"/>
  <c r="W16" i="196"/>
  <c r="AH2" i="204"/>
  <c r="AC2" i="204"/>
  <c r="X2" i="204"/>
  <c r="S2" i="204"/>
  <c r="N2" i="204"/>
  <c r="AO32" i="204"/>
  <c r="AO34" i="204" s="1"/>
  <c r="D14" i="204"/>
  <c r="BJ31" i="194"/>
  <c r="BJ35" i="194" s="1"/>
  <c r="AS35" i="194"/>
  <c r="AR90" i="194" s="1"/>
  <c r="AB20" i="194"/>
  <c r="W20" i="194"/>
  <c r="R20" i="194"/>
  <c r="M20" i="194"/>
  <c r="H20" i="194"/>
  <c r="C20" i="194"/>
  <c r="BP14" i="194"/>
  <c r="BK14" i="194"/>
  <c r="BF14" i="194"/>
  <c r="BA14" i="194"/>
  <c r="AV14" i="194"/>
  <c r="AQ14" i="194"/>
  <c r="AL14" i="194"/>
  <c r="AG14" i="194"/>
  <c r="AB14" i="194"/>
  <c r="W14" i="194"/>
  <c r="R14" i="194"/>
  <c r="M14" i="194"/>
  <c r="H14" i="194"/>
  <c r="C14" i="194"/>
  <c r="BP8" i="194"/>
  <c r="BK8" i="194"/>
  <c r="BF8" i="194"/>
  <c r="BA8" i="194"/>
  <c r="AV8" i="194"/>
  <c r="AQ8" i="194"/>
  <c r="AL8" i="194"/>
  <c r="AG8" i="194"/>
  <c r="C2" i="196"/>
  <c r="H2" i="196"/>
  <c r="M2" i="196"/>
  <c r="R2" i="196"/>
  <c r="W2" i="196"/>
  <c r="AB2" i="196"/>
  <c r="AG2" i="196"/>
  <c r="AL2" i="196"/>
  <c r="AQ2" i="196"/>
  <c r="AV2" i="196"/>
  <c r="BA2" i="196"/>
  <c r="BF2" i="196"/>
  <c r="BK2" i="196"/>
  <c r="BP2" i="196"/>
  <c r="C9" i="196"/>
  <c r="H9" i="196"/>
  <c r="M9" i="196"/>
  <c r="R9" i="196"/>
  <c r="W9" i="196"/>
  <c r="AB9" i="196"/>
  <c r="AG9" i="196"/>
  <c r="AL9" i="196"/>
  <c r="AQ9" i="196"/>
  <c r="AV9" i="196"/>
  <c r="BA9" i="196"/>
  <c r="BF9" i="196"/>
  <c r="BK9" i="196"/>
  <c r="BP9" i="196"/>
  <c r="C16" i="196"/>
  <c r="H16" i="196"/>
  <c r="M16" i="196"/>
  <c r="R16" i="196"/>
  <c r="AB16" i="196"/>
  <c r="AG16" i="196"/>
  <c r="AL16" i="196"/>
  <c r="AQ16" i="196"/>
  <c r="AV16" i="196"/>
  <c r="BA16" i="196"/>
  <c r="BF16" i="196"/>
  <c r="BK16" i="196"/>
  <c r="BP16" i="196"/>
  <c r="C23" i="196"/>
  <c r="H23" i="196"/>
  <c r="M23" i="196"/>
  <c r="R23" i="196"/>
  <c r="W23" i="196"/>
  <c r="AB23" i="196"/>
  <c r="AG23" i="196"/>
  <c r="AL23" i="196"/>
  <c r="AQ23" i="196"/>
  <c r="AV23" i="196"/>
  <c r="BA23" i="196"/>
  <c r="BF23" i="196"/>
  <c r="BK23" i="196"/>
  <c r="BP23" i="196"/>
  <c r="C30" i="196"/>
  <c r="H30" i="196"/>
  <c r="M30" i="196"/>
  <c r="R30" i="196"/>
  <c r="W30" i="196"/>
  <c r="AB30" i="196"/>
  <c r="AG30" i="196"/>
  <c r="AL30" i="196"/>
  <c r="AQ30" i="196"/>
  <c r="AV30" i="196"/>
  <c r="BA30" i="196"/>
  <c r="BF30" i="196"/>
  <c r="BK30" i="196"/>
  <c r="BP30" i="196"/>
  <c r="C37" i="196"/>
  <c r="H37" i="196"/>
  <c r="M37" i="196"/>
  <c r="R37" i="196"/>
  <c r="W37" i="196"/>
  <c r="AB37" i="196"/>
  <c r="AG37" i="196"/>
  <c r="AL37" i="196"/>
  <c r="AQ37" i="196"/>
  <c r="AV37" i="196"/>
  <c r="BA37" i="196"/>
  <c r="BF37" i="196"/>
  <c r="BK37" i="196"/>
  <c r="BP37" i="196"/>
  <c r="C44" i="196"/>
  <c r="H44" i="196"/>
  <c r="M44" i="196"/>
  <c r="R44" i="196"/>
  <c r="W44" i="196"/>
  <c r="AB44" i="196"/>
  <c r="AG44" i="196"/>
  <c r="AL44" i="196"/>
  <c r="AQ44" i="196"/>
  <c r="AV44" i="196"/>
  <c r="BA44" i="196"/>
  <c r="BF44" i="196"/>
  <c r="BK44" i="196"/>
  <c r="BP44" i="196"/>
  <c r="C51" i="196"/>
  <c r="H51" i="196"/>
  <c r="M51" i="196"/>
  <c r="R51" i="196"/>
  <c r="W51" i="196"/>
  <c r="AB51" i="196"/>
  <c r="BI72" i="196"/>
  <c r="BI77" i="196" s="1"/>
  <c r="AR77" i="196"/>
  <c r="AT110" i="196" s="1"/>
  <c r="C2" i="194"/>
  <c r="H2" i="194"/>
  <c r="M2" i="194"/>
  <c r="R2" i="194"/>
  <c r="W2" i="194"/>
  <c r="AB2" i="194"/>
  <c r="AG2" i="194"/>
  <c r="AL2" i="194"/>
  <c r="AQ2" i="194"/>
  <c r="AV2" i="194"/>
  <c r="BA2" i="194"/>
  <c r="BF2" i="194"/>
  <c r="BK2" i="194"/>
  <c r="BP2" i="194"/>
  <c r="C8" i="194"/>
  <c r="H8" i="194"/>
  <c r="M8" i="194"/>
  <c r="R8" i="194"/>
  <c r="W8" i="194"/>
  <c r="AB8" i="194"/>
  <c r="H76" i="196" a="1"/>
  <c r="B101" i="196" a="1"/>
  <c r="AS117" i="196" a="1"/>
  <c r="AQ97" i="194" a="1"/>
  <c r="H90" i="196" a="1"/>
  <c r="Q28" i="194" a="1"/>
  <c r="AQ55" i="204" a="1"/>
  <c r="Q27" i="194" a="1"/>
  <c r="H72" i="196" a="1"/>
  <c r="AY50" i="246" l="1"/>
  <c r="AY59" i="246"/>
  <c r="AY81" i="234"/>
  <c r="AY90" i="234"/>
  <c r="AY81" i="231"/>
  <c r="AY90" i="231"/>
  <c r="AR140" i="210"/>
  <c r="AT48" i="204"/>
  <c r="AC37" i="204"/>
  <c r="AR48" i="204"/>
  <c r="AH35" i="194"/>
  <c r="AT90" i="194"/>
  <c r="AG77" i="196"/>
  <c r="AV110" i="196"/>
  <c r="AV117" i="196" s="1"/>
  <c r="AV126" i="196" s="1"/>
  <c r="AQ110" i="196" s="1"/>
  <c r="BA112" i="196" s="1"/>
  <c r="AR146" i="210" l="1"/>
  <c r="AM130" i="210" s="1"/>
  <c r="AW132" i="210" s="1"/>
  <c r="AQ70" i="204"/>
  <c r="AT55" i="204"/>
  <c r="AT70" i="204" s="1"/>
  <c r="AO48" i="204" s="1"/>
  <c r="AS126" i="196"/>
  <c r="BA121" i="196"/>
  <c r="AT97" i="194"/>
  <c r="BL100" i="34"/>
  <c r="T58" i="204" l="1"/>
  <c r="AY59" i="204"/>
  <c r="AY50" i="204"/>
  <c r="AW141" i="210"/>
  <c r="AT106" i="194"/>
  <c r="AQ106" i="194"/>
  <c r="AO90" i="194" l="1"/>
  <c r="AY92" i="194" s="1"/>
  <c r="AY101" i="194" l="1"/>
  <c r="BP81" i="34"/>
  <c r="R32" i="8"/>
  <c r="H35" i="150" a="1"/>
  <c r="AS39" i="155" l="1"/>
  <c r="C26" i="155"/>
  <c r="BP20" i="155"/>
  <c r="BK20" i="155"/>
  <c r="BF20" i="155"/>
  <c r="BA20" i="155"/>
  <c r="AV20" i="155"/>
  <c r="AQ20" i="155"/>
  <c r="AL20" i="155"/>
  <c r="AG20" i="155"/>
  <c r="AB20" i="155"/>
  <c r="W20" i="155"/>
  <c r="R20" i="155"/>
  <c r="M20" i="155"/>
  <c r="H20" i="155"/>
  <c r="C20" i="155"/>
  <c r="BP14" i="155"/>
  <c r="BK14" i="155"/>
  <c r="BF14" i="155"/>
  <c r="BA14" i="155"/>
  <c r="AV14" i="155"/>
  <c r="AQ14" i="155"/>
  <c r="AL14" i="155"/>
  <c r="AG14" i="155"/>
  <c r="AB14" i="155"/>
  <c r="W14" i="155"/>
  <c r="R14" i="155"/>
  <c r="M14" i="155"/>
  <c r="H14" i="155"/>
  <c r="C14" i="155"/>
  <c r="BP8" i="155"/>
  <c r="BK8" i="155"/>
  <c r="BF8" i="155"/>
  <c r="BA8" i="155"/>
  <c r="AV8" i="155"/>
  <c r="AQ8" i="155"/>
  <c r="AL8" i="155"/>
  <c r="AG8" i="155"/>
  <c r="AB8" i="155"/>
  <c r="W8" i="155"/>
  <c r="R8" i="155"/>
  <c r="M8" i="155"/>
  <c r="H8" i="155"/>
  <c r="C8" i="155"/>
  <c r="BP2" i="155"/>
  <c r="BK2" i="155"/>
  <c r="BF2" i="155"/>
  <c r="BA2" i="155"/>
  <c r="AV2" i="155"/>
  <c r="AQ2" i="155"/>
  <c r="AL2" i="155"/>
  <c r="AG2" i="155"/>
  <c r="AB2" i="155"/>
  <c r="W2" i="155"/>
  <c r="R2" i="155"/>
  <c r="M2" i="155"/>
  <c r="H2" i="155"/>
  <c r="C2" i="155"/>
  <c r="L10" i="120" l="1"/>
  <c r="L9" i="120"/>
  <c r="L8" i="120"/>
  <c r="L7" i="120"/>
  <c r="L6" i="120"/>
  <c r="L5" i="120"/>
  <c r="K11" i="120"/>
  <c r="K10" i="120"/>
  <c r="K9" i="120"/>
  <c r="K7" i="120"/>
  <c r="K6" i="120"/>
  <c r="K5" i="120"/>
  <c r="J5" i="120"/>
  <c r="AH2" i="172"/>
  <c r="AC2" i="172"/>
  <c r="X2" i="172"/>
  <c r="S2" i="172"/>
  <c r="D14" i="172"/>
  <c r="AC32" i="172"/>
  <c r="AC37" i="172" s="1"/>
  <c r="AO32" i="172"/>
  <c r="AO34" i="172" s="1"/>
  <c r="J10" i="120"/>
  <c r="J9" i="120"/>
  <c r="J7" i="120"/>
  <c r="J6" i="120"/>
  <c r="I11" i="120"/>
  <c r="I10" i="120"/>
  <c r="I9" i="120"/>
  <c r="I7" i="120"/>
  <c r="I6" i="120"/>
  <c r="I5" i="120"/>
  <c r="H10" i="120"/>
  <c r="H9" i="120"/>
  <c r="H7" i="120"/>
  <c r="H6" i="120"/>
  <c r="H5" i="120"/>
  <c r="G11" i="120"/>
  <c r="G10" i="120"/>
  <c r="G9" i="120"/>
  <c r="G7" i="120"/>
  <c r="G6" i="120"/>
  <c r="G5" i="120"/>
  <c r="F11" i="120"/>
  <c r="F10" i="120"/>
  <c r="F9" i="120"/>
  <c r="F7" i="120"/>
  <c r="F6" i="120"/>
  <c r="F5" i="120"/>
  <c r="E11" i="120"/>
  <c r="E10" i="120"/>
  <c r="E9" i="120"/>
  <c r="E7" i="120"/>
  <c r="E6" i="120"/>
  <c r="E5" i="120"/>
  <c r="AQ58" i="172" a="1"/>
  <c r="H32" i="172" a="1"/>
  <c r="H34" i="172" a="1"/>
  <c r="AQ55" i="172" a="1"/>
  <c r="AT48" i="172" l="1"/>
  <c r="AR48" i="172"/>
  <c r="L11" i="120"/>
  <c r="AT58" i="172" s="1"/>
  <c r="J11" i="120"/>
  <c r="H11" i="120"/>
  <c r="D11" i="120"/>
  <c r="D10" i="120"/>
  <c r="D9" i="120"/>
  <c r="D7" i="120"/>
  <c r="D6" i="120"/>
  <c r="D5" i="120"/>
  <c r="BJ35" i="155"/>
  <c r="BJ41" i="155" s="1"/>
  <c r="AH39" i="155"/>
  <c r="AQ85" i="155" a="1"/>
  <c r="AQ88" i="155" a="1"/>
  <c r="F42" i="155" a="1"/>
  <c r="AT55" i="172" l="1"/>
  <c r="AT70" i="172" s="1"/>
  <c r="AO48" i="172" s="1"/>
  <c r="AQ70" i="172"/>
  <c r="AT78" i="155"/>
  <c r="AT85" i="155" s="1"/>
  <c r="AT88" i="155" s="1"/>
  <c r="AR78" i="155"/>
  <c r="F43" i="155" a="1"/>
  <c r="AY50" i="172" l="1"/>
  <c r="AY59" i="172"/>
  <c r="AT94" i="155"/>
  <c r="AO78" i="155" s="1"/>
  <c r="AY80" i="155" s="1"/>
  <c r="AQ94" i="155"/>
  <c r="BF26" i="150"/>
  <c r="BA26" i="150"/>
  <c r="AV26" i="150"/>
  <c r="AQ26" i="150"/>
  <c r="AL26" i="150"/>
  <c r="AG26" i="150"/>
  <c r="AB26" i="150"/>
  <c r="W26" i="150"/>
  <c r="R26" i="150"/>
  <c r="M26" i="150"/>
  <c r="H26" i="150"/>
  <c r="C26" i="150"/>
  <c r="BP20" i="150"/>
  <c r="BK20" i="150"/>
  <c r="BF20" i="150"/>
  <c r="BA20" i="150"/>
  <c r="AV20" i="150"/>
  <c r="AQ20" i="150"/>
  <c r="AL20" i="150"/>
  <c r="AG20" i="150"/>
  <c r="AB20" i="150"/>
  <c r="W20" i="150"/>
  <c r="R20" i="150"/>
  <c r="M20" i="150"/>
  <c r="H20" i="150"/>
  <c r="C20" i="150"/>
  <c r="BP14" i="150"/>
  <c r="BK14" i="150"/>
  <c r="BF14" i="150"/>
  <c r="BA14" i="150"/>
  <c r="AV14" i="150"/>
  <c r="AQ14" i="150"/>
  <c r="AL14" i="150"/>
  <c r="AG14" i="150"/>
  <c r="AB14" i="150"/>
  <c r="W14" i="150"/>
  <c r="R14" i="150"/>
  <c r="M14" i="150"/>
  <c r="H14" i="150"/>
  <c r="C14" i="150"/>
  <c r="BP8" i="150"/>
  <c r="BK8" i="150"/>
  <c r="BF8" i="150"/>
  <c r="BA8" i="150"/>
  <c r="AV8" i="150"/>
  <c r="AQ8" i="150"/>
  <c r="AL8" i="150"/>
  <c r="AG8" i="150"/>
  <c r="AB8" i="150"/>
  <c r="W8" i="150"/>
  <c r="R8" i="150"/>
  <c r="M8" i="150"/>
  <c r="H8" i="150"/>
  <c r="C8" i="150"/>
  <c r="BP2" i="150"/>
  <c r="BK2" i="150"/>
  <c r="BF2" i="150"/>
  <c r="BA2" i="150"/>
  <c r="AV2" i="150"/>
  <c r="AQ2" i="150"/>
  <c r="AL2" i="150"/>
  <c r="AG2" i="150"/>
  <c r="AB2" i="150"/>
  <c r="W2" i="150"/>
  <c r="R2" i="150"/>
  <c r="M2" i="150"/>
  <c r="H2" i="150"/>
  <c r="C2" i="150"/>
  <c r="AS39" i="150"/>
  <c r="AR78" i="150" s="1"/>
  <c r="BJ35" i="150"/>
  <c r="BJ41" i="150" s="1"/>
  <c r="AM2" i="141"/>
  <c r="AH2" i="141"/>
  <c r="AC2" i="141"/>
  <c r="X2" i="141"/>
  <c r="S2" i="141"/>
  <c r="N2" i="141"/>
  <c r="D8" i="134"/>
  <c r="I8" i="134"/>
  <c r="N8" i="134"/>
  <c r="S8" i="134"/>
  <c r="X8" i="134"/>
  <c r="AC8" i="134"/>
  <c r="AH8" i="134"/>
  <c r="AM8" i="134"/>
  <c r="AW2" i="134"/>
  <c r="AR2" i="134"/>
  <c r="AM2" i="134"/>
  <c r="AH2" i="134"/>
  <c r="AC2" i="134"/>
  <c r="X2" i="134"/>
  <c r="S2" i="134"/>
  <c r="N2" i="134"/>
  <c r="I2" i="134"/>
  <c r="D2" i="134"/>
  <c r="D2" i="147"/>
  <c r="I2" i="147"/>
  <c r="N2" i="147"/>
  <c r="S2" i="147"/>
  <c r="X2" i="147"/>
  <c r="AC2" i="147"/>
  <c r="AH2" i="147"/>
  <c r="AM2" i="147"/>
  <c r="AR2" i="147"/>
  <c r="AW2" i="147"/>
  <c r="D8" i="147"/>
  <c r="I8" i="147"/>
  <c r="N8" i="147"/>
  <c r="S8" i="147"/>
  <c r="X8" i="147"/>
  <c r="AC8" i="147"/>
  <c r="AH8" i="147"/>
  <c r="AM8" i="147"/>
  <c r="AR8" i="147"/>
  <c r="D14" i="147"/>
  <c r="AC32" i="147"/>
  <c r="AC37" i="147" s="1"/>
  <c r="AO32" i="147"/>
  <c r="AO34" i="147" s="1"/>
  <c r="AO32" i="141"/>
  <c r="AO34" i="141" s="1"/>
  <c r="AC32" i="141"/>
  <c r="AR48" i="141" s="1"/>
  <c r="D14" i="141"/>
  <c r="H32" i="141" a="1"/>
  <c r="AQ85" i="150" a="1"/>
  <c r="AQ58" i="147" a="1"/>
  <c r="H32" i="147" a="1"/>
  <c r="AQ61" i="147" a="1"/>
  <c r="H35" i="141" a="1"/>
  <c r="AQ67" i="147" a="1"/>
  <c r="AQ64" i="147" a="1"/>
  <c r="H35" i="147" a="1"/>
  <c r="AQ55" i="147" a="1"/>
  <c r="AQ55" i="141" a="1"/>
  <c r="H33" i="150" a="1"/>
  <c r="AY89" i="155" l="1"/>
  <c r="AT78" i="150"/>
  <c r="AT85" i="150" s="1"/>
  <c r="AT94" i="150" s="1"/>
  <c r="AR48" i="147"/>
  <c r="AT48" i="147"/>
  <c r="AT55" i="147" s="1"/>
  <c r="AT64" i="147" s="1"/>
  <c r="AT61" i="147" s="1"/>
  <c r="AT58" i="147" s="1"/>
  <c r="AT48" i="141"/>
  <c r="AC37" i="141"/>
  <c r="AQ94" i="150" l="1"/>
  <c r="AO78" i="150"/>
  <c r="AQ70" i="147"/>
  <c r="AT67" i="147"/>
  <c r="AT70" i="147" s="1"/>
  <c r="AO48" i="147" s="1"/>
  <c r="AY50" i="147" s="1"/>
  <c r="AQ70" i="141"/>
  <c r="AT55" i="141"/>
  <c r="AT70" i="141" s="1"/>
  <c r="AO48" i="141" s="1"/>
  <c r="AY59" i="141" l="1"/>
  <c r="AY50" i="141"/>
  <c r="AY89" i="150"/>
  <c r="AY80" i="150"/>
  <c r="AY59" i="147"/>
  <c r="AW8" i="130" l="1"/>
  <c r="AR8" i="130"/>
  <c r="AM8" i="130"/>
  <c r="AH8" i="130"/>
  <c r="AC8" i="130"/>
  <c r="X8" i="130"/>
  <c r="S8" i="130"/>
  <c r="N8" i="130"/>
  <c r="I8" i="130"/>
  <c r="D8" i="130"/>
  <c r="AW2" i="130"/>
  <c r="AR2" i="130"/>
  <c r="AM2" i="130"/>
  <c r="AH2" i="130"/>
  <c r="AC2" i="130"/>
  <c r="X2" i="130"/>
  <c r="S2" i="130"/>
  <c r="N2" i="130"/>
  <c r="I2" i="130"/>
  <c r="D2" i="130"/>
  <c r="AK192" i="100"/>
  <c r="I2" i="138"/>
  <c r="N2" i="138"/>
  <c r="S2" i="138"/>
  <c r="X2" i="138"/>
  <c r="AE19" i="138"/>
  <c r="U21" i="138"/>
  <c r="Q78" i="138" s="1"/>
  <c r="AF26" i="138"/>
  <c r="BL67" i="138"/>
  <c r="BA78" i="138"/>
  <c r="BC78" i="138"/>
  <c r="P85" i="138" a="1"/>
  <c r="H12" i="138" a="1"/>
  <c r="H14" i="138" a="1"/>
  <c r="S78" i="138"/>
  <c r="P88" i="138" a="1"/>
  <c r="AZ91" i="138" a="1"/>
  <c r="AZ85" i="138" a="1"/>
  <c r="AZ88" i="138" a="1"/>
  <c r="BC91" i="138" s="1"/>
  <c r="BC85" i="138" s="1"/>
  <c r="S85" i="138" l="1"/>
  <c r="P94" i="138"/>
  <c r="S88" i="138"/>
  <c r="AZ94" i="138"/>
  <c r="BC88" i="138"/>
  <c r="BC94" i="138" s="1"/>
  <c r="AX78" i="138" s="1"/>
  <c r="AO32" i="134"/>
  <c r="AO34" i="134" s="1"/>
  <c r="AC32" i="134"/>
  <c r="AC37" i="134" s="1"/>
  <c r="D14" i="134"/>
  <c r="BJ36" i="123"/>
  <c r="AO32" i="130"/>
  <c r="AO34" i="130" s="1"/>
  <c r="AC32" i="130"/>
  <c r="AR48" i="130" s="1"/>
  <c r="D14" i="130"/>
  <c r="H35" i="134" a="1"/>
  <c r="AQ55" i="130" a="1"/>
  <c r="H32" i="134" a="1"/>
  <c r="H32" i="130" a="1"/>
  <c r="H35" i="130" a="1"/>
  <c r="AQ55" i="134" a="1"/>
  <c r="S94" i="138" l="1"/>
  <c r="N78" i="138" s="1"/>
  <c r="BH80" i="138"/>
  <c r="BH89" i="138"/>
  <c r="AR48" i="134"/>
  <c r="AT48" i="134"/>
  <c r="AT48" i="130"/>
  <c r="AC37" i="130"/>
  <c r="X89" i="138" l="1"/>
  <c r="X80" i="138"/>
  <c r="AT55" i="134"/>
  <c r="AT70" i="134" s="1"/>
  <c r="AO48" i="134" s="1"/>
  <c r="AY59" i="134" s="1"/>
  <c r="AQ70" i="134"/>
  <c r="AQ70" i="130"/>
  <c r="AT55" i="130"/>
  <c r="AT70" i="130" s="1"/>
  <c r="AO48" i="130" s="1"/>
  <c r="AY50" i="134" l="1"/>
  <c r="AY59" i="130"/>
  <c r="AY50" i="130"/>
  <c r="W38" i="112" l="1"/>
  <c r="R38" i="112"/>
  <c r="M38" i="112"/>
  <c r="H38" i="112"/>
  <c r="C38" i="112"/>
  <c r="BP32" i="112"/>
  <c r="BK32" i="112"/>
  <c r="BF32" i="112"/>
  <c r="BA32" i="112"/>
  <c r="AV32" i="112"/>
  <c r="AQ32" i="112"/>
  <c r="AL32" i="112"/>
  <c r="AG32" i="112"/>
  <c r="AB32" i="112"/>
  <c r="W32" i="112"/>
  <c r="R32" i="112"/>
  <c r="M32" i="112"/>
  <c r="H32" i="112"/>
  <c r="C32" i="112"/>
  <c r="BP26" i="112"/>
  <c r="BK26" i="112"/>
  <c r="BF26" i="112"/>
  <c r="BA26" i="112"/>
  <c r="AV26" i="112"/>
  <c r="AQ26" i="112"/>
  <c r="AL26" i="112"/>
  <c r="AG26" i="112"/>
  <c r="AB26" i="112"/>
  <c r="R26" i="112"/>
  <c r="C3" i="123"/>
  <c r="H3" i="123"/>
  <c r="M3" i="123"/>
  <c r="R3" i="123"/>
  <c r="W3" i="123"/>
  <c r="AB3" i="123"/>
  <c r="AG3" i="123"/>
  <c r="AL3" i="123"/>
  <c r="AQ3" i="123"/>
  <c r="AV3" i="123"/>
  <c r="BA3" i="123"/>
  <c r="BF3" i="123"/>
  <c r="BK3" i="123"/>
  <c r="BP3" i="123"/>
  <c r="C9" i="123"/>
  <c r="H9" i="123"/>
  <c r="M9" i="123"/>
  <c r="R9" i="123"/>
  <c r="W9" i="123"/>
  <c r="AB9" i="123"/>
  <c r="AG9" i="123"/>
  <c r="AL9" i="123"/>
  <c r="AQ9" i="123"/>
  <c r="AV9" i="123"/>
  <c r="BA9" i="123"/>
  <c r="BF9" i="123"/>
  <c r="BK9" i="123"/>
  <c r="BP9" i="123"/>
  <c r="C15" i="123"/>
  <c r="H15" i="123"/>
  <c r="M15" i="123"/>
  <c r="R15" i="123"/>
  <c r="W15" i="123"/>
  <c r="AB15" i="123"/>
  <c r="AG15" i="123"/>
  <c r="AL15" i="123"/>
  <c r="AQ15" i="123"/>
  <c r="AV15" i="123"/>
  <c r="BJ42" i="123"/>
  <c r="AS40" i="123"/>
  <c r="F43" i="123" a="1"/>
  <c r="AR79" i="123"/>
  <c r="AT79" i="123"/>
  <c r="AQ86" i="123" a="1"/>
  <c r="F44" i="123" a="1"/>
  <c r="AT86" i="123" s="1"/>
  <c r="AT95" i="123" s="1"/>
  <c r="AO79" i="123" s="1"/>
  <c r="AY81" i="123" s="1"/>
  <c r="AY90" i="123" l="1"/>
  <c r="AQ95" i="123"/>
  <c r="R14" i="118"/>
  <c r="BP26" i="118"/>
  <c r="BK26" i="118"/>
  <c r="BF26" i="118"/>
  <c r="BA26" i="118"/>
  <c r="AV26" i="118"/>
  <c r="AQ26" i="118"/>
  <c r="AL26" i="118"/>
  <c r="AG26" i="118"/>
  <c r="AB26" i="118"/>
  <c r="W26" i="118"/>
  <c r="R26" i="118"/>
  <c r="M26" i="118"/>
  <c r="H26" i="118"/>
  <c r="C26" i="118"/>
  <c r="BP20" i="118"/>
  <c r="BK20" i="118"/>
  <c r="BF20" i="118"/>
  <c r="BA20" i="118"/>
  <c r="AV20" i="118"/>
  <c r="AQ20" i="118"/>
  <c r="AL20" i="118"/>
  <c r="AG20" i="118"/>
  <c r="AB20" i="118"/>
  <c r="W20" i="118"/>
  <c r="R20" i="118"/>
  <c r="M20" i="118"/>
  <c r="H20" i="118"/>
  <c r="C20" i="118"/>
  <c r="BP14" i="118"/>
  <c r="BK14" i="118"/>
  <c r="BF14" i="118"/>
  <c r="BA14" i="118"/>
  <c r="AV14" i="118"/>
  <c r="AQ14" i="118"/>
  <c r="AL14" i="118"/>
  <c r="AG14" i="118"/>
  <c r="AB14" i="118"/>
  <c r="W14" i="118"/>
  <c r="M14" i="118"/>
  <c r="H14" i="118"/>
  <c r="C14" i="118"/>
  <c r="BP8" i="118"/>
  <c r="BK8" i="118"/>
  <c r="BF8" i="118"/>
  <c r="BA8" i="118"/>
  <c r="AV8" i="118"/>
  <c r="AQ8" i="118"/>
  <c r="AL8" i="118"/>
  <c r="AG8" i="118"/>
  <c r="AB8" i="118"/>
  <c r="W8" i="118"/>
  <c r="R8" i="118"/>
  <c r="M8" i="118"/>
  <c r="H8" i="118"/>
  <c r="C8" i="118"/>
  <c r="BP2" i="118"/>
  <c r="BK2" i="118"/>
  <c r="BF2" i="118"/>
  <c r="BA2" i="118"/>
  <c r="AV2" i="118"/>
  <c r="AQ2" i="118"/>
  <c r="AL2" i="118"/>
  <c r="AG2" i="118"/>
  <c r="AB2" i="118"/>
  <c r="W2" i="118"/>
  <c r="R2" i="118"/>
  <c r="M2" i="118"/>
  <c r="H2" i="118"/>
  <c r="BJ35" i="118"/>
  <c r="BJ41" i="118" s="1"/>
  <c r="AS39" i="118"/>
  <c r="AH39" i="118" s="1"/>
  <c r="C2" i="118"/>
  <c r="F42" i="118" a="1"/>
  <c r="F43" i="118" a="1"/>
  <c r="AT78" i="118" l="1"/>
  <c r="AR78" i="118"/>
  <c r="AQ85" i="118" a="1"/>
  <c r="AT85" i="118" s="1"/>
  <c r="AT94" i="118" s="1"/>
  <c r="AO78" i="118" s="1"/>
  <c r="AY80" i="118" l="1"/>
  <c r="AY89" i="118"/>
  <c r="AQ94" i="118"/>
  <c r="AV64" i="112"/>
  <c r="AK64" i="112" s="1"/>
  <c r="BM49" i="112"/>
  <c r="BM64" i="112" s="1"/>
  <c r="C2" i="112"/>
  <c r="H2" i="112"/>
  <c r="M2" i="112"/>
  <c r="R2" i="112"/>
  <c r="W2" i="112"/>
  <c r="AB2" i="112"/>
  <c r="AG2" i="112"/>
  <c r="AL2" i="112"/>
  <c r="AQ2" i="112"/>
  <c r="AV2" i="112"/>
  <c r="BA2" i="112"/>
  <c r="BF2" i="112"/>
  <c r="BK2" i="112"/>
  <c r="BP2" i="112"/>
  <c r="C8" i="112"/>
  <c r="H8" i="112"/>
  <c r="M8" i="112"/>
  <c r="R8" i="112"/>
  <c r="W8" i="112"/>
  <c r="AB8" i="112"/>
  <c r="AG8" i="112"/>
  <c r="AL8" i="112"/>
  <c r="AQ8" i="112"/>
  <c r="AV8" i="112"/>
  <c r="BA8" i="112"/>
  <c r="BF8" i="112"/>
  <c r="BK8" i="112"/>
  <c r="BP8" i="112"/>
  <c r="C14" i="112"/>
  <c r="H14" i="112"/>
  <c r="M14" i="112"/>
  <c r="R14" i="112"/>
  <c r="W14" i="112"/>
  <c r="AB14" i="112"/>
  <c r="AG14" i="112"/>
  <c r="AL14" i="112"/>
  <c r="AQ14" i="112"/>
  <c r="AV14" i="112"/>
  <c r="BA14" i="112"/>
  <c r="BF14" i="112"/>
  <c r="BK14" i="112"/>
  <c r="BP14" i="112"/>
  <c r="C20" i="112"/>
  <c r="H20" i="112"/>
  <c r="M20" i="112"/>
  <c r="R20" i="112"/>
  <c r="W20" i="112"/>
  <c r="AB20" i="112"/>
  <c r="AG20" i="112"/>
  <c r="AL20" i="112"/>
  <c r="AQ20" i="112"/>
  <c r="AV20" i="112"/>
  <c r="BA20" i="112"/>
  <c r="BF20" i="112"/>
  <c r="BK20" i="112"/>
  <c r="BP20" i="112"/>
  <c r="C26" i="112"/>
  <c r="H26" i="112"/>
  <c r="M26" i="112"/>
  <c r="W26" i="112"/>
  <c r="H72" i="112" a="1"/>
  <c r="AQ116" i="112" a="1"/>
  <c r="AQ119" i="112" a="1"/>
  <c r="H68" i="112" a="1"/>
  <c r="AQ113" i="112" a="1"/>
  <c r="AR106" i="112" l="1"/>
  <c r="AT106" i="112" s="1"/>
  <c r="AT119" i="112" s="1"/>
  <c r="AT116" i="112" s="1"/>
  <c r="AT113" i="112" s="1"/>
  <c r="AT122" i="112" l="1"/>
  <c r="AO106" i="112" s="1"/>
  <c r="AQ122" i="112"/>
  <c r="BK129" i="34"/>
  <c r="AJ157" i="100"/>
  <c r="BV141" i="100" s="1"/>
  <c r="W8" i="100"/>
  <c r="C2" i="100"/>
  <c r="H2" i="100"/>
  <c r="M2" i="100"/>
  <c r="R2" i="100"/>
  <c r="W2" i="100"/>
  <c r="AB2" i="100"/>
  <c r="AG2" i="100"/>
  <c r="AL2" i="100"/>
  <c r="AQ2" i="100"/>
  <c r="AV2" i="100"/>
  <c r="BA2" i="100"/>
  <c r="BF2" i="100"/>
  <c r="BK2" i="100"/>
  <c r="BP2" i="100"/>
  <c r="C8" i="100"/>
  <c r="H8" i="100"/>
  <c r="M8" i="100"/>
  <c r="R8" i="100"/>
  <c r="AB8" i="100"/>
  <c r="AG8" i="100"/>
  <c r="AL8" i="100"/>
  <c r="AQ8" i="100"/>
  <c r="AV8" i="100"/>
  <c r="BA8" i="100"/>
  <c r="BF8" i="100"/>
  <c r="BK8" i="100"/>
  <c r="BP8" i="100"/>
  <c r="C14" i="100"/>
  <c r="H14" i="100"/>
  <c r="M14" i="100"/>
  <c r="R14" i="100"/>
  <c r="W14" i="100"/>
  <c r="AB14" i="100"/>
  <c r="AG14" i="100"/>
  <c r="AL14" i="100"/>
  <c r="AQ14" i="100"/>
  <c r="AV14" i="100"/>
  <c r="BA14" i="100"/>
  <c r="BF14" i="100"/>
  <c r="BK14" i="100"/>
  <c r="BP14" i="100"/>
  <c r="C20" i="100"/>
  <c r="H20" i="100"/>
  <c r="M20" i="100"/>
  <c r="R20" i="100"/>
  <c r="W20" i="100"/>
  <c r="AB20" i="100"/>
  <c r="AG20" i="100"/>
  <c r="AL20" i="100"/>
  <c r="AQ20" i="100"/>
  <c r="AV20" i="100"/>
  <c r="BA20" i="100"/>
  <c r="BF20" i="100"/>
  <c r="BK20" i="100"/>
  <c r="BP20" i="100"/>
  <c r="C26" i="100"/>
  <c r="H26" i="100"/>
  <c r="M26" i="100"/>
  <c r="R26" i="100"/>
  <c r="W26" i="100"/>
  <c r="AB26" i="100"/>
  <c r="AG26" i="100"/>
  <c r="AL26" i="100"/>
  <c r="AQ26" i="100"/>
  <c r="AV26" i="100"/>
  <c r="BA26" i="100"/>
  <c r="BF26" i="100"/>
  <c r="BK26" i="100"/>
  <c r="BP26" i="100"/>
  <c r="C32" i="100"/>
  <c r="H32" i="100"/>
  <c r="M32" i="100"/>
  <c r="R32" i="100"/>
  <c r="W32" i="100"/>
  <c r="AB32" i="100"/>
  <c r="AG32" i="100"/>
  <c r="AL32" i="100"/>
  <c r="AQ32" i="100"/>
  <c r="AV32" i="100"/>
  <c r="BA32" i="100"/>
  <c r="BF32" i="100"/>
  <c r="BK32" i="100"/>
  <c r="BP32" i="100"/>
  <c r="C38" i="100"/>
  <c r="H38" i="100"/>
  <c r="M38" i="100"/>
  <c r="R38" i="100"/>
  <c r="W38" i="100"/>
  <c r="AB38" i="100"/>
  <c r="AG38" i="100"/>
  <c r="AL38" i="100"/>
  <c r="AQ38" i="100"/>
  <c r="AV38" i="100"/>
  <c r="BA38" i="100"/>
  <c r="BF38" i="100"/>
  <c r="BK38" i="100"/>
  <c r="BP38" i="100"/>
  <c r="C44" i="100"/>
  <c r="H44" i="100"/>
  <c r="M44" i="100"/>
  <c r="R44" i="100"/>
  <c r="W44" i="100"/>
  <c r="AB44" i="100"/>
  <c r="AG44" i="100"/>
  <c r="AL44" i="100"/>
  <c r="AQ44" i="100"/>
  <c r="AV44" i="100"/>
  <c r="BA44" i="100"/>
  <c r="BF44" i="100"/>
  <c r="BK44" i="100"/>
  <c r="BP44" i="100"/>
  <c r="C50" i="100"/>
  <c r="H50" i="100"/>
  <c r="M50" i="100"/>
  <c r="R50" i="100"/>
  <c r="W50" i="100"/>
  <c r="AB50" i="100"/>
  <c r="AG50" i="100"/>
  <c r="AL50" i="100"/>
  <c r="AQ50" i="100"/>
  <c r="AV50" i="100"/>
  <c r="BA50" i="100"/>
  <c r="BF50" i="100"/>
  <c r="BK50" i="100"/>
  <c r="BP50" i="100"/>
  <c r="C62" i="100"/>
  <c r="H62" i="100"/>
  <c r="M62" i="100"/>
  <c r="R62" i="100"/>
  <c r="W62" i="100"/>
  <c r="AB62" i="100"/>
  <c r="AG62" i="100"/>
  <c r="AL62" i="100"/>
  <c r="AQ62" i="100"/>
  <c r="AV62" i="100"/>
  <c r="BA62" i="100"/>
  <c r="BF62" i="100"/>
  <c r="BK62" i="100"/>
  <c r="BP62" i="100"/>
  <c r="C68" i="100"/>
  <c r="H68" i="100"/>
  <c r="M68" i="100"/>
  <c r="R68" i="100"/>
  <c r="W68" i="100"/>
  <c r="AB68" i="100"/>
  <c r="AG68" i="100"/>
  <c r="AL68" i="100"/>
  <c r="AQ68" i="100"/>
  <c r="AV68" i="100"/>
  <c r="BA68" i="100"/>
  <c r="BF68" i="100"/>
  <c r="BK68" i="100"/>
  <c r="BP68" i="100"/>
  <c r="C74" i="100"/>
  <c r="H74" i="100"/>
  <c r="M74" i="100"/>
  <c r="R74" i="100"/>
  <c r="W74" i="100"/>
  <c r="AB74" i="100"/>
  <c r="AG74" i="100"/>
  <c r="AL74" i="100"/>
  <c r="AQ74" i="100"/>
  <c r="AV74" i="100"/>
  <c r="BA74" i="100"/>
  <c r="BF74" i="100"/>
  <c r="BK74" i="100"/>
  <c r="BP74" i="100"/>
  <c r="C80" i="100"/>
  <c r="H80" i="100"/>
  <c r="M80" i="100"/>
  <c r="R80" i="100"/>
  <c r="W80" i="100"/>
  <c r="AB80" i="100"/>
  <c r="AG80" i="100"/>
  <c r="AL80" i="100"/>
  <c r="AQ80" i="100"/>
  <c r="AV80" i="100"/>
  <c r="BA80" i="100"/>
  <c r="BF80" i="100"/>
  <c r="BK80" i="100"/>
  <c r="BP80" i="100"/>
  <c r="C86" i="100"/>
  <c r="H86" i="100"/>
  <c r="M86" i="100"/>
  <c r="R86" i="100"/>
  <c r="W86" i="100"/>
  <c r="AB86" i="100"/>
  <c r="AG86" i="100"/>
  <c r="AL86" i="100"/>
  <c r="AQ86" i="100"/>
  <c r="AV86" i="100"/>
  <c r="BA86" i="100"/>
  <c r="BF86" i="100"/>
  <c r="BK86" i="100"/>
  <c r="BP86" i="100"/>
  <c r="C92" i="100"/>
  <c r="H92" i="100"/>
  <c r="M92" i="100"/>
  <c r="R92" i="100"/>
  <c r="W92" i="100"/>
  <c r="AB92" i="100"/>
  <c r="AG92" i="100"/>
  <c r="AL92" i="100"/>
  <c r="AQ92" i="100"/>
  <c r="AV92" i="100"/>
  <c r="BA92" i="100"/>
  <c r="BF92" i="100"/>
  <c r="BK92" i="100"/>
  <c r="G40" i="88" a="1"/>
  <c r="AQ85" i="88" a="1"/>
  <c r="B101" i="72" a="1"/>
  <c r="H106" i="100" a="1"/>
  <c r="AQ88" i="88" a="1"/>
  <c r="AY108" i="112" l="1"/>
  <c r="AY117" i="112"/>
  <c r="BM106" i="100"/>
  <c r="BM110" i="100" s="1"/>
  <c r="AV110" i="100"/>
  <c r="AK110" i="100" s="1"/>
  <c r="H109" i="100" a="1"/>
  <c r="AO137" i="100" a="1"/>
  <c r="AP130" i="100" l="1"/>
  <c r="AQ192" i="100" s="1"/>
  <c r="AR130" i="100"/>
  <c r="AS192" i="100" s="1"/>
  <c r="AR137" i="100" s="1"/>
  <c r="AO140" i="100" a="1"/>
  <c r="AR140" i="100" s="1"/>
  <c r="AR146" i="100" s="1"/>
  <c r="AM130" i="100" s="1"/>
  <c r="AO146" i="100" l="1"/>
  <c r="AV94" i="72"/>
  <c r="BK8" i="88"/>
  <c r="BP8" i="88"/>
  <c r="BF8" i="88"/>
  <c r="BA8" i="88"/>
  <c r="AV8" i="88"/>
  <c r="AQ8" i="88"/>
  <c r="AL8" i="88"/>
  <c r="AG8" i="88"/>
  <c r="AB8" i="88"/>
  <c r="C14" i="88"/>
  <c r="AC37" i="88"/>
  <c r="L41" i="88"/>
  <c r="AR78" i="88" s="1"/>
  <c r="AP157" i="100" s="1"/>
  <c r="CB141" i="100" s="1"/>
  <c r="C2" i="88"/>
  <c r="H2" i="88"/>
  <c r="M2" i="88"/>
  <c r="R2" i="88"/>
  <c r="W2" i="88"/>
  <c r="AB2" i="88"/>
  <c r="AG2" i="88"/>
  <c r="AL2" i="88"/>
  <c r="AQ2" i="88"/>
  <c r="AV2" i="88"/>
  <c r="BA2" i="88"/>
  <c r="BF2" i="88"/>
  <c r="BK2" i="88"/>
  <c r="BP2" i="88"/>
  <c r="C8" i="88"/>
  <c r="H8" i="88"/>
  <c r="M8" i="88"/>
  <c r="R8" i="88"/>
  <c r="W8" i="88"/>
  <c r="H14" i="88"/>
  <c r="M14" i="88"/>
  <c r="R14" i="88"/>
  <c r="W14" i="88"/>
  <c r="AB14" i="88"/>
  <c r="AG14" i="88"/>
  <c r="AL14" i="88"/>
  <c r="AQ14" i="88"/>
  <c r="AV14" i="88"/>
  <c r="BA14" i="88"/>
  <c r="BF14" i="88"/>
  <c r="BK14" i="88"/>
  <c r="BP14" i="88"/>
  <c r="C20" i="88"/>
  <c r="H20" i="88"/>
  <c r="M20" i="88"/>
  <c r="R20" i="88"/>
  <c r="W20" i="88"/>
  <c r="AB20" i="88"/>
  <c r="AG20" i="88"/>
  <c r="AL20" i="88"/>
  <c r="AQ20" i="88"/>
  <c r="AV20" i="88"/>
  <c r="BA20" i="88"/>
  <c r="BF20" i="88"/>
  <c r="BK20" i="88"/>
  <c r="BP20" i="88"/>
  <c r="C26" i="88"/>
  <c r="H26" i="88"/>
  <c r="M26" i="88"/>
  <c r="R26" i="88"/>
  <c r="W26" i="88"/>
  <c r="AB26" i="88"/>
  <c r="AG26" i="88"/>
  <c r="AL26" i="88"/>
  <c r="AQ26" i="88"/>
  <c r="AV26" i="88"/>
  <c r="BA26" i="88"/>
  <c r="BF26" i="88"/>
  <c r="BK26" i="88"/>
  <c r="BP26" i="88"/>
  <c r="G37" i="88" a="1"/>
  <c r="AC41" i="88"/>
  <c r="AT78" i="88" s="1"/>
  <c r="AR157" i="100" s="1"/>
  <c r="CD141" i="100" s="1"/>
  <c r="AF95" i="88" l="1"/>
  <c r="AF97" i="88"/>
  <c r="AT85" i="88"/>
  <c r="AO164" i="100" l="1"/>
  <c r="AR164" i="100" s="1"/>
  <c r="AT88" i="88"/>
  <c r="AT94" i="88" s="1"/>
  <c r="AO78" i="88" s="1"/>
  <c r="AO167" i="100"/>
  <c r="AQ94" i="88"/>
  <c r="BY141" i="210" l="1"/>
  <c r="AY80" i="88"/>
  <c r="AM157" i="100"/>
  <c r="AR167" i="100"/>
  <c r="AR173" i="100" s="1"/>
  <c r="AO173" i="100"/>
  <c r="CI152" i="210" l="1"/>
  <c r="CI143" i="210"/>
  <c r="AY89" i="88"/>
  <c r="BY141" i="100"/>
  <c r="AW159" i="100"/>
  <c r="AW168" i="100" l="1"/>
  <c r="CI143" i="100"/>
  <c r="AN192" i="100"/>
  <c r="AW132" i="100" l="1"/>
  <c r="AW141" i="100"/>
  <c r="CI152" i="100"/>
  <c r="W78" i="72"/>
  <c r="R78" i="72"/>
  <c r="M78" i="72"/>
  <c r="H78" i="72"/>
  <c r="C78" i="72"/>
  <c r="C71" i="72"/>
  <c r="H71" i="72"/>
  <c r="M71" i="72"/>
  <c r="R71" i="72"/>
  <c r="W71" i="72"/>
  <c r="AB71" i="72"/>
  <c r="AG71" i="72"/>
  <c r="AL71" i="72"/>
  <c r="AQ71" i="72"/>
  <c r="AV71" i="72"/>
  <c r="BA71" i="72"/>
  <c r="BF71" i="72"/>
  <c r="BK71" i="72"/>
  <c r="BP71" i="72"/>
  <c r="BP51" i="72"/>
  <c r="BK51" i="72"/>
  <c r="BF51" i="72"/>
  <c r="BA51" i="72"/>
  <c r="AV51" i="72"/>
  <c r="AQ51" i="72"/>
  <c r="AL51" i="72"/>
  <c r="AG51" i="72"/>
  <c r="AB51" i="72"/>
  <c r="W51" i="72"/>
  <c r="R51" i="72"/>
  <c r="M51" i="72"/>
  <c r="H51" i="72"/>
  <c r="C51" i="72"/>
  <c r="C44" i="72"/>
  <c r="H44" i="72"/>
  <c r="M44" i="72"/>
  <c r="R44" i="72"/>
  <c r="W44" i="72"/>
  <c r="AB44" i="72"/>
  <c r="AG44" i="72"/>
  <c r="AL44" i="72"/>
  <c r="AQ44" i="72"/>
  <c r="AV44" i="72"/>
  <c r="BA44" i="72"/>
  <c r="BF44" i="72"/>
  <c r="BK44" i="72"/>
  <c r="BP44" i="72"/>
  <c r="BP37" i="72"/>
  <c r="BK37" i="72"/>
  <c r="BF37" i="72"/>
  <c r="BA37" i="72"/>
  <c r="AV37" i="72"/>
  <c r="AQ37" i="72"/>
  <c r="AL37" i="72"/>
  <c r="AG37" i="72"/>
  <c r="AB37" i="72"/>
  <c r="W37" i="72"/>
  <c r="R37" i="72"/>
  <c r="M37" i="72"/>
  <c r="H37" i="72"/>
  <c r="C37" i="72"/>
  <c r="C30" i="72"/>
  <c r="H30" i="72"/>
  <c r="M30" i="72"/>
  <c r="R30" i="72"/>
  <c r="W30" i="72"/>
  <c r="AB30" i="72"/>
  <c r="AG30" i="72"/>
  <c r="AL30" i="72"/>
  <c r="AQ30" i="72"/>
  <c r="AV30" i="72"/>
  <c r="BA30" i="72"/>
  <c r="BF30" i="72"/>
  <c r="BK30" i="72"/>
  <c r="BP30" i="72"/>
  <c r="BP23" i="72"/>
  <c r="BK23" i="72"/>
  <c r="BF23" i="72"/>
  <c r="BA23" i="72"/>
  <c r="AV23" i="72"/>
  <c r="AQ23" i="72"/>
  <c r="AL23" i="72"/>
  <c r="AG23" i="72"/>
  <c r="AB23" i="72"/>
  <c r="W23" i="72"/>
  <c r="R23" i="72"/>
  <c r="M23" i="72"/>
  <c r="H23" i="72"/>
  <c r="C23" i="72"/>
  <c r="AG16" i="72"/>
  <c r="BP16" i="72"/>
  <c r="BK16" i="72"/>
  <c r="BF16" i="72"/>
  <c r="BA16" i="72"/>
  <c r="AV16" i="72"/>
  <c r="AQ16" i="72"/>
  <c r="AL16" i="72"/>
  <c r="AB16" i="72"/>
  <c r="W16" i="72"/>
  <c r="R16" i="72"/>
  <c r="M16" i="72"/>
  <c r="H16" i="72"/>
  <c r="C16" i="72"/>
  <c r="BP9" i="72"/>
  <c r="BK9" i="72"/>
  <c r="BF9" i="72"/>
  <c r="C2" i="72"/>
  <c r="H2" i="72"/>
  <c r="M2" i="72"/>
  <c r="R2" i="72"/>
  <c r="W2" i="72"/>
  <c r="AB2" i="72"/>
  <c r="AG2" i="72"/>
  <c r="AL2" i="72"/>
  <c r="AQ2" i="72"/>
  <c r="AV2" i="72"/>
  <c r="BA2" i="72"/>
  <c r="BF2" i="72"/>
  <c r="BK2" i="72"/>
  <c r="BP2" i="72"/>
  <c r="C9" i="72"/>
  <c r="H9" i="72"/>
  <c r="M9" i="72"/>
  <c r="R9" i="72"/>
  <c r="W9" i="72"/>
  <c r="AB9" i="72"/>
  <c r="AG9" i="72"/>
  <c r="AL9" i="72"/>
  <c r="AQ9" i="72"/>
  <c r="AV9" i="72"/>
  <c r="BA9" i="72"/>
  <c r="BM89" i="72"/>
  <c r="AS117" i="72" a="1"/>
  <c r="H90" i="72" a="1"/>
  <c r="BM94" i="72"/>
  <c r="AV110" i="72" l="1"/>
  <c r="AT110" i="72"/>
  <c r="AS126" i="72"/>
  <c r="AV117" i="72" l="1"/>
  <c r="AV126" i="72" s="1"/>
  <c r="AQ110" i="72" s="1"/>
  <c r="BA112" i="72" s="1"/>
  <c r="BA121" i="72" l="1"/>
  <c r="AJ104" i="34" l="1"/>
  <c r="BL104" i="34"/>
  <c r="AL93" i="34"/>
  <c r="AG93" i="34"/>
  <c r="AB93" i="34"/>
  <c r="W93" i="34"/>
  <c r="R93" i="34"/>
  <c r="M93" i="34"/>
  <c r="H93" i="34"/>
  <c r="C93" i="34"/>
  <c r="BP87" i="34"/>
  <c r="BK87" i="34"/>
  <c r="BF87" i="34"/>
  <c r="BA87" i="34"/>
  <c r="AV87" i="34"/>
  <c r="AQ87" i="34"/>
  <c r="AL87" i="34"/>
  <c r="AG87" i="34"/>
  <c r="AB87" i="34"/>
  <c r="W87" i="34"/>
  <c r="R87" i="34"/>
  <c r="M87" i="34"/>
  <c r="H87" i="34"/>
  <c r="C87" i="34"/>
  <c r="BK81" i="34"/>
  <c r="BF81" i="34"/>
  <c r="BA81" i="34"/>
  <c r="AV81" i="34"/>
  <c r="AQ81" i="34"/>
  <c r="AL81" i="34"/>
  <c r="AG81" i="34"/>
  <c r="AB81" i="34"/>
  <c r="W81" i="34"/>
  <c r="R81" i="34"/>
  <c r="M81" i="34"/>
  <c r="H81" i="34"/>
  <c r="C81" i="34"/>
  <c r="BP75" i="34"/>
  <c r="BK75" i="34"/>
  <c r="BF75" i="34"/>
  <c r="BA75" i="34"/>
  <c r="AV75" i="34"/>
  <c r="AQ75" i="34"/>
  <c r="AL75" i="34"/>
  <c r="AG75" i="34"/>
  <c r="AB75" i="34"/>
  <c r="W75" i="34"/>
  <c r="R75" i="34"/>
  <c r="M75" i="34"/>
  <c r="H75" i="34"/>
  <c r="C75" i="34"/>
  <c r="BP69" i="34"/>
  <c r="BK69" i="34"/>
  <c r="BF69" i="34"/>
  <c r="BA69" i="34"/>
  <c r="AV69" i="34"/>
  <c r="AQ69" i="34"/>
  <c r="AL69" i="34"/>
  <c r="AG69" i="34"/>
  <c r="AB69" i="34"/>
  <c r="W69" i="34"/>
  <c r="R69" i="34"/>
  <c r="M69" i="34"/>
  <c r="H69" i="34"/>
  <c r="C69" i="34"/>
  <c r="BP63" i="34"/>
  <c r="BK63" i="34"/>
  <c r="BF63" i="34"/>
  <c r="BA63" i="34"/>
  <c r="AV63" i="34"/>
  <c r="AQ63" i="34"/>
  <c r="AL63" i="34"/>
  <c r="AG63" i="34"/>
  <c r="AB63" i="34"/>
  <c r="W63" i="34"/>
  <c r="R63" i="34"/>
  <c r="M63" i="34"/>
  <c r="H63" i="34"/>
  <c r="C63" i="34"/>
  <c r="BP44" i="34"/>
  <c r="BK44" i="34"/>
  <c r="BF44" i="34"/>
  <c r="BA44" i="34"/>
  <c r="AV44" i="34"/>
  <c r="AQ44" i="34"/>
  <c r="AL44" i="34"/>
  <c r="AG44" i="34"/>
  <c r="AB44" i="34"/>
  <c r="W44" i="34"/>
  <c r="R44" i="34"/>
  <c r="M44" i="34"/>
  <c r="H44" i="34"/>
  <c r="C44" i="34"/>
  <c r="BP38" i="34"/>
  <c r="BK38" i="34"/>
  <c r="BF38" i="34"/>
  <c r="BA38" i="34"/>
  <c r="AV38" i="34"/>
  <c r="AQ38" i="34"/>
  <c r="AL38" i="34"/>
  <c r="AG38" i="34"/>
  <c r="AB38" i="34"/>
  <c r="W38" i="34"/>
  <c r="R38" i="34"/>
  <c r="M38" i="34"/>
  <c r="H38" i="34"/>
  <c r="C38" i="34"/>
  <c r="BP32" i="34"/>
  <c r="BK32" i="34"/>
  <c r="BF32" i="34"/>
  <c r="BA32" i="34"/>
  <c r="AV32" i="34"/>
  <c r="AQ32" i="34"/>
  <c r="AL32" i="34"/>
  <c r="AG32" i="34"/>
  <c r="AB32" i="34"/>
  <c r="W32" i="34"/>
  <c r="R32" i="34"/>
  <c r="M32" i="34"/>
  <c r="H32" i="34"/>
  <c r="C32" i="34"/>
  <c r="BP26" i="34"/>
  <c r="BK26" i="34"/>
  <c r="BF26" i="34"/>
  <c r="BA26" i="34"/>
  <c r="AV26" i="34"/>
  <c r="AQ26" i="34"/>
  <c r="AL26" i="34"/>
  <c r="AG26" i="34"/>
  <c r="AB26" i="34"/>
  <c r="W26" i="34"/>
  <c r="R26" i="34"/>
  <c r="M26" i="34"/>
  <c r="H26" i="34"/>
  <c r="C26" i="34"/>
  <c r="BP20" i="34"/>
  <c r="BK20" i="34"/>
  <c r="BF20" i="34"/>
  <c r="BA20" i="34"/>
  <c r="AV20" i="34"/>
  <c r="AQ20" i="34"/>
  <c r="AL20" i="34"/>
  <c r="AG20" i="34"/>
  <c r="AB20" i="34"/>
  <c r="W20" i="34"/>
  <c r="R20" i="34"/>
  <c r="M20" i="34"/>
  <c r="H20" i="34"/>
  <c r="C20" i="34"/>
  <c r="BP14" i="34"/>
  <c r="BK14" i="34"/>
  <c r="BF14" i="34"/>
  <c r="BA14" i="34"/>
  <c r="AV14" i="34"/>
  <c r="AQ14" i="34"/>
  <c r="AL14" i="34"/>
  <c r="AG14" i="34"/>
  <c r="AB14" i="34"/>
  <c r="W14" i="34"/>
  <c r="R14" i="34"/>
  <c r="M14" i="34"/>
  <c r="H14" i="34"/>
  <c r="C14" i="34"/>
  <c r="BP8" i="34"/>
  <c r="BK8" i="34"/>
  <c r="BF8" i="34"/>
  <c r="BA8" i="34"/>
  <c r="AV8" i="34"/>
  <c r="AQ8" i="34"/>
  <c r="AL8" i="34"/>
  <c r="AG8" i="34"/>
  <c r="AB8" i="34"/>
  <c r="W8" i="34"/>
  <c r="R8" i="34"/>
  <c r="M8" i="34"/>
  <c r="H8" i="34"/>
  <c r="C8" i="34"/>
  <c r="BP2" i="34"/>
  <c r="BK2" i="34"/>
  <c r="BF2" i="34"/>
  <c r="BA2" i="34"/>
  <c r="AV2" i="34"/>
  <c r="AQ2" i="34"/>
  <c r="AL2" i="34"/>
  <c r="AG2" i="34"/>
  <c r="AB2" i="34"/>
  <c r="W2" i="34"/>
  <c r="R2" i="34"/>
  <c r="M2" i="34"/>
  <c r="H2" i="34"/>
  <c r="C2" i="34"/>
  <c r="AB38" i="8"/>
  <c r="AP119" i="34" l="1"/>
  <c r="BS129" i="34" s="1"/>
  <c r="BQ129" i="34"/>
  <c r="AP126" i="34" l="1"/>
  <c r="AM135" i="34"/>
  <c r="AP129" i="34"/>
  <c r="AP135" i="34" l="1"/>
  <c r="AK119" i="34" l="1"/>
  <c r="BN129" i="34" l="1"/>
  <c r="BW131" i="34" s="1"/>
  <c r="AU121" i="34"/>
  <c r="AU130" i="34"/>
  <c r="AU67" i="8" l="1"/>
  <c r="AJ67" i="8" s="1"/>
  <c r="BL63" i="8"/>
  <c r="BL67" i="8" s="1"/>
  <c r="R44" i="8"/>
  <c r="M44" i="8"/>
  <c r="H44" i="8"/>
  <c r="C44" i="8"/>
  <c r="BP38" i="8"/>
  <c r="BK38" i="8"/>
  <c r="BF38" i="8"/>
  <c r="BA38" i="8"/>
  <c r="AV38" i="8"/>
  <c r="AQ38" i="8"/>
  <c r="AL38" i="8"/>
  <c r="AG38" i="8"/>
  <c r="W38" i="8"/>
  <c r="R38" i="8"/>
  <c r="M38" i="8"/>
  <c r="H38" i="8"/>
  <c r="C38" i="8"/>
  <c r="BP32" i="8"/>
  <c r="BK32" i="8"/>
  <c r="BF32" i="8"/>
  <c r="BA32" i="8"/>
  <c r="AV32" i="8"/>
  <c r="AQ32" i="8"/>
  <c r="AL32" i="8"/>
  <c r="AG32" i="8"/>
  <c r="AB32" i="8"/>
  <c r="W32" i="8"/>
  <c r="M32" i="8"/>
  <c r="H32" i="8"/>
  <c r="C32" i="8"/>
  <c r="BP26" i="8"/>
  <c r="BK26" i="8"/>
  <c r="BF26" i="8"/>
  <c r="BA26" i="8"/>
  <c r="AV26" i="8"/>
  <c r="AQ26" i="8"/>
  <c r="AL26" i="8"/>
  <c r="AG26" i="8"/>
  <c r="AB26" i="8"/>
  <c r="W26" i="8"/>
  <c r="R26" i="8"/>
  <c r="M26" i="8"/>
  <c r="H26" i="8"/>
  <c r="C26" i="8"/>
  <c r="BP20" i="8"/>
  <c r="BK20" i="8"/>
  <c r="BF20" i="8"/>
  <c r="BA20" i="8"/>
  <c r="AV20" i="8"/>
  <c r="AQ20" i="8"/>
  <c r="AL20" i="8"/>
  <c r="AG20" i="8"/>
  <c r="AB20" i="8"/>
  <c r="W20" i="8"/>
  <c r="R20" i="8"/>
  <c r="M20" i="8"/>
  <c r="H20" i="8"/>
  <c r="C20" i="8"/>
  <c r="BP14" i="8"/>
  <c r="BK14" i="8"/>
  <c r="BF14" i="8"/>
  <c r="BA14" i="8"/>
  <c r="AV14" i="8"/>
  <c r="AQ14" i="8"/>
  <c r="AL14" i="8"/>
  <c r="AG14" i="8"/>
  <c r="AB14" i="8"/>
  <c r="W14" i="8"/>
  <c r="R14" i="8"/>
  <c r="M14" i="8"/>
  <c r="H14" i="8"/>
  <c r="C14" i="8"/>
  <c r="BP8" i="8"/>
  <c r="BK8" i="8"/>
  <c r="BF8" i="8"/>
  <c r="BA8" i="8"/>
  <c r="AV8" i="8"/>
  <c r="AQ8" i="8"/>
  <c r="AL8" i="8"/>
  <c r="AG8" i="8"/>
  <c r="AB8" i="8"/>
  <c r="W8" i="8"/>
  <c r="R8" i="8"/>
  <c r="M8" i="8"/>
  <c r="H8" i="8"/>
  <c r="C8" i="8"/>
  <c r="BP2" i="8"/>
  <c r="BK2" i="8"/>
  <c r="BF2" i="8"/>
  <c r="BA2" i="8"/>
  <c r="AV2" i="8"/>
  <c r="AQ2" i="8"/>
  <c r="AL2" i="8"/>
  <c r="AG2" i="8"/>
  <c r="AB2" i="8"/>
  <c r="W2" i="8"/>
  <c r="R2" i="8"/>
  <c r="M2" i="8"/>
  <c r="H2" i="8"/>
  <c r="C2" i="8"/>
  <c r="AQ88" i="8" a="1"/>
  <c r="G66" i="8" a="1"/>
  <c r="AQ85" i="8" a="1"/>
  <c r="G63" i="8" a="1"/>
  <c r="AR78" i="8" l="1"/>
  <c r="AT78" i="8"/>
  <c r="AT85" i="8" s="1"/>
  <c r="AQ94" i="8" l="1"/>
  <c r="AT88" i="8"/>
  <c r="AT94" i="8" s="1"/>
  <c r="AO78" i="8" s="1"/>
  <c r="AY80" i="8" l="1"/>
  <c r="AY89" i="8"/>
  <c r="BW140" i="34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cellMetadata count="1">
    <bk>
      <rc t="1" v="0"/>
    </bk>
  </cellMetadata>
  <valueMetadata count="3">
    <bk>
      <rc t="2" v="0"/>
    </bk>
    <bk>
      <rc t="2" v="1"/>
    </bk>
    <bk>
      <rc t="2" v="2"/>
    </bk>
  </valueMetadata>
</metadata>
</file>

<file path=xl/sharedStrings.xml><?xml version="1.0" encoding="utf-8"?>
<sst xmlns="http://schemas.openxmlformats.org/spreadsheetml/2006/main" count="23845" uniqueCount="838">
  <si>
    <t xml:space="preserve">Daily Activity Tracking Report </t>
  </si>
  <si>
    <t>Date</t>
  </si>
  <si>
    <t>Report No.</t>
  </si>
  <si>
    <t>5.04-F.10</t>
  </si>
  <si>
    <r>
      <t xml:space="preserve">Total Repaired Pipe Quantity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6"/>
        <rFont val="Aptos"/>
        <family val="2"/>
      </rPr>
      <t xml:space="preserve">(Toplam Tamiri Tamamlanan Boru Adedi)  </t>
    </r>
    <r>
      <rPr>
        <b/>
        <sz val="16"/>
        <rFont val="Aptos"/>
        <family val="2"/>
      </rPr>
      <t xml:space="preserve">        </t>
    </r>
  </si>
  <si>
    <t>Dimensions</t>
  </si>
  <si>
    <t>Qty.</t>
  </si>
  <si>
    <t>Manufacturer</t>
  </si>
  <si>
    <t xml:space="preserve">Machine A </t>
  </si>
  <si>
    <t>Machine B</t>
  </si>
  <si>
    <t>Project No.</t>
  </si>
  <si>
    <t>Pipe No.</t>
  </si>
  <si>
    <t>05-093</t>
  </si>
  <si>
    <t>-</t>
  </si>
  <si>
    <t>05-095</t>
  </si>
  <si>
    <t xml:space="preserve">  </t>
  </si>
  <si>
    <t xml:space="preserve"> </t>
  </si>
  <si>
    <t>2025Q-07-063b</t>
  </si>
  <si>
    <t>2025Q-05-093</t>
  </si>
  <si>
    <t xml:space="preserve">Total repaired pipe quantity: </t>
  </si>
  <si>
    <t>2025Q-07-063a</t>
  </si>
  <si>
    <r>
      <t xml:space="preserve">Total Clutch/Accessory Completed Process Quantity                                                                                                                     </t>
    </r>
    <r>
      <rPr>
        <sz val="16"/>
        <rFont val="Aptos"/>
        <family val="2"/>
      </rPr>
      <t xml:space="preserve">(Toplam Clutch/Aksesuar Tamamlanan Proses Adedi)  </t>
    </r>
    <r>
      <rPr>
        <b/>
        <sz val="16"/>
        <rFont val="Aptos"/>
        <family val="2"/>
      </rPr>
      <t xml:space="preserve">        </t>
    </r>
  </si>
  <si>
    <r>
      <t xml:space="preserve">Total Coated Pipe Quantity                                                                                                                                                                                                                                 </t>
    </r>
    <r>
      <rPr>
        <sz val="16"/>
        <rFont val="Aptos"/>
        <family val="2"/>
      </rPr>
      <t xml:space="preserve">(Toplam Boyanan Boru Adedi)  </t>
    </r>
    <r>
      <rPr>
        <b/>
        <sz val="16"/>
        <rFont val="Aptos"/>
        <family val="2"/>
      </rPr>
      <t xml:space="preserve">        </t>
    </r>
  </si>
  <si>
    <r>
      <t xml:space="preserve">   Total Shipped Pipe Quantity                                                                                                                                                                                  </t>
    </r>
    <r>
      <rPr>
        <sz val="16"/>
        <color theme="1"/>
        <rFont val="Aptos"/>
        <family val="2"/>
      </rPr>
      <t>(Toplam Sevki Yapilan Boru Adedi)</t>
    </r>
    <r>
      <rPr>
        <b/>
        <sz val="16"/>
        <color theme="1"/>
        <rFont val="Aptos"/>
        <family val="2"/>
      </rPr>
      <t xml:space="preserve">    </t>
    </r>
  </si>
  <si>
    <t>Ring</t>
  </si>
  <si>
    <t>Clutch</t>
  </si>
  <si>
    <t>Coating Details</t>
  </si>
  <si>
    <t>Pipe No. / Dimensions</t>
  </si>
  <si>
    <t>Shipment Type</t>
  </si>
  <si>
    <t>Dimensions - Process Type</t>
  </si>
  <si>
    <t>Rock Shoe - Rock Crusher</t>
  </si>
  <si>
    <t>04-2Q-8004</t>
  </si>
  <si>
    <t>05-093 Project  (CP2)</t>
  </si>
  <si>
    <t>09-068</t>
  </si>
  <si>
    <t>06-102</t>
  </si>
  <si>
    <r>
      <t>Watco:</t>
    </r>
    <r>
      <rPr>
        <b/>
        <sz val="16"/>
        <color rgb="FFFF0000"/>
        <rFont val="Aptos"/>
        <family val="2"/>
      </rPr>
      <t xml:space="preserve">                                              </t>
    </r>
    <r>
      <rPr>
        <b/>
        <sz val="16"/>
        <color rgb="FF00B050"/>
        <rFont val="Aptos"/>
        <family val="2"/>
      </rPr>
      <t xml:space="preserve">   54 pcs.       </t>
    </r>
    <r>
      <rPr>
        <sz val="16"/>
        <color rgb="FF00B050"/>
        <rFont val="Aptos"/>
        <family val="2"/>
      </rPr>
      <t xml:space="preserve">  </t>
    </r>
    <r>
      <rPr>
        <sz val="16"/>
        <color theme="1"/>
        <rFont val="Aptos"/>
        <family val="2"/>
      </rPr>
      <t xml:space="preserve">                            </t>
    </r>
  </si>
  <si>
    <t>LR: Lately Reported</t>
  </si>
  <si>
    <t>Daily Project Based Repair Rates (%)</t>
  </si>
  <si>
    <t>Project's                                         Total Pipe Length                        (ft)</t>
  </si>
  <si>
    <t>Repaired Pipes'                                  Total Length                                                                 (ft)</t>
  </si>
  <si>
    <t>Repaired Pipes' Total Spiral Length                                                     (ft)</t>
  </si>
  <si>
    <t>Total Repair Amount                              (mt)</t>
  </si>
  <si>
    <t>Total Repair Amount                                                                                                   with Skelp-end Welds                                                                                                                                (mt)</t>
  </si>
  <si>
    <t xml:space="preserve">04-2Q-8004 (2025Q-01-79c) </t>
  </si>
  <si>
    <t>Repair Ratio                                                                                                    (%)</t>
  </si>
  <si>
    <t>2024Q-09-068</t>
  </si>
  <si>
    <t>Overall Repair Rates</t>
  </si>
  <si>
    <t>Proj. Name</t>
  </si>
  <si>
    <t xml:space="preserve">Hawaii Project - Barge 3 </t>
  </si>
  <si>
    <t>Lutak Combi Piles</t>
  </si>
  <si>
    <t>175 Pipes - Ø 42 " x 0.75 "</t>
  </si>
  <si>
    <t>Manhattan Road &amp; Bridge (12-050a)</t>
  </si>
  <si>
    <t>Manhattan Road &amp; Bridge (12-050b)</t>
  </si>
  <si>
    <t>2023Q-10-048</t>
  </si>
  <si>
    <t xml:space="preserve"> Hawaii Project - 54 Inches</t>
  </si>
  <si>
    <t>02-052b</t>
  </si>
  <si>
    <t>04-056</t>
  </si>
  <si>
    <t>Port of Galveston</t>
  </si>
  <si>
    <t>Hampton Roads and Bridge</t>
  </si>
  <si>
    <t>Watco (06-061)</t>
  </si>
  <si>
    <t>05-059</t>
  </si>
  <si>
    <t>04-054</t>
  </si>
  <si>
    <t>02-052c</t>
  </si>
  <si>
    <t>04-058</t>
  </si>
  <si>
    <t>09-066</t>
  </si>
  <si>
    <t>04-055</t>
  </si>
  <si>
    <t>08-065</t>
  </si>
  <si>
    <t>10-070</t>
  </si>
  <si>
    <t>2024Q-10-069</t>
  </si>
  <si>
    <t>02-052a</t>
  </si>
  <si>
    <t>12-072</t>
  </si>
  <si>
    <t>06-062</t>
  </si>
  <si>
    <t>01-075</t>
  </si>
  <si>
    <t>09-067</t>
  </si>
  <si>
    <t>06-062b</t>
  </si>
  <si>
    <t>06-062c</t>
  </si>
  <si>
    <t>01-076</t>
  </si>
  <si>
    <t>2025Q-01-078 + 2025Q-01-080 (Combined)</t>
  </si>
  <si>
    <t>07-064</t>
  </si>
  <si>
    <t>02-083</t>
  </si>
  <si>
    <t>12-073B</t>
  </si>
  <si>
    <t>02-082</t>
  </si>
  <si>
    <t>02-084</t>
  </si>
  <si>
    <t>02-052d</t>
  </si>
  <si>
    <t>12-073a</t>
  </si>
  <si>
    <t>12-074a</t>
  </si>
  <si>
    <t>03-087</t>
  </si>
  <si>
    <t>12-074d/e</t>
  </si>
  <si>
    <t>12-074c</t>
  </si>
  <si>
    <t>12-074b</t>
  </si>
  <si>
    <t>03-085a</t>
  </si>
  <si>
    <t>03-085b</t>
  </si>
  <si>
    <t>04-091</t>
  </si>
  <si>
    <t>04-088</t>
  </si>
  <si>
    <t>05-096</t>
  </si>
  <si>
    <t>04-090</t>
  </si>
  <si>
    <t>04-089</t>
  </si>
  <si>
    <t>09-068a</t>
  </si>
  <si>
    <t>12-074a Addition</t>
  </si>
  <si>
    <t>2025Q-03-086</t>
  </si>
  <si>
    <t>2025Q-06-100</t>
  </si>
  <si>
    <t>2025Q-07-063c</t>
  </si>
  <si>
    <t>2025Q-04-091b</t>
  </si>
  <si>
    <t>2025Q-04-090b</t>
  </si>
  <si>
    <t>2025Q-05-094a</t>
  </si>
  <si>
    <t>04-2Q-8004(Ø48)</t>
  </si>
  <si>
    <t>2025Q-05-094b</t>
  </si>
  <si>
    <t>202Q-06-102</t>
  </si>
  <si>
    <t>2025Q-06-101</t>
  </si>
  <si>
    <t>2024Q-09-068(Ø30)</t>
  </si>
  <si>
    <t>Repair                                                           Rate :</t>
  </si>
  <si>
    <t>Coating</t>
  </si>
  <si>
    <t>156 ft</t>
  </si>
  <si>
    <t>m.</t>
  </si>
  <si>
    <t>B.E</t>
  </si>
  <si>
    <t>136 ft</t>
  </si>
  <si>
    <t>PREV. REPAIRED                           PIPE NO.S</t>
  </si>
  <si>
    <t>DAILY REPAIR AMOUNT                               (METER)</t>
  </si>
  <si>
    <t xml:space="preserve">Total Repair Amount                                (Meter) </t>
  </si>
  <si>
    <t xml:space="preserve">Total                                                  RepAIRED                           B.E. QTY.                           (Meter) </t>
  </si>
  <si>
    <t>B.E.</t>
  </si>
  <si>
    <t>meter</t>
  </si>
  <si>
    <t>TOT. LENGTH (ft)</t>
  </si>
  <si>
    <t>REP. PIPE TOT. LENGTH (ft)</t>
  </si>
  <si>
    <t>TOT. REP. (mt)</t>
  </si>
  <si>
    <t>TOT. REP. W/ B.E. (mt)</t>
  </si>
  <si>
    <t>REP. RATIO (%)</t>
  </si>
  <si>
    <t xml:space="preserve">     </t>
  </si>
  <si>
    <r>
      <t>(</t>
    </r>
    <r>
      <rPr>
        <sz val="11"/>
        <color rgb="FFFF0000"/>
        <rFont val="Calibri"/>
        <family val="2"/>
        <scheme val="minor"/>
      </rPr>
      <t>Total Tamir</t>
    </r>
    <r>
      <rPr>
        <sz val="11"/>
        <color theme="1"/>
        <rFont val="Calibri"/>
        <family val="2"/>
        <scheme val="minor"/>
      </rPr>
      <t xml:space="preserve"> mt.)/[(</t>
    </r>
    <r>
      <rPr>
        <sz val="11"/>
        <color rgb="FFFF0000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x</t>
    </r>
    <r>
      <rPr>
        <sz val="11"/>
        <color rgb="FFFF0000"/>
        <rFont val="Calibri"/>
        <family val="2"/>
        <scheme val="minor"/>
      </rPr>
      <t>3.1415</t>
    </r>
    <r>
      <rPr>
        <sz val="11"/>
        <color theme="1"/>
        <rFont val="Calibri"/>
        <family val="2"/>
        <scheme val="minor"/>
      </rPr>
      <t>/</t>
    </r>
    <r>
      <rPr>
        <sz val="11"/>
        <color rgb="FFFF0000"/>
        <rFont val="Calibri"/>
        <family val="2"/>
        <scheme val="minor"/>
      </rPr>
      <t>W</t>
    </r>
    <r>
      <rPr>
        <sz val="11"/>
        <color theme="1"/>
        <rFont val="Calibri"/>
        <family val="2"/>
        <scheme val="minor"/>
      </rPr>
      <t>)(</t>
    </r>
    <r>
      <rPr>
        <sz val="11"/>
        <color rgb="FFFF0000"/>
        <rFont val="Calibri"/>
        <family val="2"/>
        <scheme val="minor"/>
      </rPr>
      <t>Total Length</t>
    </r>
    <r>
      <rPr>
        <sz val="11"/>
        <color theme="1"/>
        <rFont val="Calibri"/>
        <family val="2"/>
        <scheme val="minor"/>
      </rPr>
      <t xml:space="preserve"> mt.)</t>
    </r>
  </si>
  <si>
    <t>REP. RATIO W/ B.E. (%)</t>
  </si>
  <si>
    <r>
      <t>(</t>
    </r>
    <r>
      <rPr>
        <sz val="11"/>
        <color rgb="FFFF0000"/>
        <rFont val="Calibri"/>
        <family val="2"/>
        <scheme val="minor"/>
      </rPr>
      <t xml:space="preserve">Total Tamir w/B.E. </t>
    </r>
    <r>
      <rPr>
        <sz val="11"/>
        <color theme="1"/>
        <rFont val="Calibri"/>
        <family val="2"/>
        <scheme val="minor"/>
      </rPr>
      <t>mt.)/[(</t>
    </r>
    <r>
      <rPr>
        <sz val="11"/>
        <color rgb="FFFF0000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x</t>
    </r>
    <r>
      <rPr>
        <sz val="11"/>
        <color rgb="FFFF0000"/>
        <rFont val="Calibri"/>
        <family val="2"/>
        <scheme val="minor"/>
      </rPr>
      <t>3.1415</t>
    </r>
    <r>
      <rPr>
        <sz val="11"/>
        <color theme="1"/>
        <rFont val="Calibri"/>
        <family val="2"/>
        <scheme val="minor"/>
      </rPr>
      <t>/</t>
    </r>
    <r>
      <rPr>
        <sz val="11"/>
        <color rgb="FFFF0000"/>
        <rFont val="Calibri"/>
        <family val="2"/>
        <scheme val="minor"/>
      </rPr>
      <t>W</t>
    </r>
    <r>
      <rPr>
        <sz val="11"/>
        <color theme="1"/>
        <rFont val="Calibri"/>
        <family val="2"/>
        <scheme val="minor"/>
      </rPr>
      <t>)(</t>
    </r>
    <r>
      <rPr>
        <sz val="11"/>
        <color rgb="FFFF0000"/>
        <rFont val="Calibri"/>
        <family val="2"/>
        <scheme val="minor"/>
      </rPr>
      <t>Total Length</t>
    </r>
    <r>
      <rPr>
        <sz val="11"/>
        <color theme="1"/>
        <rFont val="Calibri"/>
        <family val="2"/>
        <scheme val="minor"/>
      </rPr>
      <t xml:space="preserve"> mt.)</t>
    </r>
  </si>
  <si>
    <t>50 ft</t>
  </si>
  <si>
    <t>Repair                                                                Rate :</t>
  </si>
  <si>
    <t>45 ft</t>
  </si>
  <si>
    <t>9+</t>
  </si>
  <si>
    <t>TOTAL REP. RATIO FOR P 1&amp; P 2</t>
  </si>
  <si>
    <t>91 ft</t>
  </si>
  <si>
    <t>70 ft</t>
  </si>
  <si>
    <t>Daily Results</t>
  </si>
  <si>
    <t>2025Q-05-095(P. 1&amp;2)</t>
  </si>
  <si>
    <t>Overall                                                                                   Including  Completed  Projects</t>
  </si>
  <si>
    <t>EX PROJECTS</t>
  </si>
  <si>
    <t>Repair Ratio (%)</t>
  </si>
  <si>
    <t>Repair Ratio Including Skelp-end Welds (%)</t>
  </si>
  <si>
    <t>Hawaii B1</t>
  </si>
  <si>
    <t>Hawaii B2</t>
  </si>
  <si>
    <t>Hawaii B3</t>
  </si>
  <si>
    <t>Hawaii (Ø60")</t>
  </si>
  <si>
    <t>Hawaii (Ø54")</t>
  </si>
  <si>
    <t>Lutak BP</t>
  </si>
  <si>
    <t>Lutak CP</t>
  </si>
  <si>
    <t>12-050a</t>
  </si>
  <si>
    <t>12-050b</t>
  </si>
  <si>
    <t>10-048</t>
  </si>
  <si>
    <t>04-057</t>
  </si>
  <si>
    <t>06-061</t>
  </si>
  <si>
    <t>04-055b</t>
  </si>
  <si>
    <t>10-069</t>
  </si>
  <si>
    <t>2024 Proj. Avg</t>
  </si>
  <si>
    <t>01-077</t>
  </si>
  <si>
    <t>01-078 + 080</t>
  </si>
  <si>
    <t>02-081</t>
  </si>
  <si>
    <t>12-073b</t>
  </si>
  <si>
    <t>03-086</t>
  </si>
  <si>
    <t>06-101</t>
  </si>
  <si>
    <t>65 ft</t>
  </si>
  <si>
    <t>FIRST 70 PIPE.</t>
  </si>
  <si>
    <t>BOTH PROJECTS.</t>
  </si>
  <si>
    <t>20 ft</t>
  </si>
  <si>
    <t>60 ft</t>
  </si>
  <si>
    <t>P2</t>
  </si>
  <si>
    <t>P4</t>
  </si>
  <si>
    <t>P6</t>
  </si>
  <si>
    <t>P10</t>
  </si>
  <si>
    <t>P12</t>
  </si>
  <si>
    <t>P14</t>
  </si>
  <si>
    <t>P16</t>
  </si>
  <si>
    <t>P18</t>
  </si>
  <si>
    <t>P22</t>
  </si>
  <si>
    <t>P26</t>
  </si>
  <si>
    <t>P8</t>
  </si>
  <si>
    <t>P28</t>
  </si>
  <si>
    <t>P30</t>
  </si>
  <si>
    <t>P34</t>
  </si>
  <si>
    <t>P36</t>
  </si>
  <si>
    <t>P38</t>
  </si>
  <si>
    <t>P40</t>
  </si>
  <si>
    <t>P42</t>
  </si>
  <si>
    <t>P44</t>
  </si>
  <si>
    <t>P46</t>
  </si>
  <si>
    <t>P48</t>
  </si>
  <si>
    <t>P50</t>
  </si>
  <si>
    <t>P52</t>
  </si>
  <si>
    <t>P54</t>
  </si>
  <si>
    <t>P56</t>
  </si>
  <si>
    <t>P32</t>
  </si>
  <si>
    <r>
      <t xml:space="preserve">Customer                  </t>
    </r>
    <r>
      <rPr>
        <sz val="16"/>
        <color rgb="FF00B050"/>
        <rFont val="Aptos"/>
        <family val="2"/>
      </rPr>
      <t xml:space="preserve"> </t>
    </r>
    <r>
      <rPr>
        <b/>
        <sz val="16"/>
        <color rgb="FF00B050"/>
        <rFont val="Aptos"/>
        <family val="2"/>
      </rPr>
      <t xml:space="preserve"> 163 pcs.      </t>
    </r>
    <r>
      <rPr>
        <sz val="16"/>
        <color rgb="FF00B050"/>
        <rFont val="Aptos"/>
        <family val="2"/>
      </rPr>
      <t xml:space="preserve">  </t>
    </r>
    <r>
      <rPr>
        <sz val="16"/>
        <color rgb="FF00DA63"/>
        <rFont val="Aptos"/>
        <family val="2"/>
      </rPr>
      <t xml:space="preserve">        </t>
    </r>
    <r>
      <rPr>
        <sz val="16"/>
        <color theme="1"/>
        <rFont val="Aptos"/>
        <family val="2"/>
      </rPr>
      <t xml:space="preserve">                    </t>
    </r>
  </si>
  <si>
    <t>P58</t>
  </si>
  <si>
    <t>P60</t>
  </si>
  <si>
    <t>P62</t>
  </si>
  <si>
    <t>P13</t>
  </si>
  <si>
    <t>P15</t>
  </si>
  <si>
    <t>P17</t>
  </si>
  <si>
    <t>P19</t>
  </si>
  <si>
    <t>P21</t>
  </si>
  <si>
    <r>
      <rPr>
        <b/>
        <sz val="16"/>
        <color theme="1"/>
        <rFont val="Aptos"/>
        <family val="2"/>
      </rPr>
      <t xml:space="preserve">2025Q-06-101 Project            </t>
    </r>
    <r>
      <rPr>
        <sz val="16"/>
        <color theme="1"/>
        <rFont val="Aptos"/>
        <family val="2"/>
      </rPr>
      <t xml:space="preserve">                                                                                                                                                      </t>
    </r>
  </si>
  <si>
    <t>P23</t>
  </si>
  <si>
    <t>P25</t>
  </si>
  <si>
    <t>P27</t>
  </si>
  <si>
    <t>P29</t>
  </si>
  <si>
    <t>P61</t>
  </si>
  <si>
    <t>P59</t>
  </si>
  <si>
    <t>P57</t>
  </si>
  <si>
    <t>P55</t>
  </si>
  <si>
    <t>P53</t>
  </si>
  <si>
    <t>P51</t>
  </si>
  <si>
    <t>P49</t>
  </si>
  <si>
    <t>P47</t>
  </si>
  <si>
    <t>P45</t>
  </si>
  <si>
    <t>P43</t>
  </si>
  <si>
    <t>P41</t>
  </si>
  <si>
    <t>P39</t>
  </si>
  <si>
    <t>2025Q-09-104</t>
  </si>
  <si>
    <t>09-104</t>
  </si>
  <si>
    <t>P37</t>
  </si>
  <si>
    <t>P35</t>
  </si>
  <si>
    <t>P33</t>
  </si>
  <si>
    <t>04-2Q-8004 (2025Q-01-79c)(Ø86.6)</t>
  </si>
  <si>
    <r>
      <rPr>
        <b/>
        <sz val="16"/>
        <color rgb="FFFF0000"/>
        <rFont val="Aptos"/>
        <family val="2"/>
      </rPr>
      <t>59</t>
    </r>
    <r>
      <rPr>
        <b/>
        <sz val="16"/>
        <color theme="1"/>
        <rFont val="Aptos"/>
        <family val="2"/>
      </rPr>
      <t xml:space="preserve"> Pipes' Clutch Tack Welding</t>
    </r>
    <r>
      <rPr>
        <b/>
        <sz val="16"/>
        <color rgb="FFFF0000"/>
        <rFont val="Aptos"/>
        <family val="2"/>
      </rPr>
      <t xml:space="preserve"> (Montaj)  </t>
    </r>
    <r>
      <rPr>
        <b/>
        <sz val="16"/>
        <color theme="1"/>
        <rFont val="Aptos"/>
        <family val="2"/>
      </rPr>
      <t xml:space="preserve">
</t>
    </r>
    <r>
      <rPr>
        <b/>
        <sz val="16"/>
        <color rgb="FF00B050"/>
        <rFont val="Aptos"/>
        <family val="2"/>
      </rPr>
      <t>55</t>
    </r>
    <r>
      <rPr>
        <b/>
        <sz val="16"/>
        <color theme="1"/>
        <rFont val="Aptos"/>
        <family val="2"/>
      </rPr>
      <t xml:space="preserve"> Pipes' Clutch Weld Out </t>
    </r>
    <r>
      <rPr>
        <b/>
        <sz val="16"/>
        <color rgb="FF00B050"/>
        <rFont val="Aptos"/>
        <family val="2"/>
      </rPr>
      <t>(Kaynak)</t>
    </r>
  </si>
  <si>
    <t xml:space="preserve">06-101 Project  </t>
  </si>
  <si>
    <t>P7</t>
  </si>
  <si>
    <t>P5</t>
  </si>
  <si>
    <t>P1</t>
  </si>
  <si>
    <t>P3</t>
  </si>
  <si>
    <t>P11</t>
  </si>
  <si>
    <t>P9</t>
  </si>
  <si>
    <t>P31</t>
  </si>
  <si>
    <t>2025Q-06-99a Project</t>
  </si>
  <si>
    <t>2025Q-06-099a</t>
  </si>
  <si>
    <t>06-100</t>
  </si>
  <si>
    <t>07-063c</t>
  </si>
  <si>
    <t>04-091b</t>
  </si>
  <si>
    <t>04-090b</t>
  </si>
  <si>
    <t>05-094a</t>
  </si>
  <si>
    <t>04-2q-8004(36'')</t>
  </si>
  <si>
    <t>05-094b</t>
  </si>
  <si>
    <t>09-068 (Ø30)</t>
  </si>
  <si>
    <t>07-063a</t>
  </si>
  <si>
    <t>07-063b</t>
  </si>
  <si>
    <r>
      <rPr>
        <b/>
        <sz val="18"/>
        <color rgb="FFFF0000"/>
        <rFont val="Aptos"/>
        <family val="2"/>
      </rPr>
      <t>11 ft</t>
    </r>
    <r>
      <rPr>
        <b/>
        <sz val="22"/>
        <color rgb="FFFF0000"/>
        <rFont val="Aptos"/>
        <family val="2"/>
      </rPr>
      <t xml:space="preserve"> </t>
    </r>
    <r>
      <rPr>
        <b/>
        <sz val="8"/>
        <color rgb="FFFF0000"/>
        <rFont val="Aptos"/>
        <family val="2"/>
      </rPr>
      <t>(spliced to 20ft)</t>
    </r>
  </si>
  <si>
    <t>Repair Rate :</t>
  </si>
  <si>
    <t>56 feet</t>
  </si>
  <si>
    <t>Beveling</t>
  </si>
  <si>
    <t>30 feet</t>
  </si>
  <si>
    <t xml:space="preserve">           </t>
  </si>
  <si>
    <t>PREV. REPAIRED PIPE NO.S</t>
  </si>
  <si>
    <t xml:space="preserve">Total                                                  Repair                             Amount                                (Meter) </t>
  </si>
  <si>
    <t>DAILY
REPAIR
AMOUNT
(METER)</t>
  </si>
  <si>
    <t xml:space="preserve">   </t>
  </si>
  <si>
    <t>2025Q-05-092</t>
  </si>
  <si>
    <t>05-092</t>
  </si>
  <si>
    <t>Plate Plug</t>
  </si>
  <si>
    <t>70 feet</t>
  </si>
  <si>
    <t>2025Q-06-99b</t>
  </si>
  <si>
    <r>
      <t xml:space="preserve">Tot. CTE Coat. </t>
    </r>
    <r>
      <rPr>
        <b/>
        <sz val="14"/>
        <color rgb="FFFF0000"/>
        <rFont val="Aptos"/>
        <family val="2"/>
      </rPr>
      <t>53 pcs.</t>
    </r>
    <r>
      <rPr>
        <b/>
        <sz val="14"/>
        <color rgb="FF00B050"/>
        <rFont val="Aptos"/>
        <family val="2"/>
      </rPr>
      <t xml:space="preserve">  </t>
    </r>
    <r>
      <rPr>
        <b/>
        <sz val="14"/>
        <color theme="1"/>
        <rFont val="Aptos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</si>
  <si>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 xml:space="preserve">05-092 Project                                                                                                                                                                  </t>
  </si>
  <si>
    <t>30 ft</t>
  </si>
  <si>
    <t>149.5 feet</t>
  </si>
  <si>
    <t>2025Q-05-093(Ø54)</t>
  </si>
  <si>
    <r>
      <rPr>
        <b/>
        <sz val="16"/>
        <color rgb="FFFF0000"/>
        <rFont val="Aptos"/>
        <family val="2"/>
      </rPr>
      <t>38</t>
    </r>
    <r>
      <rPr>
        <b/>
        <sz val="16"/>
        <color theme="1"/>
        <rFont val="Aptos"/>
        <family val="2"/>
      </rPr>
      <t xml:space="preserve"> Pipes' Clutch Tack Welding </t>
    </r>
    <r>
      <rPr>
        <b/>
        <sz val="16"/>
        <color rgb="FFFF0000"/>
        <rFont val="Aptos"/>
        <family val="2"/>
      </rPr>
      <t>(Montaj)</t>
    </r>
    <r>
      <rPr>
        <b/>
        <sz val="16"/>
        <color theme="1"/>
        <rFont val="Aptos"/>
        <family val="2"/>
      </rPr>
      <t xml:space="preserve">  
</t>
    </r>
    <r>
      <rPr>
        <b/>
        <sz val="16"/>
        <color rgb="FF00B050"/>
        <rFont val="Aptos"/>
        <family val="2"/>
      </rPr>
      <t>38</t>
    </r>
    <r>
      <rPr>
        <b/>
        <sz val="16"/>
        <color theme="1"/>
        <rFont val="Aptos"/>
        <family val="2"/>
      </rPr>
      <t xml:space="preserve"> Pipes' Clutch Weld Out </t>
    </r>
    <r>
      <rPr>
        <b/>
        <sz val="16"/>
        <color rgb="FF00B050"/>
        <rFont val="Aptos"/>
        <family val="2"/>
      </rPr>
      <t>(Kaynak)</t>
    </r>
  </si>
  <si>
    <t>265/265</t>
  </si>
  <si>
    <t>162 ft</t>
  </si>
  <si>
    <t>148 ft</t>
  </si>
  <si>
    <t>Bitumastic</t>
  </si>
  <si>
    <t>2025Q-05-093 ( Land Accessway)</t>
  </si>
  <si>
    <t>05-092
(Ø60"x1.25")</t>
  </si>
  <si>
    <t>2025Q-05-092(Ø60)</t>
  </si>
  <si>
    <t>Intergard</t>
  </si>
  <si>
    <t xml:space="preserve">09-104 Project  </t>
  </si>
  <si>
    <t>130 ft</t>
  </si>
  <si>
    <t>Plate P.</t>
  </si>
  <si>
    <r>
      <t>Customer:</t>
    </r>
    <r>
      <rPr>
        <b/>
        <sz val="16"/>
        <color rgb="FFFF0000"/>
        <rFont val="Aptos"/>
        <family val="2"/>
      </rPr>
      <t xml:space="preserve">                                              </t>
    </r>
    <r>
      <rPr>
        <b/>
        <sz val="16"/>
        <color rgb="FF00B050"/>
        <rFont val="Aptos"/>
        <family val="2"/>
      </rPr>
      <t xml:space="preserve">   92 pcs. </t>
    </r>
    <r>
      <rPr>
        <b/>
        <sz val="16"/>
        <color rgb="FFFF0000"/>
        <rFont val="Aptos"/>
        <family val="2"/>
      </rPr>
      <t xml:space="preserve">      </t>
    </r>
    <r>
      <rPr>
        <sz val="16"/>
        <color theme="1"/>
        <rFont val="Aptos"/>
        <family val="2"/>
      </rPr>
      <t xml:space="preserve">                              </t>
    </r>
  </si>
  <si>
    <t>CUSTOMER: 93 PCS.</t>
  </si>
  <si>
    <t>(Shipment Count including 06-101 1" thickness Pipes)</t>
  </si>
  <si>
    <t>2025Q-05-092(Ø60")</t>
  </si>
  <si>
    <t>06-099a</t>
  </si>
  <si>
    <t>06-099b</t>
  </si>
  <si>
    <t>2025Q-06-097</t>
  </si>
  <si>
    <t>72.5 ft</t>
  </si>
  <si>
    <t>82.5 ft</t>
  </si>
  <si>
    <r>
      <rPr>
        <b/>
        <sz val="14"/>
        <rFont val="Aptos"/>
        <family val="2"/>
      </rPr>
      <t>Total ME Coated</t>
    </r>
    <r>
      <rPr>
        <b/>
        <sz val="14"/>
        <color rgb="FFFF0000"/>
        <rFont val="Aptos"/>
        <family val="2"/>
      </rPr>
      <t xml:space="preserve"> </t>
    </r>
    <r>
      <rPr>
        <b/>
        <sz val="14"/>
        <color rgb="FF00B050"/>
        <rFont val="Aptos"/>
        <family val="2"/>
      </rPr>
      <t>58 pcs.</t>
    </r>
    <r>
      <rPr>
        <b/>
        <sz val="14"/>
        <color rgb="FFFF0000"/>
        <rFont val="Aptos"/>
        <family val="2"/>
      </rPr>
      <t xml:space="preserve">                                           </t>
    </r>
    <r>
      <rPr>
        <b/>
        <sz val="14"/>
        <color theme="1"/>
        <rFont val="Aptos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</si>
  <si>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(Ø60"x1.25")</t>
  </si>
  <si>
    <t xml:space="preserve">06-099a Project  </t>
  </si>
  <si>
    <t>WATCO: 131 PCS</t>
  </si>
  <si>
    <t>85 feet</t>
  </si>
  <si>
    <t>64'6" feet</t>
  </si>
  <si>
    <t>A2</t>
  </si>
  <si>
    <t>B2</t>
  </si>
  <si>
    <r>
      <t xml:space="preserve">Tot. 1st Lay. Coat. </t>
    </r>
    <r>
      <rPr>
        <b/>
        <sz val="14"/>
        <color rgb="FF00B050"/>
        <rFont val="Aptos"/>
        <family val="2"/>
      </rPr>
      <t>212 pcs.</t>
    </r>
    <r>
      <rPr>
        <b/>
        <sz val="14"/>
        <color theme="1"/>
        <rFont val="Aptos"/>
        <family val="2"/>
      </rPr>
      <t xml:space="preserve"> 
</t>
    </r>
    <r>
      <rPr>
        <b/>
        <sz val="11"/>
        <color theme="1"/>
        <rFont val="Aptos"/>
        <family val="2"/>
      </rPr>
      <t xml:space="preserve">Bitumastic300M+Intergard251: </t>
    </r>
    <r>
      <rPr>
        <b/>
        <sz val="11"/>
        <color rgb="FF00B050"/>
        <rFont val="Aptos"/>
        <family val="2"/>
      </rPr>
      <t>53 pcs</t>
    </r>
    <r>
      <rPr>
        <b/>
        <sz val="11"/>
        <color theme="1"/>
        <rFont val="Aptos"/>
        <family val="2"/>
      </rPr>
      <t xml:space="preserve">   </t>
    </r>
    <r>
      <rPr>
        <b/>
        <sz val="14"/>
        <color theme="1"/>
        <rFont val="Aptos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</si>
  <si>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05-093 Project(Ø54")</t>
  </si>
  <si>
    <t>A1</t>
  </si>
  <si>
    <t>B1</t>
  </si>
  <si>
    <t>A3</t>
  </si>
  <si>
    <t>B3</t>
  </si>
  <si>
    <t>A4</t>
  </si>
  <si>
    <t>B4</t>
  </si>
  <si>
    <t>A5</t>
  </si>
  <si>
    <t>B5</t>
  </si>
  <si>
    <t>A6</t>
  </si>
  <si>
    <t>B6</t>
  </si>
  <si>
    <r>
      <rPr>
        <b/>
        <sz val="14"/>
        <color theme="1"/>
        <rFont val="Aptos"/>
        <family val="2"/>
      </rPr>
      <t xml:space="preserve">
Bitumastic300M: </t>
    </r>
    <r>
      <rPr>
        <b/>
        <sz val="14"/>
        <color rgb="FF00B050"/>
        <rFont val="Aptos"/>
        <family val="2"/>
      </rPr>
      <t>6 pcs</t>
    </r>
    <r>
      <rPr>
        <b/>
        <sz val="14"/>
        <color theme="1"/>
        <rFont val="Aptos"/>
        <family val="2"/>
      </rPr>
      <t xml:space="preserve">
Intergard251: </t>
    </r>
    <r>
      <rPr>
        <b/>
        <sz val="14"/>
        <color rgb="FF00B050"/>
        <rFont val="Aptos"/>
        <family val="2"/>
      </rPr>
      <t xml:space="preserve">2 pcs </t>
    </r>
    <r>
      <rPr>
        <b/>
        <sz val="14"/>
        <color theme="1"/>
        <rFont val="Aptos"/>
        <family val="2"/>
      </rPr>
      <t xml:space="preserve"> </t>
    </r>
    <r>
      <rPr>
        <b/>
        <sz val="16"/>
        <color theme="1"/>
        <rFont val="Aptos"/>
        <family val="2"/>
      </rPr>
      <t xml:space="preserve">                   </t>
    </r>
    <r>
      <rPr>
        <b/>
        <sz val="18"/>
        <color theme="1"/>
        <rFont val="Aptos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</si>
  <si>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11.15.2025</t>
  </si>
  <si>
    <t>Clutch Mounted</t>
  </si>
  <si>
    <t>Ring O.</t>
  </si>
  <si>
    <t>CUSTOMER: 70 PCS.</t>
  </si>
  <si>
    <r>
      <t xml:space="preserve">Customer                  </t>
    </r>
    <r>
      <rPr>
        <b/>
        <sz val="16"/>
        <color rgb="FF00B050"/>
        <rFont val="Aptos"/>
        <family val="2"/>
      </rPr>
      <t xml:space="preserve"> 70 pcs.    </t>
    </r>
    <r>
      <rPr>
        <b/>
        <sz val="16"/>
        <color rgb="FFFF0000"/>
        <rFont val="Aptos"/>
        <family val="2"/>
      </rPr>
      <t xml:space="preserve">  </t>
    </r>
    <r>
      <rPr>
        <b/>
        <sz val="16"/>
        <color theme="1"/>
        <rFont val="Aptos"/>
        <family val="2"/>
      </rPr>
      <t xml:space="preserve">     </t>
    </r>
    <r>
      <rPr>
        <sz val="16"/>
        <color theme="1"/>
        <rFont val="Aptos"/>
        <family val="2"/>
      </rPr>
      <t xml:space="preserve">                         </t>
    </r>
  </si>
  <si>
    <t>11.17.2025</t>
  </si>
  <si>
    <t>Clutch Weld Out</t>
  </si>
  <si>
    <t>05-092 Project  (Ø60)</t>
  </si>
  <si>
    <t>CTE COATED: 38 PCS.</t>
  </si>
  <si>
    <r>
      <t xml:space="preserve">Total Top CTE Coated </t>
    </r>
    <r>
      <rPr>
        <b/>
        <sz val="18"/>
        <color rgb="FF00B050"/>
        <rFont val="Aptos"/>
        <family val="2"/>
      </rPr>
      <t xml:space="preserve">38 pcs. </t>
    </r>
    <r>
      <rPr>
        <b/>
        <sz val="18"/>
        <color rgb="FFFF0000"/>
        <rFont val="Aptos"/>
        <family val="2"/>
      </rPr>
      <t xml:space="preserve">    </t>
    </r>
    <r>
      <rPr>
        <b/>
        <sz val="18"/>
        <color theme="1"/>
        <rFont val="Aptos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</si>
  <si>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11.18.2025</t>
  </si>
  <si>
    <t>11.19.2025</t>
  </si>
  <si>
    <t>85 ft</t>
  </si>
  <si>
    <t>79.5 ft</t>
  </si>
  <si>
    <t>81 ft</t>
  </si>
  <si>
    <t>57/57</t>
  </si>
  <si>
    <t>05-093(LA)</t>
  </si>
  <si>
    <t>05-093(Ø54)</t>
  </si>
  <si>
    <t>05-092(Ø60)</t>
  </si>
  <si>
    <t>77 ft</t>
  </si>
  <si>
    <t>11.20.2025</t>
  </si>
  <si>
    <r>
      <rPr>
        <b/>
        <sz val="18"/>
        <color rgb="FFFF0000"/>
        <rFont val="Aptos"/>
        <family val="2"/>
      </rPr>
      <t xml:space="preserve">22 </t>
    </r>
    <r>
      <rPr>
        <b/>
        <sz val="18"/>
        <color theme="1"/>
        <rFont val="Aptos"/>
        <family val="2"/>
      </rPr>
      <t xml:space="preserve">Pipes Plate Plug Tack Welding </t>
    </r>
    <r>
      <rPr>
        <b/>
        <sz val="14"/>
        <color rgb="FFFF0000"/>
        <rFont val="Aptos"/>
        <family val="2"/>
      </rPr>
      <t>(Montaj)</t>
    </r>
  </si>
  <si>
    <r>
      <rPr>
        <b/>
        <sz val="18"/>
        <color rgb="FF00B050"/>
        <rFont val="Aptos"/>
        <family val="2"/>
      </rPr>
      <t xml:space="preserve">22 </t>
    </r>
    <r>
      <rPr>
        <b/>
        <sz val="18"/>
        <color theme="1"/>
        <rFont val="Aptos"/>
        <family val="2"/>
      </rPr>
      <t xml:space="preserve">Pipes Plate Plug Weld Out </t>
    </r>
    <r>
      <rPr>
        <b/>
        <sz val="14"/>
        <color rgb="FF00B050"/>
        <rFont val="Aptos"/>
        <family val="2"/>
      </rPr>
      <t>(Kaynak)</t>
    </r>
  </si>
  <si>
    <t>B-48</t>
  </si>
  <si>
    <t>B-59</t>
  </si>
  <si>
    <t>B-23</t>
  </si>
  <si>
    <t>B-60</t>
  </si>
  <si>
    <t>B-67</t>
  </si>
  <si>
    <t>B-61</t>
  </si>
  <si>
    <t>B-62</t>
  </si>
  <si>
    <t>B-63</t>
  </si>
  <si>
    <t>B-64</t>
  </si>
  <si>
    <t>B-65</t>
  </si>
  <si>
    <t>B-66</t>
  </si>
  <si>
    <r>
      <t xml:space="preserve">Watco:
</t>
    </r>
    <r>
      <rPr>
        <b/>
        <sz val="16"/>
        <color rgb="FF00B050"/>
        <rFont val="Aptos"/>
        <family val="2"/>
      </rPr>
      <t>12 pcs.</t>
    </r>
  </si>
  <si>
    <r>
      <t xml:space="preserve">Watco: 
</t>
    </r>
    <r>
      <rPr>
        <b/>
        <sz val="16"/>
        <color rgb="FF00B050"/>
        <rFont val="Aptos"/>
        <family val="2"/>
      </rPr>
      <t>23 pcs.</t>
    </r>
  </si>
  <si>
    <r>
      <t xml:space="preserve">Customer: 
</t>
    </r>
    <r>
      <rPr>
        <b/>
        <sz val="16"/>
        <color rgb="FF00B050"/>
        <rFont val="Aptos"/>
        <family val="2"/>
      </rPr>
      <t>16 pcs.</t>
    </r>
  </si>
  <si>
    <t>11.21.2025</t>
  </si>
  <si>
    <t>B-49</t>
  </si>
  <si>
    <t>B-50</t>
  </si>
  <si>
    <t>B-51</t>
  </si>
  <si>
    <t>B-52</t>
  </si>
  <si>
    <t>B-55</t>
  </si>
  <si>
    <t>B-53</t>
  </si>
  <si>
    <t>B-54</t>
  </si>
  <si>
    <t>B-58</t>
  </si>
  <si>
    <t>B-56</t>
  </si>
  <si>
    <t>B-57</t>
  </si>
  <si>
    <t>11.22.2025</t>
  </si>
  <si>
    <t>64.50 feet</t>
  </si>
  <si>
    <t>74.50 feet</t>
  </si>
  <si>
    <t xml:space="preserve">Total Manufactured Pipe Quantity                                                                                                                                                                                                                (Toplam Boru Uretim Adedi)          </t>
  </si>
  <si>
    <r>
      <t xml:space="preserve">Incoming Materials                                                                                     </t>
    </r>
    <r>
      <rPr>
        <sz val="16"/>
        <color theme="1"/>
        <rFont val="Aptos"/>
        <family val="2"/>
      </rPr>
      <t xml:space="preserve">(Gelen Bant ve Plakalar)    </t>
    </r>
  </si>
  <si>
    <t>CONTENTS</t>
  </si>
  <si>
    <t>CONTENT</t>
  </si>
  <si>
    <t>Page</t>
  </si>
  <si>
    <t xml:space="preserve">2025Q-06-097  - Ø 60 " x 0.688 " - 57 Pipes </t>
  </si>
  <si>
    <t xml:space="preserve">2025Q-05-092   - Ø 60 " x 1.25 " - 68 Pipes </t>
  </si>
  <si>
    <t xml:space="preserve">2025Q-05-093 (LA)- Ø 36 " x 0.75 " - 19 Pipes </t>
  </si>
  <si>
    <t xml:space="preserve">2025Q-05-093 (LA)- Ø 54 " x 1 " - 6 Pipes </t>
  </si>
  <si>
    <t>2025Q-05-093(EP)  Ø 36 " x 0.75 " - 265 Pipes</t>
  </si>
  <si>
    <t xml:space="preserve">07-063b SPILLMAN Ø 30 " x 0.75 " - 131 Pipes </t>
  </si>
  <si>
    <t xml:space="preserve">2025Q-09-104  - Ø 36 " x 0.75 " - 70 Pipes </t>
  </si>
  <si>
    <t xml:space="preserve">2025Q-06-99b-(ORION)- Ø 60"x0.75"-18 Pipes </t>
  </si>
  <si>
    <t xml:space="preserve">2025Q-06-99a-(ORION)- Ø 36"x0.75"-38 Pipes </t>
  </si>
  <si>
    <t xml:space="preserve">2025Q-06-097 - Ø 42 " x 0.50 " - 4 Pipes </t>
  </si>
  <si>
    <t>06-097</t>
  </si>
  <si>
    <t>Out. Ring. Weld Out.</t>
  </si>
  <si>
    <r>
      <rPr>
        <b/>
        <sz val="18"/>
        <color rgb="FFFF0000"/>
        <rFont val="Aptos"/>
        <family val="2"/>
      </rPr>
      <t>31</t>
    </r>
    <r>
      <rPr>
        <b/>
        <sz val="18"/>
        <color theme="1"/>
        <rFont val="Aptos"/>
        <family val="2"/>
      </rPr>
      <t xml:space="preserve"> Pipes Clutch Tack Welding. </t>
    </r>
    <r>
      <rPr>
        <b/>
        <sz val="14"/>
        <color rgb="FFFF0000"/>
        <rFont val="Aptos"/>
        <family val="2"/>
      </rPr>
      <t>(Montaj)</t>
    </r>
  </si>
  <si>
    <t>WATCO: 38 PCS.</t>
  </si>
  <si>
    <r>
      <t xml:space="preserve">Watco: 
</t>
    </r>
    <r>
      <rPr>
        <b/>
        <sz val="16"/>
        <color rgb="FF00B050"/>
        <rFont val="Aptos"/>
        <family val="2"/>
      </rPr>
      <t>38 pcs.</t>
    </r>
  </si>
  <si>
    <r>
      <t xml:space="preserve">Watco: 
</t>
    </r>
    <r>
      <rPr>
        <b/>
        <sz val="16"/>
        <color rgb="FF00B050"/>
        <rFont val="Aptos"/>
        <family val="2"/>
      </rPr>
      <t>131 pcs.</t>
    </r>
  </si>
  <si>
    <t>11.24.2025</t>
  </si>
  <si>
    <r>
      <t xml:space="preserve">Watco:
</t>
    </r>
    <r>
      <rPr>
        <b/>
        <sz val="16"/>
        <color rgb="FF00B050"/>
        <rFont val="Aptos"/>
        <family val="2"/>
      </rPr>
      <t>18 pcs.</t>
    </r>
  </si>
  <si>
    <r>
      <t xml:space="preserve">Watco:                                                      </t>
    </r>
    <r>
      <rPr>
        <b/>
        <sz val="16"/>
        <color rgb="FF00B050"/>
        <rFont val="Aptos"/>
        <family val="2"/>
      </rPr>
      <t xml:space="preserve">264 pcs. </t>
    </r>
  </si>
  <si>
    <r>
      <rPr>
        <b/>
        <sz val="16"/>
        <color theme="1"/>
        <rFont val="Aptos"/>
        <family val="2"/>
      </rPr>
      <t xml:space="preserve">06-097 Project            </t>
    </r>
    <r>
      <rPr>
        <sz val="16"/>
        <color theme="1"/>
        <rFont val="Aptos"/>
        <family val="2"/>
      </rPr>
      <t xml:space="preserve">                                                                                                                                                      </t>
    </r>
  </si>
  <si>
    <t>11.25.2025</t>
  </si>
  <si>
    <t xml:space="preserve">05-095
(Ø72"x1")
</t>
  </si>
  <si>
    <r>
      <rPr>
        <b/>
        <sz val="18"/>
        <color rgb="FF00B050"/>
        <rFont val="Aptos"/>
        <family val="2"/>
      </rPr>
      <t>31</t>
    </r>
    <r>
      <rPr>
        <b/>
        <sz val="18"/>
        <color theme="1"/>
        <rFont val="Aptos"/>
        <family val="2"/>
      </rPr>
      <t xml:space="preserve"> Pipes Clutch Weld Out </t>
    </r>
    <r>
      <rPr>
        <b/>
        <sz val="18"/>
        <color rgb="FF00B050"/>
        <rFont val="Aptos"/>
        <family val="2"/>
      </rPr>
      <t>(Kaynak)</t>
    </r>
  </si>
  <si>
    <r>
      <t xml:space="preserve">Total Primer Coated </t>
    </r>
    <r>
      <rPr>
        <b/>
        <sz val="12"/>
        <color rgb="FFFF0000"/>
        <rFont val="Aptos"/>
        <family val="2"/>
      </rPr>
      <t xml:space="preserve">22 pcs.
</t>
    </r>
    <r>
      <rPr>
        <b/>
        <sz val="12"/>
        <color theme="1"/>
        <rFont val="Aptos"/>
        <family val="2"/>
      </rPr>
      <t>Total First L. Coated</t>
    </r>
    <r>
      <rPr>
        <b/>
        <sz val="12"/>
        <color rgb="FF00B050"/>
        <rFont val="Aptos"/>
        <family val="2"/>
      </rPr>
      <t xml:space="preserve"> </t>
    </r>
    <r>
      <rPr>
        <b/>
        <sz val="12"/>
        <color theme="7"/>
        <rFont val="Aptos"/>
        <family val="2"/>
      </rPr>
      <t>20 pcs.</t>
    </r>
    <r>
      <rPr>
        <b/>
        <sz val="12"/>
        <color rgb="FF00B050"/>
        <rFont val="Aptos"/>
        <family val="2"/>
      </rPr>
      <t xml:space="preserve">
</t>
    </r>
    <r>
      <rPr>
        <b/>
        <sz val="12"/>
        <color theme="1"/>
        <rFont val="Aptos"/>
        <family val="2"/>
      </rPr>
      <t xml:space="preserve">Total Top L. Coated </t>
    </r>
    <r>
      <rPr>
        <b/>
        <sz val="12"/>
        <color rgb="FF00B050"/>
        <rFont val="Aptos"/>
        <family val="2"/>
      </rPr>
      <t>17 pcs</t>
    </r>
    <r>
      <rPr>
        <b/>
        <sz val="12"/>
        <color theme="1"/>
        <rFont val="Aptos"/>
        <family val="2"/>
      </rPr>
      <t xml:space="preserve"> </t>
    </r>
    <r>
      <rPr>
        <b/>
        <sz val="12"/>
        <color rgb="FF00B050"/>
        <rFont val="Aptos"/>
        <family val="2"/>
      </rPr>
      <t xml:space="preserve">  </t>
    </r>
    <r>
      <rPr>
        <b/>
        <sz val="12"/>
        <color theme="1"/>
        <rFont val="Aptos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</si>
  <si>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t xml:space="preserve">SW Targuard
Red CTE
</t>
    </r>
    <r>
      <rPr>
        <b/>
        <sz val="14"/>
        <color rgb="FFFFC000"/>
        <rFont val="Aptos"/>
        <family val="2"/>
      </rPr>
      <t>(Intermediate Layer)</t>
    </r>
  </si>
  <si>
    <r>
      <t xml:space="preserve"> Total JDF-HDM numbered                                                                 </t>
    </r>
    <r>
      <rPr>
        <b/>
        <sz val="14"/>
        <color rgb="FFFF0000"/>
        <rFont val="Aptos"/>
        <family val="2"/>
      </rPr>
      <t xml:space="preserve">COIL </t>
    </r>
    <r>
      <rPr>
        <b/>
        <sz val="14"/>
        <color theme="1"/>
        <rFont val="Aptos"/>
        <family val="2"/>
      </rPr>
      <t>quantity is 2876.                                                                           (HDM2876)</t>
    </r>
  </si>
  <si>
    <t>05-095 Priority #2-Ø72"x1"-190 Pipes</t>
  </si>
  <si>
    <t>10/11</t>
  </si>
  <si>
    <t xml:space="preserve">
05-095
</t>
  </si>
  <si>
    <t>(Ø72"x1")</t>
  </si>
  <si>
    <t>06-097
(Ø60"x0.688")</t>
  </si>
  <si>
    <t>2025Q-06-097(42)</t>
  </si>
  <si>
    <t>2025Q-05-095 (P.3)</t>
  </si>
  <si>
    <r>
      <t xml:space="preserve">Watco:
</t>
    </r>
    <r>
      <rPr>
        <b/>
        <sz val="16"/>
        <color rgb="FF00B050"/>
        <rFont val="Aptos"/>
        <family val="2"/>
      </rPr>
      <t>22 pcs</t>
    </r>
  </si>
  <si>
    <t>39</t>
  </si>
  <si>
    <t>44                                                        ...                                          46                                                
(3 pcs)</t>
  </si>
  <si>
    <t>46/68</t>
  </si>
  <si>
    <t>188
…
190
(3 pcs.)</t>
  </si>
  <si>
    <t>88/190</t>
  </si>
  <si>
    <r>
      <rPr>
        <b/>
        <sz val="16"/>
        <color rgb="FF00B050"/>
        <rFont val="Aptos"/>
        <family val="2"/>
      </rPr>
      <t xml:space="preserve">19/19 </t>
    </r>
    <r>
      <rPr>
        <b/>
        <sz val="16"/>
        <color theme="1"/>
        <rFont val="Aptos"/>
        <family val="2"/>
      </rPr>
      <t>for</t>
    </r>
    <r>
      <rPr>
        <b/>
        <sz val="16"/>
        <color rgb="FF00B050"/>
        <rFont val="Aptos"/>
        <family val="2"/>
      </rPr>
      <t xml:space="preserve"> 05-093    </t>
    </r>
    <r>
      <rPr>
        <b/>
        <sz val="16"/>
        <color rgb="FFFF0000"/>
        <rFont val="Aptos"/>
        <family val="2"/>
      </rPr>
      <t xml:space="preserve">                                                                                            75</t>
    </r>
    <r>
      <rPr>
        <b/>
        <sz val="16"/>
        <rFont val="Aptos"/>
        <family val="2"/>
      </rPr>
      <t xml:space="preserve">  for  </t>
    </r>
    <r>
      <rPr>
        <b/>
        <sz val="16"/>
        <color rgb="FFFF0000"/>
        <rFont val="Aptos"/>
        <family val="2"/>
      </rPr>
      <t xml:space="preserve">05-095 Priority #2   </t>
    </r>
    <r>
      <rPr>
        <b/>
        <sz val="16"/>
        <color rgb="FF00DA63"/>
        <rFont val="Aptos"/>
        <family val="2"/>
      </rPr>
      <t xml:space="preserve">                                                                                         </t>
    </r>
    <r>
      <rPr>
        <b/>
        <sz val="16"/>
        <color rgb="FFFF0000"/>
        <rFont val="Aptos"/>
        <family val="2"/>
      </rPr>
      <t xml:space="preserve">  </t>
    </r>
    <r>
      <rPr>
        <b/>
        <sz val="16"/>
        <color theme="1"/>
        <rFont val="Aptos"/>
        <family val="2"/>
      </rPr>
      <t xml:space="preserve">                                                               </t>
    </r>
    <r>
      <rPr>
        <b/>
        <sz val="16"/>
        <color rgb="FFFF0000"/>
        <rFont val="Aptos"/>
        <family val="2"/>
      </rPr>
      <t xml:space="preserve"> 3 </t>
    </r>
    <r>
      <rPr>
        <b/>
        <sz val="16"/>
        <color theme="1"/>
        <rFont val="Aptos"/>
        <family val="2"/>
      </rPr>
      <t xml:space="preserve"> for </t>
    </r>
    <r>
      <rPr>
        <b/>
        <sz val="16"/>
        <color rgb="FFFF0000"/>
        <rFont val="Aptos"/>
        <family val="2"/>
      </rPr>
      <t xml:space="preserve">06-097 (Ø42") </t>
    </r>
    <r>
      <rPr>
        <b/>
        <sz val="16"/>
        <color rgb="FF00B050"/>
        <rFont val="Aptos"/>
        <family val="2"/>
      </rPr>
      <t xml:space="preserve"> </t>
    </r>
    <r>
      <rPr>
        <b/>
        <sz val="16"/>
        <color theme="1"/>
        <rFont val="Aptos"/>
        <family val="2"/>
      </rPr>
      <t xml:space="preserve">                                                                                                                       </t>
    </r>
    <r>
      <rPr>
        <b/>
        <sz val="16"/>
        <color rgb="FF00B050"/>
        <rFont val="Aptos"/>
        <family val="2"/>
      </rPr>
      <t xml:space="preserve">                                                            </t>
    </r>
    <r>
      <rPr>
        <b/>
        <sz val="16"/>
        <color rgb="FFFF0000"/>
        <rFont val="Aptos"/>
        <family val="2"/>
      </rPr>
      <t xml:space="preserve">                                                                                                                                    </t>
    </r>
    <r>
      <rPr>
        <b/>
        <sz val="16"/>
        <color rgb="FF00B050"/>
        <rFont val="Aptos"/>
        <family val="2"/>
      </rPr>
      <t xml:space="preserve"> </t>
    </r>
    <r>
      <rPr>
        <b/>
        <sz val="16"/>
        <color rgb="FFFF0000"/>
        <rFont val="Aptos"/>
        <family val="2"/>
      </rPr>
      <t xml:space="preserve">                                                                                                                                                                                       </t>
    </r>
    <r>
      <rPr>
        <b/>
        <sz val="16"/>
        <color rgb="FF00B050"/>
        <rFont val="Aptos"/>
        <family val="2"/>
      </rPr>
      <t xml:space="preserve">                                    </t>
    </r>
    <r>
      <rPr>
        <b/>
        <sz val="16"/>
        <color rgb="FFFF0000"/>
        <rFont val="Aptos"/>
        <family val="2"/>
      </rPr>
      <t xml:space="preserve">                                                              </t>
    </r>
    <r>
      <rPr>
        <b/>
        <sz val="16"/>
        <color rgb="FF00B050"/>
        <rFont val="Aptos"/>
        <family val="2"/>
      </rPr>
      <t xml:space="preserve">                                                                        </t>
    </r>
    <r>
      <rPr>
        <b/>
        <sz val="16"/>
        <color rgb="FFFF0000"/>
        <rFont val="Aptos"/>
        <family val="2"/>
      </rPr>
      <t xml:space="preserve">                                                 </t>
    </r>
    <r>
      <rPr>
        <b/>
        <sz val="16"/>
        <color rgb="FF00B050"/>
        <rFont val="Aptos"/>
        <family val="2"/>
      </rPr>
      <t xml:space="preserve">                                                                                                                                                              </t>
    </r>
    <r>
      <rPr>
        <b/>
        <sz val="16"/>
        <color rgb="FFFF0000"/>
        <rFont val="Aptos"/>
        <family val="2"/>
      </rPr>
      <t xml:space="preserve">                                                                                          </t>
    </r>
    <r>
      <rPr>
        <b/>
        <sz val="16"/>
        <color rgb="FF00B050"/>
        <rFont val="Aptos"/>
        <family val="2"/>
      </rPr>
      <t xml:space="preserve">           </t>
    </r>
    <r>
      <rPr>
        <b/>
        <sz val="16"/>
        <color rgb="FFFF0000"/>
        <rFont val="Aptos"/>
        <family val="2"/>
      </rPr>
      <t xml:space="preserve">          </t>
    </r>
    <r>
      <rPr>
        <b/>
        <sz val="16"/>
        <color rgb="FF00B050"/>
        <rFont val="Aptos"/>
        <family val="2"/>
      </rPr>
      <t xml:space="preserve">                                                                      </t>
    </r>
    <r>
      <rPr>
        <b/>
        <sz val="16"/>
        <color rgb="FFFF0000"/>
        <rFont val="Aptos"/>
        <family val="2"/>
      </rPr>
      <t xml:space="preserve">                                                                                                    </t>
    </r>
    <r>
      <rPr>
        <b/>
        <sz val="16"/>
        <color rgb="FF00B050"/>
        <rFont val="Aptos"/>
        <family val="2"/>
      </rPr>
      <t xml:space="preserve">                                                   </t>
    </r>
    <r>
      <rPr>
        <b/>
        <sz val="16"/>
        <color rgb="FFFF0000"/>
        <rFont val="Aptos"/>
        <family val="2"/>
      </rPr>
      <t xml:space="preserve">                                                                                                                            </t>
    </r>
    <r>
      <rPr>
        <b/>
        <sz val="16"/>
        <color rgb="FF00B050"/>
        <rFont val="Aptos"/>
        <family val="2"/>
      </rPr>
      <t xml:space="preserve">      </t>
    </r>
    <r>
      <rPr>
        <b/>
        <sz val="16"/>
        <color rgb="FFFF0000"/>
        <rFont val="Aptos"/>
        <family val="2"/>
      </rPr>
      <t xml:space="preserve">                                                                                                                                                               </t>
    </r>
    <r>
      <rPr>
        <b/>
        <sz val="16"/>
        <color rgb="FF00B050"/>
        <rFont val="Aptos"/>
        <family val="2"/>
      </rPr>
      <t xml:space="preserve">   </t>
    </r>
    <r>
      <rPr>
        <b/>
        <sz val="16"/>
        <color rgb="FFFF0000"/>
        <rFont val="Aptos"/>
        <family val="2"/>
      </rPr>
      <t xml:space="preserve">                                                                                                                      </t>
    </r>
    <r>
      <rPr>
        <b/>
        <sz val="16"/>
        <color theme="1"/>
        <rFont val="Aptos"/>
        <family val="2"/>
      </rPr>
      <t xml:space="preserve">                                                      </t>
    </r>
  </si>
  <si>
    <t>173                               179                                                                         189</t>
  </si>
  <si>
    <r>
      <rPr>
        <b/>
        <sz val="16"/>
        <color rgb="FFFF0000"/>
        <rFont val="Aptos"/>
        <family val="2"/>
      </rPr>
      <t xml:space="preserve">40/68 </t>
    </r>
    <r>
      <rPr>
        <b/>
        <sz val="16"/>
        <color theme="1"/>
        <rFont val="Aptos"/>
        <family val="2"/>
      </rPr>
      <t>for</t>
    </r>
    <r>
      <rPr>
        <b/>
        <sz val="16"/>
        <color rgb="FF00B050"/>
        <rFont val="Aptos"/>
        <family val="2"/>
      </rPr>
      <t xml:space="preserve"> </t>
    </r>
    <r>
      <rPr>
        <b/>
        <sz val="16"/>
        <color rgb="FFFF0000"/>
        <rFont val="Aptos"/>
        <family val="2"/>
      </rPr>
      <t>05-092</t>
    </r>
    <r>
      <rPr>
        <b/>
        <sz val="16"/>
        <color rgb="FF00B050"/>
        <rFont val="Aptos"/>
        <family val="2"/>
      </rPr>
      <t xml:space="preserve">
265/265</t>
    </r>
    <r>
      <rPr>
        <b/>
        <sz val="16"/>
        <color rgb="FFFF0000"/>
        <rFont val="Aptos"/>
        <family val="2"/>
      </rPr>
      <t xml:space="preserve"> </t>
    </r>
    <r>
      <rPr>
        <b/>
        <sz val="16"/>
        <color theme="1"/>
        <rFont val="Aptos"/>
        <family val="2"/>
      </rPr>
      <t>for</t>
    </r>
    <r>
      <rPr>
        <b/>
        <sz val="16"/>
        <color rgb="FF00B050"/>
        <rFont val="Aptos"/>
        <family val="2"/>
      </rPr>
      <t xml:space="preserve"> 05-093
</t>
    </r>
    <r>
      <rPr>
        <b/>
        <sz val="16"/>
        <color rgb="FFFF0000"/>
        <rFont val="Aptos"/>
        <family val="2"/>
      </rPr>
      <t xml:space="preserve">57 </t>
    </r>
    <r>
      <rPr>
        <b/>
        <sz val="16"/>
        <color theme="1"/>
        <rFont val="Aptos"/>
        <family val="2"/>
      </rPr>
      <t>for</t>
    </r>
    <r>
      <rPr>
        <b/>
        <sz val="16"/>
        <color rgb="FF00B050"/>
        <rFont val="Aptos"/>
        <family val="2"/>
      </rPr>
      <t xml:space="preserve"> </t>
    </r>
    <r>
      <rPr>
        <b/>
        <sz val="16"/>
        <color rgb="FFFF0000"/>
        <rFont val="Aptos"/>
        <family val="2"/>
      </rPr>
      <t xml:space="preserve">06-097                                                                                        </t>
    </r>
    <r>
      <rPr>
        <b/>
        <sz val="16"/>
        <color rgb="FF00B050"/>
        <rFont val="Aptos"/>
        <family val="2"/>
      </rPr>
      <t xml:space="preserve">                                    </t>
    </r>
    <r>
      <rPr>
        <b/>
        <sz val="16"/>
        <color rgb="FFFF0000"/>
        <rFont val="Aptos"/>
        <family val="2"/>
      </rPr>
      <t xml:space="preserve">                                                              </t>
    </r>
    <r>
      <rPr>
        <b/>
        <sz val="16"/>
        <color rgb="FF00B050"/>
        <rFont val="Aptos"/>
        <family val="2"/>
      </rPr>
      <t xml:space="preserve">                                                                        </t>
    </r>
    <r>
      <rPr>
        <b/>
        <sz val="16"/>
        <color rgb="FFFF0000"/>
        <rFont val="Aptos"/>
        <family val="2"/>
      </rPr>
      <t xml:space="preserve">                                                 </t>
    </r>
    <r>
      <rPr>
        <b/>
        <sz val="16"/>
        <color rgb="FF00B050"/>
        <rFont val="Aptos"/>
        <family val="2"/>
      </rPr>
      <t xml:space="preserve">                                                                                                                                                              </t>
    </r>
    <r>
      <rPr>
        <b/>
        <sz val="16"/>
        <color rgb="FFFF0000"/>
        <rFont val="Aptos"/>
        <family val="2"/>
      </rPr>
      <t xml:space="preserve">                                                                                          </t>
    </r>
    <r>
      <rPr>
        <b/>
        <sz val="16"/>
        <color rgb="FF00B050"/>
        <rFont val="Aptos"/>
        <family val="2"/>
      </rPr>
      <t xml:space="preserve">           </t>
    </r>
    <r>
      <rPr>
        <b/>
        <sz val="16"/>
        <color rgb="FFFF0000"/>
        <rFont val="Aptos"/>
        <family val="2"/>
      </rPr>
      <t xml:space="preserve">          </t>
    </r>
    <r>
      <rPr>
        <b/>
        <sz val="16"/>
        <color rgb="FF00B050"/>
        <rFont val="Aptos"/>
        <family val="2"/>
      </rPr>
      <t xml:space="preserve">                                                                      </t>
    </r>
    <r>
      <rPr>
        <b/>
        <sz val="16"/>
        <color rgb="FFFF0000"/>
        <rFont val="Aptos"/>
        <family val="2"/>
      </rPr>
      <t xml:space="preserve">                                                                                                    </t>
    </r>
    <r>
      <rPr>
        <b/>
        <sz val="16"/>
        <color rgb="FF00B050"/>
        <rFont val="Aptos"/>
        <family val="2"/>
      </rPr>
      <t xml:space="preserve">                                                   </t>
    </r>
    <r>
      <rPr>
        <b/>
        <sz val="16"/>
        <color rgb="FFFF0000"/>
        <rFont val="Aptos"/>
        <family val="2"/>
      </rPr>
      <t xml:space="preserve">                                                                                                                            </t>
    </r>
    <r>
      <rPr>
        <b/>
        <sz val="16"/>
        <color rgb="FF00B050"/>
        <rFont val="Aptos"/>
        <family val="2"/>
      </rPr>
      <t xml:space="preserve">      </t>
    </r>
    <r>
      <rPr>
        <b/>
        <sz val="16"/>
        <color rgb="FFFF0000"/>
        <rFont val="Aptos"/>
        <family val="2"/>
      </rPr>
      <t xml:space="preserve">                                                                                                                                                               </t>
    </r>
    <r>
      <rPr>
        <b/>
        <sz val="16"/>
        <color rgb="FF00B050"/>
        <rFont val="Aptos"/>
        <family val="2"/>
      </rPr>
      <t xml:space="preserve">   </t>
    </r>
    <r>
      <rPr>
        <b/>
        <sz val="16"/>
        <color rgb="FFFF0000"/>
        <rFont val="Aptos"/>
        <family val="2"/>
      </rPr>
      <t xml:space="preserve">                                                                                                                      </t>
    </r>
    <r>
      <rPr>
        <b/>
        <sz val="16"/>
        <color theme="1"/>
        <rFont val="Aptos"/>
        <family val="2"/>
      </rPr>
      <t xml:space="preserve">                                                      </t>
    </r>
  </si>
  <si>
    <r>
      <rPr>
        <b/>
        <sz val="16"/>
        <color rgb="FFFF0000"/>
        <rFont val="Aptos"/>
        <family val="2"/>
      </rPr>
      <t xml:space="preserve">37 </t>
    </r>
    <r>
      <rPr>
        <b/>
        <sz val="16"/>
        <color theme="1"/>
        <rFont val="Aptos"/>
        <family val="2"/>
      </rPr>
      <t xml:space="preserve">Pipes' Clutch Tack Welding </t>
    </r>
    <r>
      <rPr>
        <b/>
        <sz val="16"/>
        <color rgb="FFFF3B3B"/>
        <rFont val="Aptos"/>
        <family val="2"/>
      </rPr>
      <t>(Montaj)</t>
    </r>
    <r>
      <rPr>
        <b/>
        <sz val="16"/>
        <color theme="1"/>
        <rFont val="Aptos"/>
        <family val="2"/>
      </rPr>
      <t xml:space="preserve">                          </t>
    </r>
    <r>
      <rPr>
        <b/>
        <sz val="16"/>
        <color rgb="FF00B050"/>
        <rFont val="Aptos"/>
        <family val="2"/>
      </rPr>
      <t>25</t>
    </r>
    <r>
      <rPr>
        <b/>
        <sz val="16"/>
        <color theme="1"/>
        <rFont val="Aptos"/>
        <family val="2"/>
      </rPr>
      <t xml:space="preserve"> Pipes Clutch Weld Out </t>
    </r>
    <r>
      <rPr>
        <b/>
        <sz val="16"/>
        <color rgb="FF00B050"/>
        <rFont val="Aptos"/>
        <family val="2"/>
      </rPr>
      <t>(Kaynak)</t>
    </r>
    <r>
      <rPr>
        <b/>
        <sz val="16"/>
        <color theme="1"/>
        <rFont val="Aptos"/>
        <family val="2"/>
      </rPr>
      <t xml:space="preserve">
</t>
    </r>
    <r>
      <rPr>
        <b/>
        <sz val="16"/>
        <color rgb="FFFF0000"/>
        <rFont val="Aptos"/>
        <family val="2"/>
      </rPr>
      <t>51</t>
    </r>
    <r>
      <rPr>
        <b/>
        <sz val="16"/>
        <color theme="1"/>
        <rFont val="Aptos"/>
        <family val="2"/>
      </rPr>
      <t xml:space="preserve"> Pipes O. Ring Tack Welding </t>
    </r>
    <r>
      <rPr>
        <b/>
        <sz val="16"/>
        <color rgb="FFFF0000"/>
        <rFont val="Aptos"/>
        <family val="2"/>
      </rPr>
      <t xml:space="preserve">(Montaj)  </t>
    </r>
    <r>
      <rPr>
        <b/>
        <sz val="16"/>
        <color theme="1"/>
        <rFont val="Aptos"/>
        <family val="2"/>
      </rPr>
      <t xml:space="preserve">                        </t>
    </r>
    <r>
      <rPr>
        <b/>
        <sz val="16"/>
        <color rgb="FF00B050"/>
        <rFont val="Aptos"/>
        <family val="2"/>
      </rPr>
      <t>51</t>
    </r>
    <r>
      <rPr>
        <b/>
        <sz val="16"/>
        <color theme="1"/>
        <rFont val="Aptos"/>
        <family val="2"/>
      </rPr>
      <t xml:space="preserve"> Pipes O. Ring Weld Out </t>
    </r>
    <r>
      <rPr>
        <b/>
        <sz val="16"/>
        <color rgb="FF00B050"/>
        <rFont val="Aptos"/>
        <family val="2"/>
      </rPr>
      <t>(Kaynak)</t>
    </r>
  </si>
  <si>
    <t>9 pcs</t>
  </si>
  <si>
    <t>7 pcs</t>
  </si>
  <si>
    <r>
      <t xml:space="preserve">SW Zinc Clad 4100
</t>
    </r>
    <r>
      <rPr>
        <b/>
        <sz val="14"/>
        <color rgb="FFFF0000"/>
        <rFont val="Aptos"/>
        <family val="2"/>
      </rPr>
      <t>(Primer Layer)</t>
    </r>
  </si>
  <si>
    <t>1.46" x 72"</t>
  </si>
  <si>
    <t>JSW</t>
  </si>
  <si>
    <r>
      <t xml:space="preserve"> Total JDF-HDM numbered                                                                                                                               </t>
    </r>
    <r>
      <rPr>
        <b/>
        <sz val="14"/>
        <color rgb="FFFF0000"/>
        <rFont val="Aptos"/>
        <family val="2"/>
      </rPr>
      <t xml:space="preserve">PLATE </t>
    </r>
    <r>
      <rPr>
        <b/>
        <sz val="14"/>
        <color theme="1"/>
        <rFont val="Aptos"/>
        <family val="2"/>
      </rPr>
      <t xml:space="preserve">quantity is 3796 .                                               (PLT3796)  </t>
    </r>
  </si>
  <si>
    <t>3/4</t>
  </si>
  <si>
    <t>5</t>
  </si>
  <si>
    <t>B-47</t>
  </si>
  <si>
    <t>B-46</t>
  </si>
  <si>
    <t>B-44</t>
  </si>
  <si>
    <t>B-43</t>
  </si>
  <si>
    <t>B-42</t>
  </si>
  <si>
    <t>B-41</t>
  </si>
  <si>
    <t>B-40</t>
  </si>
  <si>
    <t>B-39</t>
  </si>
  <si>
    <t>B-45</t>
  </si>
  <si>
    <t>B-38</t>
  </si>
  <si>
    <t>B-37</t>
  </si>
  <si>
    <t>B-36</t>
  </si>
  <si>
    <t>B-35</t>
  </si>
  <si>
    <t>B-34</t>
  </si>
  <si>
    <t>B-33</t>
  </si>
  <si>
    <t>B-32</t>
  </si>
  <si>
    <t>B-31</t>
  </si>
  <si>
    <t>15- 18- 20 top layer coat were not reported</t>
  </si>
  <si>
    <t>WATCO: 265 PCS.</t>
  </si>
  <si>
    <t>27-30 top layer coat were not reported</t>
  </si>
  <si>
    <t>3</t>
  </si>
  <si>
    <t>4</t>
  </si>
  <si>
    <t xml:space="preserve">REPAIRED: </t>
  </si>
  <si>
    <t>Repair 
rate</t>
  </si>
  <si>
    <t>PRODUCED:</t>
  </si>
  <si>
    <t>154.5 ft</t>
  </si>
  <si>
    <t>P. Ears</t>
  </si>
  <si>
    <t>6</t>
  </si>
  <si>
    <t>4 - 24 - 26 - 29 missing coating reps</t>
  </si>
  <si>
    <t>95 feet</t>
  </si>
  <si>
    <t>2025Q-05-093 (land accessway)</t>
  </si>
  <si>
    <t>7</t>
  </si>
  <si>
    <t>P.EARS</t>
  </si>
  <si>
    <t>Mounted</t>
  </si>
  <si>
    <t>Weld-Out</t>
  </si>
  <si>
    <t>CTE COATED</t>
  </si>
  <si>
    <t xml:space="preserve">Ring </t>
  </si>
  <si>
    <t>Angle</t>
  </si>
  <si>
    <t>153 ft</t>
  </si>
  <si>
    <t>180 ft</t>
  </si>
  <si>
    <t>183 ft</t>
  </si>
  <si>
    <t>2025Q-05-093 (equipment platform)</t>
  </si>
  <si>
    <t xml:space="preserve">    </t>
  </si>
  <si>
    <t>PREV. REPAIRED                                            PIPE NO.S</t>
  </si>
  <si>
    <t>11-110</t>
  </si>
  <si>
    <t>12-114</t>
  </si>
  <si>
    <t>`</t>
  </si>
  <si>
    <t>145 ft</t>
  </si>
  <si>
    <t>P. Eyes</t>
  </si>
  <si>
    <t>11-109</t>
  </si>
  <si>
    <t>8</t>
  </si>
  <si>
    <t>Conical</t>
  </si>
  <si>
    <t>190 ft</t>
  </si>
  <si>
    <t>WATCO : 104 PIPES</t>
  </si>
  <si>
    <t>4 - 13 - 16 -  20 - 22 - 23 - 26 - 37 - 39 - 47</t>
  </si>
  <si>
    <t>WATCO: 68 PCS</t>
  </si>
  <si>
    <t>60 feet</t>
  </si>
  <si>
    <t>55 feet</t>
  </si>
  <si>
    <t>65 feet</t>
  </si>
  <si>
    <t>50 feet</t>
  </si>
  <si>
    <t>40 feet</t>
  </si>
  <si>
    <t>45 feet</t>
  </si>
  <si>
    <t>Dimensions / Quantity</t>
  </si>
  <si>
    <t>9</t>
  </si>
  <si>
    <t>186.2 ft</t>
  </si>
  <si>
    <t>164 ft</t>
  </si>
  <si>
    <t>10</t>
  </si>
  <si>
    <t>11</t>
  </si>
  <si>
    <t>32.5 feet</t>
  </si>
  <si>
    <t xml:space="preserve">60 feet </t>
  </si>
  <si>
    <t>BARE</t>
  </si>
  <si>
    <t>COATING</t>
  </si>
  <si>
    <t>35 ft</t>
  </si>
  <si>
    <t>40 ft</t>
  </si>
  <si>
    <t>55 ft</t>
  </si>
  <si>
    <t>10-106</t>
  </si>
  <si>
    <t>05-093(LP)</t>
  </si>
  <si>
    <t>10-108 Project</t>
  </si>
  <si>
    <t>106 feet</t>
  </si>
  <si>
    <t xml:space="preserve">2025Q-10-108JT   </t>
  </si>
  <si>
    <t>02-121</t>
  </si>
  <si>
    <t>05-093 Load . P.</t>
  </si>
  <si>
    <t>129' 8" ft</t>
  </si>
  <si>
    <t>05-093(Marine)</t>
  </si>
  <si>
    <t>05-093 Marine A.</t>
  </si>
  <si>
    <t>10-107JT  Ø72" x 1"- 226 Pipes</t>
  </si>
  <si>
    <t>CLUTCH</t>
  </si>
  <si>
    <t>02-122</t>
  </si>
  <si>
    <t>177.5 ft</t>
  </si>
  <si>
    <t>149 ft</t>
  </si>
  <si>
    <t>114 ft</t>
  </si>
  <si>
    <t>105 ft</t>
  </si>
  <si>
    <t>Pipes were cut to 105' upon customer request.</t>
  </si>
  <si>
    <t>05-093 Flare B.</t>
  </si>
  <si>
    <t>Coating           (300M)</t>
  </si>
  <si>
    <t>Coating           (251HS)</t>
  </si>
  <si>
    <t>Coating (300M)</t>
  </si>
  <si>
    <t>PREV. REPAIRED PIPE no.s</t>
  </si>
  <si>
    <t>37.5 ft</t>
  </si>
  <si>
    <t>02-120</t>
  </si>
  <si>
    <t>2026Q-10-108JT</t>
  </si>
  <si>
    <t>BEVEL</t>
  </si>
  <si>
    <t>12-112</t>
  </si>
  <si>
    <t>PREV. REPAIREd  PIPE no.s</t>
  </si>
  <si>
    <t>98 ft</t>
  </si>
  <si>
    <t>02-121W</t>
  </si>
  <si>
    <t>2025Q-12-112SN</t>
  </si>
  <si>
    <t>2022-2024</t>
  </si>
  <si>
    <t>2022-2024 Proj. Avg</t>
  </si>
  <si>
    <t>2025 Proj. Avg</t>
  </si>
  <si>
    <t>12-112 (54")</t>
  </si>
  <si>
    <t>Hawaii Project - Barge 3                        96 Pipes - Ø 85 " x 1.4 "</t>
  </si>
  <si>
    <t>Hawaii Project - Barge 3                                  148 Pipes - Ø 60 " x 1 "</t>
  </si>
  <si>
    <t>Hawaii Barge 2                                                              97 Pipes - Ø 85 " x 1.4 "</t>
  </si>
  <si>
    <t>Hawaii Barge 1                                                                         140 Pipes - Ø 85 " x 1.4 "</t>
  </si>
  <si>
    <t>Lutak Batter Piles                                                                  48 Pipes - Ø 42 " x 0.75 " / 1"</t>
  </si>
  <si>
    <t xml:space="preserve">Bevel </t>
  </si>
  <si>
    <t>35 feet</t>
  </si>
  <si>
    <t>05-093 (Flare Boom)</t>
  </si>
  <si>
    <t>56 ft</t>
  </si>
  <si>
    <t>daily repair amount                                                     (meter)</t>
  </si>
  <si>
    <t>12-112SN (54")</t>
  </si>
  <si>
    <t>stok</t>
  </si>
  <si>
    <t>125 ft</t>
  </si>
  <si>
    <t>05-092 (Part 2)</t>
  </si>
  <si>
    <t>2025Q-12-113SN</t>
  </si>
  <si>
    <t>BARE PIPE</t>
  </si>
  <si>
    <t>COATED</t>
  </si>
  <si>
    <t>B. Plate</t>
  </si>
  <si>
    <t>141 ft</t>
  </si>
  <si>
    <t>S. Ring</t>
  </si>
  <si>
    <t xml:space="preserve">S. Lug </t>
  </si>
  <si>
    <t>P15 - 141 ft</t>
  </si>
  <si>
    <t>P16 - 141 ft</t>
  </si>
  <si>
    <t>COATED / BARE</t>
  </si>
  <si>
    <t>42.5 feet</t>
  </si>
  <si>
    <t>1 Coated  with Bevel 
1 Bare (SQ x SQ)</t>
  </si>
  <si>
    <t>37.5 feet</t>
  </si>
  <si>
    <t>2 Coated  with Bevel 
2 Bare (SQ x SQ)</t>
  </si>
  <si>
    <t>3 Coated  with Bevel 
3 Bare (SQ x SQ)</t>
  </si>
  <si>
    <t>42.5 ft</t>
  </si>
  <si>
    <t>47.5 ft</t>
  </si>
  <si>
    <t>12</t>
  </si>
  <si>
    <t>P18 - 141 ft</t>
  </si>
  <si>
    <t>P19-141 ft</t>
  </si>
  <si>
    <t>18 nolu boru dosyalari gidecek</t>
  </si>
  <si>
    <t>130.33 FT</t>
  </si>
  <si>
    <t>116 feet</t>
  </si>
  <si>
    <t>300M</t>
  </si>
  <si>
    <t>251HS</t>
  </si>
  <si>
    <t>124.5 FT</t>
  </si>
  <si>
    <t>114 FT</t>
  </si>
  <si>
    <t>D.SHOE</t>
  </si>
  <si>
    <t>E.PLATE</t>
  </si>
  <si>
    <t>61 ft</t>
  </si>
  <si>
    <t>Pipe #</t>
  </si>
  <si>
    <t>PREV. REPAIRED                           PIPE no.s</t>
  </si>
  <si>
    <t>#</t>
  </si>
  <si>
    <t>Total Repair Amount with
 Skelp-end Welds                                                                                                                                (mt)</t>
  </si>
  <si>
    <t>Repaired Pipes'                                                         Total Spiral Length                                                                                              (ft)</t>
  </si>
  <si>
    <t>Repair Rate 
Calculation</t>
  </si>
  <si>
    <t>Ø72"x1"</t>
  </si>
  <si>
    <t>Ø66"x.375"</t>
  </si>
  <si>
    <t>Project 
Status</t>
  </si>
  <si>
    <t>IN PROGRESS</t>
  </si>
  <si>
    <t>COMPLETED</t>
  </si>
  <si>
    <t xml:space="preserve">Ø60"x1" </t>
  </si>
  <si>
    <t xml:space="preserve">2025Q-10-107JT         </t>
  </si>
  <si>
    <t>Ø66"x.75"</t>
  </si>
  <si>
    <t xml:space="preserve">Ø54"x1.5" </t>
  </si>
  <si>
    <t xml:space="preserve">Ø84" Combined </t>
  </si>
  <si>
    <t xml:space="preserve">Ø90" Combined </t>
  </si>
  <si>
    <t>2026Q-11-111JT</t>
  </si>
  <si>
    <t>2026Q-01-115NN</t>
  </si>
  <si>
    <t>2026Q-01-116SN</t>
  </si>
  <si>
    <t xml:space="preserve">Ø42"x1" </t>
  </si>
  <si>
    <t xml:space="preserve">Ø36"x1" </t>
  </si>
  <si>
    <t>2026Q-05-126TS</t>
  </si>
  <si>
    <t>2025Q-05-93 (HDD)</t>
  </si>
  <si>
    <t xml:space="preserve">Ø36"x.75" </t>
  </si>
  <si>
    <t>2025Q-10-105</t>
  </si>
  <si>
    <t>Ø84"x0.5"</t>
  </si>
  <si>
    <t>Ø78"x0.5"</t>
  </si>
  <si>
    <t>Ø60"x.375"</t>
  </si>
  <si>
    <t xml:space="preserve">Ø72" Combined </t>
  </si>
  <si>
    <t>Ø68"x.375"</t>
  </si>
  <si>
    <t>Hawaii Project - Barge 3
96 Pipes - Ø 85 " x 1.4 "</t>
  </si>
  <si>
    <t>Lutak Batter Piles                                                                                                                                                                           48 Pipes - Ø 42 " x 0.75 " / 1"</t>
  </si>
  <si>
    <t>ANNUAL REPAIR RATES</t>
  </si>
  <si>
    <t>YEAR</t>
  </si>
  <si>
    <t>OVERALL</t>
  </si>
  <si>
    <t xml:space="preserve">REPAIR RATIO </t>
  </si>
  <si>
    <t>INCLUDING SKELP WELD</t>
  </si>
  <si>
    <t>Hawaii Barge 1   140 Pipes - Ø 85 " x 1.4 "</t>
  </si>
  <si>
    <t>Hawaii Barge 2   97 Pipes - Ø 85 " x 1.4 "</t>
  </si>
  <si>
    <t>2025Q-12-112SN - 54" Combined</t>
  </si>
  <si>
    <t>Inc. SEW</t>
  </si>
  <si>
    <t>COMPLETED PROJECTS</t>
  </si>
  <si>
    <t>PROJECTS</t>
  </si>
  <si>
    <t>Repair Ratio                                                                   Inc. Skelp-end Welds                                                         (%)</t>
  </si>
  <si>
    <t>05-093 (Pipeway)</t>
  </si>
  <si>
    <t>10-107JT</t>
  </si>
  <si>
    <t>01-116SN (42")</t>
  </si>
  <si>
    <t>01-116SN (36")</t>
  </si>
  <si>
    <t>12-112SN (60")</t>
  </si>
  <si>
    <r>
      <t xml:space="preserve">Inc. Skelp-end Welds
</t>
    </r>
    <r>
      <rPr>
        <b/>
        <sz val="48"/>
        <color theme="8"/>
        <rFont val="Aptos"/>
        <family val="2"/>
      </rPr>
      <t>(2026)</t>
    </r>
  </si>
  <si>
    <t>TOTAL SPIRAL LENGTH IN METER</t>
  </si>
  <si>
    <t>2025Q-05-93 (PT)</t>
  </si>
  <si>
    <r>
      <rPr>
        <b/>
        <sz val="48"/>
        <color theme="8"/>
        <rFont val="Aptos"/>
        <family val="2"/>
      </rPr>
      <t xml:space="preserve">Overall Repair Rate (2026) </t>
    </r>
    <r>
      <rPr>
        <b/>
        <sz val="28"/>
        <color theme="8"/>
        <rFont val="Aptos"/>
        <family val="2"/>
      </rPr>
      <t xml:space="preserve">         
Total of </t>
    </r>
    <r>
      <rPr>
        <b/>
        <i/>
        <sz val="28"/>
        <color rgb="FF00B0F0"/>
        <rFont val="Aptos"/>
        <family val="2"/>
      </rPr>
      <t>35 Projects</t>
    </r>
    <r>
      <rPr>
        <b/>
        <sz val="28"/>
        <color theme="8"/>
        <rFont val="Aptos"/>
        <family val="2"/>
      </rPr>
      <t xml:space="preserve"> Included Since The Beginning of 2026</t>
    </r>
  </si>
  <si>
    <t>Total Rate</t>
  </si>
  <si>
    <t>2026Q-05-128RZ</t>
  </si>
  <si>
    <t xml:space="preserve">Ø36"x0.75" </t>
  </si>
  <si>
    <t>05-0128RZ</t>
  </si>
  <si>
    <t>2025Q-05-095 #2</t>
  </si>
  <si>
    <t>2025Q-05-095 P#1</t>
  </si>
  <si>
    <t>PREV. REPAIREd   PIPE NO.S</t>
  </si>
  <si>
    <t>05-092 (60x1.25)</t>
  </si>
  <si>
    <t>05-092 (Part 2) (60 x 0.75)</t>
  </si>
  <si>
    <t>2025Q-05-092 Part 1 - 60x0.75</t>
  </si>
  <si>
    <t xml:space="preserve">PLATE </t>
  </si>
  <si>
    <t>COIL</t>
  </si>
  <si>
    <t>12-112 (54 x 1.2)</t>
  </si>
  <si>
    <t xml:space="preserve">Ø54"x1.2" </t>
  </si>
  <si>
    <r>
      <rPr>
        <b/>
        <sz val="48"/>
        <color theme="8"/>
        <rFont val="Aptos"/>
        <family val="2"/>
      </rPr>
      <t xml:space="preserve">Overall Repair Rate (2026) </t>
    </r>
    <r>
      <rPr>
        <b/>
        <sz val="28"/>
        <color theme="8"/>
        <rFont val="Aptos"/>
        <family val="2"/>
      </rPr>
      <t xml:space="preserve">         </t>
    </r>
  </si>
  <si>
    <t xml:space="preserve">COIL </t>
  </si>
  <si>
    <t>PLATE</t>
  </si>
  <si>
    <t>ACC. TO MATERIAL TYPE (W.OUT SKELP)</t>
  </si>
  <si>
    <r>
      <rPr>
        <b/>
        <sz val="48"/>
        <color theme="8"/>
        <rFont val="Aptos"/>
        <family val="2"/>
      </rPr>
      <t xml:space="preserve">Repair Rate by Production Type (2026) </t>
    </r>
    <r>
      <rPr>
        <b/>
        <sz val="28"/>
        <color theme="8"/>
        <rFont val="Aptos"/>
        <family val="2"/>
      </rPr>
      <t xml:space="preserve">         </t>
    </r>
  </si>
  <si>
    <r>
      <t xml:space="preserve">Ongoing &amp; Recently Completed Productions with </t>
    </r>
    <r>
      <rPr>
        <b/>
        <sz val="48"/>
        <color rgb="FF00B0F0"/>
        <rFont val="Aptos"/>
        <family val="2"/>
      </rPr>
      <t>Coil</t>
    </r>
  </si>
  <si>
    <r>
      <t xml:space="preserve">Ongoing &amp; Recently Completed Productions with </t>
    </r>
    <r>
      <rPr>
        <b/>
        <sz val="48"/>
        <color rgb="FF00B050"/>
        <rFont val="Aptos"/>
        <family val="2"/>
      </rPr>
      <t>Plate</t>
    </r>
  </si>
  <si>
    <r>
      <t xml:space="preserve">Coil &amp; Plate Production
</t>
    </r>
    <r>
      <rPr>
        <b/>
        <i/>
        <sz val="28"/>
        <color theme="8"/>
        <rFont val="Aptos"/>
        <family val="2"/>
      </rPr>
      <t>(Without Skelp-end Welds)</t>
    </r>
  </si>
  <si>
    <r>
      <t xml:space="preserve">PLATE
</t>
    </r>
    <r>
      <rPr>
        <b/>
        <i/>
        <sz val="28"/>
        <color theme="8"/>
        <rFont val="Aptos"/>
        <family val="2"/>
      </rPr>
      <t>(Without Skelp-end Welds)</t>
    </r>
  </si>
  <si>
    <r>
      <t xml:space="preserve">Coil &amp; Plate Production
</t>
    </r>
    <r>
      <rPr>
        <b/>
        <i/>
        <sz val="28"/>
        <color theme="8"/>
        <rFont val="Aptos"/>
        <family val="2"/>
      </rPr>
      <t>(With Skelp-end Welds)</t>
    </r>
  </si>
  <si>
    <r>
      <rPr>
        <b/>
        <i/>
        <sz val="48"/>
        <color theme="8"/>
        <rFont val="Aptos"/>
        <family val="2"/>
      </rPr>
      <t>COIL</t>
    </r>
    <r>
      <rPr>
        <b/>
        <i/>
        <sz val="36"/>
        <color theme="8"/>
        <rFont val="Aptos"/>
        <family val="2"/>
      </rPr>
      <t xml:space="preserve">
</t>
    </r>
    <r>
      <rPr>
        <b/>
        <i/>
        <sz val="28"/>
        <color theme="8"/>
        <rFont val="Aptos"/>
        <family val="2"/>
      </rPr>
      <t>(Without Skelp-end Welds)</t>
    </r>
  </si>
  <si>
    <t>X</t>
  </si>
  <si>
    <t>2025Q-05-093 (landside accessway)</t>
  </si>
  <si>
    <t>04-055 Extra 2</t>
  </si>
  <si>
    <t>x</t>
  </si>
  <si>
    <t>08-103</t>
  </si>
  <si>
    <t>94.2 ft</t>
  </si>
  <si>
    <t>92 ft</t>
  </si>
  <si>
    <t>131.33 FT</t>
  </si>
  <si>
    <t>125.5 FT</t>
  </si>
  <si>
    <t>128.5 FT</t>
  </si>
  <si>
    <r>
      <t xml:space="preserve">COATING
</t>
    </r>
    <r>
      <rPr>
        <b/>
        <sz val="11"/>
        <color theme="1"/>
        <rFont val="Aptos"/>
        <family val="2"/>
      </rPr>
      <t>(INTRNTL)</t>
    </r>
  </si>
  <si>
    <t>COATING
(INTUMSCNT)</t>
  </si>
  <si>
    <t>11-111  Ø78" x .5"- 3 Pipes</t>
  </si>
  <si>
    <t>10-108  Ø78" x .5"- 15 Pipes</t>
  </si>
  <si>
    <t>10-107</t>
  </si>
  <si>
    <t/>
  </si>
  <si>
    <t>36' 10"</t>
  </si>
  <si>
    <t>11-111  Ø84" x .75"- 24 Pipes</t>
  </si>
  <si>
    <t>13</t>
  </si>
  <si>
    <t>Ø84"x0.75"</t>
  </si>
  <si>
    <t>CUTTING SHOE</t>
  </si>
  <si>
    <t>79 ft</t>
  </si>
  <si>
    <t>83 ft</t>
  </si>
  <si>
    <t>84 ft</t>
  </si>
  <si>
    <t>86 ft</t>
  </si>
  <si>
    <t>88 ft</t>
  </si>
  <si>
    <t>94 ft</t>
  </si>
  <si>
    <t>104 ft</t>
  </si>
  <si>
    <t>PIPE 121 (79 FT) STOCK FOR BARGE 2</t>
  </si>
  <si>
    <t>3A-4A-3B-1B-6B SHPPED</t>
  </si>
  <si>
    <t>14</t>
  </si>
  <si>
    <r>
      <rPr>
        <b/>
        <sz val="16"/>
        <color theme="1"/>
        <rFont val="Aptos"/>
        <family val="2"/>
      </rPr>
      <t xml:space="preserve">10-107 Project            </t>
    </r>
    <r>
      <rPr>
        <sz val="16"/>
        <color theme="1"/>
        <rFont val="Aptos"/>
        <family val="2"/>
      </rPr>
      <t xml:space="preserve">                                                                                                                                                      </t>
    </r>
  </si>
  <si>
    <t xml:space="preserve">10-107 Project  </t>
  </si>
  <si>
    <t>47.5 feet</t>
  </si>
  <si>
    <t>10-108  Ø96" x .625"- 4 Pipes</t>
  </si>
  <si>
    <t>Ø96"x0.625"</t>
  </si>
  <si>
    <t>11-111  Ø96" x .75"- 6 Pipes</t>
  </si>
  <si>
    <t>10-108  Ø60" x .375"- 22 Pipes</t>
  </si>
  <si>
    <t>2026Q-02-123JE</t>
  </si>
  <si>
    <t>Ø42"x1"</t>
  </si>
  <si>
    <t>10-108 (60"X0.375")</t>
  </si>
  <si>
    <t>02-123JE</t>
  </si>
  <si>
    <t>10-108  Ø66" x .375"- 209 Pipes</t>
  </si>
  <si>
    <t>pipe #2 was supposed to be coated</t>
  </si>
  <si>
    <t>10-108 (66"X0.375")</t>
  </si>
  <si>
    <t>134.54 FT</t>
  </si>
  <si>
    <t>115.33  FT</t>
  </si>
  <si>
    <t xml:space="preserve">Shipment </t>
  </si>
  <si>
    <t>10-108 (Ø54" x 0.375")</t>
  </si>
  <si>
    <t>6/6</t>
  </si>
  <si>
    <t>Clut. - T2</t>
  </si>
  <si>
    <r>
      <t xml:space="preserve">01-118                             </t>
    </r>
    <r>
      <rPr>
        <b/>
        <sz val="16"/>
        <color theme="1"/>
        <rFont val="Aptos"/>
        <family val="2"/>
      </rPr>
      <t>(Ø36" x 0.625")</t>
    </r>
  </si>
  <si>
    <t>6 Coated  - SQ x SQ</t>
  </si>
  <si>
    <t>44 ft</t>
  </si>
  <si>
    <t>C. Shoe</t>
  </si>
  <si>
    <t>45.5 ft</t>
  </si>
  <si>
    <t>46 ft</t>
  </si>
  <si>
    <t>47 ft</t>
  </si>
  <si>
    <t>49 ft</t>
  </si>
  <si>
    <t>51 ft</t>
  </si>
  <si>
    <t>53 ft</t>
  </si>
  <si>
    <t>54 ft</t>
  </si>
  <si>
    <t>58 ft</t>
  </si>
  <si>
    <t>59 ft</t>
  </si>
  <si>
    <t>62 ft</t>
  </si>
  <si>
    <t>63 ft</t>
  </si>
  <si>
    <t>64 ft</t>
  </si>
  <si>
    <t>66 ft</t>
  </si>
  <si>
    <t>67 ft</t>
  </si>
  <si>
    <t>68 ft</t>
  </si>
  <si>
    <t>69 ft</t>
  </si>
  <si>
    <t>72 ft</t>
  </si>
  <si>
    <t>73 ft</t>
  </si>
  <si>
    <t>74 ft</t>
  </si>
  <si>
    <t>75 ft</t>
  </si>
  <si>
    <t>76 ft</t>
  </si>
  <si>
    <t>78 ft</t>
  </si>
  <si>
    <t xml:space="preserve">Total Repair                                                              Amount                                (Meter) </t>
  </si>
  <si>
    <t>DAILY REPAIR                                                     AMOUNT                               (METER)</t>
  </si>
  <si>
    <t>Clut. - T5</t>
  </si>
  <si>
    <t>Clut. - T3</t>
  </si>
  <si>
    <t>Clut. - T4</t>
  </si>
  <si>
    <t>02-123</t>
  </si>
  <si>
    <t>Ø42" x 1"</t>
  </si>
  <si>
    <t>10-108  Ø54" x .375"- 6 Pipes</t>
  </si>
  <si>
    <t>02-123  Ø42" x 1"- 120 Pipes</t>
  </si>
  <si>
    <t>01-118  Ø36" x .625"- 676 Pipes</t>
  </si>
  <si>
    <t>01-118</t>
  </si>
  <si>
    <t>2026Q-01-118KH</t>
  </si>
  <si>
    <t>Ø36"x0.625"</t>
  </si>
  <si>
    <t>01-116  Ø42" x 1"- 48 Pipes</t>
  </si>
  <si>
    <t>01-118 (Ø36" x 0.625")</t>
  </si>
  <si>
    <t>SHIPPED BARE</t>
  </si>
  <si>
    <t xml:space="preserve">Ø78"x0.5" </t>
  </si>
  <si>
    <t>06-131 (Ø42" x 1")</t>
  </si>
  <si>
    <t>PIER 1 - PRE STAGE 1 PERMANENT (P1-10)</t>
  </si>
  <si>
    <t>PIER 1 - PRE STAGE 1 TEMPORARY (TP1-3)</t>
  </si>
  <si>
    <t>PIER 2 - PRE STAGE 1 PERMANENT (P2-20)</t>
  </si>
  <si>
    <t>PIER 2 - PRE STAGE 1 TEMPORARY (TP2-3)</t>
  </si>
  <si>
    <t>80 ft</t>
  </si>
  <si>
    <t>PIER 1 - PRE STAGE 1 PERMANENT (P1-9)</t>
  </si>
  <si>
    <t>PIER 1 - PRE STAGE 1 PERMANENT (P1-19)</t>
  </si>
  <si>
    <t>PIER 1 - PRE STAGE 1 PERMANENT (P1-20)</t>
  </si>
  <si>
    <t>PIER 1 - PRE STAGE 1 TEMPORARY (TP1-5)</t>
  </si>
  <si>
    <t>PIER 1 - PRE STAGE 1 TEMPORARY (TP1-6)</t>
  </si>
  <si>
    <t>PIER 1 - PRE STAGE 1 TEMPORARY (TP1-7)</t>
  </si>
  <si>
    <t>PIER 1 - PRE STAGE 1 TEMPORARY (TP1-8)</t>
  </si>
  <si>
    <t>PIER 1 - PRE STAGE 1 TEMPORARY (TP1-1)</t>
  </si>
  <si>
    <t>PIER 1 - PRE STAGE 1 TEMPORARY (TP1-2)</t>
  </si>
  <si>
    <t>PIER 1 - PRE STAGE 1 TEMPORARY (TP1-4)</t>
  </si>
  <si>
    <t>PIER 2 - PRE STAGE 1 TEMPORARY (TP2-1)</t>
  </si>
  <si>
    <t>PIER 2 - PRE STAGE 1 TEMPORARY (TP2-2)</t>
  </si>
  <si>
    <t>PIER 2 - PRE STAGE 1 TEMPORARY (TP2-4)</t>
  </si>
  <si>
    <t>PIER 2 - PRE STAGE 1 TEMPORARY (TP2-5)</t>
  </si>
  <si>
    <t>PIER 2 - PRE STAGE 1 TEMPORARY (TP2-6)</t>
  </si>
  <si>
    <t>PIER 2 - PRE STAGE 1 TEMPORARY (TP2-7)</t>
  </si>
  <si>
    <t>PIER 2 - PRE STAGE 1 TEMPORARY (TP2-8)</t>
  </si>
  <si>
    <t>PIER 2 - PRE STAGE 1 PERMANENT (P2-19)</t>
  </si>
  <si>
    <t>PIER 2 - PRE STAGE 1 PERMANENT (P2-9)</t>
  </si>
  <si>
    <t>PIER 2 - PRE STAGE 1 PERMANENT (P2-10)</t>
  </si>
  <si>
    <t xml:space="preserve">"E" BOT </t>
  </si>
  <si>
    <t>"D" MID</t>
  </si>
  <si>
    <t>"A" TOP</t>
  </si>
  <si>
    <t>Drive Shoe (1)</t>
  </si>
  <si>
    <t>Back-Up Ring (1)</t>
  </si>
  <si>
    <t>Fused S. Rings (2)</t>
  </si>
  <si>
    <t>2026Q-06-131TS</t>
  </si>
  <si>
    <t>06-131TS Ø 42 " x 1" - 72 Pipes</t>
  </si>
  <si>
    <t>15</t>
  </si>
  <si>
    <t>16-18</t>
  </si>
  <si>
    <t>06-131</t>
  </si>
  <si>
    <t>01-116 (42" x 1")</t>
  </si>
  <si>
    <t>72/72</t>
  </si>
  <si>
    <r>
      <t xml:space="preserve"> Total JDF-HDM numbered                                                                 </t>
    </r>
    <r>
      <rPr>
        <b/>
        <sz val="14"/>
        <color rgb="FFFF0000"/>
        <rFont val="Aptos"/>
        <family val="2"/>
      </rPr>
      <t xml:space="preserve">COIL </t>
    </r>
    <r>
      <rPr>
        <b/>
        <sz val="14"/>
        <color theme="1"/>
        <rFont val="Aptos"/>
        <family val="2"/>
      </rPr>
      <t>quantity is 4591.                                                                           (HDM4591)</t>
    </r>
  </si>
  <si>
    <t>Ø36" x 0.625"</t>
  </si>
  <si>
    <t>01-117                            (Ø60" x 1.25")</t>
  </si>
  <si>
    <t>01-117 (Ø60" x 1.25")</t>
  </si>
  <si>
    <t>Tack Weld</t>
  </si>
  <si>
    <t>Bitumastic 300M</t>
  </si>
  <si>
    <r>
      <t xml:space="preserve">To Watco </t>
    </r>
    <r>
      <rPr>
        <b/>
        <sz val="16"/>
        <color rgb="FFFF0000"/>
        <rFont val="Aptos"/>
        <family val="2"/>
      </rPr>
      <t xml:space="preserve">48 pcs.      </t>
    </r>
    <r>
      <rPr>
        <sz val="16"/>
        <color rgb="FFFF0000"/>
        <rFont val="Aptos"/>
        <family val="2"/>
      </rPr>
      <t xml:space="preserve">          </t>
    </r>
    <r>
      <rPr>
        <sz val="16"/>
        <color theme="1"/>
        <rFont val="Aptos"/>
        <family val="2"/>
      </rPr>
      <t xml:space="preserve">                    </t>
    </r>
  </si>
  <si>
    <t>80 feet</t>
  </si>
  <si>
    <t>82 feet</t>
  </si>
  <si>
    <t>83 feet</t>
  </si>
  <si>
    <t>84 feet</t>
  </si>
  <si>
    <t>01-117KH Ø 60 " x 1.25" - 23 Pipes</t>
  </si>
  <si>
    <t>Ring/Shoe</t>
  </si>
  <si>
    <t>10-108</t>
  </si>
  <si>
    <t>1 pc.</t>
  </si>
  <si>
    <r>
      <t xml:space="preserve"> Total JDF-HDM numbered                                                                                                                               </t>
    </r>
    <r>
      <rPr>
        <b/>
        <sz val="14"/>
        <color rgb="FFFF0000"/>
        <rFont val="Aptos"/>
        <family val="2"/>
      </rPr>
      <t xml:space="preserve">PLATE </t>
    </r>
    <r>
      <rPr>
        <b/>
        <sz val="14"/>
        <color theme="1"/>
        <rFont val="Aptos"/>
        <family val="2"/>
      </rPr>
      <t xml:space="preserve">quantity is 4900.                                               (PLT4900)  </t>
    </r>
  </si>
  <si>
    <t>WATCO</t>
  </si>
  <si>
    <t>CUSTOMER</t>
  </si>
  <si>
    <t>01-117</t>
  </si>
  <si>
    <t>01-117KH</t>
  </si>
  <si>
    <t xml:space="preserve">Ø60"x1.25" </t>
  </si>
  <si>
    <t>Carbozinc 11</t>
  </si>
  <si>
    <t>64 INCH WIDTH PLATE</t>
  </si>
  <si>
    <t>50 INCH WIDTH PLATE</t>
  </si>
  <si>
    <t>2 pcs.</t>
  </si>
  <si>
    <t>3 pcs.</t>
  </si>
  <si>
    <r>
      <t xml:space="preserve">(Ø 60 " x 0.375 ")  </t>
    </r>
    <r>
      <rPr>
        <b/>
        <sz val="16"/>
        <color rgb="FFFF0000"/>
        <rFont val="Aptos"/>
        <family val="2"/>
      </rPr>
      <t>22 pcs.</t>
    </r>
    <r>
      <rPr>
        <b/>
        <sz val="16"/>
        <color rgb="FF00B050"/>
        <rFont val="Aptos"/>
        <family val="2"/>
      </rPr>
      <t xml:space="preserve"> </t>
    </r>
    <r>
      <rPr>
        <b/>
        <sz val="16"/>
        <color theme="1"/>
        <rFont val="Aptos"/>
        <family val="2"/>
      </rPr>
      <t xml:space="preserve">                            (Ø 72" x 0.5")  </t>
    </r>
    <r>
      <rPr>
        <b/>
        <sz val="16"/>
        <color rgb="FFFF0000"/>
        <rFont val="Aptos"/>
        <family val="2"/>
      </rPr>
      <t>7 pcs.</t>
    </r>
    <r>
      <rPr>
        <b/>
        <sz val="16"/>
        <color theme="1"/>
        <rFont val="Aptos"/>
        <family val="2"/>
      </rPr>
      <t xml:space="preserve">                                                                  (Ø 68" x 0.375")  </t>
    </r>
    <r>
      <rPr>
        <b/>
        <sz val="16"/>
        <color rgb="FFFF0000"/>
        <rFont val="Aptos"/>
        <family val="2"/>
      </rPr>
      <t>103 pcs.</t>
    </r>
    <r>
      <rPr>
        <b/>
        <sz val="16"/>
        <color theme="1"/>
        <rFont val="Aptos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</si>
  <si>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Ø54" x 0.375"</t>
  </si>
  <si>
    <t>Ø54"x.375"</t>
  </si>
  <si>
    <t>10-108
Ø54" x 0.375"</t>
  </si>
  <si>
    <r>
      <t xml:space="preserve">(Ø84" x 0.5")  </t>
    </r>
    <r>
      <rPr>
        <b/>
        <sz val="16"/>
        <color rgb="FFFF0000"/>
        <rFont val="Aptos"/>
        <family val="2"/>
      </rPr>
      <t>14 pcs.</t>
    </r>
    <r>
      <rPr>
        <b/>
        <sz val="16"/>
        <color rgb="FF00B050"/>
        <rFont val="Aptos"/>
        <family val="2"/>
      </rPr>
      <t xml:space="preserve"> </t>
    </r>
    <r>
      <rPr>
        <b/>
        <sz val="16"/>
        <color theme="1"/>
        <rFont val="Aptos"/>
        <family val="2"/>
      </rPr>
      <t xml:space="preserve">                                                                                            (Ø 78" x 0.5")  </t>
    </r>
    <r>
      <rPr>
        <b/>
        <sz val="16"/>
        <color rgb="FFFF0000"/>
        <rFont val="Aptos"/>
        <family val="2"/>
      </rPr>
      <t>3 pcs.</t>
    </r>
    <r>
      <rPr>
        <b/>
        <sz val="16"/>
        <color theme="1"/>
        <rFont val="Aptos"/>
        <family val="2"/>
      </rPr>
      <t xml:space="preserve">                                     (Ø 66" x 0.375")  </t>
    </r>
    <r>
      <rPr>
        <b/>
        <sz val="16"/>
        <color rgb="FFFF0000"/>
        <rFont val="Aptos"/>
        <family val="2"/>
      </rPr>
      <t>209 pcs.</t>
    </r>
    <r>
      <rPr>
        <b/>
        <sz val="16"/>
        <color theme="1"/>
        <rFont val="Aptos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</si>
  <si>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16 - 17
(2 pcs.)</t>
  </si>
  <si>
    <t>17/23</t>
  </si>
  <si>
    <t>354
…
371
(18 pcs.)</t>
  </si>
  <si>
    <t>371/676</t>
  </si>
  <si>
    <r>
      <rPr>
        <b/>
        <sz val="18"/>
        <color rgb="FFFF0000"/>
        <rFont val="Aptos"/>
        <family val="2"/>
      </rPr>
      <t xml:space="preserve">107 </t>
    </r>
    <r>
      <rPr>
        <b/>
        <sz val="18"/>
        <color theme="1"/>
        <rFont val="Aptos"/>
        <family val="2"/>
      </rPr>
      <t xml:space="preserve">Pipes' Clutch Tack Welding Completed  </t>
    </r>
    <r>
      <rPr>
        <b/>
        <sz val="18"/>
        <color rgb="FFFF3B3B"/>
        <rFont val="Aptos"/>
        <family val="2"/>
      </rPr>
      <t>(Montaj)</t>
    </r>
    <r>
      <rPr>
        <b/>
        <sz val="18"/>
        <color theme="1"/>
        <rFont val="Aptos"/>
        <family val="2"/>
      </rPr>
      <t xml:space="preserve">                                                                                                                                              </t>
    </r>
    <r>
      <rPr>
        <b/>
        <sz val="18"/>
        <color rgb="FF00B050"/>
        <rFont val="Aptos"/>
        <family val="2"/>
      </rPr>
      <t xml:space="preserve">105 </t>
    </r>
    <r>
      <rPr>
        <b/>
        <sz val="18"/>
        <color theme="1"/>
        <rFont val="Aptos"/>
        <family val="2"/>
      </rPr>
      <t xml:space="preserve">Pipes' Clutch Weld Out Completed  </t>
    </r>
    <r>
      <rPr>
        <b/>
        <sz val="18"/>
        <color rgb="FF00B050"/>
        <rFont val="Aptos"/>
        <family val="2"/>
      </rPr>
      <t>(Kaynak)</t>
    </r>
  </si>
  <si>
    <t>11 pcs.</t>
  </si>
  <si>
    <r>
      <t xml:space="preserve">Total 300M Coated </t>
    </r>
    <r>
      <rPr>
        <b/>
        <sz val="14"/>
        <color rgb="FFFF0000"/>
        <rFont val="Aptos"/>
        <family val="2"/>
      </rPr>
      <t xml:space="preserve">105 pcs.  </t>
    </r>
    <r>
      <rPr>
        <b/>
        <sz val="14"/>
        <color rgb="FF00B050"/>
        <rFont val="Aptos"/>
        <family val="2"/>
      </rPr>
      <t xml:space="preserve">                 </t>
    </r>
    <r>
      <rPr>
        <b/>
        <sz val="14"/>
        <color theme="1"/>
        <rFont val="Aptos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</si>
  <si>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Ø72" x 1" - 1 PCS.</t>
  </si>
  <si>
    <t>Ø42" x 1" - 3 PCS.</t>
  </si>
  <si>
    <r>
      <t xml:space="preserve">To Watco </t>
    </r>
    <r>
      <rPr>
        <b/>
        <sz val="16"/>
        <color rgb="FFFF0000"/>
        <rFont val="Aptos"/>
        <family val="2"/>
      </rPr>
      <t>104 pcs.</t>
    </r>
    <r>
      <rPr>
        <sz val="16"/>
        <color theme="1"/>
        <rFont val="Aptos"/>
        <family val="2"/>
      </rPr>
      <t xml:space="preserve">                                    </t>
    </r>
  </si>
  <si>
    <r>
      <t xml:space="preserve">To Watco </t>
    </r>
    <r>
      <rPr>
        <b/>
        <sz val="16"/>
        <color rgb="FFFF0000"/>
        <rFont val="Aptos"/>
        <family val="2"/>
      </rPr>
      <t>114 pcs.</t>
    </r>
    <r>
      <rPr>
        <sz val="16"/>
        <color theme="1"/>
        <rFont val="Aptos"/>
        <family val="2"/>
      </rPr>
      <t xml:space="preserve">                                    </t>
    </r>
  </si>
  <si>
    <t>Ø66" x 0.375" - 2 PCS.</t>
  </si>
  <si>
    <t>Ø60" x 1.25"</t>
  </si>
  <si>
    <t>100 - 79 - 66 - 93</t>
  </si>
  <si>
    <t>100 - 79  66 - 93</t>
  </si>
  <si>
    <r>
      <rPr>
        <b/>
        <sz val="16"/>
        <color rgb="FFFF0000"/>
        <rFont val="Aptos"/>
        <family val="2"/>
      </rPr>
      <t xml:space="preserve">108  </t>
    </r>
    <r>
      <rPr>
        <b/>
        <sz val="16"/>
        <rFont val="Aptos"/>
        <family val="2"/>
      </rPr>
      <t>for</t>
    </r>
    <r>
      <rPr>
        <b/>
        <sz val="16"/>
        <color rgb="FFFF0000"/>
        <rFont val="Aptos"/>
        <family val="2"/>
      </rPr>
      <t xml:space="preserve">  10-107                
118  </t>
    </r>
    <r>
      <rPr>
        <b/>
        <sz val="16"/>
        <color theme="1"/>
        <rFont val="Aptos"/>
        <family val="2"/>
      </rPr>
      <t>for</t>
    </r>
    <r>
      <rPr>
        <b/>
        <sz val="16"/>
        <color rgb="FFFF0000"/>
        <rFont val="Aptos"/>
        <family val="2"/>
      </rPr>
      <t xml:space="preserve">  02-123                                  </t>
    </r>
    <r>
      <rPr>
        <b/>
        <sz val="16"/>
        <color rgb="FF00DA63"/>
        <rFont val="Aptos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6"/>
        <color rgb="FF00B050"/>
        <rFont val="Aptos"/>
        <family val="2"/>
      </rPr>
      <t xml:space="preserve">                                    </t>
    </r>
    <r>
      <rPr>
        <b/>
        <sz val="16"/>
        <color theme="1"/>
        <rFont val="Aptos"/>
        <family val="2"/>
      </rPr>
      <t xml:space="preserve">                              </t>
    </r>
    <r>
      <rPr>
        <b/>
        <sz val="16"/>
        <color rgb="FFFF0000"/>
        <rFont val="Aptos"/>
        <family val="2"/>
      </rPr>
      <t xml:space="preserve"> </t>
    </r>
    <r>
      <rPr>
        <b/>
        <sz val="16"/>
        <color theme="1"/>
        <rFont val="Aptos"/>
        <family val="2"/>
      </rPr>
      <t xml:space="preserve">                                                                                                                </t>
    </r>
    <r>
      <rPr>
        <b/>
        <sz val="16"/>
        <color rgb="FF00B050"/>
        <rFont val="Aptos"/>
        <family val="2"/>
      </rPr>
      <t xml:space="preserve">                                                            </t>
    </r>
    <r>
      <rPr>
        <b/>
        <sz val="16"/>
        <color rgb="FFFF0000"/>
        <rFont val="Aptos"/>
        <family val="2"/>
      </rPr>
      <t xml:space="preserve">                                                                                                                                    </t>
    </r>
    <r>
      <rPr>
        <b/>
        <sz val="16"/>
        <color rgb="FF00B050"/>
        <rFont val="Aptos"/>
        <family val="2"/>
      </rPr>
      <t xml:space="preserve"> </t>
    </r>
    <r>
      <rPr>
        <b/>
        <sz val="16"/>
        <color rgb="FFFF0000"/>
        <rFont val="Aptos"/>
        <family val="2"/>
      </rPr>
      <t xml:space="preserve">                                                                                                                                                                                       </t>
    </r>
    <r>
      <rPr>
        <b/>
        <sz val="16"/>
        <color rgb="FF00B050"/>
        <rFont val="Aptos"/>
        <family val="2"/>
      </rPr>
      <t xml:space="preserve">                                    </t>
    </r>
    <r>
      <rPr>
        <b/>
        <sz val="16"/>
        <color rgb="FFFF0000"/>
        <rFont val="Aptos"/>
        <family val="2"/>
      </rPr>
      <t xml:space="preserve">                                                              </t>
    </r>
    <r>
      <rPr>
        <b/>
        <sz val="16"/>
        <color rgb="FF00B050"/>
        <rFont val="Aptos"/>
        <family val="2"/>
      </rPr>
      <t xml:space="preserve">                                                                        </t>
    </r>
    <r>
      <rPr>
        <b/>
        <sz val="16"/>
        <color rgb="FFFF0000"/>
        <rFont val="Aptos"/>
        <family val="2"/>
      </rPr>
      <t xml:space="preserve">                                                 </t>
    </r>
    <r>
      <rPr>
        <b/>
        <sz val="16"/>
        <color rgb="FF00B050"/>
        <rFont val="Aptos"/>
        <family val="2"/>
      </rPr>
      <t xml:space="preserve">                                                                                                                                                              </t>
    </r>
    <r>
      <rPr>
        <b/>
        <sz val="16"/>
        <color rgb="FFFF0000"/>
        <rFont val="Aptos"/>
        <family val="2"/>
      </rPr>
      <t xml:space="preserve">                                                                                          </t>
    </r>
    <r>
      <rPr>
        <b/>
        <sz val="16"/>
        <color rgb="FF00B050"/>
        <rFont val="Aptos"/>
        <family val="2"/>
      </rPr>
      <t xml:space="preserve">           </t>
    </r>
    <r>
      <rPr>
        <b/>
        <sz val="16"/>
        <color rgb="FFFF0000"/>
        <rFont val="Aptos"/>
        <family val="2"/>
      </rPr>
      <t xml:space="preserve">          </t>
    </r>
    <r>
      <rPr>
        <b/>
        <sz val="16"/>
        <color rgb="FF00B050"/>
        <rFont val="Aptos"/>
        <family val="2"/>
      </rPr>
      <t xml:space="preserve">                                                                      </t>
    </r>
    <r>
      <rPr>
        <b/>
        <sz val="16"/>
        <color rgb="FFFF0000"/>
        <rFont val="Aptos"/>
        <family val="2"/>
      </rPr>
      <t xml:space="preserve">                                                                                                    </t>
    </r>
    <r>
      <rPr>
        <b/>
        <sz val="16"/>
        <color rgb="FF00B050"/>
        <rFont val="Aptos"/>
        <family val="2"/>
      </rPr>
      <t xml:space="preserve">                                                   </t>
    </r>
    <r>
      <rPr>
        <b/>
        <sz val="16"/>
        <color rgb="FFFF0000"/>
        <rFont val="Aptos"/>
        <family val="2"/>
      </rPr>
      <t xml:space="preserve">                                                                                                                            </t>
    </r>
    <r>
      <rPr>
        <b/>
        <sz val="16"/>
        <color rgb="FF00B050"/>
        <rFont val="Aptos"/>
        <family val="2"/>
      </rPr>
      <t xml:space="preserve">      </t>
    </r>
    <r>
      <rPr>
        <b/>
        <sz val="16"/>
        <color rgb="FFFF0000"/>
        <rFont val="Aptos"/>
        <family val="2"/>
      </rPr>
      <t xml:space="preserve">                                                                                                                                                               </t>
    </r>
    <r>
      <rPr>
        <b/>
        <sz val="16"/>
        <color rgb="FF00B050"/>
        <rFont val="Aptos"/>
        <family val="2"/>
      </rPr>
      <t xml:space="preserve">   </t>
    </r>
    <r>
      <rPr>
        <b/>
        <sz val="16"/>
        <color rgb="FFFF0000"/>
        <rFont val="Aptos"/>
        <family val="2"/>
      </rPr>
      <t xml:space="preserve">                                                                                                                      </t>
    </r>
    <r>
      <rPr>
        <b/>
        <sz val="16"/>
        <color theme="1"/>
        <rFont val="Aptos"/>
        <family val="2"/>
      </rPr>
      <t xml:space="preserve">                                                      </t>
    </r>
  </si>
  <si>
    <t>11-111</t>
  </si>
  <si>
    <t>11 - 8</t>
  </si>
  <si>
    <t>Ø84" x 0.75"</t>
  </si>
  <si>
    <t>4 - 6</t>
  </si>
  <si>
    <t xml:space="preserve">4 - 6 </t>
  </si>
  <si>
    <r>
      <rPr>
        <b/>
        <sz val="16"/>
        <color rgb="FFFF0000"/>
        <rFont val="Aptos"/>
        <family val="2"/>
      </rPr>
      <t xml:space="preserve"> 19 </t>
    </r>
    <r>
      <rPr>
        <b/>
        <sz val="16"/>
        <rFont val="Aptos"/>
        <family val="2"/>
      </rPr>
      <t>for</t>
    </r>
    <r>
      <rPr>
        <b/>
        <sz val="16"/>
        <color rgb="FFFF0000"/>
        <rFont val="Aptos"/>
        <family val="2"/>
      </rPr>
      <t xml:space="preserve"> 06-131  (42" x 1")                                                                                        
85 </t>
    </r>
    <r>
      <rPr>
        <b/>
        <sz val="16"/>
        <color theme="1"/>
        <rFont val="Aptos"/>
        <family val="2"/>
      </rPr>
      <t>for</t>
    </r>
    <r>
      <rPr>
        <b/>
        <sz val="16"/>
        <color rgb="FFFF0000"/>
        <rFont val="Aptos"/>
        <family val="2"/>
      </rPr>
      <t xml:space="preserve"> 01-118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6"/>
        <color rgb="FF00B050"/>
        <rFont val="Aptos"/>
        <family val="2"/>
      </rPr>
      <t xml:space="preserve">                                    </t>
    </r>
    <r>
      <rPr>
        <b/>
        <sz val="16"/>
        <color rgb="FFFF0000"/>
        <rFont val="Aptos"/>
        <family val="2"/>
      </rPr>
      <t xml:space="preserve">                                                              </t>
    </r>
    <r>
      <rPr>
        <b/>
        <sz val="16"/>
        <color rgb="FF00B050"/>
        <rFont val="Aptos"/>
        <family val="2"/>
      </rPr>
      <t xml:space="preserve">                                                                        </t>
    </r>
    <r>
      <rPr>
        <b/>
        <sz val="16"/>
        <color rgb="FFFF0000"/>
        <rFont val="Aptos"/>
        <family val="2"/>
      </rPr>
      <t xml:space="preserve">                                                 </t>
    </r>
    <r>
      <rPr>
        <b/>
        <sz val="16"/>
        <color rgb="FF00B050"/>
        <rFont val="Aptos"/>
        <family val="2"/>
      </rPr>
      <t xml:space="preserve">                                                                                                                                                              </t>
    </r>
    <r>
      <rPr>
        <b/>
        <sz val="16"/>
        <color rgb="FFFF0000"/>
        <rFont val="Aptos"/>
        <family val="2"/>
      </rPr>
      <t xml:space="preserve">                                                                                          </t>
    </r>
    <r>
      <rPr>
        <b/>
        <sz val="16"/>
        <color rgb="FF00B050"/>
        <rFont val="Aptos"/>
        <family val="2"/>
      </rPr>
      <t xml:space="preserve">           </t>
    </r>
    <r>
      <rPr>
        <b/>
        <sz val="16"/>
        <color rgb="FFFF0000"/>
        <rFont val="Aptos"/>
        <family val="2"/>
      </rPr>
      <t xml:space="preserve">          </t>
    </r>
    <r>
      <rPr>
        <b/>
        <sz val="16"/>
        <color rgb="FF00B050"/>
        <rFont val="Aptos"/>
        <family val="2"/>
      </rPr>
      <t xml:space="preserve">                                                                      </t>
    </r>
    <r>
      <rPr>
        <b/>
        <sz val="16"/>
        <color rgb="FFFF0000"/>
        <rFont val="Aptos"/>
        <family val="2"/>
      </rPr>
      <t xml:space="preserve">                                                                                                    </t>
    </r>
    <r>
      <rPr>
        <b/>
        <sz val="16"/>
        <color rgb="FF00B050"/>
        <rFont val="Aptos"/>
        <family val="2"/>
      </rPr>
      <t xml:space="preserve">                                                   </t>
    </r>
    <r>
      <rPr>
        <b/>
        <sz val="16"/>
        <color rgb="FFFF0000"/>
        <rFont val="Aptos"/>
        <family val="2"/>
      </rPr>
      <t xml:space="preserve">                                                                                                                            </t>
    </r>
    <r>
      <rPr>
        <b/>
        <sz val="16"/>
        <color rgb="FF00B050"/>
        <rFont val="Aptos"/>
        <family val="2"/>
      </rPr>
      <t xml:space="preserve">      </t>
    </r>
    <r>
      <rPr>
        <b/>
        <sz val="16"/>
        <color rgb="FFFF0000"/>
        <rFont val="Aptos"/>
        <family val="2"/>
      </rPr>
      <t xml:space="preserve">                                                                                                                                                               </t>
    </r>
    <r>
      <rPr>
        <b/>
        <sz val="16"/>
        <color rgb="FF00B050"/>
        <rFont val="Aptos"/>
        <family val="2"/>
      </rPr>
      <t xml:space="preserve">   </t>
    </r>
    <r>
      <rPr>
        <b/>
        <sz val="16"/>
        <color rgb="FFFF0000"/>
        <rFont val="Aptos"/>
        <family val="2"/>
      </rPr>
      <t xml:space="preserve">                                                                                                                      </t>
    </r>
    <r>
      <rPr>
        <b/>
        <sz val="16"/>
        <color theme="1"/>
        <rFont val="Aptos"/>
        <family val="2"/>
      </rPr>
      <t xml:space="preserve">                    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</si>
</sst>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9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Aptos"/>
      <family val="2"/>
    </font>
    <font>
      <b/>
      <sz val="26"/>
      <color theme="1"/>
      <name val="Aptos"/>
      <family val="2"/>
    </font>
    <font>
      <b/>
      <sz val="14"/>
      <color theme="1"/>
      <name val="Aptos"/>
      <family val="2"/>
    </font>
    <font>
      <b/>
      <sz val="20"/>
      <color theme="1"/>
      <name val="Aptos"/>
      <family val="2"/>
    </font>
    <font>
      <b/>
      <sz val="18"/>
      <color theme="1"/>
      <name val="Calibri"/>
      <family val="2"/>
      <scheme val="minor"/>
    </font>
    <font>
      <sz val="16"/>
      <color theme="1"/>
      <name val="Aptos"/>
      <family val="2"/>
    </font>
    <font>
      <b/>
      <sz val="16"/>
      <name val="Aptos"/>
      <family val="2"/>
    </font>
    <font>
      <sz val="16"/>
      <name val="Aptos"/>
      <family val="2"/>
    </font>
    <font>
      <b/>
      <sz val="14"/>
      <name val="Aptos"/>
      <family val="2"/>
    </font>
    <font>
      <b/>
      <sz val="18"/>
      <color theme="1"/>
      <name val="Aptos"/>
      <family val="2"/>
    </font>
    <font>
      <b/>
      <sz val="16"/>
      <color rgb="FFFF0000"/>
      <name val="Aptos"/>
      <family val="2"/>
    </font>
    <font>
      <sz val="18"/>
      <color theme="1"/>
      <name val="Aptos"/>
      <family val="2"/>
    </font>
    <font>
      <b/>
      <sz val="22"/>
      <color theme="1"/>
      <name val="Aptos"/>
      <family val="2"/>
    </font>
    <font>
      <sz val="16"/>
      <color theme="1"/>
      <name val="Calibri"/>
      <family val="2"/>
      <scheme val="minor"/>
    </font>
    <font>
      <b/>
      <sz val="22"/>
      <color theme="0"/>
      <name val="Aptos"/>
      <family val="2"/>
    </font>
    <font>
      <b/>
      <sz val="22"/>
      <name val="Aptos"/>
      <family val="2"/>
    </font>
    <font>
      <b/>
      <sz val="16"/>
      <color rgb="FF00DA63"/>
      <name val="Aptos"/>
      <family val="2"/>
    </font>
    <font>
      <b/>
      <sz val="16"/>
      <color rgb="FF00B050"/>
      <name val="Aptos"/>
      <family val="2"/>
    </font>
    <font>
      <b/>
      <sz val="18"/>
      <color rgb="FFFF0000"/>
      <name val="Aptos"/>
      <family val="2"/>
    </font>
    <font>
      <b/>
      <sz val="18"/>
      <color rgb="FF00B050"/>
      <name val="Aptos"/>
      <family val="2"/>
    </font>
    <font>
      <b/>
      <sz val="18"/>
      <name val="Aptos"/>
      <family val="2"/>
    </font>
    <font>
      <b/>
      <i/>
      <u/>
      <sz val="16"/>
      <name val="Aptos"/>
      <family val="2"/>
    </font>
    <font>
      <b/>
      <sz val="12"/>
      <name val="Aptos"/>
      <family val="2"/>
    </font>
    <font>
      <b/>
      <sz val="18"/>
      <color rgb="FFFF3B3B"/>
      <name val="Aptos"/>
      <family val="2"/>
    </font>
    <font>
      <b/>
      <sz val="14"/>
      <color rgb="FF00B050"/>
      <name val="Aptos"/>
      <family val="2"/>
    </font>
    <font>
      <b/>
      <sz val="14"/>
      <color rgb="FFFF0000"/>
      <name val="Aptos"/>
      <family val="2"/>
    </font>
    <font>
      <sz val="16"/>
      <color rgb="FF00DA63"/>
      <name val="Aptos"/>
      <family val="2"/>
    </font>
    <font>
      <b/>
      <sz val="11"/>
      <color rgb="FFFF000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72"/>
      <color theme="8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72"/>
      <color rgb="FF00B050"/>
      <name val="Trade Gothic Inline"/>
      <family val="2"/>
    </font>
    <font>
      <b/>
      <sz val="72"/>
      <color rgb="FFFF0000"/>
      <name val="Trade Gothic Inline"/>
      <family val="2"/>
    </font>
    <font>
      <sz val="72"/>
      <color theme="1"/>
      <name val="Calibri"/>
      <family val="2"/>
      <scheme val="minor"/>
    </font>
    <font>
      <b/>
      <sz val="20"/>
      <color rgb="FF00B050"/>
      <name val="Aptos"/>
      <family val="2"/>
    </font>
    <font>
      <b/>
      <sz val="22"/>
      <color rgb="FF00B050"/>
      <name val="Arial"/>
      <family val="2"/>
    </font>
    <font>
      <b/>
      <sz val="48"/>
      <color rgb="FF00B050"/>
      <name val="Trade Gothic Inline"/>
      <family val="2"/>
    </font>
    <font>
      <b/>
      <sz val="26"/>
      <color theme="5"/>
      <name val="Trade Gothic Inline"/>
      <family val="2"/>
    </font>
    <font>
      <b/>
      <sz val="48"/>
      <color rgb="FFFF0000"/>
      <name val="Trade Gothic Inline"/>
      <family val="2"/>
    </font>
    <font>
      <b/>
      <sz val="28"/>
      <color theme="5"/>
      <name val="Trade Gothic Inline"/>
      <family val="2"/>
    </font>
    <font>
      <b/>
      <sz val="48"/>
      <color theme="5"/>
      <name val="Trade Gothic Inline"/>
      <family val="2"/>
    </font>
    <font>
      <b/>
      <sz val="36"/>
      <color theme="5"/>
      <name val="Trade Gothic Inline"/>
      <family val="2"/>
    </font>
    <font>
      <b/>
      <sz val="72"/>
      <color theme="5"/>
      <name val="Trade Gothic Inline"/>
      <family val="2"/>
    </font>
    <font>
      <b/>
      <sz val="56"/>
      <color theme="5"/>
      <name val="Trade Gothic Inline"/>
      <family val="2"/>
    </font>
    <font>
      <b/>
      <sz val="36"/>
      <color rgb="FFED7A2B"/>
      <name val="Trade Gothic Inline"/>
      <family val="2"/>
    </font>
    <font>
      <sz val="48"/>
      <color rgb="FFED7A2B"/>
      <name val="Trade Gothic Inline"/>
      <family val="2"/>
    </font>
    <font>
      <sz val="11"/>
      <color rgb="FFED7A2B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60"/>
      <color rgb="FFFF0000"/>
      <name val="Trade Gothic Inline"/>
      <family val="2"/>
    </font>
    <font>
      <b/>
      <sz val="60"/>
      <color rgb="FF00B050"/>
      <name val="Trade Gothic Inline"/>
      <family val="2"/>
    </font>
    <font>
      <sz val="16"/>
      <color rgb="FF00B050"/>
      <name val="Aptos"/>
      <family val="2"/>
    </font>
    <font>
      <sz val="22"/>
      <color theme="1"/>
      <name val="Calibri"/>
      <family val="2"/>
      <scheme val="minor"/>
    </font>
    <font>
      <b/>
      <sz val="65"/>
      <color rgb="FF00B050"/>
      <name val="Trade Gothic Inline"/>
      <family val="2"/>
    </font>
    <font>
      <sz val="14"/>
      <color theme="1"/>
      <name val="Aptos"/>
      <family val="2"/>
    </font>
    <font>
      <b/>
      <sz val="46"/>
      <color rgb="FF00B050"/>
      <name val="Trade Gothic Inline"/>
      <family val="2"/>
    </font>
    <font>
      <b/>
      <sz val="22"/>
      <color rgb="FF00B050"/>
      <name val="Aptos"/>
      <family val="2"/>
    </font>
    <font>
      <b/>
      <sz val="45"/>
      <color rgb="FF00B050"/>
      <name val="Trade Gothic Inline"/>
      <family val="2"/>
    </font>
    <font>
      <b/>
      <sz val="24"/>
      <color rgb="FFFF0000"/>
      <name val="Aptos"/>
      <family val="2"/>
    </font>
    <font>
      <b/>
      <sz val="63"/>
      <color rgb="FF00B050"/>
      <name val="Trade Gothic Inline"/>
      <family val="2"/>
    </font>
    <font>
      <b/>
      <sz val="58"/>
      <color rgb="FF00B050"/>
      <name val="Trade Gothic Inline"/>
      <family val="2"/>
    </font>
    <font>
      <b/>
      <sz val="45"/>
      <color rgb="FFFF0000"/>
      <name val="Trade Gothic Inline"/>
      <family val="2"/>
    </font>
    <font>
      <b/>
      <sz val="22"/>
      <color rgb="FFFF0000"/>
      <name val="Aptos"/>
      <family val="2"/>
    </font>
    <font>
      <b/>
      <sz val="62"/>
      <color rgb="FF00B050"/>
      <name val="Trade Gothic Inline"/>
      <family val="2"/>
    </font>
    <font>
      <b/>
      <sz val="8"/>
      <color rgb="FFFF0000"/>
      <name val="Aptos"/>
      <family val="2"/>
    </font>
    <font>
      <b/>
      <i/>
      <sz val="60"/>
      <color theme="1"/>
      <name val="Calibri"/>
      <family val="2"/>
      <scheme val="minor"/>
    </font>
    <font>
      <b/>
      <sz val="48"/>
      <color theme="9"/>
      <name val="Trade Gothic Inline"/>
      <family val="2"/>
    </font>
    <font>
      <b/>
      <sz val="16"/>
      <color theme="9"/>
      <name val="Aptos"/>
      <family val="2"/>
    </font>
    <font>
      <b/>
      <sz val="28"/>
      <color rgb="FF00B050"/>
      <name val="Aptos"/>
      <family val="2"/>
    </font>
    <font>
      <b/>
      <sz val="64"/>
      <color rgb="FF00B050"/>
      <name val="Trade Gothic Inline"/>
      <family val="2"/>
    </font>
    <font>
      <b/>
      <sz val="28"/>
      <color rgb="FFFF8133"/>
      <name val="Trade Gothic Inline"/>
      <family val="2"/>
    </font>
    <font>
      <b/>
      <sz val="48"/>
      <color rgb="FFFF8133"/>
      <name val="Trade Gothic Inline"/>
      <family val="2"/>
    </font>
    <font>
      <b/>
      <sz val="26"/>
      <color rgb="FF00B0F0"/>
      <name val="Trade Gothic Inline"/>
      <family val="2"/>
    </font>
    <font>
      <b/>
      <sz val="28"/>
      <color rgb="FF00B0F0"/>
      <name val="Trade Gothic Inline"/>
      <family val="2"/>
    </font>
    <font>
      <b/>
      <sz val="60"/>
      <color rgb="FF00B0F0"/>
      <name val="Trade Gothic Inline"/>
      <family val="2"/>
    </font>
    <font>
      <b/>
      <sz val="72"/>
      <color rgb="FF00B0F0"/>
      <name val="Trade Gothic Inline"/>
      <family val="2"/>
    </font>
    <font>
      <b/>
      <sz val="58"/>
      <color rgb="FF00B0F0"/>
      <name val="Trade Gothic Inline"/>
      <family val="2"/>
    </font>
    <font>
      <b/>
      <sz val="48"/>
      <color rgb="FF00B0F0"/>
      <name val="Trade Gothic Inline"/>
      <family val="2"/>
    </font>
    <font>
      <b/>
      <sz val="53"/>
      <color rgb="FF00B0F0"/>
      <name val="Trade Gothic Inline"/>
      <family val="2"/>
    </font>
    <font>
      <b/>
      <sz val="65"/>
      <color rgb="FF00B0F0"/>
      <name val="Trade Gothic Inline"/>
      <family val="2"/>
    </font>
    <font>
      <sz val="28"/>
      <color rgb="FFED7A2B"/>
      <name val="Trade Gothic Inline"/>
      <family val="2"/>
    </font>
    <font>
      <sz val="11"/>
      <color rgb="FF00B0F0"/>
      <name val="Calibri"/>
      <family val="2"/>
      <scheme val="minor"/>
    </font>
    <font>
      <b/>
      <sz val="40"/>
      <color theme="5"/>
      <name val="Trade Gothic Inline"/>
      <family val="2"/>
    </font>
    <font>
      <b/>
      <sz val="44"/>
      <color rgb="FF00B050"/>
      <name val="Trade Gothic Inline"/>
      <family val="2"/>
    </font>
    <font>
      <b/>
      <i/>
      <u/>
      <sz val="55"/>
      <color theme="1"/>
      <name val="Aptos"/>
      <family val="2"/>
    </font>
    <font>
      <b/>
      <sz val="48"/>
      <color rgb="FF00FF00"/>
      <name val="Trade Gothic Inline"/>
      <family val="2"/>
    </font>
    <font>
      <sz val="72"/>
      <color rgb="FFFF0000"/>
      <name val="Trade Gothic Inline"/>
      <family val="2"/>
    </font>
    <font>
      <b/>
      <sz val="12"/>
      <color theme="1"/>
      <name val="Aptos"/>
      <family val="2"/>
    </font>
    <font>
      <sz val="14"/>
      <color theme="1"/>
      <name val="Calibri"/>
      <family val="2"/>
      <scheme val="minor"/>
    </font>
    <font>
      <b/>
      <sz val="55"/>
      <color rgb="FF00B0F0"/>
      <name val="Trade Gothic Inline"/>
      <family val="2"/>
    </font>
    <font>
      <b/>
      <sz val="11"/>
      <color theme="1"/>
      <name val="Aptos"/>
      <family val="2"/>
    </font>
    <font>
      <b/>
      <sz val="11"/>
      <color rgb="FF00B050"/>
      <name val="Aptos"/>
      <family val="2"/>
    </font>
    <font>
      <sz val="26"/>
      <color theme="1"/>
      <name val="Calibri"/>
      <family val="2"/>
      <scheme val="minor"/>
    </font>
    <font>
      <b/>
      <i/>
      <u/>
      <sz val="56"/>
      <color theme="1"/>
      <name val="Aptos"/>
      <family val="2"/>
    </font>
    <font>
      <b/>
      <sz val="46"/>
      <color theme="1"/>
      <name val="Aptos"/>
      <family val="2"/>
    </font>
    <font>
      <b/>
      <u val="doubleAccounting"/>
      <sz val="48"/>
      <color theme="0"/>
      <name val="Aptos"/>
      <family val="2"/>
    </font>
    <font>
      <b/>
      <sz val="64"/>
      <color theme="1"/>
      <name val="Trade Gothic Inline"/>
      <family val="2"/>
    </font>
    <font>
      <b/>
      <u val="double"/>
      <sz val="16"/>
      <color theme="1"/>
      <name val="Aptos"/>
      <family val="2"/>
    </font>
    <font>
      <b/>
      <u val="doubleAccounting"/>
      <sz val="48"/>
      <color theme="1"/>
      <name val="Aptos"/>
      <family val="2"/>
    </font>
    <font>
      <b/>
      <sz val="12"/>
      <color rgb="FFFF0000"/>
      <name val="Aptos"/>
      <family val="2"/>
    </font>
    <font>
      <b/>
      <sz val="12"/>
      <color rgb="FF00B050"/>
      <name val="Aptos"/>
      <family val="2"/>
    </font>
    <font>
      <b/>
      <sz val="12"/>
      <color theme="7"/>
      <name val="Aptos"/>
      <family val="2"/>
    </font>
    <font>
      <b/>
      <i/>
      <sz val="60"/>
      <color theme="1"/>
      <name val="Aptos"/>
      <family val="2"/>
    </font>
    <font>
      <b/>
      <sz val="36"/>
      <color rgb="FF00B050"/>
      <name val="Trade Gothic Inline"/>
      <family val="2"/>
    </font>
    <font>
      <sz val="12"/>
      <color theme="1"/>
      <name val="Aptos"/>
      <family val="2"/>
    </font>
    <font>
      <b/>
      <sz val="16"/>
      <color rgb="FFFF3B3B"/>
      <name val="Aptos"/>
      <family val="2"/>
    </font>
    <font>
      <b/>
      <sz val="14"/>
      <color rgb="FFFFC000"/>
      <name val="Aptos"/>
      <family val="2"/>
    </font>
    <font>
      <b/>
      <sz val="67"/>
      <color rgb="FF00B050"/>
      <name val="Trade Gothic Inline"/>
      <family val="2"/>
    </font>
    <font>
      <b/>
      <sz val="70"/>
      <color rgb="FF00B050"/>
      <name val="Trade Gothic Inline"/>
      <family val="2"/>
    </font>
    <font>
      <b/>
      <sz val="26"/>
      <color theme="0"/>
      <name val="Trade Gothic Inline"/>
      <family val="2"/>
    </font>
    <font>
      <sz val="12"/>
      <color theme="1"/>
      <name val="Calibri"/>
      <family val="2"/>
      <scheme val="minor"/>
    </font>
    <font>
      <sz val="16"/>
      <color rgb="FFFF0000"/>
      <name val="Aptos"/>
      <family val="2"/>
    </font>
    <font>
      <b/>
      <sz val="48"/>
      <color theme="4" tint="-0.249977111117893"/>
      <name val="Trade Gothic Inline"/>
      <family val="2"/>
    </font>
    <font>
      <b/>
      <sz val="72"/>
      <color theme="4" tint="-0.249977111117893"/>
      <name val="Trade Gothic Inline"/>
      <family val="2"/>
    </font>
    <font>
      <b/>
      <i/>
      <sz val="40"/>
      <color theme="1"/>
      <name val="Calibri"/>
      <family val="2"/>
      <scheme val="minor"/>
    </font>
    <font>
      <b/>
      <i/>
      <sz val="40"/>
      <color theme="1"/>
      <name val="Aptos"/>
      <family val="2"/>
    </font>
    <font>
      <b/>
      <sz val="28"/>
      <color theme="0"/>
      <name val="Trade Gothic Inline"/>
      <family val="2"/>
    </font>
    <font>
      <b/>
      <sz val="68"/>
      <color theme="5"/>
      <name val="Trade Gothic Inline"/>
      <family val="2"/>
    </font>
    <font>
      <b/>
      <i/>
      <sz val="36"/>
      <color theme="1"/>
      <name val="Calibri"/>
      <family val="2"/>
      <scheme val="minor"/>
    </font>
    <font>
      <b/>
      <i/>
      <sz val="28"/>
      <color theme="1"/>
      <name val="Calibri"/>
      <family val="2"/>
      <scheme val="minor"/>
    </font>
    <font>
      <b/>
      <i/>
      <sz val="36"/>
      <color theme="1"/>
      <name val="Aptos"/>
      <family val="2"/>
    </font>
    <font>
      <b/>
      <i/>
      <sz val="28"/>
      <color theme="1"/>
      <name val="Aptos"/>
      <family val="2"/>
    </font>
    <font>
      <b/>
      <sz val="36"/>
      <color theme="0"/>
      <name val="Trade Gothic Inline"/>
      <family val="2"/>
    </font>
    <font>
      <b/>
      <sz val="83"/>
      <color rgb="FF00B0F0"/>
      <name val="Trade Gothic Inline"/>
      <family val="2"/>
    </font>
    <font>
      <b/>
      <sz val="36"/>
      <color theme="1"/>
      <name val="Aptos"/>
      <family val="2"/>
    </font>
    <font>
      <b/>
      <sz val="36"/>
      <color rgb="FF00B050"/>
      <name val="Aptos"/>
      <family val="2"/>
    </font>
    <font>
      <b/>
      <sz val="48"/>
      <color theme="1"/>
      <name val="Aptos"/>
      <family val="2"/>
    </font>
    <font>
      <b/>
      <sz val="72"/>
      <color rgb="FFFFC000"/>
      <name val="Trade Gothic Inline"/>
      <family val="2"/>
    </font>
    <font>
      <b/>
      <sz val="68"/>
      <color theme="4" tint="-0.249977111117893"/>
      <name val="Trade Gothic Inline"/>
      <family val="2"/>
    </font>
    <font>
      <b/>
      <sz val="46"/>
      <color rgb="FFFF0000"/>
      <name val="Trade Gothic Inline"/>
      <family val="2"/>
    </font>
    <font>
      <b/>
      <sz val="72"/>
      <color rgb="FFFFC819"/>
      <name val="Trade Gothic Inline"/>
      <family val="2"/>
    </font>
    <font>
      <sz val="8"/>
      <name val="Calibri"/>
      <family val="2"/>
      <scheme val="minor"/>
    </font>
    <font>
      <b/>
      <sz val="72"/>
      <color rgb="FFED7A2B"/>
      <name val="Trade Gothic Inline"/>
      <family val="2"/>
    </font>
    <font>
      <b/>
      <sz val="72"/>
      <color theme="1"/>
      <name val="Aptos"/>
      <family val="2"/>
    </font>
    <font>
      <sz val="72"/>
      <color rgb="FFED7A2B"/>
      <name val="Calibri"/>
      <family val="2"/>
      <scheme val="minor"/>
    </font>
    <font>
      <b/>
      <sz val="48"/>
      <color rgb="FF00B050"/>
      <name val="Aptos"/>
      <family val="2"/>
    </font>
    <font>
      <b/>
      <sz val="12"/>
      <color theme="1"/>
      <name val="Calibri"/>
      <family val="2"/>
      <scheme val="minor"/>
    </font>
    <font>
      <sz val="26"/>
      <color theme="5"/>
      <name val="Trade Gothic Inline"/>
      <family val="2"/>
    </font>
    <font>
      <b/>
      <sz val="24"/>
      <name val="Aptos"/>
      <family val="2"/>
    </font>
    <font>
      <b/>
      <sz val="18"/>
      <color theme="5"/>
      <name val="Aptos"/>
      <family val="2"/>
    </font>
    <font>
      <b/>
      <sz val="18"/>
      <color rgb="FF00B0F0"/>
      <name val="Aptos"/>
      <family val="2"/>
    </font>
    <font>
      <sz val="12"/>
      <color theme="1"/>
      <name val="Aptos"/>
      <family val="2"/>
    </font>
    <font>
      <b/>
      <i/>
      <sz val="18"/>
      <color theme="1"/>
      <name val="Aptos"/>
      <family val="2"/>
    </font>
    <font>
      <b/>
      <sz val="68"/>
      <color rgb="FF00B050"/>
      <name val="Trade Gothic Inline"/>
      <family val="2"/>
    </font>
    <font>
      <i/>
      <sz val="18"/>
      <color theme="1"/>
      <name val="Aptos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8"/>
      <color theme="8"/>
      <name val="Aptos"/>
      <family val="2"/>
    </font>
    <font>
      <b/>
      <i/>
      <sz val="28"/>
      <color rgb="FF00B0F0"/>
      <name val="Aptos"/>
      <family val="2"/>
    </font>
    <font>
      <b/>
      <sz val="36"/>
      <color theme="8"/>
      <name val="Aptos"/>
      <family val="2"/>
    </font>
    <font>
      <b/>
      <sz val="48"/>
      <color theme="8"/>
      <name val="Aptos"/>
      <family val="2"/>
    </font>
    <font>
      <b/>
      <i/>
      <sz val="80"/>
      <color theme="8"/>
      <name val="Aptos"/>
      <family val="2"/>
    </font>
    <font>
      <b/>
      <sz val="36"/>
      <name val="Aptos"/>
      <family val="2"/>
    </font>
    <font>
      <b/>
      <sz val="24"/>
      <color theme="1"/>
      <name val="Aptos"/>
      <family val="2"/>
    </font>
    <font>
      <sz val="24"/>
      <color theme="1"/>
      <name val="Calibri"/>
      <family val="2"/>
      <scheme val="minor"/>
    </font>
    <font>
      <b/>
      <sz val="48"/>
      <color rgb="FF00B0F0"/>
      <name val="Aptos"/>
      <family val="2"/>
    </font>
    <font>
      <b/>
      <i/>
      <sz val="48"/>
      <color theme="8"/>
      <name val="Aptos"/>
      <family val="2"/>
    </font>
    <font>
      <b/>
      <i/>
      <sz val="36"/>
      <color theme="8"/>
      <name val="Aptos"/>
      <family val="2"/>
    </font>
    <font>
      <b/>
      <i/>
      <sz val="28"/>
      <color theme="8"/>
      <name val="Aptos"/>
      <family val="2"/>
    </font>
    <font>
      <b/>
      <i/>
      <sz val="22"/>
      <color theme="5"/>
      <name val="Aptos"/>
      <family val="2"/>
    </font>
    <font>
      <b/>
      <i/>
      <sz val="24"/>
      <color theme="5"/>
      <name val="Aptos"/>
      <family val="2"/>
    </font>
    <font>
      <b/>
      <sz val="66"/>
      <color theme="5"/>
      <name val="Trade Gothic Inline"/>
      <family val="2"/>
    </font>
    <font>
      <b/>
      <sz val="64"/>
      <color rgb="FFFF0000"/>
      <name val="Trade Gothic Inline"/>
      <family val="2"/>
    </font>
    <font>
      <b/>
      <sz val="26"/>
      <color rgb="FFFF0000"/>
      <name val="Aptos"/>
      <family val="2"/>
    </font>
    <font>
      <b/>
      <sz val="26"/>
      <color rgb="FF00B050"/>
      <name val="Trade Gothic Inline"/>
      <family val="2"/>
    </font>
    <font>
      <b/>
      <i/>
      <u/>
      <sz val="26"/>
      <color theme="1"/>
      <name val="Aptos"/>
      <family val="2"/>
    </font>
    <font>
      <b/>
      <sz val="80"/>
      <color theme="5"/>
      <name val="Trade Gothic Inline"/>
      <family val="2"/>
    </font>
    <font>
      <sz val="10"/>
      <color theme="1"/>
      <name val="Calibri"/>
      <family val="2"/>
      <scheme val="minor"/>
    </font>
    <font>
      <b/>
      <sz val="69"/>
      <color rgb="FF00B050"/>
      <name val="Trade Gothic Inline"/>
      <family val="2"/>
    </font>
    <font>
      <b/>
      <sz val="14"/>
      <color theme="0"/>
      <name val="Aptos"/>
      <family val="2"/>
    </font>
    <font>
      <b/>
      <sz val="16"/>
      <color theme="0"/>
      <name val="Aptos"/>
      <family val="2"/>
    </font>
    <font>
      <b/>
      <sz val="14"/>
      <color rgb="FFFF0000"/>
      <name val="Trade Gothic Inline"/>
      <family val="2"/>
    </font>
    <font>
      <b/>
      <sz val="14"/>
      <color rgb="FF00B050"/>
      <name val="Trade Gothic Inline"/>
      <family val="2"/>
    </font>
    <font>
      <b/>
      <sz val="14"/>
      <color theme="5"/>
      <name val="Trade Gothic Inline"/>
      <family val="2"/>
    </font>
    <font>
      <b/>
      <sz val="24"/>
      <name val="Aptos"/>
      <family val="2"/>
    </font>
    <font>
      <b/>
      <sz val="90"/>
      <color rgb="FFFF0000"/>
      <name val="Trade Gothic Inline"/>
      <family val="2"/>
    </font>
    <font>
      <b/>
      <sz val="90"/>
      <color rgb="FF00B050"/>
      <name val="Trade Gothic Inline"/>
      <family val="2"/>
    </font>
    <font>
      <sz val="90"/>
      <color theme="1"/>
      <name val="Calibri"/>
      <family val="2"/>
      <scheme val="minor"/>
    </font>
    <font>
      <sz val="72"/>
      <color rgb="FFFF0000"/>
      <name val="Calibri"/>
      <family val="2"/>
      <scheme val="minor"/>
    </font>
    <font>
      <b/>
      <sz val="72"/>
      <color rgb="FFFF0000"/>
      <name val="Aptos"/>
      <family val="2"/>
    </font>
    <font>
      <b/>
      <sz val="90"/>
      <color theme="5"/>
      <name val="Trade Gothic Inline"/>
      <family val="2"/>
    </font>
    <font>
      <b/>
      <sz val="85"/>
      <color theme="5"/>
      <name val="Trade Gothic Inline"/>
      <family val="2"/>
    </font>
    <font>
      <b/>
      <sz val="28"/>
      <color theme="1"/>
      <name val="Aptos"/>
      <family val="2"/>
    </font>
    <font>
      <b/>
      <sz val="80"/>
      <color rgb="FFFF0000"/>
      <name val="Trade Gothic Inline"/>
      <family val="2"/>
    </font>
    <font>
      <sz val="80"/>
      <color rgb="FFFF0000"/>
      <name val="Calibri"/>
      <family val="2"/>
      <scheme val="minor"/>
    </font>
    <font>
      <b/>
      <sz val="80"/>
      <color rgb="FF00B050"/>
      <name val="Trade Gothic Inline"/>
      <family val="2"/>
    </font>
    <font>
      <b/>
      <sz val="66"/>
      <color rgb="FF00B050"/>
      <name val="Trade Gothic Inline"/>
      <family val="2"/>
    </font>
    <font>
      <b/>
      <sz val="115"/>
      <color theme="5"/>
      <name val="Trade Gothic Inline"/>
      <family val="2"/>
    </font>
  </fonts>
  <fills count="2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819"/>
        <bgColor indexed="64"/>
      </patternFill>
    </fill>
    <fill>
      <patternFill patternType="solid">
        <fgColor rgb="FF65CCFF"/>
        <bgColor indexed="64"/>
      </patternFill>
    </fill>
    <fill>
      <patternFill patternType="solid">
        <fgColor rgb="FFFFAA01"/>
        <bgColor indexed="64"/>
      </patternFill>
    </fill>
    <fill>
      <patternFill patternType="gray125">
        <bgColor rgb="FF65CCFF"/>
      </patternFill>
    </fill>
    <fill>
      <patternFill patternType="gray125">
        <fgColor theme="0" tint="-4.9989318521683403E-2"/>
        <bgColor theme="5" tint="0.79998168889431442"/>
      </patternFill>
    </fill>
    <fill>
      <patternFill patternType="solid">
        <fgColor theme="7" tint="0.59999389629810485"/>
        <bgColor indexed="64"/>
      </patternFill>
    </fill>
    <fill>
      <patternFill patternType="lightUp">
        <fgColor theme="0" tint="-0.14996795556505021"/>
        <bgColor theme="4" tint="0.79995117038483843"/>
      </patternFill>
    </fill>
    <fill>
      <patternFill patternType="solid">
        <fgColor theme="4" tint="0.79992065187536243"/>
        <bgColor rgb="FF79FFFC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gray0625">
        <fgColor theme="0" tint="-4.9989318521683403E-2"/>
        <bgColor rgb="FF00DA63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3B3B"/>
        <bgColor indexed="64"/>
      </patternFill>
    </fill>
    <fill>
      <patternFill patternType="solid">
        <fgColor rgb="FF79FFF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rgb="FFDDF6F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auto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C99"/>
        <bgColor theme="0"/>
      </patternFill>
    </fill>
    <fill>
      <patternFill patternType="solid">
        <fgColor theme="7" tint="0.79992065187536243"/>
        <bgColor theme="0"/>
      </patternFill>
    </fill>
    <fill>
      <patternFill patternType="solid">
        <fgColor rgb="FFCCFFCC"/>
        <bgColor indexed="64"/>
      </patternFill>
    </fill>
    <fill>
      <patternFill patternType="solid">
        <fgColor rgb="FFCCFFCC"/>
        <bgColor theme="0"/>
      </patternFill>
    </fill>
    <fill>
      <patternFill patternType="solid">
        <fgColor auto="1"/>
        <bgColor theme="0"/>
      </patternFill>
    </fill>
    <fill>
      <patternFill patternType="lightHorizontal">
        <fgColor theme="9"/>
      </patternFill>
    </fill>
    <fill>
      <patternFill patternType="solid">
        <fgColor rgb="FF66FF3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theme="7" tint="0.79998168889431442"/>
        <bgColor theme="0"/>
      </patternFill>
    </fill>
    <fill>
      <patternFill patternType="solid">
        <fgColor rgb="FFFFC000"/>
        <bgColor theme="0"/>
      </patternFill>
    </fill>
    <fill>
      <patternFill patternType="solid">
        <fgColor theme="9" tint="0.39997558519241921"/>
        <bgColor theme="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theme="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5392EF"/>
        <bgColor theme="0"/>
      </patternFill>
    </fill>
    <fill>
      <patternFill patternType="solid">
        <fgColor rgb="FF5392EF"/>
        <bgColor indexed="64"/>
      </patternFill>
    </fill>
    <fill>
      <patternFill patternType="solid">
        <fgColor rgb="FF76DAE8"/>
        <bgColor theme="0"/>
      </patternFill>
    </fill>
    <fill>
      <patternFill patternType="solid">
        <fgColor rgb="FF76DAE8"/>
        <bgColor indexed="64"/>
      </patternFill>
    </fill>
    <fill>
      <patternFill patternType="solid">
        <fgColor rgb="FF83B1DB"/>
        <bgColor theme="0"/>
      </patternFill>
    </fill>
    <fill>
      <patternFill patternType="solid">
        <fgColor rgb="FF83B1DB"/>
        <bgColor indexed="64"/>
      </patternFill>
    </fill>
    <fill>
      <patternFill patternType="solid">
        <fgColor theme="7" tint="0.59999389629810485"/>
        <bgColor theme="0"/>
      </patternFill>
    </fill>
    <fill>
      <patternFill patternType="solid">
        <fgColor rgb="FF75FFF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5FFF2"/>
        <bgColor theme="0"/>
      </patternFill>
    </fill>
    <fill>
      <patternFill patternType="solid">
        <fgColor theme="6" tint="0.79998168889431442"/>
        <bgColor theme="7"/>
      </patternFill>
    </fill>
    <fill>
      <patternFill patternType="solid">
        <fgColor rgb="FF75DB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75DBFF"/>
        <bgColor theme="0"/>
      </patternFill>
    </fill>
    <fill>
      <patternFill patternType="solid">
        <fgColor rgb="FFEFFFFF"/>
        <bgColor theme="7"/>
      </patternFill>
    </fill>
    <fill>
      <patternFill patternType="darkGrid">
        <fgColor theme="7"/>
      </patternFill>
    </fill>
    <fill>
      <patternFill patternType="solid">
        <fgColor indexed="65"/>
        <bgColor auto="1"/>
      </patternFill>
    </fill>
    <fill>
      <patternFill patternType="solid">
        <fgColor rgb="FF66FF33"/>
        <bgColor theme="7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theme="0"/>
      </patternFill>
    </fill>
    <fill>
      <patternFill patternType="solid">
        <fgColor theme="0"/>
        <bgColor theme="0"/>
      </patternFill>
    </fill>
    <fill>
      <patternFill patternType="solid">
        <fgColor theme="5" tint="0.79998168889431442"/>
        <bgColor theme="0"/>
      </patternFill>
    </fill>
    <fill>
      <patternFill patternType="solid">
        <fgColor rgb="FFFFFF00"/>
        <bgColor theme="7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theme="0"/>
      </patternFill>
    </fill>
    <fill>
      <patternFill patternType="solid">
        <fgColor theme="9" tint="0.79998168889431442"/>
        <bgColor theme="7"/>
      </patternFill>
    </fill>
    <fill>
      <patternFill patternType="solid">
        <fgColor rgb="FFCBE3BB"/>
        <bgColor theme="0"/>
      </patternFill>
    </fill>
    <fill>
      <patternFill patternType="solid">
        <fgColor rgb="FFAED395"/>
        <bgColor theme="0"/>
      </patternFill>
    </fill>
    <fill>
      <patternFill patternType="solid">
        <fgColor rgb="FFCBE3BB"/>
        <bgColor indexed="64"/>
      </patternFill>
    </fill>
    <fill>
      <patternFill patternType="solid">
        <fgColor rgb="FFAED395"/>
        <bgColor indexed="64"/>
      </patternFill>
    </fill>
    <fill>
      <patternFill patternType="solid">
        <fgColor rgb="FF9CC97D"/>
        <bgColor theme="0"/>
      </patternFill>
    </fill>
    <fill>
      <patternFill patternType="solid">
        <fgColor rgb="FF8EC26A"/>
        <bgColor theme="0"/>
      </patternFill>
    </fill>
    <fill>
      <patternFill patternType="solid">
        <fgColor rgb="FF76B54B"/>
        <bgColor theme="0"/>
      </patternFill>
    </fill>
    <fill>
      <patternFill patternType="solid">
        <fgColor rgb="FF9CC97D"/>
        <bgColor indexed="64"/>
      </patternFill>
    </fill>
    <fill>
      <patternFill patternType="solid">
        <fgColor rgb="FF8EC26A"/>
        <bgColor indexed="64"/>
      </patternFill>
    </fill>
    <fill>
      <patternFill patternType="solid">
        <fgColor rgb="FF76B54B"/>
        <bgColor indexed="64"/>
      </patternFill>
    </fill>
    <fill>
      <patternFill patternType="solid">
        <fgColor theme="0" tint="-4.9989318521683403E-2"/>
        <bgColor theme="0"/>
      </patternFill>
    </fill>
    <fill>
      <patternFill patternType="solid">
        <fgColor theme="6" tint="0.79998168889431442"/>
        <bgColor theme="0"/>
      </patternFill>
    </fill>
    <fill>
      <patternFill patternType="solid">
        <fgColor theme="7" tint="0.39997558519241921"/>
        <bgColor theme="0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33"/>
        <bgColor theme="0"/>
      </patternFill>
    </fill>
    <fill>
      <gradientFill type="path" left="0.5" right="0.5" top="0.5" bottom="0.5">
        <stop position="0">
          <color theme="1"/>
        </stop>
        <stop position="1">
          <color rgb="FF66FF33"/>
        </stop>
      </gradientFill>
    </fill>
    <fill>
      <gradientFill type="path" left="0.5" right="0.5" top="0.5" bottom="0.5">
        <stop position="0">
          <color rgb="FFFFFF00"/>
        </stop>
        <stop position="1">
          <color rgb="FFFFFF00"/>
        </stop>
      </gradientFill>
    </fill>
    <fill>
      <patternFill patternType="solid">
        <fgColor rgb="FFAED395"/>
        <bgColor theme="7"/>
      </patternFill>
    </fill>
    <fill>
      <patternFill patternType="solid">
        <fgColor rgb="FFCBE3BB"/>
        <bgColor theme="7"/>
      </patternFill>
    </fill>
    <fill>
      <patternFill patternType="solid">
        <fgColor rgb="FFB5F5CF"/>
        <bgColor theme="0"/>
      </patternFill>
    </fill>
    <fill>
      <patternFill patternType="solid">
        <fgColor rgb="FFB5F5CF"/>
        <bgColor indexed="64"/>
      </patternFill>
    </fill>
    <fill>
      <patternFill patternType="solid">
        <fgColor theme="7" tint="0.59999389629810485"/>
        <bgColor rgb="FF79FFFC"/>
      </patternFill>
    </fill>
    <fill>
      <patternFill patternType="solid">
        <fgColor theme="7" tint="0.59999389629810485"/>
        <bgColor theme="0" tint="-0.1499679555650502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4E4E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FF99"/>
        <bgColor theme="0"/>
      </patternFill>
    </fill>
    <fill>
      <patternFill patternType="solid">
        <fgColor rgb="FFF4B084"/>
        <bgColor indexed="64"/>
      </patternFill>
    </fill>
    <fill>
      <patternFill patternType="solid">
        <fgColor rgb="FFEAFFD5"/>
        <bgColor indexed="64"/>
      </patternFill>
    </fill>
    <fill>
      <patternFill patternType="solid">
        <fgColor rgb="FFEAFFD5"/>
        <bgColor theme="0"/>
      </patternFill>
    </fill>
    <fill>
      <patternFill patternType="solid">
        <fgColor rgb="FFFFFFEB"/>
        <bgColor theme="7"/>
      </patternFill>
    </fill>
    <fill>
      <patternFill patternType="solid">
        <fgColor rgb="FFFFE59B"/>
        <bgColor indexed="64"/>
      </patternFill>
    </fill>
    <fill>
      <patternFill patternType="solid">
        <fgColor rgb="FFFFE59B"/>
        <bgColor theme="0"/>
      </patternFill>
    </fill>
    <fill>
      <patternFill patternType="solid">
        <fgColor rgb="FFFFEBB3"/>
        <bgColor indexed="64"/>
      </patternFill>
    </fill>
    <fill>
      <patternFill patternType="solid">
        <fgColor rgb="FFFFEBB3"/>
        <bgColor theme="0"/>
      </patternFill>
    </fill>
    <fill>
      <patternFill patternType="solid">
        <fgColor rgb="FFF4B084"/>
        <bgColor theme="0"/>
      </patternFill>
    </fill>
    <fill>
      <patternFill patternType="solid">
        <fgColor rgb="FF99FFCC"/>
        <bgColor indexed="64"/>
      </patternFill>
    </fill>
    <fill>
      <patternFill patternType="solid">
        <fgColor rgb="FF99FFCC"/>
        <bgColor theme="0"/>
      </patternFill>
    </fill>
    <fill>
      <patternFill patternType="solid">
        <fgColor rgb="FFFFFFEB"/>
        <bgColor theme="0"/>
      </patternFill>
    </fill>
    <fill>
      <patternFill patternType="solid">
        <fgColor rgb="FFF5E783"/>
        <bgColor indexed="64"/>
      </patternFill>
    </fill>
    <fill>
      <patternFill patternType="solid">
        <fgColor rgb="FFF5E783"/>
        <bgColor theme="0"/>
      </patternFill>
    </fill>
    <fill>
      <patternFill patternType="solid">
        <fgColor rgb="FFFFD966"/>
        <bgColor indexed="64"/>
      </patternFill>
    </fill>
    <fill>
      <patternFill patternType="solid">
        <fgColor rgb="FFFFD966"/>
        <bgColor theme="0"/>
      </patternFill>
    </fill>
    <fill>
      <patternFill patternType="solid">
        <fgColor theme="9" tint="0.79998168889431442"/>
        <bgColor theme="0"/>
      </patternFill>
    </fill>
    <fill>
      <patternFill patternType="solid">
        <fgColor rgb="FFD1FFA3"/>
        <bgColor indexed="64"/>
      </patternFill>
    </fill>
    <fill>
      <patternFill patternType="solid">
        <fgColor rgb="FFD1FFA3"/>
        <bgColor theme="0"/>
      </patternFill>
    </fill>
    <fill>
      <patternFill patternType="solid">
        <fgColor rgb="FF00CC00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CCFF66"/>
        <bgColor theme="0"/>
      </patternFill>
    </fill>
    <fill>
      <patternFill patternType="solid">
        <fgColor rgb="FF00FF99"/>
        <bgColor indexed="64"/>
      </patternFill>
    </fill>
    <fill>
      <patternFill patternType="solid">
        <fgColor rgb="FF00FF99"/>
        <bgColor theme="0"/>
      </patternFill>
    </fill>
    <fill>
      <patternFill patternType="solid">
        <fgColor rgb="FFFEE002"/>
        <bgColor indexed="64"/>
      </patternFill>
    </fill>
    <fill>
      <patternFill patternType="solid">
        <fgColor rgb="FFFEE002"/>
        <bgColor theme="0"/>
      </patternFill>
    </fill>
    <fill>
      <patternFill patternType="solid">
        <fgColor rgb="FFE4FFC9"/>
        <bgColor indexed="64"/>
      </patternFill>
    </fill>
    <fill>
      <patternFill patternType="solid">
        <fgColor rgb="FFE4FFC9"/>
        <bgColor theme="0"/>
      </patternFill>
    </fill>
    <fill>
      <patternFill patternType="solid">
        <fgColor rgb="FFC5F28E"/>
        <bgColor indexed="64"/>
      </patternFill>
    </fill>
    <fill>
      <patternFill patternType="solid">
        <fgColor rgb="FFC5F28E"/>
        <bgColor theme="0"/>
      </patternFill>
    </fill>
    <fill>
      <patternFill patternType="solid">
        <fgColor rgb="FFC7EAA8"/>
        <bgColor indexed="64"/>
      </patternFill>
    </fill>
    <fill>
      <patternFill patternType="solid">
        <fgColor rgb="FFC7EAA8"/>
        <bgColor theme="0"/>
      </patternFill>
    </fill>
    <fill>
      <patternFill patternType="solid">
        <fgColor rgb="FFB3FC96"/>
        <bgColor indexed="64"/>
      </patternFill>
    </fill>
    <fill>
      <patternFill patternType="solid">
        <fgColor rgb="FFB3FC96"/>
        <bgColor theme="0"/>
      </patternFill>
    </fill>
    <fill>
      <patternFill patternType="solid">
        <fgColor rgb="FFA7EBAD"/>
        <bgColor indexed="64"/>
      </patternFill>
    </fill>
    <fill>
      <patternFill patternType="solid">
        <fgColor rgb="FFA7EBAD"/>
        <bgColor theme="0"/>
      </patternFill>
    </fill>
    <fill>
      <patternFill patternType="solid">
        <fgColor theme="9" tint="0.59999389629810485"/>
        <bgColor theme="0"/>
      </patternFill>
    </fill>
    <fill>
      <patternFill patternType="solid">
        <fgColor theme="9" tint="0.59999389629810485"/>
        <bgColor indexed="64"/>
      </patternFill>
    </fill>
    <fill>
      <patternFill patternType="solid">
        <fgColor auto="1"/>
        <bgColor theme="7"/>
      </patternFill>
    </fill>
    <fill>
      <patternFill patternType="solid">
        <fgColor theme="4" tint="0.59999389629810485"/>
        <bgColor theme="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D54F"/>
        <bgColor indexed="64"/>
      </patternFill>
    </fill>
    <fill>
      <patternFill patternType="solid">
        <fgColor rgb="FFFFD54F"/>
        <bgColor theme="0"/>
      </patternFill>
    </fill>
    <fill>
      <patternFill patternType="solid">
        <fgColor rgb="FFF9F59F"/>
        <bgColor indexed="64"/>
      </patternFill>
    </fill>
    <fill>
      <patternFill patternType="solid">
        <fgColor rgb="FFF9F59F"/>
        <bgColor theme="0"/>
      </patternFill>
    </fill>
    <fill>
      <patternFill patternType="solid">
        <fgColor rgb="FFFFDD99"/>
        <bgColor indexed="64"/>
      </patternFill>
    </fill>
    <fill>
      <patternFill patternType="solid">
        <fgColor rgb="FFFFDD99"/>
        <bgColor theme="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theme="0"/>
      </patternFill>
    </fill>
    <fill>
      <patternFill patternType="solid">
        <fgColor rgb="FF8EEAF4"/>
        <bgColor indexed="64"/>
      </patternFill>
    </fill>
    <fill>
      <patternFill patternType="solid">
        <fgColor rgb="FF8EEAF4"/>
        <bgColor theme="0"/>
      </patternFill>
    </fill>
    <fill>
      <patternFill patternType="solid">
        <fgColor rgb="FF0FE1D7"/>
        <bgColor indexed="64"/>
      </patternFill>
    </fill>
    <fill>
      <patternFill patternType="solid">
        <fgColor rgb="FF0FE1D7"/>
        <bgColor theme="0"/>
      </patternFill>
    </fill>
    <fill>
      <patternFill patternType="gray125">
        <fgColor theme="0"/>
        <bgColor theme="7" tint="0.59999389629810485"/>
      </patternFill>
    </fill>
    <fill>
      <patternFill patternType="solid">
        <fgColor rgb="FF51FF21"/>
        <bgColor indexed="64"/>
      </patternFill>
    </fill>
    <fill>
      <patternFill patternType="solid">
        <fgColor rgb="FFD0F4D3"/>
        <bgColor indexed="64"/>
      </patternFill>
    </fill>
    <fill>
      <patternFill patternType="solid">
        <fgColor rgb="FFECFAED"/>
        <bgColor indexed="64"/>
      </patternFill>
    </fill>
    <fill>
      <patternFill patternType="gray125">
        <fgColor theme="0"/>
        <bgColor rgb="FFFFC000"/>
      </patternFill>
    </fill>
    <fill>
      <patternFill patternType="gray125">
        <fgColor theme="0"/>
        <bgColor rgb="FFD0F4D3"/>
      </patternFill>
    </fill>
    <fill>
      <patternFill patternType="gray125">
        <fgColor theme="0"/>
        <bgColor rgb="FFFFDD99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theme="0"/>
      </patternFill>
    </fill>
    <fill>
      <patternFill patternType="solid">
        <fgColor rgb="FFF8CBAD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9FBF7"/>
        <bgColor theme="0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theme="0"/>
      </patternFill>
    </fill>
    <fill>
      <patternFill patternType="solid">
        <fgColor rgb="FFFFCC00"/>
        <bgColor indexed="64"/>
      </patternFill>
    </fill>
    <fill>
      <patternFill patternType="solid">
        <fgColor rgb="FFFFCC00"/>
        <bgColor theme="0"/>
      </patternFill>
    </fill>
    <fill>
      <patternFill patternType="solid">
        <fgColor rgb="FFFFFF66"/>
        <bgColor indexed="64"/>
      </patternFill>
    </fill>
    <fill>
      <patternFill patternType="solid">
        <fgColor rgb="FFFFFF66"/>
        <bgColor theme="0"/>
      </patternFill>
    </fill>
    <fill>
      <patternFill patternType="solid">
        <fgColor rgb="FFCCFFFF"/>
        <bgColor indexed="64"/>
      </patternFill>
    </fill>
    <fill>
      <patternFill patternType="solid">
        <fgColor rgb="FFCCFFFF"/>
        <bgColor theme="0"/>
      </patternFill>
    </fill>
    <fill>
      <patternFill patternType="solid">
        <fgColor rgb="FF99E79F"/>
        <bgColor indexed="64"/>
      </patternFill>
    </fill>
    <fill>
      <patternFill patternType="solid">
        <fgColor rgb="FF99E79F"/>
        <bgColor theme="0"/>
      </patternFill>
    </fill>
    <fill>
      <patternFill patternType="solid">
        <fgColor rgb="FFFFCC66"/>
        <bgColor indexed="64"/>
      </patternFill>
    </fill>
    <fill>
      <patternFill patternType="solid">
        <fgColor rgb="FFFFCC66"/>
        <bgColor theme="0"/>
      </patternFill>
    </fill>
    <fill>
      <patternFill patternType="solid">
        <fgColor rgb="FF00B0F0"/>
        <bgColor theme="0"/>
      </patternFill>
    </fill>
    <fill>
      <patternFill patternType="solid">
        <fgColor rgb="FFFFFFFF"/>
        <bgColor theme="0"/>
      </patternFill>
    </fill>
    <fill>
      <patternFill patternType="solid">
        <fgColor rgb="FFC6F2C9"/>
        <bgColor indexed="64"/>
      </patternFill>
    </fill>
    <fill>
      <patternFill patternType="solid">
        <fgColor rgb="FFC6F2C9"/>
        <bgColor theme="0"/>
      </patternFill>
    </fill>
    <fill>
      <patternFill patternType="solid">
        <fgColor rgb="FFFFD9FF"/>
        <bgColor indexed="64"/>
      </patternFill>
    </fill>
    <fill>
      <patternFill patternType="solid">
        <fgColor rgb="FFFFD9FF"/>
        <bgColor theme="0"/>
      </patternFill>
    </fill>
    <fill>
      <patternFill patternType="solid">
        <fgColor rgb="FFDFFE7A"/>
        <bgColor indexed="64"/>
      </patternFill>
    </fill>
    <fill>
      <patternFill patternType="solid">
        <fgColor rgb="FFDFFE7A"/>
        <bgColor theme="0"/>
      </patternFill>
    </fill>
    <fill>
      <patternFill patternType="solid">
        <fgColor rgb="FF79FFDC"/>
        <bgColor indexed="64"/>
      </patternFill>
    </fill>
    <fill>
      <patternFill patternType="solid">
        <fgColor rgb="FF79FFDC"/>
        <bgColor theme="0"/>
      </patternFill>
    </fill>
    <fill>
      <patternFill patternType="solid">
        <fgColor rgb="FFFF79B6"/>
        <bgColor indexed="64"/>
      </patternFill>
    </fill>
    <fill>
      <patternFill patternType="solid">
        <fgColor rgb="FFFF79B6"/>
        <bgColor theme="0"/>
      </patternFill>
    </fill>
    <fill>
      <patternFill patternType="solid">
        <fgColor rgb="FFFFE7F2"/>
        <bgColor indexed="64"/>
      </patternFill>
    </fill>
    <fill>
      <patternFill patternType="solid">
        <fgColor rgb="FFFFE7F2"/>
        <bgColor theme="0"/>
      </patternFill>
    </fill>
    <fill>
      <patternFill patternType="solid">
        <fgColor rgb="FFFF9F8F"/>
        <bgColor indexed="64"/>
      </patternFill>
    </fill>
    <fill>
      <patternFill patternType="solid">
        <fgColor rgb="FFFF9F8F"/>
        <bgColor theme="0"/>
      </patternFill>
    </fill>
    <fill>
      <patternFill patternType="solid">
        <fgColor rgb="FF8FFFFF"/>
        <bgColor indexed="64"/>
      </patternFill>
    </fill>
    <fill>
      <patternFill patternType="solid">
        <fgColor rgb="FF8FFFFF"/>
        <bgColor theme="0"/>
      </patternFill>
    </fill>
    <fill>
      <patternFill patternType="solid">
        <fgColor rgb="FFCCECFF"/>
        <bgColor indexed="64"/>
      </patternFill>
    </fill>
    <fill>
      <patternFill patternType="solid">
        <fgColor rgb="FFCCECFF"/>
        <bgColor theme="0"/>
      </patternFill>
    </fill>
    <fill>
      <patternFill patternType="solid">
        <fgColor rgb="FFFFFFC5"/>
        <bgColor indexed="64"/>
      </patternFill>
    </fill>
    <fill>
      <patternFill patternType="solid">
        <fgColor rgb="FFFFFFC5"/>
        <bgColor theme="0"/>
      </patternFill>
    </fill>
    <fill>
      <patternFill patternType="solid">
        <fgColor rgb="FF79FFE5"/>
        <bgColor indexed="64"/>
      </patternFill>
    </fill>
    <fill>
      <patternFill patternType="solid">
        <fgColor rgb="FF79FFE5"/>
        <bgColor theme="0"/>
      </patternFill>
    </fill>
    <fill>
      <patternFill patternType="solid">
        <fgColor rgb="FFAFE4FF"/>
        <bgColor indexed="64"/>
      </patternFill>
    </fill>
    <fill>
      <patternFill patternType="solid">
        <fgColor rgb="FFAFE4FF"/>
        <bgColor theme="0"/>
      </patternFill>
    </fill>
    <fill>
      <patternFill patternType="solid">
        <fgColor rgb="FFFFD5D5"/>
        <bgColor indexed="64"/>
      </patternFill>
    </fill>
    <fill>
      <patternFill patternType="solid">
        <fgColor rgb="FFFFD5D5"/>
        <bgColor theme="0"/>
      </patternFill>
    </fill>
    <fill>
      <patternFill patternType="solid">
        <fgColor rgb="FFC5FFFC"/>
        <bgColor indexed="64"/>
      </patternFill>
    </fill>
    <fill>
      <patternFill patternType="solid">
        <fgColor rgb="FFC5FFFC"/>
        <bgColor theme="0"/>
      </patternFill>
    </fill>
    <fill>
      <patternFill patternType="solid">
        <fgColor rgb="FFFFE279"/>
        <bgColor indexed="64"/>
      </patternFill>
    </fill>
    <fill>
      <patternFill patternType="solid">
        <fgColor rgb="FFFFE279"/>
        <bgColor theme="0"/>
      </patternFill>
    </fill>
    <fill>
      <patternFill patternType="solid">
        <fgColor rgb="FFD9E1F2"/>
        <bgColor theme="0"/>
      </patternFill>
    </fill>
    <fill>
      <patternFill patternType="solid">
        <fgColor rgb="FFFEFFEF"/>
        <bgColor theme="0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theme="0"/>
      </patternFill>
    </fill>
    <fill>
      <patternFill patternType="solid">
        <fgColor rgb="FFB5EEED"/>
        <bgColor indexed="64"/>
      </patternFill>
    </fill>
    <fill>
      <patternFill patternType="solid">
        <fgColor rgb="FFB5EEED"/>
        <bgColor theme="0"/>
      </patternFill>
    </fill>
    <fill>
      <patternFill patternType="darkUp">
        <fgColor theme="0" tint="-0.14996795556505021"/>
        <bgColor theme="7" tint="0.59999389629810485"/>
      </patternFill>
    </fill>
    <fill>
      <patternFill patternType="darkUp">
        <fgColor theme="0" tint="-0.14996795556505021"/>
        <bgColor rgb="FFC5FFFC"/>
      </patternFill>
    </fill>
    <fill>
      <patternFill patternType="darkUp">
        <fgColor theme="0" tint="-0.14996795556505021"/>
        <bgColor rgb="FFCCFF66"/>
      </patternFill>
    </fill>
  </fills>
  <borders count="32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/>
      <diagonal/>
    </border>
    <border>
      <left style="medium">
        <color auto="1"/>
      </left>
      <right style="dashed">
        <color auto="1"/>
      </right>
      <top style="thin">
        <color auto="1"/>
      </top>
      <bottom/>
      <diagonal/>
    </border>
    <border>
      <left/>
      <right style="dashed">
        <color auto="1"/>
      </right>
      <top style="thin">
        <color auto="1"/>
      </top>
      <bottom/>
      <diagonal/>
    </border>
    <border>
      <left style="dashed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dashed">
        <color auto="1"/>
      </left>
      <right style="medium">
        <color auto="1"/>
      </right>
      <top/>
      <bottom/>
      <diagonal/>
    </border>
    <border>
      <left style="medium">
        <color auto="1"/>
      </left>
      <right style="dashed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dashed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dashed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dashed">
        <color auto="1"/>
      </right>
      <top/>
      <bottom style="double">
        <color auto="1"/>
      </bottom>
      <diagonal/>
    </border>
    <border>
      <left style="dashed">
        <color auto="1"/>
      </left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dashed">
        <color auto="1"/>
      </left>
      <right style="dashed">
        <color auto="1"/>
      </right>
      <top/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 style="dashed">
        <color auto="1"/>
      </bottom>
      <diagonal/>
    </border>
    <border>
      <left/>
      <right/>
      <top style="double">
        <color auto="1"/>
      </top>
      <bottom style="dashed">
        <color auto="1"/>
      </bottom>
      <diagonal/>
    </border>
    <border>
      <left/>
      <right style="medium">
        <color auto="1"/>
      </right>
      <top style="double">
        <color auto="1"/>
      </top>
      <bottom style="dashed">
        <color auto="1"/>
      </bottom>
      <diagonal/>
    </border>
    <border>
      <left style="medium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/>
      <right style="medium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medium">
        <color auto="1"/>
      </right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/>
      <top style="thin">
        <color auto="1"/>
      </top>
      <bottom style="dotted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 style="double">
        <color auto="1"/>
      </right>
      <top style="thin">
        <color auto="1"/>
      </top>
      <bottom style="dotted">
        <color auto="1"/>
      </bottom>
      <diagonal/>
    </border>
    <border>
      <left style="double">
        <color auto="1"/>
      </left>
      <right style="dotted">
        <color auto="1"/>
      </right>
      <top/>
      <bottom style="double">
        <color auto="1"/>
      </bottom>
      <diagonal/>
    </border>
    <border>
      <left style="dotted">
        <color auto="1"/>
      </left>
      <right/>
      <top style="dotted">
        <color auto="1"/>
      </top>
      <bottom style="double">
        <color auto="1"/>
      </bottom>
      <diagonal/>
    </border>
    <border>
      <left/>
      <right style="dotted">
        <color auto="1"/>
      </right>
      <top style="dotted">
        <color auto="1"/>
      </top>
      <bottom style="double">
        <color auto="1"/>
      </bottom>
      <diagonal/>
    </border>
    <border>
      <left/>
      <right style="double">
        <color auto="1"/>
      </right>
      <top style="dotted">
        <color auto="1"/>
      </top>
      <bottom style="double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 style="double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indexed="64"/>
      </right>
      <top style="double">
        <color auto="1"/>
      </top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auto="1"/>
      </top>
      <bottom style="dotted">
        <color auto="1"/>
      </bottom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indexed="64"/>
      </left>
      <right style="double">
        <color auto="1"/>
      </right>
      <top style="thin">
        <color auto="1"/>
      </top>
      <bottom style="dotted">
        <color auto="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double">
        <color auto="1"/>
      </top>
      <bottom style="medium">
        <color auto="1"/>
      </bottom>
      <diagonal/>
    </border>
    <border>
      <left/>
      <right/>
      <top style="double">
        <color auto="1"/>
      </top>
      <bottom style="medium">
        <color auto="1"/>
      </bottom>
      <diagonal/>
    </border>
    <border>
      <left/>
      <right style="medium">
        <color auto="1"/>
      </right>
      <top style="double">
        <color auto="1"/>
      </top>
      <bottom style="medium">
        <color auto="1"/>
      </bottom>
      <diagonal/>
    </border>
    <border>
      <left style="dotted">
        <color auto="1"/>
      </left>
      <right/>
      <top style="dotted">
        <color auto="1"/>
      </top>
      <bottom/>
      <diagonal/>
    </border>
    <border>
      <left/>
      <right style="dotted">
        <color auto="1"/>
      </right>
      <top style="dotted">
        <color auto="1"/>
      </top>
      <bottom/>
      <diagonal/>
    </border>
    <border>
      <left/>
      <right style="double">
        <color auto="1"/>
      </right>
      <top style="dotted">
        <color auto="1"/>
      </top>
      <bottom/>
      <diagonal/>
    </border>
    <border>
      <left style="double">
        <color auto="1"/>
      </left>
      <right style="dotted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tted">
        <color auto="1"/>
      </right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 style="dotted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 style="dotted">
        <color auto="1"/>
      </left>
      <right/>
      <top/>
      <bottom/>
      <diagonal/>
    </border>
    <border>
      <left/>
      <right/>
      <top style="dotted">
        <color auto="1"/>
      </top>
      <bottom style="dashed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auto="1"/>
      </top>
      <bottom style="dashed">
        <color auto="1"/>
      </bottom>
      <diagonal/>
    </border>
    <border>
      <left/>
      <right style="medium">
        <color indexed="64"/>
      </right>
      <top style="dotted">
        <color auto="1"/>
      </top>
      <bottom style="dashed">
        <color auto="1"/>
      </bottom>
      <diagonal/>
    </border>
    <border>
      <left style="medium">
        <color indexed="64"/>
      </left>
      <right/>
      <top style="dashed">
        <color auto="1"/>
      </top>
      <bottom style="medium">
        <color indexed="64"/>
      </bottom>
      <diagonal/>
    </border>
    <border>
      <left/>
      <right/>
      <top style="dashed">
        <color auto="1"/>
      </top>
      <bottom style="medium">
        <color indexed="64"/>
      </bottom>
      <diagonal/>
    </border>
    <border>
      <left/>
      <right style="medium">
        <color indexed="64"/>
      </right>
      <top style="dashed">
        <color auto="1"/>
      </top>
      <bottom style="medium">
        <color indexed="64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dashed">
        <color auto="1"/>
      </left>
      <right style="thin">
        <color auto="1"/>
      </right>
      <top style="thin">
        <color auto="1"/>
      </top>
      <bottom/>
      <diagonal/>
    </border>
    <border>
      <left style="dashed">
        <color auto="1"/>
      </left>
      <right style="thin">
        <color auto="1"/>
      </right>
      <top/>
      <bottom/>
      <diagonal/>
    </border>
    <border>
      <left style="dashed">
        <color auto="1"/>
      </left>
      <right style="thin">
        <color auto="1"/>
      </right>
      <top/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double">
        <color auto="1"/>
      </right>
      <top/>
      <bottom style="medium">
        <color auto="1"/>
      </bottom>
      <diagonal/>
    </border>
    <border>
      <left style="double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 style="medium">
        <color indexed="64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medium">
        <color indexed="64"/>
      </right>
      <top style="dashed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dashed">
        <color auto="1"/>
      </bottom>
      <diagonal/>
    </border>
    <border>
      <left/>
      <right/>
      <top style="thick">
        <color auto="1"/>
      </top>
      <bottom style="dashed">
        <color auto="1"/>
      </bottom>
      <diagonal/>
    </border>
    <border>
      <left/>
      <right style="thin">
        <color auto="1"/>
      </right>
      <top style="thick">
        <color auto="1"/>
      </top>
      <bottom style="dashed">
        <color auto="1"/>
      </bottom>
      <diagonal/>
    </border>
    <border>
      <left style="thin">
        <color auto="1"/>
      </left>
      <right/>
      <top style="dashed">
        <color auto="1"/>
      </top>
      <bottom/>
      <diagonal/>
    </border>
    <border>
      <left/>
      <right style="thin">
        <color auto="1"/>
      </right>
      <top style="dashed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 style="thin">
        <color auto="1"/>
      </left>
      <right/>
      <top style="thick">
        <color auto="1"/>
      </top>
      <bottom/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indexed="64"/>
      </top>
      <bottom style="thin">
        <color auto="1"/>
      </bottom>
      <diagonal/>
    </border>
    <border>
      <left style="thin">
        <color auto="1"/>
      </left>
      <right/>
      <top style="thick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indexed="64"/>
      </bottom>
      <diagonal/>
    </border>
    <border>
      <left/>
      <right style="thin">
        <color auto="1"/>
      </right>
      <top style="thick">
        <color indexed="64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auto="1"/>
      </left>
      <right style="dashed">
        <color auto="1"/>
      </right>
      <top/>
      <bottom style="thick">
        <color auto="1"/>
      </bottom>
      <diagonal/>
    </border>
    <border>
      <left style="thin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tted">
        <color auto="1"/>
      </left>
      <right/>
      <top/>
      <bottom style="double">
        <color auto="1"/>
      </bottom>
      <diagonal/>
    </border>
    <border>
      <left/>
      <right/>
      <top style="dotted">
        <color auto="1"/>
      </top>
      <bottom style="double">
        <color auto="1"/>
      </bottom>
      <diagonal/>
    </border>
    <border>
      <left/>
      <right style="dotted">
        <color auto="1"/>
      </right>
      <top style="thin">
        <color auto="1"/>
      </top>
      <bottom/>
      <diagonal/>
    </border>
    <border>
      <left style="double">
        <color theme="1"/>
      </left>
      <right/>
      <top style="double">
        <color theme="1"/>
      </top>
      <bottom/>
      <diagonal/>
    </border>
    <border>
      <left/>
      <right/>
      <top style="double">
        <color theme="1"/>
      </top>
      <bottom/>
      <diagonal/>
    </border>
    <border>
      <left/>
      <right style="double">
        <color theme="1"/>
      </right>
      <top style="double">
        <color theme="1"/>
      </top>
      <bottom/>
      <diagonal/>
    </border>
    <border>
      <left style="double">
        <color theme="1"/>
      </left>
      <right/>
      <top style="thin">
        <color auto="1"/>
      </top>
      <bottom/>
      <diagonal/>
    </border>
    <border>
      <left/>
      <right style="double">
        <color theme="1"/>
      </right>
      <top style="thin">
        <color auto="1"/>
      </top>
      <bottom/>
      <diagonal/>
    </border>
    <border>
      <left style="double">
        <color theme="1"/>
      </left>
      <right/>
      <top/>
      <bottom/>
      <diagonal/>
    </border>
    <border>
      <left/>
      <right style="double">
        <color theme="1"/>
      </right>
      <top/>
      <bottom/>
      <diagonal/>
    </border>
    <border>
      <left style="double">
        <color theme="1"/>
      </left>
      <right/>
      <top/>
      <bottom style="thin">
        <color auto="1"/>
      </bottom>
      <diagonal/>
    </border>
    <border>
      <left/>
      <right style="double">
        <color theme="1"/>
      </right>
      <top/>
      <bottom style="thin">
        <color auto="1"/>
      </bottom>
      <diagonal/>
    </border>
    <border>
      <left style="double">
        <color theme="1"/>
      </left>
      <right style="dotted">
        <color auto="1"/>
      </right>
      <top style="thin">
        <color auto="1"/>
      </top>
      <bottom/>
      <diagonal/>
    </border>
    <border>
      <left/>
      <right style="double">
        <color theme="1"/>
      </right>
      <top style="thin">
        <color auto="1"/>
      </top>
      <bottom style="dotted">
        <color auto="1"/>
      </bottom>
      <diagonal/>
    </border>
    <border>
      <left style="double">
        <color theme="1"/>
      </left>
      <right style="dotted">
        <color auto="1"/>
      </right>
      <top/>
      <bottom style="double">
        <color theme="1"/>
      </bottom>
      <diagonal/>
    </border>
    <border>
      <left style="dotted">
        <color auto="1"/>
      </left>
      <right/>
      <top style="dotted">
        <color auto="1"/>
      </top>
      <bottom style="double">
        <color theme="1"/>
      </bottom>
      <diagonal/>
    </border>
    <border>
      <left/>
      <right style="dotted">
        <color auto="1"/>
      </right>
      <top style="dotted">
        <color auto="1"/>
      </top>
      <bottom style="double">
        <color theme="1"/>
      </bottom>
      <diagonal/>
    </border>
    <border>
      <left/>
      <right style="double">
        <color theme="1"/>
      </right>
      <top style="dotted">
        <color auto="1"/>
      </top>
      <bottom style="double">
        <color theme="1"/>
      </bottom>
      <diagonal/>
    </border>
    <border>
      <left/>
      <right style="thin">
        <color auto="1"/>
      </right>
      <top style="double">
        <color auto="1"/>
      </top>
      <bottom style="medium">
        <color auto="1"/>
      </bottom>
      <diagonal/>
    </border>
    <border>
      <left style="thick">
        <color auto="1"/>
      </left>
      <right/>
      <top style="double">
        <color auto="1"/>
      </top>
      <bottom/>
      <diagonal/>
    </border>
    <border>
      <left/>
      <right style="thick">
        <color auto="1"/>
      </right>
      <top style="double">
        <color auto="1"/>
      </top>
      <bottom/>
      <diagonal/>
    </border>
    <border>
      <left style="thick">
        <color auto="1"/>
      </left>
      <right/>
      <top style="double">
        <color auto="1"/>
      </top>
      <bottom style="thick">
        <color auto="1"/>
      </bottom>
      <diagonal/>
    </border>
    <border>
      <left/>
      <right/>
      <top style="double">
        <color auto="1"/>
      </top>
      <bottom style="thick">
        <color auto="1"/>
      </bottom>
      <diagonal/>
    </border>
    <border>
      <left/>
      <right style="thick">
        <color auto="1"/>
      </right>
      <top style="double">
        <color auto="1"/>
      </top>
      <bottom style="thick">
        <color auto="1"/>
      </bottom>
      <diagonal/>
    </border>
    <border>
      <left style="thin">
        <color auto="1"/>
      </left>
      <right style="dashed">
        <color auto="1"/>
      </right>
      <top style="thin">
        <color auto="1"/>
      </top>
      <bottom/>
      <diagonal/>
    </border>
    <border>
      <left style="thin">
        <color auto="1"/>
      </left>
      <right style="dashed">
        <color auto="1"/>
      </right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/>
      <top style="medium">
        <color auto="1"/>
      </top>
      <bottom style="thick">
        <color auto="1"/>
      </bottom>
      <diagonal/>
    </border>
    <border>
      <left/>
      <right/>
      <top style="medium">
        <color auto="1"/>
      </top>
      <bottom style="thick">
        <color auto="1"/>
      </bottom>
      <diagonal/>
    </border>
    <border>
      <left/>
      <right style="thin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ck">
        <color auto="1"/>
      </bottom>
      <diagonal/>
    </border>
    <border>
      <left style="dashDot">
        <color auto="1"/>
      </left>
      <right/>
      <top/>
      <bottom/>
      <diagonal/>
    </border>
    <border>
      <left style="medium">
        <color auto="1"/>
      </left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/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/>
      <top style="thick">
        <color auto="1"/>
      </top>
      <bottom/>
      <diagonal/>
    </border>
    <border>
      <left style="dashDot">
        <color auto="1"/>
      </left>
      <right/>
      <top style="thick">
        <color auto="1"/>
      </top>
      <bottom/>
      <diagonal/>
    </border>
    <border>
      <left style="dashDot">
        <color auto="1"/>
      </left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dashed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/>
      <top style="medium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/>
      <bottom style="medium">
        <color indexed="64"/>
      </bottom>
      <diagonal/>
    </border>
    <border>
      <left style="thin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dashed">
        <color auto="1"/>
      </right>
      <top style="thin">
        <color auto="1"/>
      </top>
      <bottom/>
      <diagonal/>
    </border>
    <border>
      <left style="dashed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dashed">
        <color auto="1"/>
      </right>
      <top/>
      <bottom/>
      <diagonal/>
    </border>
    <border>
      <left style="dashed">
        <color auto="1"/>
      </left>
      <right style="thick">
        <color auto="1"/>
      </right>
      <top/>
      <bottom/>
      <diagonal/>
    </border>
    <border>
      <left style="thick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thick">
        <color auto="1"/>
      </right>
      <top/>
      <bottom style="medium">
        <color auto="1"/>
      </bottom>
      <diagonal/>
    </border>
    <border>
      <left style="dashed">
        <color auto="1"/>
      </left>
      <right/>
      <top style="thin">
        <color auto="1"/>
      </top>
      <bottom/>
      <diagonal/>
    </border>
    <border>
      <left style="dashed">
        <color auto="1"/>
      </left>
      <right/>
      <top/>
      <bottom/>
      <diagonal/>
    </border>
    <border>
      <left style="dashed">
        <color auto="1"/>
      </left>
      <right/>
      <top/>
      <bottom style="medium">
        <color auto="1"/>
      </bottom>
      <diagonal/>
    </border>
    <border>
      <left style="thin">
        <color auto="1"/>
      </left>
      <right style="dashed">
        <color auto="1"/>
      </right>
      <top/>
      <bottom style="medium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dashed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dashed">
        <color auto="1"/>
      </right>
      <top/>
      <bottom style="double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double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ouble">
        <color auto="1"/>
      </right>
      <top style="dashed">
        <color auto="1"/>
      </top>
      <bottom/>
      <diagonal/>
    </border>
    <border>
      <left style="double">
        <color auto="1"/>
      </left>
      <right style="dashed">
        <color auto="1"/>
      </right>
      <top/>
      <bottom/>
      <diagonal/>
    </border>
    <border>
      <left style="dashed">
        <color auto="1"/>
      </left>
      <right style="double">
        <color auto="1"/>
      </right>
      <top/>
      <bottom/>
      <diagonal/>
    </border>
    <border>
      <left style="double">
        <color auto="1"/>
      </left>
      <right style="dashed">
        <color auto="1"/>
      </right>
      <top/>
      <bottom style="thin">
        <color auto="1"/>
      </bottom>
      <diagonal/>
    </border>
    <border>
      <left style="dashed">
        <color auto="1"/>
      </left>
      <right style="double">
        <color auto="1"/>
      </right>
      <top/>
      <bottom style="thin">
        <color auto="1"/>
      </bottom>
      <diagonal/>
    </border>
    <border>
      <left style="thick">
        <color auto="1"/>
      </left>
      <right style="dotted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 style="dotted">
        <color auto="1"/>
      </bottom>
      <diagonal/>
    </border>
    <border>
      <left style="thick">
        <color auto="1"/>
      </left>
      <right style="dotted">
        <color auto="1"/>
      </right>
      <top/>
      <bottom style="thick">
        <color auto="1"/>
      </bottom>
      <diagonal/>
    </border>
    <border>
      <left style="dotted">
        <color auto="1"/>
      </left>
      <right/>
      <top style="dotted">
        <color auto="1"/>
      </top>
      <bottom style="thick">
        <color auto="1"/>
      </bottom>
      <diagonal/>
    </border>
    <border>
      <left/>
      <right style="dotted">
        <color auto="1"/>
      </right>
      <top style="dotted">
        <color auto="1"/>
      </top>
      <bottom style="thick">
        <color auto="1"/>
      </bottom>
      <diagonal/>
    </border>
    <border>
      <left/>
      <right style="double">
        <color auto="1"/>
      </right>
      <top style="dotted">
        <color auto="1"/>
      </top>
      <bottom style="thick">
        <color auto="1"/>
      </bottom>
      <diagonal/>
    </border>
    <border>
      <left style="double">
        <color auto="1"/>
      </left>
      <right style="dotted">
        <color auto="1"/>
      </right>
      <top/>
      <bottom style="thick">
        <color auto="1"/>
      </bottom>
      <diagonal/>
    </border>
    <border>
      <left/>
      <right style="thick">
        <color auto="1"/>
      </right>
      <top style="dotted">
        <color auto="1"/>
      </top>
      <bottom style="thick">
        <color auto="1"/>
      </bottom>
      <diagonal/>
    </border>
    <border>
      <left/>
      <right style="dotted">
        <color auto="1"/>
      </right>
      <top/>
      <bottom style="thick">
        <color auto="1"/>
      </bottom>
      <diagonal/>
    </border>
    <border>
      <left style="thick">
        <color auto="1"/>
      </left>
      <right/>
      <top style="mediumDashed">
        <color auto="1"/>
      </top>
      <bottom/>
      <diagonal/>
    </border>
    <border>
      <left/>
      <right/>
      <top style="mediumDashed">
        <color auto="1"/>
      </top>
      <bottom/>
      <diagonal/>
    </border>
    <border>
      <left/>
      <right style="double">
        <color auto="1"/>
      </right>
      <top style="mediumDashed">
        <color auto="1"/>
      </top>
      <bottom/>
      <diagonal/>
    </border>
    <border>
      <left style="double">
        <color auto="1"/>
      </left>
      <right/>
      <top style="mediumDashed">
        <color auto="1"/>
      </top>
      <bottom/>
      <diagonal/>
    </border>
    <border>
      <left/>
      <right style="thick">
        <color auto="1"/>
      </right>
      <top style="mediumDashed">
        <color auto="1"/>
      </top>
      <bottom/>
      <diagonal/>
    </border>
    <border>
      <left style="thick">
        <color auto="1"/>
      </left>
      <right style="double">
        <color auto="1"/>
      </right>
      <top style="mediumDashed">
        <color auto="1"/>
      </top>
      <bottom style="mediumDashed">
        <color auto="1"/>
      </bottom>
      <diagonal/>
    </border>
    <border>
      <left style="double">
        <color auto="1"/>
      </left>
      <right style="double">
        <color auto="1"/>
      </right>
      <top style="mediumDashed">
        <color auto="1"/>
      </top>
      <bottom style="mediumDashed">
        <color auto="1"/>
      </bottom>
      <diagonal/>
    </border>
    <border>
      <left style="double">
        <color auto="1"/>
      </left>
      <right style="thick">
        <color auto="1"/>
      </right>
      <top style="mediumDashed">
        <color auto="1"/>
      </top>
      <bottom style="mediumDashed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/>
      <right/>
      <top style="mediumDashed">
        <color auto="1"/>
      </top>
      <bottom style="thin">
        <color auto="1"/>
      </bottom>
      <diagonal/>
    </border>
    <border>
      <left/>
      <right style="thick">
        <color auto="1"/>
      </right>
      <top style="mediumDashed">
        <color auto="1"/>
      </top>
      <bottom style="thin">
        <color auto="1"/>
      </bottom>
      <diagonal/>
    </border>
    <border>
      <left style="thin">
        <color auto="1"/>
      </left>
      <right/>
      <top style="mediumDashed">
        <color auto="1"/>
      </top>
      <bottom style="thin">
        <color auto="1"/>
      </bottom>
      <diagonal/>
    </border>
    <border>
      <left/>
      <right style="double">
        <color auto="1"/>
      </right>
      <top style="mediumDashed">
        <color auto="1"/>
      </top>
      <bottom style="mediumDashed">
        <color auto="1"/>
      </bottom>
      <diagonal/>
    </border>
    <border>
      <left style="dashed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dashed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3680">
    <xf numFmtId="0" fontId="0" fillId="0" borderId="0" xfId="0"/>
    <xf numFmtId="0" fontId="5" fillId="4" borderId="4" xfId="0" applyFont="1" applyFill="1" applyBorder="1" applyAlignment="1">
      <alignment horizontal="left" vertical="center"/>
    </xf>
    <xf numFmtId="0" fontId="11" fillId="7" borderId="13" xfId="0" applyFont="1" applyFill="1" applyBorder="1" applyAlignment="1">
      <alignment horizontal="center" vertical="center" wrapText="1"/>
    </xf>
    <xf numFmtId="0" fontId="11" fillId="7" borderId="14" xfId="0" applyFont="1" applyFill="1" applyBorder="1" applyAlignment="1">
      <alignment horizontal="center" vertical="center" wrapText="1"/>
    </xf>
    <xf numFmtId="0" fontId="11" fillId="7" borderId="21" xfId="0" applyFont="1" applyFill="1" applyBorder="1" applyAlignment="1">
      <alignment horizontal="center" vertical="center" wrapText="1"/>
    </xf>
    <xf numFmtId="0" fontId="5" fillId="8" borderId="25" xfId="0" applyFont="1" applyFill="1" applyBorder="1" applyAlignment="1">
      <alignment horizontal="center" vertical="center" wrapText="1"/>
    </xf>
    <xf numFmtId="0" fontId="5" fillId="6" borderId="25" xfId="0" applyFont="1" applyFill="1" applyBorder="1" applyAlignment="1">
      <alignment horizontal="center" vertical="center" wrapText="1"/>
    </xf>
    <xf numFmtId="0" fontId="8" fillId="20" borderId="60" xfId="0" applyFont="1" applyFill="1" applyBorder="1" applyAlignment="1">
      <alignment horizontal="center" vertical="center"/>
    </xf>
    <xf numFmtId="0" fontId="8" fillId="20" borderId="14" xfId="0" quotePrefix="1" applyFont="1" applyFill="1" applyBorder="1" applyAlignment="1">
      <alignment horizontal="center" vertical="center" wrapText="1"/>
    </xf>
    <xf numFmtId="0" fontId="8" fillId="20" borderId="2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4" fillId="21" borderId="0" xfId="0" applyFont="1" applyFill="1" applyAlignment="1">
      <alignment vertical="center" wrapText="1"/>
    </xf>
    <xf numFmtId="0" fontId="3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10" fontId="0" fillId="14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10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19" borderId="0" xfId="0" applyFill="1"/>
    <xf numFmtId="0" fontId="0" fillId="26" borderId="0" xfId="0" applyFill="1" applyAlignment="1">
      <alignment horizontal="center" wrapText="1"/>
    </xf>
    <xf numFmtId="0" fontId="0" fillId="0" borderId="0" xfId="0" applyAlignment="1">
      <alignment horizontal="center" wrapText="1"/>
    </xf>
    <xf numFmtId="0" fontId="40" fillId="0" borderId="0" xfId="0" applyFont="1"/>
    <xf numFmtId="2" fontId="41" fillId="29" borderId="85" xfId="0" applyNumberFormat="1" applyFont="1" applyFill="1" applyBorder="1" applyAlignment="1">
      <alignment vertical="center"/>
    </xf>
    <xf numFmtId="0" fontId="5" fillId="29" borderId="86" xfId="0" applyFont="1" applyFill="1" applyBorder="1" applyAlignment="1">
      <alignment horizontal="right" vertical="center"/>
    </xf>
    <xf numFmtId="0" fontId="41" fillId="29" borderId="85" xfId="0" applyFont="1" applyFill="1" applyBorder="1" applyAlignment="1">
      <alignment horizontal="center" vertical="center"/>
    </xf>
    <xf numFmtId="0" fontId="3" fillId="29" borderId="87" xfId="0" applyFont="1" applyFill="1" applyBorder="1" applyAlignment="1">
      <alignment horizontal="right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10" fontId="12" fillId="0" borderId="0" xfId="0" applyNumberFormat="1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textRotation="90"/>
    </xf>
    <xf numFmtId="2" fontId="41" fillId="0" borderId="0" xfId="0" applyNumberFormat="1" applyFont="1" applyAlignment="1">
      <alignment vertical="center"/>
    </xf>
    <xf numFmtId="0" fontId="5" fillId="0" borderId="0" xfId="0" applyFont="1" applyAlignment="1">
      <alignment horizontal="right" vertical="center"/>
    </xf>
    <xf numFmtId="0" fontId="41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32" borderId="0" xfId="0" applyFont="1" applyFill="1" applyAlignment="1">
      <alignment horizontal="center" vertical="center" textRotation="90"/>
    </xf>
    <xf numFmtId="2" fontId="41" fillId="32" borderId="0" xfId="0" applyNumberFormat="1" applyFont="1" applyFill="1" applyAlignment="1">
      <alignment vertical="center"/>
    </xf>
    <xf numFmtId="0" fontId="5" fillId="32" borderId="0" xfId="0" applyFont="1" applyFill="1" applyAlignment="1">
      <alignment horizontal="right" vertical="center"/>
    </xf>
    <xf numFmtId="0" fontId="41" fillId="32" borderId="0" xfId="0" applyFont="1" applyFill="1" applyAlignment="1">
      <alignment horizontal="center" vertical="center"/>
    </xf>
    <xf numFmtId="0" fontId="3" fillId="32" borderId="0" xfId="0" applyFont="1" applyFill="1" applyAlignment="1">
      <alignment horizontal="right" vertical="center"/>
    </xf>
    <xf numFmtId="0" fontId="0" fillId="25" borderId="52" xfId="0" applyFill="1" applyBorder="1"/>
    <xf numFmtId="0" fontId="0" fillId="25" borderId="52" xfId="0" applyFill="1" applyBorder="1" applyAlignment="1">
      <alignment vertical="center"/>
    </xf>
    <xf numFmtId="0" fontId="5" fillId="0" borderId="0" xfId="0" applyFont="1" applyAlignment="1">
      <alignment vertical="center"/>
    </xf>
    <xf numFmtId="0" fontId="46" fillId="0" borderId="0" xfId="0" applyFont="1" applyAlignment="1">
      <alignment vertical="center" wrapText="1"/>
    </xf>
    <xf numFmtId="0" fontId="5" fillId="3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5" fillId="0" borderId="0" xfId="0" applyFont="1" applyAlignment="1">
      <alignment vertical="center"/>
    </xf>
    <xf numFmtId="0" fontId="47" fillId="0" borderId="0" xfId="0" applyFont="1" applyAlignment="1">
      <alignment vertical="center" wrapText="1"/>
    </xf>
    <xf numFmtId="0" fontId="51" fillId="0" borderId="0" xfId="0" applyFont="1" applyAlignment="1">
      <alignment vertical="center"/>
    </xf>
    <xf numFmtId="10" fontId="34" fillId="0" borderId="0" xfId="0" applyNumberFormat="1" applyFont="1" applyAlignment="1">
      <alignment vertical="center"/>
    </xf>
    <xf numFmtId="0" fontId="43" fillId="0" borderId="0" xfId="0" applyFont="1" applyAlignment="1">
      <alignment vertical="top"/>
    </xf>
    <xf numFmtId="0" fontId="52" fillId="0" borderId="0" xfId="0" applyFont="1" applyAlignment="1">
      <alignment vertical="center" wrapText="1"/>
    </xf>
    <xf numFmtId="0" fontId="7" fillId="0" borderId="0" xfId="0" applyFont="1" applyAlignment="1">
      <alignment wrapText="1"/>
    </xf>
    <xf numFmtId="0" fontId="0" fillId="33" borderId="0" xfId="0" applyFill="1"/>
    <xf numFmtId="0" fontId="53" fillId="0" borderId="0" xfId="0" applyFont="1"/>
    <xf numFmtId="10" fontId="34" fillId="0" borderId="0" xfId="0" applyNumberFormat="1" applyFont="1" applyAlignment="1">
      <alignment horizontal="center" vertical="center"/>
    </xf>
    <xf numFmtId="0" fontId="0" fillId="0" borderId="11" xfId="0" applyBorder="1"/>
    <xf numFmtId="0" fontId="47" fillId="0" borderId="0" xfId="0" applyFont="1" applyAlignment="1">
      <alignment vertical="top"/>
    </xf>
    <xf numFmtId="0" fontId="42" fillId="0" borderId="14" xfId="0" applyFont="1" applyBorder="1" applyAlignment="1">
      <alignment horizontal="center" vertical="center"/>
    </xf>
    <xf numFmtId="2" fontId="41" fillId="37" borderId="85" xfId="0" applyNumberFormat="1" applyFont="1" applyFill="1" applyBorder="1" applyAlignment="1">
      <alignment vertical="center"/>
    </xf>
    <xf numFmtId="0" fontId="5" fillId="37" borderId="86" xfId="0" applyFont="1" applyFill="1" applyBorder="1" applyAlignment="1">
      <alignment horizontal="right" vertical="center"/>
    </xf>
    <xf numFmtId="0" fontId="41" fillId="37" borderId="85" xfId="0" applyFont="1" applyFill="1" applyBorder="1" applyAlignment="1">
      <alignment horizontal="center" vertical="center"/>
    </xf>
    <xf numFmtId="0" fontId="3" fillId="37" borderId="87" xfId="0" applyFont="1" applyFill="1" applyBorder="1" applyAlignment="1">
      <alignment horizontal="right" vertical="center"/>
    </xf>
    <xf numFmtId="2" fontId="41" fillId="38" borderId="85" xfId="0" applyNumberFormat="1" applyFont="1" applyFill="1" applyBorder="1" applyAlignment="1">
      <alignment vertical="center"/>
    </xf>
    <xf numFmtId="0" fontId="5" fillId="38" borderId="86" xfId="0" applyFont="1" applyFill="1" applyBorder="1" applyAlignment="1">
      <alignment horizontal="right" vertical="center"/>
    </xf>
    <xf numFmtId="0" fontId="41" fillId="38" borderId="85" xfId="0" applyFont="1" applyFill="1" applyBorder="1" applyAlignment="1">
      <alignment horizontal="center" vertical="center"/>
    </xf>
    <xf numFmtId="0" fontId="3" fillId="38" borderId="87" xfId="0" applyFont="1" applyFill="1" applyBorder="1" applyAlignment="1">
      <alignment horizontal="right" vertical="center"/>
    </xf>
    <xf numFmtId="10" fontId="12" fillId="0" borderId="0" xfId="0" applyNumberFormat="1" applyFont="1" applyAlignment="1">
      <alignment vertical="center"/>
    </xf>
    <xf numFmtId="0" fontId="5" fillId="0" borderId="0" xfId="0" applyFont="1" applyAlignment="1">
      <alignment vertical="center" textRotation="90"/>
    </xf>
    <xf numFmtId="0" fontId="43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0" fontId="33" fillId="0" borderId="74" xfId="0" applyFont="1" applyBorder="1" applyAlignment="1">
      <alignment vertical="center"/>
    </xf>
    <xf numFmtId="0" fontId="33" fillId="0" borderId="52" xfId="0" applyFont="1" applyBorder="1" applyAlignment="1">
      <alignment vertical="center"/>
    </xf>
    <xf numFmtId="0" fontId="33" fillId="0" borderId="75" xfId="0" applyFont="1" applyBorder="1" applyAlignment="1">
      <alignment vertical="center"/>
    </xf>
    <xf numFmtId="0" fontId="33" fillId="0" borderId="76" xfId="0" applyFont="1" applyBorder="1" applyAlignment="1">
      <alignment vertical="center"/>
    </xf>
    <xf numFmtId="0" fontId="33" fillId="0" borderId="77" xfId="0" applyFont="1" applyBorder="1" applyAlignment="1">
      <alignment vertical="center"/>
    </xf>
    <xf numFmtId="0" fontId="33" fillId="0" borderId="88" xfId="0" applyFont="1" applyBorder="1" applyAlignment="1">
      <alignment vertical="center"/>
    </xf>
    <xf numFmtId="0" fontId="33" fillId="0" borderId="42" xfId="0" applyFont="1" applyBorder="1" applyAlignment="1">
      <alignment vertical="center"/>
    </xf>
    <xf numFmtId="0" fontId="33" fillId="0" borderId="89" xfId="0" applyFont="1" applyBorder="1" applyAlignment="1">
      <alignment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36" xfId="0" applyBorder="1"/>
    <xf numFmtId="0" fontId="0" fillId="0" borderId="55" xfId="0" applyBorder="1"/>
    <xf numFmtId="0" fontId="33" fillId="0" borderId="0" xfId="0" applyFont="1" applyAlignment="1">
      <alignment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4" fillId="0" borderId="0" xfId="0" applyFont="1" applyAlignment="1">
      <alignment vertical="center" wrapText="1"/>
    </xf>
    <xf numFmtId="2" fontId="44" fillId="0" borderId="0" xfId="0" applyNumberFormat="1" applyFont="1" applyAlignment="1">
      <alignment vertical="center" wrapText="1"/>
    </xf>
    <xf numFmtId="0" fontId="47" fillId="0" borderId="0" xfId="0" applyFont="1" applyAlignment="1">
      <alignment vertical="center"/>
    </xf>
    <xf numFmtId="0" fontId="48" fillId="0" borderId="0" xfId="0" applyFont="1" applyAlignment="1">
      <alignment vertical="center"/>
    </xf>
    <xf numFmtId="2" fontId="49" fillId="0" borderId="0" xfId="0" applyNumberFormat="1" applyFont="1" applyAlignment="1">
      <alignment vertical="center"/>
    </xf>
    <xf numFmtId="0" fontId="50" fillId="0" borderId="0" xfId="0" applyFont="1" applyAlignment="1">
      <alignment vertical="center" wrapText="1"/>
    </xf>
    <xf numFmtId="0" fontId="0" fillId="0" borderId="14" xfId="0" applyBorder="1"/>
    <xf numFmtId="0" fontId="0" fillId="0" borderId="59" xfId="0" applyBorder="1"/>
    <xf numFmtId="0" fontId="0" fillId="0" borderId="22" xfId="0" applyBorder="1"/>
    <xf numFmtId="0" fontId="0" fillId="0" borderId="58" xfId="0" applyBorder="1"/>
    <xf numFmtId="0" fontId="0" fillId="0" borderId="34" xfId="0" applyBorder="1"/>
    <xf numFmtId="0" fontId="42" fillId="0" borderId="0" xfId="0" applyFont="1" applyAlignment="1">
      <alignment vertical="center"/>
    </xf>
    <xf numFmtId="0" fontId="0" fillId="0" borderId="57" xfId="0" applyBorder="1"/>
    <xf numFmtId="0" fontId="0" fillId="0" borderId="16" xfId="0" applyBorder="1"/>
    <xf numFmtId="0" fontId="0" fillId="0" borderId="15" xfId="0" applyBorder="1"/>
    <xf numFmtId="0" fontId="0" fillId="0" borderId="25" xfId="0" applyBorder="1"/>
    <xf numFmtId="0" fontId="0" fillId="0" borderId="13" xfId="0" applyBorder="1"/>
    <xf numFmtId="0" fontId="3" fillId="0" borderId="25" xfId="0" applyFont="1" applyBorder="1" applyAlignment="1">
      <alignment horizontal="right" vertical="center"/>
    </xf>
    <xf numFmtId="0" fontId="41" fillId="0" borderId="14" xfId="0" applyFont="1" applyBorder="1" applyAlignment="1">
      <alignment horizontal="center" vertical="center"/>
    </xf>
    <xf numFmtId="0" fontId="5" fillId="0" borderId="14" xfId="0" applyFont="1" applyBorder="1" applyAlignment="1">
      <alignment horizontal="right" vertical="center"/>
    </xf>
    <xf numFmtId="2" fontId="41" fillId="0" borderId="14" xfId="0" applyNumberFormat="1" applyFont="1" applyBorder="1" applyAlignment="1">
      <alignment vertical="center"/>
    </xf>
    <xf numFmtId="0" fontId="3" fillId="0" borderId="14" xfId="0" applyFont="1" applyBorder="1" applyAlignment="1">
      <alignment horizontal="right" vertical="center"/>
    </xf>
    <xf numFmtId="10" fontId="12" fillId="0" borderId="25" xfId="0" applyNumberFormat="1" applyFont="1" applyBorder="1" applyAlignment="1">
      <alignment horizontal="left" vertical="center"/>
    </xf>
    <xf numFmtId="10" fontId="12" fillId="0" borderId="14" xfId="0" applyNumberFormat="1" applyFont="1" applyBorder="1" applyAlignment="1">
      <alignment horizontal="left" vertical="center"/>
    </xf>
    <xf numFmtId="0" fontId="32" fillId="0" borderId="0" xfId="0" applyFont="1" applyAlignment="1">
      <alignment horizontal="center" vertical="center" wrapText="1"/>
    </xf>
    <xf numFmtId="164" fontId="49" fillId="0" borderId="0" xfId="0" applyNumberFormat="1" applyFont="1" applyAlignment="1">
      <alignment vertical="center" wrapText="1"/>
    </xf>
    <xf numFmtId="49" fontId="47" fillId="0" borderId="0" xfId="0" applyNumberFormat="1" applyFont="1" applyAlignment="1">
      <alignment vertical="center" wrapText="1"/>
    </xf>
    <xf numFmtId="10" fontId="12" fillId="0" borderId="52" xfId="0" applyNumberFormat="1" applyFont="1" applyBorder="1" applyAlignment="1">
      <alignment vertical="center"/>
    </xf>
    <xf numFmtId="0" fontId="5" fillId="0" borderId="52" xfId="0" applyFont="1" applyBorder="1" applyAlignment="1">
      <alignment vertical="center"/>
    </xf>
    <xf numFmtId="0" fontId="44" fillId="0" borderId="0" xfId="0" applyFont="1" applyAlignment="1">
      <alignment wrapText="1"/>
    </xf>
    <xf numFmtId="2" fontId="20" fillId="37" borderId="85" xfId="0" applyNumberFormat="1" applyFont="1" applyFill="1" applyBorder="1" applyAlignment="1">
      <alignment vertical="center"/>
    </xf>
    <xf numFmtId="0" fontId="38" fillId="0" borderId="0" xfId="0" applyFont="1" applyAlignment="1">
      <alignment horizontal="center" vertical="center"/>
    </xf>
    <xf numFmtId="2" fontId="41" fillId="37" borderId="14" xfId="0" applyNumberFormat="1" applyFont="1" applyFill="1" applyBorder="1" applyAlignment="1">
      <alignment vertical="center"/>
    </xf>
    <xf numFmtId="0" fontId="5" fillId="37" borderId="14" xfId="0" applyFont="1" applyFill="1" applyBorder="1" applyAlignment="1">
      <alignment horizontal="right" vertical="center"/>
    </xf>
    <xf numFmtId="0" fontId="41" fillId="37" borderId="14" xfId="0" applyFont="1" applyFill="1" applyBorder="1" applyAlignment="1">
      <alignment horizontal="center" vertical="center"/>
    </xf>
    <xf numFmtId="0" fontId="3" fillId="37" borderId="14" xfId="0" applyFont="1" applyFill="1" applyBorder="1" applyAlignment="1">
      <alignment horizontal="right" vertical="center"/>
    </xf>
    <xf numFmtId="0" fontId="64" fillId="37" borderId="83" xfId="0" applyFont="1" applyFill="1" applyBorder="1" applyAlignment="1">
      <alignment horizontal="center" vertical="center" textRotation="90" wrapText="1"/>
    </xf>
    <xf numFmtId="0" fontId="43" fillId="0" borderId="0" xfId="0" applyFont="1" applyAlignment="1">
      <alignment horizontal="center" vertical="center"/>
    </xf>
    <xf numFmtId="0" fontId="3" fillId="52" borderId="16" xfId="0" applyFont="1" applyFill="1" applyBorder="1" applyAlignment="1">
      <alignment vertical="center"/>
    </xf>
    <xf numFmtId="0" fontId="3" fillId="52" borderId="90" xfId="0" applyFont="1" applyFill="1" applyBorder="1" applyAlignment="1">
      <alignment vertical="center"/>
    </xf>
    <xf numFmtId="0" fontId="3" fillId="52" borderId="0" xfId="0" applyFont="1" applyFill="1" applyAlignment="1">
      <alignment vertical="center"/>
    </xf>
    <xf numFmtId="0" fontId="3" fillId="52" borderId="77" xfId="0" applyFont="1" applyFill="1" applyBorder="1" applyAlignment="1">
      <alignment vertical="center"/>
    </xf>
    <xf numFmtId="0" fontId="72" fillId="0" borderId="0" xfId="0" applyFont="1" applyAlignment="1">
      <alignment horizontal="center" vertical="center"/>
    </xf>
    <xf numFmtId="2" fontId="41" fillId="54" borderId="85" xfId="0" applyNumberFormat="1" applyFont="1" applyFill="1" applyBorder="1" applyAlignment="1">
      <alignment vertical="center"/>
    </xf>
    <xf numFmtId="0" fontId="5" fillId="54" borderId="86" xfId="0" applyFont="1" applyFill="1" applyBorder="1" applyAlignment="1">
      <alignment horizontal="right" vertical="center"/>
    </xf>
    <xf numFmtId="0" fontId="41" fillId="54" borderId="85" xfId="0" applyFont="1" applyFill="1" applyBorder="1" applyAlignment="1">
      <alignment horizontal="center" vertical="center"/>
    </xf>
    <xf numFmtId="0" fontId="3" fillId="54" borderId="87" xfId="0" applyFont="1" applyFill="1" applyBorder="1" applyAlignment="1">
      <alignment horizontal="right" vertical="center"/>
    </xf>
    <xf numFmtId="2" fontId="73" fillId="0" borderId="0" xfId="0" applyNumberFormat="1" applyFont="1" applyAlignment="1">
      <alignment vertical="center"/>
    </xf>
    <xf numFmtId="0" fontId="73" fillId="0" borderId="0" xfId="0" applyFont="1" applyAlignment="1">
      <alignment horizontal="center" vertical="center"/>
    </xf>
    <xf numFmtId="0" fontId="5" fillId="56" borderId="0" xfId="0" applyFont="1" applyFill="1" applyAlignment="1">
      <alignment horizontal="center" vertical="center"/>
    </xf>
    <xf numFmtId="0" fontId="74" fillId="0" borderId="0" xfId="0" applyFont="1" applyAlignment="1">
      <alignment horizontal="center" vertical="center"/>
    </xf>
    <xf numFmtId="0" fontId="74" fillId="56" borderId="0" xfId="0" applyFont="1" applyFill="1" applyAlignment="1">
      <alignment horizontal="center" vertical="center"/>
    </xf>
    <xf numFmtId="0" fontId="75" fillId="0" borderId="0" xfId="0" applyFont="1" applyAlignment="1">
      <alignment vertical="center"/>
    </xf>
    <xf numFmtId="0" fontId="75" fillId="56" borderId="0" xfId="0" applyFont="1" applyFill="1" applyAlignment="1">
      <alignment vertical="center"/>
    </xf>
    <xf numFmtId="2" fontId="41" fillId="58" borderId="85" xfId="0" applyNumberFormat="1" applyFont="1" applyFill="1" applyBorder="1" applyAlignment="1">
      <alignment vertical="center"/>
    </xf>
    <xf numFmtId="0" fontId="5" fillId="58" borderId="86" xfId="0" applyFont="1" applyFill="1" applyBorder="1" applyAlignment="1">
      <alignment horizontal="right" vertical="center"/>
    </xf>
    <xf numFmtId="0" fontId="41" fillId="58" borderId="85" xfId="0" applyFont="1" applyFill="1" applyBorder="1" applyAlignment="1">
      <alignment horizontal="center" vertical="center"/>
    </xf>
    <xf numFmtId="0" fontId="3" fillId="58" borderId="87" xfId="0" applyFont="1" applyFill="1" applyBorder="1" applyAlignment="1">
      <alignment horizontal="right" vertical="center"/>
    </xf>
    <xf numFmtId="0" fontId="5" fillId="56" borderId="0" xfId="0" applyFont="1" applyFill="1" applyAlignment="1">
      <alignment horizontal="right" vertical="center"/>
    </xf>
    <xf numFmtId="0" fontId="5" fillId="59" borderId="0" xfId="0" applyFont="1" applyFill="1" applyAlignment="1">
      <alignment horizontal="center" vertical="center"/>
    </xf>
    <xf numFmtId="0" fontId="74" fillId="59" borderId="0" xfId="0" applyFont="1" applyFill="1" applyAlignment="1">
      <alignment horizontal="center" vertical="center"/>
    </xf>
    <xf numFmtId="2" fontId="41" fillId="59" borderId="0" xfId="0" applyNumberFormat="1" applyFont="1" applyFill="1" applyAlignment="1">
      <alignment vertical="center"/>
    </xf>
    <xf numFmtId="0" fontId="5" fillId="59" borderId="0" xfId="0" applyFont="1" applyFill="1" applyAlignment="1">
      <alignment horizontal="right" vertical="center"/>
    </xf>
    <xf numFmtId="0" fontId="41" fillId="59" borderId="0" xfId="0" applyFont="1" applyFill="1" applyAlignment="1">
      <alignment horizontal="center" vertical="center"/>
    </xf>
    <xf numFmtId="0" fontId="3" fillId="59" borderId="0" xfId="0" applyFont="1" applyFill="1" applyAlignment="1">
      <alignment horizontal="right" vertical="center"/>
    </xf>
    <xf numFmtId="2" fontId="41" fillId="56" borderId="0" xfId="0" applyNumberFormat="1" applyFont="1" applyFill="1" applyAlignment="1">
      <alignment vertical="center"/>
    </xf>
    <xf numFmtId="0" fontId="41" fillId="56" borderId="0" xfId="0" applyFont="1" applyFill="1" applyAlignment="1">
      <alignment horizontal="center" vertical="center"/>
    </xf>
    <xf numFmtId="0" fontId="3" fillId="56" borderId="0" xfId="0" applyFont="1" applyFill="1" applyAlignment="1">
      <alignment horizontal="right" vertical="center"/>
    </xf>
    <xf numFmtId="2" fontId="41" fillId="60" borderId="0" xfId="0" applyNumberFormat="1" applyFont="1" applyFill="1" applyAlignment="1">
      <alignment vertical="center"/>
    </xf>
    <xf numFmtId="0" fontId="5" fillId="60" borderId="0" xfId="0" applyFont="1" applyFill="1" applyAlignment="1">
      <alignment horizontal="right" vertical="center"/>
    </xf>
    <xf numFmtId="0" fontId="41" fillId="60" borderId="0" xfId="0" applyFont="1" applyFill="1" applyAlignment="1">
      <alignment horizontal="center" vertical="center"/>
    </xf>
    <xf numFmtId="0" fontId="3" fillId="60" borderId="0" xfId="0" applyFont="1" applyFill="1" applyAlignment="1">
      <alignment horizontal="right" vertical="center"/>
    </xf>
    <xf numFmtId="0" fontId="76" fillId="0" borderId="0" xfId="0" applyFont="1" applyAlignment="1">
      <alignment vertical="center" wrapText="1"/>
    </xf>
    <xf numFmtId="0" fontId="45" fillId="32" borderId="0" xfId="0" applyFont="1" applyFill="1" applyAlignment="1">
      <alignment vertical="center"/>
    </xf>
    <xf numFmtId="2" fontId="77" fillId="0" borderId="0" xfId="0" applyNumberFormat="1" applyFont="1" applyAlignment="1">
      <alignment vertical="center" wrapText="1"/>
    </xf>
    <xf numFmtId="2" fontId="79" fillId="0" borderId="0" xfId="0" applyNumberFormat="1" applyFont="1" applyAlignment="1">
      <alignment vertical="center" wrapText="1"/>
    </xf>
    <xf numFmtId="2" fontId="81" fillId="0" borderId="0" xfId="0" applyNumberFormat="1" applyFont="1" applyAlignment="1">
      <alignment vertical="center"/>
    </xf>
    <xf numFmtId="0" fontId="72" fillId="32" borderId="0" xfId="0" applyFont="1" applyFill="1" applyAlignment="1">
      <alignment vertical="center"/>
    </xf>
    <xf numFmtId="0" fontId="43" fillId="32" borderId="0" xfId="0" applyFont="1" applyFill="1" applyAlignment="1">
      <alignment vertical="top"/>
    </xf>
    <xf numFmtId="49" fontId="84" fillId="0" borderId="0" xfId="0" applyNumberFormat="1" applyFont="1" applyAlignment="1">
      <alignment vertical="center" wrapText="1"/>
    </xf>
    <xf numFmtId="0" fontId="86" fillId="0" borderId="0" xfId="0" applyFont="1" applyAlignment="1">
      <alignment vertical="center" wrapText="1"/>
    </xf>
    <xf numFmtId="0" fontId="87" fillId="0" borderId="0" xfId="0" applyFont="1"/>
    <xf numFmtId="0" fontId="83" fillId="0" borderId="0" xfId="0" applyFont="1" applyAlignment="1">
      <alignment horizontal="center" vertical="top" wrapText="1"/>
    </xf>
    <xf numFmtId="0" fontId="87" fillId="33" borderId="0" xfId="0" applyFont="1" applyFill="1"/>
    <xf numFmtId="0" fontId="5" fillId="61" borderId="111" xfId="0" applyFont="1" applyFill="1" applyBorder="1" applyAlignment="1">
      <alignment horizontal="center" vertical="center" textRotation="90"/>
    </xf>
    <xf numFmtId="2" fontId="81" fillId="0" borderId="0" xfId="0" applyNumberFormat="1" applyFont="1" applyAlignment="1">
      <alignment vertical="center" wrapText="1"/>
    </xf>
    <xf numFmtId="2" fontId="83" fillId="0" borderId="0" xfId="0" applyNumberFormat="1" applyFont="1" applyAlignment="1">
      <alignment vertical="center" wrapText="1"/>
    </xf>
    <xf numFmtId="0" fontId="3" fillId="62" borderId="16" xfId="0" applyFont="1" applyFill="1" applyBorder="1" applyAlignment="1">
      <alignment vertical="center"/>
    </xf>
    <xf numFmtId="0" fontId="3" fillId="62" borderId="90" xfId="0" applyFont="1" applyFill="1" applyBorder="1" applyAlignment="1">
      <alignment vertical="center"/>
    </xf>
    <xf numFmtId="0" fontId="3" fillId="62" borderId="0" xfId="0" applyFont="1" applyFill="1" applyAlignment="1">
      <alignment vertical="center"/>
    </xf>
    <xf numFmtId="0" fontId="3" fillId="62" borderId="77" xfId="0" applyFont="1" applyFill="1" applyBorder="1" applyAlignment="1">
      <alignment vertical="center"/>
    </xf>
    <xf numFmtId="0" fontId="7" fillId="34" borderId="0" xfId="0" applyFont="1" applyFill="1" applyAlignment="1">
      <alignment vertical="center"/>
    </xf>
    <xf numFmtId="0" fontId="0" fillId="34" borderId="0" xfId="0" applyFill="1"/>
    <xf numFmtId="2" fontId="41" fillId="37" borderId="101" xfId="0" applyNumberFormat="1" applyFont="1" applyFill="1" applyBorder="1" applyAlignment="1">
      <alignment vertical="center"/>
    </xf>
    <xf numFmtId="0" fontId="5" fillId="37" borderId="101" xfId="0" applyFont="1" applyFill="1" applyBorder="1" applyAlignment="1">
      <alignment horizontal="right" vertical="center"/>
    </xf>
    <xf numFmtId="0" fontId="41" fillId="37" borderId="101" xfId="0" applyFont="1" applyFill="1" applyBorder="1" applyAlignment="1">
      <alignment horizontal="center" vertical="center"/>
    </xf>
    <xf numFmtId="0" fontId="3" fillId="37" borderId="100" xfId="0" applyFont="1" applyFill="1" applyBorder="1" applyAlignment="1">
      <alignment horizontal="right" vertical="center"/>
    </xf>
    <xf numFmtId="0" fontId="44" fillId="0" borderId="0" xfId="0" applyFont="1" applyAlignment="1">
      <alignment horizontal="center" vertical="center" wrapText="1"/>
    </xf>
    <xf numFmtId="0" fontId="45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top"/>
    </xf>
    <xf numFmtId="49" fontId="49" fillId="0" borderId="0" xfId="0" applyNumberFormat="1" applyFont="1" applyAlignment="1">
      <alignment horizontal="center" vertical="center" wrapText="1"/>
    </xf>
    <xf numFmtId="0" fontId="91" fillId="0" borderId="0" xfId="0" applyFont="1" applyAlignment="1">
      <alignment horizontal="center" vertical="top"/>
    </xf>
    <xf numFmtId="2" fontId="49" fillId="0" borderId="0" xfId="0" applyNumberFormat="1" applyFont="1" applyAlignment="1">
      <alignment vertical="center" wrapText="1"/>
    </xf>
    <xf numFmtId="0" fontId="45" fillId="0" borderId="0" xfId="0" applyFont="1" applyAlignment="1">
      <alignment horizontal="right" vertical="top" indent="2"/>
    </xf>
    <xf numFmtId="0" fontId="0" fillId="25" borderId="0" xfId="0" applyFill="1"/>
    <xf numFmtId="0" fontId="0" fillId="25" borderId="0" xfId="0" applyFill="1" applyAlignment="1">
      <alignment vertical="center"/>
    </xf>
    <xf numFmtId="0" fontId="3" fillId="0" borderId="112" xfId="0" applyFont="1" applyBorder="1" applyAlignment="1">
      <alignment horizontal="right" vertical="center"/>
    </xf>
    <xf numFmtId="0" fontId="41" fillId="0" borderId="112" xfId="0" applyFont="1" applyBorder="1" applyAlignment="1">
      <alignment horizontal="center" vertical="center"/>
    </xf>
    <xf numFmtId="0" fontId="5" fillId="0" borderId="112" xfId="0" applyFont="1" applyBorder="1" applyAlignment="1">
      <alignment horizontal="right" vertical="center"/>
    </xf>
    <xf numFmtId="2" fontId="41" fillId="0" borderId="112" xfId="0" applyNumberFormat="1" applyFont="1" applyBorder="1" applyAlignment="1">
      <alignment vertical="center"/>
    </xf>
    <xf numFmtId="0" fontId="3" fillId="64" borderId="112" xfId="0" applyFont="1" applyFill="1" applyBorder="1" applyAlignment="1">
      <alignment horizontal="right" vertical="center"/>
    </xf>
    <xf numFmtId="0" fontId="41" fillId="64" borderId="112" xfId="0" applyFont="1" applyFill="1" applyBorder="1" applyAlignment="1">
      <alignment horizontal="center" vertical="center"/>
    </xf>
    <xf numFmtId="0" fontId="5" fillId="64" borderId="112" xfId="0" applyFont="1" applyFill="1" applyBorder="1" applyAlignment="1">
      <alignment horizontal="right" vertical="center"/>
    </xf>
    <xf numFmtId="2" fontId="41" fillId="64" borderId="112" xfId="0" applyNumberFormat="1" applyFont="1" applyFill="1" applyBorder="1" applyAlignment="1">
      <alignment vertical="center"/>
    </xf>
    <xf numFmtId="10" fontId="12" fillId="0" borderId="112" xfId="0" applyNumberFormat="1" applyFont="1" applyBorder="1" applyAlignment="1">
      <alignment horizontal="left" vertical="center"/>
    </xf>
    <xf numFmtId="0" fontId="42" fillId="0" borderId="112" xfId="0" applyFont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38" fillId="64" borderId="0" xfId="0" applyFont="1" applyFill="1" applyAlignment="1">
      <alignment vertical="center"/>
    </xf>
    <xf numFmtId="0" fontId="3" fillId="64" borderId="0" xfId="0" applyFont="1" applyFill="1" applyAlignment="1">
      <alignment horizontal="right" vertical="center"/>
    </xf>
    <xf numFmtId="0" fontId="41" fillId="64" borderId="0" xfId="0" applyFont="1" applyFill="1" applyAlignment="1">
      <alignment horizontal="center" vertical="center"/>
    </xf>
    <xf numFmtId="0" fontId="5" fillId="64" borderId="0" xfId="0" applyFont="1" applyFill="1" applyAlignment="1">
      <alignment horizontal="right" vertical="center"/>
    </xf>
    <xf numFmtId="2" fontId="41" fillId="64" borderId="0" xfId="0" applyNumberFormat="1" applyFont="1" applyFill="1" applyAlignment="1">
      <alignment vertical="center"/>
    </xf>
    <xf numFmtId="0" fontId="3" fillId="65" borderId="100" xfId="0" applyFont="1" applyFill="1" applyBorder="1" applyAlignment="1">
      <alignment horizontal="right" vertical="center"/>
    </xf>
    <xf numFmtId="0" fontId="41" fillId="65" borderId="101" xfId="0" applyFont="1" applyFill="1" applyBorder="1" applyAlignment="1">
      <alignment horizontal="center" vertical="center"/>
    </xf>
    <xf numFmtId="0" fontId="5" fillId="65" borderId="101" xfId="0" applyFont="1" applyFill="1" applyBorder="1" applyAlignment="1">
      <alignment horizontal="right" vertical="center"/>
    </xf>
    <xf numFmtId="2" fontId="41" fillId="65" borderId="101" xfId="0" applyNumberFormat="1" applyFont="1" applyFill="1" applyBorder="1" applyAlignment="1">
      <alignment vertical="center"/>
    </xf>
    <xf numFmtId="0" fontId="34" fillId="0" borderId="0" xfId="0" applyFont="1" applyAlignment="1">
      <alignment wrapText="1"/>
    </xf>
    <xf numFmtId="0" fontId="58" fillId="0" borderId="0" xfId="0" applyFont="1"/>
    <xf numFmtId="0" fontId="94" fillId="0" borderId="0" xfId="0" applyFont="1"/>
    <xf numFmtId="0" fontId="35" fillId="0" borderId="0" xfId="0" applyFont="1" applyAlignment="1">
      <alignment wrapText="1"/>
    </xf>
    <xf numFmtId="0" fontId="3" fillId="69" borderId="87" xfId="0" applyFont="1" applyFill="1" applyBorder="1" applyAlignment="1">
      <alignment horizontal="right" vertical="center"/>
    </xf>
    <xf numFmtId="0" fontId="41" fillId="69" borderId="85" xfId="0" applyFont="1" applyFill="1" applyBorder="1" applyAlignment="1">
      <alignment horizontal="center" vertical="center"/>
    </xf>
    <xf numFmtId="0" fontId="5" fillId="69" borderId="86" xfId="0" applyFont="1" applyFill="1" applyBorder="1" applyAlignment="1">
      <alignment horizontal="right" vertical="center"/>
    </xf>
    <xf numFmtId="2" fontId="41" fillId="69" borderId="85" xfId="0" applyNumberFormat="1" applyFont="1" applyFill="1" applyBorder="1" applyAlignment="1">
      <alignment vertical="center"/>
    </xf>
    <xf numFmtId="0" fontId="6" fillId="63" borderId="25" xfId="0" applyFont="1" applyFill="1" applyBorder="1" applyAlignment="1">
      <alignment vertical="center" textRotation="90"/>
    </xf>
    <xf numFmtId="0" fontId="3" fillId="80" borderId="14" xfId="0" applyFont="1" applyFill="1" applyBorder="1" applyAlignment="1">
      <alignment horizontal="right" vertical="center"/>
    </xf>
    <xf numFmtId="0" fontId="3" fillId="81" borderId="14" xfId="0" applyFont="1" applyFill="1" applyBorder="1" applyAlignment="1">
      <alignment horizontal="right" vertical="center"/>
    </xf>
    <xf numFmtId="0" fontId="98" fillId="0" borderId="0" xfId="0" applyFont="1"/>
    <xf numFmtId="0" fontId="6" fillId="84" borderId="25" xfId="0" applyFont="1" applyFill="1" applyBorder="1" applyAlignment="1">
      <alignment vertical="center" textRotation="90"/>
    </xf>
    <xf numFmtId="0" fontId="3" fillId="0" borderId="0" xfId="0" applyFont="1" applyAlignment="1">
      <alignment vertical="center" textRotation="90"/>
    </xf>
    <xf numFmtId="0" fontId="72" fillId="0" borderId="0" xfId="0" applyFont="1" applyAlignment="1">
      <alignment vertical="center"/>
    </xf>
    <xf numFmtId="2" fontId="41" fillId="54" borderId="119" xfId="0" applyNumberFormat="1" applyFont="1" applyFill="1" applyBorder="1" applyAlignment="1">
      <alignment vertical="center"/>
    </xf>
    <xf numFmtId="0" fontId="5" fillId="54" borderId="120" xfId="0" applyFont="1" applyFill="1" applyBorder="1" applyAlignment="1">
      <alignment horizontal="right" vertical="center"/>
    </xf>
    <xf numFmtId="0" fontId="41" fillId="54" borderId="119" xfId="0" applyFont="1" applyFill="1" applyBorder="1" applyAlignment="1">
      <alignment horizontal="center" vertical="center"/>
    </xf>
    <xf numFmtId="0" fontId="3" fillId="54" borderId="121" xfId="0" applyFont="1" applyFill="1" applyBorder="1" applyAlignment="1">
      <alignment horizontal="right" vertical="center"/>
    </xf>
    <xf numFmtId="0" fontId="3" fillId="34" borderId="16" xfId="0" applyFont="1" applyFill="1" applyBorder="1" applyAlignment="1">
      <alignment vertical="center"/>
    </xf>
    <xf numFmtId="0" fontId="3" fillId="34" borderId="90" xfId="0" applyFont="1" applyFill="1" applyBorder="1" applyAlignment="1">
      <alignment vertical="center"/>
    </xf>
    <xf numFmtId="0" fontId="3" fillId="34" borderId="0" xfId="0" applyFont="1" applyFill="1" applyAlignment="1">
      <alignment vertical="center"/>
    </xf>
    <xf numFmtId="0" fontId="3" fillId="34" borderId="77" xfId="0" applyFont="1" applyFill="1" applyBorder="1" applyAlignment="1">
      <alignment vertical="center"/>
    </xf>
    <xf numFmtId="0" fontId="6" fillId="84" borderId="14" xfId="0" applyFont="1" applyFill="1" applyBorder="1" applyAlignment="1">
      <alignment vertical="center" textRotation="90"/>
    </xf>
    <xf numFmtId="2" fontId="41" fillId="66" borderId="85" xfId="0" applyNumberFormat="1" applyFont="1" applyFill="1" applyBorder="1" applyAlignment="1">
      <alignment vertical="center"/>
    </xf>
    <xf numFmtId="0" fontId="5" fillId="66" borderId="86" xfId="0" applyFont="1" applyFill="1" applyBorder="1" applyAlignment="1">
      <alignment horizontal="right" vertical="center"/>
    </xf>
    <xf numFmtId="0" fontId="41" fillId="66" borderId="85" xfId="0" applyFont="1" applyFill="1" applyBorder="1" applyAlignment="1">
      <alignment horizontal="center" vertical="center"/>
    </xf>
    <xf numFmtId="0" fontId="3" fillId="66" borderId="87" xfId="0" applyFont="1" applyFill="1" applyBorder="1" applyAlignment="1">
      <alignment horizontal="right" vertical="center"/>
    </xf>
    <xf numFmtId="0" fontId="5" fillId="69" borderId="126" xfId="0" applyFont="1" applyFill="1" applyBorder="1" applyAlignment="1">
      <alignment horizontal="right" vertical="center"/>
    </xf>
    <xf numFmtId="0" fontId="5" fillId="87" borderId="14" xfId="0" applyFont="1" applyFill="1" applyBorder="1" applyAlignment="1">
      <alignment vertical="center" textRotation="90"/>
    </xf>
    <xf numFmtId="0" fontId="5" fillId="88" borderId="14" xfId="0" applyFont="1" applyFill="1" applyBorder="1" applyAlignment="1">
      <alignment vertical="center" textRotation="90"/>
    </xf>
    <xf numFmtId="0" fontId="109" fillId="66" borderId="81" xfId="0" applyFont="1" applyFill="1" applyBorder="1" applyAlignment="1">
      <alignment vertical="center"/>
    </xf>
    <xf numFmtId="0" fontId="5" fillId="14" borderId="130" xfId="0" applyFont="1" applyFill="1" applyBorder="1" applyAlignment="1">
      <alignment horizontal="center" vertical="center"/>
    </xf>
    <xf numFmtId="0" fontId="3" fillId="22" borderId="130" xfId="0" applyFont="1" applyFill="1" applyBorder="1" applyAlignment="1">
      <alignment horizontal="center" vertical="center" wrapText="1"/>
    </xf>
    <xf numFmtId="0" fontId="5" fillId="14" borderId="130" xfId="0" applyFont="1" applyFill="1" applyBorder="1" applyAlignment="1">
      <alignment horizontal="center" vertical="center" wrapText="1"/>
    </xf>
    <xf numFmtId="0" fontId="109" fillId="66" borderId="81" xfId="0" applyFont="1" applyFill="1" applyBorder="1" applyAlignment="1">
      <alignment horizontal="center" vertical="center"/>
    </xf>
    <xf numFmtId="0" fontId="4" fillId="63" borderId="14" xfId="0" applyFont="1" applyFill="1" applyBorder="1" applyAlignment="1">
      <alignment horizontal="center" vertical="center" textRotation="90"/>
    </xf>
    <xf numFmtId="0" fontId="75" fillId="0" borderId="0" xfId="0" applyFont="1" applyAlignment="1">
      <alignment horizontal="center" vertical="center"/>
    </xf>
    <xf numFmtId="0" fontId="12" fillId="92" borderId="14" xfId="0" applyFont="1" applyFill="1" applyBorder="1" applyAlignment="1">
      <alignment horizontal="center" vertical="center" wrapText="1"/>
    </xf>
    <xf numFmtId="49" fontId="3" fillId="91" borderId="25" xfId="0" quotePrefix="1" applyNumberFormat="1" applyFont="1" applyFill="1" applyBorder="1" applyAlignment="1">
      <alignment vertical="center" wrapText="1"/>
    </xf>
    <xf numFmtId="0" fontId="12" fillId="92" borderId="60" xfId="0" applyFont="1" applyFill="1" applyBorder="1" applyAlignment="1">
      <alignment horizontal="center" vertical="center" wrapText="1"/>
    </xf>
    <xf numFmtId="49" fontId="3" fillId="91" borderId="21" xfId="0" quotePrefix="1" applyNumberFormat="1" applyFont="1" applyFill="1" applyBorder="1" applyAlignment="1">
      <alignment vertical="center" wrapText="1"/>
    </xf>
    <xf numFmtId="0" fontId="3" fillId="3" borderId="135" xfId="0" applyFont="1" applyFill="1" applyBorder="1" applyAlignment="1">
      <alignment vertical="center" wrapText="1"/>
    </xf>
    <xf numFmtId="0" fontId="28" fillId="3" borderId="104" xfId="0" applyFont="1" applyFill="1" applyBorder="1" applyAlignment="1">
      <alignment horizontal="center" vertical="center" wrapText="1"/>
    </xf>
    <xf numFmtId="0" fontId="28" fillId="3" borderId="25" xfId="0" applyFont="1" applyFill="1" applyBorder="1" applyAlignment="1">
      <alignment horizontal="center" vertical="center" wrapText="1"/>
    </xf>
    <xf numFmtId="0" fontId="28" fillId="3" borderId="25" xfId="0" applyFont="1" applyFill="1" applyBorder="1" applyAlignment="1">
      <alignment horizontal="center" vertical="center"/>
    </xf>
    <xf numFmtId="49" fontId="28" fillId="3" borderId="25" xfId="0" applyNumberFormat="1" applyFont="1" applyFill="1" applyBorder="1" applyAlignment="1">
      <alignment horizontal="center" vertical="center"/>
    </xf>
    <xf numFmtId="0" fontId="12" fillId="92" borderId="13" xfId="0" applyFont="1" applyFill="1" applyBorder="1" applyAlignment="1">
      <alignment vertical="center" wrapText="1"/>
    </xf>
    <xf numFmtId="0" fontId="12" fillId="92" borderId="96" xfId="0" applyFont="1" applyFill="1" applyBorder="1" applyAlignment="1">
      <alignment vertical="center" wrapText="1"/>
    </xf>
    <xf numFmtId="49" fontId="3" fillId="91" borderId="25" xfId="0" quotePrefix="1" applyNumberFormat="1" applyFont="1" applyFill="1" applyBorder="1" applyAlignment="1">
      <alignment horizontal="center" vertical="center" wrapText="1"/>
    </xf>
    <xf numFmtId="0" fontId="13" fillId="92" borderId="13" xfId="0" applyFont="1" applyFill="1" applyBorder="1" applyAlignment="1">
      <alignment horizontal="center" vertical="center" wrapText="1"/>
    </xf>
    <xf numFmtId="49" fontId="28" fillId="3" borderId="25" xfId="0" applyNumberFormat="1" applyFont="1" applyFill="1" applyBorder="1" applyAlignment="1">
      <alignment horizontal="center" vertical="center" wrapText="1"/>
    </xf>
    <xf numFmtId="0" fontId="5" fillId="66" borderId="126" xfId="0" applyFont="1" applyFill="1" applyBorder="1" applyAlignment="1">
      <alignment horizontal="right" vertical="center"/>
    </xf>
    <xf numFmtId="0" fontId="14" fillId="92" borderId="14" xfId="0" applyFont="1" applyFill="1" applyBorder="1" applyAlignment="1">
      <alignment horizontal="center" vertical="center" wrapText="1"/>
    </xf>
    <xf numFmtId="49" fontId="8" fillId="91" borderId="25" xfId="0" quotePrefix="1" applyNumberFormat="1" applyFont="1" applyFill="1" applyBorder="1" applyAlignment="1">
      <alignment horizontal="center" vertical="center" wrapText="1"/>
    </xf>
    <xf numFmtId="0" fontId="5" fillId="14" borderId="147" xfId="0" applyFont="1" applyFill="1" applyBorder="1" applyAlignment="1">
      <alignment horizontal="center" vertical="center"/>
    </xf>
    <xf numFmtId="0" fontId="3" fillId="22" borderId="147" xfId="0" applyFont="1" applyFill="1" applyBorder="1" applyAlignment="1">
      <alignment horizontal="center" vertical="center" wrapText="1"/>
    </xf>
    <xf numFmtId="0" fontId="3" fillId="22" borderId="150" xfId="0" applyFont="1" applyFill="1" applyBorder="1" applyAlignment="1">
      <alignment horizontal="center" vertical="center" wrapText="1"/>
    </xf>
    <xf numFmtId="0" fontId="3" fillId="22" borderId="151" xfId="0" applyFont="1" applyFill="1" applyBorder="1" applyAlignment="1">
      <alignment horizontal="center" vertical="center" wrapText="1"/>
    </xf>
    <xf numFmtId="0" fontId="5" fillId="14" borderId="148" xfId="0" applyFont="1" applyFill="1" applyBorder="1" applyAlignment="1">
      <alignment horizontal="center" vertical="center"/>
    </xf>
    <xf numFmtId="0" fontId="5" fillId="14" borderId="149" xfId="0" applyFont="1" applyFill="1" applyBorder="1" applyAlignment="1">
      <alignment horizontal="center" vertical="center"/>
    </xf>
    <xf numFmtId="0" fontId="5" fillId="14" borderId="151" xfId="0" applyFont="1" applyFill="1" applyBorder="1" applyAlignment="1">
      <alignment horizontal="center" vertical="center"/>
    </xf>
    <xf numFmtId="0" fontId="3" fillId="22" borderId="96" xfId="0" applyFont="1" applyFill="1" applyBorder="1" applyAlignment="1">
      <alignment vertical="center" wrapText="1"/>
    </xf>
    <xf numFmtId="0" fontId="8" fillId="22" borderId="21" xfId="0" applyFont="1" applyFill="1" applyBorder="1" applyAlignment="1">
      <alignment vertical="center" wrapText="1"/>
    </xf>
    <xf numFmtId="0" fontId="3" fillId="22" borderId="13" xfId="0" applyFont="1" applyFill="1" applyBorder="1" applyAlignment="1">
      <alignment vertical="center" wrapText="1"/>
    </xf>
    <xf numFmtId="0" fontId="8" fillId="22" borderId="25" xfId="0" applyFont="1" applyFill="1" applyBorder="1" applyAlignment="1">
      <alignment vertical="center" wrapText="1"/>
    </xf>
    <xf numFmtId="0" fontId="5" fillId="14" borderId="150" xfId="0" applyFont="1" applyFill="1" applyBorder="1" applyAlignment="1">
      <alignment horizontal="center" vertical="center"/>
    </xf>
    <xf numFmtId="49" fontId="28" fillId="3" borderId="104" xfId="0" applyNumberFormat="1" applyFont="1" applyFill="1" applyBorder="1" applyAlignment="1">
      <alignment horizontal="center" vertical="center" wrapText="1"/>
    </xf>
    <xf numFmtId="0" fontId="3" fillId="0" borderId="8" xfId="0" applyFont="1" applyBorder="1" applyAlignment="1">
      <alignment vertical="center"/>
    </xf>
    <xf numFmtId="164" fontId="41" fillId="37" borderId="85" xfId="0" applyNumberFormat="1" applyFont="1" applyFill="1" applyBorder="1" applyAlignment="1">
      <alignment vertical="center"/>
    </xf>
    <xf numFmtId="0" fontId="56" fillId="0" borderId="0" xfId="0" applyFont="1" applyAlignment="1">
      <alignment vertical="center"/>
    </xf>
    <xf numFmtId="0" fontId="55" fillId="0" borderId="0" xfId="0" applyFont="1" applyAlignment="1">
      <alignment vertical="center"/>
    </xf>
    <xf numFmtId="0" fontId="3" fillId="92" borderId="13" xfId="0" applyFont="1" applyFill="1" applyBorder="1" applyAlignment="1">
      <alignment horizontal="center" vertical="center" wrapText="1"/>
    </xf>
    <xf numFmtId="2" fontId="22" fillId="37" borderId="85" xfId="0" applyNumberFormat="1" applyFont="1" applyFill="1" applyBorder="1" applyAlignment="1">
      <alignment vertical="center"/>
    </xf>
    <xf numFmtId="0" fontId="3" fillId="0" borderId="0" xfId="0" applyFont="1" applyAlignment="1">
      <alignment horizontal="center" vertical="center" textRotation="90"/>
    </xf>
    <xf numFmtId="0" fontId="108" fillId="14" borderId="66" xfId="0" applyFont="1" applyFill="1" applyBorder="1" applyAlignment="1">
      <alignment vertical="center"/>
    </xf>
    <xf numFmtId="0" fontId="38" fillId="14" borderId="71" xfId="0" applyFont="1" applyFill="1" applyBorder="1" applyAlignment="1">
      <alignment vertical="center"/>
    </xf>
    <xf numFmtId="0" fontId="38" fillId="14" borderId="67" xfId="0" applyFont="1" applyFill="1" applyBorder="1" applyAlignment="1">
      <alignment vertical="center"/>
    </xf>
    <xf numFmtId="0" fontId="45" fillId="0" borderId="2" xfId="0" applyFont="1" applyBorder="1" applyAlignment="1">
      <alignment vertical="center"/>
    </xf>
    <xf numFmtId="0" fontId="124" fillId="94" borderId="72" xfId="0" applyFont="1" applyFill="1" applyBorder="1" applyAlignment="1">
      <alignment vertical="center" textRotation="90"/>
    </xf>
    <xf numFmtId="0" fontId="124" fillId="94" borderId="58" xfId="0" applyFont="1" applyFill="1" applyBorder="1" applyAlignment="1">
      <alignment vertical="center" textRotation="90"/>
    </xf>
    <xf numFmtId="0" fontId="124" fillId="94" borderId="68" xfId="0" applyFont="1" applyFill="1" applyBorder="1" applyAlignment="1">
      <alignment vertical="center" textRotation="90"/>
    </xf>
    <xf numFmtId="0" fontId="124" fillId="94" borderId="172" xfId="0" applyFont="1" applyFill="1" applyBorder="1" applyAlignment="1">
      <alignment vertical="center" textRotation="90"/>
    </xf>
    <xf numFmtId="0" fontId="127" fillId="34" borderId="34" xfId="0" applyFont="1" applyFill="1" applyBorder="1" applyAlignment="1">
      <alignment vertical="center"/>
    </xf>
    <xf numFmtId="0" fontId="127" fillId="34" borderId="0" xfId="0" applyFont="1" applyFill="1" applyAlignment="1">
      <alignment vertical="center"/>
    </xf>
    <xf numFmtId="0" fontId="127" fillId="34" borderId="58" xfId="0" applyFont="1" applyFill="1" applyBorder="1" applyAlignment="1">
      <alignment vertical="center"/>
    </xf>
    <xf numFmtId="0" fontId="127" fillId="34" borderId="178" xfId="0" applyFont="1" applyFill="1" applyBorder="1" applyAlignment="1">
      <alignment vertical="center"/>
    </xf>
    <xf numFmtId="0" fontId="127" fillId="34" borderId="69" xfId="0" applyFont="1" applyFill="1" applyBorder="1" applyAlignment="1">
      <alignment vertical="center"/>
    </xf>
    <xf numFmtId="0" fontId="127" fillId="34" borderId="172" xfId="0" applyFont="1" applyFill="1" applyBorder="1" applyAlignment="1">
      <alignment vertical="center"/>
    </xf>
    <xf numFmtId="0" fontId="43" fillId="0" borderId="34" xfId="0" applyFont="1" applyBorder="1" applyAlignment="1">
      <alignment vertical="center"/>
    </xf>
    <xf numFmtId="0" fontId="43" fillId="0" borderId="70" xfId="0" applyFont="1" applyBorder="1" applyAlignment="1">
      <alignment vertical="center"/>
    </xf>
    <xf numFmtId="0" fontId="43" fillId="0" borderId="178" xfId="0" applyFont="1" applyBorder="1" applyAlignment="1">
      <alignment vertical="center"/>
    </xf>
    <xf numFmtId="0" fontId="43" fillId="0" borderId="69" xfId="0" applyFont="1" applyBorder="1" applyAlignment="1">
      <alignment vertical="center"/>
    </xf>
    <xf numFmtId="0" fontId="43" fillId="0" borderId="73" xfId="0" applyFont="1" applyBorder="1" applyAlignment="1">
      <alignment vertical="center"/>
    </xf>
    <xf numFmtId="0" fontId="0" fillId="0" borderId="65" xfId="0" applyBorder="1"/>
    <xf numFmtId="0" fontId="0" fillId="0" borderId="70" xfId="0" applyBorder="1"/>
    <xf numFmtId="0" fontId="51" fillId="0" borderId="70" xfId="0" applyFont="1" applyBorder="1" applyAlignment="1">
      <alignment vertical="center"/>
    </xf>
    <xf numFmtId="0" fontId="0" fillId="0" borderId="73" xfId="0" applyBorder="1"/>
    <xf numFmtId="0" fontId="119" fillId="0" borderId="70" xfId="0" applyFont="1" applyBorder="1" applyAlignment="1">
      <alignment wrapText="1"/>
    </xf>
    <xf numFmtId="0" fontId="28" fillId="3" borderId="95" xfId="0" applyFont="1" applyFill="1" applyBorder="1" applyAlignment="1">
      <alignment horizontal="center" vertical="center" wrapText="1"/>
    </xf>
    <xf numFmtId="0" fontId="40" fillId="0" borderId="0" xfId="0" applyFont="1" applyAlignment="1">
      <alignment horizontal="center" vertical="center"/>
    </xf>
    <xf numFmtId="0" fontId="130" fillId="32" borderId="0" xfId="0" applyFont="1" applyFill="1" applyAlignment="1">
      <alignment horizontal="center" vertical="center" textRotation="90"/>
    </xf>
    <xf numFmtId="2" fontId="131" fillId="32" borderId="0" xfId="0" applyNumberFormat="1" applyFont="1" applyFill="1" applyAlignment="1">
      <alignment vertical="center"/>
    </xf>
    <xf numFmtId="0" fontId="130" fillId="32" borderId="0" xfId="0" applyFont="1" applyFill="1" applyAlignment="1">
      <alignment horizontal="right" vertical="center"/>
    </xf>
    <xf numFmtId="0" fontId="131" fillId="32" borderId="0" xfId="0" applyFont="1" applyFill="1" applyAlignment="1">
      <alignment horizontal="center" vertical="center"/>
    </xf>
    <xf numFmtId="0" fontId="16" fillId="0" borderId="0" xfId="0" applyFont="1"/>
    <xf numFmtId="2" fontId="41" fillId="10" borderId="14" xfId="0" applyNumberFormat="1" applyFont="1" applyFill="1" applyBorder="1" applyAlignment="1">
      <alignment vertical="center"/>
    </xf>
    <xf numFmtId="0" fontId="5" fillId="10" borderId="14" xfId="0" applyFont="1" applyFill="1" applyBorder="1" applyAlignment="1">
      <alignment horizontal="right" vertical="center"/>
    </xf>
    <xf numFmtId="0" fontId="41" fillId="10" borderId="14" xfId="0" applyFont="1" applyFill="1" applyBorder="1" applyAlignment="1">
      <alignment horizontal="center" vertical="center"/>
    </xf>
    <xf numFmtId="0" fontId="3" fillId="10" borderId="14" xfId="0" applyFont="1" applyFill="1" applyBorder="1" applyAlignment="1">
      <alignment horizontal="right" vertical="center"/>
    </xf>
    <xf numFmtId="2" fontId="41" fillId="101" borderId="85" xfId="0" applyNumberFormat="1" applyFont="1" applyFill="1" applyBorder="1" applyAlignment="1">
      <alignment vertical="center"/>
    </xf>
    <xf numFmtId="0" fontId="5" fillId="101" borderId="86" xfId="0" applyFont="1" applyFill="1" applyBorder="1" applyAlignment="1">
      <alignment horizontal="right" vertical="center"/>
    </xf>
    <xf numFmtId="0" fontId="41" fillId="101" borderId="85" xfId="0" applyFont="1" applyFill="1" applyBorder="1" applyAlignment="1">
      <alignment horizontal="center" vertical="center"/>
    </xf>
    <xf numFmtId="0" fontId="3" fillId="101" borderId="87" xfId="0" applyFont="1" applyFill="1" applyBorder="1" applyAlignment="1">
      <alignment horizontal="right" vertical="center"/>
    </xf>
    <xf numFmtId="0" fontId="5" fillId="8" borderId="23" xfId="0" applyFont="1" applyFill="1" applyBorder="1" applyAlignment="1">
      <alignment horizontal="center" vertical="center" wrapText="1"/>
    </xf>
    <xf numFmtId="0" fontId="5" fillId="6" borderId="198" xfId="0" applyFont="1" applyFill="1" applyBorder="1" applyAlignment="1">
      <alignment horizontal="center" vertical="center" wrapText="1"/>
    </xf>
    <xf numFmtId="0" fontId="3" fillId="0" borderId="77" xfId="0" applyFont="1" applyBorder="1" applyAlignment="1">
      <alignment horizontal="right" vertical="center"/>
    </xf>
    <xf numFmtId="2" fontId="41" fillId="109" borderId="85" xfId="0" applyNumberFormat="1" applyFont="1" applyFill="1" applyBorder="1" applyAlignment="1">
      <alignment vertical="center"/>
    </xf>
    <xf numFmtId="0" fontId="5" fillId="109" borderId="86" xfId="0" applyFont="1" applyFill="1" applyBorder="1" applyAlignment="1">
      <alignment horizontal="right" vertical="center"/>
    </xf>
    <xf numFmtId="0" fontId="41" fillId="109" borderId="85" xfId="0" applyFont="1" applyFill="1" applyBorder="1" applyAlignment="1">
      <alignment horizontal="center" vertical="center"/>
    </xf>
    <xf numFmtId="0" fontId="3" fillId="109" borderId="87" xfId="0" applyFont="1" applyFill="1" applyBorder="1" applyAlignment="1">
      <alignment horizontal="right" vertical="center"/>
    </xf>
    <xf numFmtId="0" fontId="16" fillId="0" borderId="14" xfId="0" applyFont="1" applyBorder="1" applyAlignment="1">
      <alignment vertical="center"/>
    </xf>
    <xf numFmtId="2" fontId="16" fillId="0" borderId="14" xfId="0" applyNumberFormat="1" applyFont="1" applyBorder="1" applyAlignment="1">
      <alignment vertical="center"/>
    </xf>
    <xf numFmtId="10" fontId="34" fillId="0" borderId="15" xfId="0" applyNumberFormat="1" applyFont="1" applyBorder="1" applyAlignment="1">
      <alignment vertical="center"/>
    </xf>
    <xf numFmtId="10" fontId="34" fillId="0" borderId="16" xfId="0" applyNumberFormat="1" applyFont="1" applyBorder="1" applyAlignment="1">
      <alignment vertical="center"/>
    </xf>
    <xf numFmtId="10" fontId="34" fillId="0" borderId="57" xfId="0" applyNumberFormat="1" applyFont="1" applyBorder="1" applyAlignment="1">
      <alignment vertical="center"/>
    </xf>
    <xf numFmtId="10" fontId="34" fillId="0" borderId="34" xfId="0" applyNumberFormat="1" applyFont="1" applyBorder="1" applyAlignment="1">
      <alignment vertical="center"/>
    </xf>
    <xf numFmtId="10" fontId="34" fillId="0" borderId="58" xfId="0" applyNumberFormat="1" applyFont="1" applyBorder="1" applyAlignment="1">
      <alignment vertical="center"/>
    </xf>
    <xf numFmtId="10" fontId="34" fillId="0" borderId="22" xfId="0" applyNumberFormat="1" applyFont="1" applyBorder="1" applyAlignment="1">
      <alignment vertical="center"/>
    </xf>
    <xf numFmtId="10" fontId="34" fillId="0" borderId="11" xfId="0" applyNumberFormat="1" applyFont="1" applyBorder="1" applyAlignment="1">
      <alignment vertical="center"/>
    </xf>
    <xf numFmtId="10" fontId="34" fillId="0" borderId="59" xfId="0" applyNumberFormat="1" applyFont="1" applyBorder="1" applyAlignment="1">
      <alignment vertical="center"/>
    </xf>
    <xf numFmtId="0" fontId="0" fillId="0" borderId="14" xfId="0" applyBorder="1" applyAlignment="1">
      <alignment vertical="center"/>
    </xf>
    <xf numFmtId="0" fontId="37" fillId="0" borderId="14" xfId="0" applyFont="1" applyBorder="1" applyAlignment="1">
      <alignment vertical="center"/>
    </xf>
    <xf numFmtId="0" fontId="37" fillId="0" borderId="23" xfId="0" applyFont="1" applyBorder="1" applyAlignment="1">
      <alignment vertical="center"/>
    </xf>
    <xf numFmtId="0" fontId="37" fillId="0" borderId="19" xfId="0" applyFont="1" applyBorder="1" applyAlignment="1">
      <alignment vertical="center"/>
    </xf>
    <xf numFmtId="0" fontId="37" fillId="0" borderId="24" xfId="0" applyFont="1" applyBorder="1" applyAlignment="1">
      <alignment vertical="center"/>
    </xf>
    <xf numFmtId="0" fontId="54" fillId="0" borderId="14" xfId="0" applyFont="1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57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59" xfId="0" applyBorder="1" applyAlignment="1">
      <alignment vertical="center"/>
    </xf>
    <xf numFmtId="0" fontId="35" fillId="0" borderId="14" xfId="0" applyFont="1" applyBorder="1" applyAlignment="1">
      <alignment vertical="center"/>
    </xf>
    <xf numFmtId="0" fontId="0" fillId="0" borderId="34" xfId="0" applyBorder="1" applyAlignment="1">
      <alignment vertical="center"/>
    </xf>
    <xf numFmtId="0" fontId="0" fillId="0" borderId="58" xfId="0" applyBorder="1" applyAlignment="1">
      <alignment vertical="center"/>
    </xf>
    <xf numFmtId="2" fontId="41" fillId="14" borderId="23" xfId="0" applyNumberFormat="1" applyFont="1" applyFill="1" applyBorder="1" applyAlignment="1">
      <alignment vertical="center"/>
    </xf>
    <xf numFmtId="0" fontId="5" fillId="14" borderId="24" xfId="0" applyFont="1" applyFill="1" applyBorder="1" applyAlignment="1">
      <alignment horizontal="right" vertical="center"/>
    </xf>
    <xf numFmtId="0" fontId="41" fillId="14" borderId="23" xfId="0" applyFont="1" applyFill="1" applyBorder="1" applyAlignment="1">
      <alignment horizontal="center" vertical="center"/>
    </xf>
    <xf numFmtId="0" fontId="3" fillId="14" borderId="24" xfId="0" applyFont="1" applyFill="1" applyBorder="1" applyAlignment="1">
      <alignment horizontal="right" vertical="center"/>
    </xf>
    <xf numFmtId="0" fontId="138" fillId="0" borderId="0" xfId="0" applyFont="1" applyAlignment="1">
      <alignment vertical="center"/>
    </xf>
    <xf numFmtId="10" fontId="40" fillId="0" borderId="0" xfId="0" applyNumberFormat="1" applyFont="1" applyAlignment="1">
      <alignment vertical="center"/>
    </xf>
    <xf numFmtId="0" fontId="40" fillId="0" borderId="0" xfId="0" applyFont="1" applyAlignment="1">
      <alignment vertical="center"/>
    </xf>
    <xf numFmtId="10" fontId="139" fillId="0" borderId="0" xfId="0" applyNumberFormat="1" applyFont="1" applyAlignment="1">
      <alignment horizontal="left" vertical="center"/>
    </xf>
    <xf numFmtId="0" fontId="139" fillId="0" borderId="0" xfId="0" applyFont="1" applyAlignment="1">
      <alignment vertical="center"/>
    </xf>
    <xf numFmtId="0" fontId="39" fillId="0" borderId="0" xfId="0" applyFont="1" applyAlignment="1">
      <alignment vertical="center"/>
    </xf>
    <xf numFmtId="0" fontId="49" fillId="0" borderId="0" xfId="0" applyFont="1" applyAlignment="1">
      <alignment vertical="center" wrapText="1"/>
    </xf>
    <xf numFmtId="0" fontId="139" fillId="32" borderId="0" xfId="0" applyFont="1" applyFill="1" applyAlignment="1">
      <alignment vertical="center"/>
    </xf>
    <xf numFmtId="0" fontId="38" fillId="0" borderId="0" xfId="0" applyFont="1" applyAlignment="1">
      <alignment vertical="top"/>
    </xf>
    <xf numFmtId="0" fontId="75" fillId="0" borderId="52" xfId="0" applyFont="1" applyBorder="1" applyAlignment="1">
      <alignment vertical="center"/>
    </xf>
    <xf numFmtId="0" fontId="3" fillId="0" borderId="52" xfId="0" applyFont="1" applyBorder="1" applyAlignment="1">
      <alignment vertical="center" textRotation="90"/>
    </xf>
    <xf numFmtId="0" fontId="140" fillId="0" borderId="0" xfId="0" applyFont="1"/>
    <xf numFmtId="10" fontId="40" fillId="0" borderId="0" xfId="0" applyNumberFormat="1" applyFont="1" applyAlignment="1">
      <alignment horizontal="center" vertical="center"/>
    </xf>
    <xf numFmtId="2" fontId="41" fillId="14" borderId="14" xfId="0" applyNumberFormat="1" applyFont="1" applyFill="1" applyBorder="1" applyAlignment="1">
      <alignment vertical="center"/>
    </xf>
    <xf numFmtId="0" fontId="5" fillId="14" borderId="14" xfId="0" applyFont="1" applyFill="1" applyBorder="1" applyAlignment="1">
      <alignment horizontal="right" vertical="center"/>
    </xf>
    <xf numFmtId="0" fontId="41" fillId="14" borderId="14" xfId="0" applyFont="1" applyFill="1" applyBorder="1" applyAlignment="1">
      <alignment horizontal="center" vertical="center"/>
    </xf>
    <xf numFmtId="0" fontId="3" fillId="14" borderId="14" xfId="0" applyFont="1" applyFill="1" applyBorder="1" applyAlignment="1">
      <alignment horizontal="right" vertical="center"/>
    </xf>
    <xf numFmtId="2" fontId="62" fillId="37" borderId="85" xfId="0" applyNumberFormat="1" applyFont="1" applyFill="1" applyBorder="1" applyAlignment="1">
      <alignment vertical="center"/>
    </xf>
    <xf numFmtId="0" fontId="62" fillId="37" borderId="85" xfId="0" applyFont="1" applyFill="1" applyBorder="1" applyAlignment="1">
      <alignment horizontal="center" vertical="center"/>
    </xf>
    <xf numFmtId="2" fontId="5" fillId="37" borderId="14" xfId="0" applyNumberFormat="1" applyFont="1" applyFill="1" applyBorder="1" applyAlignment="1">
      <alignment vertical="center"/>
    </xf>
    <xf numFmtId="2" fontId="41" fillId="37" borderId="119" xfId="0" applyNumberFormat="1" applyFont="1" applyFill="1" applyBorder="1" applyAlignment="1">
      <alignment vertical="center"/>
    </xf>
    <xf numFmtId="0" fontId="5" fillId="37" borderId="120" xfId="0" applyFont="1" applyFill="1" applyBorder="1" applyAlignment="1">
      <alignment horizontal="right" vertical="center"/>
    </xf>
    <xf numFmtId="0" fontId="41" fillId="37" borderId="119" xfId="0" applyFont="1" applyFill="1" applyBorder="1" applyAlignment="1">
      <alignment horizontal="center" vertical="center"/>
    </xf>
    <xf numFmtId="0" fontId="3" fillId="37" borderId="121" xfId="0" applyFont="1" applyFill="1" applyBorder="1" applyAlignment="1">
      <alignment horizontal="right" vertical="center"/>
    </xf>
    <xf numFmtId="2" fontId="41" fillId="14" borderId="85" xfId="0" applyNumberFormat="1" applyFont="1" applyFill="1" applyBorder="1" applyAlignment="1">
      <alignment vertical="center"/>
    </xf>
    <xf numFmtId="0" fontId="5" fillId="14" borderId="86" xfId="0" applyFont="1" applyFill="1" applyBorder="1" applyAlignment="1">
      <alignment horizontal="right" vertical="center"/>
    </xf>
    <xf numFmtId="0" fontId="41" fillId="14" borderId="85" xfId="0" applyFont="1" applyFill="1" applyBorder="1" applyAlignment="1">
      <alignment horizontal="center" vertical="center"/>
    </xf>
    <xf numFmtId="0" fontId="3" fillId="14" borderId="87" xfId="0" applyFont="1" applyFill="1" applyBorder="1" applyAlignment="1">
      <alignment horizontal="right" vertical="center"/>
    </xf>
    <xf numFmtId="0" fontId="3" fillId="37" borderId="204" xfId="0" applyFont="1" applyFill="1" applyBorder="1" applyAlignment="1">
      <alignment horizontal="right" vertical="center"/>
    </xf>
    <xf numFmtId="2" fontId="41" fillId="37" borderId="218" xfId="0" applyNumberFormat="1" applyFont="1" applyFill="1" applyBorder="1" applyAlignment="1">
      <alignment vertical="center"/>
    </xf>
    <xf numFmtId="0" fontId="5" fillId="37" borderId="219" xfId="0" applyFont="1" applyFill="1" applyBorder="1" applyAlignment="1">
      <alignment horizontal="right" vertical="center"/>
    </xf>
    <xf numFmtId="0" fontId="41" fillId="37" borderId="218" xfId="0" applyFont="1" applyFill="1" applyBorder="1" applyAlignment="1">
      <alignment horizontal="center" vertical="center"/>
    </xf>
    <xf numFmtId="0" fontId="3" fillId="37" borderId="220" xfId="0" applyFont="1" applyFill="1" applyBorder="1" applyAlignment="1">
      <alignment horizontal="right" vertical="center"/>
    </xf>
    <xf numFmtId="0" fontId="3" fillId="14" borderId="19" xfId="0" applyFont="1" applyFill="1" applyBorder="1" applyAlignment="1">
      <alignment horizontal="right" vertical="center"/>
    </xf>
    <xf numFmtId="2" fontId="41" fillId="14" borderId="15" xfId="0" applyNumberFormat="1" applyFont="1" applyFill="1" applyBorder="1" applyAlignment="1">
      <alignment vertical="center"/>
    </xf>
    <xf numFmtId="0" fontId="5" fillId="14" borderId="57" xfId="0" applyFont="1" applyFill="1" applyBorder="1" applyAlignment="1">
      <alignment horizontal="right" vertical="center"/>
    </xf>
    <xf numFmtId="0" fontId="41" fillId="14" borderId="15" xfId="0" applyFont="1" applyFill="1" applyBorder="1" applyAlignment="1">
      <alignment horizontal="center" vertical="center"/>
    </xf>
    <xf numFmtId="0" fontId="3" fillId="14" borderId="57" xfId="0" applyFont="1" applyFill="1" applyBorder="1" applyAlignment="1">
      <alignment horizontal="right" vertical="center"/>
    </xf>
    <xf numFmtId="2" fontId="41" fillId="136" borderId="0" xfId="0" applyNumberFormat="1" applyFont="1" applyFill="1" applyAlignment="1">
      <alignment vertical="center"/>
    </xf>
    <xf numFmtId="0" fontId="5" fillId="136" borderId="0" xfId="0" applyFont="1" applyFill="1" applyAlignment="1">
      <alignment horizontal="right" vertical="center"/>
    </xf>
    <xf numFmtId="0" fontId="41" fillId="136" borderId="0" xfId="0" applyFont="1" applyFill="1" applyAlignment="1">
      <alignment horizontal="center" vertical="center"/>
    </xf>
    <xf numFmtId="0" fontId="3" fillId="136" borderId="0" xfId="0" applyFont="1" applyFill="1" applyAlignment="1">
      <alignment horizontal="right" vertical="center"/>
    </xf>
    <xf numFmtId="164" fontId="41" fillId="66" borderId="85" xfId="0" applyNumberFormat="1" applyFont="1" applyFill="1" applyBorder="1" applyAlignment="1">
      <alignment vertical="center"/>
    </xf>
    <xf numFmtId="0" fontId="35" fillId="0" borderId="0" xfId="0" applyFont="1"/>
    <xf numFmtId="2" fontId="99" fillId="0" borderId="0" xfId="0" applyNumberFormat="1" applyFont="1" applyAlignment="1">
      <alignment vertical="center"/>
    </xf>
    <xf numFmtId="0" fontId="3" fillId="22" borderId="16" xfId="0" applyFont="1" applyFill="1" applyBorder="1" applyAlignment="1">
      <alignment vertical="center"/>
    </xf>
    <xf numFmtId="0" fontId="3" fillId="22" borderId="90" xfId="0" applyFont="1" applyFill="1" applyBorder="1" applyAlignment="1">
      <alignment vertical="center"/>
    </xf>
    <xf numFmtId="0" fontId="3" fillId="22" borderId="0" xfId="0" applyFont="1" applyFill="1" applyAlignment="1">
      <alignment vertical="center"/>
    </xf>
    <xf numFmtId="0" fontId="3" fillId="22" borderId="77" xfId="0" applyFont="1" applyFill="1" applyBorder="1" applyAlignment="1">
      <alignment vertical="center"/>
    </xf>
    <xf numFmtId="0" fontId="12" fillId="0" borderId="76" xfId="0" applyFont="1" applyBorder="1" applyAlignment="1">
      <alignment vertical="center" wrapText="1"/>
    </xf>
    <xf numFmtId="0" fontId="12" fillId="0" borderId="0" xfId="0" applyFont="1" applyAlignment="1">
      <alignment vertical="center" wrapText="1"/>
    </xf>
    <xf numFmtId="0" fontId="15" fillId="35" borderId="229" xfId="0" applyFont="1" applyFill="1" applyBorder="1" applyAlignment="1">
      <alignment horizontal="center" vertical="center"/>
    </xf>
    <xf numFmtId="0" fontId="15" fillId="35" borderId="230" xfId="0" applyFont="1" applyFill="1" applyBorder="1" applyAlignment="1">
      <alignment horizontal="center" vertical="center" wrapText="1"/>
    </xf>
    <xf numFmtId="0" fontId="15" fillId="24" borderId="232" xfId="0" applyFont="1" applyFill="1" applyBorder="1" applyAlignment="1">
      <alignment horizontal="center" vertical="center"/>
    </xf>
    <xf numFmtId="0" fontId="15" fillId="2" borderId="190" xfId="0" applyFont="1" applyFill="1" applyBorder="1" applyAlignment="1">
      <alignment vertical="center"/>
    </xf>
    <xf numFmtId="2" fontId="116" fillId="0" borderId="14" xfId="0" applyNumberFormat="1" applyFont="1" applyBorder="1" applyAlignment="1">
      <alignment horizontal="center"/>
    </xf>
    <xf numFmtId="2" fontId="116" fillId="0" borderId="14" xfId="0" applyNumberFormat="1" applyFont="1" applyBorder="1" applyAlignment="1">
      <alignment horizontal="center" vertical="center"/>
    </xf>
    <xf numFmtId="2" fontId="147" fillId="13" borderId="14" xfId="0" applyNumberFormat="1" applyFont="1" applyFill="1" applyBorder="1" applyAlignment="1">
      <alignment horizontal="center" vertical="center"/>
    </xf>
    <xf numFmtId="14" fontId="18" fillId="35" borderId="231" xfId="0" applyNumberFormat="1" applyFont="1" applyFill="1" applyBorder="1" applyAlignment="1">
      <alignment horizontal="center" vertical="center" wrapText="1"/>
    </xf>
    <xf numFmtId="0" fontId="15" fillId="2" borderId="233" xfId="0" applyFont="1" applyFill="1" applyBorder="1" applyAlignment="1">
      <alignment horizontal="center" vertical="center"/>
    </xf>
    <xf numFmtId="0" fontId="15" fillId="2" borderId="234" xfId="0" applyFont="1" applyFill="1" applyBorder="1" applyAlignment="1">
      <alignment horizontal="center" vertical="center"/>
    </xf>
    <xf numFmtId="0" fontId="15" fillId="2" borderId="235" xfId="0" applyFont="1" applyFill="1" applyBorder="1" applyAlignment="1">
      <alignment horizontal="center" vertical="center"/>
    </xf>
    <xf numFmtId="0" fontId="15" fillId="2" borderId="233" xfId="0" applyFont="1" applyFill="1" applyBorder="1" applyAlignment="1">
      <alignment horizontal="center" vertical="center" wrapText="1"/>
    </xf>
    <xf numFmtId="1" fontId="15" fillId="2" borderId="233" xfId="0" applyNumberFormat="1" applyFont="1" applyFill="1" applyBorder="1" applyAlignment="1">
      <alignment horizontal="center" vertical="center" wrapText="1"/>
    </xf>
    <xf numFmtId="10" fontId="15" fillId="2" borderId="233" xfId="0" applyNumberFormat="1" applyFont="1" applyFill="1" applyBorder="1" applyAlignment="1">
      <alignment horizontal="center" vertical="center" wrapText="1"/>
    </xf>
    <xf numFmtId="2" fontId="116" fillId="0" borderId="60" xfId="0" applyNumberFormat="1" applyFont="1" applyBorder="1" applyAlignment="1">
      <alignment horizontal="center" vertical="center"/>
    </xf>
    <xf numFmtId="2" fontId="116" fillId="0" borderId="60" xfId="0" applyNumberFormat="1" applyFont="1" applyBorder="1" applyAlignment="1">
      <alignment horizontal="center"/>
    </xf>
    <xf numFmtId="2" fontId="116" fillId="0" borderId="129" xfId="0" applyNumberFormat="1" applyFont="1" applyBorder="1" applyAlignment="1">
      <alignment horizontal="center"/>
    </xf>
    <xf numFmtId="2" fontId="116" fillId="0" borderId="242" xfId="0" applyNumberFormat="1" applyFont="1" applyBorder="1" applyAlignment="1">
      <alignment horizontal="center" vertical="center"/>
    </xf>
    <xf numFmtId="2" fontId="116" fillId="0" borderId="243" xfId="0" applyNumberFormat="1" applyFont="1" applyBorder="1" applyAlignment="1">
      <alignment horizontal="center" vertical="center"/>
    </xf>
    <xf numFmtId="2" fontId="116" fillId="0" borderId="245" xfId="0" applyNumberFormat="1" applyFont="1" applyBorder="1" applyAlignment="1">
      <alignment horizontal="center" vertical="center"/>
    </xf>
    <xf numFmtId="2" fontId="116" fillId="0" borderId="245" xfId="0" applyNumberFormat="1" applyFont="1" applyBorder="1" applyAlignment="1">
      <alignment horizontal="center"/>
    </xf>
    <xf numFmtId="2" fontId="116" fillId="0" borderId="246" xfId="0" applyNumberFormat="1" applyFont="1" applyBorder="1" applyAlignment="1">
      <alignment horizontal="center"/>
    </xf>
    <xf numFmtId="2" fontId="147" fillId="13" borderId="246" xfId="0" applyNumberFormat="1" applyFont="1" applyFill="1" applyBorder="1" applyAlignment="1">
      <alignment horizontal="center" vertical="center"/>
    </xf>
    <xf numFmtId="2" fontId="116" fillId="0" borderId="246" xfId="0" applyNumberFormat="1" applyFont="1" applyBorder="1" applyAlignment="1">
      <alignment horizontal="center" vertical="center"/>
    </xf>
    <xf numFmtId="2" fontId="116" fillId="0" borderId="186" xfId="0" applyNumberFormat="1" applyFont="1" applyBorder="1" applyAlignment="1">
      <alignment horizontal="center"/>
    </xf>
    <xf numFmtId="2" fontId="116" fillId="0" borderId="248" xfId="0" applyNumberFormat="1" applyFont="1" applyBorder="1" applyAlignment="1">
      <alignment horizontal="center"/>
    </xf>
    <xf numFmtId="2" fontId="116" fillId="0" borderId="184" xfId="0" applyNumberFormat="1" applyFont="1" applyBorder="1" applyAlignment="1">
      <alignment horizontal="center"/>
    </xf>
    <xf numFmtId="2" fontId="116" fillId="0" borderId="250" xfId="0" applyNumberFormat="1" applyFont="1" applyBorder="1" applyAlignment="1">
      <alignment horizontal="center"/>
    </xf>
    <xf numFmtId="0" fontId="15" fillId="2" borderId="191" xfId="0" applyFont="1" applyFill="1" applyBorder="1" applyAlignment="1">
      <alignment vertical="center"/>
    </xf>
    <xf numFmtId="0" fontId="15" fillId="2" borderId="236" xfId="0" applyFont="1" applyFill="1" applyBorder="1" applyAlignment="1">
      <alignment horizontal="center" vertical="center" wrapText="1"/>
    </xf>
    <xf numFmtId="1" fontId="15" fillId="2" borderId="236" xfId="0" applyNumberFormat="1" applyFont="1" applyFill="1" applyBorder="1" applyAlignment="1">
      <alignment horizontal="center" vertical="center" wrapText="1"/>
    </xf>
    <xf numFmtId="0" fontId="0" fillId="0" borderId="239" xfId="0" applyBorder="1"/>
    <xf numFmtId="0" fontId="0" fillId="0" borderId="239" xfId="0" applyBorder="1" applyAlignment="1">
      <alignment horizontal="center" vertical="center"/>
    </xf>
    <xf numFmtId="10" fontId="0" fillId="14" borderId="239" xfId="0" applyNumberFormat="1" applyFill="1" applyBorder="1" applyAlignment="1">
      <alignment horizontal="center" vertical="center"/>
    </xf>
    <xf numFmtId="0" fontId="0" fillId="0" borderId="239" xfId="0" applyBorder="1" applyAlignment="1">
      <alignment horizontal="center" vertical="center" wrapText="1"/>
    </xf>
    <xf numFmtId="10" fontId="0" fillId="0" borderId="239" xfId="0" applyNumberFormat="1" applyBorder="1"/>
    <xf numFmtId="0" fontId="1" fillId="0" borderId="239" xfId="0" applyFont="1" applyBorder="1" applyAlignment="1">
      <alignment horizontal="center" vertical="center" wrapText="1"/>
    </xf>
    <xf numFmtId="10" fontId="0" fillId="0" borderId="260" xfId="0" applyNumberFormat="1" applyBorder="1" applyAlignment="1">
      <alignment horizontal="center"/>
    </xf>
    <xf numFmtId="10" fontId="0" fillId="0" borderId="261" xfId="0" applyNumberFormat="1" applyBorder="1" applyAlignment="1">
      <alignment horizontal="center"/>
    </xf>
    <xf numFmtId="0" fontId="0" fillId="0" borderId="261" xfId="0" applyBorder="1" applyAlignment="1">
      <alignment horizontal="center"/>
    </xf>
    <xf numFmtId="0" fontId="15" fillId="35" borderId="262" xfId="0" applyFont="1" applyFill="1" applyBorder="1" applyAlignment="1">
      <alignment horizontal="center" vertical="center" wrapText="1"/>
    </xf>
    <xf numFmtId="0" fontId="15" fillId="2" borderId="263" xfId="0" applyFont="1" applyFill="1" applyBorder="1" applyAlignment="1">
      <alignment horizontal="center" vertical="center" wrapText="1"/>
    </xf>
    <xf numFmtId="10" fontId="15" fillId="2" borderId="265" xfId="0" applyNumberFormat="1" applyFont="1" applyFill="1" applyBorder="1" applyAlignment="1">
      <alignment horizontal="center" vertical="center" wrapText="1"/>
    </xf>
    <xf numFmtId="0" fontId="16" fillId="0" borderId="239" xfId="0" applyFont="1" applyBorder="1" applyAlignment="1">
      <alignment horizontal="center" vertical="center"/>
    </xf>
    <xf numFmtId="10" fontId="16" fillId="0" borderId="239" xfId="0" applyNumberFormat="1" applyFont="1" applyBorder="1" applyAlignment="1">
      <alignment horizontal="center" vertical="center"/>
    </xf>
    <xf numFmtId="14" fontId="16" fillId="0" borderId="239" xfId="0" applyNumberFormat="1" applyFont="1" applyBorder="1" applyAlignment="1">
      <alignment horizontal="center" vertical="center"/>
    </xf>
    <xf numFmtId="0" fontId="152" fillId="26" borderId="260" xfId="0" applyFont="1" applyFill="1" applyBorder="1" applyAlignment="1">
      <alignment horizontal="center" wrapText="1"/>
    </xf>
    <xf numFmtId="0" fontId="152" fillId="26" borderId="261" xfId="0" applyFont="1" applyFill="1" applyBorder="1" applyAlignment="1">
      <alignment horizontal="center" wrapText="1"/>
    </xf>
    <xf numFmtId="0" fontId="4" fillId="35" borderId="230" xfId="0" applyFont="1" applyFill="1" applyBorder="1" applyAlignment="1">
      <alignment horizontal="center" vertical="center"/>
    </xf>
    <xf numFmtId="0" fontId="159" fillId="35" borderId="230" xfId="0" applyFont="1" applyFill="1" applyBorder="1" applyAlignment="1">
      <alignment horizontal="center" vertical="center" wrapText="1"/>
    </xf>
    <xf numFmtId="0" fontId="5" fillId="83" borderId="76" xfId="0" applyFont="1" applyFill="1" applyBorder="1" applyAlignment="1">
      <alignment vertical="center"/>
    </xf>
    <xf numFmtId="0" fontId="5" fillId="83" borderId="0" xfId="0" applyFont="1" applyFill="1" applyAlignment="1">
      <alignment vertical="center"/>
    </xf>
    <xf numFmtId="10" fontId="3" fillId="83" borderId="0" xfId="0" applyNumberFormat="1" applyFont="1" applyFill="1" applyAlignment="1">
      <alignment vertical="center"/>
    </xf>
    <xf numFmtId="10" fontId="3" fillId="83" borderId="77" xfId="0" applyNumberFormat="1" applyFont="1" applyFill="1" applyBorder="1" applyAlignment="1">
      <alignment vertical="center"/>
    </xf>
    <xf numFmtId="0" fontId="7" fillId="0" borderId="239" xfId="0" applyFont="1" applyBorder="1" applyAlignment="1">
      <alignment horizontal="center" vertical="center"/>
    </xf>
    <xf numFmtId="10" fontId="7" fillId="0" borderId="239" xfId="0" applyNumberFormat="1" applyFont="1" applyBorder="1" applyAlignment="1">
      <alignment horizontal="center" vertical="center"/>
    </xf>
    <xf numFmtId="0" fontId="15" fillId="153" borderId="229" xfId="0" applyFont="1" applyFill="1" applyBorder="1" applyAlignment="1">
      <alignment horizontal="center" vertical="center"/>
    </xf>
    <xf numFmtId="0" fontId="4" fillId="153" borderId="230" xfId="0" applyFont="1" applyFill="1" applyBorder="1" applyAlignment="1">
      <alignment horizontal="center" vertical="center"/>
    </xf>
    <xf numFmtId="0" fontId="15" fillId="153" borderId="230" xfId="0" applyFont="1" applyFill="1" applyBorder="1" applyAlignment="1">
      <alignment horizontal="center" vertical="center" wrapText="1"/>
    </xf>
    <xf numFmtId="0" fontId="15" fillId="153" borderId="262" xfId="0" applyFont="1" applyFill="1" applyBorder="1" applyAlignment="1">
      <alignment horizontal="center" vertical="center" wrapText="1"/>
    </xf>
    <xf numFmtId="0" fontId="159" fillId="153" borderId="230" xfId="0" applyFont="1" applyFill="1" applyBorder="1" applyAlignment="1">
      <alignment horizontal="center" vertical="center" wrapText="1"/>
    </xf>
    <xf numFmtId="14" fontId="18" fillId="153" borderId="231" xfId="0" applyNumberFormat="1" applyFont="1" applyFill="1" applyBorder="1" applyAlignment="1">
      <alignment horizontal="center" vertical="center" wrapText="1"/>
    </xf>
    <xf numFmtId="0" fontId="15" fillId="154" borderId="232" xfId="0" applyFont="1" applyFill="1" applyBorder="1" applyAlignment="1">
      <alignment horizontal="center" vertical="center"/>
    </xf>
    <xf numFmtId="2" fontId="116" fillId="0" borderId="101" xfId="0" applyNumberFormat="1" applyFont="1" applyBorder="1" applyAlignment="1">
      <alignment horizontal="center"/>
    </xf>
    <xf numFmtId="0" fontId="15" fillId="143" borderId="229" xfId="0" applyFont="1" applyFill="1" applyBorder="1" applyAlignment="1">
      <alignment horizontal="center" vertical="center"/>
    </xf>
    <xf numFmtId="0" fontId="4" fillId="143" borderId="230" xfId="0" applyFont="1" applyFill="1" applyBorder="1" applyAlignment="1">
      <alignment horizontal="center" vertical="center"/>
    </xf>
    <xf numFmtId="0" fontId="15" fillId="143" borderId="230" xfId="0" applyFont="1" applyFill="1" applyBorder="1" applyAlignment="1">
      <alignment horizontal="center" vertical="center" wrapText="1"/>
    </xf>
    <xf numFmtId="0" fontId="15" fillId="143" borderId="262" xfId="0" applyFont="1" applyFill="1" applyBorder="1" applyAlignment="1">
      <alignment horizontal="center" vertical="center" wrapText="1"/>
    </xf>
    <xf numFmtId="0" fontId="159" fillId="143" borderId="230" xfId="0" applyFont="1" applyFill="1" applyBorder="1" applyAlignment="1">
      <alignment horizontal="center" vertical="center" wrapText="1"/>
    </xf>
    <xf numFmtId="14" fontId="18" fillId="143" borderId="23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72" xfId="0" applyFont="1" applyBorder="1" applyAlignment="1">
      <alignment vertical="center"/>
    </xf>
    <xf numFmtId="10" fontId="7" fillId="0" borderId="72" xfId="0" applyNumberFormat="1" applyFont="1" applyBorder="1" applyAlignment="1">
      <alignment vertical="center"/>
    </xf>
    <xf numFmtId="10" fontId="54" fillId="0" borderId="239" xfId="0" applyNumberFormat="1" applyFon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58" fillId="0" borderId="239" xfId="0" applyFont="1" applyBorder="1" applyAlignment="1">
      <alignment horizontal="center" vertical="center"/>
    </xf>
    <xf numFmtId="14" fontId="58" fillId="0" borderId="239" xfId="0" applyNumberFormat="1" applyFont="1" applyBorder="1" applyAlignment="1">
      <alignment horizontal="center" vertical="center"/>
    </xf>
    <xf numFmtId="10" fontId="58" fillId="0" borderId="239" xfId="0" applyNumberFormat="1" applyFont="1" applyBorder="1" applyAlignment="1">
      <alignment horizontal="center" vertical="center"/>
    </xf>
    <xf numFmtId="0" fontId="0" fillId="0" borderId="0" xfId="0" quotePrefix="1"/>
    <xf numFmtId="2" fontId="41" fillId="0" borderId="85" xfId="0" applyNumberFormat="1" applyFont="1" applyBorder="1" applyAlignment="1">
      <alignment vertical="center"/>
    </xf>
    <xf numFmtId="0" fontId="5" fillId="0" borderId="86" xfId="0" applyFont="1" applyBorder="1" applyAlignment="1">
      <alignment horizontal="right" vertical="center"/>
    </xf>
    <xf numFmtId="0" fontId="41" fillId="0" borderId="85" xfId="0" applyFont="1" applyBorder="1" applyAlignment="1">
      <alignment horizontal="center" vertical="center"/>
    </xf>
    <xf numFmtId="0" fontId="3" fillId="0" borderId="87" xfId="0" applyFont="1" applyBorder="1" applyAlignment="1">
      <alignment horizontal="right" vertical="center"/>
    </xf>
    <xf numFmtId="0" fontId="116" fillId="0" borderId="0" xfId="0" applyFont="1"/>
    <xf numFmtId="0" fontId="170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10" fontId="4" fillId="0" borderId="0" xfId="0" applyNumberFormat="1" applyFont="1" applyAlignment="1">
      <alignment vertical="center"/>
    </xf>
    <xf numFmtId="2" fontId="171" fillId="0" borderId="0" xfId="0" applyNumberFormat="1" applyFont="1" applyAlignment="1">
      <alignment vertical="center"/>
    </xf>
    <xf numFmtId="0" fontId="98" fillId="0" borderId="0" xfId="0" applyFont="1" applyAlignment="1">
      <alignment vertical="center"/>
    </xf>
    <xf numFmtId="0" fontId="4" fillId="32" borderId="0" xfId="0" applyFont="1" applyFill="1" applyAlignment="1">
      <alignment horizontal="right" vertical="center"/>
    </xf>
    <xf numFmtId="2" fontId="41" fillId="162" borderId="85" xfId="0" applyNumberFormat="1" applyFont="1" applyFill="1" applyBorder="1" applyAlignment="1">
      <alignment vertical="center"/>
    </xf>
    <xf numFmtId="0" fontId="5" fillId="162" borderId="86" xfId="0" applyFont="1" applyFill="1" applyBorder="1" applyAlignment="1">
      <alignment horizontal="right" vertical="center"/>
    </xf>
    <xf numFmtId="0" fontId="41" fillId="162" borderId="85" xfId="0" applyFont="1" applyFill="1" applyBorder="1" applyAlignment="1">
      <alignment horizontal="center" vertical="center"/>
    </xf>
    <xf numFmtId="0" fontId="3" fillId="162" borderId="87" xfId="0" applyFont="1" applyFill="1" applyBorder="1" applyAlignment="1">
      <alignment horizontal="right" vertical="center"/>
    </xf>
    <xf numFmtId="0" fontId="173" fillId="0" borderId="0" xfId="0" applyFont="1"/>
    <xf numFmtId="0" fontId="0" fillId="2" borderId="0" xfId="0" applyFill="1"/>
    <xf numFmtId="0" fontId="51" fillId="0" borderId="0" xfId="0" applyFont="1" applyAlignment="1">
      <alignment vertical="center" wrapText="1"/>
    </xf>
    <xf numFmtId="0" fontId="46" fillId="0" borderId="0" xfId="0" applyFont="1" applyAlignment="1">
      <alignment horizontal="center" vertical="center" wrapText="1"/>
    </xf>
    <xf numFmtId="0" fontId="48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 wrapText="1"/>
    </xf>
    <xf numFmtId="2" fontId="41" fillId="176" borderId="85" xfId="0" applyNumberFormat="1" applyFont="1" applyFill="1" applyBorder="1" applyAlignment="1">
      <alignment vertical="center"/>
    </xf>
    <xf numFmtId="0" fontId="5" fillId="176" borderId="86" xfId="0" applyFont="1" applyFill="1" applyBorder="1" applyAlignment="1">
      <alignment horizontal="right" vertical="center"/>
    </xf>
    <xf numFmtId="0" fontId="41" fillId="176" borderId="85" xfId="0" applyFont="1" applyFill="1" applyBorder="1" applyAlignment="1">
      <alignment horizontal="center" vertical="center"/>
    </xf>
    <xf numFmtId="0" fontId="179" fillId="0" borderId="0" xfId="0" applyFont="1" applyAlignment="1">
      <alignment horizontal="center" vertical="center" wrapText="1"/>
    </xf>
    <xf numFmtId="0" fontId="94" fillId="0" borderId="0" xfId="0" applyFont="1" applyAlignment="1">
      <alignment horizontal="center"/>
    </xf>
    <xf numFmtId="0" fontId="5" fillId="176" borderId="87" xfId="0" applyFont="1" applyFill="1" applyBorder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0" fontId="5" fillId="32" borderId="0" xfId="0" applyFont="1" applyFill="1" applyAlignment="1">
      <alignment horizontal="center" vertical="center"/>
    </xf>
    <xf numFmtId="0" fontId="177" fillId="0" borderId="0" xfId="0" applyFont="1" applyAlignment="1">
      <alignment horizontal="center" vertical="center"/>
    </xf>
    <xf numFmtId="0" fontId="178" fillId="0" borderId="0" xfId="0" applyFont="1" applyAlignment="1">
      <alignment horizontal="center" vertical="top"/>
    </xf>
    <xf numFmtId="0" fontId="15" fillId="0" borderId="0" xfId="0" applyFont="1" applyAlignment="1">
      <alignment vertical="center" textRotation="90"/>
    </xf>
    <xf numFmtId="0" fontId="15" fillId="0" borderId="76" xfId="0" applyFont="1" applyBorder="1" applyAlignment="1">
      <alignment vertical="center" textRotation="90"/>
    </xf>
    <xf numFmtId="0" fontId="5" fillId="0" borderId="52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74" xfId="0" applyFont="1" applyBorder="1" applyAlignment="1">
      <alignment vertical="center" wrapText="1"/>
    </xf>
    <xf numFmtId="0" fontId="5" fillId="0" borderId="76" xfId="0" applyFont="1" applyBorder="1" applyAlignment="1">
      <alignment vertical="center" wrapText="1"/>
    </xf>
    <xf numFmtId="0" fontId="183" fillId="0" borderId="0" xfId="0" applyFont="1"/>
    <xf numFmtId="0" fontId="184" fillId="0" borderId="0" xfId="0" applyFont="1"/>
    <xf numFmtId="0" fontId="39" fillId="0" borderId="0" xfId="0" applyFont="1" applyAlignment="1">
      <alignment vertical="top"/>
    </xf>
    <xf numFmtId="0" fontId="39" fillId="0" borderId="0" xfId="0" applyFont="1" applyAlignment="1">
      <alignment vertical="center" wrapText="1"/>
    </xf>
    <xf numFmtId="10" fontId="184" fillId="0" borderId="0" xfId="0" applyNumberFormat="1" applyFont="1" applyAlignment="1">
      <alignment vertical="center"/>
    </xf>
    <xf numFmtId="0" fontId="184" fillId="0" borderId="0" xfId="0" applyFont="1" applyAlignment="1">
      <alignment vertical="center"/>
    </xf>
    <xf numFmtId="10" fontId="185" fillId="0" borderId="0" xfId="0" applyNumberFormat="1" applyFont="1" applyAlignment="1">
      <alignment horizontal="left" vertical="center"/>
    </xf>
    <xf numFmtId="0" fontId="185" fillId="0" borderId="0" xfId="0" applyFont="1" applyAlignment="1">
      <alignment vertical="center"/>
    </xf>
    <xf numFmtId="0" fontId="185" fillId="32" borderId="0" xfId="0" applyFont="1" applyFill="1" applyAlignment="1">
      <alignment vertical="center"/>
    </xf>
    <xf numFmtId="0" fontId="185" fillId="0" borderId="76" xfId="0" applyFont="1" applyBorder="1" applyAlignment="1">
      <alignment vertical="center" textRotation="90"/>
    </xf>
    <xf numFmtId="0" fontId="185" fillId="0" borderId="0" xfId="0" applyFont="1" applyAlignment="1">
      <alignment vertical="center" textRotation="90"/>
    </xf>
    <xf numFmtId="10" fontId="184" fillId="0" borderId="0" xfId="0" applyNumberFormat="1" applyFont="1" applyAlignment="1">
      <alignment horizontal="center" vertical="center"/>
    </xf>
    <xf numFmtId="0" fontId="184" fillId="0" borderId="0" xfId="0" applyFont="1" applyAlignment="1">
      <alignment horizontal="center" vertical="center"/>
    </xf>
    <xf numFmtId="0" fontId="98" fillId="0" borderId="0" xfId="0" applyFont="1" applyAlignment="1">
      <alignment horizontal="center" vertical="center"/>
    </xf>
    <xf numFmtId="164" fontId="15" fillId="2" borderId="236" xfId="0" applyNumberFormat="1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2" fontId="41" fillId="208" borderId="297" xfId="0" applyNumberFormat="1" applyFont="1" applyFill="1" applyBorder="1" applyAlignment="1">
      <alignment vertical="center"/>
    </xf>
    <xf numFmtId="0" fontId="5" fillId="208" borderId="298" xfId="0" applyFont="1" applyFill="1" applyBorder="1" applyAlignment="1">
      <alignment horizontal="right" vertical="center"/>
    </xf>
    <xf numFmtId="0" fontId="41" fillId="208" borderId="297" xfId="0" applyFont="1" applyFill="1" applyBorder="1" applyAlignment="1">
      <alignment horizontal="center" vertical="center"/>
    </xf>
    <xf numFmtId="0" fontId="3" fillId="208" borderId="299" xfId="0" applyFont="1" applyFill="1" applyBorder="1" applyAlignment="1">
      <alignment horizontal="right" vertical="center"/>
    </xf>
    <xf numFmtId="0" fontId="3" fillId="208" borderId="301" xfId="0" applyFont="1" applyFill="1" applyBorder="1" applyAlignment="1">
      <alignment horizontal="right" vertical="center"/>
    </xf>
    <xf numFmtId="0" fontId="48" fillId="0" borderId="0" xfId="0" applyFont="1" applyAlignment="1">
      <alignment vertical="center" wrapText="1"/>
    </xf>
    <xf numFmtId="0" fontId="16" fillId="0" borderId="0" xfId="0" applyFont="1" applyAlignment="1">
      <alignment vertical="center"/>
    </xf>
    <xf numFmtId="2" fontId="16" fillId="0" borderId="0" xfId="0" applyNumberFormat="1" applyFont="1" applyAlignment="1">
      <alignment vertical="center"/>
    </xf>
    <xf numFmtId="0" fontId="35" fillId="0" borderId="0" xfId="0" applyFont="1" applyAlignment="1">
      <alignment vertical="center"/>
    </xf>
    <xf numFmtId="0" fontId="37" fillId="0" borderId="0" xfId="0" applyFont="1" applyAlignment="1">
      <alignment vertical="center"/>
    </xf>
    <xf numFmtId="0" fontId="54" fillId="0" borderId="0" xfId="0" applyFont="1" applyAlignment="1">
      <alignment vertical="center"/>
    </xf>
    <xf numFmtId="10" fontId="98" fillId="0" borderId="0" xfId="0" applyNumberFormat="1" applyFont="1" applyAlignment="1">
      <alignment horizontal="center" vertical="center"/>
    </xf>
    <xf numFmtId="0" fontId="190" fillId="0" borderId="0" xfId="0" applyFont="1"/>
    <xf numFmtId="0" fontId="190" fillId="0" borderId="0" xfId="0" applyFont="1" applyAlignment="1">
      <alignment horizontal="center" vertical="center"/>
    </xf>
    <xf numFmtId="0" fontId="188" fillId="32" borderId="0" xfId="0" applyFont="1" applyFill="1" applyAlignment="1">
      <alignment horizontal="center" vertical="center" textRotation="90"/>
    </xf>
    <xf numFmtId="0" fontId="188" fillId="0" borderId="0" xfId="0" applyFont="1" applyAlignment="1">
      <alignment horizontal="center" vertical="center"/>
    </xf>
    <xf numFmtId="2" fontId="33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188" fillId="32" borderId="0" xfId="0" applyFont="1" applyFill="1" applyAlignment="1">
      <alignment horizontal="center" vertical="center"/>
    </xf>
    <xf numFmtId="10" fontId="33" fillId="0" borderId="0" xfId="0" applyNumberFormat="1" applyFont="1" applyAlignment="1">
      <alignment horizontal="center" vertical="center"/>
    </xf>
    <xf numFmtId="0" fontId="0" fillId="14" borderId="0" xfId="0" applyFill="1"/>
    <xf numFmtId="0" fontId="12" fillId="22" borderId="13" xfId="0" applyFont="1" applyFill="1" applyBorder="1" applyAlignment="1">
      <alignment horizontal="center" vertical="center" wrapText="1"/>
    </xf>
    <xf numFmtId="2" fontId="41" fillId="37" borderId="297" xfId="0" applyNumberFormat="1" applyFont="1" applyFill="1" applyBorder="1" applyAlignment="1">
      <alignment vertical="center"/>
    </xf>
    <xf numFmtId="0" fontId="5" fillId="37" borderId="298" xfId="0" applyFont="1" applyFill="1" applyBorder="1" applyAlignment="1">
      <alignment horizontal="right" vertical="center"/>
    </xf>
    <xf numFmtId="0" fontId="41" fillId="37" borderId="297" xfId="0" applyFont="1" applyFill="1" applyBorder="1" applyAlignment="1">
      <alignment horizontal="center" vertical="center"/>
    </xf>
    <xf numFmtId="0" fontId="3" fillId="37" borderId="301" xfId="0" applyFont="1" applyFill="1" applyBorder="1" applyAlignment="1">
      <alignment horizontal="right" vertical="center"/>
    </xf>
    <xf numFmtId="0" fontId="3" fillId="37" borderId="299" xfId="0" applyFont="1" applyFill="1" applyBorder="1" applyAlignment="1">
      <alignment horizontal="right" vertical="center"/>
    </xf>
    <xf numFmtId="2" fontId="15" fillId="2" borderId="236" xfId="0" applyNumberFormat="1" applyFont="1" applyFill="1" applyBorder="1" applyAlignment="1">
      <alignment horizontal="center" vertical="center" wrapText="1"/>
    </xf>
    <xf numFmtId="2" fontId="15" fillId="2" borderId="233" xfId="0" applyNumberFormat="1" applyFont="1" applyFill="1" applyBorder="1" applyAlignment="1">
      <alignment horizontal="center" vertical="center" wrapText="1"/>
    </xf>
    <xf numFmtId="0" fontId="27" fillId="162" borderId="86" xfId="0" applyFont="1" applyFill="1" applyBorder="1" applyAlignment="1">
      <alignment horizontal="right" vertical="center"/>
    </xf>
    <xf numFmtId="0" fontId="20" fillId="162" borderId="87" xfId="0" applyFont="1" applyFill="1" applyBorder="1" applyAlignment="1">
      <alignment horizontal="right" vertical="center"/>
    </xf>
    <xf numFmtId="0" fontId="40" fillId="0" borderId="0" xfId="0" applyFont="1" applyAlignment="1">
      <alignment horizontal="center" wrapText="1"/>
    </xf>
    <xf numFmtId="0" fontId="5" fillId="96" borderId="74" xfId="0" applyFont="1" applyFill="1" applyBorder="1" applyAlignment="1">
      <alignment horizontal="center" vertical="center" wrapText="1"/>
    </xf>
    <xf numFmtId="0" fontId="5" fillId="96" borderId="52" xfId="0" applyFont="1" applyFill="1" applyBorder="1" applyAlignment="1">
      <alignment horizontal="center" vertical="center" wrapText="1"/>
    </xf>
    <xf numFmtId="10" fontId="6" fillId="96" borderId="52" xfId="0" applyNumberFormat="1" applyFont="1" applyFill="1" applyBorder="1" applyAlignment="1">
      <alignment horizontal="center" vertical="center"/>
    </xf>
    <xf numFmtId="10" fontId="6" fillId="96" borderId="75" xfId="0" applyNumberFormat="1" applyFont="1" applyFill="1" applyBorder="1" applyAlignment="1">
      <alignment horizontal="center" vertical="center"/>
    </xf>
    <xf numFmtId="0" fontId="15" fillId="97" borderId="80" xfId="0" applyFont="1" applyFill="1" applyBorder="1" applyAlignment="1">
      <alignment horizontal="center" vertical="center" textRotation="90"/>
    </xf>
    <xf numFmtId="0" fontId="15" fillId="97" borderId="84" xfId="0" applyFont="1" applyFill="1" applyBorder="1" applyAlignment="1">
      <alignment horizontal="center" vertical="center" textRotation="90"/>
    </xf>
    <xf numFmtId="0" fontId="38" fillId="37" borderId="81" xfId="0" applyFont="1" applyFill="1" applyBorder="1" applyAlignment="1">
      <alignment horizontal="center" vertical="center"/>
    </xf>
    <xf numFmtId="0" fontId="38" fillId="37" borderId="82" xfId="0" applyFont="1" applyFill="1" applyBorder="1" applyAlignment="1">
      <alignment horizontal="center" vertical="center"/>
    </xf>
    <xf numFmtId="0" fontId="38" fillId="37" borderId="83" xfId="0" applyFont="1" applyFill="1" applyBorder="1" applyAlignment="1">
      <alignment horizontal="center" vertical="center"/>
    </xf>
    <xf numFmtId="0" fontId="3" fillId="152" borderId="91" xfId="0" applyFont="1" applyFill="1" applyBorder="1" applyAlignment="1">
      <alignment horizontal="center" vertical="center" wrapText="1"/>
    </xf>
    <xf numFmtId="0" fontId="3" fillId="152" borderId="16" xfId="0" applyFont="1" applyFill="1" applyBorder="1" applyAlignment="1">
      <alignment horizontal="center" vertical="center" wrapText="1"/>
    </xf>
    <xf numFmtId="0" fontId="3" fillId="152" borderId="90" xfId="0" applyFont="1" applyFill="1" applyBorder="1" applyAlignment="1">
      <alignment horizontal="center" vertical="center" wrapText="1"/>
    </xf>
    <xf numFmtId="0" fontId="3" fillId="152" borderId="76" xfId="0" applyFont="1" applyFill="1" applyBorder="1" applyAlignment="1">
      <alignment horizontal="center" vertical="center" wrapText="1"/>
    </xf>
    <xf numFmtId="0" fontId="3" fillId="152" borderId="0" xfId="0" applyFont="1" applyFill="1" applyAlignment="1">
      <alignment horizontal="center" vertical="center" wrapText="1"/>
    </xf>
    <xf numFmtId="0" fontId="3" fillId="152" borderId="77" xfId="0" applyFont="1" applyFill="1" applyBorder="1" applyAlignment="1">
      <alignment horizontal="center" vertical="center" wrapText="1"/>
    </xf>
    <xf numFmtId="0" fontId="3" fillId="152" borderId="78" xfId="0" applyFont="1" applyFill="1" applyBorder="1" applyAlignment="1">
      <alignment horizontal="center" vertical="center" wrapText="1"/>
    </xf>
    <xf numFmtId="0" fontId="3" fillId="152" borderId="11" xfId="0" applyFont="1" applyFill="1" applyBorder="1" applyAlignment="1">
      <alignment horizontal="center" vertical="center" wrapText="1"/>
    </xf>
    <xf numFmtId="0" fontId="3" fillId="152" borderId="79" xfId="0" applyFont="1" applyFill="1" applyBorder="1" applyAlignment="1">
      <alignment horizontal="center" vertical="center" wrapText="1"/>
    </xf>
    <xf numFmtId="0" fontId="5" fillId="135" borderId="74" xfId="0" applyFont="1" applyFill="1" applyBorder="1" applyAlignment="1">
      <alignment horizontal="center" vertical="center" wrapText="1"/>
    </xf>
    <xf numFmtId="0" fontId="5" fillId="135" borderId="52" xfId="0" applyFont="1" applyFill="1" applyBorder="1" applyAlignment="1">
      <alignment horizontal="center" vertical="center" wrapText="1"/>
    </xf>
    <xf numFmtId="10" fontId="6" fillId="135" borderId="52" xfId="0" applyNumberFormat="1" applyFont="1" applyFill="1" applyBorder="1" applyAlignment="1">
      <alignment horizontal="center" vertical="center"/>
    </xf>
    <xf numFmtId="10" fontId="6" fillId="135" borderId="75" xfId="0" applyNumberFormat="1" applyFont="1" applyFill="1" applyBorder="1" applyAlignment="1">
      <alignment horizontal="center" vertical="center"/>
    </xf>
    <xf numFmtId="0" fontId="15" fillId="134" borderId="80" xfId="0" applyFont="1" applyFill="1" applyBorder="1" applyAlignment="1">
      <alignment horizontal="center" vertical="center" textRotation="90"/>
    </xf>
    <xf numFmtId="0" fontId="15" fillId="134" borderId="84" xfId="0" applyFont="1" applyFill="1" applyBorder="1" applyAlignment="1">
      <alignment horizontal="center" vertical="center" textRotation="90"/>
    </xf>
    <xf numFmtId="0" fontId="39" fillId="162" borderId="81" xfId="0" applyFont="1" applyFill="1" applyBorder="1" applyAlignment="1">
      <alignment horizontal="center" vertical="center"/>
    </xf>
    <xf numFmtId="0" fontId="39" fillId="162" borderId="82" xfId="0" applyFont="1" applyFill="1" applyBorder="1" applyAlignment="1">
      <alignment horizontal="center" vertical="center"/>
    </xf>
    <xf numFmtId="0" fontId="39" fillId="162" borderId="83" xfId="0" applyFont="1" applyFill="1" applyBorder="1" applyAlignment="1">
      <alignment horizontal="center" vertical="center"/>
    </xf>
    <xf numFmtId="0" fontId="5" fillId="171" borderId="74" xfId="0" applyFont="1" applyFill="1" applyBorder="1" applyAlignment="1">
      <alignment horizontal="center" vertical="center" wrapText="1"/>
    </xf>
    <xf numFmtId="0" fontId="5" fillId="171" borderId="52" xfId="0" applyFont="1" applyFill="1" applyBorder="1" applyAlignment="1">
      <alignment horizontal="center" vertical="center" wrapText="1"/>
    </xf>
    <xf numFmtId="10" fontId="6" fillId="171" borderId="52" xfId="0" applyNumberFormat="1" applyFont="1" applyFill="1" applyBorder="1" applyAlignment="1">
      <alignment horizontal="center" vertical="center"/>
    </xf>
    <xf numFmtId="10" fontId="6" fillId="171" borderId="75" xfId="0" applyNumberFormat="1" applyFont="1" applyFill="1" applyBorder="1" applyAlignment="1">
      <alignment horizontal="center" vertical="center"/>
    </xf>
    <xf numFmtId="0" fontId="15" fillId="172" borderId="80" xfId="0" applyFont="1" applyFill="1" applyBorder="1" applyAlignment="1">
      <alignment horizontal="center" vertical="center" textRotation="90"/>
    </xf>
    <xf numFmtId="0" fontId="15" fillId="172" borderId="84" xfId="0" applyFont="1" applyFill="1" applyBorder="1" applyAlignment="1">
      <alignment horizontal="center" vertical="center" textRotation="90"/>
    </xf>
    <xf numFmtId="0" fontId="15" fillId="108" borderId="80" xfId="0" applyFont="1" applyFill="1" applyBorder="1" applyAlignment="1">
      <alignment horizontal="center" vertical="center" textRotation="90"/>
    </xf>
    <xf numFmtId="0" fontId="15" fillId="108" borderId="84" xfId="0" applyFont="1" applyFill="1" applyBorder="1" applyAlignment="1">
      <alignment horizontal="center" vertical="center" textRotation="90"/>
    </xf>
    <xf numFmtId="0" fontId="5" fillId="107" borderId="74" xfId="0" applyFont="1" applyFill="1" applyBorder="1" applyAlignment="1">
      <alignment horizontal="center" vertical="center" wrapText="1"/>
    </xf>
    <xf numFmtId="0" fontId="5" fillId="107" borderId="52" xfId="0" applyFont="1" applyFill="1" applyBorder="1" applyAlignment="1">
      <alignment horizontal="center" vertical="center" wrapText="1"/>
    </xf>
    <xf numFmtId="10" fontId="6" fillId="107" borderId="52" xfId="0" applyNumberFormat="1" applyFont="1" applyFill="1" applyBorder="1" applyAlignment="1">
      <alignment horizontal="center" vertical="center"/>
    </xf>
    <xf numFmtId="10" fontId="6" fillId="107" borderId="75" xfId="0" applyNumberFormat="1" applyFont="1" applyFill="1" applyBorder="1" applyAlignment="1">
      <alignment horizontal="center" vertical="center"/>
    </xf>
    <xf numFmtId="0" fontId="3" fillId="163" borderId="91" xfId="0" applyFont="1" applyFill="1" applyBorder="1" applyAlignment="1">
      <alignment horizontal="center" vertical="center" wrapText="1"/>
    </xf>
    <xf numFmtId="0" fontId="3" fillId="163" borderId="16" xfId="0" applyFont="1" applyFill="1" applyBorder="1" applyAlignment="1">
      <alignment horizontal="center" vertical="center" wrapText="1"/>
    </xf>
    <xf numFmtId="0" fontId="3" fillId="163" borderId="90" xfId="0" applyFont="1" applyFill="1" applyBorder="1" applyAlignment="1">
      <alignment horizontal="center" vertical="center" wrapText="1"/>
    </xf>
    <xf numFmtId="0" fontId="3" fillId="163" borderId="76" xfId="0" applyFont="1" applyFill="1" applyBorder="1" applyAlignment="1">
      <alignment horizontal="center" vertical="center" wrapText="1"/>
    </xf>
    <xf numFmtId="0" fontId="3" fillId="163" borderId="0" xfId="0" applyFont="1" applyFill="1" applyAlignment="1">
      <alignment horizontal="center" vertical="center" wrapText="1"/>
    </xf>
    <xf numFmtId="0" fontId="3" fillId="163" borderId="77" xfId="0" applyFont="1" applyFill="1" applyBorder="1" applyAlignment="1">
      <alignment horizontal="center" vertical="center" wrapText="1"/>
    </xf>
    <xf numFmtId="0" fontId="3" fillId="163" borderId="78" xfId="0" applyFont="1" applyFill="1" applyBorder="1" applyAlignment="1">
      <alignment horizontal="center" vertical="center" wrapText="1"/>
    </xf>
    <xf numFmtId="0" fontId="3" fillId="163" borderId="11" xfId="0" applyFont="1" applyFill="1" applyBorder="1" applyAlignment="1">
      <alignment horizontal="center" vertical="center" wrapText="1"/>
    </xf>
    <xf numFmtId="0" fontId="3" fillId="163" borderId="79" xfId="0" applyFont="1" applyFill="1" applyBorder="1" applyAlignment="1">
      <alignment horizontal="center" vertical="center" wrapText="1"/>
    </xf>
    <xf numFmtId="0" fontId="5" fillId="163" borderId="74" xfId="0" applyFont="1" applyFill="1" applyBorder="1" applyAlignment="1">
      <alignment horizontal="center" vertical="center" wrapText="1"/>
    </xf>
    <xf numFmtId="0" fontId="5" fillId="163" borderId="52" xfId="0" applyFont="1" applyFill="1" applyBorder="1" applyAlignment="1">
      <alignment horizontal="center" vertical="center" wrapText="1"/>
    </xf>
    <xf numFmtId="10" fontId="6" fillId="163" borderId="52" xfId="0" applyNumberFormat="1" applyFont="1" applyFill="1" applyBorder="1" applyAlignment="1">
      <alignment horizontal="center" vertical="center"/>
    </xf>
    <xf numFmtId="10" fontId="6" fillId="163" borderId="75" xfId="0" applyNumberFormat="1" applyFont="1" applyFill="1" applyBorder="1" applyAlignment="1">
      <alignment horizontal="center" vertical="center"/>
    </xf>
    <xf numFmtId="0" fontId="15" fillId="164" borderId="80" xfId="0" applyFont="1" applyFill="1" applyBorder="1" applyAlignment="1">
      <alignment horizontal="center" vertical="center" textRotation="90"/>
    </xf>
    <xf numFmtId="0" fontId="15" fillId="164" borderId="84" xfId="0" applyFont="1" applyFill="1" applyBorder="1" applyAlignment="1">
      <alignment horizontal="center" vertical="center" textRotation="90"/>
    </xf>
    <xf numFmtId="0" fontId="38" fillId="162" borderId="81" xfId="0" applyFont="1" applyFill="1" applyBorder="1" applyAlignment="1">
      <alignment horizontal="center" vertical="center"/>
    </xf>
    <xf numFmtId="0" fontId="38" fillId="162" borderId="82" xfId="0" applyFont="1" applyFill="1" applyBorder="1" applyAlignment="1">
      <alignment horizontal="center" vertical="center"/>
    </xf>
    <xf numFmtId="0" fontId="38" fillId="162" borderId="83" xfId="0" applyFont="1" applyFill="1" applyBorder="1" applyAlignment="1">
      <alignment horizontal="center" vertical="center"/>
    </xf>
    <xf numFmtId="0" fontId="15" fillId="28" borderId="80" xfId="0" applyFont="1" applyFill="1" applyBorder="1" applyAlignment="1">
      <alignment horizontal="center" vertical="center" textRotation="90"/>
    </xf>
    <xf numFmtId="0" fontId="15" fillId="28" borderId="84" xfId="0" applyFont="1" applyFill="1" applyBorder="1" applyAlignment="1">
      <alignment horizontal="center" vertical="center" textRotation="90"/>
    </xf>
    <xf numFmtId="0" fontId="5" fillId="165" borderId="74" xfId="0" applyFont="1" applyFill="1" applyBorder="1" applyAlignment="1">
      <alignment horizontal="center" vertical="center" wrapText="1"/>
    </xf>
    <xf numFmtId="0" fontId="5" fillId="165" borderId="52" xfId="0" applyFont="1" applyFill="1" applyBorder="1" applyAlignment="1">
      <alignment horizontal="center" vertical="center" wrapText="1"/>
    </xf>
    <xf numFmtId="10" fontId="6" fillId="165" borderId="52" xfId="0" applyNumberFormat="1" applyFont="1" applyFill="1" applyBorder="1" applyAlignment="1">
      <alignment horizontal="center" vertical="center"/>
    </xf>
    <xf numFmtId="10" fontId="6" fillId="165" borderId="75" xfId="0" applyNumberFormat="1" applyFont="1" applyFill="1" applyBorder="1" applyAlignment="1">
      <alignment horizontal="center" vertical="center"/>
    </xf>
    <xf numFmtId="0" fontId="5" fillId="27" borderId="74" xfId="0" applyFont="1" applyFill="1" applyBorder="1" applyAlignment="1">
      <alignment horizontal="center" vertical="center" wrapText="1"/>
    </xf>
    <xf numFmtId="0" fontId="5" fillId="27" borderId="52" xfId="0" applyFont="1" applyFill="1" applyBorder="1" applyAlignment="1">
      <alignment horizontal="center" vertical="center" wrapText="1"/>
    </xf>
    <xf numFmtId="10" fontId="6" fillId="27" borderId="52" xfId="0" applyNumberFormat="1" applyFont="1" applyFill="1" applyBorder="1" applyAlignment="1">
      <alignment horizontal="center" vertical="center"/>
    </xf>
    <xf numFmtId="10" fontId="6" fillId="27" borderId="75" xfId="0" applyNumberFormat="1" applyFont="1" applyFill="1" applyBorder="1" applyAlignment="1">
      <alignment horizontal="center" vertical="center"/>
    </xf>
    <xf numFmtId="0" fontId="15" fillId="166" borderId="80" xfId="0" applyFont="1" applyFill="1" applyBorder="1" applyAlignment="1">
      <alignment horizontal="center" vertical="center" textRotation="90"/>
    </xf>
    <xf numFmtId="0" fontId="15" fillId="166" borderId="84" xfId="0" applyFont="1" applyFill="1" applyBorder="1" applyAlignment="1">
      <alignment horizontal="center" vertical="center" textRotation="90"/>
    </xf>
    <xf numFmtId="0" fontId="13" fillId="152" borderId="91" xfId="0" applyFont="1" applyFill="1" applyBorder="1" applyAlignment="1">
      <alignment horizontal="center" vertical="center" wrapText="1"/>
    </xf>
    <xf numFmtId="0" fontId="13" fillId="152" borderId="16" xfId="0" applyFont="1" applyFill="1" applyBorder="1" applyAlignment="1">
      <alignment horizontal="center" vertical="center" wrapText="1"/>
    </xf>
    <xf numFmtId="0" fontId="13" fillId="152" borderId="90" xfId="0" applyFont="1" applyFill="1" applyBorder="1" applyAlignment="1">
      <alignment horizontal="center" vertical="center" wrapText="1"/>
    </xf>
    <xf numFmtId="0" fontId="13" fillId="152" borderId="76" xfId="0" applyFont="1" applyFill="1" applyBorder="1" applyAlignment="1">
      <alignment horizontal="center" vertical="center" wrapText="1"/>
    </xf>
    <xf numFmtId="0" fontId="13" fillId="152" borderId="0" xfId="0" applyFont="1" applyFill="1" applyAlignment="1">
      <alignment horizontal="center" vertical="center" wrapText="1"/>
    </xf>
    <xf numFmtId="0" fontId="13" fillId="152" borderId="77" xfId="0" applyFont="1" applyFill="1" applyBorder="1" applyAlignment="1">
      <alignment horizontal="center" vertical="center" wrapText="1"/>
    </xf>
    <xf numFmtId="0" fontId="13" fillId="152" borderId="78" xfId="0" applyFont="1" applyFill="1" applyBorder="1" applyAlignment="1">
      <alignment horizontal="center" vertical="center" wrapText="1"/>
    </xf>
    <xf numFmtId="0" fontId="13" fillId="152" borderId="11" xfId="0" applyFont="1" applyFill="1" applyBorder="1" applyAlignment="1">
      <alignment horizontal="center" vertical="center" wrapText="1"/>
    </xf>
    <xf numFmtId="0" fontId="13" fillId="152" borderId="79" xfId="0" applyFont="1" applyFill="1" applyBorder="1" applyAlignment="1">
      <alignment horizontal="center" vertical="center" wrapText="1"/>
    </xf>
    <xf numFmtId="0" fontId="5" fillId="167" borderId="74" xfId="0" applyFont="1" applyFill="1" applyBorder="1" applyAlignment="1">
      <alignment horizontal="center" vertical="center" wrapText="1"/>
    </xf>
    <xf numFmtId="0" fontId="5" fillId="167" borderId="52" xfId="0" applyFont="1" applyFill="1" applyBorder="1" applyAlignment="1">
      <alignment horizontal="center" vertical="center" wrapText="1"/>
    </xf>
    <xf numFmtId="10" fontId="6" fillId="167" borderId="52" xfId="0" applyNumberFormat="1" applyFont="1" applyFill="1" applyBorder="1" applyAlignment="1">
      <alignment horizontal="center" vertical="center"/>
    </xf>
    <xf numFmtId="10" fontId="6" fillId="167" borderId="75" xfId="0" applyNumberFormat="1" applyFont="1" applyFill="1" applyBorder="1" applyAlignment="1">
      <alignment horizontal="center" vertical="center"/>
    </xf>
    <xf numFmtId="0" fontId="15" fillId="168" borderId="80" xfId="0" applyFont="1" applyFill="1" applyBorder="1" applyAlignment="1">
      <alignment horizontal="center" vertical="center" textRotation="90"/>
    </xf>
    <xf numFmtId="0" fontId="15" fillId="168" borderId="84" xfId="0" applyFont="1" applyFill="1" applyBorder="1" applyAlignment="1">
      <alignment horizontal="center" vertical="center" textRotation="90"/>
    </xf>
    <xf numFmtId="0" fontId="15" fillId="170" borderId="80" xfId="0" applyFont="1" applyFill="1" applyBorder="1" applyAlignment="1">
      <alignment horizontal="center" vertical="center" textRotation="90"/>
    </xf>
    <xf numFmtId="0" fontId="15" fillId="170" borderId="84" xfId="0" applyFont="1" applyFill="1" applyBorder="1" applyAlignment="1">
      <alignment horizontal="center" vertical="center" textRotation="90"/>
    </xf>
    <xf numFmtId="0" fontId="5" fillId="169" borderId="74" xfId="0" applyFont="1" applyFill="1" applyBorder="1" applyAlignment="1">
      <alignment horizontal="center" vertical="center" wrapText="1"/>
    </xf>
    <xf numFmtId="0" fontId="5" fillId="169" borderId="52" xfId="0" applyFont="1" applyFill="1" applyBorder="1" applyAlignment="1">
      <alignment horizontal="center" vertical="center" wrapText="1"/>
    </xf>
    <xf numFmtId="10" fontId="6" fillId="169" borderId="52" xfId="0" applyNumberFormat="1" applyFont="1" applyFill="1" applyBorder="1" applyAlignment="1">
      <alignment horizontal="center" vertical="center"/>
    </xf>
    <xf numFmtId="10" fontId="6" fillId="169" borderId="75" xfId="0" applyNumberFormat="1" applyFont="1" applyFill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10" fontId="12" fillId="0" borderId="52" xfId="0" applyNumberFormat="1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10" fontId="12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textRotation="90"/>
    </xf>
    <xf numFmtId="0" fontId="43" fillId="0" borderId="0" xfId="0" applyFont="1" applyAlignment="1">
      <alignment horizontal="center" vertical="center"/>
    </xf>
    <xf numFmtId="0" fontId="3" fillId="96" borderId="91" xfId="0" applyFont="1" applyFill="1" applyBorder="1" applyAlignment="1">
      <alignment horizontal="center" vertical="center" wrapText="1"/>
    </xf>
    <xf numFmtId="0" fontId="3" fillId="96" borderId="16" xfId="0" applyFont="1" applyFill="1" applyBorder="1" applyAlignment="1">
      <alignment horizontal="center" vertical="center" wrapText="1"/>
    </xf>
    <xf numFmtId="0" fontId="3" fillId="96" borderId="76" xfId="0" applyFont="1" applyFill="1" applyBorder="1" applyAlignment="1">
      <alignment horizontal="center" vertical="center" wrapText="1"/>
    </xf>
    <xf numFmtId="0" fontId="3" fillId="96" borderId="0" xfId="0" applyFont="1" applyFill="1" applyAlignment="1">
      <alignment horizontal="center" vertical="center" wrapText="1"/>
    </xf>
    <xf numFmtId="0" fontId="3" fillId="96" borderId="78" xfId="0" applyFont="1" applyFill="1" applyBorder="1" applyAlignment="1">
      <alignment horizontal="center" vertical="center" wrapText="1"/>
    </xf>
    <xf numFmtId="0" fontId="3" fillId="96" borderId="11" xfId="0" applyFont="1" applyFill="1" applyBorder="1" applyAlignment="1">
      <alignment horizontal="center" vertical="center" wrapText="1"/>
    </xf>
    <xf numFmtId="0" fontId="12" fillId="96" borderId="15" xfId="0" applyFont="1" applyFill="1" applyBorder="1" applyAlignment="1">
      <alignment horizontal="center" vertical="center" wrapText="1"/>
    </xf>
    <xf numFmtId="0" fontId="12" fillId="96" borderId="16" xfId="0" applyFont="1" applyFill="1" applyBorder="1" applyAlignment="1">
      <alignment horizontal="center" vertical="center" wrapText="1"/>
    </xf>
    <xf numFmtId="0" fontId="12" fillId="96" borderId="90" xfId="0" applyFont="1" applyFill="1" applyBorder="1" applyAlignment="1">
      <alignment horizontal="center" vertical="center" wrapText="1"/>
    </xf>
    <xf numFmtId="0" fontId="12" fillId="96" borderId="34" xfId="0" applyFont="1" applyFill="1" applyBorder="1" applyAlignment="1">
      <alignment horizontal="center" vertical="center" wrapText="1"/>
    </xf>
    <xf numFmtId="0" fontId="12" fillId="96" borderId="0" xfId="0" applyFont="1" applyFill="1" applyAlignment="1">
      <alignment horizontal="center" vertical="center" wrapText="1"/>
    </xf>
    <xf numFmtId="0" fontId="12" fillId="96" borderId="77" xfId="0" applyFont="1" applyFill="1" applyBorder="1" applyAlignment="1">
      <alignment horizontal="center" vertical="center" wrapText="1"/>
    </xf>
    <xf numFmtId="0" fontId="12" fillId="96" borderId="22" xfId="0" applyFont="1" applyFill="1" applyBorder="1" applyAlignment="1">
      <alignment horizontal="center" vertical="center" wrapText="1"/>
    </xf>
    <xf numFmtId="0" fontId="12" fillId="96" borderId="11" xfId="0" applyFont="1" applyFill="1" applyBorder="1" applyAlignment="1">
      <alignment horizontal="center" vertical="center" wrapText="1"/>
    </xf>
    <xf numFmtId="0" fontId="12" fillId="96" borderId="79" xfId="0" applyFont="1" applyFill="1" applyBorder="1" applyAlignment="1">
      <alignment horizontal="center" vertical="center" wrapText="1"/>
    </xf>
    <xf numFmtId="0" fontId="38" fillId="109" borderId="81" xfId="0" applyFont="1" applyFill="1" applyBorder="1" applyAlignment="1">
      <alignment horizontal="center" vertical="center"/>
    </xf>
    <xf numFmtId="0" fontId="38" fillId="109" borderId="82" xfId="0" applyFont="1" applyFill="1" applyBorder="1" applyAlignment="1">
      <alignment horizontal="center" vertical="center"/>
    </xf>
    <xf numFmtId="0" fontId="38" fillId="109" borderId="83" xfId="0" applyFont="1" applyFill="1" applyBorder="1" applyAlignment="1">
      <alignment horizontal="center" vertical="center"/>
    </xf>
    <xf numFmtId="0" fontId="44" fillId="0" borderId="0" xfId="0" applyFont="1" applyAlignment="1">
      <alignment horizontal="center" vertical="center" wrapText="1"/>
    </xf>
    <xf numFmtId="2" fontId="44" fillId="0" borderId="0" xfId="0" applyNumberFormat="1" applyFont="1" applyAlignment="1">
      <alignment horizontal="center" vertical="center" wrapText="1"/>
    </xf>
    <xf numFmtId="0" fontId="46" fillId="0" borderId="0" xfId="0" applyFont="1" applyAlignment="1">
      <alignment horizontal="center" vertical="center" wrapText="1"/>
    </xf>
    <xf numFmtId="0" fontId="47" fillId="0" borderId="0" xfId="0" applyFont="1" applyAlignment="1">
      <alignment horizontal="right" vertical="center"/>
    </xf>
    <xf numFmtId="0" fontId="48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top"/>
    </xf>
    <xf numFmtId="49" fontId="47" fillId="0" borderId="0" xfId="0" applyNumberFormat="1" applyFont="1" applyAlignment="1">
      <alignment horizontal="center" vertical="center" wrapText="1"/>
    </xf>
    <xf numFmtId="49" fontId="48" fillId="0" borderId="0" xfId="0" applyNumberFormat="1" applyFont="1" applyAlignment="1">
      <alignment horizontal="center" vertical="center" wrapText="1"/>
    </xf>
    <xf numFmtId="164" fontId="49" fillId="0" borderId="0" xfId="0" applyNumberFormat="1" applyFont="1" applyAlignment="1">
      <alignment horizontal="center" vertical="center" wrapText="1"/>
    </xf>
    <xf numFmtId="2" fontId="49" fillId="0" borderId="0" xfId="0" applyNumberFormat="1" applyFont="1" applyAlignment="1">
      <alignment horizontal="center" vertical="center"/>
    </xf>
    <xf numFmtId="0" fontId="50" fillId="0" borderId="0" xfId="0" applyFont="1" applyAlignment="1">
      <alignment horizontal="center" vertical="center" wrapText="1"/>
    </xf>
    <xf numFmtId="0" fontId="47" fillId="0" borderId="0" xfId="0" applyFont="1" applyAlignment="1">
      <alignment horizontal="center" vertical="top"/>
    </xf>
    <xf numFmtId="0" fontId="5" fillId="0" borderId="52" xfId="0" applyFont="1" applyBorder="1" applyAlignment="1">
      <alignment horizontal="center" vertical="center" wrapText="1"/>
    </xf>
    <xf numFmtId="10" fontId="6" fillId="0" borderId="52" xfId="0" applyNumberFormat="1" applyFont="1" applyBorder="1" applyAlignment="1">
      <alignment horizontal="center" vertical="center"/>
    </xf>
    <xf numFmtId="0" fontId="5" fillId="0" borderId="7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3" fillId="0" borderId="76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textRotation="90"/>
    </xf>
    <xf numFmtId="0" fontId="38" fillId="0" borderId="0" xfId="0" applyFont="1" applyAlignment="1">
      <alignment horizontal="center" vertical="center"/>
    </xf>
    <xf numFmtId="0" fontId="15" fillId="0" borderId="76" xfId="0" applyFont="1" applyBorder="1" applyAlignment="1">
      <alignment horizontal="center" vertical="center" textRotation="90"/>
    </xf>
    <xf numFmtId="0" fontId="5" fillId="0" borderId="0" xfId="0" applyFont="1" applyAlignment="1">
      <alignment horizontal="center" vertical="center" wrapText="1"/>
    </xf>
    <xf numFmtId="10" fontId="6" fillId="0" borderId="0" xfId="0" applyNumberFormat="1" applyFont="1" applyAlignment="1">
      <alignment horizontal="center" vertical="center"/>
    </xf>
    <xf numFmtId="0" fontId="12" fillId="0" borderId="76" xfId="0" applyFont="1" applyBorder="1" applyAlignment="1">
      <alignment horizontal="center" vertical="center" wrapText="1"/>
    </xf>
    <xf numFmtId="49" fontId="49" fillId="0" borderId="0" xfId="0" applyNumberFormat="1" applyFont="1" applyAlignment="1">
      <alignment horizontal="center" vertical="center" wrapText="1"/>
    </xf>
    <xf numFmtId="2" fontId="49" fillId="0" borderId="0" xfId="0" applyNumberFormat="1" applyFont="1" applyAlignment="1">
      <alignment horizontal="center" vertical="center" wrapText="1"/>
    </xf>
    <xf numFmtId="0" fontId="48" fillId="0" borderId="0" xfId="0" applyFont="1" applyAlignment="1">
      <alignment horizontal="center" vertical="center" wrapText="1"/>
    </xf>
    <xf numFmtId="2" fontId="48" fillId="0" borderId="0" xfId="0" applyNumberFormat="1" applyFont="1" applyAlignment="1">
      <alignment horizontal="center" vertical="center" wrapText="1"/>
    </xf>
    <xf numFmtId="2" fontId="16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0" fontId="34" fillId="0" borderId="15" xfId="0" applyNumberFormat="1" applyFont="1" applyBorder="1" applyAlignment="1">
      <alignment horizontal="center" vertical="center"/>
    </xf>
    <xf numFmtId="10" fontId="34" fillId="0" borderId="16" xfId="0" applyNumberFormat="1" applyFont="1" applyBorder="1" applyAlignment="1">
      <alignment horizontal="center" vertical="center"/>
    </xf>
    <xf numFmtId="10" fontId="34" fillId="0" borderId="57" xfId="0" applyNumberFormat="1" applyFont="1" applyBorder="1" applyAlignment="1">
      <alignment horizontal="center" vertical="center"/>
    </xf>
    <xf numFmtId="10" fontId="34" fillId="0" borderId="34" xfId="0" applyNumberFormat="1" applyFont="1" applyBorder="1" applyAlignment="1">
      <alignment horizontal="center" vertical="center"/>
    </xf>
    <xf numFmtId="10" fontId="34" fillId="0" borderId="0" xfId="0" applyNumberFormat="1" applyFont="1" applyAlignment="1">
      <alignment horizontal="center" vertical="center"/>
    </xf>
    <xf numFmtId="10" fontId="34" fillId="0" borderId="58" xfId="0" applyNumberFormat="1" applyFont="1" applyBorder="1" applyAlignment="1">
      <alignment horizontal="center" vertical="center"/>
    </xf>
    <xf numFmtId="10" fontId="34" fillId="0" borderId="22" xfId="0" applyNumberFormat="1" applyFont="1" applyBorder="1" applyAlignment="1">
      <alignment horizontal="center" vertical="center"/>
    </xf>
    <xf numFmtId="10" fontId="34" fillId="0" borderId="11" xfId="0" applyNumberFormat="1" applyFont="1" applyBorder="1" applyAlignment="1">
      <alignment horizontal="center" vertical="center"/>
    </xf>
    <xf numFmtId="10" fontId="34" fillId="0" borderId="59" xfId="0" applyNumberFormat="1" applyFont="1" applyBorder="1" applyAlignment="1">
      <alignment horizontal="center" vertical="center"/>
    </xf>
    <xf numFmtId="0" fontId="58" fillId="0" borderId="0" xfId="0" applyFont="1" applyAlignment="1">
      <alignment horizontal="center"/>
    </xf>
    <xf numFmtId="0" fontId="58" fillId="0" borderId="11" xfId="0" applyFont="1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160" fillId="0" borderId="14" xfId="0" applyFont="1" applyBorder="1" applyAlignment="1">
      <alignment horizontal="center" vertical="center"/>
    </xf>
    <xf numFmtId="0" fontId="37" fillId="0" borderId="14" xfId="0" applyFont="1" applyBorder="1" applyAlignment="1">
      <alignment horizontal="center" vertical="center"/>
    </xf>
    <xf numFmtId="0" fontId="37" fillId="0" borderId="23" xfId="0" applyFont="1" applyBorder="1" applyAlignment="1">
      <alignment horizontal="center" vertical="center"/>
    </xf>
    <xf numFmtId="0" fontId="37" fillId="0" borderId="19" xfId="0" applyFont="1" applyBorder="1" applyAlignment="1">
      <alignment horizontal="center" vertical="center"/>
    </xf>
    <xf numFmtId="0" fontId="37" fillId="0" borderId="24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3" fillId="96" borderId="90" xfId="0" applyFont="1" applyFill="1" applyBorder="1" applyAlignment="1">
      <alignment horizontal="center" vertical="center" wrapText="1"/>
    </xf>
    <xf numFmtId="0" fontId="3" fillId="96" borderId="77" xfId="0" applyFont="1" applyFill="1" applyBorder="1" applyAlignment="1">
      <alignment horizontal="center" vertical="center" wrapText="1"/>
    </xf>
    <xf numFmtId="0" fontId="3" fillId="96" borderId="79" xfId="0" applyFont="1" applyFill="1" applyBorder="1" applyAlignment="1">
      <alignment horizontal="center" vertical="center" wrapText="1"/>
    </xf>
    <xf numFmtId="0" fontId="3" fillId="171" borderId="91" xfId="0" applyFont="1" applyFill="1" applyBorder="1" applyAlignment="1">
      <alignment horizontal="center" vertical="center" wrapText="1"/>
    </xf>
    <xf numFmtId="0" fontId="3" fillId="171" borderId="16" xfId="0" applyFont="1" applyFill="1" applyBorder="1" applyAlignment="1">
      <alignment horizontal="center" vertical="center" wrapText="1"/>
    </xf>
    <xf numFmtId="0" fontId="3" fillId="171" borderId="90" xfId="0" applyFont="1" applyFill="1" applyBorder="1" applyAlignment="1">
      <alignment horizontal="center" vertical="center" wrapText="1"/>
    </xf>
    <xf numFmtId="0" fontId="3" fillId="171" borderId="76" xfId="0" applyFont="1" applyFill="1" applyBorder="1" applyAlignment="1">
      <alignment horizontal="center" vertical="center" wrapText="1"/>
    </xf>
    <xf numFmtId="0" fontId="3" fillId="171" borderId="0" xfId="0" applyFont="1" applyFill="1" applyAlignment="1">
      <alignment horizontal="center" vertical="center" wrapText="1"/>
    </xf>
    <xf numFmtId="0" fontId="3" fillId="171" borderId="77" xfId="0" applyFont="1" applyFill="1" applyBorder="1" applyAlignment="1">
      <alignment horizontal="center" vertical="center" wrapText="1"/>
    </xf>
    <xf numFmtId="0" fontId="3" fillId="171" borderId="78" xfId="0" applyFont="1" applyFill="1" applyBorder="1" applyAlignment="1">
      <alignment horizontal="center" vertical="center" wrapText="1"/>
    </xf>
    <xf numFmtId="0" fontId="3" fillId="171" borderId="11" xfId="0" applyFont="1" applyFill="1" applyBorder="1" applyAlignment="1">
      <alignment horizontal="center" vertical="center" wrapText="1"/>
    </xf>
    <xf numFmtId="0" fontId="3" fillId="171" borderId="79" xfId="0" applyFont="1" applyFill="1" applyBorder="1" applyAlignment="1">
      <alignment horizontal="center" vertical="center" wrapText="1"/>
    </xf>
    <xf numFmtId="0" fontId="3" fillId="107" borderId="91" xfId="0" applyFont="1" applyFill="1" applyBorder="1" applyAlignment="1">
      <alignment horizontal="center" vertical="center" wrapText="1"/>
    </xf>
    <xf numFmtId="0" fontId="3" fillId="107" borderId="16" xfId="0" applyFont="1" applyFill="1" applyBorder="1" applyAlignment="1">
      <alignment horizontal="center" vertical="center" wrapText="1"/>
    </xf>
    <xf numFmtId="0" fontId="3" fillId="107" borderId="90" xfId="0" applyFont="1" applyFill="1" applyBorder="1" applyAlignment="1">
      <alignment horizontal="center" vertical="center" wrapText="1"/>
    </xf>
    <xf numFmtId="0" fontId="3" fillId="107" borderId="76" xfId="0" applyFont="1" applyFill="1" applyBorder="1" applyAlignment="1">
      <alignment horizontal="center" vertical="center" wrapText="1"/>
    </xf>
    <xf numFmtId="0" fontId="3" fillId="107" borderId="0" xfId="0" applyFont="1" applyFill="1" applyAlignment="1">
      <alignment horizontal="center" vertical="center" wrapText="1"/>
    </xf>
    <xf numFmtId="0" fontId="3" fillId="107" borderId="77" xfId="0" applyFont="1" applyFill="1" applyBorder="1" applyAlignment="1">
      <alignment horizontal="center" vertical="center" wrapText="1"/>
    </xf>
    <xf numFmtId="0" fontId="3" fillId="107" borderId="78" xfId="0" applyFont="1" applyFill="1" applyBorder="1" applyAlignment="1">
      <alignment horizontal="center" vertical="center" wrapText="1"/>
    </xf>
    <xf numFmtId="0" fontId="3" fillId="107" borderId="11" xfId="0" applyFont="1" applyFill="1" applyBorder="1" applyAlignment="1">
      <alignment horizontal="center" vertical="center" wrapText="1"/>
    </xf>
    <xf numFmtId="0" fontId="3" fillId="107" borderId="79" xfId="0" applyFont="1" applyFill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/>
    </xf>
    <xf numFmtId="0" fontId="33" fillId="0" borderId="74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75" xfId="0" applyFont="1" applyBorder="1" applyAlignment="1">
      <alignment horizontal="center" vertical="center"/>
    </xf>
    <xf numFmtId="0" fontId="33" fillId="0" borderId="76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3" fillId="0" borderId="77" xfId="0" applyFont="1" applyBorder="1" applyAlignment="1">
      <alignment horizontal="center" vertical="center"/>
    </xf>
    <xf numFmtId="0" fontId="33" fillId="0" borderId="88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89" xfId="0" applyFont="1" applyBorder="1" applyAlignment="1">
      <alignment horizontal="center" vertical="center"/>
    </xf>
    <xf numFmtId="0" fontId="148" fillId="21" borderId="30" xfId="0" applyFont="1" applyFill="1" applyBorder="1" applyAlignment="1">
      <alignment horizontal="center" vertical="center" wrapText="1"/>
    </xf>
    <xf numFmtId="0" fontId="148" fillId="21" borderId="57" xfId="0" applyFont="1" applyFill="1" applyBorder="1" applyAlignment="1">
      <alignment horizontal="center" vertical="center" wrapText="1"/>
    </xf>
    <xf numFmtId="0" fontId="148" fillId="21" borderId="36" xfId="0" applyFont="1" applyFill="1" applyBorder="1" applyAlignment="1">
      <alignment horizontal="center" vertical="center" wrapText="1"/>
    </xf>
    <xf numFmtId="0" fontId="148" fillId="21" borderId="58" xfId="0" applyFont="1" applyFill="1" applyBorder="1" applyAlignment="1">
      <alignment horizontal="center" vertical="center" wrapText="1"/>
    </xf>
    <xf numFmtId="0" fontId="148" fillId="21" borderId="41" xfId="0" applyFont="1" applyFill="1" applyBorder="1" applyAlignment="1">
      <alignment horizontal="center" vertical="center" wrapText="1"/>
    </xf>
    <xf numFmtId="0" fontId="148" fillId="21" borderId="163" xfId="0" applyFont="1" applyFill="1" applyBorder="1" applyAlignment="1">
      <alignment horizontal="center" vertical="center" wrapText="1"/>
    </xf>
    <xf numFmtId="0" fontId="150" fillId="21" borderId="15" xfId="0" applyFont="1" applyFill="1" applyBorder="1" applyAlignment="1">
      <alignment horizontal="center" vertical="center"/>
    </xf>
    <xf numFmtId="0" fontId="150" fillId="21" borderId="57" xfId="0" applyFont="1" applyFill="1" applyBorder="1" applyAlignment="1">
      <alignment horizontal="center" vertical="center"/>
    </xf>
    <xf numFmtId="0" fontId="150" fillId="21" borderId="34" xfId="0" applyFont="1" applyFill="1" applyBorder="1" applyAlignment="1">
      <alignment horizontal="center" vertical="center"/>
    </xf>
    <xf numFmtId="0" fontId="150" fillId="21" borderId="58" xfId="0" applyFont="1" applyFill="1" applyBorder="1" applyAlignment="1">
      <alignment horizontal="center" vertical="center"/>
    </xf>
    <xf numFmtId="0" fontId="150" fillId="21" borderId="38" xfId="0" applyFont="1" applyFill="1" applyBorder="1" applyAlignment="1">
      <alignment horizontal="center" vertical="center"/>
    </xf>
    <xf numFmtId="0" fontId="150" fillId="21" borderId="163" xfId="0" applyFont="1" applyFill="1" applyBorder="1" applyAlignment="1">
      <alignment horizontal="center" vertical="center"/>
    </xf>
    <xf numFmtId="0" fontId="14" fillId="22" borderId="15" xfId="0" applyFont="1" applyFill="1" applyBorder="1" applyAlignment="1">
      <alignment horizontal="center" vertical="center" wrapText="1"/>
    </xf>
    <xf numFmtId="0" fontId="14" fillId="22" borderId="16" xfId="0" applyFont="1" applyFill="1" applyBorder="1" applyAlignment="1">
      <alignment horizontal="center" vertical="center" wrapText="1"/>
    </xf>
    <xf numFmtId="0" fontId="14" fillId="22" borderId="57" xfId="0" applyFont="1" applyFill="1" applyBorder="1" applyAlignment="1">
      <alignment horizontal="center" vertical="center" wrapText="1"/>
    </xf>
    <xf numFmtId="0" fontId="14" fillId="22" borderId="34" xfId="0" applyFont="1" applyFill="1" applyBorder="1" applyAlignment="1">
      <alignment horizontal="center" vertical="center" wrapText="1"/>
    </xf>
    <xf numFmtId="0" fontId="14" fillId="22" borderId="0" xfId="0" applyFont="1" applyFill="1" applyAlignment="1">
      <alignment horizontal="center" vertical="center" wrapText="1"/>
    </xf>
    <xf numFmtId="0" fontId="14" fillId="22" borderId="58" xfId="0" applyFont="1" applyFill="1" applyBorder="1" applyAlignment="1">
      <alignment horizontal="center" vertical="center" wrapText="1"/>
    </xf>
    <xf numFmtId="0" fontId="14" fillId="22" borderId="38" xfId="0" applyFont="1" applyFill="1" applyBorder="1" applyAlignment="1">
      <alignment horizontal="center" vertical="center" wrapText="1"/>
    </xf>
    <xf numFmtId="0" fontId="14" fillId="22" borderId="42" xfId="0" applyFont="1" applyFill="1" applyBorder="1" applyAlignment="1">
      <alignment horizontal="center" vertical="center" wrapText="1"/>
    </xf>
    <xf numFmtId="0" fontId="14" fillId="22" borderId="163" xfId="0" applyFont="1" applyFill="1" applyBorder="1" applyAlignment="1">
      <alignment horizontal="center" vertical="center" wrapText="1"/>
    </xf>
    <xf numFmtId="0" fontId="8" fillId="20" borderId="23" xfId="0" quotePrefix="1" applyFont="1" applyFill="1" applyBorder="1" applyAlignment="1">
      <alignment horizontal="center" vertical="center"/>
    </xf>
    <xf numFmtId="0" fontId="8" fillId="20" borderId="19" xfId="0" quotePrefix="1" applyFont="1" applyFill="1" applyBorder="1" applyAlignment="1">
      <alignment horizontal="center" vertical="center"/>
    </xf>
    <xf numFmtId="0" fontId="8" fillId="20" borderId="61" xfId="0" quotePrefix="1" applyFont="1" applyFill="1" applyBorder="1" applyAlignment="1">
      <alignment horizontal="center" vertical="center"/>
    </xf>
    <xf numFmtId="0" fontId="12" fillId="20" borderId="18" xfId="0" applyFont="1" applyFill="1" applyBorder="1" applyAlignment="1">
      <alignment horizontal="center" vertical="center"/>
    </xf>
    <xf numFmtId="0" fontId="12" fillId="20" borderId="24" xfId="0" applyFont="1" applyFill="1" applyBorder="1" applyAlignment="1">
      <alignment horizontal="center" vertical="center"/>
    </xf>
    <xf numFmtId="0" fontId="150" fillId="21" borderId="15" xfId="0" applyFont="1" applyFill="1" applyBorder="1" applyAlignment="1">
      <alignment horizontal="center" vertical="center" wrapText="1"/>
    </xf>
    <xf numFmtId="0" fontId="150" fillId="21" borderId="16" xfId="0" applyFont="1" applyFill="1" applyBorder="1" applyAlignment="1">
      <alignment horizontal="center" vertical="center" wrapText="1"/>
    </xf>
    <xf numFmtId="0" fontId="150" fillId="21" borderId="17" xfId="0" applyFont="1" applyFill="1" applyBorder="1" applyAlignment="1">
      <alignment horizontal="center" vertical="center" wrapText="1"/>
    </xf>
    <xf numFmtId="0" fontId="150" fillId="21" borderId="34" xfId="0" applyFont="1" applyFill="1" applyBorder="1" applyAlignment="1">
      <alignment horizontal="center" vertical="center" wrapText="1"/>
    </xf>
    <xf numFmtId="0" fontId="150" fillId="21" borderId="0" xfId="0" applyFont="1" applyFill="1" applyAlignment="1">
      <alignment horizontal="center" vertical="center" wrapText="1"/>
    </xf>
    <xf numFmtId="0" fontId="150" fillId="21" borderId="55" xfId="0" applyFont="1" applyFill="1" applyBorder="1" applyAlignment="1">
      <alignment horizontal="center" vertical="center" wrapText="1"/>
    </xf>
    <xf numFmtId="0" fontId="150" fillId="21" borderId="38" xfId="0" applyFont="1" applyFill="1" applyBorder="1" applyAlignment="1">
      <alignment horizontal="center" vertical="center" wrapText="1"/>
    </xf>
    <xf numFmtId="0" fontId="150" fillId="21" borderId="42" xfId="0" applyFont="1" applyFill="1" applyBorder="1" applyAlignment="1">
      <alignment horizontal="center" vertical="center" wrapText="1"/>
    </xf>
    <xf numFmtId="0" fontId="150" fillId="21" borderId="313" xfId="0" applyFont="1" applyFill="1" applyBorder="1" applyAlignment="1">
      <alignment horizontal="center" vertical="center" wrapText="1"/>
    </xf>
    <xf numFmtId="0" fontId="8" fillId="22" borderId="21" xfId="0" applyFont="1" applyFill="1" applyBorder="1" applyAlignment="1">
      <alignment horizontal="center" vertical="center" wrapText="1"/>
    </xf>
    <xf numFmtId="0" fontId="8" fillId="22" borderId="98" xfId="0" applyFont="1" applyFill="1" applyBorder="1" applyAlignment="1">
      <alignment horizontal="center" vertical="center" wrapText="1"/>
    </xf>
    <xf numFmtId="0" fontId="12" fillId="22" borderId="96" xfId="0" applyFont="1" applyFill="1" applyBorder="1" applyAlignment="1">
      <alignment horizontal="center" vertical="center" wrapText="1"/>
    </xf>
    <xf numFmtId="0" fontId="12" fillId="22" borderId="97" xfId="0" applyFont="1" applyFill="1" applyBorder="1" applyAlignment="1">
      <alignment horizontal="center" vertical="center" wrapText="1"/>
    </xf>
    <xf numFmtId="0" fontId="12" fillId="22" borderId="147" xfId="0" applyFont="1" applyFill="1" applyBorder="1" applyAlignment="1">
      <alignment horizontal="center" vertical="center" wrapText="1"/>
    </xf>
    <xf numFmtId="0" fontId="8" fillId="22" borderId="25" xfId="0" applyFont="1" applyFill="1" applyBorder="1" applyAlignment="1">
      <alignment horizontal="center" vertical="center" textRotation="90" wrapText="1"/>
    </xf>
    <xf numFmtId="0" fontId="8" fillId="22" borderId="320" xfId="0" applyFont="1" applyFill="1" applyBorder="1" applyAlignment="1">
      <alignment horizontal="center" vertical="center" textRotation="90" wrapText="1"/>
    </xf>
    <xf numFmtId="0" fontId="8" fillId="20" borderId="19" xfId="0" applyFont="1" applyFill="1" applyBorder="1" applyAlignment="1">
      <alignment horizontal="center" vertical="center"/>
    </xf>
    <xf numFmtId="0" fontId="8" fillId="20" borderId="61" xfId="0" applyFont="1" applyFill="1" applyBorder="1" applyAlignment="1">
      <alignment horizontal="center" vertical="center"/>
    </xf>
    <xf numFmtId="0" fontId="12" fillId="20" borderId="88" xfId="0" applyFont="1" applyFill="1" applyBorder="1" applyAlignment="1">
      <alignment horizontal="center" vertical="center" wrapText="1"/>
    </xf>
    <xf numFmtId="0" fontId="12" fillId="20" borderId="163" xfId="0" applyFont="1" applyFill="1" applyBorder="1" applyAlignment="1">
      <alignment horizontal="center" vertical="center" wrapText="1"/>
    </xf>
    <xf numFmtId="0" fontId="12" fillId="20" borderId="141" xfId="0" applyFont="1" applyFill="1" applyBorder="1" applyAlignment="1">
      <alignment horizontal="center" vertical="center" wrapText="1"/>
    </xf>
    <xf numFmtId="0" fontId="12" fillId="20" borderId="24" xfId="0" applyFont="1" applyFill="1" applyBorder="1" applyAlignment="1">
      <alignment horizontal="center" vertical="center" wrapText="1"/>
    </xf>
    <xf numFmtId="0" fontId="60" fillId="20" borderId="23" xfId="0" quotePrefix="1" applyFont="1" applyFill="1" applyBorder="1" applyAlignment="1">
      <alignment horizontal="center" vertical="center" wrapText="1"/>
    </xf>
    <xf numFmtId="0" fontId="60" fillId="20" borderId="20" xfId="0" quotePrefix="1" applyFont="1" applyFill="1" applyBorder="1" applyAlignment="1">
      <alignment horizontal="center" vertical="center" wrapText="1"/>
    </xf>
    <xf numFmtId="0" fontId="25" fillId="17" borderId="15" xfId="0" applyFont="1" applyFill="1" applyBorder="1" applyAlignment="1">
      <alignment horizontal="center" vertical="center" wrapText="1"/>
    </xf>
    <xf numFmtId="0" fontId="25" fillId="17" borderId="22" xfId="0" applyFont="1" applyFill="1" applyBorder="1" applyAlignment="1">
      <alignment horizontal="center" vertical="center" wrapText="1"/>
    </xf>
    <xf numFmtId="0" fontId="25" fillId="17" borderId="30" xfId="0" applyFont="1" applyFill="1" applyBorder="1" applyAlignment="1">
      <alignment horizontal="center" vertical="center" wrapText="1"/>
    </xf>
    <xf numFmtId="0" fontId="25" fillId="17" borderId="57" xfId="0" applyFont="1" applyFill="1" applyBorder="1" applyAlignment="1">
      <alignment horizontal="center" vertical="center" wrapText="1"/>
    </xf>
    <xf numFmtId="0" fontId="25" fillId="17" borderId="10" xfId="0" applyFont="1" applyFill="1" applyBorder="1" applyAlignment="1">
      <alignment horizontal="center" vertical="center" wrapText="1"/>
    </xf>
    <xf numFmtId="0" fontId="25" fillId="17" borderId="59" xfId="0" applyFont="1" applyFill="1" applyBorder="1" applyAlignment="1">
      <alignment horizontal="center" vertical="center" wrapText="1"/>
    </xf>
    <xf numFmtId="0" fontId="25" fillId="17" borderId="91" xfId="0" applyFont="1" applyFill="1" applyBorder="1" applyAlignment="1">
      <alignment horizontal="center" vertical="center" wrapText="1"/>
    </xf>
    <xf numFmtId="0" fontId="25" fillId="17" borderId="78" xfId="0" applyFont="1" applyFill="1" applyBorder="1" applyAlignment="1">
      <alignment horizontal="center" vertical="center" wrapText="1"/>
    </xf>
    <xf numFmtId="0" fontId="25" fillId="17" borderId="16" xfId="0" applyFont="1" applyFill="1" applyBorder="1" applyAlignment="1">
      <alignment horizontal="center" vertical="center" wrapText="1"/>
    </xf>
    <xf numFmtId="0" fontId="25" fillId="17" borderId="11" xfId="0" applyFont="1" applyFill="1" applyBorder="1" applyAlignment="1">
      <alignment horizontal="center" vertical="center" wrapText="1"/>
    </xf>
    <xf numFmtId="0" fontId="8" fillId="20" borderId="23" xfId="0" quotePrefix="1" applyFont="1" applyFill="1" applyBorder="1" applyAlignment="1">
      <alignment horizontal="center" vertical="center" wrapText="1"/>
    </xf>
    <xf numFmtId="0" fontId="8" fillId="20" borderId="19" xfId="0" quotePrefix="1" applyFont="1" applyFill="1" applyBorder="1" applyAlignment="1">
      <alignment horizontal="center" vertical="center" wrapText="1"/>
    </xf>
    <xf numFmtId="0" fontId="25" fillId="17" borderId="14" xfId="0" applyFont="1" applyFill="1" applyBorder="1" applyAlignment="1">
      <alignment horizontal="center" vertical="center" wrapText="1"/>
    </xf>
    <xf numFmtId="0" fontId="3" fillId="14" borderId="47" xfId="0" applyFont="1" applyFill="1" applyBorder="1" applyAlignment="1">
      <alignment horizontal="center" vertical="center"/>
    </xf>
    <xf numFmtId="0" fontId="3" fillId="14" borderId="48" xfId="0" applyFont="1" applyFill="1" applyBorder="1" applyAlignment="1">
      <alignment horizontal="center" vertical="center"/>
    </xf>
    <xf numFmtId="0" fontId="3" fillId="14" borderId="50" xfId="0" applyFont="1" applyFill="1" applyBorder="1" applyAlignment="1">
      <alignment horizontal="center" vertical="center"/>
    </xf>
    <xf numFmtId="0" fontId="8" fillId="22" borderId="54" xfId="0" applyFont="1" applyFill="1" applyBorder="1" applyAlignment="1">
      <alignment horizontal="center" vertical="center" wrapText="1"/>
    </xf>
    <xf numFmtId="0" fontId="8" fillId="22" borderId="52" xfId="0" applyFont="1" applyFill="1" applyBorder="1" applyAlignment="1">
      <alignment horizontal="center" vertical="center" wrapText="1"/>
    </xf>
    <xf numFmtId="0" fontId="8" fillId="22" borderId="53" xfId="0" applyFont="1" applyFill="1" applyBorder="1" applyAlignment="1">
      <alignment horizontal="center" vertical="center" wrapText="1"/>
    </xf>
    <xf numFmtId="0" fontId="8" fillId="22" borderId="7" xfId="0" applyFont="1" applyFill="1" applyBorder="1" applyAlignment="1">
      <alignment horizontal="center" vertical="center" wrapText="1"/>
    </xf>
    <xf numFmtId="0" fontId="8" fillId="22" borderId="8" xfId="0" applyFont="1" applyFill="1" applyBorder="1" applyAlignment="1">
      <alignment horizontal="center" vertical="center" wrapText="1"/>
    </xf>
    <xf numFmtId="0" fontId="8" fillId="22" borderId="9" xfId="0" applyFont="1" applyFill="1" applyBorder="1" applyAlignment="1">
      <alignment horizontal="center" vertical="center" wrapText="1"/>
    </xf>
    <xf numFmtId="0" fontId="3" fillId="14" borderId="47" xfId="0" applyFont="1" applyFill="1" applyBorder="1" applyAlignment="1">
      <alignment horizontal="center" vertical="center" wrapText="1"/>
    </xf>
    <xf numFmtId="0" fontId="3" fillId="14" borderId="48" xfId="0" applyFont="1" applyFill="1" applyBorder="1" applyAlignment="1">
      <alignment horizontal="center" vertical="center" wrapText="1"/>
    </xf>
    <xf numFmtId="0" fontId="3" fillId="14" borderId="50" xfId="0" applyFont="1" applyFill="1" applyBorder="1" applyAlignment="1">
      <alignment horizontal="center" vertical="center" wrapText="1"/>
    </xf>
    <xf numFmtId="17" fontId="3" fillId="14" borderId="47" xfId="0" applyNumberFormat="1" applyFont="1" applyFill="1" applyBorder="1" applyAlignment="1">
      <alignment horizontal="center" vertical="center" wrapText="1"/>
    </xf>
    <xf numFmtId="17" fontId="3" fillId="14" borderId="48" xfId="0" applyNumberFormat="1" applyFont="1" applyFill="1" applyBorder="1" applyAlignment="1">
      <alignment horizontal="center" vertical="center" wrapText="1"/>
    </xf>
    <xf numFmtId="17" fontId="3" fillId="14" borderId="50" xfId="0" applyNumberFormat="1" applyFont="1" applyFill="1" applyBorder="1" applyAlignment="1">
      <alignment horizontal="center" vertical="center" wrapText="1"/>
    </xf>
    <xf numFmtId="0" fontId="5" fillId="21" borderId="47" xfId="0" applyFont="1" applyFill="1" applyBorder="1" applyAlignment="1">
      <alignment horizontal="center" vertical="center" wrapText="1"/>
    </xf>
    <xf numFmtId="0" fontId="5" fillId="21" borderId="48" xfId="0" applyFont="1" applyFill="1" applyBorder="1" applyAlignment="1">
      <alignment horizontal="center" vertical="center" wrapText="1"/>
    </xf>
    <xf numFmtId="0" fontId="5" fillId="21" borderId="50" xfId="0" applyFont="1" applyFill="1" applyBorder="1" applyAlignment="1">
      <alignment horizontal="center" vertical="center" wrapText="1"/>
    </xf>
    <xf numFmtId="0" fontId="3" fillId="21" borderId="54" xfId="0" applyFont="1" applyFill="1" applyBorder="1" applyAlignment="1">
      <alignment horizontal="center" vertical="center" wrapText="1"/>
    </xf>
    <xf numFmtId="0" fontId="3" fillId="21" borderId="52" xfId="0" applyFont="1" applyFill="1" applyBorder="1" applyAlignment="1">
      <alignment horizontal="center" vertical="center" wrapText="1"/>
    </xf>
    <xf numFmtId="0" fontId="3" fillId="21" borderId="36" xfId="0" applyFont="1" applyFill="1" applyBorder="1" applyAlignment="1">
      <alignment horizontal="center" vertical="center" wrapText="1"/>
    </xf>
    <xf numFmtId="0" fontId="3" fillId="21" borderId="0" xfId="0" applyFont="1" applyFill="1" applyAlignment="1">
      <alignment horizontal="center" vertical="center" wrapText="1"/>
    </xf>
    <xf numFmtId="0" fontId="3" fillId="21" borderId="7" xfId="0" applyFont="1" applyFill="1" applyBorder="1" applyAlignment="1">
      <alignment horizontal="center" vertical="center" wrapText="1"/>
    </xf>
    <xf numFmtId="0" fontId="3" fillId="21" borderId="8" xfId="0" applyFont="1" applyFill="1" applyBorder="1" applyAlignment="1">
      <alignment horizontal="center" vertical="center" wrapText="1"/>
    </xf>
    <xf numFmtId="0" fontId="3" fillId="21" borderId="53" xfId="0" applyFont="1" applyFill="1" applyBorder="1" applyAlignment="1">
      <alignment horizontal="center" vertical="center" wrapText="1"/>
    </xf>
    <xf numFmtId="0" fontId="3" fillId="21" borderId="55" xfId="0" applyFont="1" applyFill="1" applyBorder="1" applyAlignment="1">
      <alignment horizontal="center" vertical="center" wrapText="1"/>
    </xf>
    <xf numFmtId="0" fontId="3" fillId="21" borderId="9" xfId="0" applyFont="1" applyFill="1" applyBorder="1" applyAlignment="1">
      <alignment horizontal="center" vertical="center" wrapText="1"/>
    </xf>
    <xf numFmtId="0" fontId="60" fillId="3" borderId="0" xfId="0" applyFont="1" applyFill="1" applyAlignment="1">
      <alignment horizontal="center" vertical="center"/>
    </xf>
    <xf numFmtId="0" fontId="3" fillId="16" borderId="51" xfId="0" applyFont="1" applyFill="1" applyBorder="1" applyAlignment="1">
      <alignment horizontal="center" vertical="center" wrapText="1"/>
    </xf>
    <xf numFmtId="0" fontId="3" fillId="16" borderId="52" xfId="0" applyFont="1" applyFill="1" applyBorder="1" applyAlignment="1">
      <alignment horizontal="center" vertical="center" wrapText="1"/>
    </xf>
    <xf numFmtId="0" fontId="3" fillId="16" borderId="53" xfId="0" applyFont="1" applyFill="1" applyBorder="1" applyAlignment="1">
      <alignment horizontal="center" vertical="center" wrapText="1"/>
    </xf>
    <xf numFmtId="0" fontId="3" fillId="16" borderId="34" xfId="0" applyFont="1" applyFill="1" applyBorder="1" applyAlignment="1">
      <alignment horizontal="center" vertical="center" wrapText="1"/>
    </xf>
    <xf numFmtId="0" fontId="3" fillId="16" borderId="0" xfId="0" applyFont="1" applyFill="1" applyAlignment="1">
      <alignment horizontal="center" vertical="center" wrapText="1"/>
    </xf>
    <xf numFmtId="0" fontId="3" fillId="16" borderId="55" xfId="0" applyFont="1" applyFill="1" applyBorder="1" applyAlignment="1">
      <alignment horizontal="center" vertical="center" wrapText="1"/>
    </xf>
    <xf numFmtId="0" fontId="5" fillId="19" borderId="21" xfId="0" applyFont="1" applyFill="1" applyBorder="1" applyAlignment="1">
      <alignment horizontal="center" vertical="center" wrapText="1"/>
    </xf>
    <xf numFmtId="0" fontId="5" fillId="19" borderId="98" xfId="0" applyFont="1" applyFill="1" applyBorder="1" applyAlignment="1">
      <alignment horizontal="center" vertical="center" wrapText="1"/>
    </xf>
    <xf numFmtId="0" fontId="5" fillId="19" borderId="104" xfId="0" applyFont="1" applyFill="1" applyBorder="1" applyAlignment="1">
      <alignment horizontal="center" vertical="center" wrapText="1"/>
    </xf>
    <xf numFmtId="0" fontId="3" fillId="16" borderId="54" xfId="0" applyFont="1" applyFill="1" applyBorder="1" applyAlignment="1">
      <alignment horizontal="center" vertical="center" wrapText="1"/>
    </xf>
    <xf numFmtId="0" fontId="3" fillId="16" borderId="36" xfId="0" applyFont="1" applyFill="1" applyBorder="1" applyAlignment="1">
      <alignment horizontal="center" vertical="center" wrapText="1"/>
    </xf>
    <xf numFmtId="0" fontId="5" fillId="19" borderId="15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5" fillId="19" borderId="57" xfId="0" applyFont="1" applyFill="1" applyBorder="1" applyAlignment="1">
      <alignment horizontal="center" vertical="center" wrapText="1"/>
    </xf>
    <xf numFmtId="0" fontId="5" fillId="19" borderId="34" xfId="0" applyFont="1" applyFill="1" applyBorder="1" applyAlignment="1">
      <alignment horizontal="center" vertical="center" wrapText="1"/>
    </xf>
    <xf numFmtId="0" fontId="5" fillId="19" borderId="0" xfId="0" applyFont="1" applyFill="1" applyAlignment="1">
      <alignment horizontal="center" vertical="center" wrapText="1"/>
    </xf>
    <xf numFmtId="0" fontId="5" fillId="19" borderId="58" xfId="0" applyFont="1" applyFill="1" applyBorder="1" applyAlignment="1">
      <alignment horizontal="center" vertical="center" wrapText="1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1" xfId="0" applyFont="1" applyFill="1" applyBorder="1" applyAlignment="1">
      <alignment horizontal="center" vertical="center" wrapText="1"/>
    </xf>
    <xf numFmtId="0" fontId="5" fillId="19" borderId="59" xfId="0" applyFont="1" applyFill="1" applyBorder="1" applyAlignment="1">
      <alignment horizontal="center" vertical="center" wrapText="1"/>
    </xf>
    <xf numFmtId="0" fontId="3" fillId="14" borderId="42" xfId="0" applyFont="1" applyFill="1" applyBorder="1" applyAlignment="1">
      <alignment horizontal="center" vertical="center"/>
    </xf>
    <xf numFmtId="0" fontId="3" fillId="19" borderId="92" xfId="0" applyFont="1" applyFill="1" applyBorder="1" applyAlignment="1">
      <alignment horizontal="center" vertical="center" wrapText="1"/>
    </xf>
    <xf numFmtId="0" fontId="3" fillId="19" borderId="93" xfId="0" applyFont="1" applyFill="1" applyBorder="1" applyAlignment="1">
      <alignment horizontal="center" vertical="center" wrapText="1"/>
    </xf>
    <xf numFmtId="0" fontId="3" fillId="19" borderId="94" xfId="0" applyFont="1" applyFill="1" applyBorder="1" applyAlignment="1">
      <alignment horizontal="center" vertical="center" wrapText="1"/>
    </xf>
    <xf numFmtId="0" fontId="3" fillId="19" borderId="95" xfId="0" applyFont="1" applyFill="1" applyBorder="1" applyAlignment="1">
      <alignment horizontal="center" vertical="center" wrapText="1"/>
    </xf>
    <xf numFmtId="0" fontId="3" fillId="19" borderId="13" xfId="0" applyFont="1" applyFill="1" applyBorder="1" applyAlignment="1">
      <alignment horizontal="center" vertical="center" wrapText="1"/>
    </xf>
    <xf numFmtId="0" fontId="3" fillId="19" borderId="24" xfId="0" applyFont="1" applyFill="1" applyBorder="1" applyAlignment="1">
      <alignment horizontal="center" vertical="center" wrapText="1"/>
    </xf>
    <xf numFmtId="0" fontId="3" fillId="19" borderId="14" xfId="0" applyFont="1" applyFill="1" applyBorder="1" applyAlignment="1">
      <alignment horizontal="center" vertical="center" wrapText="1"/>
    </xf>
    <xf numFmtId="0" fontId="3" fillId="19" borderId="25" xfId="0" applyFont="1" applyFill="1" applyBorder="1" applyAlignment="1">
      <alignment horizontal="center" vertical="center" wrapText="1"/>
    </xf>
    <xf numFmtId="0" fontId="5" fillId="19" borderId="96" xfId="0" applyFont="1" applyFill="1" applyBorder="1" applyAlignment="1">
      <alignment horizontal="center" vertical="center" wrapText="1"/>
    </xf>
    <xf numFmtId="0" fontId="5" fillId="19" borderId="97" xfId="0" applyFont="1" applyFill="1" applyBorder="1" applyAlignment="1">
      <alignment horizontal="center" vertical="center" wrapText="1"/>
    </xf>
    <xf numFmtId="0" fontId="5" fillId="19" borderId="103" xfId="0" applyFont="1" applyFill="1" applyBorder="1" applyAlignment="1">
      <alignment horizontal="center" vertical="center" wrapText="1"/>
    </xf>
    <xf numFmtId="0" fontId="11" fillId="18" borderId="15" xfId="0" applyFont="1" applyFill="1" applyBorder="1" applyAlignment="1">
      <alignment horizontal="center" vertical="center" wrapText="1"/>
    </xf>
    <xf numFmtId="0" fontId="11" fillId="18" borderId="16" xfId="0" applyFont="1" applyFill="1" applyBorder="1" applyAlignment="1">
      <alignment horizontal="center" vertical="center" wrapText="1"/>
    </xf>
    <xf numFmtId="0" fontId="11" fillId="18" borderId="17" xfId="0" applyFont="1" applyFill="1" applyBorder="1" applyAlignment="1">
      <alignment horizontal="center" vertical="center" wrapText="1"/>
    </xf>
    <xf numFmtId="0" fontId="11" fillId="18" borderId="34" xfId="0" applyFont="1" applyFill="1" applyBorder="1" applyAlignment="1">
      <alignment horizontal="center" vertical="center" wrapText="1"/>
    </xf>
    <xf numFmtId="0" fontId="11" fillId="18" borderId="0" xfId="0" applyFont="1" applyFill="1" applyAlignment="1">
      <alignment horizontal="center" vertical="center" wrapText="1"/>
    </xf>
    <xf numFmtId="0" fontId="11" fillId="18" borderId="55" xfId="0" applyFont="1" applyFill="1" applyBorder="1" applyAlignment="1">
      <alignment horizontal="center" vertical="center" wrapText="1"/>
    </xf>
    <xf numFmtId="0" fontId="5" fillId="14" borderId="49" xfId="0" applyFont="1" applyFill="1" applyBorder="1" applyAlignment="1">
      <alignment horizontal="center" vertical="center"/>
    </xf>
    <xf numFmtId="0" fontId="5" fillId="14" borderId="48" xfId="0" applyFont="1" applyFill="1" applyBorder="1" applyAlignment="1">
      <alignment horizontal="center" vertical="center"/>
    </xf>
    <xf numFmtId="0" fontId="5" fillId="14" borderId="50" xfId="0" applyFont="1" applyFill="1" applyBorder="1" applyAlignment="1">
      <alignment horizontal="center" vertical="center"/>
    </xf>
    <xf numFmtId="0" fontId="11" fillId="18" borderId="30" xfId="0" applyFont="1" applyFill="1" applyBorder="1" applyAlignment="1">
      <alignment horizontal="center" vertical="center" wrapText="1"/>
    </xf>
    <xf numFmtId="0" fontId="11" fillId="18" borderId="57" xfId="0" applyFont="1" applyFill="1" applyBorder="1" applyAlignment="1">
      <alignment horizontal="center" vertical="center" wrapText="1"/>
    </xf>
    <xf numFmtId="0" fontId="11" fillId="18" borderId="36" xfId="0" applyFont="1" applyFill="1" applyBorder="1" applyAlignment="1">
      <alignment horizontal="center" vertical="center" wrapText="1"/>
    </xf>
    <xf numFmtId="0" fontId="11" fillId="18" borderId="58" xfId="0" applyFont="1" applyFill="1" applyBorder="1" applyAlignment="1">
      <alignment horizontal="center" vertical="center" wrapText="1"/>
    </xf>
    <xf numFmtId="0" fontId="11" fillId="18" borderId="10" xfId="0" applyFont="1" applyFill="1" applyBorder="1" applyAlignment="1">
      <alignment horizontal="center" vertical="center" wrapText="1"/>
    </xf>
    <xf numFmtId="0" fontId="11" fillId="18" borderId="59" xfId="0" applyFont="1" applyFill="1" applyBorder="1" applyAlignment="1">
      <alignment horizontal="center" vertical="center" wrapText="1"/>
    </xf>
    <xf numFmtId="0" fontId="11" fillId="18" borderId="22" xfId="0" applyFont="1" applyFill="1" applyBorder="1" applyAlignment="1">
      <alignment horizontal="center" vertical="center" wrapText="1"/>
    </xf>
    <xf numFmtId="0" fontId="12" fillId="11" borderId="144" xfId="0" quotePrefix="1" applyFont="1" applyFill="1" applyBorder="1" applyAlignment="1">
      <alignment horizontal="center" vertical="center" wrapText="1"/>
    </xf>
    <xf numFmtId="0" fontId="12" fillId="11" borderId="145" xfId="0" quotePrefix="1" applyFont="1" applyFill="1" applyBorder="1" applyAlignment="1">
      <alignment horizontal="center" vertical="center" wrapText="1"/>
    </xf>
    <xf numFmtId="0" fontId="12" fillId="11" borderId="146" xfId="0" quotePrefix="1" applyFont="1" applyFill="1" applyBorder="1" applyAlignment="1">
      <alignment horizontal="center" vertical="center" wrapText="1"/>
    </xf>
    <xf numFmtId="0" fontId="12" fillId="9" borderId="27" xfId="0" applyFont="1" applyFill="1" applyBorder="1" applyAlignment="1">
      <alignment horizontal="center" vertical="center" wrapText="1"/>
    </xf>
    <xf numFmtId="0" fontId="12" fillId="9" borderId="33" xfId="0" applyFont="1" applyFill="1" applyBorder="1" applyAlignment="1">
      <alignment horizontal="center" vertical="center" wrapText="1"/>
    </xf>
    <xf numFmtId="49" fontId="14" fillId="9" borderId="29" xfId="0" applyNumberFormat="1" applyFont="1" applyFill="1" applyBorder="1" applyAlignment="1">
      <alignment horizontal="center" vertical="center" wrapText="1"/>
    </xf>
    <xf numFmtId="49" fontId="14" fillId="9" borderId="32" xfId="0" applyNumberFormat="1" applyFont="1" applyFill="1" applyBorder="1" applyAlignment="1">
      <alignment horizontal="center" vertical="center" wrapText="1"/>
    </xf>
    <xf numFmtId="0" fontId="12" fillId="9" borderId="227" xfId="0" applyFont="1" applyFill="1" applyBorder="1" applyAlignment="1">
      <alignment horizontal="center" vertical="center" wrapText="1"/>
    </xf>
    <xf numFmtId="0" fontId="12" fillId="9" borderId="228" xfId="0" applyFont="1" applyFill="1" applyBorder="1" applyAlignment="1">
      <alignment horizontal="center" vertical="center" wrapText="1"/>
    </xf>
    <xf numFmtId="0" fontId="12" fillId="9" borderId="285" xfId="0" applyFont="1" applyFill="1" applyBorder="1" applyAlignment="1">
      <alignment horizontal="center" vertical="center" wrapText="1"/>
    </xf>
    <xf numFmtId="0" fontId="8" fillId="9" borderId="26" xfId="0" applyFont="1" applyFill="1" applyBorder="1" applyAlignment="1">
      <alignment horizontal="center" vertical="center" wrapText="1"/>
    </xf>
    <xf numFmtId="0" fontId="8" fillId="9" borderId="31" xfId="0" applyFont="1" applyFill="1" applyBorder="1" applyAlignment="1">
      <alignment horizontal="center" vertical="center" wrapText="1"/>
    </xf>
    <xf numFmtId="0" fontId="8" fillId="9" borderId="43" xfId="0" applyFont="1" applyFill="1" applyBorder="1" applyAlignment="1">
      <alignment horizontal="center" vertical="center" wrapText="1"/>
    </xf>
    <xf numFmtId="49" fontId="14" fillId="9" borderId="40" xfId="0" applyNumberFormat="1" applyFont="1" applyFill="1" applyBorder="1" applyAlignment="1">
      <alignment horizontal="center" vertical="center" wrapText="1"/>
    </xf>
    <xf numFmtId="49" fontId="12" fillId="13" borderId="15" xfId="0" applyNumberFormat="1" applyFont="1" applyFill="1" applyBorder="1" applyAlignment="1">
      <alignment horizontal="center" vertical="center" wrapText="1"/>
    </xf>
    <xf numFmtId="49" fontId="12" fillId="13" borderId="16" xfId="0" applyNumberFormat="1" applyFont="1" applyFill="1" applyBorder="1" applyAlignment="1">
      <alignment horizontal="center" vertical="center" wrapText="1"/>
    </xf>
    <xf numFmtId="49" fontId="12" fillId="13" borderId="34" xfId="0" applyNumberFormat="1" applyFont="1" applyFill="1" applyBorder="1" applyAlignment="1">
      <alignment horizontal="center" vertical="center" wrapText="1"/>
    </xf>
    <xf numFmtId="49" fontId="12" fillId="13" borderId="0" xfId="0" applyNumberFormat="1" applyFont="1" applyFill="1" applyAlignment="1">
      <alignment horizontal="center" vertical="center" wrapText="1"/>
    </xf>
    <xf numFmtId="49" fontId="12" fillId="13" borderId="38" xfId="0" applyNumberFormat="1" applyFont="1" applyFill="1" applyBorder="1" applyAlignment="1">
      <alignment horizontal="center" vertical="center" wrapText="1"/>
    </xf>
    <xf numFmtId="49" fontId="12" fillId="13" borderId="42" xfId="0" applyNumberFormat="1" applyFont="1" applyFill="1" applyBorder="1" applyAlignment="1">
      <alignment horizontal="center" vertical="center" wrapText="1"/>
    </xf>
    <xf numFmtId="0" fontId="8" fillId="9" borderId="286" xfId="0" applyFont="1" applyFill="1" applyBorder="1" applyAlignment="1">
      <alignment horizontal="center" vertical="center" wrapText="1"/>
    </xf>
    <xf numFmtId="49" fontId="14" fillId="9" borderId="144" xfId="0" applyNumberFormat="1" applyFont="1" applyFill="1" applyBorder="1" applyAlignment="1">
      <alignment horizontal="center" vertical="center" wrapText="1"/>
    </xf>
    <xf numFmtId="49" fontId="14" fillId="9" borderId="145" xfId="0" applyNumberFormat="1" applyFont="1" applyFill="1" applyBorder="1" applyAlignment="1">
      <alignment horizontal="center" vertical="center" wrapText="1"/>
    </xf>
    <xf numFmtId="49" fontId="14" fillId="9" borderId="318" xfId="0" applyNumberFormat="1" applyFont="1" applyFill="1" applyBorder="1" applyAlignment="1">
      <alignment horizontal="center" vertical="center" wrapText="1"/>
    </xf>
    <xf numFmtId="49" fontId="12" fillId="13" borderId="29" xfId="0" quotePrefix="1" applyNumberFormat="1" applyFont="1" applyFill="1" applyBorder="1" applyAlignment="1">
      <alignment horizontal="center" vertical="center" wrapText="1"/>
    </xf>
    <xf numFmtId="49" fontId="12" fillId="13" borderId="32" xfId="0" applyNumberFormat="1" applyFont="1" applyFill="1" applyBorder="1" applyAlignment="1">
      <alignment horizontal="center" vertical="center" wrapText="1"/>
    </xf>
    <xf numFmtId="49" fontId="12" fillId="13" borderId="4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2" fillId="20" borderId="54" xfId="0" quotePrefix="1" applyFont="1" applyFill="1" applyBorder="1" applyAlignment="1">
      <alignment horizontal="center" vertical="center" wrapText="1"/>
    </xf>
    <xf numFmtId="0" fontId="12" fillId="20" borderId="52" xfId="0" quotePrefix="1" applyFont="1" applyFill="1" applyBorder="1" applyAlignment="1">
      <alignment horizontal="center" vertical="center" wrapText="1"/>
    </xf>
    <xf numFmtId="0" fontId="12" fillId="20" borderId="53" xfId="0" quotePrefix="1" applyFont="1" applyFill="1" applyBorder="1" applyAlignment="1">
      <alignment horizontal="center" vertical="center" wrapText="1"/>
    </xf>
    <xf numFmtId="0" fontId="12" fillId="20" borderId="36" xfId="0" quotePrefix="1" applyFont="1" applyFill="1" applyBorder="1" applyAlignment="1">
      <alignment horizontal="center" vertical="center" wrapText="1"/>
    </xf>
    <xf numFmtId="0" fontId="12" fillId="20" borderId="0" xfId="0" quotePrefix="1" applyFont="1" applyFill="1" applyAlignment="1">
      <alignment horizontal="center" vertical="center" wrapText="1"/>
    </xf>
    <xf numFmtId="0" fontId="12" fillId="20" borderId="55" xfId="0" quotePrefix="1" applyFont="1" applyFill="1" applyBorder="1" applyAlignment="1">
      <alignment horizontal="center" vertical="center" wrapText="1"/>
    </xf>
    <xf numFmtId="0" fontId="12" fillId="20" borderId="7" xfId="0" quotePrefix="1" applyFont="1" applyFill="1" applyBorder="1" applyAlignment="1">
      <alignment horizontal="center" vertical="center" wrapText="1"/>
    </xf>
    <xf numFmtId="0" fontId="12" fillId="20" borderId="8" xfId="0" quotePrefix="1" applyFont="1" applyFill="1" applyBorder="1" applyAlignment="1">
      <alignment horizontal="center" vertical="center" wrapText="1"/>
    </xf>
    <xf numFmtId="0" fontId="12" fillId="20" borderId="9" xfId="0" quotePrefix="1" applyFont="1" applyFill="1" applyBorder="1" applyAlignment="1">
      <alignment horizontal="center" vertical="center" wrapText="1"/>
    </xf>
    <xf numFmtId="0" fontId="30" fillId="0" borderId="0" xfId="0" applyFont="1" applyAlignment="1">
      <alignment horizontal="left"/>
    </xf>
    <xf numFmtId="0" fontId="8" fillId="14" borderId="47" xfId="0" quotePrefix="1" applyFont="1" applyFill="1" applyBorder="1" applyAlignment="1">
      <alignment horizontal="center" vertical="center" wrapText="1"/>
    </xf>
    <xf numFmtId="0" fontId="8" fillId="14" borderId="48" xfId="0" quotePrefix="1" applyFont="1" applyFill="1" applyBorder="1" applyAlignment="1">
      <alignment horizontal="center" vertical="center" wrapText="1"/>
    </xf>
    <xf numFmtId="0" fontId="8" fillId="14" borderId="50" xfId="0" quotePrefix="1" applyFont="1" applyFill="1" applyBorder="1" applyAlignment="1">
      <alignment horizontal="center" vertical="center" wrapText="1"/>
    </xf>
    <xf numFmtId="0" fontId="110" fillId="20" borderId="23" xfId="0" quotePrefix="1" applyFont="1" applyFill="1" applyBorder="1" applyAlignment="1">
      <alignment horizontal="center" vertical="center" wrapText="1"/>
    </xf>
    <xf numFmtId="0" fontId="110" fillId="20" borderId="19" xfId="0" quotePrefix="1" applyFont="1" applyFill="1" applyBorder="1" applyAlignment="1">
      <alignment horizontal="center" vertical="center"/>
    </xf>
    <xf numFmtId="14" fontId="6" fillId="3" borderId="5" xfId="0" applyNumberFormat="1" applyFont="1" applyFill="1" applyBorder="1" applyAlignment="1">
      <alignment horizontal="center" vertical="center"/>
    </xf>
    <xf numFmtId="14" fontId="6" fillId="3" borderId="6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9" fillId="7" borderId="10" xfId="0" applyFont="1" applyFill="1" applyBorder="1" applyAlignment="1">
      <alignment horizontal="center" vertical="center" wrapText="1"/>
    </xf>
    <xf numFmtId="0" fontId="9" fillId="7" borderId="11" xfId="0" applyFont="1" applyFill="1" applyBorder="1" applyAlignment="1">
      <alignment horizontal="center" vertical="center" wrapText="1"/>
    </xf>
    <xf numFmtId="0" fontId="9" fillId="7" borderId="1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6" borderId="55" xfId="0" applyFont="1" applyFill="1" applyBorder="1" applyAlignment="1">
      <alignment horizontal="center" vertical="center" wrapText="1"/>
    </xf>
    <xf numFmtId="0" fontId="5" fillId="8" borderId="18" xfId="0" applyFont="1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11" fillId="7" borderId="60" xfId="0" applyFont="1" applyFill="1" applyBorder="1" applyAlignment="1">
      <alignment horizontal="center" vertical="center" wrapText="1"/>
    </xf>
    <xf numFmtId="0" fontId="11" fillId="7" borderId="129" xfId="0" applyFont="1" applyFill="1" applyBorder="1" applyAlignment="1">
      <alignment horizontal="center" vertical="center" wrapText="1"/>
    </xf>
    <xf numFmtId="0" fontId="11" fillId="7" borderId="21" xfId="0" applyFont="1" applyFill="1" applyBorder="1" applyAlignment="1">
      <alignment horizontal="center" vertical="center" wrapText="1"/>
    </xf>
    <xf numFmtId="0" fontId="11" fillId="7" borderId="104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5" fillId="5" borderId="30" xfId="0" applyFont="1" applyFill="1" applyBorder="1" applyAlignment="1">
      <alignment horizontal="center" vertical="center" wrapText="1"/>
    </xf>
    <xf numFmtId="0" fontId="5" fillId="5" borderId="36" xfId="0" applyFont="1" applyFill="1" applyBorder="1" applyAlignment="1">
      <alignment horizontal="center" vertical="center" wrapText="1"/>
    </xf>
    <xf numFmtId="0" fontId="5" fillId="6" borderId="196" xfId="0" applyFont="1" applyFill="1" applyBorder="1" applyAlignment="1">
      <alignment horizontal="center" vertical="center" wrapText="1"/>
    </xf>
    <xf numFmtId="0" fontId="5" fillId="6" borderId="197" xfId="0" applyFont="1" applyFill="1" applyBorder="1" applyAlignment="1">
      <alignment horizontal="center" vertical="center" wrapText="1"/>
    </xf>
    <xf numFmtId="0" fontId="5" fillId="6" borderId="198" xfId="0" applyFont="1" applyFill="1" applyBorder="1" applyAlignment="1">
      <alignment horizontal="center" vertical="center" wrapText="1"/>
    </xf>
    <xf numFmtId="0" fontId="5" fillId="5" borderId="60" xfId="0" applyFont="1" applyFill="1" applyBorder="1" applyAlignment="1">
      <alignment horizontal="center" vertical="center" wrapText="1"/>
    </xf>
    <xf numFmtId="0" fontId="5" fillId="5" borderId="129" xfId="0" applyFont="1" applyFill="1" applyBorder="1" applyAlignment="1">
      <alignment horizontal="center" vertical="center" wrapText="1"/>
    </xf>
    <xf numFmtId="0" fontId="5" fillId="5" borderId="17" xfId="0" applyFont="1" applyFill="1" applyBorder="1" applyAlignment="1">
      <alignment horizontal="center" vertical="center" wrapText="1"/>
    </xf>
    <xf numFmtId="0" fontId="5" fillId="5" borderId="55" xfId="0" applyFont="1" applyFill="1" applyBorder="1" applyAlignment="1">
      <alignment horizontal="center" vertical="center" wrapText="1"/>
    </xf>
    <xf numFmtId="0" fontId="11" fillId="7" borderId="57" xfId="0" applyFont="1" applyFill="1" applyBorder="1" applyAlignment="1">
      <alignment horizontal="center" vertical="center" wrapText="1"/>
    </xf>
    <xf numFmtId="0" fontId="11" fillId="7" borderId="59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5" fillId="8" borderId="24" xfId="0" applyFont="1" applyFill="1" applyBorder="1" applyAlignment="1">
      <alignment horizontal="center" vertical="center" wrapText="1"/>
    </xf>
    <xf numFmtId="0" fontId="60" fillId="3" borderId="92" xfId="0" applyFont="1" applyFill="1" applyBorder="1" applyAlignment="1">
      <alignment horizontal="center" vertical="center"/>
    </xf>
    <xf numFmtId="0" fontId="60" fillId="3" borderId="94" xfId="0" applyFont="1" applyFill="1" applyBorder="1" applyAlignment="1">
      <alignment horizontal="center" vertical="center"/>
    </xf>
    <xf numFmtId="49" fontId="18" fillId="152" borderId="116" xfId="0" applyNumberFormat="1" applyFont="1" applyFill="1" applyBorder="1" applyAlignment="1">
      <alignment horizontal="center" vertical="center" wrapText="1"/>
    </xf>
    <xf numFmtId="49" fontId="18" fillId="152" borderId="117" xfId="0" applyNumberFormat="1" applyFont="1" applyFill="1" applyBorder="1" applyAlignment="1">
      <alignment horizontal="center" vertical="center" wrapText="1"/>
    </xf>
    <xf numFmtId="49" fontId="18" fillId="152" borderId="221" xfId="0" applyNumberFormat="1" applyFont="1" applyFill="1" applyBorder="1" applyAlignment="1">
      <alignment horizontal="center" vertical="center" wrapText="1"/>
    </xf>
    <xf numFmtId="0" fontId="9" fillId="18" borderId="36" xfId="0" applyFont="1" applyFill="1" applyBorder="1" applyAlignment="1">
      <alignment horizontal="center" vertical="center" wrapText="1"/>
    </xf>
    <xf numFmtId="0" fontId="9" fillId="18" borderId="2" xfId="0" applyFont="1" applyFill="1" applyBorder="1" applyAlignment="1">
      <alignment horizontal="center" vertical="center" wrapText="1"/>
    </xf>
    <xf numFmtId="0" fontId="9" fillId="18" borderId="3" xfId="0" applyFont="1" applyFill="1" applyBorder="1" applyAlignment="1">
      <alignment horizontal="center" vertical="center" wrapText="1"/>
    </xf>
    <xf numFmtId="0" fontId="9" fillId="18" borderId="10" xfId="0" applyFont="1" applyFill="1" applyBorder="1" applyAlignment="1">
      <alignment horizontal="center" vertical="center" wrapText="1"/>
    </xf>
    <xf numFmtId="0" fontId="9" fillId="18" borderId="11" xfId="0" applyFont="1" applyFill="1" applyBorder="1" applyAlignment="1">
      <alignment horizontal="center" vertical="center" wrapText="1"/>
    </xf>
    <xf numFmtId="0" fontId="9" fillId="18" borderId="12" xfId="0" applyFont="1" applyFill="1" applyBorder="1" applyAlignment="1">
      <alignment horizontal="center" vertical="center" wrapText="1"/>
    </xf>
    <xf numFmtId="0" fontId="60" fillId="3" borderId="103" xfId="0" applyFont="1" applyFill="1" applyBorder="1" applyAlignment="1">
      <alignment horizontal="center" vertical="center"/>
    </xf>
    <xf numFmtId="0" fontId="60" fillId="3" borderId="129" xfId="0" applyFont="1" applyFill="1" applyBorder="1" applyAlignment="1">
      <alignment horizontal="center" vertical="center"/>
    </xf>
    <xf numFmtId="49" fontId="18" fillId="161" borderId="47" xfId="0" applyNumberFormat="1" applyFont="1" applyFill="1" applyBorder="1" applyAlignment="1">
      <alignment horizontal="center" vertical="center" wrapText="1"/>
    </xf>
    <xf numFmtId="49" fontId="18" fillId="161" borderId="48" xfId="0" applyNumberFormat="1" applyFont="1" applyFill="1" applyBorder="1" applyAlignment="1">
      <alignment horizontal="center" vertical="center" wrapText="1"/>
    </xf>
    <xf numFmtId="49" fontId="18" fillId="161" borderId="192" xfId="0" applyNumberFormat="1" applyFont="1" applyFill="1" applyBorder="1" applyAlignment="1">
      <alignment horizontal="center" vertical="center" wrapText="1"/>
    </xf>
    <xf numFmtId="0" fontId="11" fillId="14" borderId="47" xfId="0" applyFont="1" applyFill="1" applyBorder="1" applyAlignment="1">
      <alignment horizontal="center" vertical="center"/>
    </xf>
    <xf numFmtId="0" fontId="5" fillId="14" borderId="192" xfId="0" applyFont="1" applyFill="1" applyBorder="1" applyAlignment="1">
      <alignment horizontal="center" vertical="center"/>
    </xf>
    <xf numFmtId="49" fontId="144" fillId="161" borderId="51" xfId="0" applyNumberFormat="1" applyFont="1" applyFill="1" applyBorder="1" applyAlignment="1">
      <alignment horizontal="center" vertical="center" wrapText="1"/>
    </xf>
    <xf numFmtId="49" fontId="180" fillId="161" borderId="52" xfId="0" applyNumberFormat="1" applyFont="1" applyFill="1" applyBorder="1" applyAlignment="1">
      <alignment horizontal="center" vertical="center" wrapText="1"/>
    </xf>
    <xf numFmtId="49" fontId="180" fillId="161" borderId="53" xfId="0" applyNumberFormat="1" applyFont="1" applyFill="1" applyBorder="1" applyAlignment="1">
      <alignment horizontal="center" vertical="center" wrapText="1"/>
    </xf>
    <xf numFmtId="49" fontId="144" fillId="152" borderId="51" xfId="0" applyNumberFormat="1" applyFont="1" applyFill="1" applyBorder="1" applyAlignment="1">
      <alignment horizontal="center" vertical="center" wrapText="1"/>
    </xf>
    <xf numFmtId="49" fontId="180" fillId="152" borderId="52" xfId="0" applyNumberFormat="1" applyFont="1" applyFill="1" applyBorder="1" applyAlignment="1">
      <alignment horizontal="center" vertical="center" wrapText="1"/>
    </xf>
    <xf numFmtId="49" fontId="180" fillId="152" borderId="53" xfId="0" applyNumberFormat="1" applyFont="1" applyFill="1" applyBorder="1" applyAlignment="1">
      <alignment horizontal="center" vertical="center" wrapText="1"/>
    </xf>
    <xf numFmtId="0" fontId="5" fillId="10" borderId="54" xfId="0" applyFont="1" applyFill="1" applyBorder="1" applyAlignment="1">
      <alignment horizontal="center" vertical="center" wrapText="1"/>
    </xf>
    <xf numFmtId="0" fontId="5" fillId="10" borderId="52" xfId="0" applyFont="1" applyFill="1" applyBorder="1" applyAlignment="1">
      <alignment horizontal="center" vertical="center" wrapText="1"/>
    </xf>
    <xf numFmtId="0" fontId="5" fillId="10" borderId="53" xfId="0" applyFont="1" applyFill="1" applyBorder="1" applyAlignment="1">
      <alignment horizontal="center" vertical="center" wrapText="1"/>
    </xf>
    <xf numFmtId="0" fontId="5" fillId="10" borderId="36" xfId="0" applyFont="1" applyFill="1" applyBorder="1" applyAlignment="1">
      <alignment horizontal="center" vertical="center" wrapText="1"/>
    </xf>
    <xf numFmtId="0" fontId="5" fillId="10" borderId="0" xfId="0" applyFont="1" applyFill="1" applyAlignment="1">
      <alignment horizontal="center" vertical="center" wrapText="1"/>
    </xf>
    <xf numFmtId="0" fontId="5" fillId="10" borderId="55" xfId="0" applyFont="1" applyFill="1" applyBorder="1" applyAlignment="1">
      <alignment horizontal="center" vertical="center" wrapText="1"/>
    </xf>
    <xf numFmtId="0" fontId="5" fillId="10" borderId="136" xfId="0" applyFont="1" applyFill="1" applyBorder="1" applyAlignment="1">
      <alignment horizontal="center" vertical="center" wrapText="1"/>
    </xf>
    <xf numFmtId="0" fontId="5" fillId="10" borderId="132" xfId="0" applyFont="1" applyFill="1" applyBorder="1" applyAlignment="1">
      <alignment horizontal="center" vertical="center" wrapText="1"/>
    </xf>
    <xf numFmtId="0" fontId="5" fillId="10" borderId="137" xfId="0" applyFont="1" applyFill="1" applyBorder="1" applyAlignment="1">
      <alignment horizontal="center" vertical="center" wrapText="1"/>
    </xf>
    <xf numFmtId="0" fontId="5" fillId="10" borderId="168" xfId="0" applyFont="1" applyFill="1" applyBorder="1" applyAlignment="1">
      <alignment horizontal="center" vertical="center" wrapText="1"/>
    </xf>
    <xf numFmtId="0" fontId="5" fillId="10" borderId="169" xfId="0" applyFont="1" applyFill="1" applyBorder="1" applyAlignment="1">
      <alignment horizontal="center" vertical="center" wrapText="1"/>
    </xf>
    <xf numFmtId="0" fontId="5" fillId="10" borderId="170" xfId="0" applyFont="1" applyFill="1" applyBorder="1" applyAlignment="1">
      <alignment horizontal="center" vertical="center" wrapText="1"/>
    </xf>
    <xf numFmtId="0" fontId="9" fillId="17" borderId="1" xfId="0" applyFont="1" applyFill="1" applyBorder="1" applyAlignment="1">
      <alignment horizontal="center" vertical="center" wrapText="1"/>
    </xf>
    <xf numFmtId="0" fontId="9" fillId="17" borderId="2" xfId="0" applyFont="1" applyFill="1" applyBorder="1" applyAlignment="1">
      <alignment horizontal="center" vertical="center" wrapText="1"/>
    </xf>
    <xf numFmtId="0" fontId="9" fillId="17" borderId="0" xfId="0" applyFont="1" applyFill="1" applyAlignment="1">
      <alignment horizontal="center" vertical="center" wrapText="1"/>
    </xf>
    <xf numFmtId="0" fontId="9" fillId="17" borderId="55" xfId="0" applyFont="1" applyFill="1" applyBorder="1" applyAlignment="1">
      <alignment horizontal="center" vertical="center" wrapText="1"/>
    </xf>
    <xf numFmtId="0" fontId="9" fillId="17" borderId="10" xfId="0" applyFont="1" applyFill="1" applyBorder="1" applyAlignment="1">
      <alignment horizontal="center" vertical="center" wrapText="1"/>
    </xf>
    <xf numFmtId="0" fontId="9" fillId="17" borderId="11" xfId="0" applyFont="1" applyFill="1" applyBorder="1" applyAlignment="1">
      <alignment horizontal="center" vertical="center" wrapText="1"/>
    </xf>
    <xf numFmtId="0" fontId="9" fillId="17" borderId="12" xfId="0" applyFont="1" applyFill="1" applyBorder="1" applyAlignment="1">
      <alignment horizontal="center" vertical="center" wrapText="1"/>
    </xf>
    <xf numFmtId="0" fontId="12" fillId="11" borderId="30" xfId="0" applyFont="1" applyFill="1" applyBorder="1" applyAlignment="1">
      <alignment horizontal="center" vertical="center" wrapText="1"/>
    </xf>
    <xf numFmtId="0" fontId="12" fillId="11" borderId="28" xfId="0" applyFont="1" applyFill="1" applyBorder="1" applyAlignment="1">
      <alignment horizontal="center" vertical="center" wrapText="1"/>
    </xf>
    <xf numFmtId="0" fontId="12" fillId="11" borderId="36" xfId="0" applyFont="1" applyFill="1" applyBorder="1" applyAlignment="1">
      <alignment horizontal="center" vertical="center" wrapText="1"/>
    </xf>
    <xf numFmtId="0" fontId="12" fillId="11" borderId="35" xfId="0" applyFont="1" applyFill="1" applyBorder="1" applyAlignment="1">
      <alignment horizontal="center" vertical="center" wrapText="1"/>
    </xf>
    <xf numFmtId="0" fontId="12" fillId="11" borderId="41" xfId="0" applyFont="1" applyFill="1" applyBorder="1" applyAlignment="1">
      <alignment horizontal="center" vertical="center" wrapText="1"/>
    </xf>
    <xf numFmtId="0" fontId="12" fillId="11" borderId="39" xfId="0" applyFont="1" applyFill="1" applyBorder="1" applyAlignment="1">
      <alignment horizontal="center" vertical="center" wrapText="1"/>
    </xf>
    <xf numFmtId="0" fontId="12" fillId="9" borderId="37" xfId="0" applyFont="1" applyFill="1" applyBorder="1" applyAlignment="1">
      <alignment horizontal="center" vertical="center" wrapText="1"/>
    </xf>
    <xf numFmtId="49" fontId="14" fillId="9" borderId="146" xfId="0" applyNumberFormat="1" applyFont="1" applyFill="1" applyBorder="1" applyAlignment="1">
      <alignment horizontal="center" vertical="center" wrapText="1"/>
    </xf>
    <xf numFmtId="0" fontId="14" fillId="22" borderId="23" xfId="0" applyFont="1" applyFill="1" applyBorder="1" applyAlignment="1">
      <alignment horizontal="center" vertical="center" wrapText="1"/>
    </xf>
    <xf numFmtId="0" fontId="14" fillId="22" borderId="19" xfId="0" applyFont="1" applyFill="1" applyBorder="1" applyAlignment="1">
      <alignment horizontal="center" vertical="center" wrapText="1"/>
    </xf>
    <xf numFmtId="0" fontId="14" fillId="22" borderId="24" xfId="0" applyFont="1" applyFill="1" applyBorder="1" applyAlignment="1">
      <alignment horizontal="center" vertical="center" wrapText="1"/>
    </xf>
    <xf numFmtId="0" fontId="12" fillId="9" borderId="319" xfId="0" applyFont="1" applyFill="1" applyBorder="1" applyAlignment="1">
      <alignment horizontal="center" vertical="center" wrapText="1"/>
    </xf>
    <xf numFmtId="0" fontId="24" fillId="17" borderId="56" xfId="0" applyFont="1" applyFill="1" applyBorder="1" applyAlignment="1">
      <alignment horizontal="center" vertical="center" wrapText="1"/>
    </xf>
    <xf numFmtId="0" fontId="24" fillId="17" borderId="24" xfId="0" applyFont="1" applyFill="1" applyBorder="1" applyAlignment="1">
      <alignment horizontal="center" vertical="center" wrapText="1"/>
    </xf>
    <xf numFmtId="0" fontId="24" fillId="17" borderId="14" xfId="0" applyFont="1" applyFill="1" applyBorder="1" applyAlignment="1">
      <alignment horizontal="center" vertical="center" wrapText="1"/>
    </xf>
    <xf numFmtId="0" fontId="24" fillId="17" borderId="23" xfId="0" applyFont="1" applyFill="1" applyBorder="1" applyAlignment="1">
      <alignment horizontal="center" vertical="center" wrapText="1"/>
    </xf>
    <xf numFmtId="0" fontId="24" fillId="17" borderId="13" xfId="0" applyFont="1" applyFill="1" applyBorder="1" applyAlignment="1">
      <alignment horizontal="center" vertical="center" wrapText="1"/>
    </xf>
    <xf numFmtId="0" fontId="148" fillId="21" borderId="10" xfId="0" applyFont="1" applyFill="1" applyBorder="1" applyAlignment="1">
      <alignment horizontal="center" vertical="center" wrapText="1"/>
    </xf>
    <xf numFmtId="0" fontId="148" fillId="21" borderId="59" xfId="0" applyFont="1" applyFill="1" applyBorder="1" applyAlignment="1">
      <alignment horizontal="center" vertical="center" wrapText="1"/>
    </xf>
    <xf numFmtId="0" fontId="150" fillId="21" borderId="22" xfId="0" applyFont="1" applyFill="1" applyBorder="1" applyAlignment="1">
      <alignment horizontal="center" vertical="center"/>
    </xf>
    <xf numFmtId="0" fontId="150" fillId="21" borderId="59" xfId="0" applyFont="1" applyFill="1" applyBorder="1" applyAlignment="1">
      <alignment horizontal="center" vertical="center"/>
    </xf>
    <xf numFmtId="0" fontId="150" fillId="21" borderId="22" xfId="0" applyFont="1" applyFill="1" applyBorder="1" applyAlignment="1">
      <alignment horizontal="center" vertical="center" wrapText="1"/>
    </xf>
    <xf numFmtId="0" fontId="150" fillId="21" borderId="11" xfId="0" applyFont="1" applyFill="1" applyBorder="1" applyAlignment="1">
      <alignment horizontal="center" vertical="center" wrapText="1"/>
    </xf>
    <xf numFmtId="0" fontId="150" fillId="21" borderId="12" xfId="0" applyFont="1" applyFill="1" applyBorder="1" applyAlignment="1">
      <alignment horizontal="center" vertical="center" wrapText="1"/>
    </xf>
    <xf numFmtId="0" fontId="151" fillId="0" borderId="259" xfId="0" applyFont="1" applyBorder="1" applyAlignment="1">
      <alignment horizontal="center" wrapText="1"/>
    </xf>
    <xf numFmtId="0" fontId="151" fillId="0" borderId="260" xfId="0" applyFont="1" applyBorder="1" applyAlignment="1">
      <alignment horizontal="center" wrapText="1"/>
    </xf>
    <xf numFmtId="0" fontId="37" fillId="0" borderId="189" xfId="0" applyFont="1" applyBorder="1" applyAlignment="1">
      <alignment horizontal="center" vertical="center"/>
    </xf>
    <xf numFmtId="0" fontId="37" fillId="0" borderId="190" xfId="0" applyFont="1" applyBorder="1" applyAlignment="1">
      <alignment horizontal="center" vertical="center"/>
    </xf>
    <xf numFmtId="0" fontId="37" fillId="0" borderId="191" xfId="0" applyFont="1" applyBorder="1" applyAlignment="1">
      <alignment horizontal="center" vertical="center"/>
    </xf>
    <xf numFmtId="14" fontId="158" fillId="23" borderId="264" xfId="0" applyNumberFormat="1" applyFont="1" applyFill="1" applyBorder="1" applyAlignment="1">
      <alignment horizontal="center" vertical="center"/>
    </xf>
    <xf numFmtId="14" fontId="158" fillId="23" borderId="195" xfId="0" applyNumberFormat="1" applyFont="1" applyFill="1" applyBorder="1" applyAlignment="1">
      <alignment horizontal="center" vertical="center"/>
    </xf>
    <xf numFmtId="0" fontId="132" fillId="3" borderId="256" xfId="0" applyFont="1" applyFill="1" applyBorder="1" applyAlignment="1">
      <alignment horizontal="center" vertical="center"/>
    </xf>
    <xf numFmtId="0" fontId="132" fillId="3" borderId="63" xfId="0" applyFont="1" applyFill="1" applyBorder="1" applyAlignment="1">
      <alignment horizontal="center" vertical="center"/>
    </xf>
    <xf numFmtId="0" fontId="132" fillId="3" borderId="238" xfId="0" applyFont="1" applyFill="1" applyBorder="1" applyAlignment="1">
      <alignment horizontal="center" vertical="center"/>
    </xf>
    <xf numFmtId="0" fontId="132" fillId="3" borderId="69" xfId="0" applyFont="1" applyFill="1" applyBorder="1" applyAlignment="1">
      <alignment horizontal="center" vertical="center"/>
    </xf>
    <xf numFmtId="0" fontId="155" fillId="151" borderId="62" xfId="0" applyFont="1" applyFill="1" applyBorder="1" applyAlignment="1">
      <alignment horizontal="center" vertical="center" wrapText="1"/>
    </xf>
    <xf numFmtId="0" fontId="155" fillId="151" borderId="63" xfId="0" applyFont="1" applyFill="1" applyBorder="1" applyAlignment="1">
      <alignment horizontal="center" vertical="center" wrapText="1"/>
    </xf>
    <xf numFmtId="0" fontId="155" fillId="151" borderId="72" xfId="0" applyFont="1" applyFill="1" applyBorder="1" applyAlignment="1">
      <alignment horizontal="center" vertical="center" wrapText="1"/>
    </xf>
    <xf numFmtId="0" fontId="155" fillId="151" borderId="0" xfId="0" applyFont="1" applyFill="1" applyAlignment="1">
      <alignment horizontal="center" vertical="center" wrapText="1"/>
    </xf>
    <xf numFmtId="0" fontId="155" fillId="151" borderId="68" xfId="0" applyFont="1" applyFill="1" applyBorder="1" applyAlignment="1">
      <alignment horizontal="center" vertical="center" wrapText="1"/>
    </xf>
    <xf numFmtId="0" fontId="155" fillId="151" borderId="69" xfId="0" applyFont="1" applyFill="1" applyBorder="1" applyAlignment="1">
      <alignment horizontal="center" vertical="center" wrapText="1"/>
    </xf>
    <xf numFmtId="10" fontId="157" fillId="0" borderId="257" xfId="0" applyNumberFormat="1" applyFont="1" applyBorder="1" applyAlignment="1">
      <alignment horizontal="center" vertical="center" wrapText="1"/>
    </xf>
    <xf numFmtId="0" fontId="157" fillId="0" borderId="65" xfId="0" applyFont="1" applyBorder="1" applyAlignment="1">
      <alignment horizontal="center" vertical="center" wrapText="1"/>
    </xf>
    <xf numFmtId="0" fontId="157" fillId="0" borderId="237" xfId="0" applyFont="1" applyBorder="1" applyAlignment="1">
      <alignment horizontal="center" vertical="center" wrapText="1"/>
    </xf>
    <xf numFmtId="0" fontId="157" fillId="0" borderId="70" xfId="0" applyFont="1" applyBorder="1" applyAlignment="1">
      <alignment horizontal="center" vertical="center" wrapText="1"/>
    </xf>
    <xf numFmtId="0" fontId="157" fillId="0" borderId="258" xfId="0" applyFont="1" applyBorder="1" applyAlignment="1">
      <alignment horizontal="center" vertical="center" wrapText="1"/>
    </xf>
    <xf numFmtId="0" fontId="157" fillId="0" borderId="73" xfId="0" applyFont="1" applyBorder="1" applyAlignment="1">
      <alignment horizontal="center" vertical="center" wrapText="1"/>
    </xf>
    <xf numFmtId="10" fontId="157" fillId="0" borderId="63" xfId="0" applyNumberFormat="1" applyFont="1" applyBorder="1" applyAlignment="1">
      <alignment horizontal="center" vertical="center" wrapText="1"/>
    </xf>
    <xf numFmtId="10" fontId="157" fillId="0" borderId="65" xfId="0" applyNumberFormat="1" applyFont="1" applyBorder="1" applyAlignment="1">
      <alignment horizontal="center" vertical="center" wrapText="1"/>
    </xf>
    <xf numFmtId="10" fontId="157" fillId="0" borderId="237" xfId="0" applyNumberFormat="1" applyFont="1" applyBorder="1" applyAlignment="1">
      <alignment horizontal="center" vertical="center" wrapText="1"/>
    </xf>
    <xf numFmtId="10" fontId="157" fillId="0" borderId="0" xfId="0" applyNumberFormat="1" applyFont="1" applyAlignment="1">
      <alignment horizontal="center" vertical="center" wrapText="1"/>
    </xf>
    <xf numFmtId="10" fontId="157" fillId="0" borderId="70" xfId="0" applyNumberFormat="1" applyFont="1" applyBorder="1" applyAlignment="1">
      <alignment horizontal="center" vertical="center" wrapText="1"/>
    </xf>
    <xf numFmtId="10" fontId="157" fillId="0" borderId="258" xfId="0" applyNumberFormat="1" applyFont="1" applyBorder="1" applyAlignment="1">
      <alignment horizontal="center" vertical="center" wrapText="1"/>
    </xf>
    <xf numFmtId="10" fontId="157" fillId="0" borderId="69" xfId="0" applyNumberFormat="1" applyFont="1" applyBorder="1" applyAlignment="1">
      <alignment horizontal="center" vertical="center" wrapText="1"/>
    </xf>
    <xf numFmtId="10" fontId="157" fillId="0" borderId="73" xfId="0" applyNumberFormat="1" applyFont="1" applyBorder="1" applyAlignment="1">
      <alignment horizontal="center" vertical="center" wrapText="1"/>
    </xf>
    <xf numFmtId="0" fontId="142" fillId="0" borderId="240" xfId="0" applyFont="1" applyBorder="1" applyAlignment="1">
      <alignment horizontal="center" vertical="center" textRotation="90"/>
    </xf>
    <xf numFmtId="0" fontId="142" fillId="0" borderId="244" xfId="0" applyFont="1" applyBorder="1" applyAlignment="1">
      <alignment horizontal="center" vertical="center" textRotation="90"/>
    </xf>
    <xf numFmtId="0" fontId="142" fillId="0" borderId="247" xfId="0" applyFont="1" applyBorder="1" applyAlignment="1">
      <alignment horizontal="center" vertical="center" textRotation="90"/>
    </xf>
    <xf numFmtId="0" fontId="116" fillId="0" borderId="14" xfId="0" applyFont="1" applyBorder="1" applyAlignment="1">
      <alignment horizontal="center" vertical="center"/>
    </xf>
    <xf numFmtId="0" fontId="15" fillId="2" borderId="233" xfId="0" applyFont="1" applyFill="1" applyBorder="1" applyAlignment="1">
      <alignment horizontal="center" vertical="center"/>
    </xf>
    <xf numFmtId="0" fontId="15" fillId="2" borderId="234" xfId="0" applyFont="1" applyFill="1" applyBorder="1" applyAlignment="1">
      <alignment horizontal="center" vertical="center"/>
    </xf>
    <xf numFmtId="0" fontId="15" fillId="2" borderId="235" xfId="0" applyFont="1" applyFill="1" applyBorder="1" applyAlignment="1">
      <alignment horizontal="center" vertical="center"/>
    </xf>
    <xf numFmtId="0" fontId="31" fillId="2" borderId="62" xfId="0" applyFont="1" applyFill="1" applyBorder="1" applyAlignment="1">
      <alignment horizontal="center" vertical="center"/>
    </xf>
    <xf numFmtId="0" fontId="31" fillId="2" borderId="63" xfId="0" applyFont="1" applyFill="1" applyBorder="1" applyAlignment="1">
      <alignment horizontal="center" vertical="center"/>
    </xf>
    <xf numFmtId="0" fontId="31" fillId="2" borderId="64" xfId="0" applyFont="1" applyFill="1" applyBorder="1" applyAlignment="1">
      <alignment horizontal="center" vertical="center"/>
    </xf>
    <xf numFmtId="0" fontId="31" fillId="2" borderId="72" xfId="0" applyFont="1" applyFill="1" applyBorder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0" fontId="31" fillId="2" borderId="55" xfId="0" applyFont="1" applyFill="1" applyBorder="1" applyAlignment="1">
      <alignment horizontal="center" vertical="center"/>
    </xf>
    <xf numFmtId="14" fontId="158" fillId="3" borderId="65" xfId="0" applyNumberFormat="1" applyFont="1" applyFill="1" applyBorder="1" applyAlignment="1">
      <alignment horizontal="center" vertical="center"/>
    </xf>
    <xf numFmtId="14" fontId="158" fillId="3" borderId="70" xfId="0" applyNumberFormat="1" applyFont="1" applyFill="1" applyBorder="1" applyAlignment="1">
      <alignment horizontal="center" vertical="center"/>
    </xf>
    <xf numFmtId="0" fontId="4" fillId="35" borderId="230" xfId="0" applyFont="1" applyFill="1" applyBorder="1" applyAlignment="1">
      <alignment horizontal="center" vertical="center"/>
    </xf>
    <xf numFmtId="10" fontId="36" fillId="25" borderId="62" xfId="0" applyNumberFormat="1" applyFont="1" applyFill="1" applyBorder="1" applyAlignment="1">
      <alignment horizontal="center" vertical="center" wrapText="1"/>
    </xf>
    <xf numFmtId="10" fontId="36" fillId="25" borderId="63" xfId="0" applyNumberFormat="1" applyFont="1" applyFill="1" applyBorder="1" applyAlignment="1">
      <alignment horizontal="center" vertical="center" wrapText="1"/>
    </xf>
    <xf numFmtId="10" fontId="36" fillId="25" borderId="65" xfId="0" applyNumberFormat="1" applyFont="1" applyFill="1" applyBorder="1" applyAlignment="1">
      <alignment horizontal="center" vertical="center" wrapText="1"/>
    </xf>
    <xf numFmtId="10" fontId="36" fillId="25" borderId="72" xfId="0" applyNumberFormat="1" applyFont="1" applyFill="1" applyBorder="1" applyAlignment="1">
      <alignment horizontal="center" vertical="center" wrapText="1"/>
    </xf>
    <xf numFmtId="10" fontId="36" fillId="25" borderId="0" xfId="0" applyNumberFormat="1" applyFont="1" applyFill="1" applyAlignment="1">
      <alignment horizontal="center" vertical="center" wrapText="1"/>
    </xf>
    <xf numFmtId="10" fontId="36" fillId="25" borderId="70" xfId="0" applyNumberFormat="1" applyFont="1" applyFill="1" applyBorder="1" applyAlignment="1">
      <alignment horizontal="center" vertical="center" wrapText="1"/>
    </xf>
    <xf numFmtId="0" fontId="151" fillId="19" borderId="239" xfId="0" applyFont="1" applyFill="1" applyBorder="1" applyAlignment="1">
      <alignment horizontal="center"/>
    </xf>
    <xf numFmtId="0" fontId="151" fillId="19" borderId="189" xfId="0" applyFont="1" applyFill="1" applyBorder="1" applyAlignment="1">
      <alignment horizontal="center"/>
    </xf>
    <xf numFmtId="0" fontId="116" fillId="0" borderId="185" xfId="0" applyFont="1" applyBorder="1" applyAlignment="1">
      <alignment horizontal="center" vertical="center"/>
    </xf>
    <xf numFmtId="0" fontId="116" fillId="0" borderId="241" xfId="0" applyFont="1" applyBorder="1" applyAlignment="1">
      <alignment horizontal="center" vertical="center"/>
    </xf>
    <xf numFmtId="0" fontId="116" fillId="0" borderId="253" xfId="0" applyFont="1" applyBorder="1" applyAlignment="1">
      <alignment horizontal="center" vertical="center"/>
    </xf>
    <xf numFmtId="0" fontId="116" fillId="0" borderId="15" xfId="0" applyFont="1" applyBorder="1" applyAlignment="1">
      <alignment horizontal="center" vertical="center"/>
    </xf>
    <xf numFmtId="0" fontId="116" fillId="0" borderId="16" xfId="0" applyFont="1" applyBorder="1" applyAlignment="1">
      <alignment horizontal="center" vertical="center"/>
    </xf>
    <xf numFmtId="0" fontId="116" fillId="0" borderId="57" xfId="0" applyFont="1" applyBorder="1" applyAlignment="1">
      <alignment horizontal="center" vertical="center"/>
    </xf>
    <xf numFmtId="0" fontId="116" fillId="0" borderId="178" xfId="0" applyFont="1" applyBorder="1" applyAlignment="1">
      <alignment horizontal="center" vertical="center"/>
    </xf>
    <xf numFmtId="0" fontId="116" fillId="0" borderId="69" xfId="0" applyFont="1" applyBorder="1" applyAlignment="1">
      <alignment horizontal="center" vertical="center"/>
    </xf>
    <xf numFmtId="0" fontId="116" fillId="0" borderId="172" xfId="0" applyFont="1" applyBorder="1" applyAlignment="1">
      <alignment horizontal="center" vertical="center"/>
    </xf>
    <xf numFmtId="0" fontId="116" fillId="0" borderId="60" xfId="0" applyFont="1" applyBorder="1" applyAlignment="1">
      <alignment horizontal="center" wrapText="1"/>
    </xf>
    <xf numFmtId="0" fontId="116" fillId="0" borderId="254" xfId="0" applyFont="1" applyBorder="1" applyAlignment="1">
      <alignment horizontal="center" wrapText="1"/>
    </xf>
    <xf numFmtId="0" fontId="116" fillId="0" borderId="60" xfId="0" applyFont="1" applyBorder="1" applyAlignment="1">
      <alignment horizontal="center" vertical="center" wrapText="1"/>
    </xf>
    <xf numFmtId="0" fontId="116" fillId="0" borderId="254" xfId="0" applyFont="1" applyBorder="1" applyAlignment="1">
      <alignment horizontal="center" vertical="center" wrapText="1"/>
    </xf>
    <xf numFmtId="0" fontId="116" fillId="0" borderId="245" xfId="0" applyFont="1" applyBorder="1" applyAlignment="1">
      <alignment horizontal="center" wrapText="1"/>
    </xf>
    <xf numFmtId="0" fontId="116" fillId="0" borderId="255" xfId="0" applyFont="1" applyBorder="1" applyAlignment="1">
      <alignment horizontal="center" wrapText="1"/>
    </xf>
    <xf numFmtId="0" fontId="116" fillId="0" borderId="23" xfId="0" applyFont="1" applyBorder="1" applyAlignment="1">
      <alignment horizontal="center" vertical="center"/>
    </xf>
    <xf numFmtId="0" fontId="116" fillId="0" borderId="19" xfId="0" applyFont="1" applyBorder="1" applyAlignment="1">
      <alignment horizontal="center" vertical="center"/>
    </xf>
    <xf numFmtId="0" fontId="116" fillId="0" borderId="24" xfId="0" applyFont="1" applyBorder="1" applyAlignment="1">
      <alignment horizontal="center" vertical="center"/>
    </xf>
    <xf numFmtId="0" fontId="116" fillId="0" borderId="187" xfId="0" applyFont="1" applyBorder="1" applyAlignment="1">
      <alignment horizontal="center" vertical="center"/>
    </xf>
    <xf numFmtId="0" fontId="152" fillId="0" borderId="239" xfId="0" applyFont="1" applyBorder="1" applyAlignment="1">
      <alignment horizontal="center" vertical="center"/>
    </xf>
    <xf numFmtId="0" fontId="7" fillId="0" borderId="239" xfId="0" applyFont="1" applyBorder="1" applyAlignment="1">
      <alignment horizontal="center" vertical="center"/>
    </xf>
    <xf numFmtId="0" fontId="116" fillId="0" borderId="15" xfId="0" applyFont="1" applyBorder="1" applyAlignment="1">
      <alignment horizontal="center" vertical="center" wrapText="1"/>
    </xf>
    <xf numFmtId="0" fontId="116" fillId="0" borderId="16" xfId="0" applyFont="1" applyBorder="1" applyAlignment="1">
      <alignment horizontal="center" vertical="center" wrapText="1"/>
    </xf>
    <xf numFmtId="0" fontId="116" fillId="0" borderId="57" xfId="0" applyFont="1" applyBorder="1" applyAlignment="1">
      <alignment horizontal="center" vertical="center" wrapText="1"/>
    </xf>
    <xf numFmtId="10" fontId="7" fillId="0" borderId="239" xfId="0" applyNumberFormat="1" applyFont="1" applyBorder="1" applyAlignment="1">
      <alignment horizontal="center" vertical="center"/>
    </xf>
    <xf numFmtId="10" fontId="36" fillId="25" borderId="68" xfId="0" applyNumberFormat="1" applyFont="1" applyFill="1" applyBorder="1" applyAlignment="1">
      <alignment horizontal="center" vertical="center" wrapText="1"/>
    </xf>
    <xf numFmtId="10" fontId="36" fillId="25" borderId="69" xfId="0" applyNumberFormat="1" applyFont="1" applyFill="1" applyBorder="1" applyAlignment="1">
      <alignment horizontal="center" vertical="center" wrapText="1"/>
    </xf>
    <xf numFmtId="10" fontId="36" fillId="25" borderId="73" xfId="0" applyNumberFormat="1" applyFont="1" applyFill="1" applyBorder="1" applyAlignment="1">
      <alignment horizontal="center" vertical="center" wrapText="1"/>
    </xf>
    <xf numFmtId="0" fontId="116" fillId="0" borderId="14" xfId="0" applyFont="1" applyBorder="1" applyAlignment="1">
      <alignment horizontal="center" vertical="center" wrapText="1"/>
    </xf>
    <xf numFmtId="0" fontId="142" fillId="0" borderId="249" xfId="0" applyFont="1" applyBorder="1" applyAlignment="1">
      <alignment horizontal="center" vertical="center" textRotation="90"/>
    </xf>
    <xf numFmtId="0" fontId="142" fillId="0" borderId="251" xfId="0" applyFont="1" applyBorder="1" applyAlignment="1">
      <alignment horizontal="center" vertical="center" textRotation="90"/>
    </xf>
    <xf numFmtId="0" fontId="142" fillId="0" borderId="266" xfId="0" applyFont="1" applyBorder="1" applyAlignment="1">
      <alignment horizontal="center" vertical="center" textRotation="90"/>
    </xf>
    <xf numFmtId="0" fontId="142" fillId="0" borderId="252" xfId="0" applyFont="1" applyBorder="1" applyAlignment="1">
      <alignment horizontal="center" vertical="center" textRotation="90"/>
    </xf>
    <xf numFmtId="0" fontId="116" fillId="0" borderId="184" xfId="0" applyFont="1" applyBorder="1" applyAlignment="1">
      <alignment horizontal="center" vertical="center" wrapText="1"/>
    </xf>
    <xf numFmtId="0" fontId="116" fillId="0" borderId="186" xfId="0" applyFont="1" applyBorder="1" applyAlignment="1">
      <alignment horizontal="center" vertical="center" wrapText="1"/>
    </xf>
    <xf numFmtId="0" fontId="116" fillId="0" borderId="14" xfId="0" applyFont="1" applyBorder="1" applyAlignment="1">
      <alignment horizontal="center"/>
    </xf>
    <xf numFmtId="0" fontId="142" fillId="0" borderId="0" xfId="0" applyFont="1" applyAlignment="1">
      <alignment horizontal="center" vertical="center" textRotation="90"/>
    </xf>
    <xf numFmtId="0" fontId="116" fillId="0" borderId="186" xfId="0" applyFont="1" applyBorder="1" applyAlignment="1">
      <alignment horizontal="center"/>
    </xf>
    <xf numFmtId="0" fontId="116" fillId="0" borderId="129" xfId="0" applyFont="1" applyBorder="1" applyAlignment="1">
      <alignment horizontal="center"/>
    </xf>
    <xf numFmtId="0" fontId="116" fillId="0" borderId="60" xfId="0" applyFont="1" applyBorder="1" applyAlignment="1">
      <alignment horizontal="center"/>
    </xf>
    <xf numFmtId="0" fontId="15" fillId="2" borderId="233" xfId="0" applyFont="1" applyFill="1" applyBorder="1" applyAlignment="1">
      <alignment horizontal="center" vertical="center" wrapText="1"/>
    </xf>
    <xf numFmtId="0" fontId="15" fillId="2" borderId="234" xfId="0" applyFont="1" applyFill="1" applyBorder="1" applyAlignment="1">
      <alignment horizontal="center" vertical="center" wrapText="1"/>
    </xf>
    <xf numFmtId="0" fontId="15" fillId="2" borderId="235" xfId="0" applyFont="1" applyFill="1" applyBorder="1" applyAlignment="1">
      <alignment horizontal="center" vertical="center" wrapText="1"/>
    </xf>
    <xf numFmtId="0" fontId="126" fillId="10" borderId="189" xfId="0" applyFont="1" applyFill="1" applyBorder="1" applyAlignment="1">
      <alignment horizontal="center" vertical="center" wrapText="1"/>
    </xf>
    <xf numFmtId="0" fontId="126" fillId="10" borderId="190" xfId="0" applyFont="1" applyFill="1" applyBorder="1" applyAlignment="1">
      <alignment horizontal="center" vertical="center"/>
    </xf>
    <xf numFmtId="0" fontId="126" fillId="10" borderId="191" xfId="0" applyFont="1" applyFill="1" applyBorder="1" applyAlignment="1">
      <alignment horizontal="center" vertical="center"/>
    </xf>
    <xf numFmtId="0" fontId="153" fillId="151" borderId="62" xfId="0" applyFont="1" applyFill="1" applyBorder="1" applyAlignment="1">
      <alignment horizontal="center" vertical="center" wrapText="1"/>
    </xf>
    <xf numFmtId="0" fontId="153" fillId="151" borderId="63" xfId="0" applyFont="1" applyFill="1" applyBorder="1" applyAlignment="1">
      <alignment horizontal="center" vertical="center" wrapText="1"/>
    </xf>
    <xf numFmtId="0" fontId="153" fillId="151" borderId="72" xfId="0" applyFont="1" applyFill="1" applyBorder="1" applyAlignment="1">
      <alignment horizontal="center" vertical="center" wrapText="1"/>
    </xf>
    <xf numFmtId="0" fontId="153" fillId="151" borderId="0" xfId="0" applyFont="1" applyFill="1" applyAlignment="1">
      <alignment horizontal="center" vertical="center" wrapText="1"/>
    </xf>
    <xf numFmtId="0" fontId="153" fillId="151" borderId="68" xfId="0" applyFont="1" applyFill="1" applyBorder="1" applyAlignment="1">
      <alignment horizontal="center" vertical="center" wrapText="1"/>
    </xf>
    <xf numFmtId="0" fontId="153" fillId="151" borderId="69" xfId="0" applyFont="1" applyFill="1" applyBorder="1" applyAlignment="1">
      <alignment horizontal="center" vertical="center" wrapText="1"/>
    </xf>
    <xf numFmtId="0" fontId="116" fillId="0" borderId="186" xfId="0" applyFont="1" applyBorder="1" applyAlignment="1">
      <alignment horizontal="center" vertical="center"/>
    </xf>
    <xf numFmtId="0" fontId="32" fillId="0" borderId="243" xfId="0" applyFont="1" applyBorder="1" applyAlignment="1">
      <alignment horizontal="center" vertical="center" textRotation="90"/>
    </xf>
    <xf numFmtId="0" fontId="32" fillId="0" borderId="267" xfId="0" applyFont="1" applyBorder="1" applyAlignment="1">
      <alignment horizontal="center" vertical="center" textRotation="90"/>
    </xf>
    <xf numFmtId="0" fontId="32" fillId="0" borderId="270" xfId="0" applyFont="1" applyBorder="1" applyAlignment="1">
      <alignment horizontal="center" vertical="center" textRotation="90"/>
    </xf>
    <xf numFmtId="0" fontId="54" fillId="0" borderId="62" xfId="0" applyFont="1" applyBorder="1" applyAlignment="1">
      <alignment horizontal="center" vertical="center" textRotation="90"/>
    </xf>
    <xf numFmtId="0" fontId="54" fillId="0" borderId="72" xfId="0" applyFont="1" applyBorder="1" applyAlignment="1">
      <alignment horizontal="center" vertical="center" textRotation="90"/>
    </xf>
    <xf numFmtId="0" fontId="54" fillId="0" borderId="244" xfId="0" applyFont="1" applyBorder="1" applyAlignment="1">
      <alignment horizontal="center" vertical="center" textRotation="90"/>
    </xf>
    <xf numFmtId="0" fontId="54" fillId="0" borderId="247" xfId="0" applyFont="1" applyBorder="1" applyAlignment="1">
      <alignment horizontal="center" vertical="center" textRotation="90"/>
    </xf>
    <xf numFmtId="0" fontId="32" fillId="0" borderId="271" xfId="0" applyFont="1" applyBorder="1" applyAlignment="1">
      <alignment horizontal="center" vertical="center" textRotation="90"/>
    </xf>
    <xf numFmtId="0" fontId="32" fillId="0" borderId="255" xfId="0" applyFont="1" applyBorder="1" applyAlignment="1">
      <alignment horizontal="center" vertical="center" textRotation="90"/>
    </xf>
    <xf numFmtId="0" fontId="132" fillId="143" borderId="268" xfId="0" applyFont="1" applyFill="1" applyBorder="1" applyAlignment="1">
      <alignment horizontal="center" vertical="center"/>
    </xf>
    <xf numFmtId="0" fontId="132" fillId="143" borderId="71" xfId="0" applyFont="1" applyFill="1" applyBorder="1" applyAlignment="1">
      <alignment horizontal="center" vertical="center"/>
    </xf>
    <xf numFmtId="0" fontId="132" fillId="143" borderId="269" xfId="0" applyFont="1" applyFill="1" applyBorder="1" applyAlignment="1">
      <alignment horizontal="center" vertical="center"/>
    </xf>
    <xf numFmtId="0" fontId="4" fillId="143" borderId="230" xfId="0" applyFont="1" applyFill="1" applyBorder="1" applyAlignment="1">
      <alignment horizontal="center" vertical="center"/>
    </xf>
    <xf numFmtId="0" fontId="116" fillId="0" borderId="184" xfId="0" applyFont="1" applyBorder="1" applyAlignment="1">
      <alignment horizontal="center"/>
    </xf>
    <xf numFmtId="10" fontId="157" fillId="0" borderId="26" xfId="0" applyNumberFormat="1" applyFont="1" applyBorder="1" applyAlignment="1">
      <alignment horizontal="center" vertical="center" wrapText="1"/>
    </xf>
    <xf numFmtId="10" fontId="157" fillId="0" borderId="279" xfId="0" applyNumberFormat="1" applyFont="1" applyBorder="1" applyAlignment="1">
      <alignment horizontal="center" vertical="center" wrapText="1"/>
    </xf>
    <xf numFmtId="10" fontId="157" fillId="0" borderId="31" xfId="0" applyNumberFormat="1" applyFont="1" applyBorder="1" applyAlignment="1">
      <alignment horizontal="center" vertical="center" wrapText="1"/>
    </xf>
    <xf numFmtId="10" fontId="157" fillId="0" borderId="280" xfId="0" applyNumberFormat="1" applyFont="1" applyBorder="1" applyAlignment="1">
      <alignment horizontal="center" vertical="center" wrapText="1"/>
    </xf>
    <xf numFmtId="10" fontId="157" fillId="0" borderId="277" xfId="0" applyNumberFormat="1" applyFont="1" applyBorder="1" applyAlignment="1">
      <alignment horizontal="center" vertical="center" wrapText="1"/>
    </xf>
    <xf numFmtId="10" fontId="157" fillId="0" borderId="281" xfId="0" applyNumberFormat="1" applyFont="1" applyBorder="1" applyAlignment="1">
      <alignment horizontal="center" vertical="center" wrapText="1"/>
    </xf>
    <xf numFmtId="0" fontId="162" fillId="156" borderId="227" xfId="0" applyFont="1" applyFill="1" applyBorder="1" applyAlignment="1">
      <alignment horizontal="center" vertical="center" wrapText="1"/>
    </xf>
    <xf numFmtId="0" fontId="162" fillId="156" borderId="26" xfId="0" applyFont="1" applyFill="1" applyBorder="1" applyAlignment="1">
      <alignment horizontal="center" vertical="center" wrapText="1"/>
    </xf>
    <xf numFmtId="0" fontId="162" fillId="156" borderId="228" xfId="0" applyFont="1" applyFill="1" applyBorder="1" applyAlignment="1">
      <alignment horizontal="center" vertical="center" wrapText="1"/>
    </xf>
    <xf numFmtId="0" fontId="162" fillId="156" borderId="31" xfId="0" applyFont="1" applyFill="1" applyBorder="1" applyAlignment="1">
      <alignment horizontal="center" vertical="center" wrapText="1"/>
    </xf>
    <xf numFmtId="0" fontId="162" fillId="156" borderId="282" xfId="0" applyFont="1" applyFill="1" applyBorder="1" applyAlignment="1">
      <alignment horizontal="center" vertical="center" wrapText="1"/>
    </xf>
    <xf numFmtId="0" fontId="162" fillId="156" borderId="277" xfId="0" applyFont="1" applyFill="1" applyBorder="1" applyAlignment="1">
      <alignment horizontal="center" vertical="center" wrapText="1"/>
    </xf>
    <xf numFmtId="0" fontId="54" fillId="0" borderId="249" xfId="0" applyFont="1" applyBorder="1" applyAlignment="1">
      <alignment horizontal="center" vertical="center" textRotation="90"/>
    </xf>
    <xf numFmtId="0" fontId="54" fillId="0" borderId="251" xfId="0" applyFont="1" applyBorder="1" applyAlignment="1">
      <alignment horizontal="center" vertical="center" textRotation="90"/>
    </xf>
    <xf numFmtId="0" fontId="54" fillId="0" borderId="266" xfId="0" applyFont="1" applyBorder="1" applyAlignment="1">
      <alignment horizontal="center" vertical="center" textRotation="90"/>
    </xf>
    <xf numFmtId="0" fontId="54" fillId="0" borderId="252" xfId="0" applyFont="1" applyBorder="1" applyAlignment="1">
      <alignment horizontal="center" vertical="center" textRotation="90"/>
    </xf>
    <xf numFmtId="0" fontId="7" fillId="0" borderId="189" xfId="0" applyFont="1" applyBorder="1" applyAlignment="1">
      <alignment horizontal="center" wrapText="1"/>
    </xf>
    <xf numFmtId="0" fontId="7" fillId="0" borderId="190" xfId="0" applyFont="1" applyBorder="1" applyAlignment="1">
      <alignment horizontal="center" wrapText="1"/>
    </xf>
    <xf numFmtId="0" fontId="7" fillId="0" borderId="283" xfId="0" applyFont="1" applyBorder="1" applyAlignment="1">
      <alignment horizontal="center" wrapText="1"/>
    </xf>
    <xf numFmtId="0" fontId="7" fillId="0" borderId="259" xfId="0" applyFont="1" applyBorder="1" applyAlignment="1">
      <alignment horizontal="center" wrapText="1"/>
    </xf>
    <xf numFmtId="0" fontId="7" fillId="0" borderId="260" xfId="0" applyFont="1" applyBorder="1" applyAlignment="1">
      <alignment horizontal="center" wrapText="1"/>
    </xf>
    <xf numFmtId="0" fontId="54" fillId="0" borderId="240" xfId="0" applyFont="1" applyBorder="1" applyAlignment="1">
      <alignment horizontal="center" vertical="center" textRotation="90"/>
    </xf>
    <xf numFmtId="0" fontId="116" fillId="0" borderId="101" xfId="0" applyFont="1" applyBorder="1" applyAlignment="1">
      <alignment horizontal="center" vertical="center"/>
    </xf>
    <xf numFmtId="0" fontId="7" fillId="0" borderId="189" xfId="0" applyFont="1" applyBorder="1" applyAlignment="1">
      <alignment horizontal="center" vertical="center"/>
    </xf>
    <xf numFmtId="0" fontId="7" fillId="0" borderId="191" xfId="0" applyFont="1" applyBorder="1" applyAlignment="1">
      <alignment horizontal="center" vertical="center"/>
    </xf>
    <xf numFmtId="10" fontId="157" fillId="0" borderId="273" xfId="0" applyNumberFormat="1" applyFont="1" applyBorder="1" applyAlignment="1">
      <alignment horizontal="center" vertical="center" wrapText="1"/>
    </xf>
    <xf numFmtId="10" fontId="157" fillId="0" borderId="275" xfId="0" applyNumberFormat="1" applyFont="1" applyBorder="1" applyAlignment="1">
      <alignment horizontal="center" vertical="center" wrapText="1"/>
    </xf>
    <xf numFmtId="10" fontId="157" fillId="0" borderId="278" xfId="0" applyNumberFormat="1" applyFont="1" applyBorder="1" applyAlignment="1">
      <alignment horizontal="center" vertical="center" wrapText="1"/>
    </xf>
    <xf numFmtId="0" fontId="153" fillId="155" borderId="62" xfId="0" applyFont="1" applyFill="1" applyBorder="1" applyAlignment="1">
      <alignment horizontal="center" vertical="center" wrapText="1"/>
    </xf>
    <xf numFmtId="0" fontId="153" fillId="155" borderId="63" xfId="0" applyFont="1" applyFill="1" applyBorder="1" applyAlignment="1">
      <alignment horizontal="center" vertical="center" wrapText="1"/>
    </xf>
    <xf numFmtId="0" fontId="153" fillId="155" borderId="65" xfId="0" applyFont="1" applyFill="1" applyBorder="1" applyAlignment="1">
      <alignment horizontal="center" vertical="center" wrapText="1"/>
    </xf>
    <xf numFmtId="0" fontId="163" fillId="151" borderId="272" xfId="0" applyFont="1" applyFill="1" applyBorder="1" applyAlignment="1">
      <alignment horizontal="center" vertical="center" wrapText="1"/>
    </xf>
    <xf numFmtId="0" fontId="163" fillId="151" borderId="26" xfId="0" applyFont="1" applyFill="1" applyBorder="1" applyAlignment="1">
      <alignment horizontal="center" vertical="center" wrapText="1"/>
    </xf>
    <xf numFmtId="0" fontId="163" fillId="151" borderId="274" xfId="0" applyFont="1" applyFill="1" applyBorder="1" applyAlignment="1">
      <alignment horizontal="center" vertical="center" wrapText="1"/>
    </xf>
    <xf numFmtId="0" fontId="163" fillId="151" borderId="31" xfId="0" applyFont="1" applyFill="1" applyBorder="1" applyAlignment="1">
      <alignment horizontal="center" vertical="center" wrapText="1"/>
    </xf>
    <xf numFmtId="0" fontId="163" fillId="151" borderId="276" xfId="0" applyFont="1" applyFill="1" applyBorder="1" applyAlignment="1">
      <alignment horizontal="center" vertical="center" wrapText="1"/>
    </xf>
    <xf numFmtId="0" fontId="163" fillId="151" borderId="277" xfId="0" applyFont="1" applyFill="1" applyBorder="1" applyAlignment="1">
      <alignment horizontal="center" vertical="center" wrapText="1"/>
    </xf>
    <xf numFmtId="0" fontId="163" fillId="151" borderId="227" xfId="0" applyFont="1" applyFill="1" applyBorder="1" applyAlignment="1">
      <alignment horizontal="center" vertical="center" wrapText="1"/>
    </xf>
    <xf numFmtId="0" fontId="163" fillId="151" borderId="228" xfId="0" applyFont="1" applyFill="1" applyBorder="1" applyAlignment="1">
      <alignment horizontal="center" vertical="center" wrapText="1"/>
    </xf>
    <xf numFmtId="0" fontId="163" fillId="151" borderId="282" xfId="0" applyFont="1" applyFill="1" applyBorder="1" applyAlignment="1">
      <alignment horizontal="center" vertical="center" wrapText="1"/>
    </xf>
    <xf numFmtId="0" fontId="153" fillId="155" borderId="72" xfId="0" applyFont="1" applyFill="1" applyBorder="1" applyAlignment="1">
      <alignment horizontal="center" vertical="center" wrapText="1"/>
    </xf>
    <xf numFmtId="0" fontId="153" fillId="155" borderId="0" xfId="0" applyFont="1" applyFill="1" applyAlignment="1">
      <alignment horizontal="center" vertical="center" wrapText="1"/>
    </xf>
    <xf numFmtId="0" fontId="153" fillId="155" borderId="70" xfId="0" applyFont="1" applyFill="1" applyBorder="1" applyAlignment="1">
      <alignment horizontal="center" vertical="center" wrapText="1"/>
    </xf>
    <xf numFmtId="0" fontId="163" fillId="157" borderId="272" xfId="0" applyFont="1" applyFill="1" applyBorder="1" applyAlignment="1">
      <alignment horizontal="center" vertical="center" wrapText="1"/>
    </xf>
    <xf numFmtId="0" fontId="163" fillId="157" borderId="26" xfId="0" applyFont="1" applyFill="1" applyBorder="1" applyAlignment="1">
      <alignment horizontal="center" vertical="center" wrapText="1"/>
    </xf>
    <xf numFmtId="0" fontId="163" fillId="157" borderId="274" xfId="0" applyFont="1" applyFill="1" applyBorder="1" applyAlignment="1">
      <alignment horizontal="center" vertical="center" wrapText="1"/>
    </xf>
    <xf numFmtId="0" fontId="163" fillId="157" borderId="31" xfId="0" applyFont="1" applyFill="1" applyBorder="1" applyAlignment="1">
      <alignment horizontal="center" vertical="center" wrapText="1"/>
    </xf>
    <xf numFmtId="0" fontId="163" fillId="157" borderId="276" xfId="0" applyFont="1" applyFill="1" applyBorder="1" applyAlignment="1">
      <alignment horizontal="center" vertical="center" wrapText="1"/>
    </xf>
    <xf numFmtId="0" fontId="163" fillId="157" borderId="277" xfId="0" applyFont="1" applyFill="1" applyBorder="1" applyAlignment="1">
      <alignment horizontal="center" vertical="center" wrapText="1"/>
    </xf>
    <xf numFmtId="0" fontId="4" fillId="153" borderId="230" xfId="0" applyFont="1" applyFill="1" applyBorder="1" applyAlignment="1">
      <alignment horizontal="center" vertical="center"/>
    </xf>
    <xf numFmtId="0" fontId="132" fillId="153" borderId="268" xfId="0" applyFont="1" applyFill="1" applyBorder="1" applyAlignment="1">
      <alignment horizontal="center" vertical="center"/>
    </xf>
    <xf numFmtId="0" fontId="132" fillId="153" borderId="71" xfId="0" applyFont="1" applyFill="1" applyBorder="1" applyAlignment="1">
      <alignment horizontal="center" vertical="center"/>
    </xf>
    <xf numFmtId="0" fontId="132" fillId="153" borderId="269" xfId="0" applyFont="1" applyFill="1" applyBorder="1" applyAlignment="1">
      <alignment horizontal="center" vertical="center"/>
    </xf>
    <xf numFmtId="0" fontId="54" fillId="0" borderId="14" xfId="0" applyFont="1" applyBorder="1" applyAlignment="1">
      <alignment horizontal="center" vertical="center"/>
    </xf>
    <xf numFmtId="0" fontId="35" fillId="0" borderId="14" xfId="0" applyFont="1" applyBorder="1" applyAlignment="1">
      <alignment horizontal="center" vertical="center"/>
    </xf>
    <xf numFmtId="0" fontId="5" fillId="27" borderId="76" xfId="0" applyFont="1" applyFill="1" applyBorder="1" applyAlignment="1">
      <alignment horizontal="center" vertical="center" wrapText="1"/>
    </xf>
    <xf numFmtId="0" fontId="5" fillId="27" borderId="0" xfId="0" applyFont="1" applyFill="1" applyAlignment="1">
      <alignment horizontal="center" vertical="center" wrapText="1"/>
    </xf>
    <xf numFmtId="0" fontId="5" fillId="27" borderId="78" xfId="0" applyFont="1" applyFill="1" applyBorder="1" applyAlignment="1">
      <alignment horizontal="center" vertical="center" wrapText="1"/>
    </xf>
    <xf numFmtId="0" fontId="5" fillId="27" borderId="11" xfId="0" applyFont="1" applyFill="1" applyBorder="1" applyAlignment="1">
      <alignment horizontal="center" vertical="center" wrapText="1"/>
    </xf>
    <xf numFmtId="10" fontId="12" fillId="27" borderId="52" xfId="0" applyNumberFormat="1" applyFont="1" applyFill="1" applyBorder="1" applyAlignment="1">
      <alignment horizontal="center" vertical="center"/>
    </xf>
    <xf numFmtId="10" fontId="12" fillId="27" borderId="75" xfId="0" applyNumberFormat="1" applyFont="1" applyFill="1" applyBorder="1" applyAlignment="1">
      <alignment horizontal="center" vertical="center"/>
    </xf>
    <xf numFmtId="10" fontId="12" fillId="27" borderId="0" xfId="0" applyNumberFormat="1" applyFont="1" applyFill="1" applyAlignment="1">
      <alignment horizontal="center" vertical="center"/>
    </xf>
    <xf numFmtId="10" fontId="12" fillId="27" borderId="77" xfId="0" applyNumberFormat="1" applyFont="1" applyFill="1" applyBorder="1" applyAlignment="1">
      <alignment horizontal="center" vertical="center"/>
    </xf>
    <xf numFmtId="10" fontId="12" fillId="27" borderId="11" xfId="0" applyNumberFormat="1" applyFont="1" applyFill="1" applyBorder="1" applyAlignment="1">
      <alignment horizontal="center" vertical="center"/>
    </xf>
    <xf numFmtId="10" fontId="12" fillId="27" borderId="79" xfId="0" applyNumberFormat="1" applyFont="1" applyFill="1" applyBorder="1" applyAlignment="1">
      <alignment horizontal="center" vertical="center"/>
    </xf>
    <xf numFmtId="0" fontId="56" fillId="37" borderId="81" xfId="0" applyFont="1" applyFill="1" applyBorder="1" applyAlignment="1">
      <alignment horizontal="center" vertical="center"/>
    </xf>
    <xf numFmtId="0" fontId="56" fillId="37" borderId="82" xfId="0" applyFont="1" applyFill="1" applyBorder="1" applyAlignment="1">
      <alignment horizontal="center" vertical="center"/>
    </xf>
    <xf numFmtId="0" fontId="56" fillId="37" borderId="83" xfId="0" applyFont="1" applyFill="1" applyBorder="1" applyAlignment="1">
      <alignment horizontal="center" vertical="center"/>
    </xf>
    <xf numFmtId="10" fontId="12" fillId="27" borderId="8" xfId="0" applyNumberFormat="1" applyFont="1" applyFill="1" applyBorder="1" applyAlignment="1">
      <alignment horizontal="center" vertical="center"/>
    </xf>
    <xf numFmtId="10" fontId="12" fillId="27" borderId="161" xfId="0" applyNumberFormat="1" applyFont="1" applyFill="1" applyBorder="1" applyAlignment="1">
      <alignment horizontal="center" vertical="center"/>
    </xf>
    <xf numFmtId="0" fontId="5" fillId="27" borderId="162" xfId="0" applyFont="1" applyFill="1" applyBorder="1" applyAlignment="1">
      <alignment horizontal="center" vertical="center" wrapText="1"/>
    </xf>
    <xf numFmtId="0" fontId="5" fillId="27" borderId="8" xfId="0" applyFont="1" applyFill="1" applyBorder="1" applyAlignment="1">
      <alignment horizontal="center" vertical="center" wrapText="1"/>
    </xf>
    <xf numFmtId="0" fontId="114" fillId="37" borderId="81" xfId="0" applyFont="1" applyFill="1" applyBorder="1" applyAlignment="1">
      <alignment horizontal="center" vertical="center"/>
    </xf>
    <xf numFmtId="0" fontId="114" fillId="37" borderId="82" xfId="0" applyFont="1" applyFill="1" applyBorder="1" applyAlignment="1">
      <alignment horizontal="center" vertical="center"/>
    </xf>
    <xf numFmtId="0" fontId="114" fillId="37" borderId="83" xfId="0" applyFont="1" applyFill="1" applyBorder="1" applyAlignment="1">
      <alignment horizontal="center" vertical="center"/>
    </xf>
    <xf numFmtId="0" fontId="113" fillId="37" borderId="81" xfId="0" applyFont="1" applyFill="1" applyBorder="1" applyAlignment="1">
      <alignment horizontal="center" vertical="center"/>
    </xf>
    <xf numFmtId="0" fontId="113" fillId="37" borderId="82" xfId="0" applyFont="1" applyFill="1" applyBorder="1" applyAlignment="1">
      <alignment horizontal="center" vertical="center"/>
    </xf>
    <xf numFmtId="0" fontId="113" fillId="37" borderId="83" xfId="0" applyFont="1" applyFill="1" applyBorder="1" applyAlignment="1">
      <alignment horizontal="center" vertical="center"/>
    </xf>
    <xf numFmtId="0" fontId="149" fillId="37" borderId="81" xfId="0" applyFont="1" applyFill="1" applyBorder="1" applyAlignment="1">
      <alignment horizontal="center" vertical="center"/>
    </xf>
    <xf numFmtId="0" fontId="149" fillId="37" borderId="82" xfId="0" applyFont="1" applyFill="1" applyBorder="1" applyAlignment="1">
      <alignment horizontal="center" vertical="center"/>
    </xf>
    <xf numFmtId="0" fontId="149" fillId="37" borderId="83" xfId="0" applyFont="1" applyFill="1" applyBorder="1" applyAlignment="1">
      <alignment horizontal="center" vertical="center"/>
    </xf>
    <xf numFmtId="0" fontId="5" fillId="30" borderId="74" xfId="0" applyFont="1" applyFill="1" applyBorder="1" applyAlignment="1">
      <alignment horizontal="center" vertical="center" wrapText="1"/>
    </xf>
    <xf numFmtId="0" fontId="5" fillId="30" borderId="52" xfId="0" applyFont="1" applyFill="1" applyBorder="1" applyAlignment="1">
      <alignment horizontal="center" vertical="center" wrapText="1"/>
    </xf>
    <xf numFmtId="0" fontId="5" fillId="30" borderId="76" xfId="0" applyFont="1" applyFill="1" applyBorder="1" applyAlignment="1">
      <alignment horizontal="center" vertical="center" wrapText="1"/>
    </xf>
    <xf numFmtId="0" fontId="5" fillId="30" borderId="0" xfId="0" applyFont="1" applyFill="1" applyAlignment="1">
      <alignment horizontal="center" vertical="center" wrapText="1"/>
    </xf>
    <xf numFmtId="0" fontId="5" fillId="30" borderId="78" xfId="0" applyFont="1" applyFill="1" applyBorder="1" applyAlignment="1">
      <alignment horizontal="center" vertical="center" wrapText="1"/>
    </xf>
    <xf numFmtId="0" fontId="5" fillId="30" borderId="11" xfId="0" applyFont="1" applyFill="1" applyBorder="1" applyAlignment="1">
      <alignment horizontal="center" vertical="center" wrapText="1"/>
    </xf>
    <xf numFmtId="10" fontId="12" fillId="30" borderId="52" xfId="0" applyNumberFormat="1" applyFont="1" applyFill="1" applyBorder="1" applyAlignment="1">
      <alignment horizontal="center" vertical="center"/>
    </xf>
    <xf numFmtId="10" fontId="12" fillId="30" borderId="75" xfId="0" applyNumberFormat="1" applyFont="1" applyFill="1" applyBorder="1" applyAlignment="1">
      <alignment horizontal="center" vertical="center"/>
    </xf>
    <xf numFmtId="10" fontId="12" fillId="30" borderId="0" xfId="0" applyNumberFormat="1" applyFont="1" applyFill="1" applyAlignment="1">
      <alignment horizontal="center" vertical="center"/>
    </xf>
    <xf numFmtId="10" fontId="12" fillId="30" borderId="77" xfId="0" applyNumberFormat="1" applyFont="1" applyFill="1" applyBorder="1" applyAlignment="1">
      <alignment horizontal="center" vertical="center"/>
    </xf>
    <xf numFmtId="10" fontId="12" fillId="30" borderId="11" xfId="0" applyNumberFormat="1" applyFont="1" applyFill="1" applyBorder="1" applyAlignment="1">
      <alignment horizontal="center" vertical="center"/>
    </xf>
    <xf numFmtId="10" fontId="12" fillId="30" borderId="79" xfId="0" applyNumberFormat="1" applyFont="1" applyFill="1" applyBorder="1" applyAlignment="1">
      <alignment horizontal="center" vertical="center"/>
    </xf>
    <xf numFmtId="0" fontId="15" fillId="31" borderId="80" xfId="0" applyFont="1" applyFill="1" applyBorder="1" applyAlignment="1">
      <alignment horizontal="center" vertical="center" textRotation="90"/>
    </xf>
    <xf numFmtId="0" fontId="15" fillId="31" borderId="84" xfId="0" applyFont="1" applyFill="1" applyBorder="1" applyAlignment="1">
      <alignment horizontal="center" vertical="center" textRotation="90"/>
    </xf>
    <xf numFmtId="0" fontId="59" fillId="37" borderId="81" xfId="0" applyFont="1" applyFill="1" applyBorder="1" applyAlignment="1">
      <alignment horizontal="center" vertical="center"/>
    </xf>
    <xf numFmtId="0" fontId="59" fillId="37" borderId="82" xfId="0" applyFont="1" applyFill="1" applyBorder="1" applyAlignment="1">
      <alignment horizontal="center" vertical="center"/>
    </xf>
    <xf numFmtId="0" fontId="59" fillId="37" borderId="83" xfId="0" applyFont="1" applyFill="1" applyBorder="1" applyAlignment="1">
      <alignment horizontal="center" vertical="center"/>
    </xf>
    <xf numFmtId="2" fontId="116" fillId="0" borderId="14" xfId="0" applyNumberFormat="1" applyFont="1" applyBorder="1" applyAlignment="1">
      <alignment horizontal="center" vertical="center"/>
    </xf>
    <xf numFmtId="10" fontId="12" fillId="0" borderId="0" xfId="0" applyNumberFormat="1" applyFont="1" applyAlignment="1">
      <alignment horizontal="center" vertical="center"/>
    </xf>
    <xf numFmtId="0" fontId="5" fillId="213" borderId="74" xfId="0" applyFont="1" applyFill="1" applyBorder="1" applyAlignment="1">
      <alignment horizontal="center" vertical="center"/>
    </xf>
    <xf numFmtId="0" fontId="5" fillId="213" borderId="52" xfId="0" applyFont="1" applyFill="1" applyBorder="1" applyAlignment="1">
      <alignment horizontal="center" vertical="center"/>
    </xf>
    <xf numFmtId="0" fontId="5" fillId="213" borderId="76" xfId="0" applyFont="1" applyFill="1" applyBorder="1" applyAlignment="1">
      <alignment horizontal="center" vertical="center"/>
    </xf>
    <xf numFmtId="0" fontId="5" fillId="213" borderId="0" xfId="0" applyFont="1" applyFill="1" applyAlignment="1">
      <alignment horizontal="center" vertical="center"/>
    </xf>
    <xf numFmtId="0" fontId="5" fillId="213" borderId="78" xfId="0" applyFont="1" applyFill="1" applyBorder="1" applyAlignment="1">
      <alignment horizontal="center" vertical="center"/>
    </xf>
    <xf numFmtId="0" fontId="5" fillId="213" borderId="11" xfId="0" applyFont="1" applyFill="1" applyBorder="1" applyAlignment="1">
      <alignment horizontal="center" vertical="center"/>
    </xf>
    <xf numFmtId="10" fontId="3" fillId="10" borderId="52" xfId="0" applyNumberFormat="1" applyFont="1" applyFill="1" applyBorder="1" applyAlignment="1">
      <alignment horizontal="center" vertical="center"/>
    </xf>
    <xf numFmtId="10" fontId="3" fillId="10" borderId="75" xfId="0" applyNumberFormat="1" applyFont="1" applyFill="1" applyBorder="1" applyAlignment="1">
      <alignment horizontal="center" vertical="center"/>
    </xf>
    <xf numFmtId="10" fontId="3" fillId="10" borderId="0" xfId="0" applyNumberFormat="1" applyFont="1" applyFill="1" applyAlignment="1">
      <alignment horizontal="center" vertical="center"/>
    </xf>
    <xf numFmtId="10" fontId="3" fillId="10" borderId="77" xfId="0" applyNumberFormat="1" applyFont="1" applyFill="1" applyBorder="1" applyAlignment="1">
      <alignment horizontal="center" vertical="center"/>
    </xf>
    <xf numFmtId="10" fontId="3" fillId="10" borderId="11" xfId="0" applyNumberFormat="1" applyFont="1" applyFill="1" applyBorder="1" applyAlignment="1">
      <alignment horizontal="center" vertical="center"/>
    </xf>
    <xf numFmtId="10" fontId="3" fillId="10" borderId="79" xfId="0" applyNumberFormat="1" applyFont="1" applyFill="1" applyBorder="1" applyAlignment="1">
      <alignment horizontal="center" vertical="center"/>
    </xf>
    <xf numFmtId="10" fontId="3" fillId="16" borderId="52" xfId="0" applyNumberFormat="1" applyFont="1" applyFill="1" applyBorder="1" applyAlignment="1">
      <alignment horizontal="center" vertical="center"/>
    </xf>
    <xf numFmtId="10" fontId="3" fillId="16" borderId="75" xfId="0" applyNumberFormat="1" applyFont="1" applyFill="1" applyBorder="1" applyAlignment="1">
      <alignment horizontal="center" vertical="center"/>
    </xf>
    <xf numFmtId="10" fontId="3" fillId="16" borderId="0" xfId="0" applyNumberFormat="1" applyFont="1" applyFill="1" applyAlignment="1">
      <alignment horizontal="center" vertical="center"/>
    </xf>
    <xf numFmtId="10" fontId="3" fillId="16" borderId="77" xfId="0" applyNumberFormat="1" applyFont="1" applyFill="1" applyBorder="1" applyAlignment="1">
      <alignment horizontal="center" vertical="center"/>
    </xf>
    <xf numFmtId="10" fontId="3" fillId="16" borderId="11" xfId="0" applyNumberFormat="1" applyFont="1" applyFill="1" applyBorder="1" applyAlignment="1">
      <alignment horizontal="center" vertical="center"/>
    </xf>
    <xf numFmtId="10" fontId="3" fillId="16" borderId="79" xfId="0" applyNumberFormat="1" applyFont="1" applyFill="1" applyBorder="1" applyAlignment="1">
      <alignment horizontal="center" vertical="center"/>
    </xf>
    <xf numFmtId="0" fontId="5" fillId="16" borderId="74" xfId="0" applyFont="1" applyFill="1" applyBorder="1" applyAlignment="1">
      <alignment horizontal="center" vertical="center"/>
    </xf>
    <xf numFmtId="0" fontId="5" fillId="16" borderId="52" xfId="0" applyFont="1" applyFill="1" applyBorder="1" applyAlignment="1">
      <alignment horizontal="center" vertical="center"/>
    </xf>
    <xf numFmtId="0" fontId="5" fillId="16" borderId="76" xfId="0" applyFont="1" applyFill="1" applyBorder="1" applyAlignment="1">
      <alignment horizontal="center" vertical="center"/>
    </xf>
    <xf numFmtId="0" fontId="5" fillId="16" borderId="0" xfId="0" applyFont="1" applyFill="1" applyAlignment="1">
      <alignment horizontal="center" vertical="center"/>
    </xf>
    <xf numFmtId="0" fontId="5" fillId="16" borderId="78" xfId="0" applyFont="1" applyFill="1" applyBorder="1" applyAlignment="1">
      <alignment horizontal="center" vertical="center"/>
    </xf>
    <xf numFmtId="0" fontId="5" fillId="16" borderId="11" xfId="0" applyFont="1" applyFill="1" applyBorder="1" applyAlignment="1">
      <alignment horizontal="center" vertical="center"/>
    </xf>
    <xf numFmtId="0" fontId="3" fillId="65" borderId="80" xfId="0" applyFont="1" applyFill="1" applyBorder="1" applyAlignment="1">
      <alignment horizontal="center" vertical="center" textRotation="90"/>
    </xf>
    <xf numFmtId="0" fontId="3" fillId="65" borderId="84" xfId="0" applyFont="1" applyFill="1" applyBorder="1" applyAlignment="1">
      <alignment horizontal="center" vertical="center" textRotation="90"/>
    </xf>
    <xf numFmtId="0" fontId="168" fillId="101" borderId="81" xfId="0" applyFont="1" applyFill="1" applyBorder="1" applyAlignment="1">
      <alignment horizontal="center" vertical="center"/>
    </xf>
    <xf numFmtId="0" fontId="168" fillId="101" borderId="82" xfId="0" applyFont="1" applyFill="1" applyBorder="1" applyAlignment="1">
      <alignment horizontal="center" vertical="center"/>
    </xf>
    <xf numFmtId="0" fontId="168" fillId="101" borderId="83" xfId="0" applyFont="1" applyFill="1" applyBorder="1" applyAlignment="1">
      <alignment horizontal="center" vertical="center"/>
    </xf>
    <xf numFmtId="0" fontId="3" fillId="50" borderId="80" xfId="0" applyFont="1" applyFill="1" applyBorder="1" applyAlignment="1">
      <alignment horizontal="center" vertical="center" textRotation="90"/>
    </xf>
    <xf numFmtId="0" fontId="3" fillId="50" borderId="84" xfId="0" applyFont="1" applyFill="1" applyBorder="1" applyAlignment="1">
      <alignment horizontal="center" vertical="center" textRotation="90"/>
    </xf>
    <xf numFmtId="0" fontId="72" fillId="0" borderId="0" xfId="0" applyFont="1" applyAlignment="1">
      <alignment horizontal="center" vertical="center"/>
    </xf>
    <xf numFmtId="0" fontId="75" fillId="101" borderId="81" xfId="0" applyFont="1" applyFill="1" applyBorder="1" applyAlignment="1">
      <alignment horizontal="center" vertical="center"/>
    </xf>
    <xf numFmtId="0" fontId="75" fillId="101" borderId="82" xfId="0" applyFont="1" applyFill="1" applyBorder="1" applyAlignment="1">
      <alignment horizontal="center" vertical="center"/>
    </xf>
    <xf numFmtId="0" fontId="75" fillId="101" borderId="83" xfId="0" applyFont="1" applyFill="1" applyBorder="1" applyAlignment="1">
      <alignment horizontal="center" vertical="center"/>
    </xf>
    <xf numFmtId="0" fontId="5" fillId="214" borderId="74" xfId="0" applyFont="1" applyFill="1" applyBorder="1" applyAlignment="1">
      <alignment horizontal="center" vertical="center"/>
    </xf>
    <xf numFmtId="0" fontId="5" fillId="214" borderId="52" xfId="0" applyFont="1" applyFill="1" applyBorder="1" applyAlignment="1">
      <alignment horizontal="center" vertical="center"/>
    </xf>
    <xf numFmtId="0" fontId="5" fillId="214" borderId="76" xfId="0" applyFont="1" applyFill="1" applyBorder="1" applyAlignment="1">
      <alignment horizontal="center" vertical="center"/>
    </xf>
    <xf numFmtId="0" fontId="5" fillId="214" borderId="0" xfId="0" applyFont="1" applyFill="1" applyAlignment="1">
      <alignment horizontal="center" vertical="center"/>
    </xf>
    <xf numFmtId="0" fontId="5" fillId="214" borderId="78" xfId="0" applyFont="1" applyFill="1" applyBorder="1" applyAlignment="1">
      <alignment horizontal="center" vertical="center"/>
    </xf>
    <xf numFmtId="0" fontId="5" fillId="214" borderId="11" xfId="0" applyFont="1" applyFill="1" applyBorder="1" applyAlignment="1">
      <alignment horizontal="center" vertical="center"/>
    </xf>
    <xf numFmtId="10" fontId="3" fillId="203" borderId="52" xfId="0" applyNumberFormat="1" applyFont="1" applyFill="1" applyBorder="1" applyAlignment="1">
      <alignment horizontal="center" vertical="center"/>
    </xf>
    <xf numFmtId="10" fontId="3" fillId="203" borderId="75" xfId="0" applyNumberFormat="1" applyFont="1" applyFill="1" applyBorder="1" applyAlignment="1">
      <alignment horizontal="center" vertical="center"/>
    </xf>
    <xf numFmtId="10" fontId="3" fillId="203" borderId="0" xfId="0" applyNumberFormat="1" applyFont="1" applyFill="1" applyAlignment="1">
      <alignment horizontal="center" vertical="center"/>
    </xf>
    <xf numFmtId="10" fontId="3" fillId="203" borderId="77" xfId="0" applyNumberFormat="1" applyFont="1" applyFill="1" applyBorder="1" applyAlignment="1">
      <alignment horizontal="center" vertical="center"/>
    </xf>
    <xf numFmtId="10" fontId="3" fillId="203" borderId="11" xfId="0" applyNumberFormat="1" applyFont="1" applyFill="1" applyBorder="1" applyAlignment="1">
      <alignment horizontal="center" vertical="center"/>
    </xf>
    <xf numFmtId="10" fontId="3" fillId="203" borderId="79" xfId="0" applyNumberFormat="1" applyFont="1" applyFill="1" applyBorder="1" applyAlignment="1">
      <alignment horizontal="center" vertical="center"/>
    </xf>
    <xf numFmtId="0" fontId="3" fillId="204" borderId="80" xfId="0" applyFont="1" applyFill="1" applyBorder="1" applyAlignment="1">
      <alignment horizontal="center" vertical="center" textRotation="90"/>
    </xf>
    <xf numFmtId="0" fontId="3" fillId="204" borderId="84" xfId="0" applyFont="1" applyFill="1" applyBorder="1" applyAlignment="1">
      <alignment horizontal="center" vertical="center" textRotation="90"/>
    </xf>
    <xf numFmtId="0" fontId="5" fillId="203" borderId="74" xfId="0" applyFont="1" applyFill="1" applyBorder="1" applyAlignment="1">
      <alignment horizontal="center" vertical="center"/>
    </xf>
    <xf numFmtId="0" fontId="5" fillId="203" borderId="52" xfId="0" applyFont="1" applyFill="1" applyBorder="1" applyAlignment="1">
      <alignment horizontal="center" vertical="center"/>
    </xf>
    <xf numFmtId="0" fontId="5" fillId="203" borderId="76" xfId="0" applyFont="1" applyFill="1" applyBorder="1" applyAlignment="1">
      <alignment horizontal="center" vertical="center"/>
    </xf>
    <xf numFmtId="0" fontId="5" fillId="203" borderId="0" xfId="0" applyFont="1" applyFill="1" applyAlignment="1">
      <alignment horizontal="center" vertical="center"/>
    </xf>
    <xf numFmtId="0" fontId="5" fillId="203" borderId="78" xfId="0" applyFont="1" applyFill="1" applyBorder="1" applyAlignment="1">
      <alignment horizontal="center" vertical="center"/>
    </xf>
    <xf numFmtId="0" fontId="5" fillId="203" borderId="11" xfId="0" applyFont="1" applyFill="1" applyBorder="1" applyAlignment="1">
      <alignment horizontal="center" vertical="center"/>
    </xf>
    <xf numFmtId="0" fontId="5" fillId="215" borderId="74" xfId="0" applyFont="1" applyFill="1" applyBorder="1" applyAlignment="1">
      <alignment horizontal="center" vertical="center"/>
    </xf>
    <xf numFmtId="0" fontId="5" fillId="215" borderId="52" xfId="0" applyFont="1" applyFill="1" applyBorder="1" applyAlignment="1">
      <alignment horizontal="center" vertical="center"/>
    </xf>
    <xf numFmtId="0" fontId="5" fillId="215" borderId="76" xfId="0" applyFont="1" applyFill="1" applyBorder="1" applyAlignment="1">
      <alignment horizontal="center" vertical="center"/>
    </xf>
    <xf numFmtId="0" fontId="5" fillId="215" borderId="0" xfId="0" applyFont="1" applyFill="1" applyAlignment="1">
      <alignment horizontal="center" vertical="center"/>
    </xf>
    <xf numFmtId="0" fontId="5" fillId="215" borderId="78" xfId="0" applyFont="1" applyFill="1" applyBorder="1" applyAlignment="1">
      <alignment horizontal="center" vertical="center"/>
    </xf>
    <xf numFmtId="0" fontId="5" fillId="215" borderId="11" xfId="0" applyFont="1" applyFill="1" applyBorder="1" applyAlignment="1">
      <alignment horizontal="center" vertical="center"/>
    </xf>
    <xf numFmtId="10" fontId="3" fillId="118" borderId="52" xfId="0" applyNumberFormat="1" applyFont="1" applyFill="1" applyBorder="1" applyAlignment="1">
      <alignment horizontal="center" vertical="center"/>
    </xf>
    <xf numFmtId="10" fontId="3" fillId="118" borderId="75" xfId="0" applyNumberFormat="1" applyFont="1" applyFill="1" applyBorder="1" applyAlignment="1">
      <alignment horizontal="center" vertical="center"/>
    </xf>
    <xf numFmtId="10" fontId="3" fillId="118" borderId="0" xfId="0" applyNumberFormat="1" applyFont="1" applyFill="1" applyAlignment="1">
      <alignment horizontal="center" vertical="center"/>
    </xf>
    <xf numFmtId="10" fontId="3" fillId="118" borderId="77" xfId="0" applyNumberFormat="1" applyFont="1" applyFill="1" applyBorder="1" applyAlignment="1">
      <alignment horizontal="center" vertical="center"/>
    </xf>
    <xf numFmtId="10" fontId="3" fillId="118" borderId="11" xfId="0" applyNumberFormat="1" applyFont="1" applyFill="1" applyBorder="1" applyAlignment="1">
      <alignment horizontal="center" vertical="center"/>
    </xf>
    <xf numFmtId="10" fontId="3" fillId="118" borderId="79" xfId="0" applyNumberFormat="1" applyFont="1" applyFill="1" applyBorder="1" applyAlignment="1">
      <alignment horizontal="center" vertical="center"/>
    </xf>
    <xf numFmtId="10" fontId="3" fillId="0" borderId="52" xfId="0" applyNumberFormat="1" applyFont="1" applyBorder="1" applyAlignment="1">
      <alignment horizontal="center" vertical="center"/>
    </xf>
    <xf numFmtId="10" fontId="3" fillId="0" borderId="75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 textRotation="90"/>
    </xf>
    <xf numFmtId="0" fontId="75" fillId="0" borderId="0" xfId="0" applyFont="1" applyAlignment="1">
      <alignment horizontal="center" vertical="center"/>
    </xf>
    <xf numFmtId="0" fontId="3" fillId="119" borderId="80" xfId="0" applyFont="1" applyFill="1" applyBorder="1" applyAlignment="1">
      <alignment horizontal="center" vertical="center" textRotation="90"/>
    </xf>
    <xf numFmtId="0" fontId="3" fillId="119" borderId="84" xfId="0" applyFont="1" applyFill="1" applyBorder="1" applyAlignment="1">
      <alignment horizontal="center" vertical="center" textRotation="90"/>
    </xf>
    <xf numFmtId="0" fontId="3" fillId="57" borderId="80" xfId="0" applyFont="1" applyFill="1" applyBorder="1" applyAlignment="1">
      <alignment horizontal="center" vertical="center" textRotation="90"/>
    </xf>
    <xf numFmtId="0" fontId="3" fillId="57" borderId="84" xfId="0" applyFont="1" applyFill="1" applyBorder="1" applyAlignment="1">
      <alignment horizontal="center" vertical="center" textRotation="90"/>
    </xf>
    <xf numFmtId="0" fontId="75" fillId="58" borderId="81" xfId="0" applyFont="1" applyFill="1" applyBorder="1" applyAlignment="1">
      <alignment horizontal="center" vertical="center"/>
    </xf>
    <xf numFmtId="0" fontId="75" fillId="58" borderId="82" xfId="0" applyFont="1" applyFill="1" applyBorder="1" applyAlignment="1">
      <alignment horizontal="center" vertical="center"/>
    </xf>
    <xf numFmtId="0" fontId="75" fillId="58" borderId="83" xfId="0" applyFont="1" applyFill="1" applyBorder="1" applyAlignment="1">
      <alignment horizontal="center" vertical="center"/>
    </xf>
    <xf numFmtId="0" fontId="3" fillId="55" borderId="91" xfId="0" applyFont="1" applyFill="1" applyBorder="1" applyAlignment="1">
      <alignment horizontal="center" vertical="center"/>
    </xf>
    <xf numFmtId="0" fontId="3" fillId="55" borderId="16" xfId="0" applyFont="1" applyFill="1" applyBorder="1" applyAlignment="1">
      <alignment horizontal="center" vertical="center"/>
    </xf>
    <xf numFmtId="0" fontId="3" fillId="55" borderId="90" xfId="0" applyFont="1" applyFill="1" applyBorder="1" applyAlignment="1">
      <alignment horizontal="center" vertical="center"/>
    </xf>
    <xf numFmtId="0" fontId="3" fillId="55" borderId="76" xfId="0" applyFont="1" applyFill="1" applyBorder="1" applyAlignment="1">
      <alignment horizontal="center" vertical="center"/>
    </xf>
    <xf numFmtId="0" fontId="3" fillId="55" borderId="0" xfId="0" applyFont="1" applyFill="1" applyAlignment="1">
      <alignment horizontal="center" vertical="center"/>
    </xf>
    <xf numFmtId="0" fontId="3" fillId="55" borderId="77" xfId="0" applyFont="1" applyFill="1" applyBorder="1" applyAlignment="1">
      <alignment horizontal="center" vertical="center"/>
    </xf>
    <xf numFmtId="0" fontId="3" fillId="55" borderId="78" xfId="0" applyFont="1" applyFill="1" applyBorder="1" applyAlignment="1">
      <alignment horizontal="center" vertical="center"/>
    </xf>
    <xf numFmtId="0" fontId="3" fillId="55" borderId="11" xfId="0" applyFont="1" applyFill="1" applyBorder="1" applyAlignment="1">
      <alignment horizontal="center" vertical="center"/>
    </xf>
    <xf numFmtId="0" fontId="3" fillId="55" borderId="79" xfId="0" applyFont="1" applyFill="1" applyBorder="1" applyAlignment="1">
      <alignment horizontal="center" vertical="center"/>
    </xf>
    <xf numFmtId="0" fontId="3" fillId="56" borderId="0" xfId="0" applyFont="1" applyFill="1" applyAlignment="1">
      <alignment horizontal="center" vertical="center"/>
    </xf>
    <xf numFmtId="0" fontId="5" fillId="56" borderId="0" xfId="0" applyFont="1" applyFill="1" applyAlignment="1">
      <alignment horizontal="center" vertical="center"/>
    </xf>
    <xf numFmtId="10" fontId="12" fillId="56" borderId="0" xfId="0" applyNumberFormat="1" applyFont="1" applyFill="1" applyAlignment="1">
      <alignment horizontal="center" vertical="center"/>
    </xf>
    <xf numFmtId="0" fontId="5" fillId="55" borderId="78" xfId="0" applyFont="1" applyFill="1" applyBorder="1" applyAlignment="1">
      <alignment horizontal="center" vertical="center"/>
    </xf>
    <xf numFmtId="0" fontId="5" fillId="55" borderId="11" xfId="0" applyFont="1" applyFill="1" applyBorder="1" applyAlignment="1">
      <alignment horizontal="center" vertical="center"/>
    </xf>
    <xf numFmtId="10" fontId="3" fillId="55" borderId="11" xfId="0" applyNumberFormat="1" applyFont="1" applyFill="1" applyBorder="1" applyAlignment="1">
      <alignment horizontal="center" vertical="center"/>
    </xf>
    <xf numFmtId="10" fontId="3" fillId="55" borderId="79" xfId="0" applyNumberFormat="1" applyFont="1" applyFill="1" applyBorder="1" applyAlignment="1">
      <alignment horizontal="center" vertical="center"/>
    </xf>
    <xf numFmtId="0" fontId="3" fillId="59" borderId="0" xfId="0" applyFont="1" applyFill="1" applyAlignment="1">
      <alignment horizontal="center" vertical="center"/>
    </xf>
    <xf numFmtId="0" fontId="5" fillId="59" borderId="0" xfId="0" applyFont="1" applyFill="1" applyAlignment="1">
      <alignment horizontal="center" vertical="center"/>
    </xf>
    <xf numFmtId="10" fontId="12" fillId="59" borderId="0" xfId="0" applyNumberFormat="1" applyFont="1" applyFill="1" applyAlignment="1">
      <alignment horizontal="center" vertical="center"/>
    </xf>
    <xf numFmtId="0" fontId="3" fillId="59" borderId="0" xfId="0" applyFont="1" applyFill="1" applyAlignment="1">
      <alignment horizontal="center" vertical="center" textRotation="90"/>
    </xf>
    <xf numFmtId="0" fontId="75" fillId="59" borderId="0" xfId="0" applyFont="1" applyFill="1" applyAlignment="1">
      <alignment horizontal="center" vertical="center"/>
    </xf>
    <xf numFmtId="0" fontId="3" fillId="60" borderId="0" xfId="0" applyFont="1" applyFill="1" applyAlignment="1">
      <alignment horizontal="center" vertical="center" textRotation="90"/>
    </xf>
    <xf numFmtId="0" fontId="75" fillId="60" borderId="0" xfId="0" applyFont="1" applyFill="1" applyAlignment="1">
      <alignment horizontal="center" vertical="center"/>
    </xf>
    <xf numFmtId="0" fontId="83" fillId="0" borderId="0" xfId="0" applyFont="1" applyAlignment="1">
      <alignment horizontal="center" vertical="center"/>
    </xf>
    <xf numFmtId="0" fontId="85" fillId="0" borderId="0" xfId="0" applyFont="1" applyAlignment="1">
      <alignment horizontal="center" vertical="center" wrapText="1"/>
    </xf>
    <xf numFmtId="0" fontId="79" fillId="0" borderId="0" xfId="0" applyFont="1" applyAlignment="1">
      <alignment horizontal="center" vertical="center" textRotation="90" wrapText="1"/>
    </xf>
    <xf numFmtId="0" fontId="43" fillId="32" borderId="0" xfId="0" applyFont="1" applyFill="1" applyAlignment="1">
      <alignment horizontal="center" vertical="top"/>
    </xf>
    <xf numFmtId="49" fontId="81" fillId="0" borderId="0" xfId="0" applyNumberFormat="1" applyFont="1" applyAlignment="1">
      <alignment horizontal="center" vertical="center" wrapText="1"/>
    </xf>
    <xf numFmtId="49" fontId="81" fillId="0" borderId="0" xfId="0" applyNumberFormat="1" applyFont="1" applyAlignment="1">
      <alignment horizontal="center" vertical="center"/>
    </xf>
    <xf numFmtId="0" fontId="47" fillId="32" borderId="0" xfId="0" applyFont="1" applyFill="1" applyAlignment="1">
      <alignment horizontal="center"/>
    </xf>
    <xf numFmtId="0" fontId="79" fillId="0" borderId="0" xfId="0" applyFont="1" applyAlignment="1">
      <alignment horizontal="center" vertical="center" wrapText="1"/>
    </xf>
    <xf numFmtId="2" fontId="83" fillId="0" borderId="0" xfId="0" applyNumberFormat="1" applyFont="1" applyAlignment="1">
      <alignment horizontal="center" vertical="center"/>
    </xf>
    <xf numFmtId="0" fontId="45" fillId="32" borderId="0" xfId="0" applyFont="1" applyFill="1" applyAlignment="1">
      <alignment horizontal="center"/>
    </xf>
    <xf numFmtId="0" fontId="43" fillId="32" borderId="0" xfId="0" applyFont="1" applyFill="1" applyAlignment="1">
      <alignment horizontal="center" vertical="center"/>
    </xf>
    <xf numFmtId="0" fontId="45" fillId="32" borderId="0" xfId="0" applyFont="1" applyFill="1" applyAlignment="1">
      <alignment horizontal="center" vertical="center"/>
    </xf>
    <xf numFmtId="0" fontId="78" fillId="0" borderId="0" xfId="0" applyFont="1" applyAlignment="1">
      <alignment horizontal="center" vertical="center" wrapText="1"/>
    </xf>
    <xf numFmtId="2" fontId="95" fillId="0" borderId="0" xfId="0" applyNumberFormat="1" applyFont="1" applyAlignment="1">
      <alignment horizontal="center" vertical="center"/>
    </xf>
    <xf numFmtId="0" fontId="79" fillId="0" borderId="0" xfId="0" applyFont="1" applyAlignment="1">
      <alignment horizontal="left" vertical="center" wrapText="1"/>
    </xf>
    <xf numFmtId="0" fontId="82" fillId="0" borderId="0" xfId="0" applyFont="1" applyAlignment="1">
      <alignment horizontal="center" vertical="center"/>
    </xf>
    <xf numFmtId="0" fontId="7" fillId="0" borderId="0" xfId="0" applyFont="1" applyAlignment="1">
      <alignment horizontal="center" wrapText="1"/>
    </xf>
    <xf numFmtId="0" fontId="58" fillId="0" borderId="14" xfId="0" applyFont="1" applyBorder="1" applyAlignment="1">
      <alignment horizontal="center" vertical="center"/>
    </xf>
    <xf numFmtId="0" fontId="32" fillId="0" borderId="14" xfId="0" applyFont="1" applyBorder="1" applyAlignment="1">
      <alignment horizontal="center" vertical="center"/>
    </xf>
    <xf numFmtId="0" fontId="32" fillId="0" borderId="23" xfId="0" applyFont="1" applyBorder="1" applyAlignment="1">
      <alignment horizontal="center" vertical="center"/>
    </xf>
    <xf numFmtId="0" fontId="32" fillId="0" borderId="19" xfId="0" applyFont="1" applyBorder="1" applyAlignment="1">
      <alignment horizontal="center" vertical="center"/>
    </xf>
    <xf numFmtId="0" fontId="32" fillId="0" borderId="24" xfId="0" applyFont="1" applyBorder="1" applyAlignment="1">
      <alignment horizontal="center" vertical="center"/>
    </xf>
    <xf numFmtId="2" fontId="16" fillId="0" borderId="15" xfId="0" applyNumberFormat="1" applyFont="1" applyBorder="1" applyAlignment="1">
      <alignment horizontal="center"/>
    </xf>
    <xf numFmtId="2" fontId="16" fillId="0" borderId="16" xfId="0" applyNumberFormat="1" applyFont="1" applyBorder="1" applyAlignment="1">
      <alignment horizontal="center"/>
    </xf>
    <xf numFmtId="2" fontId="16" fillId="0" borderId="57" xfId="0" applyNumberFormat="1" applyFont="1" applyBorder="1" applyAlignment="1">
      <alignment horizontal="center"/>
    </xf>
    <xf numFmtId="2" fontId="16" fillId="0" borderId="22" xfId="0" applyNumberFormat="1" applyFont="1" applyBorder="1" applyAlignment="1">
      <alignment horizontal="center"/>
    </xf>
    <xf numFmtId="2" fontId="16" fillId="0" borderId="11" xfId="0" applyNumberFormat="1" applyFont="1" applyBorder="1" applyAlignment="1">
      <alignment horizontal="center"/>
    </xf>
    <xf numFmtId="2" fontId="16" fillId="0" borderId="59" xfId="0" applyNumberFormat="1" applyFont="1" applyBorder="1" applyAlignment="1">
      <alignment horizontal="center"/>
    </xf>
    <xf numFmtId="0" fontId="32" fillId="0" borderId="15" xfId="0" applyFont="1" applyBorder="1" applyAlignment="1">
      <alignment horizontal="center" vertical="center"/>
    </xf>
    <xf numFmtId="0" fontId="32" fillId="0" borderId="16" xfId="0" applyFont="1" applyBorder="1" applyAlignment="1">
      <alignment horizontal="center" vertical="center"/>
    </xf>
    <xf numFmtId="0" fontId="32" fillId="0" borderId="57" xfId="0" applyFont="1" applyBorder="1" applyAlignment="1">
      <alignment horizontal="center" vertical="center"/>
    </xf>
    <xf numFmtId="0" fontId="32" fillId="0" borderId="34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58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32" fillId="0" borderId="11" xfId="0" applyFont="1" applyBorder="1" applyAlignment="1">
      <alignment horizontal="center" vertical="center"/>
    </xf>
    <xf numFmtId="0" fontId="32" fillId="0" borderId="59" xfId="0" applyFont="1" applyBorder="1" applyAlignment="1">
      <alignment horizontal="center" vertical="center"/>
    </xf>
    <xf numFmtId="0" fontId="3" fillId="56" borderId="0" xfId="0" applyFont="1" applyFill="1" applyAlignment="1">
      <alignment horizontal="center" vertical="center" textRotation="90"/>
    </xf>
    <xf numFmtId="0" fontId="75" fillId="56" borderId="0" xfId="0" applyFont="1" applyFill="1" applyAlignment="1">
      <alignment horizontal="center" vertical="center"/>
    </xf>
    <xf numFmtId="0" fontId="75" fillId="0" borderId="77" xfId="0" applyFont="1" applyBorder="1" applyAlignment="1">
      <alignment horizontal="center" vertical="center"/>
    </xf>
    <xf numFmtId="0" fontId="3" fillId="0" borderId="77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 textRotation="90" wrapText="1"/>
    </xf>
    <xf numFmtId="0" fontId="33" fillId="0" borderId="58" xfId="0" applyFont="1" applyBorder="1" applyAlignment="1">
      <alignment horizontal="center" vertical="center" textRotation="90" wrapText="1"/>
    </xf>
    <xf numFmtId="0" fontId="40" fillId="0" borderId="15" xfId="0" applyFont="1" applyBorder="1" applyAlignment="1">
      <alignment horizontal="center" vertical="center"/>
    </xf>
    <xf numFmtId="0" fontId="40" fillId="0" borderId="16" xfId="0" applyFont="1" applyBorder="1" applyAlignment="1">
      <alignment horizontal="center" vertical="center"/>
    </xf>
    <xf numFmtId="0" fontId="40" fillId="0" borderId="57" xfId="0" applyFont="1" applyBorder="1" applyAlignment="1">
      <alignment horizontal="center" vertical="center"/>
    </xf>
    <xf numFmtId="0" fontId="40" fillId="0" borderId="34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0" fillId="0" borderId="58" xfId="0" applyFont="1" applyBorder="1" applyAlignment="1">
      <alignment horizontal="center" vertical="center"/>
    </xf>
    <xf numFmtId="0" fontId="40" fillId="0" borderId="22" xfId="0" applyFont="1" applyBorder="1" applyAlignment="1">
      <alignment horizontal="center" vertical="center"/>
    </xf>
    <xf numFmtId="0" fontId="40" fillId="0" borderId="11" xfId="0" applyFont="1" applyBorder="1" applyAlignment="1">
      <alignment horizontal="center" vertical="center"/>
    </xf>
    <xf numFmtId="0" fontId="40" fillId="0" borderId="59" xfId="0" applyFont="1" applyBorder="1" applyAlignment="1">
      <alignment horizontal="center" vertical="center"/>
    </xf>
    <xf numFmtId="0" fontId="34" fillId="0" borderId="14" xfId="0" applyFont="1" applyBorder="1" applyAlignment="1">
      <alignment horizontal="center" vertical="center"/>
    </xf>
    <xf numFmtId="0" fontId="34" fillId="0" borderId="60" xfId="0" applyFont="1" applyBorder="1" applyAlignment="1">
      <alignment horizontal="center" vertical="center"/>
    </xf>
    <xf numFmtId="0" fontId="37" fillId="0" borderId="60" xfId="0" applyFont="1" applyBorder="1" applyAlignment="1">
      <alignment horizontal="center" vertical="center"/>
    </xf>
    <xf numFmtId="0" fontId="37" fillId="0" borderId="15" xfId="0" applyFont="1" applyBorder="1" applyAlignment="1">
      <alignment horizontal="center" vertical="center"/>
    </xf>
    <xf numFmtId="0" fontId="37" fillId="0" borderId="16" xfId="0" applyFont="1" applyBorder="1" applyAlignment="1">
      <alignment horizontal="center" vertical="center"/>
    </xf>
    <xf numFmtId="0" fontId="37" fillId="0" borderId="57" xfId="0" applyFont="1" applyBorder="1" applyAlignment="1">
      <alignment horizontal="center" vertical="center"/>
    </xf>
    <xf numFmtId="0" fontId="49" fillId="0" borderId="0" xfId="0" applyFont="1" applyAlignment="1">
      <alignment horizontal="right" vertical="center" wrapText="1"/>
    </xf>
    <xf numFmtId="0" fontId="47" fillId="0" borderId="0" xfId="0" applyFont="1" applyAlignment="1">
      <alignment horizontal="left" vertical="center" wrapText="1"/>
    </xf>
    <xf numFmtId="0" fontId="38" fillId="0" borderId="0" xfId="0" applyFont="1" applyAlignment="1">
      <alignment horizontal="left" vertical="center"/>
    </xf>
    <xf numFmtId="49" fontId="193" fillId="0" borderId="0" xfId="0" applyNumberFormat="1" applyFont="1" applyAlignment="1">
      <alignment horizontal="center" vertical="center" wrapText="1"/>
    </xf>
    <xf numFmtId="2" fontId="193" fillId="0" borderId="0" xfId="0" applyNumberFormat="1" applyFont="1" applyAlignment="1">
      <alignment horizontal="center" vertical="center" wrapText="1"/>
    </xf>
    <xf numFmtId="2" fontId="187" fillId="0" borderId="0" xfId="0" applyNumberFormat="1" applyFont="1" applyAlignment="1">
      <alignment horizontal="center" vertical="center"/>
    </xf>
    <xf numFmtId="0" fontId="49" fillId="0" borderId="0" xfId="0" applyFont="1" applyAlignment="1">
      <alignment horizontal="right" vertical="center"/>
    </xf>
    <xf numFmtId="0" fontId="47" fillId="0" borderId="0" xfId="0" applyFont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188" fillId="0" borderId="0" xfId="0" applyFont="1" applyAlignment="1">
      <alignment horizontal="center" vertical="center" textRotation="90"/>
    </xf>
    <xf numFmtId="0" fontId="188" fillId="97" borderId="80" xfId="0" applyFont="1" applyFill="1" applyBorder="1" applyAlignment="1">
      <alignment horizontal="center" vertical="center" textRotation="90"/>
    </xf>
    <xf numFmtId="0" fontId="188" fillId="97" borderId="84" xfId="0" applyFont="1" applyFill="1" applyBorder="1" applyAlignment="1">
      <alignment horizontal="center" vertical="center" textRotation="90"/>
    </xf>
    <xf numFmtId="0" fontId="188" fillId="0" borderId="76" xfId="0" applyFont="1" applyBorder="1" applyAlignment="1">
      <alignment horizontal="center" vertical="center" textRotation="90"/>
    </xf>
    <xf numFmtId="0" fontId="15" fillId="64" borderId="72" xfId="0" applyFont="1" applyFill="1" applyBorder="1" applyAlignment="1">
      <alignment horizontal="center" vertical="center" textRotation="90"/>
    </xf>
    <xf numFmtId="0" fontId="38" fillId="64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3" fillId="2" borderId="72" xfId="0" applyFont="1" applyFill="1" applyBorder="1" applyAlignment="1">
      <alignment horizontal="center" vertical="center" wrapText="1"/>
    </xf>
    <xf numFmtId="0" fontId="15" fillId="64" borderId="0" xfId="0" applyFont="1" applyFill="1" applyAlignment="1">
      <alignment horizontal="center" vertical="center" textRotation="90"/>
    </xf>
    <xf numFmtId="0" fontId="188" fillId="119" borderId="80" xfId="0" applyFont="1" applyFill="1" applyBorder="1" applyAlignment="1">
      <alignment horizontal="center" vertical="center" textRotation="90"/>
    </xf>
    <xf numFmtId="0" fontId="188" fillId="119" borderId="300" xfId="0" applyFont="1" applyFill="1" applyBorder="1" applyAlignment="1">
      <alignment horizontal="center" vertical="center" textRotation="90"/>
    </xf>
    <xf numFmtId="0" fontId="189" fillId="208" borderId="81" xfId="0" applyFont="1" applyFill="1" applyBorder="1" applyAlignment="1">
      <alignment horizontal="center" vertical="center"/>
    </xf>
    <xf numFmtId="0" fontId="189" fillId="208" borderId="82" xfId="0" applyFont="1" applyFill="1" applyBorder="1" applyAlignment="1">
      <alignment horizontal="center" vertical="center"/>
    </xf>
    <xf numFmtId="0" fontId="189" fillId="208" borderId="295" xfId="0" applyFont="1" applyFill="1" applyBorder="1" applyAlignment="1">
      <alignment horizontal="center" vertical="center"/>
    </xf>
    <xf numFmtId="0" fontId="188" fillId="200" borderId="294" xfId="0" applyFont="1" applyFill="1" applyBorder="1" applyAlignment="1">
      <alignment horizontal="center" vertical="center" textRotation="90"/>
    </xf>
    <xf numFmtId="0" fontId="188" fillId="200" borderId="296" xfId="0" applyFont="1" applyFill="1" applyBorder="1" applyAlignment="1">
      <alignment horizontal="center" vertical="center" textRotation="90"/>
    </xf>
    <xf numFmtId="0" fontId="189" fillId="208" borderId="8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10" fontId="6" fillId="2" borderId="0" xfId="0" applyNumberFormat="1" applyFont="1" applyFill="1" applyAlignment="1">
      <alignment horizontal="center" vertical="center"/>
    </xf>
    <xf numFmtId="0" fontId="5" fillId="2" borderId="72" xfId="0" applyFont="1" applyFill="1" applyBorder="1" applyAlignment="1">
      <alignment horizontal="center" vertical="center" wrapText="1"/>
    </xf>
    <xf numFmtId="0" fontId="3" fillId="199" borderId="311" xfId="0" applyFont="1" applyFill="1" applyBorder="1" applyAlignment="1">
      <alignment horizontal="center" vertical="center" wrapText="1"/>
    </xf>
    <xf numFmtId="0" fontId="3" fillId="199" borderId="19" xfId="0" applyFont="1" applyFill="1" applyBorder="1" applyAlignment="1">
      <alignment horizontal="center" vertical="center" wrapText="1"/>
    </xf>
    <xf numFmtId="0" fontId="3" fillId="199" borderId="61" xfId="0" applyFont="1" applyFill="1" applyBorder="1" applyAlignment="1">
      <alignment horizontal="center" vertical="center" wrapText="1"/>
    </xf>
    <xf numFmtId="0" fontId="3" fillId="203" borderId="141" xfId="0" applyFont="1" applyFill="1" applyBorder="1" applyAlignment="1">
      <alignment horizontal="center" vertical="center" wrapText="1"/>
    </xf>
    <xf numFmtId="0" fontId="3" fillId="203" borderId="24" xfId="0" applyFont="1" applyFill="1" applyBorder="1" applyAlignment="1">
      <alignment horizontal="center" vertical="center" wrapText="1"/>
    </xf>
    <xf numFmtId="0" fontId="12" fillId="203" borderId="23" xfId="0" applyFont="1" applyFill="1" applyBorder="1" applyAlignment="1">
      <alignment horizontal="center" vertical="center" wrapText="1"/>
    </xf>
    <xf numFmtId="0" fontId="12" fillId="203" borderId="19" xfId="0" applyFont="1" applyFill="1" applyBorder="1" applyAlignment="1">
      <alignment horizontal="center" vertical="center" wrapText="1"/>
    </xf>
    <xf numFmtId="0" fontId="12" fillId="203" borderId="61" xfId="0" applyFont="1" applyFill="1" applyBorder="1" applyAlignment="1">
      <alignment horizontal="center" vertical="center" wrapText="1"/>
    </xf>
    <xf numFmtId="0" fontId="3" fillId="161" borderId="141" xfId="0" applyFont="1" applyFill="1" applyBorder="1" applyAlignment="1">
      <alignment horizontal="center" vertical="center" wrapText="1"/>
    </xf>
    <xf numFmtId="0" fontId="3" fillId="161" borderId="24" xfId="0" applyFont="1" applyFill="1" applyBorder="1" applyAlignment="1">
      <alignment horizontal="center" vertical="center" wrapText="1"/>
    </xf>
    <xf numFmtId="0" fontId="12" fillId="161" borderId="23" xfId="0" applyFont="1" applyFill="1" applyBorder="1" applyAlignment="1">
      <alignment horizontal="center" vertical="center" wrapText="1"/>
    </xf>
    <xf numFmtId="0" fontId="12" fillId="161" borderId="19" xfId="0" applyFont="1" applyFill="1" applyBorder="1" applyAlignment="1">
      <alignment horizontal="center" vertical="center" wrapText="1"/>
    </xf>
    <xf numFmtId="0" fontId="12" fillId="161" borderId="312" xfId="0" applyFont="1" applyFill="1" applyBorder="1" applyAlignment="1">
      <alignment horizontal="center" vertical="center" wrapText="1"/>
    </xf>
    <xf numFmtId="0" fontId="189" fillId="64" borderId="0" xfId="0" applyFont="1" applyFill="1" applyAlignment="1">
      <alignment horizontal="center" vertical="center"/>
    </xf>
    <xf numFmtId="0" fontId="188" fillId="204" borderId="80" xfId="0" applyFont="1" applyFill="1" applyBorder="1" applyAlignment="1">
      <alignment horizontal="center" vertical="center" textRotation="90"/>
    </xf>
    <xf numFmtId="0" fontId="188" fillId="204" borderId="300" xfId="0" applyFont="1" applyFill="1" applyBorder="1" applyAlignment="1">
      <alignment horizontal="center" vertical="center" textRotation="90"/>
    </xf>
    <xf numFmtId="0" fontId="4" fillId="199" borderId="303" xfId="0" applyFont="1" applyFill="1" applyBorder="1" applyAlignment="1">
      <alignment horizontal="center" vertical="center" wrapText="1"/>
    </xf>
    <xf numFmtId="0" fontId="4" fillId="199" borderId="304" xfId="0" applyFont="1" applyFill="1" applyBorder="1" applyAlignment="1">
      <alignment horizontal="center" vertical="center" wrapText="1"/>
    </xf>
    <xf numFmtId="10" fontId="4" fillId="199" borderId="304" xfId="0" applyNumberFormat="1" applyFont="1" applyFill="1" applyBorder="1" applyAlignment="1">
      <alignment horizontal="center" vertical="center"/>
    </xf>
    <xf numFmtId="10" fontId="4" fillId="199" borderId="305" xfId="0" applyNumberFormat="1" applyFont="1" applyFill="1" applyBorder="1" applyAlignment="1">
      <alignment horizontal="center" vertical="center"/>
    </xf>
    <xf numFmtId="0" fontId="4" fillId="203" borderId="306" xfId="0" applyFont="1" applyFill="1" applyBorder="1" applyAlignment="1">
      <alignment horizontal="center" vertical="center" wrapText="1"/>
    </xf>
    <xf numFmtId="0" fontId="4" fillId="203" borderId="304" xfId="0" applyFont="1" applyFill="1" applyBorder="1" applyAlignment="1">
      <alignment horizontal="center" vertical="center" wrapText="1"/>
    </xf>
    <xf numFmtId="10" fontId="4" fillId="203" borderId="304" xfId="0" applyNumberFormat="1" applyFont="1" applyFill="1" applyBorder="1" applyAlignment="1">
      <alignment horizontal="center" vertical="center"/>
    </xf>
    <xf numFmtId="10" fontId="4" fillId="203" borderId="305" xfId="0" applyNumberFormat="1" applyFont="1" applyFill="1" applyBorder="1" applyAlignment="1">
      <alignment horizontal="center" vertical="center"/>
    </xf>
    <xf numFmtId="10" fontId="159" fillId="118" borderId="306" xfId="0" applyNumberFormat="1" applyFont="1" applyFill="1" applyBorder="1" applyAlignment="1">
      <alignment horizontal="center" vertical="center" wrapText="1"/>
    </xf>
    <xf numFmtId="10" fontId="159" fillId="118" borderId="304" xfId="0" applyNumberFormat="1" applyFont="1" applyFill="1" applyBorder="1" applyAlignment="1">
      <alignment horizontal="center" vertical="center" wrapText="1"/>
    </xf>
    <xf numFmtId="10" fontId="159" fillId="118" borderId="316" xfId="0" applyNumberFormat="1" applyFont="1" applyFill="1" applyBorder="1" applyAlignment="1">
      <alignment horizontal="center" vertical="center"/>
    </xf>
    <xf numFmtId="10" fontId="159" fillId="118" borderId="314" xfId="0" applyNumberFormat="1" applyFont="1" applyFill="1" applyBorder="1" applyAlignment="1">
      <alignment horizontal="center" vertical="center"/>
    </xf>
    <xf numFmtId="10" fontId="159" fillId="118" borderId="315" xfId="0" applyNumberFormat="1" applyFont="1" applyFill="1" applyBorder="1" applyAlignment="1">
      <alignment horizontal="center" vertical="center"/>
    </xf>
    <xf numFmtId="0" fontId="3" fillId="118" borderId="141" xfId="0" applyFont="1" applyFill="1" applyBorder="1" applyAlignment="1">
      <alignment horizontal="center" vertical="center" wrapText="1"/>
    </xf>
    <xf numFmtId="0" fontId="3" fillId="118" borderId="24" xfId="0" applyFont="1" applyFill="1" applyBorder="1" applyAlignment="1">
      <alignment horizontal="center" vertical="center" wrapText="1"/>
    </xf>
    <xf numFmtId="0" fontId="12" fillId="118" borderId="23" xfId="0" applyFont="1" applyFill="1" applyBorder="1" applyAlignment="1">
      <alignment horizontal="center" vertical="center" wrapText="1"/>
    </xf>
    <xf numFmtId="0" fontId="12" fillId="118" borderId="19" xfId="0" applyFont="1" applyFill="1" applyBorder="1" applyAlignment="1">
      <alignment horizontal="center" vertical="center" wrapText="1"/>
    </xf>
    <xf numFmtId="0" fontId="12" fillId="118" borderId="312" xfId="0" applyFont="1" applyFill="1" applyBorder="1" applyAlignment="1">
      <alignment horizontal="center" vertical="center" wrapText="1"/>
    </xf>
    <xf numFmtId="0" fontId="188" fillId="207" borderId="80" xfId="0" applyFont="1" applyFill="1" applyBorder="1" applyAlignment="1">
      <alignment horizontal="center" vertical="center" textRotation="90"/>
    </xf>
    <xf numFmtId="0" fontId="188" fillId="207" borderId="300" xfId="0" applyFont="1" applyFill="1" applyBorder="1" applyAlignment="1">
      <alignment horizontal="center" vertical="center" textRotation="90"/>
    </xf>
    <xf numFmtId="0" fontId="191" fillId="208" borderId="81" xfId="0" applyFont="1" applyFill="1" applyBorder="1" applyAlignment="1">
      <alignment horizontal="center" vertical="center"/>
    </xf>
    <xf numFmtId="0" fontId="191" fillId="208" borderId="82" xfId="0" applyFont="1" applyFill="1" applyBorder="1" applyAlignment="1">
      <alignment horizontal="center" vertical="center"/>
    </xf>
    <xf numFmtId="0" fontId="191" fillId="208" borderId="295" xfId="0" applyFont="1" applyFill="1" applyBorder="1" applyAlignment="1">
      <alignment horizontal="center" vertical="center"/>
    </xf>
    <xf numFmtId="0" fontId="4" fillId="161" borderId="306" xfId="0" applyFont="1" applyFill="1" applyBorder="1" applyAlignment="1">
      <alignment horizontal="center" vertical="center" wrapText="1"/>
    </xf>
    <xf numFmtId="0" fontId="4" fillId="161" borderId="304" xfId="0" applyFont="1" applyFill="1" applyBorder="1" applyAlignment="1">
      <alignment horizontal="center" vertical="center" wrapText="1"/>
    </xf>
    <xf numFmtId="10" fontId="4" fillId="161" borderId="304" xfId="0" applyNumberFormat="1" applyFont="1" applyFill="1" applyBorder="1" applyAlignment="1">
      <alignment horizontal="center" vertical="center"/>
    </xf>
    <xf numFmtId="10" fontId="4" fillId="161" borderId="307" xfId="0" applyNumberFormat="1" applyFont="1" applyFill="1" applyBorder="1" applyAlignment="1">
      <alignment horizontal="center" vertical="center"/>
    </xf>
    <xf numFmtId="0" fontId="188" fillId="0" borderId="308" xfId="0" applyFont="1" applyBorder="1" applyAlignment="1">
      <alignment horizontal="center" vertical="center"/>
    </xf>
    <xf numFmtId="0" fontId="188" fillId="0" borderId="309" xfId="0" applyFont="1" applyBorder="1" applyAlignment="1">
      <alignment horizontal="center" vertical="center"/>
    </xf>
    <xf numFmtId="0" fontId="188" fillId="0" borderId="310" xfId="0" applyFont="1" applyBorder="1" applyAlignment="1">
      <alignment horizontal="center" vertical="center"/>
    </xf>
    <xf numFmtId="0" fontId="188" fillId="195" borderId="308" xfId="0" applyFont="1" applyFill="1" applyBorder="1" applyAlignment="1">
      <alignment horizontal="center" vertical="center"/>
    </xf>
    <xf numFmtId="0" fontId="188" fillId="195" borderId="309" xfId="0" applyFont="1" applyFill="1" applyBorder="1" applyAlignment="1">
      <alignment horizontal="center" vertical="center"/>
    </xf>
    <xf numFmtId="0" fontId="188" fillId="195" borderId="310" xfId="0" applyFont="1" applyFill="1" applyBorder="1" applyAlignment="1">
      <alignment horizontal="center" vertical="center"/>
    </xf>
    <xf numFmtId="0" fontId="188" fillId="163" borderId="62" xfId="0" applyFont="1" applyFill="1" applyBorder="1" applyAlignment="1">
      <alignment horizontal="center" vertical="center"/>
    </xf>
    <xf numFmtId="0" fontId="188" fillId="163" borderId="63" xfId="0" applyFont="1" applyFill="1" applyBorder="1" applyAlignment="1">
      <alignment horizontal="center" vertical="center"/>
    </xf>
    <xf numFmtId="0" fontId="188" fillId="163" borderId="65" xfId="0" applyFont="1" applyFill="1" applyBorder="1" applyAlignment="1">
      <alignment horizontal="center" vertical="center"/>
    </xf>
    <xf numFmtId="0" fontId="188" fillId="0" borderId="62" xfId="0" applyFont="1" applyBorder="1" applyAlignment="1">
      <alignment horizontal="center" vertical="center"/>
    </xf>
    <xf numFmtId="0" fontId="188" fillId="0" borderId="63" xfId="0" applyFont="1" applyBorder="1" applyAlignment="1">
      <alignment horizontal="center" vertical="center"/>
    </xf>
    <xf numFmtId="0" fontId="188" fillId="0" borderId="65" xfId="0" applyFont="1" applyBorder="1" applyAlignment="1">
      <alignment horizontal="center" vertical="center"/>
    </xf>
    <xf numFmtId="0" fontId="188" fillId="200" borderId="205" xfId="0" applyFont="1" applyFill="1" applyBorder="1" applyAlignment="1">
      <alignment horizontal="center" vertical="center" textRotation="90"/>
    </xf>
    <xf numFmtId="0" fontId="188" fillId="200" borderId="302" xfId="0" applyFont="1" applyFill="1" applyBorder="1" applyAlignment="1">
      <alignment horizontal="center" vertical="center" textRotation="90"/>
    </xf>
    <xf numFmtId="0" fontId="188" fillId="195" borderId="317" xfId="0" applyFont="1" applyFill="1" applyBorder="1" applyAlignment="1">
      <alignment horizontal="center" vertical="center"/>
    </xf>
    <xf numFmtId="0" fontId="3" fillId="152" borderId="311" xfId="0" applyFont="1" applyFill="1" applyBorder="1" applyAlignment="1">
      <alignment horizontal="center" vertical="center" wrapText="1"/>
    </xf>
    <xf numFmtId="0" fontId="3" fillId="152" borderId="19" xfId="0" applyFont="1" applyFill="1" applyBorder="1" applyAlignment="1">
      <alignment horizontal="center" vertical="center" wrapText="1"/>
    </xf>
    <xf numFmtId="0" fontId="3" fillId="152" borderId="61" xfId="0" applyFont="1" applyFill="1" applyBorder="1" applyAlignment="1">
      <alignment horizontal="center" vertical="center" wrapText="1"/>
    </xf>
    <xf numFmtId="0" fontId="191" fillId="37" borderId="81" xfId="0" applyFont="1" applyFill="1" applyBorder="1" applyAlignment="1">
      <alignment horizontal="center" vertical="center"/>
    </xf>
    <xf numFmtId="0" fontId="191" fillId="37" borderId="82" xfId="0" applyFont="1" applyFill="1" applyBorder="1" applyAlignment="1">
      <alignment horizontal="center" vertical="center"/>
    </xf>
    <xf numFmtId="0" fontId="191" fillId="37" borderId="83" xfId="0" applyFont="1" applyFill="1" applyBorder="1" applyAlignment="1">
      <alignment horizontal="center" vertical="center"/>
    </xf>
    <xf numFmtId="0" fontId="191" fillId="208" borderId="83" xfId="0" applyFont="1" applyFill="1" applyBorder="1" applyAlignment="1">
      <alignment horizontal="center" vertical="center"/>
    </xf>
    <xf numFmtId="10" fontId="159" fillId="161" borderId="306" xfId="0" applyNumberFormat="1" applyFont="1" applyFill="1" applyBorder="1" applyAlignment="1">
      <alignment horizontal="center" vertical="center" wrapText="1"/>
    </xf>
    <xf numFmtId="10" fontId="159" fillId="161" borderId="304" xfId="0" applyNumberFormat="1" applyFont="1" applyFill="1" applyBorder="1" applyAlignment="1">
      <alignment horizontal="center" vertical="center" wrapText="1"/>
    </xf>
    <xf numFmtId="10" fontId="159" fillId="161" borderId="316" xfId="0" applyNumberFormat="1" applyFont="1" applyFill="1" applyBorder="1" applyAlignment="1">
      <alignment horizontal="center" vertical="center"/>
    </xf>
    <xf numFmtId="10" fontId="159" fillId="161" borderId="314" xfId="0" applyNumberFormat="1" applyFont="1" applyFill="1" applyBorder="1" applyAlignment="1">
      <alignment horizontal="center" vertical="center"/>
    </xf>
    <xf numFmtId="10" fontId="159" fillId="161" borderId="315" xfId="0" applyNumberFormat="1" applyFont="1" applyFill="1" applyBorder="1" applyAlignment="1">
      <alignment horizontal="center" vertical="center"/>
    </xf>
    <xf numFmtId="0" fontId="188" fillId="210" borderId="80" xfId="0" applyFont="1" applyFill="1" applyBorder="1" applyAlignment="1">
      <alignment horizontal="center" vertical="center" textRotation="90"/>
    </xf>
    <xf numFmtId="0" fontId="188" fillId="210" borderId="300" xfId="0" applyFont="1" applyFill="1" applyBorder="1" applyAlignment="1">
      <alignment horizontal="center" vertical="center" textRotation="90"/>
    </xf>
    <xf numFmtId="0" fontId="188" fillId="212" borderId="205" xfId="0" applyFont="1" applyFill="1" applyBorder="1" applyAlignment="1">
      <alignment horizontal="center" vertical="center" textRotation="90"/>
    </xf>
    <xf numFmtId="0" fontId="188" fillId="212" borderId="302" xfId="0" applyFont="1" applyFill="1" applyBorder="1" applyAlignment="1">
      <alignment horizontal="center" vertical="center" textRotation="90"/>
    </xf>
    <xf numFmtId="0" fontId="188" fillId="212" borderId="294" xfId="0" applyFont="1" applyFill="1" applyBorder="1" applyAlignment="1">
      <alignment horizontal="center" vertical="center" textRotation="90"/>
    </xf>
    <xf numFmtId="0" fontId="188" fillId="212" borderId="296" xfId="0" applyFont="1" applyFill="1" applyBorder="1" applyAlignment="1">
      <alignment horizontal="center" vertical="center" textRotation="90"/>
    </xf>
    <xf numFmtId="0" fontId="191" fillId="37" borderId="295" xfId="0" applyFont="1" applyFill="1" applyBorder="1" applyAlignment="1">
      <alignment horizontal="center" vertical="center"/>
    </xf>
    <xf numFmtId="0" fontId="188" fillId="166" borderId="80" xfId="0" applyFont="1" applyFill="1" applyBorder="1" applyAlignment="1">
      <alignment horizontal="center" vertical="center" textRotation="90"/>
    </xf>
    <xf numFmtId="0" fontId="188" fillId="166" borderId="300" xfId="0" applyFont="1" applyFill="1" applyBorder="1" applyAlignment="1">
      <alignment horizontal="center" vertical="center" textRotation="90"/>
    </xf>
    <xf numFmtId="0" fontId="12" fillId="209" borderId="23" xfId="0" applyFont="1" applyFill="1" applyBorder="1" applyAlignment="1">
      <alignment horizontal="center" vertical="center" wrapText="1"/>
    </xf>
    <xf numFmtId="0" fontId="12" fillId="209" borderId="19" xfId="0" applyFont="1" applyFill="1" applyBorder="1" applyAlignment="1">
      <alignment horizontal="center" vertical="center" wrapText="1"/>
    </xf>
    <xf numFmtId="0" fontId="12" fillId="209" borderId="61" xfId="0" applyFont="1" applyFill="1" applyBorder="1" applyAlignment="1">
      <alignment horizontal="center" vertical="center" wrapText="1"/>
    </xf>
    <xf numFmtId="0" fontId="3" fillId="209" borderId="141" xfId="0" applyFont="1" applyFill="1" applyBorder="1" applyAlignment="1">
      <alignment horizontal="center" vertical="center" wrapText="1"/>
    </xf>
    <xf numFmtId="0" fontId="3" fillId="209" borderId="24" xfId="0" applyFont="1" applyFill="1" applyBorder="1" applyAlignment="1">
      <alignment horizontal="center" vertical="center" wrapText="1"/>
    </xf>
    <xf numFmtId="0" fontId="3" fillId="211" borderId="141" xfId="0" applyFont="1" applyFill="1" applyBorder="1" applyAlignment="1">
      <alignment horizontal="center" vertical="center" wrapText="1"/>
    </xf>
    <xf numFmtId="0" fontId="3" fillId="211" borderId="24" xfId="0" applyFont="1" applyFill="1" applyBorder="1" applyAlignment="1">
      <alignment horizontal="center" vertical="center" wrapText="1"/>
    </xf>
    <xf numFmtId="0" fontId="12" fillId="211" borderId="23" xfId="0" applyFont="1" applyFill="1" applyBorder="1" applyAlignment="1">
      <alignment horizontal="center" vertical="center" wrapText="1"/>
    </xf>
    <xf numFmtId="0" fontId="12" fillId="211" borderId="19" xfId="0" applyFont="1" applyFill="1" applyBorder="1" applyAlignment="1">
      <alignment horizontal="center" vertical="center" wrapText="1"/>
    </xf>
    <xf numFmtId="0" fontId="12" fillId="211" borderId="312" xfId="0" applyFont="1" applyFill="1" applyBorder="1" applyAlignment="1">
      <alignment horizontal="center" vertical="center" wrapText="1"/>
    </xf>
    <xf numFmtId="0" fontId="3" fillId="165" borderId="141" xfId="0" applyFont="1" applyFill="1" applyBorder="1" applyAlignment="1">
      <alignment horizontal="center" vertical="center" wrapText="1"/>
    </xf>
    <xf numFmtId="0" fontId="3" fillId="165" borderId="24" xfId="0" applyFont="1" applyFill="1" applyBorder="1" applyAlignment="1">
      <alignment horizontal="center" vertical="center" wrapText="1"/>
    </xf>
    <xf numFmtId="0" fontId="12" fillId="165" borderId="23" xfId="0" applyFont="1" applyFill="1" applyBorder="1" applyAlignment="1">
      <alignment horizontal="center" vertical="center" wrapText="1"/>
    </xf>
    <xf numFmtId="0" fontId="12" fillId="165" borderId="19" xfId="0" applyFont="1" applyFill="1" applyBorder="1" applyAlignment="1">
      <alignment horizontal="center" vertical="center" wrapText="1"/>
    </xf>
    <xf numFmtId="0" fontId="12" fillId="165" borderId="61" xfId="0" applyFont="1" applyFill="1" applyBorder="1" applyAlignment="1">
      <alignment horizontal="center" vertical="center" wrapText="1"/>
    </xf>
    <xf numFmtId="10" fontId="4" fillId="211" borderId="304" xfId="0" applyNumberFormat="1" applyFont="1" applyFill="1" applyBorder="1" applyAlignment="1">
      <alignment horizontal="center" vertical="center"/>
    </xf>
    <xf numFmtId="10" fontId="4" fillId="211" borderId="305" xfId="0" applyNumberFormat="1" applyFont="1" applyFill="1" applyBorder="1" applyAlignment="1">
      <alignment horizontal="center" vertical="center"/>
    </xf>
    <xf numFmtId="0" fontId="4" fillId="165" borderId="306" xfId="0" applyFont="1" applyFill="1" applyBorder="1" applyAlignment="1">
      <alignment horizontal="center" vertical="center" wrapText="1"/>
    </xf>
    <xf numFmtId="0" fontId="4" fillId="165" borderId="304" xfId="0" applyFont="1" applyFill="1" applyBorder="1" applyAlignment="1">
      <alignment horizontal="center" vertical="center" wrapText="1"/>
    </xf>
    <xf numFmtId="10" fontId="4" fillId="165" borderId="304" xfId="0" applyNumberFormat="1" applyFont="1" applyFill="1" applyBorder="1" applyAlignment="1">
      <alignment horizontal="center" vertical="center"/>
    </xf>
    <xf numFmtId="10" fontId="4" fillId="165" borderId="305" xfId="0" applyNumberFormat="1" applyFont="1" applyFill="1" applyBorder="1" applyAlignment="1">
      <alignment horizontal="center" vertical="center"/>
    </xf>
    <xf numFmtId="0" fontId="4" fillId="211" borderId="303" xfId="0" applyFont="1" applyFill="1" applyBorder="1" applyAlignment="1">
      <alignment horizontal="center" vertical="center" wrapText="1"/>
    </xf>
    <xf numFmtId="0" fontId="4" fillId="211" borderId="304" xfId="0" applyFont="1" applyFill="1" applyBorder="1" applyAlignment="1">
      <alignment horizontal="center" vertical="center" wrapText="1"/>
    </xf>
    <xf numFmtId="0" fontId="188" fillId="30" borderId="309" xfId="0" applyFont="1" applyFill="1" applyBorder="1" applyAlignment="1">
      <alignment horizontal="center" vertical="center"/>
    </xf>
    <xf numFmtId="0" fontId="188" fillId="30" borderId="310" xfId="0" applyFont="1" applyFill="1" applyBorder="1" applyAlignment="1">
      <alignment horizontal="center" vertical="center"/>
    </xf>
    <xf numFmtId="0" fontId="188" fillId="30" borderId="308" xfId="0" applyFont="1" applyFill="1" applyBorder="1" applyAlignment="1">
      <alignment horizontal="center" vertical="center"/>
    </xf>
    <xf numFmtId="0" fontId="4" fillId="209" borderId="306" xfId="0" applyFont="1" applyFill="1" applyBorder="1" applyAlignment="1">
      <alignment horizontal="center" vertical="center" wrapText="1"/>
    </xf>
    <xf numFmtId="0" fontId="4" fillId="209" borderId="304" xfId="0" applyFont="1" applyFill="1" applyBorder="1" applyAlignment="1">
      <alignment horizontal="center" vertical="center" wrapText="1"/>
    </xf>
    <xf numFmtId="10" fontId="4" fillId="209" borderId="304" xfId="0" applyNumberFormat="1" applyFont="1" applyFill="1" applyBorder="1" applyAlignment="1">
      <alignment horizontal="center" vertical="center"/>
    </xf>
    <xf numFmtId="10" fontId="4" fillId="209" borderId="305" xfId="0" applyNumberFormat="1" applyFont="1" applyFill="1" applyBorder="1" applyAlignment="1">
      <alignment horizontal="center" vertical="center"/>
    </xf>
    <xf numFmtId="10" fontId="4" fillId="211" borderId="307" xfId="0" applyNumberFormat="1" applyFont="1" applyFill="1" applyBorder="1" applyAlignment="1">
      <alignment horizontal="center" vertical="center"/>
    </xf>
    <xf numFmtId="0" fontId="188" fillId="30" borderId="62" xfId="0" applyFont="1" applyFill="1" applyBorder="1" applyAlignment="1">
      <alignment horizontal="center" vertical="center"/>
    </xf>
    <xf numFmtId="0" fontId="188" fillId="30" borderId="63" xfId="0" applyFont="1" applyFill="1" applyBorder="1" applyAlignment="1">
      <alignment horizontal="center" vertical="center"/>
    </xf>
    <xf numFmtId="0" fontId="188" fillId="30" borderId="65" xfId="0" applyFont="1" applyFill="1" applyBorder="1" applyAlignment="1">
      <alignment horizontal="center" vertical="center"/>
    </xf>
    <xf numFmtId="0" fontId="3" fillId="117" borderId="91" xfId="0" applyFont="1" applyFill="1" applyBorder="1" applyAlignment="1">
      <alignment horizontal="center" vertical="center" wrapText="1"/>
    </xf>
    <xf numFmtId="0" fontId="3" fillId="117" borderId="16" xfId="0" applyFont="1" applyFill="1" applyBorder="1" applyAlignment="1">
      <alignment horizontal="center" vertical="center" wrapText="1"/>
    </xf>
    <xf numFmtId="0" fontId="3" fillId="117" borderId="76" xfId="0" applyFont="1" applyFill="1" applyBorder="1" applyAlignment="1">
      <alignment horizontal="center" vertical="center" wrapText="1"/>
    </xf>
    <xf numFmtId="0" fontId="3" fillId="117" borderId="0" xfId="0" applyFont="1" applyFill="1" applyAlignment="1">
      <alignment horizontal="center" vertical="center" wrapText="1"/>
    </xf>
    <xf numFmtId="0" fontId="3" fillId="117" borderId="78" xfId="0" applyFont="1" applyFill="1" applyBorder="1" applyAlignment="1">
      <alignment horizontal="center" vertical="center" wrapText="1"/>
    </xf>
    <xf numFmtId="0" fontId="3" fillId="117" borderId="11" xfId="0" applyFont="1" applyFill="1" applyBorder="1" applyAlignment="1">
      <alignment horizontal="center" vertical="center" wrapText="1"/>
    </xf>
    <xf numFmtId="0" fontId="12" fillId="117" borderId="15" xfId="0" applyFont="1" applyFill="1" applyBorder="1" applyAlignment="1">
      <alignment horizontal="center" vertical="center" wrapText="1"/>
    </xf>
    <xf numFmtId="0" fontId="12" fillId="117" borderId="16" xfId="0" applyFont="1" applyFill="1" applyBorder="1" applyAlignment="1">
      <alignment horizontal="center" vertical="center" wrapText="1"/>
    </xf>
    <xf numFmtId="0" fontId="12" fillId="117" borderId="90" xfId="0" applyFont="1" applyFill="1" applyBorder="1" applyAlignment="1">
      <alignment horizontal="center" vertical="center" wrapText="1"/>
    </xf>
    <xf numFmtId="0" fontId="12" fillId="117" borderId="34" xfId="0" applyFont="1" applyFill="1" applyBorder="1" applyAlignment="1">
      <alignment horizontal="center" vertical="center" wrapText="1"/>
    </xf>
    <xf numFmtId="0" fontId="12" fillId="117" borderId="0" xfId="0" applyFont="1" applyFill="1" applyAlignment="1">
      <alignment horizontal="center" vertical="center" wrapText="1"/>
    </xf>
    <xf numFmtId="0" fontId="12" fillId="117" borderId="77" xfId="0" applyFont="1" applyFill="1" applyBorder="1" applyAlignment="1">
      <alignment horizontal="center" vertical="center" wrapText="1"/>
    </xf>
    <xf numFmtId="0" fontId="12" fillId="117" borderId="22" xfId="0" applyFont="1" applyFill="1" applyBorder="1" applyAlignment="1">
      <alignment horizontal="center" vertical="center" wrapText="1"/>
    </xf>
    <xf numFmtId="0" fontId="12" fillId="117" borderId="11" xfId="0" applyFont="1" applyFill="1" applyBorder="1" applyAlignment="1">
      <alignment horizontal="center" vertical="center" wrapText="1"/>
    </xf>
    <xf numFmtId="0" fontId="12" fillId="117" borderId="79" xfId="0" applyFont="1" applyFill="1" applyBorder="1" applyAlignment="1">
      <alignment horizontal="center" vertical="center" wrapText="1"/>
    </xf>
    <xf numFmtId="0" fontId="38" fillId="14" borderId="81" xfId="0" applyFont="1" applyFill="1" applyBorder="1" applyAlignment="1">
      <alignment horizontal="center" vertical="center"/>
    </xf>
    <xf numFmtId="0" fontId="38" fillId="14" borderId="82" xfId="0" applyFont="1" applyFill="1" applyBorder="1" applyAlignment="1">
      <alignment horizontal="center" vertical="center"/>
    </xf>
    <xf numFmtId="0" fontId="38" fillId="14" borderId="83" xfId="0" applyFont="1" applyFill="1" applyBorder="1" applyAlignment="1">
      <alignment horizontal="center" vertical="center"/>
    </xf>
    <xf numFmtId="0" fontId="15" fillId="97" borderId="122" xfId="0" applyFont="1" applyFill="1" applyBorder="1" applyAlignment="1">
      <alignment horizontal="center" vertical="center" textRotation="90"/>
    </xf>
    <xf numFmtId="0" fontId="5" fillId="96" borderId="206" xfId="0" applyFont="1" applyFill="1" applyBorder="1" applyAlignment="1">
      <alignment horizontal="center" vertical="center" wrapText="1"/>
    </xf>
    <xf numFmtId="0" fontId="5" fillId="96" borderId="207" xfId="0" applyFont="1" applyFill="1" applyBorder="1" applyAlignment="1">
      <alignment horizontal="center" vertical="center" wrapText="1"/>
    </xf>
    <xf numFmtId="10" fontId="6" fillId="96" borderId="207" xfId="0" applyNumberFormat="1" applyFont="1" applyFill="1" applyBorder="1" applyAlignment="1">
      <alignment horizontal="center" vertical="center"/>
    </xf>
    <xf numFmtId="10" fontId="6" fillId="96" borderId="208" xfId="0" applyNumberFormat="1" applyFont="1" applyFill="1" applyBorder="1" applyAlignment="1">
      <alignment horizontal="center" vertical="center"/>
    </xf>
    <xf numFmtId="0" fontId="15" fillId="97" borderId="215" xfId="0" applyFont="1" applyFill="1" applyBorder="1" applyAlignment="1">
      <alignment horizontal="center" vertical="center" textRotation="90"/>
    </xf>
    <xf numFmtId="0" fontId="15" fillId="97" borderId="217" xfId="0" applyFont="1" applyFill="1" applyBorder="1" applyAlignment="1">
      <alignment horizontal="center" vertical="center" textRotation="90"/>
    </xf>
    <xf numFmtId="0" fontId="38" fillId="37" borderId="216" xfId="0" applyFont="1" applyFill="1" applyBorder="1" applyAlignment="1">
      <alignment horizontal="center" vertical="center"/>
    </xf>
    <xf numFmtId="0" fontId="15" fillId="97" borderId="205" xfId="0" applyFont="1" applyFill="1" applyBorder="1" applyAlignment="1">
      <alignment horizontal="center" vertical="center" textRotation="90"/>
    </xf>
    <xf numFmtId="0" fontId="15" fillId="97" borderId="126" xfId="0" applyFont="1" applyFill="1" applyBorder="1" applyAlignment="1">
      <alignment horizontal="center" vertical="center" textRotation="90"/>
    </xf>
    <xf numFmtId="0" fontId="12" fillId="152" borderId="15" xfId="0" applyFont="1" applyFill="1" applyBorder="1" applyAlignment="1">
      <alignment horizontal="center" vertical="center" wrapText="1"/>
    </xf>
    <xf numFmtId="0" fontId="12" fillId="152" borderId="16" xfId="0" applyFont="1" applyFill="1" applyBorder="1" applyAlignment="1">
      <alignment horizontal="center" vertical="center" wrapText="1"/>
    </xf>
    <xf numFmtId="0" fontId="12" fillId="152" borderId="90" xfId="0" applyFont="1" applyFill="1" applyBorder="1" applyAlignment="1">
      <alignment horizontal="center" vertical="center" wrapText="1"/>
    </xf>
    <xf numFmtId="0" fontId="12" fillId="152" borderId="34" xfId="0" applyFont="1" applyFill="1" applyBorder="1" applyAlignment="1">
      <alignment horizontal="center" vertical="center" wrapText="1"/>
    </xf>
    <xf numFmtId="0" fontId="12" fillId="152" borderId="0" xfId="0" applyFont="1" applyFill="1" applyAlignment="1">
      <alignment horizontal="center" vertical="center" wrapText="1"/>
    </xf>
    <xf numFmtId="0" fontId="12" fillId="152" borderId="77" xfId="0" applyFont="1" applyFill="1" applyBorder="1" applyAlignment="1">
      <alignment horizontal="center" vertical="center" wrapText="1"/>
    </xf>
    <xf numFmtId="0" fontId="12" fillId="152" borderId="22" xfId="0" applyFont="1" applyFill="1" applyBorder="1" applyAlignment="1">
      <alignment horizontal="center" vertical="center" wrapText="1"/>
    </xf>
    <xf numFmtId="0" fontId="12" fillId="152" borderId="11" xfId="0" applyFont="1" applyFill="1" applyBorder="1" applyAlignment="1">
      <alignment horizontal="center" vertical="center" wrapText="1"/>
    </xf>
    <xf numFmtId="0" fontId="12" fillId="152" borderId="79" xfId="0" applyFont="1" applyFill="1" applyBorder="1" applyAlignment="1">
      <alignment horizontal="center" vertical="center" wrapText="1"/>
    </xf>
    <xf numFmtId="0" fontId="5" fillId="96" borderId="76" xfId="0" applyFont="1" applyFill="1" applyBorder="1" applyAlignment="1">
      <alignment horizontal="center" vertical="center" wrapText="1"/>
    </xf>
    <xf numFmtId="0" fontId="5" fillId="96" borderId="0" xfId="0" applyFont="1" applyFill="1" applyAlignment="1">
      <alignment horizontal="center" vertical="center" wrapText="1"/>
    </xf>
    <xf numFmtId="10" fontId="6" fillId="96" borderId="0" xfId="0" applyNumberFormat="1" applyFont="1" applyFill="1" applyAlignment="1">
      <alignment horizontal="center" vertical="center"/>
    </xf>
    <xf numFmtId="10" fontId="6" fillId="96" borderId="77" xfId="0" applyNumberFormat="1" applyFont="1" applyFill="1" applyBorder="1" applyAlignment="1">
      <alignment horizontal="center" vertical="center"/>
    </xf>
    <xf numFmtId="49" fontId="187" fillId="0" borderId="0" xfId="0" applyNumberFormat="1" applyFont="1" applyAlignment="1">
      <alignment horizontal="center" vertical="center" wrapText="1"/>
    </xf>
    <xf numFmtId="2" fontId="187" fillId="0" borderId="0" xfId="0" applyNumberFormat="1" applyFont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12" fillId="52" borderId="15" xfId="0" applyFont="1" applyFill="1" applyBorder="1" applyAlignment="1">
      <alignment horizontal="center" vertical="center" wrapText="1"/>
    </xf>
    <xf numFmtId="0" fontId="12" fillId="52" borderId="16" xfId="0" applyFont="1" applyFill="1" applyBorder="1" applyAlignment="1">
      <alignment horizontal="center" vertical="center" wrapText="1"/>
    </xf>
    <xf numFmtId="0" fontId="12" fillId="52" borderId="90" xfId="0" applyFont="1" applyFill="1" applyBorder="1" applyAlignment="1">
      <alignment horizontal="center" vertical="center" wrapText="1"/>
    </xf>
    <xf numFmtId="0" fontId="12" fillId="52" borderId="34" xfId="0" applyFont="1" applyFill="1" applyBorder="1" applyAlignment="1">
      <alignment horizontal="center" vertical="center" wrapText="1"/>
    </xf>
    <xf numFmtId="0" fontId="12" fillId="52" borderId="0" xfId="0" applyFont="1" applyFill="1" applyAlignment="1">
      <alignment horizontal="center" vertical="center" wrapText="1"/>
    </xf>
    <xf numFmtId="0" fontId="12" fillId="52" borderId="77" xfId="0" applyFont="1" applyFill="1" applyBorder="1" applyAlignment="1">
      <alignment horizontal="center" vertical="center" wrapText="1"/>
    </xf>
    <xf numFmtId="0" fontId="12" fillId="52" borderId="22" xfId="0" applyFont="1" applyFill="1" applyBorder="1" applyAlignment="1">
      <alignment horizontal="center" vertical="center" wrapText="1"/>
    </xf>
    <xf numFmtId="0" fontId="12" fillId="52" borderId="11" xfId="0" applyFont="1" applyFill="1" applyBorder="1" applyAlignment="1">
      <alignment horizontal="center" vertical="center" wrapText="1"/>
    </xf>
    <xf numFmtId="0" fontId="12" fillId="52" borderId="79" xfId="0" applyFont="1" applyFill="1" applyBorder="1" applyAlignment="1">
      <alignment horizontal="center" vertical="center" wrapText="1"/>
    </xf>
    <xf numFmtId="0" fontId="3" fillId="117" borderId="209" xfId="0" applyFont="1" applyFill="1" applyBorder="1" applyAlignment="1">
      <alignment horizontal="center" vertical="center" wrapText="1"/>
    </xf>
    <xf numFmtId="0" fontId="3" fillId="117" borderId="211" xfId="0" applyFont="1" applyFill="1" applyBorder="1" applyAlignment="1">
      <alignment horizontal="center" vertical="center" wrapText="1"/>
    </xf>
    <xf numFmtId="0" fontId="3" fillId="117" borderId="213" xfId="0" applyFont="1" applyFill="1" applyBorder="1" applyAlignment="1">
      <alignment horizontal="center" vertical="center" wrapText="1"/>
    </xf>
    <xf numFmtId="0" fontId="12" fillId="117" borderId="210" xfId="0" applyFont="1" applyFill="1" applyBorder="1" applyAlignment="1">
      <alignment horizontal="center" vertical="center" wrapText="1"/>
    </xf>
    <xf numFmtId="0" fontId="12" fillId="117" borderId="212" xfId="0" applyFont="1" applyFill="1" applyBorder="1" applyAlignment="1">
      <alignment horizontal="center" vertical="center" wrapText="1"/>
    </xf>
    <xf numFmtId="0" fontId="12" fillId="117" borderId="214" xfId="0" applyFont="1" applyFill="1" applyBorder="1" applyAlignment="1">
      <alignment horizontal="center" vertical="center" wrapText="1"/>
    </xf>
    <xf numFmtId="0" fontId="12" fillId="36" borderId="15" xfId="0" applyFont="1" applyFill="1" applyBorder="1" applyAlignment="1">
      <alignment horizontal="center" vertical="center" wrapText="1"/>
    </xf>
    <xf numFmtId="0" fontId="12" fillId="36" borderId="16" xfId="0" applyFont="1" applyFill="1" applyBorder="1" applyAlignment="1">
      <alignment horizontal="center" vertical="center" wrapText="1"/>
    </xf>
    <xf numFmtId="0" fontId="12" fillId="36" borderId="90" xfId="0" applyFont="1" applyFill="1" applyBorder="1" applyAlignment="1">
      <alignment horizontal="center" vertical="center" wrapText="1"/>
    </xf>
    <xf numFmtId="0" fontId="12" fillId="36" borderId="34" xfId="0" applyFont="1" applyFill="1" applyBorder="1" applyAlignment="1">
      <alignment horizontal="center" vertical="center" wrapText="1"/>
    </xf>
    <xf numFmtId="0" fontId="12" fillId="36" borderId="0" xfId="0" applyFont="1" applyFill="1" applyAlignment="1">
      <alignment horizontal="center" vertical="center" wrapText="1"/>
    </xf>
    <xf numFmtId="0" fontId="12" fillId="36" borderId="77" xfId="0" applyFont="1" applyFill="1" applyBorder="1" applyAlignment="1">
      <alignment horizontal="center" vertical="center" wrapText="1"/>
    </xf>
    <xf numFmtId="0" fontId="12" fillId="36" borderId="22" xfId="0" applyFont="1" applyFill="1" applyBorder="1" applyAlignment="1">
      <alignment horizontal="center" vertical="center" wrapText="1"/>
    </xf>
    <xf numFmtId="0" fontId="12" fillId="36" borderId="11" xfId="0" applyFont="1" applyFill="1" applyBorder="1" applyAlignment="1">
      <alignment horizontal="center" vertical="center" wrapText="1"/>
    </xf>
    <xf numFmtId="0" fontId="12" fillId="36" borderId="79" xfId="0" applyFont="1" applyFill="1" applyBorder="1" applyAlignment="1">
      <alignment horizontal="center" vertical="center" wrapText="1"/>
    </xf>
    <xf numFmtId="0" fontId="21" fillId="152" borderId="15" xfId="0" applyFont="1" applyFill="1" applyBorder="1" applyAlignment="1">
      <alignment horizontal="center" vertical="center" wrapText="1"/>
    </xf>
    <xf numFmtId="0" fontId="21" fillId="152" borderId="16" xfId="0" applyFont="1" applyFill="1" applyBorder="1" applyAlignment="1">
      <alignment horizontal="center" vertical="center" wrapText="1"/>
    </xf>
    <xf numFmtId="0" fontId="21" fillId="152" borderId="90" xfId="0" applyFont="1" applyFill="1" applyBorder="1" applyAlignment="1">
      <alignment horizontal="center" vertical="center" wrapText="1"/>
    </xf>
    <xf numFmtId="0" fontId="21" fillId="152" borderId="34" xfId="0" applyFont="1" applyFill="1" applyBorder="1" applyAlignment="1">
      <alignment horizontal="center" vertical="center" wrapText="1"/>
    </xf>
    <xf numFmtId="0" fontId="21" fillId="152" borderId="0" xfId="0" applyFont="1" applyFill="1" applyAlignment="1">
      <alignment horizontal="center" vertical="center" wrapText="1"/>
    </xf>
    <xf numFmtId="0" fontId="21" fillId="152" borderId="77" xfId="0" applyFont="1" applyFill="1" applyBorder="1" applyAlignment="1">
      <alignment horizontal="center" vertical="center" wrapText="1"/>
    </xf>
    <xf numFmtId="0" fontId="21" fillId="152" borderId="22" xfId="0" applyFont="1" applyFill="1" applyBorder="1" applyAlignment="1">
      <alignment horizontal="center" vertical="center" wrapText="1"/>
    </xf>
    <xf numFmtId="0" fontId="21" fillId="152" borderId="11" xfId="0" applyFont="1" applyFill="1" applyBorder="1" applyAlignment="1">
      <alignment horizontal="center" vertical="center" wrapText="1"/>
    </xf>
    <xf numFmtId="0" fontId="21" fillId="152" borderId="79" xfId="0" applyFont="1" applyFill="1" applyBorder="1" applyAlignment="1">
      <alignment horizontal="center" vertical="center" wrapText="1"/>
    </xf>
    <xf numFmtId="0" fontId="3" fillId="34" borderId="91" xfId="0" applyFont="1" applyFill="1" applyBorder="1" applyAlignment="1">
      <alignment horizontal="center" vertical="center"/>
    </xf>
    <xf numFmtId="0" fontId="3" fillId="34" borderId="16" xfId="0" applyFont="1" applyFill="1" applyBorder="1" applyAlignment="1">
      <alignment horizontal="center" vertical="center"/>
    </xf>
    <xf numFmtId="0" fontId="3" fillId="34" borderId="90" xfId="0" applyFont="1" applyFill="1" applyBorder="1" applyAlignment="1">
      <alignment horizontal="center" vertical="center"/>
    </xf>
    <xf numFmtId="0" fontId="3" fillId="34" borderId="76" xfId="0" applyFont="1" applyFill="1" applyBorder="1" applyAlignment="1">
      <alignment horizontal="center" vertical="center"/>
    </xf>
    <xf numFmtId="0" fontId="3" fillId="34" borderId="0" xfId="0" applyFont="1" applyFill="1" applyAlignment="1">
      <alignment horizontal="center" vertical="center"/>
    </xf>
    <xf numFmtId="0" fontId="3" fillId="34" borderId="77" xfId="0" applyFont="1" applyFill="1" applyBorder="1" applyAlignment="1">
      <alignment horizontal="center" vertical="center"/>
    </xf>
    <xf numFmtId="0" fontId="3" fillId="34" borderId="78" xfId="0" applyFont="1" applyFill="1" applyBorder="1" applyAlignment="1">
      <alignment horizontal="center" vertical="center"/>
    </xf>
    <xf numFmtId="0" fontId="3" fillId="34" borderId="11" xfId="0" applyFont="1" applyFill="1" applyBorder="1" applyAlignment="1">
      <alignment horizontal="center" vertical="center"/>
    </xf>
    <xf numFmtId="0" fontId="3" fillId="34" borderId="79" xfId="0" applyFont="1" applyFill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0" fontId="79" fillId="0" borderId="0" xfId="0" applyFont="1" applyAlignment="1">
      <alignment horizontal="center" vertical="top" wrapText="1"/>
    </xf>
    <xf numFmtId="2" fontId="80" fillId="0" borderId="0" xfId="0" applyNumberFormat="1" applyFont="1" applyAlignment="1">
      <alignment horizontal="center" vertical="center"/>
    </xf>
    <xf numFmtId="0" fontId="81" fillId="0" borderId="0" xfId="0" applyFont="1" applyAlignment="1">
      <alignment horizontal="center" vertical="center" wrapText="1"/>
    </xf>
    <xf numFmtId="0" fontId="81" fillId="0" borderId="0" xfId="0" applyFont="1" applyAlignment="1">
      <alignment horizontal="center" vertical="center"/>
    </xf>
    <xf numFmtId="164" fontId="81" fillId="0" borderId="0" xfId="0" applyNumberFormat="1" applyFont="1" applyAlignment="1">
      <alignment horizontal="center" vertical="center"/>
    </xf>
    <xf numFmtId="0" fontId="5" fillId="55" borderId="108" xfId="0" applyFont="1" applyFill="1" applyBorder="1" applyAlignment="1">
      <alignment horizontal="center" vertical="center"/>
    </xf>
    <xf numFmtId="0" fontId="5" fillId="55" borderId="109" xfId="0" applyFont="1" applyFill="1" applyBorder="1" applyAlignment="1">
      <alignment horizontal="center" vertical="center"/>
    </xf>
    <xf numFmtId="10" fontId="3" fillId="55" borderId="109" xfId="0" applyNumberFormat="1" applyFont="1" applyFill="1" applyBorder="1" applyAlignment="1">
      <alignment horizontal="center" vertical="center"/>
    </xf>
    <xf numFmtId="10" fontId="3" fillId="55" borderId="110" xfId="0" applyNumberFormat="1" applyFont="1" applyFill="1" applyBorder="1" applyAlignment="1">
      <alignment horizontal="center" vertical="center"/>
    </xf>
    <xf numFmtId="0" fontId="22" fillId="0" borderId="222" xfId="0" applyFont="1" applyBorder="1" applyAlignment="1">
      <alignment horizontal="center" vertical="center" wrapText="1"/>
    </xf>
    <xf numFmtId="0" fontId="22" fillId="0" borderId="52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223" xfId="0" applyFont="1" applyBorder="1" applyAlignment="1">
      <alignment horizontal="center" vertical="center"/>
    </xf>
    <xf numFmtId="0" fontId="22" fillId="0" borderId="68" xfId="0" applyFont="1" applyBorder="1" applyAlignment="1">
      <alignment horizontal="center" vertical="center"/>
    </xf>
    <xf numFmtId="0" fontId="22" fillId="0" borderId="69" xfId="0" applyFont="1" applyBorder="1" applyAlignment="1">
      <alignment horizontal="center" vertical="center"/>
    </xf>
    <xf numFmtId="0" fontId="22" fillId="0" borderId="73" xfId="0" applyFont="1" applyBorder="1" applyAlignment="1">
      <alignment horizontal="center" vertical="center"/>
    </xf>
    <xf numFmtId="0" fontId="145" fillId="0" borderId="222" xfId="0" applyFont="1" applyBorder="1" applyAlignment="1">
      <alignment horizontal="center" vertical="center" wrapText="1"/>
    </xf>
    <xf numFmtId="0" fontId="145" fillId="0" borderId="52" xfId="0" applyFont="1" applyBorder="1" applyAlignment="1">
      <alignment horizontal="center" vertical="center"/>
    </xf>
    <xf numFmtId="0" fontId="145" fillId="0" borderId="223" xfId="0" applyFont="1" applyBorder="1" applyAlignment="1">
      <alignment horizontal="center" vertical="center"/>
    </xf>
    <xf numFmtId="0" fontId="145" fillId="0" borderId="68" xfId="0" applyFont="1" applyBorder="1" applyAlignment="1">
      <alignment horizontal="center" vertical="center"/>
    </xf>
    <xf numFmtId="0" fontId="145" fillId="0" borderId="69" xfId="0" applyFont="1" applyBorder="1" applyAlignment="1">
      <alignment horizontal="center" vertical="center"/>
    </xf>
    <xf numFmtId="0" fontId="145" fillId="0" borderId="73" xfId="0" applyFont="1" applyBorder="1" applyAlignment="1">
      <alignment horizontal="center" vertical="center"/>
    </xf>
    <xf numFmtId="0" fontId="3" fillId="134" borderId="80" xfId="0" applyFont="1" applyFill="1" applyBorder="1" applyAlignment="1">
      <alignment horizontal="center" vertical="center" textRotation="90"/>
    </xf>
    <xf numFmtId="0" fontId="3" fillId="134" borderId="84" xfId="0" applyFont="1" applyFill="1" applyBorder="1" applyAlignment="1">
      <alignment horizontal="center" vertical="center" textRotation="90"/>
    </xf>
    <xf numFmtId="0" fontId="75" fillId="66" borderId="81" xfId="0" applyFont="1" applyFill="1" applyBorder="1" applyAlignment="1">
      <alignment horizontal="center" vertical="center"/>
    </xf>
    <xf numFmtId="0" fontId="75" fillId="66" borderId="82" xfId="0" applyFont="1" applyFill="1" applyBorder="1" applyAlignment="1">
      <alignment horizontal="center" vertical="center"/>
    </xf>
    <xf numFmtId="0" fontId="75" fillId="66" borderId="83" xfId="0" applyFont="1" applyFill="1" applyBorder="1" applyAlignment="1">
      <alignment horizontal="center" vertical="center"/>
    </xf>
    <xf numFmtId="0" fontId="3" fillId="134" borderId="88" xfId="0" applyFont="1" applyFill="1" applyBorder="1" applyAlignment="1">
      <alignment horizontal="center" vertical="center" textRotation="90"/>
    </xf>
    <xf numFmtId="0" fontId="75" fillId="66" borderId="128" xfId="0" applyFont="1" applyFill="1" applyBorder="1" applyAlignment="1">
      <alignment horizontal="center" vertical="center"/>
    </xf>
    <xf numFmtId="0" fontId="3" fillId="103" borderId="80" xfId="0" applyFont="1" applyFill="1" applyBorder="1" applyAlignment="1">
      <alignment horizontal="center" vertical="center" textRotation="90"/>
    </xf>
    <xf numFmtId="0" fontId="3" fillId="103" borderId="84" xfId="0" applyFont="1" applyFill="1" applyBorder="1" applyAlignment="1">
      <alignment horizontal="center" vertical="center" textRotation="90"/>
    </xf>
    <xf numFmtId="0" fontId="3" fillId="82" borderId="80" xfId="0" applyFont="1" applyFill="1" applyBorder="1" applyAlignment="1">
      <alignment horizontal="center" vertical="center" textRotation="90"/>
    </xf>
    <xf numFmtId="0" fontId="3" fillId="82" borderId="84" xfId="0" applyFont="1" applyFill="1" applyBorder="1" applyAlignment="1">
      <alignment horizontal="center" vertical="center" textRotation="90"/>
    </xf>
    <xf numFmtId="0" fontId="3" fillId="36" borderId="91" xfId="0" applyFont="1" applyFill="1" applyBorder="1" applyAlignment="1">
      <alignment horizontal="center" vertical="center"/>
    </xf>
    <xf numFmtId="0" fontId="3" fillId="36" borderId="16" xfId="0" applyFont="1" applyFill="1" applyBorder="1" applyAlignment="1">
      <alignment horizontal="center" vertical="center"/>
    </xf>
    <xf numFmtId="0" fontId="3" fillId="36" borderId="90" xfId="0" applyFont="1" applyFill="1" applyBorder="1" applyAlignment="1">
      <alignment horizontal="center" vertical="center"/>
    </xf>
    <xf numFmtId="0" fontId="3" fillId="36" borderId="76" xfId="0" applyFont="1" applyFill="1" applyBorder="1" applyAlignment="1">
      <alignment horizontal="center" vertical="center"/>
    </xf>
    <xf numFmtId="0" fontId="3" fillId="36" borderId="0" xfId="0" applyFont="1" applyFill="1" applyAlignment="1">
      <alignment horizontal="center" vertical="center"/>
    </xf>
    <xf numFmtId="0" fontId="3" fillId="36" borderId="77" xfId="0" applyFont="1" applyFill="1" applyBorder="1" applyAlignment="1">
      <alignment horizontal="center" vertical="center"/>
    </xf>
    <xf numFmtId="0" fontId="3" fillId="36" borderId="78" xfId="0" applyFont="1" applyFill="1" applyBorder="1" applyAlignment="1">
      <alignment horizontal="center" vertical="center"/>
    </xf>
    <xf numFmtId="0" fontId="3" fillId="36" borderId="11" xfId="0" applyFont="1" applyFill="1" applyBorder="1" applyAlignment="1">
      <alignment horizontal="center" vertical="center"/>
    </xf>
    <xf numFmtId="0" fontId="3" fillId="36" borderId="79" xfId="0" applyFont="1" applyFill="1" applyBorder="1" applyAlignment="1">
      <alignment horizontal="center" vertical="center"/>
    </xf>
    <xf numFmtId="0" fontId="5" fillId="135" borderId="108" xfId="0" applyFont="1" applyFill="1" applyBorder="1" applyAlignment="1">
      <alignment horizontal="center" vertical="center"/>
    </xf>
    <xf numFmtId="0" fontId="5" fillId="135" borderId="109" xfId="0" applyFont="1" applyFill="1" applyBorder="1" applyAlignment="1">
      <alignment horizontal="center" vertical="center"/>
    </xf>
    <xf numFmtId="10" fontId="3" fillId="135" borderId="109" xfId="0" applyNumberFormat="1" applyFont="1" applyFill="1" applyBorder="1" applyAlignment="1">
      <alignment horizontal="center" vertical="center"/>
    </xf>
    <xf numFmtId="10" fontId="3" fillId="135" borderId="110" xfId="0" applyNumberFormat="1" applyFont="1" applyFill="1" applyBorder="1" applyAlignment="1">
      <alignment horizontal="center" vertical="center"/>
    </xf>
    <xf numFmtId="0" fontId="5" fillId="102" borderId="108" xfId="0" applyFont="1" applyFill="1" applyBorder="1" applyAlignment="1">
      <alignment horizontal="center" vertical="center"/>
    </xf>
    <xf numFmtId="0" fontId="5" fillId="102" borderId="109" xfId="0" applyFont="1" applyFill="1" applyBorder="1" applyAlignment="1">
      <alignment horizontal="center" vertical="center"/>
    </xf>
    <xf numFmtId="10" fontId="3" fillId="102" borderId="109" xfId="0" applyNumberFormat="1" applyFont="1" applyFill="1" applyBorder="1" applyAlignment="1">
      <alignment horizontal="center" vertical="center"/>
    </xf>
    <xf numFmtId="10" fontId="3" fillId="102" borderId="110" xfId="0" applyNumberFormat="1" applyFont="1" applyFill="1" applyBorder="1" applyAlignment="1">
      <alignment horizontal="center" vertical="center"/>
    </xf>
    <xf numFmtId="0" fontId="5" fillId="112" borderId="108" xfId="0" applyFont="1" applyFill="1" applyBorder="1" applyAlignment="1">
      <alignment horizontal="center" vertical="center"/>
    </xf>
    <xf numFmtId="0" fontId="5" fillId="112" borderId="109" xfId="0" applyFont="1" applyFill="1" applyBorder="1" applyAlignment="1">
      <alignment horizontal="center" vertical="center"/>
    </xf>
    <xf numFmtId="10" fontId="3" fillId="83" borderId="109" xfId="0" applyNumberFormat="1" applyFont="1" applyFill="1" applyBorder="1" applyAlignment="1">
      <alignment horizontal="center" vertical="center"/>
    </xf>
    <xf numFmtId="10" fontId="3" fillId="83" borderId="110" xfId="0" applyNumberFormat="1" applyFont="1" applyFill="1" applyBorder="1" applyAlignment="1">
      <alignment horizontal="center" vertical="center"/>
    </xf>
    <xf numFmtId="0" fontId="5" fillId="83" borderId="108" xfId="0" applyFont="1" applyFill="1" applyBorder="1" applyAlignment="1">
      <alignment horizontal="center" vertical="center"/>
    </xf>
    <xf numFmtId="0" fontId="5" fillId="83" borderId="109" xfId="0" applyFont="1" applyFill="1" applyBorder="1" applyAlignment="1">
      <alignment horizontal="center" vertical="center"/>
    </xf>
    <xf numFmtId="0" fontId="145" fillId="0" borderId="52" xfId="0" applyFont="1" applyBorder="1" applyAlignment="1">
      <alignment horizontal="center" vertical="center" wrapText="1"/>
    </xf>
    <xf numFmtId="0" fontId="145" fillId="0" borderId="223" xfId="0" applyFont="1" applyBorder="1" applyAlignment="1">
      <alignment horizontal="center" vertical="center" wrapText="1"/>
    </xf>
    <xf numFmtId="0" fontId="145" fillId="0" borderId="68" xfId="0" applyFont="1" applyBorder="1" applyAlignment="1">
      <alignment horizontal="center" vertical="center" wrapText="1"/>
    </xf>
    <xf numFmtId="0" fontId="145" fillId="0" borderId="69" xfId="0" applyFont="1" applyBorder="1" applyAlignment="1">
      <alignment horizontal="center" vertical="center" wrapText="1"/>
    </xf>
    <xf numFmtId="0" fontId="145" fillId="0" borderId="73" xfId="0" applyFont="1" applyBorder="1" applyAlignment="1">
      <alignment horizontal="center" vertical="center" wrapText="1"/>
    </xf>
    <xf numFmtId="0" fontId="3" fillId="25" borderId="0" xfId="0" applyFont="1" applyFill="1" applyAlignment="1">
      <alignment horizontal="center" vertical="center"/>
    </xf>
    <xf numFmtId="10" fontId="5" fillId="132" borderId="109" xfId="0" applyNumberFormat="1" applyFont="1" applyFill="1" applyBorder="1" applyAlignment="1">
      <alignment horizontal="center" vertical="center"/>
    </xf>
    <xf numFmtId="10" fontId="5" fillId="132" borderId="110" xfId="0" applyNumberFormat="1" applyFont="1" applyFill="1" applyBorder="1" applyAlignment="1">
      <alignment horizontal="center" vertical="center"/>
    </xf>
    <xf numFmtId="0" fontId="3" fillId="133" borderId="80" xfId="0" applyFont="1" applyFill="1" applyBorder="1" applyAlignment="1">
      <alignment horizontal="center" vertical="center" textRotation="90"/>
    </xf>
    <xf numFmtId="0" fontId="3" fillId="133" borderId="84" xfId="0" applyFont="1" applyFill="1" applyBorder="1" applyAlignment="1">
      <alignment horizontal="center" vertical="center" textRotation="90"/>
    </xf>
    <xf numFmtId="0" fontId="5" fillId="138" borderId="108" xfId="0" applyFont="1" applyFill="1" applyBorder="1" applyAlignment="1">
      <alignment horizontal="center" vertical="center"/>
    </xf>
    <xf numFmtId="0" fontId="5" fillId="138" borderId="109" xfId="0" applyFont="1" applyFill="1" applyBorder="1" applyAlignment="1">
      <alignment horizontal="center" vertical="center"/>
    </xf>
    <xf numFmtId="10" fontId="3" fillId="138" borderId="109" xfId="0" applyNumberFormat="1" applyFont="1" applyFill="1" applyBorder="1" applyAlignment="1">
      <alignment horizontal="center" vertical="center"/>
    </xf>
    <xf numFmtId="10" fontId="3" fillId="138" borderId="110" xfId="0" applyNumberFormat="1" applyFont="1" applyFill="1" applyBorder="1" applyAlignment="1">
      <alignment horizontal="center" vertical="center"/>
    </xf>
    <xf numFmtId="0" fontId="22" fillId="0" borderId="52" xfId="0" applyFont="1" applyBorder="1" applyAlignment="1">
      <alignment horizontal="center" vertical="center" wrapText="1"/>
    </xf>
    <xf numFmtId="0" fontId="22" fillId="0" borderId="223" xfId="0" applyFont="1" applyBorder="1" applyAlignment="1">
      <alignment horizontal="center" vertical="center" wrapText="1"/>
    </xf>
    <xf numFmtId="0" fontId="22" fillId="0" borderId="68" xfId="0" applyFont="1" applyBorder="1" applyAlignment="1">
      <alignment horizontal="center" vertical="center" wrapText="1"/>
    </xf>
    <xf numFmtId="0" fontId="22" fillId="0" borderId="69" xfId="0" applyFont="1" applyBorder="1" applyAlignment="1">
      <alignment horizontal="center" vertical="center" wrapText="1"/>
    </xf>
    <xf numFmtId="0" fontId="22" fillId="0" borderId="73" xfId="0" applyFont="1" applyBorder="1" applyAlignment="1">
      <alignment horizontal="center" vertical="center" wrapText="1"/>
    </xf>
    <xf numFmtId="0" fontId="5" fillId="132" borderId="108" xfId="0" applyFont="1" applyFill="1" applyBorder="1" applyAlignment="1">
      <alignment horizontal="center" vertical="center"/>
    </xf>
    <xf numFmtId="0" fontId="5" fillId="132" borderId="109" xfId="0" applyFont="1" applyFill="1" applyBorder="1" applyAlignment="1">
      <alignment horizontal="center" vertical="center"/>
    </xf>
    <xf numFmtId="10" fontId="3" fillId="132" borderId="109" xfId="0" applyNumberFormat="1" applyFont="1" applyFill="1" applyBorder="1" applyAlignment="1">
      <alignment horizontal="center" vertical="center"/>
    </xf>
    <xf numFmtId="10" fontId="3" fillId="132" borderId="110" xfId="0" applyNumberFormat="1" applyFont="1" applyFill="1" applyBorder="1" applyAlignment="1">
      <alignment horizontal="center" vertical="center"/>
    </xf>
    <xf numFmtId="0" fontId="3" fillId="137" borderId="80" xfId="0" applyFont="1" applyFill="1" applyBorder="1" applyAlignment="1">
      <alignment horizontal="center" vertical="center" textRotation="90"/>
    </xf>
    <xf numFmtId="0" fontId="3" fillId="137" borderId="84" xfId="0" applyFont="1" applyFill="1" applyBorder="1" applyAlignment="1">
      <alignment horizontal="center" vertical="center" textRotation="90"/>
    </xf>
    <xf numFmtId="0" fontId="3" fillId="32" borderId="0" xfId="0" applyFont="1" applyFill="1" applyAlignment="1">
      <alignment horizontal="center" vertical="center" textRotation="90"/>
    </xf>
    <xf numFmtId="0" fontId="75" fillId="136" borderId="0" xfId="0" applyFont="1" applyFill="1" applyAlignment="1">
      <alignment horizontal="center" vertical="center"/>
    </xf>
    <xf numFmtId="0" fontId="146" fillId="0" borderId="224" xfId="0" applyFont="1" applyBorder="1" applyAlignment="1">
      <alignment horizontal="center" vertical="center" wrapText="1"/>
    </xf>
    <xf numFmtId="0" fontId="146" fillId="0" borderId="225" xfId="0" applyFont="1" applyBorder="1" applyAlignment="1">
      <alignment horizontal="center" vertical="center"/>
    </xf>
    <xf numFmtId="0" fontId="146" fillId="0" borderId="226" xfId="0" applyFont="1" applyBorder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2" fontId="16" fillId="0" borderId="34" xfId="0" applyNumberFormat="1" applyFont="1" applyBorder="1" applyAlignment="1">
      <alignment horizontal="center" vertical="center"/>
    </xf>
    <xf numFmtId="2" fontId="16" fillId="0" borderId="0" xfId="0" applyNumberFormat="1" applyFont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57" xfId="0" applyFont="1" applyBorder="1" applyAlignment="1">
      <alignment horizontal="center" vertical="center"/>
    </xf>
    <xf numFmtId="0" fontId="35" fillId="0" borderId="22" xfId="0" applyFont="1" applyBorder="1" applyAlignment="1">
      <alignment horizontal="center" vertical="center"/>
    </xf>
    <xf numFmtId="0" fontId="35" fillId="0" borderId="11" xfId="0" applyFont="1" applyBorder="1" applyAlignment="1">
      <alignment horizontal="center" vertical="center"/>
    </xf>
    <xf numFmtId="0" fontId="35" fillId="0" borderId="59" xfId="0" applyFont="1" applyBorder="1" applyAlignment="1">
      <alignment horizontal="center" vertical="center"/>
    </xf>
    <xf numFmtId="0" fontId="37" fillId="0" borderId="22" xfId="0" applyFont="1" applyBorder="1" applyAlignment="1">
      <alignment horizontal="center" vertical="center"/>
    </xf>
    <xf numFmtId="0" fontId="37" fillId="0" borderId="11" xfId="0" applyFont="1" applyBorder="1" applyAlignment="1">
      <alignment horizontal="center" vertical="center"/>
    </xf>
    <xf numFmtId="0" fontId="37" fillId="0" borderId="59" xfId="0" applyFont="1" applyBorder="1" applyAlignment="1">
      <alignment horizontal="center" vertical="center"/>
    </xf>
    <xf numFmtId="0" fontId="35" fillId="0" borderId="23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0" fontId="35" fillId="0" borderId="24" xfId="0" applyFont="1" applyBorder="1" applyAlignment="1">
      <alignment horizontal="center" vertical="center"/>
    </xf>
    <xf numFmtId="0" fontId="12" fillId="34" borderId="91" xfId="0" applyFont="1" applyFill="1" applyBorder="1" applyAlignment="1">
      <alignment horizontal="center" vertical="center" wrapText="1"/>
    </xf>
    <xf numFmtId="0" fontId="12" fillId="34" borderId="16" xfId="0" applyFont="1" applyFill="1" applyBorder="1" applyAlignment="1">
      <alignment horizontal="center" vertical="center" wrapText="1"/>
    </xf>
    <xf numFmtId="0" fontId="12" fillId="34" borderId="90" xfId="0" applyFont="1" applyFill="1" applyBorder="1" applyAlignment="1">
      <alignment horizontal="center" vertical="center" wrapText="1"/>
    </xf>
    <xf numFmtId="0" fontId="12" fillId="34" borderId="78" xfId="0" applyFont="1" applyFill="1" applyBorder="1" applyAlignment="1">
      <alignment horizontal="center" vertical="center" wrapText="1"/>
    </xf>
    <xf numFmtId="0" fontId="12" fillId="34" borderId="11" xfId="0" applyFont="1" applyFill="1" applyBorder="1" applyAlignment="1">
      <alignment horizontal="center" vertical="center" wrapText="1"/>
    </xf>
    <xf numFmtId="0" fontId="12" fillId="34" borderId="79" xfId="0" applyFont="1" applyFill="1" applyBorder="1" applyAlignment="1">
      <alignment horizontal="center" vertical="center" wrapText="1"/>
    </xf>
    <xf numFmtId="0" fontId="56" fillId="0" borderId="0" xfId="0" applyFont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55" fillId="0" borderId="0" xfId="0" applyFont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56" fillId="0" borderId="0" xfId="0" applyFont="1" applyAlignment="1">
      <alignment horizontal="center" vertical="top"/>
    </xf>
    <xf numFmtId="10" fontId="12" fillId="0" borderId="52" xfId="0" applyNumberFormat="1" applyFont="1" applyBorder="1" applyAlignment="1">
      <alignment horizontal="center" vertical="center"/>
    </xf>
    <xf numFmtId="0" fontId="15" fillId="150" borderId="80" xfId="0" applyFont="1" applyFill="1" applyBorder="1" applyAlignment="1">
      <alignment horizontal="center" vertical="center" textRotation="90"/>
    </xf>
    <xf numFmtId="0" fontId="15" fillId="150" borderId="84" xfId="0" applyFont="1" applyFill="1" applyBorder="1" applyAlignment="1">
      <alignment horizontal="center" vertical="center" textRotation="90"/>
    </xf>
    <xf numFmtId="0" fontId="15" fillId="148" borderId="80" xfId="0" applyFont="1" applyFill="1" applyBorder="1" applyAlignment="1">
      <alignment horizontal="center" vertical="center" textRotation="90"/>
    </xf>
    <xf numFmtId="0" fontId="15" fillId="148" borderId="84" xfId="0" applyFont="1" applyFill="1" applyBorder="1" applyAlignment="1">
      <alignment horizontal="center" vertical="center" textRotation="90"/>
    </xf>
    <xf numFmtId="0" fontId="12" fillId="36" borderId="91" xfId="0" applyFont="1" applyFill="1" applyBorder="1" applyAlignment="1">
      <alignment horizontal="center" vertical="center" wrapText="1"/>
    </xf>
    <xf numFmtId="0" fontId="12" fillId="36" borderId="78" xfId="0" applyFont="1" applyFill="1" applyBorder="1" applyAlignment="1">
      <alignment horizontal="center" vertical="center" wrapText="1"/>
    </xf>
    <xf numFmtId="0" fontId="5" fillId="149" borderId="74" xfId="0" applyFont="1" applyFill="1" applyBorder="1" applyAlignment="1">
      <alignment horizontal="center" vertical="center" wrapText="1"/>
    </xf>
    <xf numFmtId="0" fontId="5" fillId="149" borderId="105" xfId="0" applyFont="1" applyFill="1" applyBorder="1" applyAlignment="1">
      <alignment horizontal="center" vertical="center" wrapText="1"/>
    </xf>
    <xf numFmtId="0" fontId="5" fillId="149" borderId="78" xfId="0" applyFont="1" applyFill="1" applyBorder="1" applyAlignment="1">
      <alignment horizontal="center" vertical="center" wrapText="1"/>
    </xf>
    <xf numFmtId="0" fontId="5" fillId="149" borderId="59" xfId="0" applyFont="1" applyFill="1" applyBorder="1" applyAlignment="1">
      <alignment horizontal="center" vertical="center" wrapText="1"/>
    </xf>
    <xf numFmtId="10" fontId="12" fillId="149" borderId="52" xfId="0" applyNumberFormat="1" applyFont="1" applyFill="1" applyBorder="1" applyAlignment="1">
      <alignment horizontal="center" vertical="center"/>
    </xf>
    <xf numFmtId="10" fontId="12" fillId="149" borderId="75" xfId="0" applyNumberFormat="1" applyFont="1" applyFill="1" applyBorder="1" applyAlignment="1">
      <alignment horizontal="center" vertical="center"/>
    </xf>
    <xf numFmtId="10" fontId="12" fillId="149" borderId="11" xfId="0" applyNumberFormat="1" applyFont="1" applyFill="1" applyBorder="1" applyAlignment="1">
      <alignment horizontal="center" vertical="center"/>
    </xf>
    <xf numFmtId="10" fontId="12" fillId="149" borderId="79" xfId="0" applyNumberFormat="1" applyFont="1" applyFill="1" applyBorder="1" applyAlignment="1">
      <alignment horizontal="center" vertical="center"/>
    </xf>
    <xf numFmtId="0" fontId="5" fillId="147" borderId="74" xfId="0" applyFont="1" applyFill="1" applyBorder="1" applyAlignment="1">
      <alignment horizontal="center" vertical="center" wrapText="1"/>
    </xf>
    <xf numFmtId="0" fontId="5" fillId="147" borderId="105" xfId="0" applyFont="1" applyFill="1" applyBorder="1" applyAlignment="1">
      <alignment horizontal="center" vertical="center" wrapText="1"/>
    </xf>
    <xf numFmtId="0" fontId="5" fillId="147" borderId="78" xfId="0" applyFont="1" applyFill="1" applyBorder="1" applyAlignment="1">
      <alignment horizontal="center" vertical="center" wrapText="1"/>
    </xf>
    <xf numFmtId="0" fontId="5" fillId="147" borderId="59" xfId="0" applyFont="1" applyFill="1" applyBorder="1" applyAlignment="1">
      <alignment horizontal="center" vertical="center" wrapText="1"/>
    </xf>
    <xf numFmtId="10" fontId="12" fillId="147" borderId="52" xfId="0" applyNumberFormat="1" applyFont="1" applyFill="1" applyBorder="1" applyAlignment="1">
      <alignment horizontal="center" vertical="center"/>
    </xf>
    <xf numFmtId="10" fontId="12" fillId="147" borderId="75" xfId="0" applyNumberFormat="1" applyFont="1" applyFill="1" applyBorder="1" applyAlignment="1">
      <alignment horizontal="center" vertical="center"/>
    </xf>
    <xf numFmtId="10" fontId="12" fillId="147" borderId="11" xfId="0" applyNumberFormat="1" applyFont="1" applyFill="1" applyBorder="1" applyAlignment="1">
      <alignment horizontal="center" vertical="center"/>
    </xf>
    <xf numFmtId="10" fontId="12" fillId="147" borderId="79" xfId="0" applyNumberFormat="1" applyFont="1" applyFill="1" applyBorder="1" applyAlignment="1">
      <alignment horizontal="center" vertical="center"/>
    </xf>
    <xf numFmtId="0" fontId="15" fillId="146" borderId="80" xfId="0" applyFont="1" applyFill="1" applyBorder="1" applyAlignment="1">
      <alignment horizontal="center" vertical="center" textRotation="90"/>
    </xf>
    <xf numFmtId="0" fontId="15" fillId="146" borderId="84" xfId="0" applyFont="1" applyFill="1" applyBorder="1" applyAlignment="1">
      <alignment horizontal="center" vertical="center" textRotation="90"/>
    </xf>
    <xf numFmtId="0" fontId="15" fillId="137" borderId="80" xfId="0" applyFont="1" applyFill="1" applyBorder="1" applyAlignment="1">
      <alignment horizontal="center" vertical="center" textRotation="90"/>
    </xf>
    <xf numFmtId="0" fontId="15" fillId="137" borderId="84" xfId="0" applyFont="1" applyFill="1" applyBorder="1" applyAlignment="1">
      <alignment horizontal="center" vertical="center" textRotation="90"/>
    </xf>
    <xf numFmtId="10" fontId="12" fillId="145" borderId="52" xfId="0" applyNumberFormat="1" applyFont="1" applyFill="1" applyBorder="1" applyAlignment="1">
      <alignment horizontal="center" vertical="center"/>
    </xf>
    <xf numFmtId="10" fontId="12" fillId="145" borderId="75" xfId="0" applyNumberFormat="1" applyFont="1" applyFill="1" applyBorder="1" applyAlignment="1">
      <alignment horizontal="center" vertical="center"/>
    </xf>
    <xf numFmtId="10" fontId="12" fillId="145" borderId="11" xfId="0" applyNumberFormat="1" applyFont="1" applyFill="1" applyBorder="1" applyAlignment="1">
      <alignment horizontal="center" vertical="center"/>
    </xf>
    <xf numFmtId="10" fontId="12" fillId="145" borderId="79" xfId="0" applyNumberFormat="1" applyFont="1" applyFill="1" applyBorder="1" applyAlignment="1">
      <alignment horizontal="center" vertical="center"/>
    </xf>
    <xf numFmtId="0" fontId="5" fillId="145" borderId="74" xfId="0" applyFont="1" applyFill="1" applyBorder="1" applyAlignment="1">
      <alignment horizontal="center" vertical="center" wrapText="1"/>
    </xf>
    <xf numFmtId="0" fontId="5" fillId="145" borderId="105" xfId="0" applyFont="1" applyFill="1" applyBorder="1" applyAlignment="1">
      <alignment horizontal="center" vertical="center" wrapText="1"/>
    </xf>
    <xf numFmtId="0" fontId="5" fillId="145" borderId="78" xfId="0" applyFont="1" applyFill="1" applyBorder="1" applyAlignment="1">
      <alignment horizontal="center" vertical="center" wrapText="1"/>
    </xf>
    <xf numFmtId="0" fontId="5" fillId="145" borderId="59" xfId="0" applyFont="1" applyFill="1" applyBorder="1" applyAlignment="1">
      <alignment horizontal="center" vertical="center" wrapText="1"/>
    </xf>
    <xf numFmtId="10" fontId="12" fillId="138" borderId="52" xfId="0" applyNumberFormat="1" applyFont="1" applyFill="1" applyBorder="1" applyAlignment="1">
      <alignment horizontal="center" vertical="center"/>
    </xf>
    <xf numFmtId="10" fontId="12" fillId="138" borderId="75" xfId="0" applyNumberFormat="1" applyFont="1" applyFill="1" applyBorder="1" applyAlignment="1">
      <alignment horizontal="center" vertical="center"/>
    </xf>
    <xf numFmtId="10" fontId="12" fillId="138" borderId="11" xfId="0" applyNumberFormat="1" applyFont="1" applyFill="1" applyBorder="1" applyAlignment="1">
      <alignment horizontal="center" vertical="center"/>
    </xf>
    <xf numFmtId="10" fontId="12" fillId="138" borderId="79" xfId="0" applyNumberFormat="1" applyFont="1" applyFill="1" applyBorder="1" applyAlignment="1">
      <alignment horizontal="center" vertical="center"/>
    </xf>
    <xf numFmtId="0" fontId="5" fillId="138" borderId="74" xfId="0" applyFont="1" applyFill="1" applyBorder="1" applyAlignment="1">
      <alignment horizontal="center" vertical="center" wrapText="1"/>
    </xf>
    <xf numFmtId="0" fontId="5" fillId="138" borderId="105" xfId="0" applyFont="1" applyFill="1" applyBorder="1" applyAlignment="1">
      <alignment horizontal="center" vertical="center" wrapText="1"/>
    </xf>
    <xf numFmtId="0" fontId="5" fillId="138" borderId="78" xfId="0" applyFont="1" applyFill="1" applyBorder="1" applyAlignment="1">
      <alignment horizontal="center" vertical="center" wrapText="1"/>
    </xf>
    <xf numFmtId="0" fontId="5" fillId="138" borderId="59" xfId="0" applyFont="1" applyFill="1" applyBorder="1" applyAlignment="1">
      <alignment horizontal="center" vertical="center" wrapText="1"/>
    </xf>
    <xf numFmtId="0" fontId="15" fillId="63" borderId="80" xfId="0" applyFont="1" applyFill="1" applyBorder="1" applyAlignment="1">
      <alignment horizontal="center" vertical="center" textRotation="90"/>
    </xf>
    <xf numFmtId="0" fontId="15" fillId="63" borderId="84" xfId="0" applyFont="1" applyFill="1" applyBorder="1" applyAlignment="1">
      <alignment horizontal="center" vertical="center" textRotation="90"/>
    </xf>
    <xf numFmtId="0" fontId="15" fillId="144" borderId="80" xfId="0" applyFont="1" applyFill="1" applyBorder="1" applyAlignment="1">
      <alignment horizontal="center" vertical="center" textRotation="90"/>
    </xf>
    <xf numFmtId="0" fontId="15" fillId="144" borderId="84" xfId="0" applyFont="1" applyFill="1" applyBorder="1" applyAlignment="1">
      <alignment horizontal="center" vertical="center" textRotation="90"/>
    </xf>
    <xf numFmtId="0" fontId="5" fillId="62" borderId="74" xfId="0" applyFont="1" applyFill="1" applyBorder="1" applyAlignment="1">
      <alignment horizontal="center" vertical="center" wrapText="1"/>
    </xf>
    <xf numFmtId="0" fontId="5" fillId="62" borderId="105" xfId="0" applyFont="1" applyFill="1" applyBorder="1" applyAlignment="1">
      <alignment horizontal="center" vertical="center" wrapText="1"/>
    </xf>
    <xf numFmtId="0" fontId="5" fillId="62" borderId="78" xfId="0" applyFont="1" applyFill="1" applyBorder="1" applyAlignment="1">
      <alignment horizontal="center" vertical="center" wrapText="1"/>
    </xf>
    <xf numFmtId="0" fontId="5" fillId="62" borderId="59" xfId="0" applyFont="1" applyFill="1" applyBorder="1" applyAlignment="1">
      <alignment horizontal="center" vertical="center" wrapText="1"/>
    </xf>
    <xf numFmtId="10" fontId="12" fillId="62" borderId="52" xfId="0" applyNumberFormat="1" applyFont="1" applyFill="1" applyBorder="1" applyAlignment="1">
      <alignment horizontal="center" vertical="center"/>
    </xf>
    <xf numFmtId="10" fontId="12" fillId="62" borderId="75" xfId="0" applyNumberFormat="1" applyFont="1" applyFill="1" applyBorder="1" applyAlignment="1">
      <alignment horizontal="center" vertical="center"/>
    </xf>
    <xf numFmtId="10" fontId="12" fillId="62" borderId="11" xfId="0" applyNumberFormat="1" applyFont="1" applyFill="1" applyBorder="1" applyAlignment="1">
      <alignment horizontal="center" vertical="center"/>
    </xf>
    <xf numFmtId="10" fontId="12" fillId="62" borderId="79" xfId="0" applyNumberFormat="1" applyFont="1" applyFill="1" applyBorder="1" applyAlignment="1">
      <alignment horizontal="center" vertical="center"/>
    </xf>
    <xf numFmtId="0" fontId="5" fillId="0" borderId="76" xfId="0" applyFont="1" applyBorder="1" applyAlignment="1">
      <alignment horizontal="center" vertical="center" wrapText="1"/>
    </xf>
    <xf numFmtId="0" fontId="15" fillId="142" borderId="80" xfId="0" applyFont="1" applyFill="1" applyBorder="1" applyAlignment="1">
      <alignment horizontal="center" vertical="center" textRotation="90"/>
    </xf>
    <xf numFmtId="0" fontId="15" fillId="142" borderId="84" xfId="0" applyFont="1" applyFill="1" applyBorder="1" applyAlignment="1">
      <alignment horizontal="center" vertical="center" textRotation="90"/>
    </xf>
    <xf numFmtId="0" fontId="5" fillId="143" borderId="74" xfId="0" applyFont="1" applyFill="1" applyBorder="1" applyAlignment="1">
      <alignment horizontal="center" vertical="center" wrapText="1"/>
    </xf>
    <xf numFmtId="0" fontId="5" fillId="143" borderId="105" xfId="0" applyFont="1" applyFill="1" applyBorder="1" applyAlignment="1">
      <alignment horizontal="center" vertical="center" wrapText="1"/>
    </xf>
    <xf numFmtId="0" fontId="5" fillId="143" borderId="78" xfId="0" applyFont="1" applyFill="1" applyBorder="1" applyAlignment="1">
      <alignment horizontal="center" vertical="center" wrapText="1"/>
    </xf>
    <xf numFmtId="0" fontId="5" fillId="143" borderId="59" xfId="0" applyFont="1" applyFill="1" applyBorder="1" applyAlignment="1">
      <alignment horizontal="center" vertical="center" wrapText="1"/>
    </xf>
    <xf numFmtId="10" fontId="12" fillId="143" borderId="52" xfId="0" applyNumberFormat="1" applyFont="1" applyFill="1" applyBorder="1" applyAlignment="1">
      <alignment horizontal="center" vertical="center"/>
    </xf>
    <xf numFmtId="10" fontId="12" fillId="143" borderId="75" xfId="0" applyNumberFormat="1" applyFont="1" applyFill="1" applyBorder="1" applyAlignment="1">
      <alignment horizontal="center" vertical="center"/>
    </xf>
    <xf numFmtId="10" fontId="12" fillId="143" borderId="11" xfId="0" applyNumberFormat="1" applyFont="1" applyFill="1" applyBorder="1" applyAlignment="1">
      <alignment horizontal="center" vertical="center"/>
    </xf>
    <xf numFmtId="10" fontId="12" fillId="143" borderId="79" xfId="0" applyNumberFormat="1" applyFont="1" applyFill="1" applyBorder="1" applyAlignment="1">
      <alignment horizontal="center" vertical="center"/>
    </xf>
    <xf numFmtId="0" fontId="15" fillId="50" borderId="80" xfId="0" applyFont="1" applyFill="1" applyBorder="1" applyAlignment="1">
      <alignment horizontal="center" vertical="center" textRotation="90"/>
    </xf>
    <xf numFmtId="0" fontId="15" fillId="50" borderId="84" xfId="0" applyFont="1" applyFill="1" applyBorder="1" applyAlignment="1">
      <alignment horizontal="center" vertical="center" textRotation="90"/>
    </xf>
    <xf numFmtId="0" fontId="15" fillId="140" borderId="80" xfId="0" applyFont="1" applyFill="1" applyBorder="1" applyAlignment="1">
      <alignment horizontal="center" vertical="center" textRotation="90"/>
    </xf>
    <xf numFmtId="0" fontId="15" fillId="140" borderId="84" xfId="0" applyFont="1" applyFill="1" applyBorder="1" applyAlignment="1">
      <alignment horizontal="center" vertical="center" textRotation="90"/>
    </xf>
    <xf numFmtId="0" fontId="5" fillId="141" borderId="74" xfId="0" applyFont="1" applyFill="1" applyBorder="1" applyAlignment="1">
      <alignment horizontal="center" vertical="center" wrapText="1"/>
    </xf>
    <xf numFmtId="0" fontId="5" fillId="141" borderId="105" xfId="0" applyFont="1" applyFill="1" applyBorder="1" applyAlignment="1">
      <alignment horizontal="center" vertical="center" wrapText="1"/>
    </xf>
    <xf numFmtId="0" fontId="5" fillId="141" borderId="78" xfId="0" applyFont="1" applyFill="1" applyBorder="1" applyAlignment="1">
      <alignment horizontal="center" vertical="center" wrapText="1"/>
    </xf>
    <xf numFmtId="0" fontId="5" fillId="141" borderId="59" xfId="0" applyFont="1" applyFill="1" applyBorder="1" applyAlignment="1">
      <alignment horizontal="center" vertical="center" wrapText="1"/>
    </xf>
    <xf numFmtId="10" fontId="12" fillId="141" borderId="52" xfId="0" applyNumberFormat="1" applyFont="1" applyFill="1" applyBorder="1" applyAlignment="1">
      <alignment horizontal="center" vertical="center"/>
    </xf>
    <xf numFmtId="10" fontId="12" fillId="141" borderId="75" xfId="0" applyNumberFormat="1" applyFont="1" applyFill="1" applyBorder="1" applyAlignment="1">
      <alignment horizontal="center" vertical="center"/>
    </xf>
    <xf numFmtId="10" fontId="12" fillId="141" borderId="11" xfId="0" applyNumberFormat="1" applyFont="1" applyFill="1" applyBorder="1" applyAlignment="1">
      <alignment horizontal="center" vertical="center"/>
    </xf>
    <xf numFmtId="10" fontId="12" fillId="141" borderId="79" xfId="0" applyNumberFormat="1" applyFont="1" applyFill="1" applyBorder="1" applyAlignment="1">
      <alignment horizontal="center" vertical="center"/>
    </xf>
    <xf numFmtId="0" fontId="5" fillId="10" borderId="74" xfId="0" applyFont="1" applyFill="1" applyBorder="1" applyAlignment="1">
      <alignment horizontal="center" vertical="center" wrapText="1"/>
    </xf>
    <xf numFmtId="0" fontId="5" fillId="10" borderId="105" xfId="0" applyFont="1" applyFill="1" applyBorder="1" applyAlignment="1">
      <alignment horizontal="center" vertical="center" wrapText="1"/>
    </xf>
    <xf numFmtId="0" fontId="5" fillId="10" borderId="78" xfId="0" applyFont="1" applyFill="1" applyBorder="1" applyAlignment="1">
      <alignment horizontal="center" vertical="center" wrapText="1"/>
    </xf>
    <xf numFmtId="0" fontId="5" fillId="10" borderId="59" xfId="0" applyFont="1" applyFill="1" applyBorder="1" applyAlignment="1">
      <alignment horizontal="center" vertical="center" wrapText="1"/>
    </xf>
    <xf numFmtId="10" fontId="12" fillId="10" borderId="52" xfId="0" applyNumberFormat="1" applyFont="1" applyFill="1" applyBorder="1" applyAlignment="1">
      <alignment horizontal="center" vertical="center"/>
    </xf>
    <xf numFmtId="10" fontId="12" fillId="10" borderId="75" xfId="0" applyNumberFormat="1" applyFont="1" applyFill="1" applyBorder="1" applyAlignment="1">
      <alignment horizontal="center" vertical="center"/>
    </xf>
    <xf numFmtId="10" fontId="12" fillId="10" borderId="11" xfId="0" applyNumberFormat="1" applyFont="1" applyFill="1" applyBorder="1" applyAlignment="1">
      <alignment horizontal="center" vertical="center"/>
    </xf>
    <xf numFmtId="10" fontId="12" fillId="10" borderId="79" xfId="0" applyNumberFormat="1" applyFont="1" applyFill="1" applyBorder="1" applyAlignment="1">
      <alignment horizontal="center" vertical="center"/>
    </xf>
    <xf numFmtId="0" fontId="5" fillId="139" borderId="74" xfId="0" applyFont="1" applyFill="1" applyBorder="1" applyAlignment="1">
      <alignment horizontal="center" vertical="center" wrapText="1"/>
    </xf>
    <xf numFmtId="0" fontId="5" fillId="139" borderId="105" xfId="0" applyFont="1" applyFill="1" applyBorder="1" applyAlignment="1">
      <alignment horizontal="center" vertical="center" wrapText="1"/>
    </xf>
    <xf numFmtId="0" fontId="5" fillId="139" borderId="78" xfId="0" applyFont="1" applyFill="1" applyBorder="1" applyAlignment="1">
      <alignment horizontal="center" vertical="center" wrapText="1"/>
    </xf>
    <xf numFmtId="0" fontId="5" fillId="139" borderId="59" xfId="0" applyFont="1" applyFill="1" applyBorder="1" applyAlignment="1">
      <alignment horizontal="center" vertical="center" wrapText="1"/>
    </xf>
    <xf numFmtId="10" fontId="12" fillId="139" borderId="52" xfId="0" applyNumberFormat="1" applyFont="1" applyFill="1" applyBorder="1" applyAlignment="1">
      <alignment horizontal="center" vertical="center"/>
    </xf>
    <xf numFmtId="10" fontId="12" fillId="139" borderId="75" xfId="0" applyNumberFormat="1" applyFont="1" applyFill="1" applyBorder="1" applyAlignment="1">
      <alignment horizontal="center" vertical="center"/>
    </xf>
    <xf numFmtId="10" fontId="12" fillId="139" borderId="11" xfId="0" applyNumberFormat="1" applyFont="1" applyFill="1" applyBorder="1" applyAlignment="1">
      <alignment horizontal="center" vertical="center"/>
    </xf>
    <xf numFmtId="10" fontId="12" fillId="139" borderId="79" xfId="0" applyNumberFormat="1" applyFont="1" applyFill="1" applyBorder="1" applyAlignment="1">
      <alignment horizontal="center" vertical="center"/>
    </xf>
    <xf numFmtId="0" fontId="15" fillId="39" borderId="80" xfId="0" applyFont="1" applyFill="1" applyBorder="1" applyAlignment="1">
      <alignment horizontal="center" vertical="center" textRotation="90"/>
    </xf>
    <xf numFmtId="0" fontId="15" fillId="39" borderId="84" xfId="0" applyFont="1" applyFill="1" applyBorder="1" applyAlignment="1">
      <alignment horizontal="center" vertical="center" textRotation="90"/>
    </xf>
    <xf numFmtId="0" fontId="5" fillId="35" borderId="74" xfId="0" applyFont="1" applyFill="1" applyBorder="1" applyAlignment="1">
      <alignment horizontal="center" vertical="center" wrapText="1"/>
    </xf>
    <xf numFmtId="0" fontId="5" fillId="35" borderId="105" xfId="0" applyFont="1" applyFill="1" applyBorder="1" applyAlignment="1">
      <alignment horizontal="center" vertical="center" wrapText="1"/>
    </xf>
    <xf numFmtId="0" fontId="5" fillId="35" borderId="78" xfId="0" applyFont="1" applyFill="1" applyBorder="1" applyAlignment="1">
      <alignment horizontal="center" vertical="center" wrapText="1"/>
    </xf>
    <xf numFmtId="0" fontId="5" fillId="35" borderId="59" xfId="0" applyFont="1" applyFill="1" applyBorder="1" applyAlignment="1">
      <alignment horizontal="center" vertical="center" wrapText="1"/>
    </xf>
    <xf numFmtId="10" fontId="12" fillId="35" borderId="52" xfId="0" applyNumberFormat="1" applyFont="1" applyFill="1" applyBorder="1" applyAlignment="1">
      <alignment horizontal="center" vertical="center"/>
    </xf>
    <xf numFmtId="10" fontId="12" fillId="35" borderId="75" xfId="0" applyNumberFormat="1" applyFont="1" applyFill="1" applyBorder="1" applyAlignment="1">
      <alignment horizontal="center" vertical="center"/>
    </xf>
    <xf numFmtId="10" fontId="12" fillId="35" borderId="11" xfId="0" applyNumberFormat="1" applyFont="1" applyFill="1" applyBorder="1" applyAlignment="1">
      <alignment horizontal="center" vertical="center"/>
    </xf>
    <xf numFmtId="10" fontId="12" fillId="35" borderId="79" xfId="0" applyNumberFormat="1" applyFont="1" applyFill="1" applyBorder="1" applyAlignment="1">
      <alignment horizontal="center" vertical="center"/>
    </xf>
    <xf numFmtId="10" fontId="12" fillId="35" borderId="16" xfId="0" applyNumberFormat="1" applyFont="1" applyFill="1" applyBorder="1" applyAlignment="1">
      <alignment horizontal="center" vertical="center"/>
    </xf>
    <xf numFmtId="10" fontId="12" fillId="35" borderId="57" xfId="0" applyNumberFormat="1" applyFont="1" applyFill="1" applyBorder="1" applyAlignment="1">
      <alignment horizontal="center" vertical="center"/>
    </xf>
    <xf numFmtId="10" fontId="12" fillId="35" borderId="59" xfId="0" applyNumberFormat="1" applyFont="1" applyFill="1" applyBorder="1" applyAlignment="1">
      <alignment horizontal="center" vertical="center"/>
    </xf>
    <xf numFmtId="0" fontId="93" fillId="35" borderId="15" xfId="0" applyFont="1" applyFill="1" applyBorder="1" applyAlignment="1">
      <alignment horizontal="center" vertical="center" wrapText="1"/>
    </xf>
    <xf numFmtId="0" fontId="93" fillId="35" borderId="16" xfId="0" applyFont="1" applyFill="1" applyBorder="1" applyAlignment="1">
      <alignment horizontal="center" vertical="center" wrapText="1"/>
    </xf>
    <xf numFmtId="0" fontId="93" fillId="35" borderId="22" xfId="0" applyFont="1" applyFill="1" applyBorder="1" applyAlignment="1">
      <alignment horizontal="center" vertical="center" wrapText="1"/>
    </xf>
    <xf numFmtId="0" fontId="93" fillId="35" borderId="11" xfId="0" applyFont="1" applyFill="1" applyBorder="1" applyAlignment="1">
      <alignment horizontal="center" vertical="center" wrapText="1"/>
    </xf>
    <xf numFmtId="10" fontId="21" fillId="34" borderId="23" xfId="0" applyNumberFormat="1" applyFont="1" applyFill="1" applyBorder="1" applyAlignment="1">
      <alignment horizontal="center" vertical="center"/>
    </xf>
    <xf numFmtId="10" fontId="21" fillId="34" borderId="24" xfId="0" applyNumberFormat="1" applyFont="1" applyFill="1" applyBorder="1" applyAlignment="1">
      <alignment horizontal="center" vertical="center"/>
    </xf>
    <xf numFmtId="10" fontId="12" fillId="34" borderId="23" xfId="0" applyNumberFormat="1" applyFont="1" applyFill="1" applyBorder="1" applyAlignment="1">
      <alignment horizontal="center" vertical="center"/>
    </xf>
    <xf numFmtId="10" fontId="12" fillId="34" borderId="19" xfId="0" applyNumberFormat="1" applyFont="1" applyFill="1" applyBorder="1" applyAlignment="1">
      <alignment horizontal="center" vertical="center"/>
    </xf>
    <xf numFmtId="10" fontId="12" fillId="34" borderId="24" xfId="0" applyNumberFormat="1" applyFont="1" applyFill="1" applyBorder="1" applyAlignment="1">
      <alignment horizontal="center" vertical="center"/>
    </xf>
    <xf numFmtId="0" fontId="15" fillId="39" borderId="14" xfId="0" applyFont="1" applyFill="1" applyBorder="1" applyAlignment="1">
      <alignment horizontal="center" vertical="center" textRotation="90"/>
    </xf>
    <xf numFmtId="0" fontId="38" fillId="14" borderId="14" xfId="0" applyFont="1" applyFill="1" applyBorder="1" applyAlignment="1">
      <alignment horizontal="center" vertical="center"/>
    </xf>
    <xf numFmtId="10" fontId="21" fillId="34" borderId="19" xfId="0" applyNumberFormat="1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2" fontId="88" fillId="0" borderId="0" xfId="0" applyNumberFormat="1" applyFont="1" applyAlignment="1">
      <alignment horizontal="center" vertical="center"/>
    </xf>
    <xf numFmtId="0" fontId="88" fillId="0" borderId="0" xfId="0" applyFont="1" applyAlignment="1">
      <alignment horizontal="center" vertical="center"/>
    </xf>
    <xf numFmtId="0" fontId="3" fillId="63" borderId="80" xfId="0" applyFont="1" applyFill="1" applyBorder="1" applyAlignment="1">
      <alignment horizontal="center" vertical="center" textRotation="90"/>
    </xf>
    <xf numFmtId="0" fontId="3" fillId="63" borderId="84" xfId="0" applyFont="1" applyFill="1" applyBorder="1" applyAlignment="1">
      <alignment horizontal="center" vertical="center" textRotation="90"/>
    </xf>
    <xf numFmtId="0" fontId="3" fillId="159" borderId="80" xfId="0" applyFont="1" applyFill="1" applyBorder="1" applyAlignment="1">
      <alignment horizontal="center" vertical="center" textRotation="90"/>
    </xf>
    <xf numFmtId="0" fontId="3" fillId="159" borderId="84" xfId="0" applyFont="1" applyFill="1" applyBorder="1" applyAlignment="1">
      <alignment horizontal="center" vertical="center" textRotation="90"/>
    </xf>
    <xf numFmtId="0" fontId="3" fillId="62" borderId="74" xfId="0" applyFont="1" applyFill="1" applyBorder="1" applyAlignment="1">
      <alignment horizontal="center" vertical="center" wrapText="1"/>
    </xf>
    <xf numFmtId="0" fontId="3" fillId="62" borderId="52" xfId="0" applyFont="1" applyFill="1" applyBorder="1" applyAlignment="1">
      <alignment horizontal="center" vertical="center" wrapText="1"/>
    </xf>
    <xf numFmtId="0" fontId="3" fillId="62" borderId="76" xfId="0" applyFont="1" applyFill="1" applyBorder="1" applyAlignment="1">
      <alignment horizontal="center" vertical="center" wrapText="1"/>
    </xf>
    <xf numFmtId="0" fontId="3" fillId="62" borderId="0" xfId="0" applyFont="1" applyFill="1" applyAlignment="1">
      <alignment horizontal="center" vertical="center" wrapText="1"/>
    </xf>
    <xf numFmtId="10" fontId="3" fillId="62" borderId="52" xfId="0" applyNumberFormat="1" applyFont="1" applyFill="1" applyBorder="1" applyAlignment="1">
      <alignment horizontal="center" vertical="center"/>
    </xf>
    <xf numFmtId="10" fontId="3" fillId="62" borderId="75" xfId="0" applyNumberFormat="1" applyFont="1" applyFill="1" applyBorder="1" applyAlignment="1">
      <alignment horizontal="center" vertical="center"/>
    </xf>
    <xf numFmtId="10" fontId="3" fillId="62" borderId="0" xfId="0" applyNumberFormat="1" applyFont="1" applyFill="1" applyAlignment="1">
      <alignment horizontal="center" vertical="center"/>
    </xf>
    <xf numFmtId="10" fontId="3" fillId="62" borderId="77" xfId="0" applyNumberFormat="1" applyFont="1" applyFill="1" applyBorder="1" applyAlignment="1">
      <alignment horizontal="center" vertical="center"/>
    </xf>
    <xf numFmtId="0" fontId="93" fillId="152" borderId="141" xfId="0" applyFont="1" applyFill="1" applyBorder="1" applyAlignment="1">
      <alignment horizontal="center" vertical="center" wrapText="1"/>
    </xf>
    <xf numFmtId="0" fontId="93" fillId="152" borderId="19" xfId="0" applyFont="1" applyFill="1" applyBorder="1" applyAlignment="1">
      <alignment horizontal="center" vertical="center" wrapText="1"/>
    </xf>
    <xf numFmtId="0" fontId="96" fillId="152" borderId="284" xfId="0" applyFont="1" applyFill="1" applyBorder="1" applyAlignment="1">
      <alignment horizontal="center" vertical="center" wrapText="1"/>
    </xf>
    <xf numFmtId="0" fontId="96" fillId="152" borderId="19" xfId="0" applyFont="1" applyFill="1" applyBorder="1" applyAlignment="1">
      <alignment horizontal="center" vertical="center" wrapText="1"/>
    </xf>
    <xf numFmtId="0" fontId="96" fillId="152" borderId="61" xfId="0" applyFont="1" applyFill="1" applyBorder="1" applyAlignment="1">
      <alignment horizontal="center" vertical="center" wrapText="1"/>
    </xf>
    <xf numFmtId="0" fontId="3" fillId="16" borderId="74" xfId="0" applyFont="1" applyFill="1" applyBorder="1" applyAlignment="1">
      <alignment horizontal="center" vertical="center" wrapText="1"/>
    </xf>
    <xf numFmtId="0" fontId="3" fillId="16" borderId="76" xfId="0" applyFont="1" applyFill="1" applyBorder="1" applyAlignment="1">
      <alignment horizontal="center" vertical="center" wrapText="1"/>
    </xf>
    <xf numFmtId="0" fontId="93" fillId="152" borderId="61" xfId="0" applyFont="1" applyFill="1" applyBorder="1" applyAlignment="1">
      <alignment horizontal="center" vertical="center" wrapText="1"/>
    </xf>
    <xf numFmtId="0" fontId="3" fillId="158" borderId="74" xfId="0" applyFont="1" applyFill="1" applyBorder="1" applyAlignment="1">
      <alignment horizontal="center" vertical="center" wrapText="1"/>
    </xf>
    <xf numFmtId="0" fontId="3" fillId="158" borderId="52" xfId="0" applyFont="1" applyFill="1" applyBorder="1" applyAlignment="1">
      <alignment horizontal="center" vertical="center" wrapText="1"/>
    </xf>
    <xf numFmtId="0" fontId="3" fillId="158" borderId="76" xfId="0" applyFont="1" applyFill="1" applyBorder="1" applyAlignment="1">
      <alignment horizontal="center" vertical="center" wrapText="1"/>
    </xf>
    <xf numFmtId="0" fontId="3" fillId="158" borderId="0" xfId="0" applyFont="1" applyFill="1" applyAlignment="1">
      <alignment horizontal="center" vertical="center" wrapText="1"/>
    </xf>
    <xf numFmtId="10" fontId="3" fillId="158" borderId="52" xfId="0" applyNumberFormat="1" applyFont="1" applyFill="1" applyBorder="1" applyAlignment="1">
      <alignment horizontal="center" vertical="center"/>
    </xf>
    <xf numFmtId="10" fontId="3" fillId="158" borderId="75" xfId="0" applyNumberFormat="1" applyFont="1" applyFill="1" applyBorder="1" applyAlignment="1">
      <alignment horizontal="center" vertical="center"/>
    </xf>
    <xf numFmtId="10" fontId="3" fillId="158" borderId="0" xfId="0" applyNumberFormat="1" applyFont="1" applyFill="1" applyAlignment="1">
      <alignment horizontal="center" vertical="center"/>
    </xf>
    <xf numFmtId="10" fontId="3" fillId="158" borderId="77" xfId="0" applyNumberFormat="1" applyFont="1" applyFill="1" applyBorder="1" applyAlignment="1">
      <alignment horizontal="center" vertical="center"/>
    </xf>
    <xf numFmtId="0" fontId="12" fillId="152" borderId="141" xfId="0" applyFont="1" applyFill="1" applyBorder="1" applyAlignment="1">
      <alignment horizontal="center" vertical="center" wrapText="1"/>
    </xf>
    <xf numFmtId="0" fontId="12" fillId="152" borderId="19" xfId="0" applyFont="1" applyFill="1" applyBorder="1" applyAlignment="1">
      <alignment horizontal="center" vertical="center" wrapText="1"/>
    </xf>
    <xf numFmtId="0" fontId="12" fillId="152" borderId="61" xfId="0" applyFont="1" applyFill="1" applyBorder="1" applyAlignment="1">
      <alignment horizontal="center" vertical="center" wrapText="1"/>
    </xf>
    <xf numFmtId="0" fontId="3" fillId="10" borderId="74" xfId="0" applyFont="1" applyFill="1" applyBorder="1" applyAlignment="1">
      <alignment horizontal="center" vertical="center" wrapText="1"/>
    </xf>
    <xf numFmtId="0" fontId="3" fillId="10" borderId="52" xfId="0" applyFont="1" applyFill="1" applyBorder="1" applyAlignment="1">
      <alignment horizontal="center" vertical="center" wrapText="1"/>
    </xf>
    <xf numFmtId="0" fontId="3" fillId="10" borderId="76" xfId="0" applyFont="1" applyFill="1" applyBorder="1" applyAlignment="1">
      <alignment horizontal="center" vertical="center" wrapText="1"/>
    </xf>
    <xf numFmtId="0" fontId="3" fillId="10" borderId="0" xfId="0" applyFont="1" applyFill="1" applyAlignment="1">
      <alignment horizontal="center" vertical="center" wrapText="1"/>
    </xf>
    <xf numFmtId="0" fontId="3" fillId="28" borderId="80" xfId="0" applyFont="1" applyFill="1" applyBorder="1" applyAlignment="1">
      <alignment horizontal="center" vertical="center" textRotation="90"/>
    </xf>
    <xf numFmtId="0" fontId="3" fillId="28" borderId="84" xfId="0" applyFont="1" applyFill="1" applyBorder="1" applyAlignment="1">
      <alignment horizontal="center" vertical="center" textRotation="90"/>
    </xf>
    <xf numFmtId="0" fontId="3" fillId="27" borderId="74" xfId="0" applyFont="1" applyFill="1" applyBorder="1" applyAlignment="1">
      <alignment horizontal="center" vertical="center" wrapText="1"/>
    </xf>
    <xf numFmtId="0" fontId="3" fillId="27" borderId="52" xfId="0" applyFont="1" applyFill="1" applyBorder="1" applyAlignment="1">
      <alignment horizontal="center" vertical="center" wrapText="1"/>
    </xf>
    <xf numFmtId="0" fontId="3" fillId="27" borderId="76" xfId="0" applyFont="1" applyFill="1" applyBorder="1" applyAlignment="1">
      <alignment horizontal="center" vertical="center" wrapText="1"/>
    </xf>
    <xf numFmtId="0" fontId="3" fillId="27" borderId="0" xfId="0" applyFont="1" applyFill="1" applyAlignment="1">
      <alignment horizontal="center" vertical="center" wrapText="1"/>
    </xf>
    <xf numFmtId="10" fontId="3" fillId="27" borderId="52" xfId="0" applyNumberFormat="1" applyFont="1" applyFill="1" applyBorder="1" applyAlignment="1">
      <alignment horizontal="center" vertical="center"/>
    </xf>
    <xf numFmtId="10" fontId="3" fillId="27" borderId="75" xfId="0" applyNumberFormat="1" applyFont="1" applyFill="1" applyBorder="1" applyAlignment="1">
      <alignment horizontal="center" vertical="center"/>
    </xf>
    <xf numFmtId="10" fontId="3" fillId="27" borderId="0" xfId="0" applyNumberFormat="1" applyFont="1" applyFill="1" applyAlignment="1">
      <alignment horizontal="center" vertical="center"/>
    </xf>
    <xf numFmtId="10" fontId="3" fillId="27" borderId="77" xfId="0" applyNumberFormat="1" applyFont="1" applyFill="1" applyBorder="1" applyAlignment="1">
      <alignment horizontal="center" vertical="center"/>
    </xf>
    <xf numFmtId="10" fontId="3" fillId="160" borderId="52" xfId="0" applyNumberFormat="1" applyFont="1" applyFill="1" applyBorder="1" applyAlignment="1">
      <alignment horizontal="center" vertical="center"/>
    </xf>
    <xf numFmtId="10" fontId="3" fillId="160" borderId="75" xfId="0" applyNumberFormat="1" applyFont="1" applyFill="1" applyBorder="1" applyAlignment="1">
      <alignment horizontal="center" vertical="center"/>
    </xf>
    <xf numFmtId="10" fontId="3" fillId="160" borderId="0" xfId="0" applyNumberFormat="1" applyFont="1" applyFill="1" applyAlignment="1">
      <alignment horizontal="center" vertical="center"/>
    </xf>
    <xf numFmtId="10" fontId="3" fillId="160" borderId="77" xfId="0" applyNumberFormat="1" applyFont="1" applyFill="1" applyBorder="1" applyAlignment="1">
      <alignment horizontal="center" vertical="center"/>
    </xf>
    <xf numFmtId="0" fontId="3" fillId="22" borderId="74" xfId="0" applyFont="1" applyFill="1" applyBorder="1" applyAlignment="1">
      <alignment horizontal="center" vertical="center" wrapText="1"/>
    </xf>
    <xf numFmtId="0" fontId="3" fillId="22" borderId="52" xfId="0" applyFont="1" applyFill="1" applyBorder="1" applyAlignment="1">
      <alignment horizontal="center" vertical="center" wrapText="1"/>
    </xf>
    <xf numFmtId="0" fontId="3" fillId="22" borderId="76" xfId="0" applyFont="1" applyFill="1" applyBorder="1" applyAlignment="1">
      <alignment horizontal="center" vertical="center" wrapText="1"/>
    </xf>
    <xf numFmtId="0" fontId="3" fillId="22" borderId="0" xfId="0" applyFont="1" applyFill="1" applyAlignment="1">
      <alignment horizontal="center" vertical="center" wrapText="1"/>
    </xf>
    <xf numFmtId="10" fontId="3" fillId="22" borderId="52" xfId="0" applyNumberFormat="1" applyFont="1" applyFill="1" applyBorder="1" applyAlignment="1">
      <alignment horizontal="center" vertical="center"/>
    </xf>
    <xf numFmtId="10" fontId="3" fillId="22" borderId="75" xfId="0" applyNumberFormat="1" applyFont="1" applyFill="1" applyBorder="1" applyAlignment="1">
      <alignment horizontal="center" vertical="center"/>
    </xf>
    <xf numFmtId="10" fontId="3" fillId="22" borderId="0" xfId="0" applyNumberFormat="1" applyFont="1" applyFill="1" applyAlignment="1">
      <alignment horizontal="center" vertical="center"/>
    </xf>
    <xf numFmtId="10" fontId="3" fillId="22" borderId="77" xfId="0" applyNumberFormat="1" applyFont="1" applyFill="1" applyBorder="1" applyAlignment="1">
      <alignment horizontal="center" vertical="center"/>
    </xf>
    <xf numFmtId="0" fontId="166" fillId="0" borderId="52" xfId="0" applyFont="1" applyBorder="1" applyAlignment="1">
      <alignment horizontal="right" vertical="top" wrapText="1"/>
    </xf>
    <xf numFmtId="0" fontId="166" fillId="0" borderId="0" xfId="0" applyFont="1" applyAlignment="1">
      <alignment horizontal="right" vertical="top" wrapText="1"/>
    </xf>
    <xf numFmtId="0" fontId="3" fillId="114" borderId="80" xfId="0" applyFont="1" applyFill="1" applyBorder="1" applyAlignment="1">
      <alignment horizontal="center" vertical="center" textRotation="90"/>
    </xf>
    <xf numFmtId="0" fontId="3" fillId="114" borderId="84" xfId="0" applyFont="1" applyFill="1" applyBorder="1" applyAlignment="1">
      <alignment horizontal="center" vertical="center" textRotation="90"/>
    </xf>
    <xf numFmtId="0" fontId="165" fillId="0" borderId="0" xfId="0" applyFont="1" applyAlignment="1">
      <alignment horizontal="right" vertical="top"/>
    </xf>
    <xf numFmtId="0" fontId="133" fillId="0" borderId="0" xfId="0" applyFont="1" applyAlignment="1">
      <alignment horizontal="center" vertical="center"/>
    </xf>
    <xf numFmtId="0" fontId="45" fillId="0" borderId="0" xfId="0" applyFont="1" applyAlignment="1">
      <alignment vertical="center"/>
    </xf>
    <xf numFmtId="0" fontId="43" fillId="0" borderId="0" xfId="0" applyFont="1" applyAlignment="1">
      <alignment vertical="center"/>
    </xf>
    <xf numFmtId="1" fontId="49" fillId="0" borderId="0" xfId="0" applyNumberFormat="1" applyFont="1" applyAlignment="1">
      <alignment horizontal="right" vertical="center"/>
    </xf>
    <xf numFmtId="0" fontId="32" fillId="0" borderId="0" xfId="0" applyFont="1" applyAlignment="1">
      <alignment horizontal="center" vertical="center" wrapText="1"/>
    </xf>
    <xf numFmtId="0" fontId="93" fillId="34" borderId="141" xfId="0" applyFont="1" applyFill="1" applyBorder="1" applyAlignment="1">
      <alignment horizontal="center" vertical="center" wrapText="1"/>
    </xf>
    <xf numFmtId="0" fontId="93" fillId="34" borderId="19" xfId="0" applyFont="1" applyFill="1" applyBorder="1" applyAlignment="1">
      <alignment horizontal="center" vertical="center" wrapText="1"/>
    </xf>
    <xf numFmtId="0" fontId="93" fillId="34" borderId="61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 textRotation="90"/>
    </xf>
    <xf numFmtId="2" fontId="15" fillId="0" borderId="0" xfId="0" applyNumberFormat="1" applyFont="1" applyAlignment="1">
      <alignment horizontal="center" vertical="center" wrapText="1"/>
    </xf>
    <xf numFmtId="2" fontId="79" fillId="0" borderId="0" xfId="0" applyNumberFormat="1" applyFont="1" applyAlignment="1">
      <alignment horizontal="center" vertical="center" wrapText="1"/>
    </xf>
    <xf numFmtId="2" fontId="81" fillId="0" borderId="0" xfId="0" applyNumberFormat="1" applyFont="1" applyAlignment="1">
      <alignment horizontal="center" vertical="center"/>
    </xf>
    <xf numFmtId="0" fontId="5" fillId="83" borderId="74" xfId="0" applyFont="1" applyFill="1" applyBorder="1" applyAlignment="1">
      <alignment horizontal="center" vertical="center"/>
    </xf>
    <xf numFmtId="0" fontId="5" fillId="83" borderId="52" xfId="0" applyFont="1" applyFill="1" applyBorder="1" applyAlignment="1">
      <alignment horizontal="center" vertical="center"/>
    </xf>
    <xf numFmtId="0" fontId="5" fillId="83" borderId="76" xfId="0" applyFont="1" applyFill="1" applyBorder="1" applyAlignment="1">
      <alignment horizontal="center" vertical="center"/>
    </xf>
    <xf numFmtId="0" fontId="5" fillId="83" borderId="0" xfId="0" applyFont="1" applyFill="1" applyAlignment="1">
      <alignment horizontal="center" vertical="center"/>
    </xf>
    <xf numFmtId="0" fontId="5" fillId="83" borderId="78" xfId="0" applyFont="1" applyFill="1" applyBorder="1" applyAlignment="1">
      <alignment horizontal="center" vertical="center"/>
    </xf>
    <xf numFmtId="0" fontId="5" fillId="83" borderId="11" xfId="0" applyFont="1" applyFill="1" applyBorder="1" applyAlignment="1">
      <alignment horizontal="center" vertical="center"/>
    </xf>
    <xf numFmtId="10" fontId="3" fillId="83" borderId="52" xfId="0" applyNumberFormat="1" applyFont="1" applyFill="1" applyBorder="1" applyAlignment="1">
      <alignment horizontal="center" vertical="center"/>
    </xf>
    <xf numFmtId="10" fontId="3" fillId="83" borderId="75" xfId="0" applyNumberFormat="1" applyFont="1" applyFill="1" applyBorder="1" applyAlignment="1">
      <alignment horizontal="center" vertical="center"/>
    </xf>
    <xf numFmtId="10" fontId="3" fillId="83" borderId="0" xfId="0" applyNumberFormat="1" applyFont="1" applyFill="1" applyAlignment="1">
      <alignment horizontal="center" vertical="center"/>
    </xf>
    <xf numFmtId="10" fontId="3" fillId="83" borderId="77" xfId="0" applyNumberFormat="1" applyFont="1" applyFill="1" applyBorder="1" applyAlignment="1">
      <alignment horizontal="center" vertical="center"/>
    </xf>
    <xf numFmtId="10" fontId="3" fillId="83" borderId="11" xfId="0" applyNumberFormat="1" applyFont="1" applyFill="1" applyBorder="1" applyAlignment="1">
      <alignment horizontal="center" vertical="center"/>
    </xf>
    <xf numFmtId="10" fontId="3" fillId="83" borderId="79" xfId="0" applyNumberFormat="1" applyFont="1" applyFill="1" applyBorder="1" applyAlignment="1">
      <alignment horizontal="center" vertical="center"/>
    </xf>
    <xf numFmtId="10" fontId="12" fillId="152" borderId="14" xfId="0" applyNumberFormat="1" applyFont="1" applyFill="1" applyBorder="1" applyAlignment="1">
      <alignment horizontal="center" vertical="center"/>
    </xf>
    <xf numFmtId="0" fontId="15" fillId="65" borderId="14" xfId="0" applyFont="1" applyFill="1" applyBorder="1" applyAlignment="1">
      <alignment horizontal="center" vertical="center" textRotation="90"/>
    </xf>
    <xf numFmtId="0" fontId="15" fillId="63" borderId="14" xfId="0" applyFont="1" applyFill="1" applyBorder="1" applyAlignment="1">
      <alignment horizontal="center" vertical="center" textRotation="90"/>
    </xf>
    <xf numFmtId="0" fontId="5" fillId="62" borderId="15" xfId="0" applyFont="1" applyFill="1" applyBorder="1" applyAlignment="1">
      <alignment horizontal="center" vertical="center" wrapText="1"/>
    </xf>
    <xf numFmtId="0" fontId="5" fillId="62" borderId="57" xfId="0" applyFont="1" applyFill="1" applyBorder="1" applyAlignment="1">
      <alignment horizontal="center" vertical="center" wrapText="1"/>
    </xf>
    <xf numFmtId="0" fontId="5" fillId="62" borderId="34" xfId="0" applyFont="1" applyFill="1" applyBorder="1" applyAlignment="1">
      <alignment horizontal="center" vertical="center" wrapText="1"/>
    </xf>
    <xf numFmtId="0" fontId="5" fillId="62" borderId="58" xfId="0" applyFont="1" applyFill="1" applyBorder="1" applyAlignment="1">
      <alignment horizontal="center" vertical="center" wrapText="1"/>
    </xf>
    <xf numFmtId="0" fontId="5" fillId="62" borderId="22" xfId="0" applyFont="1" applyFill="1" applyBorder="1" applyAlignment="1">
      <alignment horizontal="center" vertical="center" wrapText="1"/>
    </xf>
    <xf numFmtId="10" fontId="12" fillId="62" borderId="15" xfId="0" applyNumberFormat="1" applyFont="1" applyFill="1" applyBorder="1" applyAlignment="1">
      <alignment horizontal="center" vertical="center"/>
    </xf>
    <xf numFmtId="10" fontId="12" fillId="62" borderId="16" xfId="0" applyNumberFormat="1" applyFont="1" applyFill="1" applyBorder="1" applyAlignment="1">
      <alignment horizontal="center" vertical="center"/>
    </xf>
    <xf numFmtId="10" fontId="12" fillId="62" borderId="57" xfId="0" applyNumberFormat="1" applyFont="1" applyFill="1" applyBorder="1" applyAlignment="1">
      <alignment horizontal="center" vertical="center"/>
    </xf>
    <xf numFmtId="10" fontId="12" fillId="62" borderId="34" xfId="0" applyNumberFormat="1" applyFont="1" applyFill="1" applyBorder="1" applyAlignment="1">
      <alignment horizontal="center" vertical="center"/>
    </xf>
    <xf numFmtId="10" fontId="12" fillId="62" borderId="0" xfId="0" applyNumberFormat="1" applyFont="1" applyFill="1" applyAlignment="1">
      <alignment horizontal="center" vertical="center"/>
    </xf>
    <xf numFmtId="10" fontId="12" fillId="62" borderId="58" xfId="0" applyNumberFormat="1" applyFont="1" applyFill="1" applyBorder="1" applyAlignment="1">
      <alignment horizontal="center" vertical="center"/>
    </xf>
    <xf numFmtId="10" fontId="12" fillId="62" borderId="22" xfId="0" applyNumberFormat="1" applyFont="1" applyFill="1" applyBorder="1" applyAlignment="1">
      <alignment horizontal="center" vertical="center"/>
    </xf>
    <xf numFmtId="10" fontId="12" fillId="62" borderId="59" xfId="0" applyNumberFormat="1" applyFont="1" applyFill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23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64" fontId="34" fillId="0" borderId="23" xfId="0" applyNumberFormat="1" applyFont="1" applyBorder="1" applyAlignment="1">
      <alignment horizontal="center" vertical="center"/>
    </xf>
    <xf numFmtId="164" fontId="34" fillId="0" borderId="19" xfId="0" applyNumberFormat="1" applyFont="1" applyBorder="1" applyAlignment="1">
      <alignment horizontal="center" vertical="center"/>
    </xf>
    <xf numFmtId="164" fontId="34" fillId="0" borderId="24" xfId="0" applyNumberFormat="1" applyFont="1" applyBorder="1" applyAlignment="1">
      <alignment horizontal="center" vertical="center"/>
    </xf>
    <xf numFmtId="0" fontId="160" fillId="0" borderId="0" xfId="0" applyFont="1" applyAlignment="1">
      <alignment horizontal="center" vertical="center"/>
    </xf>
    <xf numFmtId="0" fontId="5" fillId="10" borderId="14" xfId="0" applyFont="1" applyFill="1" applyBorder="1" applyAlignment="1">
      <alignment horizontal="center" vertical="center" wrapText="1"/>
    </xf>
    <xf numFmtId="10" fontId="12" fillId="10" borderId="14" xfId="0" applyNumberFormat="1" applyFont="1" applyFill="1" applyBorder="1" applyAlignment="1">
      <alignment horizontal="center" vertical="center"/>
    </xf>
    <xf numFmtId="10" fontId="12" fillId="34" borderId="14" xfId="0" applyNumberFormat="1" applyFont="1" applyFill="1" applyBorder="1" applyAlignment="1">
      <alignment horizontal="center" vertical="center"/>
    </xf>
    <xf numFmtId="0" fontId="15" fillId="50" borderId="14" xfId="0" applyFont="1" applyFill="1" applyBorder="1" applyAlignment="1">
      <alignment horizontal="center" vertical="center" textRotation="90"/>
    </xf>
    <xf numFmtId="0" fontId="5" fillId="107" borderId="14" xfId="0" applyFont="1" applyFill="1" applyBorder="1" applyAlignment="1">
      <alignment horizontal="center" vertical="center" wrapText="1"/>
    </xf>
    <xf numFmtId="10" fontId="12" fillId="107" borderId="14" xfId="0" applyNumberFormat="1" applyFont="1" applyFill="1" applyBorder="1" applyAlignment="1">
      <alignment horizontal="center" vertical="center"/>
    </xf>
    <xf numFmtId="0" fontId="136" fillId="0" borderId="0" xfId="0" applyFont="1" applyAlignment="1">
      <alignment horizontal="center" vertical="center"/>
    </xf>
    <xf numFmtId="0" fontId="15" fillId="108" borderId="14" xfId="0" applyFont="1" applyFill="1" applyBorder="1" applyAlignment="1">
      <alignment horizontal="center" vertical="center" textRotation="90"/>
    </xf>
    <xf numFmtId="1" fontId="88" fillId="0" borderId="0" xfId="0" applyNumberFormat="1" applyFont="1" applyAlignment="1">
      <alignment horizontal="center" vertical="center"/>
    </xf>
    <xf numFmtId="0" fontId="34" fillId="0" borderId="15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57" xfId="0" applyFont="1" applyBorder="1" applyAlignment="1">
      <alignment horizontal="center" vertical="center"/>
    </xf>
    <xf numFmtId="0" fontId="34" fillId="0" borderId="34" xfId="0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4" fillId="0" borderId="58" xfId="0" applyFont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0" fontId="34" fillId="0" borderId="11" xfId="0" applyFont="1" applyBorder="1" applyAlignment="1">
      <alignment horizontal="center" vertical="center"/>
    </xf>
    <xf numFmtId="0" fontId="34" fillId="0" borderId="59" xfId="0" applyFont="1" applyBorder="1" applyAlignment="1">
      <alignment horizontal="center" vertical="center"/>
    </xf>
    <xf numFmtId="0" fontId="5" fillId="16" borderId="15" xfId="0" applyFont="1" applyFill="1" applyBorder="1" applyAlignment="1">
      <alignment horizontal="center" vertical="center" wrapText="1"/>
    </xf>
    <xf numFmtId="0" fontId="5" fillId="16" borderId="57" xfId="0" applyFont="1" applyFill="1" applyBorder="1" applyAlignment="1">
      <alignment horizontal="center" vertical="center" wrapText="1"/>
    </xf>
    <xf numFmtId="0" fontId="5" fillId="16" borderId="34" xfId="0" applyFont="1" applyFill="1" applyBorder="1" applyAlignment="1">
      <alignment horizontal="center" vertical="center" wrapText="1"/>
    </xf>
    <xf numFmtId="0" fontId="5" fillId="16" borderId="58" xfId="0" applyFont="1" applyFill="1" applyBorder="1" applyAlignment="1">
      <alignment horizontal="center" vertical="center" wrapText="1"/>
    </xf>
    <xf numFmtId="10" fontId="12" fillId="16" borderId="15" xfId="0" applyNumberFormat="1" applyFont="1" applyFill="1" applyBorder="1" applyAlignment="1">
      <alignment horizontal="center" vertical="center"/>
    </xf>
    <xf numFmtId="10" fontId="12" fillId="16" borderId="16" xfId="0" applyNumberFormat="1" applyFont="1" applyFill="1" applyBorder="1" applyAlignment="1">
      <alignment horizontal="center" vertical="center"/>
    </xf>
    <xf numFmtId="10" fontId="12" fillId="16" borderId="57" xfId="0" applyNumberFormat="1" applyFont="1" applyFill="1" applyBorder="1" applyAlignment="1">
      <alignment horizontal="center" vertical="center"/>
    </xf>
    <xf numFmtId="10" fontId="12" fillId="16" borderId="34" xfId="0" applyNumberFormat="1" applyFont="1" applyFill="1" applyBorder="1" applyAlignment="1">
      <alignment horizontal="center" vertical="center"/>
    </xf>
    <xf numFmtId="10" fontId="12" fillId="16" borderId="0" xfId="0" applyNumberFormat="1" applyFont="1" applyFill="1" applyAlignment="1">
      <alignment horizontal="center" vertical="center"/>
    </xf>
    <xf numFmtId="10" fontId="12" fillId="16" borderId="58" xfId="0" applyNumberFormat="1" applyFont="1" applyFill="1" applyBorder="1" applyAlignment="1">
      <alignment horizontal="center" vertical="center"/>
    </xf>
    <xf numFmtId="0" fontId="5" fillId="22" borderId="108" xfId="0" applyFont="1" applyFill="1" applyBorder="1" applyAlignment="1">
      <alignment horizontal="center" vertical="center"/>
    </xf>
    <xf numFmtId="0" fontId="5" fillId="22" borderId="109" xfId="0" applyFont="1" applyFill="1" applyBorder="1" applyAlignment="1">
      <alignment horizontal="center" vertical="center"/>
    </xf>
    <xf numFmtId="10" fontId="3" fillId="22" borderId="109" xfId="0" applyNumberFormat="1" applyFont="1" applyFill="1" applyBorder="1" applyAlignment="1">
      <alignment horizontal="center" vertical="center"/>
    </xf>
    <xf numFmtId="10" fontId="3" fillId="22" borderId="110" xfId="0" applyNumberFormat="1" applyFont="1" applyFill="1" applyBorder="1" applyAlignment="1">
      <alignment horizontal="center" vertical="center"/>
    </xf>
    <xf numFmtId="0" fontId="3" fillId="22" borderId="22" xfId="0" applyFont="1" applyFill="1" applyBorder="1" applyAlignment="1">
      <alignment horizontal="center" vertical="center"/>
    </xf>
    <xf numFmtId="0" fontId="3" fillId="22" borderId="11" xfId="0" applyFont="1" applyFill="1" applyBorder="1" applyAlignment="1">
      <alignment horizontal="center" vertical="center"/>
    </xf>
    <xf numFmtId="0" fontId="3" fillId="22" borderId="79" xfId="0" applyFont="1" applyFill="1" applyBorder="1" applyAlignment="1">
      <alignment horizontal="center" vertical="center"/>
    </xf>
    <xf numFmtId="0" fontId="83" fillId="0" borderId="0" xfId="0" applyFont="1" applyAlignment="1">
      <alignment horizontal="center" vertical="center" wrapText="1"/>
    </xf>
    <xf numFmtId="0" fontId="13" fillId="34" borderId="15" xfId="0" applyFont="1" applyFill="1" applyBorder="1" applyAlignment="1">
      <alignment horizontal="center" vertical="center"/>
    </xf>
    <xf numFmtId="0" fontId="13" fillId="34" borderId="16" xfId="0" applyFont="1" applyFill="1" applyBorder="1" applyAlignment="1">
      <alignment horizontal="center" vertical="center"/>
    </xf>
    <xf numFmtId="0" fontId="13" fillId="34" borderId="90" xfId="0" applyFont="1" applyFill="1" applyBorder="1" applyAlignment="1">
      <alignment horizontal="center" vertical="center"/>
    </xf>
    <xf numFmtId="0" fontId="3" fillId="22" borderId="15" xfId="0" applyFont="1" applyFill="1" applyBorder="1" applyAlignment="1">
      <alignment horizontal="center" vertical="center"/>
    </xf>
    <xf numFmtId="0" fontId="3" fillId="22" borderId="16" xfId="0" applyFont="1" applyFill="1" applyBorder="1" applyAlignment="1">
      <alignment horizontal="center" vertical="center"/>
    </xf>
    <xf numFmtId="0" fontId="3" fillId="22" borderId="90" xfId="0" applyFont="1" applyFill="1" applyBorder="1" applyAlignment="1">
      <alignment horizontal="center" vertical="center"/>
    </xf>
    <xf numFmtId="0" fontId="5" fillId="35" borderId="52" xfId="0" applyFont="1" applyFill="1" applyBorder="1" applyAlignment="1">
      <alignment horizontal="center" vertical="center" wrapText="1"/>
    </xf>
    <xf numFmtId="10" fontId="6" fillId="35" borderId="52" xfId="0" applyNumberFormat="1" applyFont="1" applyFill="1" applyBorder="1" applyAlignment="1">
      <alignment horizontal="center" vertical="center"/>
    </xf>
    <xf numFmtId="10" fontId="6" fillId="35" borderId="75" xfId="0" applyNumberFormat="1" applyFont="1" applyFill="1" applyBorder="1" applyAlignment="1">
      <alignment horizontal="center" vertical="center"/>
    </xf>
    <xf numFmtId="0" fontId="3" fillId="34" borderId="56" xfId="0" applyFont="1" applyFill="1" applyBorder="1" applyAlignment="1">
      <alignment horizontal="center" vertical="center" wrapText="1"/>
    </xf>
    <xf numFmtId="0" fontId="3" fillId="34" borderId="14" xfId="0" applyFont="1" applyFill="1" applyBorder="1" applyAlignment="1">
      <alignment horizontal="center" vertical="center" wrapText="1"/>
    </xf>
    <xf numFmtId="0" fontId="3" fillId="34" borderId="188" xfId="0" applyFont="1" applyFill="1" applyBorder="1" applyAlignment="1">
      <alignment horizontal="center" vertical="center" wrapText="1"/>
    </xf>
    <xf numFmtId="0" fontId="3" fillId="112" borderId="56" xfId="0" applyFont="1" applyFill="1" applyBorder="1" applyAlignment="1">
      <alignment horizontal="center" vertical="center" wrapText="1"/>
    </xf>
    <xf numFmtId="0" fontId="3" fillId="112" borderId="14" xfId="0" applyFont="1" applyFill="1" applyBorder="1" applyAlignment="1">
      <alignment horizontal="center" vertical="center" wrapText="1"/>
    </xf>
    <xf numFmtId="0" fontId="3" fillId="112" borderId="188" xfId="0" applyFont="1" applyFill="1" applyBorder="1" applyAlignment="1">
      <alignment horizontal="center" vertical="center" wrapText="1"/>
    </xf>
    <xf numFmtId="0" fontId="15" fillId="113" borderId="80" xfId="0" applyFont="1" applyFill="1" applyBorder="1" applyAlignment="1">
      <alignment horizontal="center" vertical="center" textRotation="90"/>
    </xf>
    <xf numFmtId="0" fontId="15" fillId="113" borderId="84" xfId="0" applyFont="1" applyFill="1" applyBorder="1" applyAlignment="1">
      <alignment horizontal="center" vertical="center" textRotation="90"/>
    </xf>
    <xf numFmtId="0" fontId="5" fillId="24" borderId="74" xfId="0" applyFont="1" applyFill="1" applyBorder="1" applyAlignment="1">
      <alignment horizontal="center" vertical="center" wrapText="1"/>
    </xf>
    <xf numFmtId="0" fontId="5" fillId="24" borderId="52" xfId="0" applyFont="1" applyFill="1" applyBorder="1" applyAlignment="1">
      <alignment horizontal="center" vertical="center" wrapText="1"/>
    </xf>
    <xf numFmtId="10" fontId="6" fillId="24" borderId="52" xfId="0" applyNumberFormat="1" applyFont="1" applyFill="1" applyBorder="1" applyAlignment="1">
      <alignment horizontal="center" vertical="center"/>
    </xf>
    <xf numFmtId="10" fontId="6" fillId="24" borderId="75" xfId="0" applyNumberFormat="1" applyFont="1" applyFill="1" applyBorder="1" applyAlignment="1">
      <alignment horizontal="center" vertical="center"/>
    </xf>
    <xf numFmtId="0" fontId="5" fillId="112" borderId="74" xfId="0" applyFont="1" applyFill="1" applyBorder="1" applyAlignment="1">
      <alignment horizontal="center" vertical="center" wrapText="1"/>
    </xf>
    <xf numFmtId="0" fontId="5" fillId="112" borderId="52" xfId="0" applyFont="1" applyFill="1" applyBorder="1" applyAlignment="1">
      <alignment horizontal="center" vertical="center" wrapText="1"/>
    </xf>
    <xf numFmtId="10" fontId="6" fillId="112" borderId="52" xfId="0" applyNumberFormat="1" applyFont="1" applyFill="1" applyBorder="1" applyAlignment="1">
      <alignment horizontal="center" vertical="center"/>
    </xf>
    <xf numFmtId="10" fontId="6" fillId="112" borderId="75" xfId="0" applyNumberFormat="1" applyFont="1" applyFill="1" applyBorder="1" applyAlignment="1">
      <alignment horizontal="center" vertical="center"/>
    </xf>
    <xf numFmtId="0" fontId="15" fillId="38" borderId="80" xfId="0" applyFont="1" applyFill="1" applyBorder="1" applyAlignment="1">
      <alignment horizontal="center" vertical="center" textRotation="90"/>
    </xf>
    <xf numFmtId="0" fontId="15" fillId="38" borderId="84" xfId="0" applyFont="1" applyFill="1" applyBorder="1" applyAlignment="1">
      <alignment horizontal="center" vertical="center" textRotation="90"/>
    </xf>
    <xf numFmtId="0" fontId="3" fillId="152" borderId="56" xfId="0" applyFont="1" applyFill="1" applyBorder="1" applyAlignment="1">
      <alignment horizontal="center" vertical="center" wrapText="1"/>
    </xf>
    <xf numFmtId="0" fontId="3" fillId="152" borderId="14" xfId="0" applyFont="1" applyFill="1" applyBorder="1" applyAlignment="1">
      <alignment horizontal="center" vertical="center" wrapText="1"/>
    </xf>
    <xf numFmtId="0" fontId="3" fillId="152" borderId="188" xfId="0" applyFont="1" applyFill="1" applyBorder="1" applyAlignment="1">
      <alignment horizontal="center" vertical="center" wrapText="1"/>
    </xf>
    <xf numFmtId="0" fontId="3" fillId="35" borderId="56" xfId="0" applyFont="1" applyFill="1" applyBorder="1" applyAlignment="1">
      <alignment horizontal="center" vertical="center" wrapText="1"/>
    </xf>
    <xf numFmtId="0" fontId="3" fillId="35" borderId="14" xfId="0" applyFont="1" applyFill="1" applyBorder="1" applyAlignment="1">
      <alignment horizontal="center" vertical="center" wrapText="1"/>
    </xf>
    <xf numFmtId="0" fontId="3" fillId="35" borderId="188" xfId="0" applyFont="1" applyFill="1" applyBorder="1" applyAlignment="1">
      <alignment horizontal="center" vertical="center" wrapText="1"/>
    </xf>
    <xf numFmtId="0" fontId="45" fillId="0" borderId="0" xfId="0" applyFont="1" applyAlignment="1">
      <alignment horizontal="center" vertical="top"/>
    </xf>
    <xf numFmtId="0" fontId="98" fillId="0" borderId="15" xfId="0" applyFont="1" applyBorder="1" applyAlignment="1">
      <alignment horizontal="center" vertical="center"/>
    </xf>
    <xf numFmtId="0" fontId="98" fillId="0" borderId="16" xfId="0" applyFont="1" applyBorder="1" applyAlignment="1">
      <alignment horizontal="center" vertical="center"/>
    </xf>
    <xf numFmtId="0" fontId="98" fillId="0" borderId="57" xfId="0" applyFont="1" applyBorder="1" applyAlignment="1">
      <alignment horizontal="center" vertical="center"/>
    </xf>
    <xf numFmtId="0" fontId="98" fillId="0" borderId="34" xfId="0" applyFont="1" applyBorder="1" applyAlignment="1">
      <alignment horizontal="center" vertical="center"/>
    </xf>
    <xf numFmtId="0" fontId="98" fillId="0" borderId="0" xfId="0" applyFont="1" applyAlignment="1">
      <alignment horizontal="center" vertical="center"/>
    </xf>
    <xf numFmtId="0" fontId="98" fillId="0" borderId="58" xfId="0" applyFont="1" applyBorder="1" applyAlignment="1">
      <alignment horizontal="center" vertical="center"/>
    </xf>
    <xf numFmtId="0" fontId="98" fillId="0" borderId="22" xfId="0" applyFont="1" applyBorder="1" applyAlignment="1">
      <alignment horizontal="center" vertical="center"/>
    </xf>
    <xf numFmtId="0" fontId="98" fillId="0" borderId="11" xfId="0" applyFont="1" applyBorder="1" applyAlignment="1">
      <alignment horizontal="center" vertical="center"/>
    </xf>
    <xf numFmtId="0" fontId="98" fillId="0" borderId="59" xfId="0" applyFont="1" applyBorder="1" applyAlignment="1">
      <alignment horizontal="center" vertical="center"/>
    </xf>
    <xf numFmtId="0" fontId="13" fillId="34" borderId="14" xfId="0" applyFont="1" applyFill="1" applyBorder="1" applyAlignment="1">
      <alignment horizontal="center" vertical="center" wrapText="1"/>
    </xf>
    <xf numFmtId="0" fontId="13" fillId="34" borderId="188" xfId="0" applyFont="1" applyFill="1" applyBorder="1" applyAlignment="1">
      <alignment horizontal="center" vertical="center" wrapText="1"/>
    </xf>
    <xf numFmtId="0" fontId="13" fillId="34" borderId="56" xfId="0" applyFont="1" applyFill="1" applyBorder="1" applyAlignment="1">
      <alignment horizontal="center" vertical="center" wrapText="1"/>
    </xf>
    <xf numFmtId="0" fontId="3" fillId="24" borderId="56" xfId="0" applyFont="1" applyFill="1" applyBorder="1" applyAlignment="1">
      <alignment horizontal="center" vertical="center" wrapText="1"/>
    </xf>
    <xf numFmtId="0" fontId="3" fillId="24" borderId="14" xfId="0" applyFont="1" applyFill="1" applyBorder="1" applyAlignment="1">
      <alignment horizontal="center" vertical="center" wrapText="1"/>
    </xf>
    <xf numFmtId="0" fontId="3" fillId="24" borderId="188" xfId="0" applyFont="1" applyFill="1" applyBorder="1" applyAlignment="1">
      <alignment horizontal="center" vertical="center" wrapText="1"/>
    </xf>
    <xf numFmtId="0" fontId="13" fillId="152" borderId="14" xfId="0" applyFont="1" applyFill="1" applyBorder="1" applyAlignment="1">
      <alignment horizontal="center" vertical="center" wrapText="1"/>
    </xf>
    <xf numFmtId="0" fontId="13" fillId="152" borderId="188" xfId="0" applyFont="1" applyFill="1" applyBorder="1" applyAlignment="1">
      <alignment horizontal="center" vertical="center" wrapText="1"/>
    </xf>
    <xf numFmtId="0" fontId="9" fillId="152" borderId="14" xfId="0" applyFont="1" applyFill="1" applyBorder="1" applyAlignment="1">
      <alignment horizontal="center" vertical="center" wrapText="1"/>
    </xf>
    <xf numFmtId="0" fontId="9" fillId="152" borderId="188" xfId="0" applyFont="1" applyFill="1" applyBorder="1" applyAlignment="1">
      <alignment horizontal="center" vertical="center" wrapText="1"/>
    </xf>
    <xf numFmtId="10" fontId="12" fillId="152" borderId="23" xfId="0" applyNumberFormat="1" applyFont="1" applyFill="1" applyBorder="1" applyAlignment="1">
      <alignment horizontal="center" vertical="center"/>
    </xf>
    <xf numFmtId="10" fontId="12" fillId="152" borderId="19" xfId="0" applyNumberFormat="1" applyFont="1" applyFill="1" applyBorder="1" applyAlignment="1">
      <alignment horizontal="center" vertical="center"/>
    </xf>
    <xf numFmtId="10" fontId="12" fillId="152" borderId="24" xfId="0" applyNumberFormat="1" applyFont="1" applyFill="1" applyBorder="1" applyAlignment="1">
      <alignment horizontal="center" vertical="center"/>
    </xf>
    <xf numFmtId="10" fontId="21" fillId="152" borderId="23" xfId="0" applyNumberFormat="1" applyFont="1" applyFill="1" applyBorder="1" applyAlignment="1">
      <alignment horizontal="center" vertical="center"/>
    </xf>
    <xf numFmtId="10" fontId="21" fillId="152" borderId="19" xfId="0" applyNumberFormat="1" applyFont="1" applyFill="1" applyBorder="1" applyAlignment="1">
      <alignment horizontal="center" vertical="center"/>
    </xf>
    <xf numFmtId="10" fontId="21" fillId="152" borderId="24" xfId="0" applyNumberFormat="1" applyFont="1" applyFill="1" applyBorder="1" applyAlignment="1">
      <alignment horizontal="center" vertical="center"/>
    </xf>
    <xf numFmtId="10" fontId="12" fillId="124" borderId="14" xfId="0" applyNumberFormat="1" applyFont="1" applyFill="1" applyBorder="1" applyAlignment="1">
      <alignment horizontal="center" vertical="center"/>
    </xf>
    <xf numFmtId="0" fontId="5" fillId="124" borderId="14" xfId="0" applyFont="1" applyFill="1" applyBorder="1" applyAlignment="1">
      <alignment horizontal="center" vertical="center" wrapText="1"/>
    </xf>
    <xf numFmtId="0" fontId="15" fillId="125" borderId="14" xfId="0" applyFont="1" applyFill="1" applyBorder="1" applyAlignment="1">
      <alignment horizontal="center" vertical="center" textRotation="90"/>
    </xf>
    <xf numFmtId="0" fontId="3" fillId="93" borderId="1" xfId="0" applyFont="1" applyFill="1" applyBorder="1" applyAlignment="1">
      <alignment horizontal="center" vertical="center" wrapText="1"/>
    </xf>
    <xf numFmtId="0" fontId="3" fillId="93" borderId="2" xfId="0" applyFont="1" applyFill="1" applyBorder="1" applyAlignment="1">
      <alignment horizontal="center" vertical="center" wrapText="1"/>
    </xf>
    <xf numFmtId="0" fontId="3" fillId="93" borderId="3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3" fillId="3" borderId="133" xfId="0" applyFont="1" applyFill="1" applyBorder="1" applyAlignment="1">
      <alignment horizontal="center" vertical="center" wrapText="1"/>
    </xf>
    <xf numFmtId="0" fontId="3" fillId="3" borderId="134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5" fillId="5" borderId="14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5" fillId="8" borderId="11" xfId="0" applyFont="1" applyFill="1" applyBorder="1" applyAlignment="1">
      <alignment horizontal="center" vertical="center" wrapText="1"/>
    </xf>
    <xf numFmtId="0" fontId="5" fillId="8" borderId="12" xfId="0" applyFont="1" applyFill="1" applyBorder="1" applyAlignment="1">
      <alignment horizontal="center" vertical="center" wrapText="1"/>
    </xf>
    <xf numFmtId="0" fontId="5" fillId="6" borderId="10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 wrapText="1"/>
    </xf>
    <xf numFmtId="0" fontId="5" fillId="6" borderId="19" xfId="0" applyFont="1" applyFill="1" applyBorder="1" applyAlignment="1">
      <alignment horizontal="center" vertical="center" wrapText="1"/>
    </xf>
    <xf numFmtId="0" fontId="5" fillId="6" borderId="24" xfId="0" applyFont="1" applyFill="1" applyBorder="1" applyAlignment="1">
      <alignment horizontal="center" vertical="center" wrapText="1"/>
    </xf>
    <xf numFmtId="0" fontId="110" fillId="3" borderId="13" xfId="0" applyFont="1" applyFill="1" applyBorder="1" applyAlignment="1">
      <alignment horizontal="center" vertical="center" wrapText="1"/>
    </xf>
    <xf numFmtId="0" fontId="110" fillId="3" borderId="14" xfId="0" applyFont="1" applyFill="1" applyBorder="1" applyAlignment="1">
      <alignment horizontal="center" vertical="center" wrapText="1"/>
    </xf>
    <xf numFmtId="0" fontId="12" fillId="11" borderId="16" xfId="0" applyFont="1" applyFill="1" applyBorder="1" applyAlignment="1">
      <alignment horizontal="center" vertical="center" wrapText="1"/>
    </xf>
    <xf numFmtId="0" fontId="15" fillId="11" borderId="28" xfId="0" applyFont="1" applyFill="1" applyBorder="1" applyAlignment="1">
      <alignment horizontal="center" vertical="center" wrapText="1"/>
    </xf>
    <xf numFmtId="0" fontId="15" fillId="11" borderId="0" xfId="0" applyFont="1" applyFill="1" applyAlignment="1">
      <alignment horizontal="center" vertical="center" wrapText="1"/>
    </xf>
    <xf numFmtId="0" fontId="15" fillId="11" borderId="35" xfId="0" applyFont="1" applyFill="1" applyBorder="1" applyAlignment="1">
      <alignment horizontal="center" vertical="center" wrapText="1"/>
    </xf>
    <xf numFmtId="0" fontId="15" fillId="11" borderId="42" xfId="0" applyFont="1" applyFill="1" applyBorder="1" applyAlignment="1">
      <alignment horizontal="center" vertical="center" wrapText="1"/>
    </xf>
    <xf numFmtId="0" fontId="15" fillId="11" borderId="39" xfId="0" applyFont="1" applyFill="1" applyBorder="1" applyAlignment="1">
      <alignment horizontal="center" vertical="center" wrapText="1"/>
    </xf>
    <xf numFmtId="49" fontId="3" fillId="12" borderId="29" xfId="0" quotePrefix="1" applyNumberFormat="1" applyFont="1" applyFill="1" applyBorder="1" applyAlignment="1">
      <alignment horizontal="center" vertical="center" wrapText="1"/>
    </xf>
    <xf numFmtId="49" fontId="3" fillId="12" borderId="32" xfId="0" quotePrefix="1" applyNumberFormat="1" applyFont="1" applyFill="1" applyBorder="1" applyAlignment="1">
      <alignment horizontal="center" vertical="center" wrapText="1"/>
    </xf>
    <xf numFmtId="49" fontId="3" fillId="12" borderId="40" xfId="0" quotePrefix="1" applyNumberFormat="1" applyFont="1" applyFill="1" applyBorder="1" applyAlignment="1">
      <alignment horizontal="center" vertical="center" wrapText="1"/>
    </xf>
    <xf numFmtId="0" fontId="12" fillId="13" borderId="30" xfId="0" applyFont="1" applyFill="1" applyBorder="1" applyAlignment="1">
      <alignment horizontal="center" vertical="center" wrapText="1"/>
    </xf>
    <xf numFmtId="0" fontId="12" fillId="13" borderId="16" xfId="0" applyFont="1" applyFill="1" applyBorder="1" applyAlignment="1">
      <alignment horizontal="center" vertical="center" wrapText="1"/>
    </xf>
    <xf numFmtId="0" fontId="12" fillId="13" borderId="28" xfId="0" applyFont="1" applyFill="1" applyBorder="1" applyAlignment="1">
      <alignment horizontal="center" vertical="center" wrapText="1"/>
    </xf>
    <xf numFmtId="0" fontId="12" fillId="13" borderId="36" xfId="0" applyFont="1" applyFill="1" applyBorder="1" applyAlignment="1">
      <alignment horizontal="center" vertical="center" wrapText="1"/>
    </xf>
    <xf numFmtId="0" fontId="12" fillId="13" borderId="0" xfId="0" applyFont="1" applyFill="1" applyAlignment="1">
      <alignment horizontal="center" vertical="center" wrapText="1"/>
    </xf>
    <xf numFmtId="0" fontId="12" fillId="13" borderId="35" xfId="0" applyFont="1" applyFill="1" applyBorder="1" applyAlignment="1">
      <alignment horizontal="center" vertical="center" wrapText="1"/>
    </xf>
    <xf numFmtId="0" fontId="12" fillId="13" borderId="41" xfId="0" applyFont="1" applyFill="1" applyBorder="1" applyAlignment="1">
      <alignment horizontal="center" vertical="center" wrapText="1"/>
    </xf>
    <xf numFmtId="0" fontId="12" fillId="13" borderId="42" xfId="0" applyFont="1" applyFill="1" applyBorder="1" applyAlignment="1">
      <alignment horizontal="center" vertical="center" wrapText="1"/>
    </xf>
    <xf numFmtId="0" fontId="12" fillId="13" borderId="39" xfId="0" applyFont="1" applyFill="1" applyBorder="1" applyAlignment="1">
      <alignment horizontal="center" vertical="center" wrapText="1"/>
    </xf>
    <xf numFmtId="0" fontId="5" fillId="14" borderId="47" xfId="0" applyFont="1" applyFill="1" applyBorder="1" applyAlignment="1">
      <alignment horizontal="center" vertical="center"/>
    </xf>
    <xf numFmtId="49" fontId="17" fillId="15" borderId="48" xfId="0" applyNumberFormat="1" applyFont="1" applyFill="1" applyBorder="1" applyAlignment="1">
      <alignment horizontal="center" vertical="center" wrapText="1"/>
    </xf>
    <xf numFmtId="49" fontId="17" fillId="15" borderId="50" xfId="0" applyNumberFormat="1" applyFont="1" applyFill="1" applyBorder="1" applyAlignment="1">
      <alignment horizontal="center" vertical="center" wrapText="1"/>
    </xf>
    <xf numFmtId="49" fontId="18" fillId="13" borderId="47" xfId="0" applyNumberFormat="1" applyFont="1" applyFill="1" applyBorder="1" applyAlignment="1">
      <alignment horizontal="center" vertical="center" wrapText="1"/>
    </xf>
    <xf numFmtId="49" fontId="18" fillId="13" borderId="48" xfId="0" applyNumberFormat="1" applyFont="1" applyFill="1" applyBorder="1" applyAlignment="1">
      <alignment horizontal="center" vertical="center" wrapText="1"/>
    </xf>
    <xf numFmtId="49" fontId="18" fillId="13" borderId="50" xfId="0" applyNumberFormat="1" applyFont="1" applyFill="1" applyBorder="1" applyAlignment="1">
      <alignment horizontal="center" vertical="center" wrapText="1"/>
    </xf>
    <xf numFmtId="0" fontId="3" fillId="9" borderId="27" xfId="0" applyFont="1" applyFill="1" applyBorder="1" applyAlignment="1">
      <alignment horizontal="center" vertical="center" wrapText="1"/>
    </xf>
    <xf numFmtId="0" fontId="3" fillId="9" borderId="33" xfId="0" applyFont="1" applyFill="1" applyBorder="1" applyAlignment="1">
      <alignment horizontal="center" vertical="center" wrapText="1"/>
    </xf>
    <xf numFmtId="0" fontId="3" fillId="9" borderId="37" xfId="0" applyFont="1" applyFill="1" applyBorder="1" applyAlignment="1">
      <alignment horizontal="center" vertical="center" wrapText="1"/>
    </xf>
    <xf numFmtId="49" fontId="8" fillId="9" borderId="144" xfId="0" applyNumberFormat="1" applyFont="1" applyFill="1" applyBorder="1" applyAlignment="1">
      <alignment horizontal="center" vertical="center" wrapText="1"/>
    </xf>
    <xf numFmtId="49" fontId="8" fillId="9" borderId="145" xfId="0" applyNumberFormat="1" applyFont="1" applyFill="1" applyBorder="1" applyAlignment="1">
      <alignment horizontal="center" vertical="center" wrapText="1"/>
    </xf>
    <xf numFmtId="49" fontId="8" fillId="9" borderId="146" xfId="0" applyNumberFormat="1" applyFont="1" applyFill="1" applyBorder="1" applyAlignment="1">
      <alignment horizontal="center" vertical="center" wrapText="1"/>
    </xf>
    <xf numFmtId="0" fontId="3" fillId="9" borderId="28" xfId="0" applyFont="1" applyFill="1" applyBorder="1" applyAlignment="1">
      <alignment horizontal="center" vertical="center" wrapText="1"/>
    </xf>
    <xf numFmtId="0" fontId="3" fillId="9" borderId="35" xfId="0" applyFont="1" applyFill="1" applyBorder="1" applyAlignment="1">
      <alignment horizontal="center" vertical="center" wrapText="1"/>
    </xf>
    <xf numFmtId="0" fontId="3" fillId="9" borderId="39" xfId="0" applyFont="1" applyFill="1" applyBorder="1" applyAlignment="1">
      <alignment horizontal="center" vertical="center" wrapText="1"/>
    </xf>
    <xf numFmtId="49" fontId="8" fillId="9" borderId="29" xfId="0" applyNumberFormat="1" applyFont="1" applyFill="1" applyBorder="1" applyAlignment="1">
      <alignment horizontal="center" vertical="center" wrapText="1"/>
    </xf>
    <xf numFmtId="49" fontId="8" fillId="9" borderId="32" xfId="0" applyNumberFormat="1" applyFont="1" applyFill="1" applyBorder="1" applyAlignment="1">
      <alignment horizontal="center" vertical="center" wrapText="1"/>
    </xf>
    <xf numFmtId="49" fontId="8" fillId="9" borderId="40" xfId="0" applyNumberFormat="1" applyFont="1" applyFill="1" applyBorder="1" applyAlignment="1">
      <alignment horizontal="center" vertical="center" wrapText="1"/>
    </xf>
    <xf numFmtId="0" fontId="5" fillId="10" borderId="138" xfId="0" applyFont="1" applyFill="1" applyBorder="1" applyAlignment="1">
      <alignment horizontal="center" vertical="center" wrapText="1"/>
    </xf>
    <xf numFmtId="0" fontId="5" fillId="10" borderId="139" xfId="0" applyFont="1" applyFill="1" applyBorder="1" applyAlignment="1">
      <alignment horizontal="center" vertical="center" wrapText="1"/>
    </xf>
    <xf numFmtId="0" fontId="5" fillId="10" borderId="140" xfId="0" applyFont="1" applyFill="1" applyBorder="1" applyAlignment="1">
      <alignment horizontal="center" vertical="center" wrapText="1"/>
    </xf>
    <xf numFmtId="49" fontId="18" fillId="13" borderId="117" xfId="0" applyNumberFormat="1" applyFont="1" applyFill="1" applyBorder="1" applyAlignment="1">
      <alignment horizontal="center" vertical="center" wrapText="1"/>
    </xf>
    <xf numFmtId="49" fontId="18" fillId="13" borderId="118" xfId="0" applyNumberFormat="1" applyFont="1" applyFill="1" applyBorder="1" applyAlignment="1">
      <alignment horizontal="center" vertical="center" wrapText="1"/>
    </xf>
    <xf numFmtId="49" fontId="17" fillId="15" borderId="47" xfId="0" applyNumberFormat="1" applyFont="1" applyFill="1" applyBorder="1" applyAlignment="1">
      <alignment horizontal="center" vertical="center" wrapText="1"/>
    </xf>
    <xf numFmtId="0" fontId="9" fillId="17" borderId="36" xfId="0" applyFont="1" applyFill="1" applyBorder="1" applyAlignment="1">
      <alignment horizontal="center" vertical="center" wrapText="1"/>
    </xf>
    <xf numFmtId="0" fontId="9" fillId="18" borderId="1" xfId="0" applyFont="1" applyFill="1" applyBorder="1" applyAlignment="1">
      <alignment horizontal="center" vertical="center" wrapText="1"/>
    </xf>
    <xf numFmtId="0" fontId="8" fillId="22" borderId="23" xfId="0" applyFont="1" applyFill="1" applyBorder="1" applyAlignment="1">
      <alignment horizontal="center" vertical="center" wrapText="1"/>
    </xf>
    <xf numFmtId="0" fontId="8" fillId="22" borderId="19" xfId="0" applyFont="1" applyFill="1" applyBorder="1" applyAlignment="1">
      <alignment horizontal="center" vertical="center" wrapText="1"/>
    </xf>
    <xf numFmtId="0" fontId="8" fillId="22" borderId="24" xfId="0" applyFont="1" applyFill="1" applyBorder="1" applyAlignment="1">
      <alignment horizontal="center" vertical="center" wrapText="1"/>
    </xf>
    <xf numFmtId="0" fontId="12" fillId="20" borderId="23" xfId="0" applyFont="1" applyFill="1" applyBorder="1" applyAlignment="1">
      <alignment horizontal="center" vertical="center"/>
    </xf>
    <xf numFmtId="0" fontId="12" fillId="20" borderId="19" xfId="0" applyFont="1" applyFill="1" applyBorder="1" applyAlignment="1">
      <alignment horizontal="center" vertical="center"/>
    </xf>
    <xf numFmtId="0" fontId="12" fillId="20" borderId="61" xfId="0" applyFont="1" applyFill="1" applyBorder="1" applyAlignment="1">
      <alignment horizontal="center" vertical="center"/>
    </xf>
    <xf numFmtId="0" fontId="60" fillId="20" borderId="19" xfId="0" quotePrefix="1" applyFont="1" applyFill="1" applyBorder="1" applyAlignment="1">
      <alignment horizontal="center" vertical="center" wrapText="1"/>
    </xf>
    <xf numFmtId="0" fontId="5" fillId="21" borderId="15" xfId="0" applyFont="1" applyFill="1" applyBorder="1" applyAlignment="1">
      <alignment horizontal="center" vertical="center" wrapText="1"/>
    </xf>
    <xf numFmtId="0" fontId="5" fillId="21" borderId="16" xfId="0" applyFont="1" applyFill="1" applyBorder="1" applyAlignment="1">
      <alignment horizontal="center" vertical="center" wrapText="1"/>
    </xf>
    <xf numFmtId="0" fontId="5" fillId="21" borderId="17" xfId="0" applyFont="1" applyFill="1" applyBorder="1" applyAlignment="1">
      <alignment horizontal="center" vertical="center" wrapText="1"/>
    </xf>
    <xf numFmtId="0" fontId="5" fillId="21" borderId="34" xfId="0" applyFont="1" applyFill="1" applyBorder="1" applyAlignment="1">
      <alignment horizontal="center" vertical="center" wrapText="1"/>
    </xf>
    <xf numFmtId="0" fontId="5" fillId="21" borderId="0" xfId="0" applyFont="1" applyFill="1" applyAlignment="1">
      <alignment horizontal="center" vertical="center" wrapText="1"/>
    </xf>
    <xf numFmtId="0" fontId="5" fillId="21" borderId="55" xfId="0" applyFont="1" applyFill="1" applyBorder="1" applyAlignment="1">
      <alignment horizontal="center" vertical="center" wrapText="1"/>
    </xf>
    <xf numFmtId="0" fontId="23" fillId="20" borderId="30" xfId="0" applyFont="1" applyFill="1" applyBorder="1" applyAlignment="1">
      <alignment horizontal="center" vertical="center" wrapText="1"/>
    </xf>
    <xf numFmtId="0" fontId="23" fillId="20" borderId="57" xfId="0" applyFont="1" applyFill="1" applyBorder="1" applyAlignment="1">
      <alignment horizontal="center" vertical="center" wrapText="1"/>
    </xf>
    <xf numFmtId="0" fontId="8" fillId="20" borderId="23" xfId="0" applyFont="1" applyFill="1" applyBorder="1" applyAlignment="1">
      <alignment horizontal="center" vertical="center"/>
    </xf>
    <xf numFmtId="0" fontId="12" fillId="20" borderId="18" xfId="0" applyFont="1" applyFill="1" applyBorder="1" applyAlignment="1">
      <alignment horizontal="center" vertical="center" wrapText="1"/>
    </xf>
    <xf numFmtId="0" fontId="12" fillId="21" borderId="30" xfId="0" applyFont="1" applyFill="1" applyBorder="1" applyAlignment="1">
      <alignment horizontal="center" vertical="center" wrapText="1"/>
    </xf>
    <xf numFmtId="0" fontId="12" fillId="21" borderId="57" xfId="0" applyFont="1" applyFill="1" applyBorder="1" applyAlignment="1">
      <alignment horizontal="center" vertical="center" wrapText="1"/>
    </xf>
    <xf numFmtId="0" fontId="12" fillId="21" borderId="36" xfId="0" applyFont="1" applyFill="1" applyBorder="1" applyAlignment="1">
      <alignment horizontal="center" vertical="center" wrapText="1"/>
    </xf>
    <xf numFmtId="0" fontId="12" fillId="21" borderId="58" xfId="0" applyFont="1" applyFill="1" applyBorder="1" applyAlignment="1">
      <alignment horizontal="center" vertical="center" wrapText="1"/>
    </xf>
    <xf numFmtId="0" fontId="14" fillId="21" borderId="15" xfId="0" applyFont="1" applyFill="1" applyBorder="1" applyAlignment="1">
      <alignment horizontal="center" vertical="center" wrapText="1"/>
    </xf>
    <xf numFmtId="0" fontId="14" fillId="21" borderId="57" xfId="0" applyFont="1" applyFill="1" applyBorder="1" applyAlignment="1">
      <alignment horizontal="center" vertical="center" wrapText="1"/>
    </xf>
    <xf numFmtId="0" fontId="14" fillId="21" borderId="34" xfId="0" applyFont="1" applyFill="1" applyBorder="1" applyAlignment="1">
      <alignment horizontal="center" vertical="center" wrapText="1"/>
    </xf>
    <xf numFmtId="0" fontId="14" fillId="21" borderId="58" xfId="0" applyFont="1" applyFill="1" applyBorder="1" applyAlignment="1">
      <alignment horizontal="center" vertical="center" wrapText="1"/>
    </xf>
    <xf numFmtId="0" fontId="24" fillId="17" borderId="30" xfId="0" applyFont="1" applyFill="1" applyBorder="1" applyAlignment="1">
      <alignment horizontal="center" vertical="center" wrapText="1"/>
    </xf>
    <xf numFmtId="0" fontId="24" fillId="17" borderId="16" xfId="0" applyFont="1" applyFill="1" applyBorder="1" applyAlignment="1">
      <alignment horizontal="center" vertical="center" wrapText="1"/>
    </xf>
    <xf numFmtId="0" fontId="8" fillId="14" borderId="48" xfId="0" applyFont="1" applyFill="1" applyBorder="1" applyAlignment="1">
      <alignment horizontal="center" vertical="center" wrapText="1"/>
    </xf>
    <xf numFmtId="0" fontId="8" fillId="22" borderId="15" xfId="0" applyFont="1" applyFill="1" applyBorder="1" applyAlignment="1">
      <alignment horizontal="center" vertical="center" wrapText="1"/>
    </xf>
    <xf numFmtId="0" fontId="8" fillId="22" borderId="16" xfId="0" applyFont="1" applyFill="1" applyBorder="1" applyAlignment="1">
      <alignment horizontal="center" vertical="center" wrapText="1"/>
    </xf>
    <xf numFmtId="0" fontId="8" fillId="22" borderId="57" xfId="0" applyFont="1" applyFill="1" applyBorder="1" applyAlignment="1">
      <alignment horizontal="center" vertical="center" wrapText="1"/>
    </xf>
    <xf numFmtId="0" fontId="3" fillId="20" borderId="44" xfId="0" quotePrefix="1" applyFont="1" applyFill="1" applyBorder="1" applyAlignment="1">
      <alignment horizontal="center" vertical="center" wrapText="1"/>
    </xf>
    <xf numFmtId="0" fontId="12" fillId="20" borderId="45" xfId="0" quotePrefix="1" applyFont="1" applyFill="1" applyBorder="1" applyAlignment="1">
      <alignment horizontal="center" vertical="center" wrapText="1"/>
    </xf>
    <xf numFmtId="0" fontId="12" fillId="20" borderId="46" xfId="0" quotePrefix="1" applyFont="1" applyFill="1" applyBorder="1" applyAlignment="1">
      <alignment horizontal="center" vertical="center" wrapText="1"/>
    </xf>
    <xf numFmtId="0" fontId="5" fillId="14" borderId="148" xfId="0" applyFont="1" applyFill="1" applyBorder="1" applyAlignment="1">
      <alignment horizontal="center" vertical="center"/>
    </xf>
    <xf numFmtId="0" fontId="12" fillId="20" borderId="142" xfId="0" applyFont="1" applyFill="1" applyBorder="1" applyAlignment="1">
      <alignment horizontal="center" vertical="center" wrapText="1"/>
    </xf>
    <xf numFmtId="0" fontId="12" fillId="20" borderId="143" xfId="0" applyFont="1" applyFill="1" applyBorder="1" applyAlignment="1">
      <alignment horizontal="center" vertical="center" wrapText="1"/>
    </xf>
    <xf numFmtId="0" fontId="5" fillId="14" borderId="149" xfId="0" applyFont="1" applyFill="1" applyBorder="1" applyAlignment="1">
      <alignment horizontal="center" vertical="center"/>
    </xf>
    <xf numFmtId="0" fontId="3" fillId="14" borderId="47" xfId="0" quotePrefix="1" applyFont="1" applyFill="1" applyBorder="1" applyAlignment="1">
      <alignment horizontal="center" vertical="center" wrapText="1"/>
    </xf>
    <xf numFmtId="0" fontId="3" fillId="14" borderId="48" xfId="0" quotePrefix="1" applyFont="1" applyFill="1" applyBorder="1" applyAlignment="1">
      <alignment horizontal="center" vertical="center" wrapText="1"/>
    </xf>
    <xf numFmtId="0" fontId="3" fillId="14" borderId="50" xfId="0" quotePrefix="1" applyFont="1" applyFill="1" applyBorder="1" applyAlignment="1">
      <alignment horizontal="center" vertical="center" wrapText="1"/>
    </xf>
    <xf numFmtId="0" fontId="93" fillId="21" borderId="54" xfId="0" applyFont="1" applyFill="1" applyBorder="1" applyAlignment="1">
      <alignment horizontal="center" vertical="center" wrapText="1"/>
    </xf>
    <xf numFmtId="0" fontId="93" fillId="21" borderId="52" xfId="0" applyFont="1" applyFill="1" applyBorder="1" applyAlignment="1">
      <alignment horizontal="center" vertical="center" wrapText="1"/>
    </xf>
    <xf numFmtId="0" fontId="93" fillId="21" borderId="53" xfId="0" applyFont="1" applyFill="1" applyBorder="1" applyAlignment="1">
      <alignment horizontal="center" vertical="center" wrapText="1"/>
    </xf>
    <xf numFmtId="0" fontId="5" fillId="21" borderId="54" xfId="0" applyFont="1" applyFill="1" applyBorder="1" applyAlignment="1">
      <alignment horizontal="center" vertical="center" wrapText="1"/>
    </xf>
    <xf numFmtId="0" fontId="5" fillId="21" borderId="52" xfId="0" applyFont="1" applyFill="1" applyBorder="1" applyAlignment="1">
      <alignment horizontal="center" vertical="center" wrapText="1"/>
    </xf>
    <xf numFmtId="0" fontId="3" fillId="22" borderId="148" xfId="0" applyFont="1" applyFill="1" applyBorder="1" applyAlignment="1">
      <alignment horizontal="center" vertical="center" wrapText="1"/>
    </xf>
    <xf numFmtId="0" fontId="3" fillId="22" borderId="149" xfId="0" applyFont="1" applyFill="1" applyBorder="1" applyAlignment="1">
      <alignment horizontal="center" vertical="center" wrapText="1"/>
    </xf>
    <xf numFmtId="0" fontId="3" fillId="20" borderId="47" xfId="0" quotePrefix="1" applyFont="1" applyFill="1" applyBorder="1" applyAlignment="1">
      <alignment horizontal="center" vertical="center" wrapText="1"/>
    </xf>
    <xf numFmtId="0" fontId="3" fillId="20" borderId="48" xfId="0" quotePrefix="1" applyFont="1" applyFill="1" applyBorder="1" applyAlignment="1">
      <alignment horizontal="center" vertical="center" wrapText="1"/>
    </xf>
    <xf numFmtId="0" fontId="3" fillId="20" borderId="50" xfId="0" quotePrefix="1" applyFont="1" applyFill="1" applyBorder="1" applyAlignment="1">
      <alignment horizontal="center" vertical="center" wrapText="1"/>
    </xf>
    <xf numFmtId="0" fontId="8" fillId="22" borderId="152" xfId="0" applyFont="1" applyFill="1" applyBorder="1" applyAlignment="1">
      <alignment horizontal="center" vertical="center" wrapText="1"/>
    </xf>
    <xf numFmtId="0" fontId="8" fillId="22" borderId="153" xfId="0" applyFont="1" applyFill="1" applyBorder="1" applyAlignment="1">
      <alignment horizontal="center" vertical="center" wrapText="1"/>
    </xf>
    <xf numFmtId="0" fontId="8" fillId="22" borderId="106" xfId="0" applyFont="1" applyFill="1" applyBorder="1" applyAlignment="1">
      <alignment horizontal="center" vertical="center" wrapText="1"/>
    </xf>
    <xf numFmtId="0" fontId="12" fillId="20" borderId="47" xfId="0" quotePrefix="1" applyFont="1" applyFill="1" applyBorder="1" applyAlignment="1">
      <alignment horizontal="center" vertical="center" wrapText="1"/>
    </xf>
    <xf numFmtId="0" fontId="12" fillId="20" borderId="48" xfId="0" quotePrefix="1" applyFont="1" applyFill="1" applyBorder="1" applyAlignment="1">
      <alignment horizontal="center" vertical="center" wrapText="1"/>
    </xf>
    <xf numFmtId="0" fontId="12" fillId="20" borderId="49" xfId="0" quotePrefix="1" applyFont="1" applyFill="1" applyBorder="1" applyAlignment="1">
      <alignment horizontal="center" vertical="center" wrapText="1"/>
    </xf>
    <xf numFmtId="0" fontId="12" fillId="20" borderId="50" xfId="0" quotePrefix="1" applyFont="1" applyFill="1" applyBorder="1" applyAlignment="1">
      <alignment horizontal="center" vertical="center" wrapText="1"/>
    </xf>
    <xf numFmtId="17" fontId="3" fillId="14" borderId="66" xfId="0" applyNumberFormat="1" applyFont="1" applyFill="1" applyBorder="1" applyAlignment="1">
      <alignment horizontal="center" vertical="center" wrapText="1"/>
    </xf>
    <xf numFmtId="17" fontId="3" fillId="14" borderId="71" xfId="0" applyNumberFormat="1" applyFont="1" applyFill="1" applyBorder="1" applyAlignment="1">
      <alignment horizontal="center" vertical="center" wrapText="1"/>
    </xf>
    <xf numFmtId="17" fontId="3" fillId="14" borderId="67" xfId="0" applyNumberFormat="1" applyFont="1" applyFill="1" applyBorder="1" applyAlignment="1">
      <alignment horizontal="center" vertical="center" wrapText="1"/>
    </xf>
    <xf numFmtId="0" fontId="12" fillId="20" borderId="51" xfId="0" quotePrefix="1" applyFont="1" applyFill="1" applyBorder="1" applyAlignment="1">
      <alignment horizontal="center" vertical="center" wrapText="1"/>
    </xf>
    <xf numFmtId="0" fontId="12" fillId="20" borderId="114" xfId="0" quotePrefix="1" applyFont="1" applyFill="1" applyBorder="1" applyAlignment="1">
      <alignment horizontal="center" vertical="center" wrapText="1"/>
    </xf>
    <xf numFmtId="0" fontId="12" fillId="21" borderId="0" xfId="0" applyFont="1" applyFill="1" applyAlignment="1">
      <alignment horizontal="center" vertical="center" wrapText="1"/>
    </xf>
    <xf numFmtId="0" fontId="12" fillId="21" borderId="7" xfId="0" applyFont="1" applyFill="1" applyBorder="1" applyAlignment="1">
      <alignment horizontal="center" vertical="center" wrapText="1"/>
    </xf>
    <xf numFmtId="0" fontId="12" fillId="21" borderId="8" xfId="0" applyFont="1" applyFill="1" applyBorder="1" applyAlignment="1">
      <alignment horizontal="center" vertical="center" wrapText="1"/>
    </xf>
    <xf numFmtId="0" fontId="12" fillId="21" borderId="115" xfId="0" applyFont="1" applyFill="1" applyBorder="1" applyAlignment="1">
      <alignment horizontal="center" vertical="center" wrapText="1"/>
    </xf>
    <xf numFmtId="0" fontId="12" fillId="21" borderId="34" xfId="0" applyFont="1" applyFill="1" applyBorder="1" applyAlignment="1">
      <alignment horizontal="center" vertical="top" wrapText="1"/>
    </xf>
    <xf numFmtId="0" fontId="12" fillId="21" borderId="0" xfId="0" applyFont="1" applyFill="1" applyAlignment="1">
      <alignment horizontal="center" vertical="top" wrapText="1"/>
    </xf>
    <xf numFmtId="0" fontId="12" fillId="21" borderId="55" xfId="0" applyFont="1" applyFill="1" applyBorder="1" applyAlignment="1">
      <alignment horizontal="center" vertical="top" wrapText="1"/>
    </xf>
    <xf numFmtId="0" fontId="12" fillId="21" borderId="114" xfId="0" applyFont="1" applyFill="1" applyBorder="1" applyAlignment="1">
      <alignment horizontal="center" vertical="top" wrapText="1"/>
    </xf>
    <xf numFmtId="0" fontId="12" fillId="21" borderId="8" xfId="0" applyFont="1" applyFill="1" applyBorder="1" applyAlignment="1">
      <alignment horizontal="center" vertical="top" wrapText="1"/>
    </xf>
    <xf numFmtId="0" fontId="12" fillId="21" borderId="9" xfId="0" applyFont="1" applyFill="1" applyBorder="1" applyAlignment="1">
      <alignment horizontal="center" vertical="top" wrapText="1"/>
    </xf>
    <xf numFmtId="0" fontId="8" fillId="22" borderId="97" xfId="0" applyFont="1" applyFill="1" applyBorder="1" applyAlignment="1">
      <alignment horizontal="center" vertical="center" wrapText="1"/>
    </xf>
    <xf numFmtId="0" fontId="8" fillId="22" borderId="99" xfId="0" applyFont="1" applyFill="1" applyBorder="1" applyAlignment="1">
      <alignment horizontal="center" vertical="center" wrapText="1"/>
    </xf>
    <xf numFmtId="0" fontId="8" fillId="22" borderId="129" xfId="0" applyFont="1" applyFill="1" applyBorder="1" applyAlignment="1">
      <alignment horizontal="center" vertical="center" wrapText="1"/>
    </xf>
    <xf numFmtId="0" fontId="8" fillId="22" borderId="101" xfId="0" applyFont="1" applyFill="1" applyBorder="1" applyAlignment="1">
      <alignment horizontal="center" vertical="center" wrapText="1"/>
    </xf>
    <xf numFmtId="0" fontId="54" fillId="0" borderId="15" xfId="0" applyFont="1" applyBorder="1" applyAlignment="1">
      <alignment horizontal="center" vertical="center"/>
    </xf>
    <xf numFmtId="0" fontId="54" fillId="0" borderId="16" xfId="0" applyFont="1" applyBorder="1" applyAlignment="1">
      <alignment horizontal="center" vertical="center"/>
    </xf>
    <xf numFmtId="0" fontId="54" fillId="0" borderId="57" xfId="0" applyFont="1" applyBorder="1" applyAlignment="1">
      <alignment horizontal="center" vertical="center"/>
    </xf>
    <xf numFmtId="0" fontId="54" fillId="0" borderId="34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4" fillId="0" borderId="58" xfId="0" applyFont="1" applyBorder="1" applyAlignment="1">
      <alignment horizontal="center" vertical="center"/>
    </xf>
    <xf numFmtId="0" fontId="54" fillId="0" borderId="22" xfId="0" applyFont="1" applyBorder="1" applyAlignment="1">
      <alignment horizontal="center" vertical="center"/>
    </xf>
    <xf numFmtId="0" fontId="54" fillId="0" borderId="11" xfId="0" applyFont="1" applyBorder="1" applyAlignment="1">
      <alignment horizontal="center" vertical="center"/>
    </xf>
    <xf numFmtId="0" fontId="54" fillId="0" borderId="59" xfId="0" applyFont="1" applyBorder="1" applyAlignment="1">
      <alignment horizontal="center" vertical="center"/>
    </xf>
    <xf numFmtId="0" fontId="37" fillId="0" borderId="34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7" fillId="0" borderId="58" xfId="0" applyFont="1" applyBorder="1" applyAlignment="1">
      <alignment horizontal="center" vertical="center"/>
    </xf>
    <xf numFmtId="10" fontId="3" fillId="98" borderId="109" xfId="0" applyNumberFormat="1" applyFont="1" applyFill="1" applyBorder="1" applyAlignment="1">
      <alignment horizontal="center" vertical="center"/>
    </xf>
    <xf numFmtId="10" fontId="3" fillId="98" borderId="110" xfId="0" applyNumberFormat="1" applyFont="1" applyFill="1" applyBorder="1" applyAlignment="1">
      <alignment horizontal="center" vertical="center"/>
    </xf>
    <xf numFmtId="0" fontId="5" fillId="98" borderId="108" xfId="0" applyFont="1" applyFill="1" applyBorder="1" applyAlignment="1">
      <alignment horizontal="center" vertical="center"/>
    </xf>
    <xf numFmtId="0" fontId="5" fillId="98" borderId="109" xfId="0" applyFont="1" applyFill="1" applyBorder="1" applyAlignment="1">
      <alignment horizontal="center" vertical="center"/>
    </xf>
    <xf numFmtId="49" fontId="82" fillId="0" borderId="0" xfId="0" applyNumberFormat="1" applyFont="1" applyAlignment="1">
      <alignment horizontal="center" vertical="center" wrapText="1"/>
    </xf>
    <xf numFmtId="49" fontId="82" fillId="0" borderId="0" xfId="0" applyNumberFormat="1" applyFont="1" applyAlignment="1">
      <alignment horizontal="center" vertical="center"/>
    </xf>
    <xf numFmtId="0" fontId="3" fillId="106" borderId="80" xfId="0" applyFont="1" applyFill="1" applyBorder="1" applyAlignment="1">
      <alignment horizontal="center" vertical="center" textRotation="90"/>
    </xf>
    <xf numFmtId="0" fontId="3" fillId="106" borderId="84" xfId="0" applyFont="1" applyFill="1" applyBorder="1" applyAlignment="1">
      <alignment horizontal="center" vertical="center" textRotation="90"/>
    </xf>
    <xf numFmtId="0" fontId="5" fillId="10" borderId="108" xfId="0" applyFont="1" applyFill="1" applyBorder="1" applyAlignment="1">
      <alignment horizontal="center" vertical="center"/>
    </xf>
    <xf numFmtId="0" fontId="5" fillId="10" borderId="109" xfId="0" applyFont="1" applyFill="1" applyBorder="1" applyAlignment="1">
      <alignment horizontal="center" vertical="center"/>
    </xf>
    <xf numFmtId="10" fontId="3" fillId="10" borderId="109" xfId="0" applyNumberFormat="1" applyFont="1" applyFill="1" applyBorder="1" applyAlignment="1">
      <alignment horizontal="center" vertical="center"/>
    </xf>
    <xf numFmtId="10" fontId="3" fillId="10" borderId="110" xfId="0" applyNumberFormat="1" applyFont="1" applyFill="1" applyBorder="1" applyAlignment="1">
      <alignment horizontal="center" vertical="center"/>
    </xf>
    <xf numFmtId="0" fontId="3" fillId="105" borderId="80" xfId="0" applyFont="1" applyFill="1" applyBorder="1" applyAlignment="1">
      <alignment horizontal="center" vertical="center" textRotation="90"/>
    </xf>
    <xf numFmtId="0" fontId="3" fillId="105" borderId="84" xfId="0" applyFont="1" applyFill="1" applyBorder="1" applyAlignment="1">
      <alignment horizontal="center" vertical="center" textRotation="90"/>
    </xf>
    <xf numFmtId="0" fontId="5" fillId="62" borderId="108" xfId="0" applyFont="1" applyFill="1" applyBorder="1" applyAlignment="1">
      <alignment horizontal="center" vertical="center"/>
    </xf>
    <xf numFmtId="0" fontId="5" fillId="62" borderId="109" xfId="0" applyFont="1" applyFill="1" applyBorder="1" applyAlignment="1">
      <alignment horizontal="center" vertical="center"/>
    </xf>
    <xf numFmtId="10" fontId="3" fillId="62" borderId="109" xfId="0" applyNumberFormat="1" applyFont="1" applyFill="1" applyBorder="1" applyAlignment="1">
      <alignment horizontal="center" vertical="center"/>
    </xf>
    <xf numFmtId="10" fontId="3" fillId="62" borderId="110" xfId="0" applyNumberFormat="1" applyFont="1" applyFill="1" applyBorder="1" applyAlignment="1">
      <alignment horizontal="center" vertical="center"/>
    </xf>
    <xf numFmtId="0" fontId="5" fillId="104" borderId="108" xfId="0" applyFont="1" applyFill="1" applyBorder="1" applyAlignment="1">
      <alignment horizontal="center" vertical="center"/>
    </xf>
    <xf numFmtId="0" fontId="5" fillId="104" borderId="109" xfId="0" applyFont="1" applyFill="1" applyBorder="1" applyAlignment="1">
      <alignment horizontal="center" vertical="center"/>
    </xf>
    <xf numFmtId="10" fontId="3" fillId="104" borderId="109" xfId="0" applyNumberFormat="1" applyFont="1" applyFill="1" applyBorder="1" applyAlignment="1">
      <alignment horizontal="center" vertical="center"/>
    </xf>
    <xf numFmtId="10" fontId="3" fillId="104" borderId="110" xfId="0" applyNumberFormat="1" applyFont="1" applyFill="1" applyBorder="1" applyAlignment="1">
      <alignment horizontal="center" vertical="center"/>
    </xf>
    <xf numFmtId="0" fontId="5" fillId="16" borderId="108" xfId="0" applyFont="1" applyFill="1" applyBorder="1" applyAlignment="1">
      <alignment horizontal="center" vertical="center"/>
    </xf>
    <xf numFmtId="0" fontId="5" fillId="16" borderId="109" xfId="0" applyFont="1" applyFill="1" applyBorder="1" applyAlignment="1">
      <alignment horizontal="center" vertical="center"/>
    </xf>
    <xf numFmtId="10" fontId="3" fillId="16" borderId="109" xfId="0" applyNumberFormat="1" applyFont="1" applyFill="1" applyBorder="1" applyAlignment="1">
      <alignment horizontal="center" vertical="center"/>
    </xf>
    <xf numFmtId="10" fontId="3" fillId="16" borderId="110" xfId="0" applyNumberFormat="1" applyFont="1" applyFill="1" applyBorder="1" applyAlignment="1">
      <alignment horizontal="center" vertical="center"/>
    </xf>
    <xf numFmtId="0" fontId="5" fillId="126" borderId="14" xfId="0" applyFont="1" applyFill="1" applyBorder="1" applyAlignment="1">
      <alignment horizontal="center" vertical="center" wrapText="1"/>
    </xf>
    <xf numFmtId="10" fontId="12" fillId="126" borderId="14" xfId="0" applyNumberFormat="1" applyFont="1" applyFill="1" applyBorder="1" applyAlignment="1">
      <alignment horizontal="center" vertical="center"/>
    </xf>
    <xf numFmtId="10" fontId="3" fillId="34" borderId="23" xfId="0" applyNumberFormat="1" applyFont="1" applyFill="1" applyBorder="1" applyAlignment="1">
      <alignment horizontal="center" vertical="center"/>
    </xf>
    <xf numFmtId="10" fontId="3" fillId="34" borderId="19" xfId="0" applyNumberFormat="1" applyFont="1" applyFill="1" applyBorder="1" applyAlignment="1">
      <alignment horizontal="center" vertical="center"/>
    </xf>
    <xf numFmtId="10" fontId="3" fillId="34" borderId="24" xfId="0" applyNumberFormat="1" applyFont="1" applyFill="1" applyBorder="1" applyAlignment="1">
      <alignment horizontal="center" vertical="center"/>
    </xf>
    <xf numFmtId="0" fontId="5" fillId="115" borderId="14" xfId="0" applyFont="1" applyFill="1" applyBorder="1" applyAlignment="1">
      <alignment horizontal="center" vertical="center" wrapText="1"/>
    </xf>
    <xf numFmtId="10" fontId="12" fillId="115" borderId="14" xfId="0" applyNumberFormat="1" applyFont="1" applyFill="1" applyBorder="1" applyAlignment="1">
      <alignment horizontal="center" vertical="center"/>
    </xf>
    <xf numFmtId="0" fontId="5" fillId="128" borderId="14" xfId="0" applyFont="1" applyFill="1" applyBorder="1" applyAlignment="1">
      <alignment horizontal="center" vertical="center" wrapText="1"/>
    </xf>
    <xf numFmtId="10" fontId="12" fillId="128" borderId="14" xfId="0" applyNumberFormat="1" applyFont="1" applyFill="1" applyBorder="1" applyAlignment="1">
      <alignment horizontal="center" vertical="center"/>
    </xf>
    <xf numFmtId="0" fontId="15" fillId="116" borderId="14" xfId="0" applyFont="1" applyFill="1" applyBorder="1" applyAlignment="1">
      <alignment horizontal="center" vertical="center" textRotation="90"/>
    </xf>
    <xf numFmtId="0" fontId="15" fillId="127" borderId="14" xfId="0" applyFont="1" applyFill="1" applyBorder="1" applyAlignment="1">
      <alignment horizontal="center" vertical="center" textRotation="90"/>
    </xf>
    <xf numFmtId="0" fontId="5" fillId="130" borderId="14" xfId="0" applyFont="1" applyFill="1" applyBorder="1" applyAlignment="1">
      <alignment horizontal="center" vertical="center" wrapText="1"/>
    </xf>
    <xf numFmtId="10" fontId="12" fillId="130" borderId="14" xfId="0" applyNumberFormat="1" applyFont="1" applyFill="1" applyBorder="1" applyAlignment="1">
      <alignment horizontal="center" vertical="center"/>
    </xf>
    <xf numFmtId="0" fontId="5" fillId="132" borderId="14" xfId="0" applyFont="1" applyFill="1" applyBorder="1" applyAlignment="1">
      <alignment horizontal="center" vertical="center" wrapText="1"/>
    </xf>
    <xf numFmtId="10" fontId="12" fillId="132" borderId="14" xfId="0" applyNumberFormat="1" applyFont="1" applyFill="1" applyBorder="1" applyAlignment="1">
      <alignment horizontal="center" vertical="center"/>
    </xf>
    <xf numFmtId="0" fontId="15" fillId="131" borderId="14" xfId="0" applyFont="1" applyFill="1" applyBorder="1" applyAlignment="1">
      <alignment horizontal="center" vertical="center" textRotation="90"/>
    </xf>
    <xf numFmtId="0" fontId="15" fillId="131" borderId="60" xfId="0" applyFont="1" applyFill="1" applyBorder="1" applyAlignment="1">
      <alignment horizontal="center" vertical="center" textRotation="90"/>
    </xf>
    <xf numFmtId="0" fontId="15" fillId="129" borderId="14" xfId="0" applyFont="1" applyFill="1" applyBorder="1" applyAlignment="1">
      <alignment horizontal="center" vertical="center" textRotation="90"/>
    </xf>
    <xf numFmtId="0" fontId="15" fillId="129" borderId="60" xfId="0" applyFont="1" applyFill="1" applyBorder="1" applyAlignment="1">
      <alignment horizontal="center" vertical="center" textRotation="90"/>
    </xf>
    <xf numFmtId="0" fontId="38" fillId="0" borderId="0" xfId="0" applyFont="1" applyAlignment="1">
      <alignment horizontal="right" vertical="center"/>
    </xf>
    <xf numFmtId="10" fontId="3" fillId="36" borderId="23" xfId="0" applyNumberFormat="1" applyFont="1" applyFill="1" applyBorder="1" applyAlignment="1">
      <alignment horizontal="center" vertical="center"/>
    </xf>
    <xf numFmtId="10" fontId="3" fillId="36" borderId="19" xfId="0" applyNumberFormat="1" applyFont="1" applyFill="1" applyBorder="1" applyAlignment="1">
      <alignment horizontal="center" vertical="center"/>
    </xf>
    <xf numFmtId="10" fontId="3" fillId="36" borderId="24" xfId="0" applyNumberFormat="1" applyFont="1" applyFill="1" applyBorder="1" applyAlignment="1">
      <alignment horizontal="center" vertical="center"/>
    </xf>
    <xf numFmtId="0" fontId="15" fillId="133" borderId="14" xfId="0" applyFont="1" applyFill="1" applyBorder="1" applyAlignment="1">
      <alignment horizontal="center" vertical="center" textRotation="90"/>
    </xf>
    <xf numFmtId="0" fontId="15" fillId="133" borderId="60" xfId="0" applyFont="1" applyFill="1" applyBorder="1" applyAlignment="1">
      <alignment horizontal="center" vertical="center" textRotation="90"/>
    </xf>
    <xf numFmtId="10" fontId="12" fillId="132" borderId="23" xfId="0" applyNumberFormat="1" applyFont="1" applyFill="1" applyBorder="1" applyAlignment="1">
      <alignment horizontal="center" vertical="center"/>
    </xf>
    <xf numFmtId="0" fontId="38" fillId="14" borderId="23" xfId="0" applyFont="1" applyFill="1" applyBorder="1" applyAlignment="1">
      <alignment horizontal="center" vertical="center"/>
    </xf>
    <xf numFmtId="0" fontId="12" fillId="34" borderId="60" xfId="0" applyFont="1" applyFill="1" applyBorder="1" applyAlignment="1">
      <alignment horizontal="center" vertical="center" wrapText="1"/>
    </xf>
    <xf numFmtId="0" fontId="12" fillId="34" borderId="129" xfId="0" applyFont="1" applyFill="1" applyBorder="1" applyAlignment="1">
      <alignment horizontal="center" vertical="center" wrapText="1"/>
    </xf>
    <xf numFmtId="10" fontId="6" fillId="107" borderId="16" xfId="0" applyNumberFormat="1" applyFont="1" applyFill="1" applyBorder="1" applyAlignment="1">
      <alignment horizontal="center" vertical="center"/>
    </xf>
    <xf numFmtId="10" fontId="6" fillId="107" borderId="57" xfId="0" applyNumberFormat="1" applyFont="1" applyFill="1" applyBorder="1" applyAlignment="1">
      <alignment horizontal="center" vertical="center"/>
    </xf>
    <xf numFmtId="10" fontId="6" fillId="107" borderId="0" xfId="0" applyNumberFormat="1" applyFont="1" applyFill="1" applyAlignment="1">
      <alignment horizontal="center" vertical="center"/>
    </xf>
    <xf numFmtId="10" fontId="6" fillId="107" borderId="58" xfId="0" applyNumberFormat="1" applyFont="1" applyFill="1" applyBorder="1" applyAlignment="1">
      <alignment horizontal="center" vertical="center"/>
    </xf>
    <xf numFmtId="0" fontId="12" fillId="107" borderId="15" xfId="0" applyFont="1" applyFill="1" applyBorder="1" applyAlignment="1">
      <alignment horizontal="center" vertical="center" wrapText="1"/>
    </xf>
    <xf numFmtId="0" fontId="12" fillId="107" borderId="16" xfId="0" applyFont="1" applyFill="1" applyBorder="1" applyAlignment="1">
      <alignment horizontal="center" vertical="center" wrapText="1"/>
    </xf>
    <xf numFmtId="0" fontId="12" fillId="107" borderId="34" xfId="0" applyFont="1" applyFill="1" applyBorder="1" applyAlignment="1">
      <alignment horizontal="center" vertical="center" wrapText="1"/>
    </xf>
    <xf numFmtId="0" fontId="12" fillId="107" borderId="0" xfId="0" applyFont="1" applyFill="1" applyAlignment="1">
      <alignment horizontal="center" vertical="center" wrapText="1"/>
    </xf>
    <xf numFmtId="2" fontId="141" fillId="0" borderId="0" xfId="0" applyNumberFormat="1" applyFont="1" applyAlignment="1">
      <alignment horizontal="center" vertical="center"/>
    </xf>
    <xf numFmtId="49" fontId="167" fillId="0" borderId="0" xfId="0" applyNumberFormat="1" applyFont="1" applyAlignment="1">
      <alignment horizontal="center" vertical="center" wrapText="1"/>
    </xf>
    <xf numFmtId="0" fontId="15" fillId="111" borderId="80" xfId="0" applyFont="1" applyFill="1" applyBorder="1" applyAlignment="1">
      <alignment horizontal="center" vertical="center" textRotation="90"/>
    </xf>
    <xf numFmtId="0" fontId="15" fillId="111" borderId="84" xfId="0" applyFont="1" applyFill="1" applyBorder="1" applyAlignment="1">
      <alignment horizontal="center" vertical="center" textRotation="90"/>
    </xf>
    <xf numFmtId="0" fontId="15" fillId="123" borderId="80" xfId="0" applyFont="1" applyFill="1" applyBorder="1" applyAlignment="1">
      <alignment horizontal="center" vertical="center" textRotation="90"/>
    </xf>
    <xf numFmtId="0" fontId="15" fillId="123" borderId="84" xfId="0" applyFont="1" applyFill="1" applyBorder="1" applyAlignment="1">
      <alignment horizontal="center" vertical="center" textRotation="90"/>
    </xf>
    <xf numFmtId="0" fontId="12" fillId="152" borderId="91" xfId="0" applyFont="1" applyFill="1" applyBorder="1" applyAlignment="1">
      <alignment horizontal="center" vertical="center" wrapText="1"/>
    </xf>
    <xf numFmtId="0" fontId="12" fillId="152" borderId="76" xfId="0" applyFont="1" applyFill="1" applyBorder="1" applyAlignment="1">
      <alignment horizontal="center" vertical="center" wrapText="1"/>
    </xf>
    <xf numFmtId="0" fontId="12" fillId="152" borderId="78" xfId="0" applyFont="1" applyFill="1" applyBorder="1" applyAlignment="1">
      <alignment horizontal="center" vertical="center" wrapText="1"/>
    </xf>
    <xf numFmtId="0" fontId="12" fillId="34" borderId="76" xfId="0" applyFont="1" applyFill="1" applyBorder="1" applyAlignment="1">
      <alignment horizontal="center" vertical="center" wrapText="1"/>
    </xf>
    <xf numFmtId="0" fontId="12" fillId="34" borderId="0" xfId="0" applyFont="1" applyFill="1" applyAlignment="1">
      <alignment horizontal="center" vertical="center" wrapText="1"/>
    </xf>
    <xf numFmtId="0" fontId="12" fillId="34" borderId="77" xfId="0" applyFont="1" applyFill="1" applyBorder="1" applyAlignment="1">
      <alignment horizontal="center" vertical="center" wrapText="1"/>
    </xf>
    <xf numFmtId="0" fontId="5" fillId="122" borderId="74" xfId="0" applyFont="1" applyFill="1" applyBorder="1" applyAlignment="1">
      <alignment horizontal="center" vertical="center" wrapText="1"/>
    </xf>
    <xf numFmtId="0" fontId="5" fillId="122" borderId="52" xfId="0" applyFont="1" applyFill="1" applyBorder="1" applyAlignment="1">
      <alignment horizontal="center" vertical="center" wrapText="1"/>
    </xf>
    <xf numFmtId="10" fontId="6" fillId="122" borderId="52" xfId="0" applyNumberFormat="1" applyFont="1" applyFill="1" applyBorder="1" applyAlignment="1">
      <alignment horizontal="center" vertical="center"/>
    </xf>
    <xf numFmtId="10" fontId="6" fillId="122" borderId="75" xfId="0" applyNumberFormat="1" applyFont="1" applyFill="1" applyBorder="1" applyAlignment="1">
      <alignment horizontal="center" vertical="center"/>
    </xf>
    <xf numFmtId="0" fontId="5" fillId="110" borderId="74" xfId="0" applyFont="1" applyFill="1" applyBorder="1" applyAlignment="1">
      <alignment horizontal="center" vertical="center" wrapText="1"/>
    </xf>
    <xf numFmtId="0" fontId="5" fillId="110" borderId="52" xfId="0" applyFont="1" applyFill="1" applyBorder="1" applyAlignment="1">
      <alignment horizontal="center" vertical="center" wrapText="1"/>
    </xf>
    <xf numFmtId="10" fontId="6" fillId="110" borderId="52" xfId="0" applyNumberFormat="1" applyFont="1" applyFill="1" applyBorder="1" applyAlignment="1">
      <alignment horizontal="center" vertical="center"/>
    </xf>
    <xf numFmtId="0" fontId="15" fillId="39" borderId="122" xfId="0" applyFont="1" applyFill="1" applyBorder="1" applyAlignment="1">
      <alignment horizontal="center" vertical="center" textRotation="90"/>
    </xf>
    <xf numFmtId="0" fontId="15" fillId="50" borderId="122" xfId="0" applyFont="1" applyFill="1" applyBorder="1" applyAlignment="1">
      <alignment horizontal="center" vertical="center" textRotation="90"/>
    </xf>
    <xf numFmtId="10" fontId="6" fillId="10" borderId="52" xfId="0" applyNumberFormat="1" applyFont="1" applyFill="1" applyBorder="1" applyAlignment="1">
      <alignment horizontal="center" vertical="center"/>
    </xf>
    <xf numFmtId="10" fontId="6" fillId="10" borderId="75" xfId="0" applyNumberFormat="1" applyFont="1" applyFill="1" applyBorder="1" applyAlignment="1">
      <alignment horizontal="center" vertical="center"/>
    </xf>
    <xf numFmtId="0" fontId="15" fillId="116" borderId="80" xfId="0" applyFont="1" applyFill="1" applyBorder="1" applyAlignment="1">
      <alignment horizontal="center" vertical="center" textRotation="90"/>
    </xf>
    <xf numFmtId="0" fontId="15" fillId="116" borderId="84" xfId="0" applyFont="1" applyFill="1" applyBorder="1" applyAlignment="1">
      <alignment horizontal="center" vertical="center" textRotation="90"/>
    </xf>
    <xf numFmtId="0" fontId="5" fillId="115" borderId="74" xfId="0" applyFont="1" applyFill="1" applyBorder="1" applyAlignment="1">
      <alignment horizontal="center" vertical="center" wrapText="1"/>
    </xf>
    <xf numFmtId="0" fontId="5" fillId="115" borderId="52" xfId="0" applyFont="1" applyFill="1" applyBorder="1" applyAlignment="1">
      <alignment horizontal="center" vertical="center" wrapText="1"/>
    </xf>
    <xf numFmtId="10" fontId="6" fillId="115" borderId="52" xfId="0" applyNumberFormat="1" applyFont="1" applyFill="1" applyBorder="1" applyAlignment="1">
      <alignment horizontal="center" vertical="center"/>
    </xf>
    <xf numFmtId="10" fontId="6" fillId="115" borderId="75" xfId="0" applyNumberFormat="1" applyFont="1" applyFill="1" applyBorder="1" applyAlignment="1">
      <alignment horizontal="center" vertical="center"/>
    </xf>
    <xf numFmtId="0" fontId="15" fillId="121" borderId="80" xfId="0" applyFont="1" applyFill="1" applyBorder="1" applyAlignment="1">
      <alignment horizontal="center" vertical="center" textRotation="90"/>
    </xf>
    <xf numFmtId="0" fontId="15" fillId="121" borderId="84" xfId="0" applyFont="1" applyFill="1" applyBorder="1" applyAlignment="1">
      <alignment horizontal="center" vertical="center" textRotation="90"/>
    </xf>
    <xf numFmtId="0" fontId="5" fillId="120" borderId="74" xfId="0" applyFont="1" applyFill="1" applyBorder="1" applyAlignment="1">
      <alignment horizontal="center" vertical="center" wrapText="1"/>
    </xf>
    <xf numFmtId="0" fontId="5" fillId="120" borderId="52" xfId="0" applyFont="1" applyFill="1" applyBorder="1" applyAlignment="1">
      <alignment horizontal="center" vertical="center" wrapText="1"/>
    </xf>
    <xf numFmtId="10" fontId="6" fillId="120" borderId="52" xfId="0" applyNumberFormat="1" applyFont="1" applyFill="1" applyBorder="1" applyAlignment="1">
      <alignment horizontal="center" vertical="center"/>
    </xf>
    <xf numFmtId="10" fontId="6" fillId="120" borderId="75" xfId="0" applyNumberFormat="1" applyFont="1" applyFill="1" applyBorder="1" applyAlignment="1">
      <alignment horizontal="center" vertical="center"/>
    </xf>
    <xf numFmtId="0" fontId="15" fillId="119" borderId="80" xfId="0" applyFont="1" applyFill="1" applyBorder="1" applyAlignment="1">
      <alignment horizontal="center" vertical="center" textRotation="90"/>
    </xf>
    <xf numFmtId="0" fontId="15" fillId="119" borderId="84" xfId="0" applyFont="1" applyFill="1" applyBorder="1" applyAlignment="1">
      <alignment horizontal="center" vertical="center" textRotation="90"/>
    </xf>
    <xf numFmtId="0" fontId="5" fillId="118" borderId="74" xfId="0" applyFont="1" applyFill="1" applyBorder="1" applyAlignment="1">
      <alignment horizontal="center" vertical="center" wrapText="1"/>
    </xf>
    <xf numFmtId="0" fontId="5" fillId="118" borderId="52" xfId="0" applyFont="1" applyFill="1" applyBorder="1" applyAlignment="1">
      <alignment horizontal="center" vertical="center" wrapText="1"/>
    </xf>
    <xf numFmtId="10" fontId="6" fillId="118" borderId="52" xfId="0" applyNumberFormat="1" applyFont="1" applyFill="1" applyBorder="1" applyAlignment="1">
      <alignment horizontal="center" vertical="center"/>
    </xf>
    <xf numFmtId="10" fontId="6" fillId="118" borderId="75" xfId="0" applyNumberFormat="1" applyFont="1" applyFill="1" applyBorder="1" applyAlignment="1">
      <alignment horizontal="center" vertical="center"/>
    </xf>
    <xf numFmtId="0" fontId="15" fillId="36" borderId="91" xfId="0" applyFont="1" applyFill="1" applyBorder="1" applyAlignment="1">
      <alignment horizontal="center" vertical="center" wrapText="1"/>
    </xf>
    <xf numFmtId="0" fontId="15" fillId="36" borderId="16" xfId="0" applyFont="1" applyFill="1" applyBorder="1" applyAlignment="1">
      <alignment horizontal="center" vertical="center" wrapText="1"/>
    </xf>
    <xf numFmtId="0" fontId="15" fillId="36" borderId="90" xfId="0" applyFont="1" applyFill="1" applyBorder="1" applyAlignment="1">
      <alignment horizontal="center" vertical="center" wrapText="1"/>
    </xf>
    <xf numFmtId="0" fontId="15" fillId="36" borderId="76" xfId="0" applyFont="1" applyFill="1" applyBorder="1" applyAlignment="1">
      <alignment horizontal="center" vertical="center" wrapText="1"/>
    </xf>
    <xf numFmtId="0" fontId="15" fillId="36" borderId="0" xfId="0" applyFont="1" applyFill="1" applyAlignment="1">
      <alignment horizontal="center" vertical="center" wrapText="1"/>
    </xf>
    <xf numFmtId="0" fontId="15" fillId="36" borderId="77" xfId="0" applyFont="1" applyFill="1" applyBorder="1" applyAlignment="1">
      <alignment horizontal="center" vertical="center" wrapText="1"/>
    </xf>
    <xf numFmtId="0" fontId="15" fillId="36" borderId="78" xfId="0" applyFont="1" applyFill="1" applyBorder="1" applyAlignment="1">
      <alignment horizontal="center" vertical="center" wrapText="1"/>
    </xf>
    <xf numFmtId="0" fontId="15" fillId="36" borderId="11" xfId="0" applyFont="1" applyFill="1" applyBorder="1" applyAlignment="1">
      <alignment horizontal="center" vertical="center" wrapText="1"/>
    </xf>
    <xf numFmtId="0" fontId="15" fillId="36" borderId="79" xfId="0" applyFont="1" applyFill="1" applyBorder="1" applyAlignment="1">
      <alignment horizontal="center" vertical="center" wrapText="1"/>
    </xf>
    <xf numFmtId="10" fontId="6" fillId="110" borderId="75" xfId="0" applyNumberFormat="1" applyFont="1" applyFill="1" applyBorder="1" applyAlignment="1">
      <alignment horizontal="center" vertical="center"/>
    </xf>
    <xf numFmtId="10" fontId="3" fillId="35" borderId="52" xfId="0" applyNumberFormat="1" applyFont="1" applyFill="1" applyBorder="1" applyAlignment="1">
      <alignment horizontal="center" vertical="center"/>
    </xf>
    <xf numFmtId="10" fontId="3" fillId="35" borderId="75" xfId="0" applyNumberFormat="1" applyFont="1" applyFill="1" applyBorder="1" applyAlignment="1">
      <alignment horizontal="center" vertical="center"/>
    </xf>
    <xf numFmtId="0" fontId="3" fillId="39" borderId="80" xfId="0" applyFont="1" applyFill="1" applyBorder="1" applyAlignment="1">
      <alignment horizontal="center" vertical="center" textRotation="90"/>
    </xf>
    <xf numFmtId="0" fontId="3" fillId="39" borderId="84" xfId="0" applyFont="1" applyFill="1" applyBorder="1" applyAlignment="1">
      <alignment horizontal="center" vertical="center" textRotation="90"/>
    </xf>
    <xf numFmtId="0" fontId="12" fillId="152" borderId="91" xfId="0" applyFont="1" applyFill="1" applyBorder="1" applyAlignment="1">
      <alignment horizontal="center" vertical="center"/>
    </xf>
    <xf numFmtId="0" fontId="12" fillId="152" borderId="16" xfId="0" applyFont="1" applyFill="1" applyBorder="1" applyAlignment="1">
      <alignment horizontal="center" vertical="center"/>
    </xf>
    <xf numFmtId="0" fontId="12" fillId="152" borderId="90" xfId="0" applyFont="1" applyFill="1" applyBorder="1" applyAlignment="1">
      <alignment horizontal="center" vertical="center"/>
    </xf>
    <xf numFmtId="0" fontId="12" fillId="152" borderId="78" xfId="0" applyFont="1" applyFill="1" applyBorder="1" applyAlignment="1">
      <alignment horizontal="center" vertical="center"/>
    </xf>
    <xf numFmtId="0" fontId="12" fillId="152" borderId="11" xfId="0" applyFont="1" applyFill="1" applyBorder="1" applyAlignment="1">
      <alignment horizontal="center" vertical="center"/>
    </xf>
    <xf numFmtId="0" fontId="12" fillId="152" borderId="79" xfId="0" applyFont="1" applyFill="1" applyBorder="1" applyAlignment="1">
      <alignment horizontal="center" vertical="center"/>
    </xf>
    <xf numFmtId="0" fontId="5" fillId="35" borderId="74" xfId="0" applyFont="1" applyFill="1" applyBorder="1" applyAlignment="1">
      <alignment horizontal="center" vertical="center"/>
    </xf>
    <xf numFmtId="0" fontId="5" fillId="35" borderId="52" xfId="0" applyFont="1" applyFill="1" applyBorder="1" applyAlignment="1">
      <alignment horizontal="center" vertical="center"/>
    </xf>
    <xf numFmtId="0" fontId="0" fillId="0" borderId="0" xfId="0"/>
    <xf numFmtId="0" fontId="12" fillId="83" borderId="78" xfId="0" applyFont="1" applyFill="1" applyBorder="1" applyAlignment="1">
      <alignment horizontal="center" vertical="center"/>
    </xf>
    <xf numFmtId="0" fontId="12" fillId="83" borderId="11" xfId="0" applyFont="1" applyFill="1" applyBorder="1" applyAlignment="1">
      <alignment horizontal="center" vertical="center"/>
    </xf>
    <xf numFmtId="0" fontId="12" fillId="83" borderId="79" xfId="0" applyFont="1" applyFill="1" applyBorder="1" applyAlignment="1">
      <alignment horizontal="center" vertical="center"/>
    </xf>
    <xf numFmtId="0" fontId="3" fillId="0" borderId="76" xfId="0" applyFont="1" applyBorder="1" applyAlignment="1">
      <alignment horizontal="center" vertical="center" textRotation="90"/>
    </xf>
    <xf numFmtId="0" fontId="5" fillId="0" borderId="74" xfId="0" applyFont="1" applyBorder="1" applyAlignment="1">
      <alignment horizontal="center" vertical="center"/>
    </xf>
    <xf numFmtId="0" fontId="5" fillId="0" borderId="76" xfId="0" applyFont="1" applyBorder="1" applyAlignment="1">
      <alignment horizontal="center" vertical="center"/>
    </xf>
    <xf numFmtId="1" fontId="81" fillId="0" borderId="0" xfId="0" applyNumberFormat="1" applyFont="1" applyAlignment="1">
      <alignment horizontal="center" vertical="center"/>
    </xf>
    <xf numFmtId="165" fontId="3" fillId="83" borderId="52" xfId="0" applyNumberFormat="1" applyFont="1" applyFill="1" applyBorder="1" applyAlignment="1">
      <alignment horizontal="center" vertical="center"/>
    </xf>
    <xf numFmtId="165" fontId="3" fillId="83" borderId="75" xfId="0" applyNumberFormat="1" applyFont="1" applyFill="1" applyBorder="1" applyAlignment="1">
      <alignment horizontal="center" vertical="center"/>
    </xf>
    <xf numFmtId="0" fontId="3" fillId="16" borderId="91" xfId="0" applyFont="1" applyFill="1" applyBorder="1" applyAlignment="1">
      <alignment horizontal="center" vertical="center"/>
    </xf>
    <xf numFmtId="0" fontId="3" fillId="16" borderId="16" xfId="0" applyFont="1" applyFill="1" applyBorder="1" applyAlignment="1">
      <alignment horizontal="center" vertical="center"/>
    </xf>
    <xf numFmtId="0" fontId="3" fillId="16" borderId="90" xfId="0" applyFont="1" applyFill="1" applyBorder="1" applyAlignment="1">
      <alignment horizontal="center" vertical="center"/>
    </xf>
    <xf numFmtId="0" fontId="3" fillId="16" borderId="76" xfId="0" applyFont="1" applyFill="1" applyBorder="1" applyAlignment="1">
      <alignment horizontal="center" vertical="center"/>
    </xf>
    <xf numFmtId="0" fontId="3" fillId="16" borderId="0" xfId="0" applyFont="1" applyFill="1" applyAlignment="1">
      <alignment horizontal="center" vertical="center"/>
    </xf>
    <xf numFmtId="0" fontId="3" fillId="16" borderId="77" xfId="0" applyFont="1" applyFill="1" applyBorder="1" applyAlignment="1">
      <alignment horizontal="center" vertical="center"/>
    </xf>
    <xf numFmtId="0" fontId="3" fillId="16" borderId="78" xfId="0" applyFont="1" applyFill="1" applyBorder="1" applyAlignment="1">
      <alignment horizontal="center" vertical="center"/>
    </xf>
    <xf numFmtId="0" fontId="3" fillId="16" borderId="11" xfId="0" applyFont="1" applyFill="1" applyBorder="1" applyAlignment="1">
      <alignment horizontal="center" vertical="center"/>
    </xf>
    <xf numFmtId="0" fontId="3" fillId="16" borderId="79" xfId="0" applyFont="1" applyFill="1" applyBorder="1" applyAlignment="1">
      <alignment horizontal="center" vertical="center"/>
    </xf>
    <xf numFmtId="49" fontId="172" fillId="0" borderId="0" xfId="0" applyNumberFormat="1" applyFont="1" applyAlignment="1">
      <alignment horizontal="center" vertical="center" wrapText="1"/>
    </xf>
    <xf numFmtId="2" fontId="172" fillId="0" borderId="0" xfId="0" applyNumberFormat="1" applyFont="1" applyAlignment="1">
      <alignment horizontal="center" vertical="center" wrapText="1"/>
    </xf>
    <xf numFmtId="2" fontId="172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left" vertical="top"/>
    </xf>
    <xf numFmtId="0" fontId="4" fillId="0" borderId="0" xfId="0" applyFont="1" applyAlignment="1">
      <alignment horizontal="center" vertical="center" textRotation="90"/>
    </xf>
    <xf numFmtId="0" fontId="4" fillId="0" borderId="80" xfId="0" applyFont="1" applyBorder="1" applyAlignment="1">
      <alignment horizontal="center" vertical="center" textRotation="90"/>
    </xf>
    <xf numFmtId="0" fontId="4" fillId="0" borderId="84" xfId="0" applyFont="1" applyBorder="1" applyAlignment="1">
      <alignment horizontal="center" vertical="center" textRotation="90"/>
    </xf>
    <xf numFmtId="0" fontId="38" fillId="0" borderId="81" xfId="0" applyFont="1" applyBorder="1" applyAlignment="1">
      <alignment horizontal="center" vertical="center"/>
    </xf>
    <xf numFmtId="0" fontId="38" fillId="0" borderId="82" xfId="0" applyFont="1" applyBorder="1" applyAlignment="1">
      <alignment horizontal="center" vertical="center"/>
    </xf>
    <xf numFmtId="0" fontId="38" fillId="0" borderId="83" xfId="0" applyFont="1" applyBorder="1" applyAlignment="1">
      <alignment horizontal="center" vertical="center"/>
    </xf>
    <xf numFmtId="0" fontId="12" fillId="0" borderId="91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90" xfId="0" applyFont="1" applyBorder="1" applyAlignment="1">
      <alignment horizontal="center" vertical="center" wrapText="1"/>
    </xf>
    <xf numFmtId="0" fontId="12" fillId="0" borderId="78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79" xfId="0" applyFont="1" applyBorder="1" applyAlignment="1">
      <alignment horizontal="center" vertical="center" wrapText="1"/>
    </xf>
    <xf numFmtId="10" fontId="12" fillId="0" borderId="75" xfId="0" applyNumberFormat="1" applyFont="1" applyBorder="1" applyAlignment="1">
      <alignment horizontal="center" vertical="center"/>
    </xf>
    <xf numFmtId="10" fontId="12" fillId="0" borderId="11" xfId="0" applyNumberFormat="1" applyFont="1" applyBorder="1" applyAlignment="1">
      <alignment horizontal="center" vertical="center"/>
    </xf>
    <xf numFmtId="10" fontId="12" fillId="0" borderId="79" xfId="0" applyNumberFormat="1" applyFont="1" applyBorder="1" applyAlignment="1">
      <alignment horizontal="center" vertical="center"/>
    </xf>
    <xf numFmtId="0" fontId="5" fillId="0" borderId="105" xfId="0" applyFont="1" applyBorder="1" applyAlignment="1">
      <alignment horizontal="center" vertical="center" wrapText="1"/>
    </xf>
    <xf numFmtId="0" fontId="5" fillId="0" borderId="78" xfId="0" applyFont="1" applyBorder="1" applyAlignment="1">
      <alignment horizontal="center" vertical="center" wrapText="1"/>
    </xf>
    <xf numFmtId="0" fontId="5" fillId="0" borderId="59" xfId="0" applyFont="1" applyBorder="1" applyAlignment="1">
      <alignment horizontal="center" vertical="center" wrapText="1"/>
    </xf>
    <xf numFmtId="0" fontId="15" fillId="0" borderId="80" xfId="0" applyFont="1" applyBorder="1" applyAlignment="1">
      <alignment horizontal="center" vertical="center" textRotation="90"/>
    </xf>
    <xf numFmtId="0" fontId="15" fillId="0" borderId="84" xfId="0" applyFont="1" applyBorder="1" applyAlignment="1">
      <alignment horizontal="center" vertical="center" textRotation="90"/>
    </xf>
    <xf numFmtId="0" fontId="182" fillId="0" borderId="0" xfId="0" applyFont="1" applyAlignment="1">
      <alignment horizontal="center" vertical="center"/>
    </xf>
    <xf numFmtId="0" fontId="4" fillId="42" borderId="80" xfId="0" applyFont="1" applyFill="1" applyBorder="1" applyAlignment="1">
      <alignment horizontal="center" vertical="center" textRotation="90"/>
    </xf>
    <xf numFmtId="0" fontId="4" fillId="42" borderId="84" xfId="0" applyFont="1" applyFill="1" applyBorder="1" applyAlignment="1">
      <alignment horizontal="center" vertical="center" textRotation="90"/>
    </xf>
    <xf numFmtId="0" fontId="182" fillId="37" borderId="81" xfId="0" applyFont="1" applyFill="1" applyBorder="1" applyAlignment="1">
      <alignment horizontal="center" vertical="center"/>
    </xf>
    <xf numFmtId="0" fontId="182" fillId="37" borderId="82" xfId="0" applyFont="1" applyFill="1" applyBorder="1" applyAlignment="1">
      <alignment horizontal="center" vertical="center"/>
    </xf>
    <xf numFmtId="0" fontId="182" fillId="37" borderId="83" xfId="0" applyFont="1" applyFill="1" applyBorder="1" applyAlignment="1">
      <alignment horizontal="center" vertical="center"/>
    </xf>
    <xf numFmtId="0" fontId="181" fillId="38" borderId="81" xfId="0" applyFont="1" applyFill="1" applyBorder="1" applyAlignment="1">
      <alignment horizontal="center" vertical="center"/>
    </xf>
    <xf numFmtId="0" fontId="181" fillId="38" borderId="82" xfId="0" applyFont="1" applyFill="1" applyBorder="1" applyAlignment="1">
      <alignment horizontal="center" vertical="center"/>
    </xf>
    <xf numFmtId="0" fontId="181" fillId="38" borderId="83" xfId="0" applyFont="1" applyFill="1" applyBorder="1" applyAlignment="1">
      <alignment horizontal="center" vertical="center"/>
    </xf>
    <xf numFmtId="0" fontId="4" fillId="28" borderId="80" xfId="0" applyFont="1" applyFill="1" applyBorder="1" applyAlignment="1">
      <alignment horizontal="center" vertical="center" textRotation="90"/>
    </xf>
    <xf numFmtId="0" fontId="4" fillId="28" borderId="84" xfId="0" applyFont="1" applyFill="1" applyBorder="1" applyAlignment="1">
      <alignment horizontal="center" vertical="center" textRotation="90"/>
    </xf>
    <xf numFmtId="0" fontId="182" fillId="38" borderId="81" xfId="0" applyFont="1" applyFill="1" applyBorder="1" applyAlignment="1">
      <alignment horizontal="center" vertical="center"/>
    </xf>
    <xf numFmtId="0" fontId="182" fillId="38" borderId="82" xfId="0" applyFont="1" applyFill="1" applyBorder="1" applyAlignment="1">
      <alignment horizontal="center" vertical="center"/>
    </xf>
    <xf numFmtId="0" fontId="182" fillId="38" borderId="83" xfId="0" applyFont="1" applyFill="1" applyBorder="1" applyAlignment="1">
      <alignment horizontal="center" vertical="center"/>
    </xf>
    <xf numFmtId="0" fontId="4" fillId="82" borderId="80" xfId="0" applyFont="1" applyFill="1" applyBorder="1" applyAlignment="1">
      <alignment horizontal="center" vertical="center" textRotation="90"/>
    </xf>
    <xf numFmtId="0" fontId="4" fillId="82" borderId="84" xfId="0" applyFont="1" applyFill="1" applyBorder="1" applyAlignment="1">
      <alignment horizontal="center" vertical="center" textRotation="90"/>
    </xf>
    <xf numFmtId="0" fontId="12" fillId="27" borderId="91" xfId="0" applyFont="1" applyFill="1" applyBorder="1" applyAlignment="1">
      <alignment horizontal="center" vertical="center" wrapText="1"/>
    </xf>
    <xf numFmtId="0" fontId="12" fillId="27" borderId="16" xfId="0" applyFont="1" applyFill="1" applyBorder="1" applyAlignment="1">
      <alignment horizontal="center" vertical="center" wrapText="1"/>
    </xf>
    <xf numFmtId="0" fontId="12" fillId="27" borderId="90" xfId="0" applyFont="1" applyFill="1" applyBorder="1" applyAlignment="1">
      <alignment horizontal="center" vertical="center" wrapText="1"/>
    </xf>
    <xf numFmtId="0" fontId="12" fillId="27" borderId="78" xfId="0" applyFont="1" applyFill="1" applyBorder="1" applyAlignment="1">
      <alignment horizontal="center" vertical="center" wrapText="1"/>
    </xf>
    <xf numFmtId="0" fontId="12" fillId="27" borderId="11" xfId="0" applyFont="1" applyFill="1" applyBorder="1" applyAlignment="1">
      <alignment horizontal="center" vertical="center" wrapText="1"/>
    </xf>
    <xf numFmtId="0" fontId="12" fillId="27" borderId="79" xfId="0" applyFont="1" applyFill="1" applyBorder="1" applyAlignment="1">
      <alignment horizontal="center" vertical="center" wrapText="1"/>
    </xf>
    <xf numFmtId="0" fontId="12" fillId="43" borderId="91" xfId="0" applyFont="1" applyFill="1" applyBorder="1" applyAlignment="1">
      <alignment horizontal="center" vertical="center" wrapText="1"/>
    </xf>
    <xf numFmtId="0" fontId="12" fillId="43" borderId="16" xfId="0" applyFont="1" applyFill="1" applyBorder="1" applyAlignment="1">
      <alignment horizontal="center" vertical="center" wrapText="1"/>
    </xf>
    <xf numFmtId="0" fontId="12" fillId="43" borderId="90" xfId="0" applyFont="1" applyFill="1" applyBorder="1" applyAlignment="1">
      <alignment horizontal="center" vertical="center" wrapText="1"/>
    </xf>
    <xf numFmtId="0" fontId="12" fillId="43" borderId="78" xfId="0" applyFont="1" applyFill="1" applyBorder="1" applyAlignment="1">
      <alignment horizontal="center" vertical="center" wrapText="1"/>
    </xf>
    <xf numFmtId="0" fontId="12" fillId="43" borderId="11" xfId="0" applyFont="1" applyFill="1" applyBorder="1" applyAlignment="1">
      <alignment horizontal="center" vertical="center" wrapText="1"/>
    </xf>
    <xf numFmtId="0" fontId="12" fillId="43" borderId="79" xfId="0" applyFont="1" applyFill="1" applyBorder="1" applyAlignment="1">
      <alignment horizontal="center" vertical="center" wrapText="1"/>
    </xf>
    <xf numFmtId="0" fontId="3" fillId="43" borderId="74" xfId="0" applyFont="1" applyFill="1" applyBorder="1" applyAlignment="1">
      <alignment horizontal="center" vertical="center" wrapText="1"/>
    </xf>
    <xf numFmtId="0" fontId="3" fillId="43" borderId="105" xfId="0" applyFont="1" applyFill="1" applyBorder="1" applyAlignment="1">
      <alignment horizontal="center" vertical="center" wrapText="1"/>
    </xf>
    <xf numFmtId="0" fontId="3" fillId="43" borderId="78" xfId="0" applyFont="1" applyFill="1" applyBorder="1" applyAlignment="1">
      <alignment horizontal="center" vertical="center" wrapText="1"/>
    </xf>
    <xf numFmtId="0" fontId="3" fillId="43" borderId="59" xfId="0" applyFont="1" applyFill="1" applyBorder="1" applyAlignment="1">
      <alignment horizontal="center" vertical="center" wrapText="1"/>
    </xf>
    <xf numFmtId="10" fontId="12" fillId="43" borderId="52" xfId="0" applyNumberFormat="1" applyFont="1" applyFill="1" applyBorder="1" applyAlignment="1">
      <alignment horizontal="center" vertical="center"/>
    </xf>
    <xf numFmtId="10" fontId="12" fillId="43" borderId="75" xfId="0" applyNumberFormat="1" applyFont="1" applyFill="1" applyBorder="1" applyAlignment="1">
      <alignment horizontal="center" vertical="center"/>
    </xf>
    <xf numFmtId="10" fontId="12" fillId="43" borderId="11" xfId="0" applyNumberFormat="1" applyFont="1" applyFill="1" applyBorder="1" applyAlignment="1">
      <alignment horizontal="center" vertical="center"/>
    </xf>
    <xf numFmtId="10" fontId="12" fillId="43" borderId="79" xfId="0" applyNumberFormat="1" applyFont="1" applyFill="1" applyBorder="1" applyAlignment="1">
      <alignment horizontal="center" vertical="center"/>
    </xf>
    <xf numFmtId="0" fontId="3" fillId="27" borderId="105" xfId="0" applyFont="1" applyFill="1" applyBorder="1" applyAlignment="1">
      <alignment horizontal="center" vertical="center" wrapText="1"/>
    </xf>
    <xf numFmtId="0" fontId="3" fillId="27" borderId="78" xfId="0" applyFont="1" applyFill="1" applyBorder="1" applyAlignment="1">
      <alignment horizontal="center" vertical="center" wrapText="1"/>
    </xf>
    <xf numFmtId="0" fontId="3" fillId="27" borderId="59" xfId="0" applyFont="1" applyFill="1" applyBorder="1" applyAlignment="1">
      <alignment horizontal="center" vertical="center" wrapText="1"/>
    </xf>
    <xf numFmtId="0" fontId="4" fillId="39" borderId="80" xfId="0" applyFont="1" applyFill="1" applyBorder="1" applyAlignment="1">
      <alignment horizontal="center" vertical="center" textRotation="90"/>
    </xf>
    <xf numFmtId="0" fontId="4" fillId="39" borderId="84" xfId="0" applyFont="1" applyFill="1" applyBorder="1" applyAlignment="1">
      <alignment horizontal="center" vertical="center" textRotation="90"/>
    </xf>
    <xf numFmtId="0" fontId="169" fillId="39" borderId="80" xfId="0" applyFont="1" applyFill="1" applyBorder="1" applyAlignment="1">
      <alignment horizontal="center" vertical="center" textRotation="90"/>
    </xf>
    <xf numFmtId="0" fontId="169" fillId="39" borderId="84" xfId="0" applyFont="1" applyFill="1" applyBorder="1" applyAlignment="1">
      <alignment horizontal="center" vertical="center" textRotation="90"/>
    </xf>
    <xf numFmtId="0" fontId="181" fillId="0" borderId="0" xfId="0" applyFont="1" applyAlignment="1">
      <alignment horizontal="center" vertical="center"/>
    </xf>
    <xf numFmtId="0" fontId="12" fillId="35" borderId="91" xfId="0" applyFont="1" applyFill="1" applyBorder="1" applyAlignment="1">
      <alignment horizontal="center" vertical="center" wrapText="1"/>
    </xf>
    <xf numFmtId="0" fontId="12" fillId="35" borderId="16" xfId="0" applyFont="1" applyFill="1" applyBorder="1" applyAlignment="1">
      <alignment horizontal="center" vertical="center" wrapText="1"/>
    </xf>
    <xf numFmtId="0" fontId="12" fillId="35" borderId="90" xfId="0" applyFont="1" applyFill="1" applyBorder="1" applyAlignment="1">
      <alignment horizontal="center" vertical="center" wrapText="1"/>
    </xf>
    <xf numFmtId="0" fontId="12" fillId="35" borderId="78" xfId="0" applyFont="1" applyFill="1" applyBorder="1" applyAlignment="1">
      <alignment horizontal="center" vertical="center" wrapText="1"/>
    </xf>
    <xf numFmtId="0" fontId="12" fillId="35" borderId="11" xfId="0" applyFont="1" applyFill="1" applyBorder="1" applyAlignment="1">
      <alignment horizontal="center" vertical="center" wrapText="1"/>
    </xf>
    <xf numFmtId="0" fontId="12" fillId="35" borderId="79" xfId="0" applyFont="1" applyFill="1" applyBorder="1" applyAlignment="1">
      <alignment horizontal="center" vertical="center" wrapText="1"/>
    </xf>
    <xf numFmtId="0" fontId="3" fillId="83" borderId="74" xfId="0" applyFont="1" applyFill="1" applyBorder="1" applyAlignment="1">
      <alignment horizontal="center" vertical="center" wrapText="1"/>
    </xf>
    <xf numFmtId="0" fontId="3" fillId="83" borderId="105" xfId="0" applyFont="1" applyFill="1" applyBorder="1" applyAlignment="1">
      <alignment horizontal="center" vertical="center" wrapText="1"/>
    </xf>
    <xf numFmtId="0" fontId="3" fillId="83" borderId="78" xfId="0" applyFont="1" applyFill="1" applyBorder="1" applyAlignment="1">
      <alignment horizontal="center" vertical="center" wrapText="1"/>
    </xf>
    <xf numFmtId="0" fontId="3" fillId="83" borderId="59" xfId="0" applyFont="1" applyFill="1" applyBorder="1" applyAlignment="1">
      <alignment horizontal="center" vertical="center" wrapText="1"/>
    </xf>
    <xf numFmtId="10" fontId="12" fillId="83" borderId="52" xfId="0" applyNumberFormat="1" applyFont="1" applyFill="1" applyBorder="1" applyAlignment="1">
      <alignment horizontal="center" vertical="center"/>
    </xf>
    <xf numFmtId="10" fontId="12" fillId="83" borderId="75" xfId="0" applyNumberFormat="1" applyFont="1" applyFill="1" applyBorder="1" applyAlignment="1">
      <alignment horizontal="center" vertical="center"/>
    </xf>
    <xf numFmtId="10" fontId="12" fillId="83" borderId="11" xfId="0" applyNumberFormat="1" applyFont="1" applyFill="1" applyBorder="1" applyAlignment="1">
      <alignment horizontal="center" vertical="center"/>
    </xf>
    <xf numFmtId="10" fontId="12" fillId="83" borderId="79" xfId="0" applyNumberFormat="1" applyFont="1" applyFill="1" applyBorder="1" applyAlignment="1">
      <alignment horizontal="center" vertical="center"/>
    </xf>
    <xf numFmtId="0" fontId="3" fillId="35" borderId="74" xfId="0" applyFont="1" applyFill="1" applyBorder="1" applyAlignment="1">
      <alignment horizontal="center" vertical="center" wrapText="1"/>
    </xf>
    <xf numFmtId="0" fontId="3" fillId="35" borderId="105" xfId="0" applyFont="1" applyFill="1" applyBorder="1" applyAlignment="1">
      <alignment horizontal="center" vertical="center" wrapText="1"/>
    </xf>
    <xf numFmtId="0" fontId="3" fillId="35" borderId="78" xfId="0" applyFont="1" applyFill="1" applyBorder="1" applyAlignment="1">
      <alignment horizontal="center" vertical="center" wrapText="1"/>
    </xf>
    <xf numFmtId="0" fontId="3" fillId="35" borderId="59" xfId="0" applyFont="1" applyFill="1" applyBorder="1" applyAlignment="1">
      <alignment horizontal="center" vertical="center" wrapText="1"/>
    </xf>
    <xf numFmtId="0" fontId="5" fillId="169" borderId="108" xfId="0" applyFont="1" applyFill="1" applyBorder="1" applyAlignment="1">
      <alignment horizontal="center" vertical="center"/>
    </xf>
    <xf numFmtId="0" fontId="5" fillId="169" borderId="109" xfId="0" applyFont="1" applyFill="1" applyBorder="1" applyAlignment="1">
      <alignment horizontal="center" vertical="center"/>
    </xf>
    <xf numFmtId="10" fontId="3" fillId="169" borderId="109" xfId="0" applyNumberFormat="1" applyFont="1" applyFill="1" applyBorder="1" applyAlignment="1">
      <alignment horizontal="center" vertical="center"/>
    </xf>
    <xf numFmtId="10" fontId="3" fillId="169" borderId="110" xfId="0" applyNumberFormat="1" applyFont="1" applyFill="1" applyBorder="1" applyAlignment="1">
      <alignment horizontal="center" vertical="center"/>
    </xf>
    <xf numFmtId="0" fontId="3" fillId="169" borderId="91" xfId="0" applyFont="1" applyFill="1" applyBorder="1" applyAlignment="1">
      <alignment horizontal="center" vertical="center"/>
    </xf>
    <xf numFmtId="0" fontId="3" fillId="169" borderId="16" xfId="0" applyFont="1" applyFill="1" applyBorder="1" applyAlignment="1">
      <alignment horizontal="center" vertical="center"/>
    </xf>
    <xf numFmtId="0" fontId="3" fillId="169" borderId="90" xfId="0" applyFont="1" applyFill="1" applyBorder="1" applyAlignment="1">
      <alignment horizontal="center" vertical="center"/>
    </xf>
    <xf numFmtId="0" fontId="3" fillId="169" borderId="76" xfId="0" applyFont="1" applyFill="1" applyBorder="1" applyAlignment="1">
      <alignment horizontal="center" vertical="center"/>
    </xf>
    <xf numFmtId="0" fontId="3" fillId="169" borderId="0" xfId="0" applyFont="1" applyFill="1" applyAlignment="1">
      <alignment horizontal="center" vertical="center"/>
    </xf>
    <xf numFmtId="0" fontId="3" fillId="169" borderId="77" xfId="0" applyFont="1" applyFill="1" applyBorder="1" applyAlignment="1">
      <alignment horizontal="center" vertical="center"/>
    </xf>
    <xf numFmtId="0" fontId="3" fillId="169" borderId="78" xfId="0" applyFont="1" applyFill="1" applyBorder="1" applyAlignment="1">
      <alignment horizontal="center" vertical="center"/>
    </xf>
    <xf numFmtId="0" fontId="3" fillId="169" borderId="11" xfId="0" applyFont="1" applyFill="1" applyBorder="1" applyAlignment="1">
      <alignment horizontal="center" vertical="center"/>
    </xf>
    <xf numFmtId="0" fontId="3" fillId="169" borderId="79" xfId="0" applyFont="1" applyFill="1" applyBorder="1" applyAlignment="1">
      <alignment horizontal="center" vertical="center"/>
    </xf>
    <xf numFmtId="0" fontId="3" fillId="170" borderId="80" xfId="0" applyFont="1" applyFill="1" applyBorder="1" applyAlignment="1">
      <alignment horizontal="center" vertical="center" textRotation="90"/>
    </xf>
    <xf numFmtId="0" fontId="3" fillId="170" borderId="84" xfId="0" applyFont="1" applyFill="1" applyBorder="1" applyAlignment="1">
      <alignment horizontal="center" vertical="center" textRotation="90"/>
    </xf>
    <xf numFmtId="16" fontId="82" fillId="0" borderId="0" xfId="0" applyNumberFormat="1" applyFont="1" applyAlignment="1">
      <alignment horizontal="center" vertical="center" wrapText="1"/>
    </xf>
    <xf numFmtId="0" fontId="3" fillId="43" borderId="91" xfId="0" applyFont="1" applyFill="1" applyBorder="1" applyAlignment="1">
      <alignment horizontal="center" vertical="center"/>
    </xf>
    <xf numFmtId="0" fontId="3" fillId="43" borderId="16" xfId="0" applyFont="1" applyFill="1" applyBorder="1" applyAlignment="1">
      <alignment horizontal="center" vertical="center"/>
    </xf>
    <xf numFmtId="0" fontId="3" fillId="43" borderId="90" xfId="0" applyFont="1" applyFill="1" applyBorder="1" applyAlignment="1">
      <alignment horizontal="center" vertical="center"/>
    </xf>
    <xf numFmtId="0" fontId="3" fillId="43" borderId="76" xfId="0" applyFont="1" applyFill="1" applyBorder="1" applyAlignment="1">
      <alignment horizontal="center" vertical="center"/>
    </xf>
    <xf numFmtId="0" fontId="3" fillId="43" borderId="0" xfId="0" applyFont="1" applyFill="1" applyAlignment="1">
      <alignment horizontal="center" vertical="center"/>
    </xf>
    <xf numFmtId="0" fontId="3" fillId="43" borderId="77" xfId="0" applyFont="1" applyFill="1" applyBorder="1" applyAlignment="1">
      <alignment horizontal="center" vertical="center"/>
    </xf>
    <xf numFmtId="0" fontId="3" fillId="43" borderId="78" xfId="0" applyFont="1" applyFill="1" applyBorder="1" applyAlignment="1">
      <alignment horizontal="center" vertical="center"/>
    </xf>
    <xf numFmtId="0" fontId="3" fillId="43" borderId="11" xfId="0" applyFont="1" applyFill="1" applyBorder="1" applyAlignment="1">
      <alignment horizontal="center" vertical="center"/>
    </xf>
    <xf numFmtId="0" fontId="3" fillId="43" borderId="79" xfId="0" applyFont="1" applyFill="1" applyBorder="1" applyAlignment="1">
      <alignment horizontal="center" vertical="center"/>
    </xf>
    <xf numFmtId="0" fontId="3" fillId="83" borderId="91" xfId="0" applyFont="1" applyFill="1" applyBorder="1" applyAlignment="1">
      <alignment horizontal="center" vertical="center"/>
    </xf>
    <xf numFmtId="0" fontId="3" fillId="83" borderId="16" xfId="0" applyFont="1" applyFill="1" applyBorder="1" applyAlignment="1">
      <alignment horizontal="center" vertical="center"/>
    </xf>
    <xf numFmtId="0" fontId="3" fillId="83" borderId="90" xfId="0" applyFont="1" applyFill="1" applyBorder="1" applyAlignment="1">
      <alignment horizontal="center" vertical="center"/>
    </xf>
    <xf numFmtId="0" fontId="3" fillId="83" borderId="76" xfId="0" applyFont="1" applyFill="1" applyBorder="1" applyAlignment="1">
      <alignment horizontal="center" vertical="center"/>
    </xf>
    <xf numFmtId="0" fontId="3" fillId="83" borderId="0" xfId="0" applyFont="1" applyFill="1" applyAlignment="1">
      <alignment horizontal="center" vertical="center"/>
    </xf>
    <xf numFmtId="0" fontId="3" fillId="83" borderId="77" xfId="0" applyFont="1" applyFill="1" applyBorder="1" applyAlignment="1">
      <alignment horizontal="center" vertical="center"/>
    </xf>
    <xf numFmtId="0" fontId="3" fillId="83" borderId="78" xfId="0" applyFont="1" applyFill="1" applyBorder="1" applyAlignment="1">
      <alignment horizontal="center" vertical="center"/>
    </xf>
    <xf numFmtId="0" fontId="3" fillId="83" borderId="11" xfId="0" applyFont="1" applyFill="1" applyBorder="1" applyAlignment="1">
      <alignment horizontal="center" vertical="center"/>
    </xf>
    <xf numFmtId="0" fontId="3" fillId="83" borderId="79" xfId="0" applyFont="1" applyFill="1" applyBorder="1" applyAlignment="1">
      <alignment horizontal="center" vertical="center"/>
    </xf>
    <xf numFmtId="0" fontId="3" fillId="42" borderId="80" xfId="0" applyFont="1" applyFill="1" applyBorder="1" applyAlignment="1">
      <alignment horizontal="center" vertical="center" textRotation="90"/>
    </xf>
    <xf numFmtId="0" fontId="3" fillId="42" borderId="84" xfId="0" applyFont="1" applyFill="1" applyBorder="1" applyAlignment="1">
      <alignment horizontal="center" vertical="center" textRotation="90"/>
    </xf>
    <xf numFmtId="0" fontId="5" fillId="43" borderId="108" xfId="0" applyFont="1" applyFill="1" applyBorder="1" applyAlignment="1">
      <alignment horizontal="center" vertical="center"/>
    </xf>
    <xf numFmtId="0" fontId="5" fillId="43" borderId="109" xfId="0" applyFont="1" applyFill="1" applyBorder="1" applyAlignment="1">
      <alignment horizontal="center" vertical="center"/>
    </xf>
    <xf numFmtId="10" fontId="3" fillId="43" borderId="109" xfId="0" applyNumberFormat="1" applyFont="1" applyFill="1" applyBorder="1" applyAlignment="1">
      <alignment horizontal="center" vertical="center"/>
    </xf>
    <xf numFmtId="10" fontId="3" fillId="43" borderId="110" xfId="0" applyNumberFormat="1" applyFont="1" applyFill="1" applyBorder="1" applyAlignment="1">
      <alignment horizontal="center" vertical="center"/>
    </xf>
    <xf numFmtId="0" fontId="3" fillId="62" borderId="91" xfId="0" applyFont="1" applyFill="1" applyBorder="1" applyAlignment="1">
      <alignment horizontal="center" vertical="center"/>
    </xf>
    <xf numFmtId="0" fontId="3" fillId="62" borderId="16" xfId="0" applyFont="1" applyFill="1" applyBorder="1" applyAlignment="1">
      <alignment horizontal="center" vertical="center"/>
    </xf>
    <xf numFmtId="0" fontId="3" fillId="62" borderId="90" xfId="0" applyFont="1" applyFill="1" applyBorder="1" applyAlignment="1">
      <alignment horizontal="center" vertical="center"/>
    </xf>
    <xf numFmtId="0" fontId="3" fillId="62" borderId="76" xfId="0" applyFont="1" applyFill="1" applyBorder="1" applyAlignment="1">
      <alignment horizontal="center" vertical="center"/>
    </xf>
    <xf numFmtId="0" fontId="3" fillId="62" borderId="0" xfId="0" applyFont="1" applyFill="1" applyAlignment="1">
      <alignment horizontal="center" vertical="center"/>
    </xf>
    <xf numFmtId="0" fontId="3" fillId="62" borderId="77" xfId="0" applyFont="1" applyFill="1" applyBorder="1" applyAlignment="1">
      <alignment horizontal="center" vertical="center"/>
    </xf>
    <xf numFmtId="0" fontId="3" fillId="62" borderId="78" xfId="0" applyFont="1" applyFill="1" applyBorder="1" applyAlignment="1">
      <alignment horizontal="center" vertical="center"/>
    </xf>
    <xf numFmtId="0" fontId="3" fillId="62" borderId="11" xfId="0" applyFont="1" applyFill="1" applyBorder="1" applyAlignment="1">
      <alignment horizontal="center" vertical="center"/>
    </xf>
    <xf numFmtId="0" fontId="3" fillId="62" borderId="79" xfId="0" applyFont="1" applyFill="1" applyBorder="1" applyAlignment="1">
      <alignment horizontal="center" vertical="center"/>
    </xf>
    <xf numFmtId="0" fontId="3" fillId="173" borderId="91" xfId="0" applyFont="1" applyFill="1" applyBorder="1" applyAlignment="1">
      <alignment horizontal="center" vertical="center"/>
    </xf>
    <xf numFmtId="0" fontId="3" fillId="173" borderId="16" xfId="0" applyFont="1" applyFill="1" applyBorder="1" applyAlignment="1">
      <alignment horizontal="center" vertical="center"/>
    </xf>
    <xf numFmtId="0" fontId="3" fillId="173" borderId="90" xfId="0" applyFont="1" applyFill="1" applyBorder="1" applyAlignment="1">
      <alignment horizontal="center" vertical="center"/>
    </xf>
    <xf numFmtId="0" fontId="3" fillId="173" borderId="76" xfId="0" applyFont="1" applyFill="1" applyBorder="1" applyAlignment="1">
      <alignment horizontal="center" vertical="center"/>
    </xf>
    <xf numFmtId="0" fontId="3" fillId="173" borderId="0" xfId="0" applyFont="1" applyFill="1" applyAlignment="1">
      <alignment horizontal="center" vertical="center"/>
    </xf>
    <xf numFmtId="0" fontId="3" fillId="173" borderId="77" xfId="0" applyFont="1" applyFill="1" applyBorder="1" applyAlignment="1">
      <alignment horizontal="center" vertical="center"/>
    </xf>
    <xf numFmtId="0" fontId="3" fillId="173" borderId="78" xfId="0" applyFont="1" applyFill="1" applyBorder="1" applyAlignment="1">
      <alignment horizontal="center" vertical="center"/>
    </xf>
    <xf numFmtId="0" fontId="3" fillId="173" borderId="11" xfId="0" applyFont="1" applyFill="1" applyBorder="1" applyAlignment="1">
      <alignment horizontal="center" vertical="center"/>
    </xf>
    <xf numFmtId="0" fontId="3" fillId="173" borderId="79" xfId="0" applyFont="1" applyFill="1" applyBorder="1" applyAlignment="1">
      <alignment horizontal="center" vertical="center"/>
    </xf>
    <xf numFmtId="0" fontId="5" fillId="173" borderId="108" xfId="0" applyFont="1" applyFill="1" applyBorder="1" applyAlignment="1">
      <alignment horizontal="center" vertical="center"/>
    </xf>
    <xf numFmtId="0" fontId="5" fillId="173" borderId="109" xfId="0" applyFont="1" applyFill="1" applyBorder="1" applyAlignment="1">
      <alignment horizontal="center" vertical="center"/>
    </xf>
    <xf numFmtId="10" fontId="3" fillId="173" borderId="109" xfId="0" applyNumberFormat="1" applyFont="1" applyFill="1" applyBorder="1" applyAlignment="1">
      <alignment horizontal="center" vertical="center"/>
    </xf>
    <xf numFmtId="10" fontId="3" fillId="173" borderId="110" xfId="0" applyNumberFormat="1" applyFont="1" applyFill="1" applyBorder="1" applyAlignment="1">
      <alignment horizontal="center" vertical="center"/>
    </xf>
    <xf numFmtId="0" fontId="3" fillId="174" borderId="80" xfId="0" applyFont="1" applyFill="1" applyBorder="1" applyAlignment="1">
      <alignment horizontal="center" vertical="center" textRotation="90"/>
    </xf>
    <xf numFmtId="0" fontId="3" fillId="174" borderId="84" xfId="0" applyFont="1" applyFill="1" applyBorder="1" applyAlignment="1">
      <alignment horizontal="center" vertical="center" textRotation="90"/>
    </xf>
    <xf numFmtId="0" fontId="3" fillId="152" borderId="91" xfId="0" applyFont="1" applyFill="1" applyBorder="1" applyAlignment="1">
      <alignment horizontal="center" vertical="center"/>
    </xf>
    <xf numFmtId="0" fontId="3" fillId="152" borderId="16" xfId="0" applyFont="1" applyFill="1" applyBorder="1" applyAlignment="1">
      <alignment horizontal="center" vertical="center"/>
    </xf>
    <xf numFmtId="0" fontId="3" fillId="152" borderId="90" xfId="0" applyFont="1" applyFill="1" applyBorder="1" applyAlignment="1">
      <alignment horizontal="center" vertical="center"/>
    </xf>
    <xf numFmtId="0" fontId="3" fillId="152" borderId="76" xfId="0" applyFont="1" applyFill="1" applyBorder="1" applyAlignment="1">
      <alignment horizontal="center" vertical="center"/>
    </xf>
    <xf numFmtId="0" fontId="3" fillId="152" borderId="0" xfId="0" applyFont="1" applyFill="1" applyAlignment="1">
      <alignment horizontal="center" vertical="center"/>
    </xf>
    <xf numFmtId="0" fontId="3" fillId="152" borderId="77" xfId="0" applyFont="1" applyFill="1" applyBorder="1" applyAlignment="1">
      <alignment horizontal="center" vertical="center"/>
    </xf>
    <xf numFmtId="0" fontId="3" fillId="152" borderId="78" xfId="0" applyFont="1" applyFill="1" applyBorder="1" applyAlignment="1">
      <alignment horizontal="center" vertical="center"/>
    </xf>
    <xf numFmtId="0" fontId="3" fillId="152" borderId="11" xfId="0" applyFont="1" applyFill="1" applyBorder="1" applyAlignment="1">
      <alignment horizontal="center" vertical="center"/>
    </xf>
    <xf numFmtId="0" fontId="3" fillId="152" borderId="79" xfId="0" applyFont="1" applyFill="1" applyBorder="1" applyAlignment="1">
      <alignment horizontal="center" vertical="center"/>
    </xf>
    <xf numFmtId="0" fontId="5" fillId="99" borderId="108" xfId="0" applyFont="1" applyFill="1" applyBorder="1" applyAlignment="1">
      <alignment horizontal="center" vertical="center"/>
    </xf>
    <xf numFmtId="0" fontId="5" fillId="99" borderId="109" xfId="0" applyFont="1" applyFill="1" applyBorder="1" applyAlignment="1">
      <alignment horizontal="center" vertical="center"/>
    </xf>
    <xf numFmtId="10" fontId="3" fillId="99" borderId="109" xfId="0" applyNumberFormat="1" applyFont="1" applyFill="1" applyBorder="1" applyAlignment="1">
      <alignment horizontal="center" vertical="center"/>
    </xf>
    <xf numFmtId="10" fontId="3" fillId="99" borderId="110" xfId="0" applyNumberFormat="1" applyFont="1" applyFill="1" applyBorder="1" applyAlignment="1">
      <alignment horizontal="center" vertical="center"/>
    </xf>
    <xf numFmtId="0" fontId="3" fillId="100" borderId="80" xfId="0" applyFont="1" applyFill="1" applyBorder="1" applyAlignment="1">
      <alignment horizontal="center" vertical="center" textRotation="90"/>
    </xf>
    <xf numFmtId="0" fontId="3" fillId="100" borderId="84" xfId="0" applyFont="1" applyFill="1" applyBorder="1" applyAlignment="1">
      <alignment horizontal="center" vertical="center" textRotation="90"/>
    </xf>
    <xf numFmtId="0" fontId="5" fillId="110" borderId="108" xfId="0" applyFont="1" applyFill="1" applyBorder="1" applyAlignment="1">
      <alignment horizontal="center" vertical="center"/>
    </xf>
    <xf numFmtId="0" fontId="5" fillId="110" borderId="109" xfId="0" applyFont="1" applyFill="1" applyBorder="1" applyAlignment="1">
      <alignment horizontal="center" vertical="center"/>
    </xf>
    <xf numFmtId="10" fontId="3" fillId="110" borderId="109" xfId="0" applyNumberFormat="1" applyFont="1" applyFill="1" applyBorder="1" applyAlignment="1">
      <alignment horizontal="center" vertical="center"/>
    </xf>
    <xf numFmtId="10" fontId="3" fillId="110" borderId="110" xfId="0" applyNumberFormat="1" applyFont="1" applyFill="1" applyBorder="1" applyAlignment="1">
      <alignment horizontal="center" vertical="center"/>
    </xf>
    <xf numFmtId="0" fontId="3" fillId="113" borderId="80" xfId="0" applyFont="1" applyFill="1" applyBorder="1" applyAlignment="1">
      <alignment horizontal="center" vertical="center" textRotation="90"/>
    </xf>
    <xf numFmtId="0" fontId="3" fillId="113" borderId="84" xfId="0" applyFont="1" applyFill="1" applyBorder="1" applyAlignment="1">
      <alignment horizontal="center" vertical="center" textRotation="90"/>
    </xf>
    <xf numFmtId="0" fontId="3" fillId="111" borderId="80" xfId="0" applyFont="1" applyFill="1" applyBorder="1" applyAlignment="1">
      <alignment horizontal="center" vertical="center" textRotation="90"/>
    </xf>
    <xf numFmtId="0" fontId="3" fillId="111" borderId="84" xfId="0" applyFont="1" applyFill="1" applyBorder="1" applyAlignment="1">
      <alignment horizontal="center" vertical="center" textRotation="90"/>
    </xf>
    <xf numFmtId="0" fontId="35" fillId="0" borderId="0" xfId="0" applyFont="1" applyAlignment="1">
      <alignment horizontal="center" vertical="top"/>
    </xf>
    <xf numFmtId="0" fontId="35" fillId="0" borderId="11" xfId="0" applyFont="1" applyBorder="1" applyAlignment="1">
      <alignment horizontal="center" vertical="top"/>
    </xf>
    <xf numFmtId="0" fontId="12" fillId="27" borderId="76" xfId="0" applyFont="1" applyFill="1" applyBorder="1" applyAlignment="1">
      <alignment horizontal="center" vertical="center" wrapText="1"/>
    </xf>
    <xf numFmtId="0" fontId="12" fillId="27" borderId="0" xfId="0" applyFont="1" applyFill="1" applyAlignment="1">
      <alignment horizontal="center" vertical="center" wrapText="1"/>
    </xf>
    <xf numFmtId="0" fontId="12" fillId="27" borderId="77" xfId="0" applyFont="1" applyFill="1" applyBorder="1" applyAlignment="1">
      <alignment horizontal="center" vertical="center" wrapText="1"/>
    </xf>
    <xf numFmtId="0" fontId="15" fillId="105" borderId="80" xfId="0" applyFont="1" applyFill="1" applyBorder="1" applyAlignment="1">
      <alignment horizontal="center" vertical="center" textRotation="90"/>
    </xf>
    <xf numFmtId="0" fontId="15" fillId="105" borderId="84" xfId="0" applyFont="1" applyFill="1" applyBorder="1" applyAlignment="1">
      <alignment horizontal="center" vertical="center" textRotation="90"/>
    </xf>
    <xf numFmtId="0" fontId="5" fillId="104" borderId="74" xfId="0" applyFont="1" applyFill="1" applyBorder="1" applyAlignment="1">
      <alignment horizontal="center" vertical="center" wrapText="1"/>
    </xf>
    <xf numFmtId="0" fontId="5" fillId="104" borderId="52" xfId="0" applyFont="1" applyFill="1" applyBorder="1" applyAlignment="1">
      <alignment horizontal="center" vertical="center" wrapText="1"/>
    </xf>
    <xf numFmtId="10" fontId="6" fillId="104" borderId="52" xfId="0" applyNumberFormat="1" applyFont="1" applyFill="1" applyBorder="1" applyAlignment="1">
      <alignment horizontal="center" vertical="center"/>
    </xf>
    <xf numFmtId="10" fontId="6" fillId="104" borderId="75" xfId="0" applyNumberFormat="1" applyFont="1" applyFill="1" applyBorder="1" applyAlignment="1">
      <alignment horizontal="center" vertical="center"/>
    </xf>
    <xf numFmtId="0" fontId="5" fillId="99" borderId="74" xfId="0" applyFont="1" applyFill="1" applyBorder="1" applyAlignment="1">
      <alignment horizontal="center" vertical="center" wrapText="1"/>
    </xf>
    <xf numFmtId="0" fontId="5" fillId="99" borderId="52" xfId="0" applyFont="1" applyFill="1" applyBorder="1" applyAlignment="1">
      <alignment horizontal="center" vertical="center" wrapText="1"/>
    </xf>
    <xf numFmtId="0" fontId="174" fillId="37" borderId="81" xfId="0" applyFont="1" applyFill="1" applyBorder="1" applyAlignment="1">
      <alignment horizontal="center" vertical="center"/>
    </xf>
    <xf numFmtId="0" fontId="174" fillId="37" borderId="82" xfId="0" applyFont="1" applyFill="1" applyBorder="1" applyAlignment="1">
      <alignment horizontal="center" vertical="center"/>
    </xf>
    <xf numFmtId="0" fontId="174" fillId="37" borderId="83" xfId="0" applyFont="1" applyFill="1" applyBorder="1" applyAlignment="1">
      <alignment horizontal="center" vertical="center"/>
    </xf>
    <xf numFmtId="0" fontId="15" fillId="100" borderId="80" xfId="0" applyFont="1" applyFill="1" applyBorder="1" applyAlignment="1">
      <alignment horizontal="center" vertical="center" textRotation="90"/>
    </xf>
    <xf numFmtId="0" fontId="15" fillId="100" borderId="84" xfId="0" applyFont="1" applyFill="1" applyBorder="1" applyAlignment="1">
      <alignment horizontal="center" vertical="center" textRotation="90"/>
    </xf>
    <xf numFmtId="10" fontId="6" fillId="99" borderId="52" xfId="0" applyNumberFormat="1" applyFont="1" applyFill="1" applyBorder="1" applyAlignment="1">
      <alignment horizontal="center" vertical="center"/>
    </xf>
    <xf numFmtId="10" fontId="6" fillId="99" borderId="75" xfId="0" applyNumberFormat="1" applyFont="1" applyFill="1" applyBorder="1" applyAlignment="1">
      <alignment horizontal="center" vertical="center"/>
    </xf>
    <xf numFmtId="0" fontId="192" fillId="37" borderId="81" xfId="0" applyFont="1" applyFill="1" applyBorder="1" applyAlignment="1">
      <alignment horizontal="center" vertical="center"/>
    </xf>
    <xf numFmtId="0" fontId="192" fillId="37" borderId="82" xfId="0" applyFont="1" applyFill="1" applyBorder="1" applyAlignment="1">
      <alignment horizontal="center" vertical="center"/>
    </xf>
    <xf numFmtId="0" fontId="192" fillId="37" borderId="83" xfId="0" applyFont="1" applyFill="1" applyBorder="1" applyAlignment="1">
      <alignment horizontal="center" vertical="center"/>
    </xf>
    <xf numFmtId="10" fontId="6" fillId="115" borderId="109" xfId="0" applyNumberFormat="1" applyFont="1" applyFill="1" applyBorder="1" applyAlignment="1">
      <alignment horizontal="center" vertical="center"/>
    </xf>
    <xf numFmtId="10" fontId="6" fillId="115" borderId="110" xfId="0" applyNumberFormat="1" applyFont="1" applyFill="1" applyBorder="1" applyAlignment="1">
      <alignment horizontal="center" vertical="center"/>
    </xf>
    <xf numFmtId="0" fontId="5" fillId="115" borderId="108" xfId="0" applyFont="1" applyFill="1" applyBorder="1" applyAlignment="1">
      <alignment horizontal="center" vertical="center" wrapText="1"/>
    </xf>
    <xf numFmtId="0" fontId="5" fillId="115" borderId="109" xfId="0" applyFont="1" applyFill="1" applyBorder="1" applyAlignment="1">
      <alignment horizontal="center" vertical="center" wrapText="1"/>
    </xf>
    <xf numFmtId="0" fontId="5" fillId="22" borderId="108" xfId="0" applyFont="1" applyFill="1" applyBorder="1" applyAlignment="1">
      <alignment horizontal="center" vertical="center" wrapText="1"/>
    </xf>
    <xf numFmtId="0" fontId="5" fillId="22" borderId="109" xfId="0" applyFont="1" applyFill="1" applyBorder="1" applyAlignment="1">
      <alignment horizontal="center" vertical="center" wrapText="1"/>
    </xf>
    <xf numFmtId="10" fontId="6" fillId="22" borderId="109" xfId="0" applyNumberFormat="1" applyFont="1" applyFill="1" applyBorder="1" applyAlignment="1">
      <alignment horizontal="center" vertical="center"/>
    </xf>
    <xf numFmtId="10" fontId="6" fillId="22" borderId="110" xfId="0" applyNumberFormat="1" applyFont="1" applyFill="1" applyBorder="1" applyAlignment="1">
      <alignment horizontal="center" vertical="center"/>
    </xf>
    <xf numFmtId="0" fontId="15" fillId="114" borderId="80" xfId="0" applyFont="1" applyFill="1" applyBorder="1" applyAlignment="1">
      <alignment horizontal="center" vertical="center" textRotation="90"/>
    </xf>
    <xf numFmtId="0" fontId="15" fillId="114" borderId="84" xfId="0" applyFont="1" applyFill="1" applyBorder="1" applyAlignment="1">
      <alignment horizontal="center" vertical="center" textRotation="90"/>
    </xf>
    <xf numFmtId="0" fontId="15" fillId="40" borderId="80" xfId="0" applyFont="1" applyFill="1" applyBorder="1" applyAlignment="1">
      <alignment horizontal="center" vertical="center" textRotation="90"/>
    </xf>
    <xf numFmtId="0" fontId="15" fillId="40" borderId="84" xfId="0" applyFont="1" applyFill="1" applyBorder="1" applyAlignment="1">
      <alignment horizontal="center" vertical="center" textRotation="90"/>
    </xf>
    <xf numFmtId="0" fontId="5" fillId="41" borderId="108" xfId="0" applyFont="1" applyFill="1" applyBorder="1" applyAlignment="1">
      <alignment horizontal="center" vertical="center" wrapText="1"/>
    </xf>
    <xf numFmtId="0" fontId="5" fillId="41" borderId="109" xfId="0" applyFont="1" applyFill="1" applyBorder="1" applyAlignment="1">
      <alignment horizontal="center" vertical="center" wrapText="1"/>
    </xf>
    <xf numFmtId="10" fontId="6" fillId="41" borderId="109" xfId="0" applyNumberFormat="1" applyFont="1" applyFill="1" applyBorder="1" applyAlignment="1">
      <alignment horizontal="center" vertical="center"/>
    </xf>
    <xf numFmtId="10" fontId="6" fillId="41" borderId="110" xfId="0" applyNumberFormat="1" applyFont="1" applyFill="1" applyBorder="1" applyAlignment="1">
      <alignment horizontal="center" vertical="center"/>
    </xf>
    <xf numFmtId="0" fontId="176" fillId="175" borderId="80" xfId="0" applyFont="1" applyFill="1" applyBorder="1" applyAlignment="1">
      <alignment horizontal="center" vertical="center" textRotation="90"/>
    </xf>
    <xf numFmtId="0" fontId="176" fillId="175" borderId="84" xfId="0" applyFont="1" applyFill="1" applyBorder="1" applyAlignment="1">
      <alignment horizontal="center" vertical="center" textRotation="90"/>
    </xf>
    <xf numFmtId="0" fontId="9" fillId="152" borderId="91" xfId="0" applyFont="1" applyFill="1" applyBorder="1" applyAlignment="1">
      <alignment horizontal="center" vertical="center"/>
    </xf>
    <xf numFmtId="0" fontId="9" fillId="152" borderId="16" xfId="0" applyFont="1" applyFill="1" applyBorder="1" applyAlignment="1">
      <alignment horizontal="center" vertical="center"/>
    </xf>
    <xf numFmtId="0" fontId="9" fillId="152" borderId="90" xfId="0" applyFont="1" applyFill="1" applyBorder="1" applyAlignment="1">
      <alignment horizontal="center" vertical="center"/>
    </xf>
    <xf numFmtId="0" fontId="9" fillId="152" borderId="76" xfId="0" applyFont="1" applyFill="1" applyBorder="1" applyAlignment="1">
      <alignment horizontal="center" vertical="center"/>
    </xf>
    <xf numFmtId="0" fontId="9" fillId="152" borderId="0" xfId="0" applyFont="1" applyFill="1" applyAlignment="1">
      <alignment horizontal="center" vertical="center"/>
    </xf>
    <xf numFmtId="0" fontId="9" fillId="152" borderId="77" xfId="0" applyFont="1" applyFill="1" applyBorder="1" applyAlignment="1">
      <alignment horizontal="center" vertical="center"/>
    </xf>
    <xf numFmtId="0" fontId="9" fillId="152" borderId="78" xfId="0" applyFont="1" applyFill="1" applyBorder="1" applyAlignment="1">
      <alignment horizontal="center" vertical="center"/>
    </xf>
    <xf numFmtId="0" fontId="9" fillId="152" borderId="11" xfId="0" applyFont="1" applyFill="1" applyBorder="1" applyAlignment="1">
      <alignment horizontal="center" vertical="center"/>
    </xf>
    <xf numFmtId="0" fontId="9" fillId="152" borderId="79" xfId="0" applyFont="1" applyFill="1" applyBorder="1" applyAlignment="1">
      <alignment horizontal="center" vertical="center"/>
    </xf>
    <xf numFmtId="0" fontId="175" fillId="95" borderId="108" xfId="0" applyFont="1" applyFill="1" applyBorder="1" applyAlignment="1">
      <alignment horizontal="center" vertical="center"/>
    </xf>
    <xf numFmtId="0" fontId="175" fillId="95" borderId="109" xfId="0" applyFont="1" applyFill="1" applyBorder="1" applyAlignment="1">
      <alignment horizontal="center" vertical="center"/>
    </xf>
    <xf numFmtId="10" fontId="176" fillId="95" borderId="109" xfId="0" applyNumberFormat="1" applyFont="1" applyFill="1" applyBorder="1" applyAlignment="1">
      <alignment horizontal="center" vertical="center"/>
    </xf>
    <xf numFmtId="10" fontId="176" fillId="95" borderId="110" xfId="0" applyNumberFormat="1" applyFont="1" applyFill="1" applyBorder="1" applyAlignment="1">
      <alignment horizontal="center" vertical="center"/>
    </xf>
    <xf numFmtId="0" fontId="3" fillId="205" borderId="287" xfId="0" applyFont="1" applyFill="1" applyBorder="1" applyAlignment="1">
      <alignment horizontal="center" vertical="center" wrapText="1"/>
    </xf>
    <xf numFmtId="0" fontId="3" fillId="205" borderId="288" xfId="0" applyFont="1" applyFill="1" applyBorder="1" applyAlignment="1">
      <alignment horizontal="center" vertical="center" wrapText="1"/>
    </xf>
    <xf numFmtId="0" fontId="3" fillId="205" borderId="290" xfId="0" applyFont="1" applyFill="1" applyBorder="1" applyAlignment="1">
      <alignment horizontal="center" vertical="center" wrapText="1"/>
    </xf>
    <xf numFmtId="0" fontId="3" fillId="205" borderId="31" xfId="0" applyFont="1" applyFill="1" applyBorder="1" applyAlignment="1">
      <alignment horizontal="center" vertical="center" wrapText="1"/>
    </xf>
    <xf numFmtId="0" fontId="3" fillId="205" borderId="292" xfId="0" applyFont="1" applyFill="1" applyBorder="1" applyAlignment="1">
      <alignment horizontal="center" vertical="center" wrapText="1"/>
    </xf>
    <xf numFmtId="0" fontId="3" fillId="205" borderId="286" xfId="0" applyFont="1" applyFill="1" applyBorder="1" applyAlignment="1">
      <alignment horizontal="center" vertical="center" wrapText="1"/>
    </xf>
    <xf numFmtId="2" fontId="35" fillId="0" borderId="14" xfId="0" applyNumberFormat="1" applyFont="1" applyBorder="1" applyAlignment="1">
      <alignment horizontal="center" vertical="center"/>
    </xf>
    <xf numFmtId="10" fontId="12" fillId="205" borderId="52" xfId="0" applyNumberFormat="1" applyFont="1" applyFill="1" applyBorder="1" applyAlignment="1">
      <alignment horizontal="center" vertical="center"/>
    </xf>
    <xf numFmtId="10" fontId="12" fillId="205" borderId="75" xfId="0" applyNumberFormat="1" applyFont="1" applyFill="1" applyBorder="1" applyAlignment="1">
      <alignment horizontal="center" vertical="center"/>
    </xf>
    <xf numFmtId="0" fontId="47" fillId="0" borderId="0" xfId="0" applyFont="1" applyAlignment="1">
      <alignment horizontal="center" vertical="center" wrapText="1"/>
    </xf>
    <xf numFmtId="10" fontId="3" fillId="205" borderId="288" xfId="0" applyNumberFormat="1" applyFont="1" applyFill="1" applyBorder="1" applyAlignment="1">
      <alignment horizontal="center" vertical="center"/>
    </xf>
    <xf numFmtId="10" fontId="3" fillId="205" borderId="289" xfId="0" applyNumberFormat="1" applyFont="1" applyFill="1" applyBorder="1" applyAlignment="1">
      <alignment horizontal="center" vertical="center"/>
    </xf>
    <xf numFmtId="10" fontId="3" fillId="205" borderId="31" xfId="0" applyNumberFormat="1" applyFont="1" applyFill="1" applyBorder="1" applyAlignment="1">
      <alignment horizontal="center" vertical="center"/>
    </xf>
    <xf numFmtId="10" fontId="3" fillId="205" borderId="291" xfId="0" applyNumberFormat="1" applyFont="1" applyFill="1" applyBorder="1" applyAlignment="1">
      <alignment horizontal="center" vertical="center"/>
    </xf>
    <xf numFmtId="10" fontId="3" fillId="205" borderId="286" xfId="0" applyNumberFormat="1" applyFont="1" applyFill="1" applyBorder="1" applyAlignment="1">
      <alignment horizontal="center" vertical="center"/>
    </xf>
    <xf numFmtId="10" fontId="3" fillId="205" borderId="293" xfId="0" applyNumberFormat="1" applyFont="1" applyFill="1" applyBorder="1" applyAlignment="1">
      <alignment horizontal="center" vertical="center"/>
    </xf>
    <xf numFmtId="0" fontId="5" fillId="205" borderId="74" xfId="0" applyFont="1" applyFill="1" applyBorder="1" applyAlignment="1">
      <alignment horizontal="center" vertical="center" wrapText="1"/>
    </xf>
    <xf numFmtId="0" fontId="5" fillId="205" borderId="52" xfId="0" applyFont="1" applyFill="1" applyBorder="1" applyAlignment="1">
      <alignment horizontal="center" vertical="center" wrapText="1"/>
    </xf>
    <xf numFmtId="0" fontId="39" fillId="176" borderId="81" xfId="0" applyFont="1" applyFill="1" applyBorder="1" applyAlignment="1">
      <alignment horizontal="center" vertical="center"/>
    </xf>
    <xf numFmtId="0" fontId="39" fillId="176" borderId="82" xfId="0" applyFont="1" applyFill="1" applyBorder="1" applyAlignment="1">
      <alignment horizontal="center" vertical="center"/>
    </xf>
    <xf numFmtId="0" fontId="39" fillId="176" borderId="83" xfId="0" applyFont="1" applyFill="1" applyBorder="1" applyAlignment="1">
      <alignment horizontal="center" vertical="center"/>
    </xf>
    <xf numFmtId="0" fontId="15" fillId="206" borderId="80" xfId="0" applyFont="1" applyFill="1" applyBorder="1" applyAlignment="1">
      <alignment horizontal="center" vertical="center" textRotation="90"/>
    </xf>
    <xf numFmtId="0" fontId="15" fillId="206" borderId="84" xfId="0" applyFont="1" applyFill="1" applyBorder="1" applyAlignment="1">
      <alignment horizontal="center" vertical="center" textRotation="90"/>
    </xf>
    <xf numFmtId="10" fontId="3" fillId="203" borderId="288" xfId="0" applyNumberFormat="1" applyFont="1" applyFill="1" applyBorder="1" applyAlignment="1">
      <alignment horizontal="center" vertical="center"/>
    </xf>
    <xf numFmtId="10" fontId="3" fillId="203" borderId="289" xfId="0" applyNumberFormat="1" applyFont="1" applyFill="1" applyBorder="1" applyAlignment="1">
      <alignment horizontal="center" vertical="center"/>
    </xf>
    <xf numFmtId="10" fontId="3" fillId="203" borderId="31" xfId="0" applyNumberFormat="1" applyFont="1" applyFill="1" applyBorder="1" applyAlignment="1">
      <alignment horizontal="center" vertical="center"/>
    </xf>
    <xf numFmtId="10" fontId="3" fillId="203" borderId="291" xfId="0" applyNumberFormat="1" applyFont="1" applyFill="1" applyBorder="1" applyAlignment="1">
      <alignment horizontal="center" vertical="center"/>
    </xf>
    <xf numFmtId="10" fontId="3" fillId="203" borderId="286" xfId="0" applyNumberFormat="1" applyFont="1" applyFill="1" applyBorder="1" applyAlignment="1">
      <alignment horizontal="center" vertical="center"/>
    </xf>
    <xf numFmtId="10" fontId="3" fillId="203" borderId="293" xfId="0" applyNumberFormat="1" applyFont="1" applyFill="1" applyBorder="1" applyAlignment="1">
      <alignment horizontal="center" vertical="center"/>
    </xf>
    <xf numFmtId="0" fontId="5" fillId="203" borderId="74" xfId="0" applyFont="1" applyFill="1" applyBorder="1" applyAlignment="1">
      <alignment horizontal="center" vertical="center" wrapText="1"/>
    </xf>
    <xf numFmtId="0" fontId="5" fillId="203" borderId="52" xfId="0" applyFont="1" applyFill="1" applyBorder="1" applyAlignment="1">
      <alignment horizontal="center" vertical="center" wrapText="1"/>
    </xf>
    <xf numFmtId="10" fontId="12" fillId="203" borderId="52" xfId="0" applyNumberFormat="1" applyFont="1" applyFill="1" applyBorder="1" applyAlignment="1">
      <alignment horizontal="center" vertical="center"/>
    </xf>
    <xf numFmtId="10" fontId="12" fillId="203" borderId="75" xfId="0" applyNumberFormat="1" applyFont="1" applyFill="1" applyBorder="1" applyAlignment="1">
      <alignment horizontal="center" vertical="center"/>
    </xf>
    <xf numFmtId="10" fontId="3" fillId="152" borderId="288" xfId="0" applyNumberFormat="1" applyFont="1" applyFill="1" applyBorder="1" applyAlignment="1">
      <alignment horizontal="center" vertical="center"/>
    </xf>
    <xf numFmtId="10" fontId="3" fillId="152" borderId="289" xfId="0" applyNumberFormat="1" applyFont="1" applyFill="1" applyBorder="1" applyAlignment="1">
      <alignment horizontal="center" vertical="center"/>
    </xf>
    <xf numFmtId="10" fontId="3" fillId="152" borderId="31" xfId="0" applyNumberFormat="1" applyFont="1" applyFill="1" applyBorder="1" applyAlignment="1">
      <alignment horizontal="center" vertical="center"/>
    </xf>
    <xf numFmtId="10" fontId="3" fillId="152" borderId="291" xfId="0" applyNumberFormat="1" applyFont="1" applyFill="1" applyBorder="1" applyAlignment="1">
      <alignment horizontal="center" vertical="center"/>
    </xf>
    <xf numFmtId="10" fontId="3" fillId="152" borderId="286" xfId="0" applyNumberFormat="1" applyFont="1" applyFill="1" applyBorder="1" applyAlignment="1">
      <alignment horizontal="center" vertical="center"/>
    </xf>
    <xf numFmtId="10" fontId="3" fillId="152" borderId="293" xfId="0" applyNumberFormat="1" applyFont="1" applyFill="1" applyBorder="1" applyAlignment="1">
      <alignment horizontal="center" vertical="center"/>
    </xf>
    <xf numFmtId="0" fontId="3" fillId="203" borderId="287" xfId="0" applyFont="1" applyFill="1" applyBorder="1" applyAlignment="1">
      <alignment horizontal="center" vertical="center" wrapText="1"/>
    </xf>
    <xf numFmtId="0" fontId="3" fillId="203" borderId="288" xfId="0" applyFont="1" applyFill="1" applyBorder="1" applyAlignment="1">
      <alignment horizontal="center" vertical="center" wrapText="1"/>
    </xf>
    <xf numFmtId="0" fontId="3" fillId="203" borderId="290" xfId="0" applyFont="1" applyFill="1" applyBorder="1" applyAlignment="1">
      <alignment horizontal="center" vertical="center" wrapText="1"/>
    </xf>
    <xf numFmtId="0" fontId="3" fillId="203" borderId="31" xfId="0" applyFont="1" applyFill="1" applyBorder="1" applyAlignment="1">
      <alignment horizontal="center" vertical="center" wrapText="1"/>
    </xf>
    <xf numFmtId="0" fontId="3" fillId="203" borderId="292" xfId="0" applyFont="1" applyFill="1" applyBorder="1" applyAlignment="1">
      <alignment horizontal="center" vertical="center" wrapText="1"/>
    </xf>
    <xf numFmtId="0" fontId="3" fillId="203" borderId="286" xfId="0" applyFont="1" applyFill="1" applyBorder="1" applyAlignment="1">
      <alignment horizontal="center" vertical="center" wrapText="1"/>
    </xf>
    <xf numFmtId="0" fontId="15" fillId="204" borderId="80" xfId="0" applyFont="1" applyFill="1" applyBorder="1" applyAlignment="1">
      <alignment horizontal="center" vertical="center" textRotation="90"/>
    </xf>
    <xf numFmtId="0" fontId="15" fillId="204" borderId="84" xfId="0" applyFont="1" applyFill="1" applyBorder="1" applyAlignment="1">
      <alignment horizontal="center" vertical="center" textRotation="90"/>
    </xf>
    <xf numFmtId="0" fontId="3" fillId="107" borderId="287" xfId="0" applyFont="1" applyFill="1" applyBorder="1" applyAlignment="1">
      <alignment horizontal="center" vertical="center" wrapText="1"/>
    </xf>
    <xf numFmtId="0" fontId="3" fillId="107" borderId="288" xfId="0" applyFont="1" applyFill="1" applyBorder="1" applyAlignment="1">
      <alignment horizontal="center" vertical="center" wrapText="1"/>
    </xf>
    <xf numFmtId="0" fontId="3" fillId="107" borderId="290" xfId="0" applyFont="1" applyFill="1" applyBorder="1" applyAlignment="1">
      <alignment horizontal="center" vertical="center" wrapText="1"/>
    </xf>
    <xf numFmtId="0" fontId="3" fillId="107" borderId="31" xfId="0" applyFont="1" applyFill="1" applyBorder="1" applyAlignment="1">
      <alignment horizontal="center" vertical="center" wrapText="1"/>
    </xf>
    <xf numFmtId="0" fontId="3" fillId="107" borderId="292" xfId="0" applyFont="1" applyFill="1" applyBorder="1" applyAlignment="1">
      <alignment horizontal="center" vertical="center" wrapText="1"/>
    </xf>
    <xf numFmtId="0" fontId="3" fillId="107" borderId="286" xfId="0" applyFont="1" applyFill="1" applyBorder="1" applyAlignment="1">
      <alignment horizontal="center" vertical="center" wrapText="1"/>
    </xf>
    <xf numFmtId="10" fontId="3" fillId="107" borderId="288" xfId="0" applyNumberFormat="1" applyFont="1" applyFill="1" applyBorder="1" applyAlignment="1">
      <alignment horizontal="center" vertical="center"/>
    </xf>
    <xf numFmtId="10" fontId="3" fillId="107" borderId="289" xfId="0" applyNumberFormat="1" applyFont="1" applyFill="1" applyBorder="1" applyAlignment="1">
      <alignment horizontal="center" vertical="center"/>
    </xf>
    <xf numFmtId="10" fontId="3" fillId="107" borderId="31" xfId="0" applyNumberFormat="1" applyFont="1" applyFill="1" applyBorder="1" applyAlignment="1">
      <alignment horizontal="center" vertical="center"/>
    </xf>
    <xf numFmtId="10" fontId="3" fillId="107" borderId="291" xfId="0" applyNumberFormat="1" applyFont="1" applyFill="1" applyBorder="1" applyAlignment="1">
      <alignment horizontal="center" vertical="center"/>
    </xf>
    <xf numFmtId="10" fontId="3" fillId="107" borderId="286" xfId="0" applyNumberFormat="1" applyFont="1" applyFill="1" applyBorder="1" applyAlignment="1">
      <alignment horizontal="center" vertical="center"/>
    </xf>
    <xf numFmtId="10" fontId="3" fillId="107" borderId="293" xfId="0" applyNumberFormat="1" applyFont="1" applyFill="1" applyBorder="1" applyAlignment="1">
      <alignment horizontal="center" vertical="center"/>
    </xf>
    <xf numFmtId="10" fontId="12" fillId="107" borderId="52" xfId="0" applyNumberFormat="1" applyFont="1" applyFill="1" applyBorder="1" applyAlignment="1">
      <alignment horizontal="center" vertical="center"/>
    </xf>
    <xf numFmtId="10" fontId="12" fillId="107" borderId="75" xfId="0" applyNumberFormat="1" applyFont="1" applyFill="1" applyBorder="1" applyAlignment="1">
      <alignment horizontal="center" vertical="center"/>
    </xf>
    <xf numFmtId="0" fontId="3" fillId="36" borderId="287" xfId="0" applyFont="1" applyFill="1" applyBorder="1" applyAlignment="1">
      <alignment horizontal="center" vertical="center" wrapText="1"/>
    </xf>
    <xf numFmtId="0" fontId="3" fillId="36" borderId="288" xfId="0" applyFont="1" applyFill="1" applyBorder="1" applyAlignment="1">
      <alignment horizontal="center" vertical="center" wrapText="1"/>
    </xf>
    <xf numFmtId="0" fontId="3" fillId="36" borderId="290" xfId="0" applyFont="1" applyFill="1" applyBorder="1" applyAlignment="1">
      <alignment horizontal="center" vertical="center" wrapText="1"/>
    </xf>
    <xf numFmtId="0" fontId="3" fillId="36" borderId="31" xfId="0" applyFont="1" applyFill="1" applyBorder="1" applyAlignment="1">
      <alignment horizontal="center" vertical="center" wrapText="1"/>
    </xf>
    <xf numFmtId="0" fontId="3" fillId="36" borderId="292" xfId="0" applyFont="1" applyFill="1" applyBorder="1" applyAlignment="1">
      <alignment horizontal="center" vertical="center" wrapText="1"/>
    </xf>
    <xf numFmtId="0" fontId="3" fillId="36" borderId="286" xfId="0" applyFont="1" applyFill="1" applyBorder="1" applyAlignment="1">
      <alignment horizontal="center" vertical="center" wrapText="1"/>
    </xf>
    <xf numFmtId="0" fontId="3" fillId="22" borderId="287" xfId="0" applyFont="1" applyFill="1" applyBorder="1" applyAlignment="1">
      <alignment horizontal="center" vertical="center" wrapText="1"/>
    </xf>
    <xf numFmtId="0" fontId="3" fillId="22" borderId="288" xfId="0" applyFont="1" applyFill="1" applyBorder="1" applyAlignment="1">
      <alignment horizontal="center" vertical="center" wrapText="1"/>
    </xf>
    <xf numFmtId="0" fontId="3" fillId="22" borderId="290" xfId="0" applyFont="1" applyFill="1" applyBorder="1" applyAlignment="1">
      <alignment horizontal="center" vertical="center" wrapText="1"/>
    </xf>
    <xf numFmtId="0" fontId="3" fillId="22" borderId="31" xfId="0" applyFont="1" applyFill="1" applyBorder="1" applyAlignment="1">
      <alignment horizontal="center" vertical="center" wrapText="1"/>
    </xf>
    <xf numFmtId="0" fontId="3" fillId="22" borderId="292" xfId="0" applyFont="1" applyFill="1" applyBorder="1" applyAlignment="1">
      <alignment horizontal="center" vertical="center" wrapText="1"/>
    </xf>
    <xf numFmtId="0" fontId="3" fillId="22" borderId="286" xfId="0" applyFont="1" applyFill="1" applyBorder="1" applyAlignment="1">
      <alignment horizontal="center" vertical="center" wrapText="1"/>
    </xf>
    <xf numFmtId="10" fontId="3" fillId="22" borderId="288" xfId="0" applyNumberFormat="1" applyFont="1" applyFill="1" applyBorder="1" applyAlignment="1">
      <alignment horizontal="center" vertical="center"/>
    </xf>
    <xf numFmtId="10" fontId="3" fillId="22" borderId="289" xfId="0" applyNumberFormat="1" applyFont="1" applyFill="1" applyBorder="1" applyAlignment="1">
      <alignment horizontal="center" vertical="center"/>
    </xf>
    <xf numFmtId="10" fontId="3" fillId="22" borderId="31" xfId="0" applyNumberFormat="1" applyFont="1" applyFill="1" applyBorder="1" applyAlignment="1">
      <alignment horizontal="center" vertical="center"/>
    </xf>
    <xf numFmtId="10" fontId="3" fillId="22" borderId="291" xfId="0" applyNumberFormat="1" applyFont="1" applyFill="1" applyBorder="1" applyAlignment="1">
      <alignment horizontal="center" vertical="center"/>
    </xf>
    <xf numFmtId="10" fontId="3" fillId="22" borderId="286" xfId="0" applyNumberFormat="1" applyFont="1" applyFill="1" applyBorder="1" applyAlignment="1">
      <alignment horizontal="center" vertical="center"/>
    </xf>
    <xf numFmtId="10" fontId="3" fillId="22" borderId="293" xfId="0" applyNumberFormat="1" applyFont="1" applyFill="1" applyBorder="1" applyAlignment="1">
      <alignment horizontal="center" vertical="center"/>
    </xf>
    <xf numFmtId="0" fontId="5" fillId="22" borderId="74" xfId="0" applyFont="1" applyFill="1" applyBorder="1" applyAlignment="1">
      <alignment horizontal="center" vertical="center" wrapText="1"/>
    </xf>
    <xf numFmtId="0" fontId="5" fillId="22" borderId="52" xfId="0" applyFont="1" applyFill="1" applyBorder="1" applyAlignment="1">
      <alignment horizontal="center" vertical="center" wrapText="1"/>
    </xf>
    <xf numFmtId="10" fontId="12" fillId="22" borderId="52" xfId="0" applyNumberFormat="1" applyFont="1" applyFill="1" applyBorder="1" applyAlignment="1">
      <alignment horizontal="center" vertical="center"/>
    </xf>
    <xf numFmtId="10" fontId="12" fillId="22" borderId="75" xfId="0" applyNumberFormat="1" applyFont="1" applyFill="1" applyBorder="1" applyAlignment="1">
      <alignment horizontal="center" vertical="center"/>
    </xf>
    <xf numFmtId="0" fontId="3" fillId="201" borderId="287" xfId="0" applyFont="1" applyFill="1" applyBorder="1" applyAlignment="1">
      <alignment horizontal="center" vertical="center" wrapText="1"/>
    </xf>
    <xf numFmtId="0" fontId="3" fillId="201" borderId="288" xfId="0" applyFont="1" applyFill="1" applyBorder="1" applyAlignment="1">
      <alignment horizontal="center" vertical="center" wrapText="1"/>
    </xf>
    <xf numFmtId="0" fontId="3" fillId="201" borderId="290" xfId="0" applyFont="1" applyFill="1" applyBorder="1" applyAlignment="1">
      <alignment horizontal="center" vertical="center" wrapText="1"/>
    </xf>
    <xf numFmtId="0" fontId="3" fillId="201" borderId="31" xfId="0" applyFont="1" applyFill="1" applyBorder="1" applyAlignment="1">
      <alignment horizontal="center" vertical="center" wrapText="1"/>
    </xf>
    <xf numFmtId="0" fontId="3" fillId="201" borderId="292" xfId="0" applyFont="1" applyFill="1" applyBorder="1" applyAlignment="1">
      <alignment horizontal="center" vertical="center" wrapText="1"/>
    </xf>
    <xf numFmtId="0" fontId="3" fillId="201" borderId="286" xfId="0" applyFont="1" applyFill="1" applyBorder="1" applyAlignment="1">
      <alignment horizontal="center" vertical="center" wrapText="1"/>
    </xf>
    <xf numFmtId="10" fontId="3" fillId="201" borderId="288" xfId="0" applyNumberFormat="1" applyFont="1" applyFill="1" applyBorder="1" applyAlignment="1">
      <alignment horizontal="center" vertical="center"/>
    </xf>
    <xf numFmtId="10" fontId="3" fillId="201" borderId="289" xfId="0" applyNumberFormat="1" applyFont="1" applyFill="1" applyBorder="1" applyAlignment="1">
      <alignment horizontal="center" vertical="center"/>
    </xf>
    <xf numFmtId="10" fontId="3" fillId="201" borderId="31" xfId="0" applyNumberFormat="1" applyFont="1" applyFill="1" applyBorder="1" applyAlignment="1">
      <alignment horizontal="center" vertical="center"/>
    </xf>
    <xf numFmtId="10" fontId="3" fillId="201" borderId="291" xfId="0" applyNumberFormat="1" applyFont="1" applyFill="1" applyBorder="1" applyAlignment="1">
      <alignment horizontal="center" vertical="center"/>
    </xf>
    <xf numFmtId="10" fontId="3" fillId="201" borderId="286" xfId="0" applyNumberFormat="1" applyFont="1" applyFill="1" applyBorder="1" applyAlignment="1">
      <alignment horizontal="center" vertical="center"/>
    </xf>
    <xf numFmtId="10" fontId="3" fillId="201" borderId="293" xfId="0" applyNumberFormat="1" applyFont="1" applyFill="1" applyBorder="1" applyAlignment="1">
      <alignment horizontal="center" vertical="center"/>
    </xf>
    <xf numFmtId="0" fontId="3" fillId="197" borderId="287" xfId="0" applyFont="1" applyFill="1" applyBorder="1" applyAlignment="1">
      <alignment horizontal="center" vertical="center" wrapText="1"/>
    </xf>
    <xf numFmtId="0" fontId="3" fillId="197" borderId="288" xfId="0" applyFont="1" applyFill="1" applyBorder="1" applyAlignment="1">
      <alignment horizontal="center" vertical="center" wrapText="1"/>
    </xf>
    <xf numFmtId="0" fontId="3" fillId="197" borderId="290" xfId="0" applyFont="1" applyFill="1" applyBorder="1" applyAlignment="1">
      <alignment horizontal="center" vertical="center" wrapText="1"/>
    </xf>
    <xf numFmtId="0" fontId="3" fillId="197" borderId="31" xfId="0" applyFont="1" applyFill="1" applyBorder="1" applyAlignment="1">
      <alignment horizontal="center" vertical="center" wrapText="1"/>
    </xf>
    <xf numFmtId="0" fontId="3" fillId="197" borderId="292" xfId="0" applyFont="1" applyFill="1" applyBorder="1" applyAlignment="1">
      <alignment horizontal="center" vertical="center" wrapText="1"/>
    </xf>
    <xf numFmtId="0" fontId="3" fillId="197" borderId="286" xfId="0" applyFont="1" applyFill="1" applyBorder="1" applyAlignment="1">
      <alignment horizontal="center" vertical="center" wrapText="1"/>
    </xf>
    <xf numFmtId="10" fontId="3" fillId="197" borderId="288" xfId="0" applyNumberFormat="1" applyFont="1" applyFill="1" applyBorder="1" applyAlignment="1">
      <alignment horizontal="center" vertical="center"/>
    </xf>
    <xf numFmtId="10" fontId="3" fillId="197" borderId="289" xfId="0" applyNumberFormat="1" applyFont="1" applyFill="1" applyBorder="1" applyAlignment="1">
      <alignment horizontal="center" vertical="center"/>
    </xf>
    <xf numFmtId="10" fontId="3" fillId="197" borderId="31" xfId="0" applyNumberFormat="1" applyFont="1" applyFill="1" applyBorder="1" applyAlignment="1">
      <alignment horizontal="center" vertical="center"/>
    </xf>
    <xf numFmtId="10" fontId="3" fillId="197" borderId="291" xfId="0" applyNumberFormat="1" applyFont="1" applyFill="1" applyBorder="1" applyAlignment="1">
      <alignment horizontal="center" vertical="center"/>
    </xf>
    <xf numFmtId="10" fontId="3" fillId="197" borderId="286" xfId="0" applyNumberFormat="1" applyFont="1" applyFill="1" applyBorder="1" applyAlignment="1">
      <alignment horizontal="center" vertical="center"/>
    </xf>
    <xf numFmtId="10" fontId="3" fillId="197" borderId="293" xfId="0" applyNumberFormat="1" applyFont="1" applyFill="1" applyBorder="1" applyAlignment="1">
      <alignment horizontal="center" vertical="center"/>
    </xf>
    <xf numFmtId="0" fontId="5" fillId="201" borderId="74" xfId="0" applyFont="1" applyFill="1" applyBorder="1" applyAlignment="1">
      <alignment horizontal="center" vertical="center" wrapText="1"/>
    </xf>
    <xf numFmtId="0" fontId="5" fillId="201" borderId="52" xfId="0" applyFont="1" applyFill="1" applyBorder="1" applyAlignment="1">
      <alignment horizontal="center" vertical="center" wrapText="1"/>
    </xf>
    <xf numFmtId="10" fontId="12" fillId="201" borderId="52" xfId="0" applyNumberFormat="1" applyFont="1" applyFill="1" applyBorder="1" applyAlignment="1">
      <alignment horizontal="center" vertical="center"/>
    </xf>
    <xf numFmtId="10" fontId="12" fillId="201" borderId="75" xfId="0" applyNumberFormat="1" applyFont="1" applyFill="1" applyBorder="1" applyAlignment="1">
      <alignment horizontal="center" vertical="center"/>
    </xf>
    <xf numFmtId="0" fontId="3" fillId="195" borderId="287" xfId="0" applyFont="1" applyFill="1" applyBorder="1" applyAlignment="1">
      <alignment horizontal="center" vertical="center" wrapText="1"/>
    </xf>
    <xf numFmtId="0" fontId="3" fillId="195" borderId="288" xfId="0" applyFont="1" applyFill="1" applyBorder="1" applyAlignment="1">
      <alignment horizontal="center" vertical="center" wrapText="1"/>
    </xf>
    <xf numFmtId="0" fontId="3" fillId="195" borderId="290" xfId="0" applyFont="1" applyFill="1" applyBorder="1" applyAlignment="1">
      <alignment horizontal="center" vertical="center" wrapText="1"/>
    </xf>
    <xf numFmtId="0" fontId="3" fillId="195" borderId="31" xfId="0" applyFont="1" applyFill="1" applyBorder="1" applyAlignment="1">
      <alignment horizontal="center" vertical="center" wrapText="1"/>
    </xf>
    <xf numFmtId="0" fontId="3" fillId="195" borderId="292" xfId="0" applyFont="1" applyFill="1" applyBorder="1" applyAlignment="1">
      <alignment horizontal="center" vertical="center" wrapText="1"/>
    </xf>
    <xf numFmtId="0" fontId="3" fillId="195" borderId="286" xfId="0" applyFont="1" applyFill="1" applyBorder="1" applyAlignment="1">
      <alignment horizontal="center" vertical="center" wrapText="1"/>
    </xf>
    <xf numFmtId="10" fontId="3" fillId="195" borderId="288" xfId="0" applyNumberFormat="1" applyFont="1" applyFill="1" applyBorder="1" applyAlignment="1">
      <alignment horizontal="center" vertical="center"/>
    </xf>
    <xf numFmtId="10" fontId="3" fillId="195" borderId="289" xfId="0" applyNumberFormat="1" applyFont="1" applyFill="1" applyBorder="1" applyAlignment="1">
      <alignment horizontal="center" vertical="center"/>
    </xf>
    <xf numFmtId="10" fontId="3" fillId="195" borderId="31" xfId="0" applyNumberFormat="1" applyFont="1" applyFill="1" applyBorder="1" applyAlignment="1">
      <alignment horizontal="center" vertical="center"/>
    </xf>
    <xf numFmtId="10" fontId="3" fillId="195" borderId="291" xfId="0" applyNumberFormat="1" applyFont="1" applyFill="1" applyBorder="1" applyAlignment="1">
      <alignment horizontal="center" vertical="center"/>
    </xf>
    <xf numFmtId="10" fontId="3" fillId="195" borderId="286" xfId="0" applyNumberFormat="1" applyFont="1" applyFill="1" applyBorder="1" applyAlignment="1">
      <alignment horizontal="center" vertical="center"/>
    </xf>
    <xf numFmtId="10" fontId="3" fillId="195" borderId="293" xfId="0" applyNumberFormat="1" applyFont="1" applyFill="1" applyBorder="1" applyAlignment="1">
      <alignment horizontal="center" vertical="center"/>
    </xf>
    <xf numFmtId="0" fontId="5" fillId="195" borderId="74" xfId="0" applyFont="1" applyFill="1" applyBorder="1" applyAlignment="1">
      <alignment horizontal="center" vertical="center" wrapText="1"/>
    </xf>
    <xf numFmtId="0" fontId="5" fillId="195" borderId="52" xfId="0" applyFont="1" applyFill="1" applyBorder="1" applyAlignment="1">
      <alignment horizontal="center" vertical="center" wrapText="1"/>
    </xf>
    <xf numFmtId="10" fontId="12" fillId="195" borderId="52" xfId="0" applyNumberFormat="1" applyFont="1" applyFill="1" applyBorder="1" applyAlignment="1">
      <alignment horizontal="center" vertical="center"/>
    </xf>
    <xf numFmtId="10" fontId="12" fillId="195" borderId="75" xfId="0" applyNumberFormat="1" applyFont="1" applyFill="1" applyBorder="1" applyAlignment="1">
      <alignment horizontal="center" vertical="center"/>
    </xf>
    <xf numFmtId="0" fontId="15" fillId="196" borderId="80" xfId="0" applyFont="1" applyFill="1" applyBorder="1" applyAlignment="1">
      <alignment horizontal="center" vertical="center" textRotation="90"/>
    </xf>
    <xf numFmtId="0" fontId="15" fillId="196" borderId="84" xfId="0" applyFont="1" applyFill="1" applyBorder="1" applyAlignment="1">
      <alignment horizontal="center" vertical="center" textRotation="90"/>
    </xf>
    <xf numFmtId="0" fontId="3" fillId="181" borderId="287" xfId="0" applyFont="1" applyFill="1" applyBorder="1" applyAlignment="1">
      <alignment horizontal="center" vertical="center" wrapText="1"/>
    </xf>
    <xf numFmtId="0" fontId="3" fillId="181" borderId="288" xfId="0" applyFont="1" applyFill="1" applyBorder="1" applyAlignment="1">
      <alignment horizontal="center" vertical="center" wrapText="1"/>
    </xf>
    <xf numFmtId="0" fontId="3" fillId="181" borderId="290" xfId="0" applyFont="1" applyFill="1" applyBorder="1" applyAlignment="1">
      <alignment horizontal="center" vertical="center" wrapText="1"/>
    </xf>
    <xf numFmtId="0" fontId="3" fillId="181" borderId="31" xfId="0" applyFont="1" applyFill="1" applyBorder="1" applyAlignment="1">
      <alignment horizontal="center" vertical="center" wrapText="1"/>
    </xf>
    <xf numFmtId="0" fontId="3" fillId="181" borderId="292" xfId="0" applyFont="1" applyFill="1" applyBorder="1" applyAlignment="1">
      <alignment horizontal="center" vertical="center" wrapText="1"/>
    </xf>
    <xf numFmtId="0" fontId="3" fillId="181" borderId="286" xfId="0" applyFont="1" applyFill="1" applyBorder="1" applyAlignment="1">
      <alignment horizontal="center" vertical="center" wrapText="1"/>
    </xf>
    <xf numFmtId="10" fontId="3" fillId="181" borderId="288" xfId="0" applyNumberFormat="1" applyFont="1" applyFill="1" applyBorder="1" applyAlignment="1">
      <alignment horizontal="center" vertical="center"/>
    </xf>
    <xf numFmtId="10" fontId="3" fillId="181" borderId="289" xfId="0" applyNumberFormat="1" applyFont="1" applyFill="1" applyBorder="1" applyAlignment="1">
      <alignment horizontal="center" vertical="center"/>
    </xf>
    <xf numFmtId="10" fontId="3" fillId="181" borderId="31" xfId="0" applyNumberFormat="1" applyFont="1" applyFill="1" applyBorder="1" applyAlignment="1">
      <alignment horizontal="center" vertical="center"/>
    </xf>
    <xf numFmtId="10" fontId="3" fillId="181" borderId="291" xfId="0" applyNumberFormat="1" applyFont="1" applyFill="1" applyBorder="1" applyAlignment="1">
      <alignment horizontal="center" vertical="center"/>
    </xf>
    <xf numFmtId="10" fontId="3" fillId="181" borderId="286" xfId="0" applyNumberFormat="1" applyFont="1" applyFill="1" applyBorder="1" applyAlignment="1">
      <alignment horizontal="center" vertical="center"/>
    </xf>
    <xf numFmtId="10" fontId="3" fillId="181" borderId="293" xfId="0" applyNumberFormat="1" applyFont="1" applyFill="1" applyBorder="1" applyAlignment="1">
      <alignment horizontal="center" vertical="center"/>
    </xf>
    <xf numFmtId="0" fontId="15" fillId="182" borderId="80" xfId="0" applyFont="1" applyFill="1" applyBorder="1" applyAlignment="1">
      <alignment horizontal="center" vertical="center" textRotation="90"/>
    </xf>
    <xf numFmtId="0" fontId="15" fillId="182" borderId="84" xfId="0" applyFont="1" applyFill="1" applyBorder="1" applyAlignment="1">
      <alignment horizontal="center" vertical="center" textRotation="90"/>
    </xf>
    <xf numFmtId="10" fontId="12" fillId="181" borderId="52" xfId="0" applyNumberFormat="1" applyFont="1" applyFill="1" applyBorder="1" applyAlignment="1">
      <alignment horizontal="center" vertical="center"/>
    </xf>
    <xf numFmtId="10" fontId="12" fillId="181" borderId="75" xfId="0" applyNumberFormat="1" applyFont="1" applyFill="1" applyBorder="1" applyAlignment="1">
      <alignment horizontal="center" vertical="center"/>
    </xf>
    <xf numFmtId="0" fontId="5" fillId="181" borderId="74" xfId="0" applyFont="1" applyFill="1" applyBorder="1" applyAlignment="1">
      <alignment horizontal="center" vertical="center" wrapText="1"/>
    </xf>
    <xf numFmtId="0" fontId="5" fillId="181" borderId="52" xfId="0" applyFont="1" applyFill="1" applyBorder="1" applyAlignment="1">
      <alignment horizontal="center" vertical="center" wrapText="1"/>
    </xf>
    <xf numFmtId="0" fontId="3" fillId="199" borderId="287" xfId="0" applyFont="1" applyFill="1" applyBorder="1" applyAlignment="1">
      <alignment horizontal="center" vertical="center" wrapText="1"/>
    </xf>
    <xf numFmtId="0" fontId="3" fillId="199" borderId="288" xfId="0" applyFont="1" applyFill="1" applyBorder="1" applyAlignment="1">
      <alignment horizontal="center" vertical="center" wrapText="1"/>
    </xf>
    <xf numFmtId="0" fontId="3" fillId="199" borderId="290" xfId="0" applyFont="1" applyFill="1" applyBorder="1" applyAlignment="1">
      <alignment horizontal="center" vertical="center" wrapText="1"/>
    </xf>
    <xf numFmtId="0" fontId="3" fillId="199" borderId="31" xfId="0" applyFont="1" applyFill="1" applyBorder="1" applyAlignment="1">
      <alignment horizontal="center" vertical="center" wrapText="1"/>
    </xf>
    <xf numFmtId="0" fontId="3" fillId="199" borderId="292" xfId="0" applyFont="1" applyFill="1" applyBorder="1" applyAlignment="1">
      <alignment horizontal="center" vertical="center" wrapText="1"/>
    </xf>
    <xf numFmtId="0" fontId="3" fillId="199" borderId="286" xfId="0" applyFont="1" applyFill="1" applyBorder="1" applyAlignment="1">
      <alignment horizontal="center" vertical="center" wrapText="1"/>
    </xf>
    <xf numFmtId="10" fontId="3" fillId="199" borderId="288" xfId="0" applyNumberFormat="1" applyFont="1" applyFill="1" applyBorder="1" applyAlignment="1">
      <alignment horizontal="center" vertical="center"/>
    </xf>
    <xf numFmtId="10" fontId="3" fillId="199" borderId="289" xfId="0" applyNumberFormat="1" applyFont="1" applyFill="1" applyBorder="1" applyAlignment="1">
      <alignment horizontal="center" vertical="center"/>
    </xf>
    <xf numFmtId="10" fontId="3" fillId="199" borderId="31" xfId="0" applyNumberFormat="1" applyFont="1" applyFill="1" applyBorder="1" applyAlignment="1">
      <alignment horizontal="center" vertical="center"/>
    </xf>
    <xf numFmtId="10" fontId="3" fillId="199" borderId="291" xfId="0" applyNumberFormat="1" applyFont="1" applyFill="1" applyBorder="1" applyAlignment="1">
      <alignment horizontal="center" vertical="center"/>
    </xf>
    <xf numFmtId="10" fontId="3" fillId="199" borderId="286" xfId="0" applyNumberFormat="1" applyFont="1" applyFill="1" applyBorder="1" applyAlignment="1">
      <alignment horizontal="center" vertical="center"/>
    </xf>
    <xf numFmtId="10" fontId="3" fillId="199" borderId="293" xfId="0" applyNumberFormat="1" applyFont="1" applyFill="1" applyBorder="1" applyAlignment="1">
      <alignment horizontal="center" vertical="center"/>
    </xf>
    <xf numFmtId="0" fontId="5" fillId="199" borderId="74" xfId="0" applyFont="1" applyFill="1" applyBorder="1" applyAlignment="1">
      <alignment horizontal="center" vertical="center" wrapText="1"/>
    </xf>
    <xf numFmtId="0" fontId="5" fillId="199" borderId="52" xfId="0" applyFont="1" applyFill="1" applyBorder="1" applyAlignment="1">
      <alignment horizontal="center" vertical="center" wrapText="1"/>
    </xf>
    <xf numFmtId="10" fontId="12" fillId="199" borderId="52" xfId="0" applyNumberFormat="1" applyFont="1" applyFill="1" applyBorder="1" applyAlignment="1">
      <alignment horizontal="center" vertical="center"/>
    </xf>
    <xf numFmtId="10" fontId="12" fillId="199" borderId="75" xfId="0" applyNumberFormat="1" applyFont="1" applyFill="1" applyBorder="1" applyAlignment="1">
      <alignment horizontal="center" vertical="center"/>
    </xf>
    <xf numFmtId="0" fontId="15" fillId="200" borderId="80" xfId="0" applyFont="1" applyFill="1" applyBorder="1" applyAlignment="1">
      <alignment horizontal="center" vertical="center" textRotation="90"/>
    </xf>
    <xf numFmtId="0" fontId="15" fillId="200" borderId="84" xfId="0" applyFont="1" applyFill="1" applyBorder="1" applyAlignment="1">
      <alignment horizontal="center" vertical="center" textRotation="90"/>
    </xf>
    <xf numFmtId="0" fontId="38" fillId="176" borderId="81" xfId="0" applyFont="1" applyFill="1" applyBorder="1" applyAlignment="1">
      <alignment horizontal="center" vertical="center"/>
    </xf>
    <xf numFmtId="0" fontId="38" fillId="176" borderId="82" xfId="0" applyFont="1" applyFill="1" applyBorder="1" applyAlignment="1">
      <alignment horizontal="center" vertical="center"/>
    </xf>
    <xf numFmtId="0" fontId="38" fillId="176" borderId="83" xfId="0" applyFont="1" applyFill="1" applyBorder="1" applyAlignment="1">
      <alignment horizontal="center" vertical="center"/>
    </xf>
    <xf numFmtId="0" fontId="3" fillId="83" borderId="287" xfId="0" applyFont="1" applyFill="1" applyBorder="1" applyAlignment="1">
      <alignment horizontal="center" vertical="center" wrapText="1"/>
    </xf>
    <xf numFmtId="0" fontId="3" fillId="83" borderId="288" xfId="0" applyFont="1" applyFill="1" applyBorder="1" applyAlignment="1">
      <alignment horizontal="center" vertical="center" wrapText="1"/>
    </xf>
    <xf numFmtId="0" fontId="3" fillId="83" borderId="290" xfId="0" applyFont="1" applyFill="1" applyBorder="1" applyAlignment="1">
      <alignment horizontal="center" vertical="center" wrapText="1"/>
    </xf>
    <xf numFmtId="0" fontId="3" fillId="83" borderId="31" xfId="0" applyFont="1" applyFill="1" applyBorder="1" applyAlignment="1">
      <alignment horizontal="center" vertical="center" wrapText="1"/>
    </xf>
    <xf numFmtId="0" fontId="3" fillId="83" borderId="292" xfId="0" applyFont="1" applyFill="1" applyBorder="1" applyAlignment="1">
      <alignment horizontal="center" vertical="center" wrapText="1"/>
    </xf>
    <xf numFmtId="0" fontId="3" fillId="83" borderId="286" xfId="0" applyFont="1" applyFill="1" applyBorder="1" applyAlignment="1">
      <alignment horizontal="center" vertical="center" wrapText="1"/>
    </xf>
    <xf numFmtId="10" fontId="3" fillId="83" borderId="288" xfId="0" applyNumberFormat="1" applyFont="1" applyFill="1" applyBorder="1" applyAlignment="1">
      <alignment horizontal="center" vertical="center"/>
    </xf>
    <xf numFmtId="10" fontId="3" fillId="83" borderId="289" xfId="0" applyNumberFormat="1" applyFont="1" applyFill="1" applyBorder="1" applyAlignment="1">
      <alignment horizontal="center" vertical="center"/>
    </xf>
    <xf numFmtId="10" fontId="3" fillId="83" borderId="31" xfId="0" applyNumberFormat="1" applyFont="1" applyFill="1" applyBorder="1" applyAlignment="1">
      <alignment horizontal="center" vertical="center"/>
    </xf>
    <xf numFmtId="10" fontId="3" fillId="83" borderId="291" xfId="0" applyNumberFormat="1" applyFont="1" applyFill="1" applyBorder="1" applyAlignment="1">
      <alignment horizontal="center" vertical="center"/>
    </xf>
    <xf numFmtId="10" fontId="3" fillId="83" borderId="286" xfId="0" applyNumberFormat="1" applyFont="1" applyFill="1" applyBorder="1" applyAlignment="1">
      <alignment horizontal="center" vertical="center"/>
    </xf>
    <xf numFmtId="10" fontId="3" fillId="83" borderId="293" xfId="0" applyNumberFormat="1" applyFont="1" applyFill="1" applyBorder="1" applyAlignment="1">
      <alignment horizontal="center" vertical="center"/>
    </xf>
    <xf numFmtId="0" fontId="5" fillId="83" borderId="74" xfId="0" applyFont="1" applyFill="1" applyBorder="1" applyAlignment="1">
      <alignment horizontal="center" vertical="center" wrapText="1"/>
    </xf>
    <xf numFmtId="0" fontId="5" fillId="83" borderId="52" xfId="0" applyFont="1" applyFill="1" applyBorder="1" applyAlignment="1">
      <alignment horizontal="center" vertical="center" wrapText="1"/>
    </xf>
    <xf numFmtId="0" fontId="56" fillId="176" borderId="81" xfId="0" applyFont="1" applyFill="1" applyBorder="1" applyAlignment="1">
      <alignment horizontal="center" vertical="center"/>
    </xf>
    <xf numFmtId="0" fontId="56" fillId="176" borderId="82" xfId="0" applyFont="1" applyFill="1" applyBorder="1" applyAlignment="1">
      <alignment horizontal="center" vertical="center"/>
    </xf>
    <xf numFmtId="0" fontId="56" fillId="176" borderId="83" xfId="0" applyFont="1" applyFill="1" applyBorder="1" applyAlignment="1">
      <alignment horizontal="center" vertical="center"/>
    </xf>
    <xf numFmtId="0" fontId="15" fillId="82" borderId="80" xfId="0" applyFont="1" applyFill="1" applyBorder="1" applyAlignment="1">
      <alignment horizontal="center" vertical="center" textRotation="90"/>
    </xf>
    <xf numFmtId="0" fontId="15" fillId="82" borderId="84" xfId="0" applyFont="1" applyFill="1" applyBorder="1" applyAlignment="1">
      <alignment horizontal="center" vertical="center" textRotation="90"/>
    </xf>
    <xf numFmtId="0" fontId="3" fillId="185" borderId="287" xfId="0" applyFont="1" applyFill="1" applyBorder="1" applyAlignment="1">
      <alignment horizontal="center" vertical="center" wrapText="1"/>
    </xf>
    <xf numFmtId="0" fontId="3" fillId="185" borderId="288" xfId="0" applyFont="1" applyFill="1" applyBorder="1" applyAlignment="1">
      <alignment horizontal="center" vertical="center" wrapText="1"/>
    </xf>
    <xf numFmtId="0" fontId="3" fillId="185" borderId="290" xfId="0" applyFont="1" applyFill="1" applyBorder="1" applyAlignment="1">
      <alignment horizontal="center" vertical="center" wrapText="1"/>
    </xf>
    <xf numFmtId="0" fontId="3" fillId="185" borderId="31" xfId="0" applyFont="1" applyFill="1" applyBorder="1" applyAlignment="1">
      <alignment horizontal="center" vertical="center" wrapText="1"/>
    </xf>
    <xf numFmtId="0" fontId="3" fillId="185" borderId="292" xfId="0" applyFont="1" applyFill="1" applyBorder="1" applyAlignment="1">
      <alignment horizontal="center" vertical="center" wrapText="1"/>
    </xf>
    <xf numFmtId="0" fontId="3" fillId="185" borderId="286" xfId="0" applyFont="1" applyFill="1" applyBorder="1" applyAlignment="1">
      <alignment horizontal="center" vertical="center" wrapText="1"/>
    </xf>
    <xf numFmtId="10" fontId="3" fillId="185" borderId="288" xfId="0" applyNumberFormat="1" applyFont="1" applyFill="1" applyBorder="1" applyAlignment="1">
      <alignment horizontal="center" vertical="center"/>
    </xf>
    <xf numFmtId="10" fontId="3" fillId="185" borderId="289" xfId="0" applyNumberFormat="1" applyFont="1" applyFill="1" applyBorder="1" applyAlignment="1">
      <alignment horizontal="center" vertical="center"/>
    </xf>
    <xf numFmtId="10" fontId="3" fillId="185" borderId="31" xfId="0" applyNumberFormat="1" applyFont="1" applyFill="1" applyBorder="1" applyAlignment="1">
      <alignment horizontal="center" vertical="center"/>
    </xf>
    <xf numFmtId="10" fontId="3" fillId="185" borderId="291" xfId="0" applyNumberFormat="1" applyFont="1" applyFill="1" applyBorder="1" applyAlignment="1">
      <alignment horizontal="center" vertical="center"/>
    </xf>
    <xf numFmtId="10" fontId="3" fillId="185" borderId="286" xfId="0" applyNumberFormat="1" applyFont="1" applyFill="1" applyBorder="1" applyAlignment="1">
      <alignment horizontal="center" vertical="center"/>
    </xf>
    <xf numFmtId="10" fontId="3" fillId="185" borderId="293" xfId="0" applyNumberFormat="1" applyFont="1" applyFill="1" applyBorder="1" applyAlignment="1">
      <alignment horizontal="center" vertical="center"/>
    </xf>
    <xf numFmtId="0" fontId="5" fillId="185" borderId="74" xfId="0" applyFont="1" applyFill="1" applyBorder="1" applyAlignment="1">
      <alignment horizontal="center" vertical="center" wrapText="1"/>
    </xf>
    <xf numFmtId="0" fontId="5" fillId="185" borderId="52" xfId="0" applyFont="1" applyFill="1" applyBorder="1" applyAlignment="1">
      <alignment horizontal="center" vertical="center" wrapText="1"/>
    </xf>
    <xf numFmtId="10" fontId="12" fillId="185" borderId="52" xfId="0" applyNumberFormat="1" applyFont="1" applyFill="1" applyBorder="1" applyAlignment="1">
      <alignment horizontal="center" vertical="center"/>
    </xf>
    <xf numFmtId="10" fontId="12" fillId="185" borderId="75" xfId="0" applyNumberFormat="1" applyFont="1" applyFill="1" applyBorder="1" applyAlignment="1">
      <alignment horizontal="center" vertical="center"/>
    </xf>
    <xf numFmtId="0" fontId="5" fillId="197" borderId="74" xfId="0" applyFont="1" applyFill="1" applyBorder="1" applyAlignment="1">
      <alignment horizontal="center" vertical="center" wrapText="1"/>
    </xf>
    <xf numFmtId="0" fontId="5" fillId="197" borderId="52" xfId="0" applyFont="1" applyFill="1" applyBorder="1" applyAlignment="1">
      <alignment horizontal="center" vertical="center" wrapText="1"/>
    </xf>
    <xf numFmtId="10" fontId="12" fillId="197" borderId="52" xfId="0" applyNumberFormat="1" applyFont="1" applyFill="1" applyBorder="1" applyAlignment="1">
      <alignment horizontal="center" vertical="center"/>
    </xf>
    <xf numFmtId="10" fontId="12" fillId="197" borderId="75" xfId="0" applyNumberFormat="1" applyFont="1" applyFill="1" applyBorder="1" applyAlignment="1">
      <alignment horizontal="center" vertical="center"/>
    </xf>
    <xf numFmtId="0" fontId="15" fillId="194" borderId="80" xfId="0" applyFont="1" applyFill="1" applyBorder="1" applyAlignment="1">
      <alignment horizontal="center" vertical="center" textRotation="90"/>
    </xf>
    <xf numFmtId="0" fontId="15" fillId="194" borderId="84" xfId="0" applyFont="1" applyFill="1" applyBorder="1" applyAlignment="1">
      <alignment horizontal="center" vertical="center" textRotation="90"/>
    </xf>
    <xf numFmtId="10" fontId="3" fillId="193" borderId="288" xfId="0" applyNumberFormat="1" applyFont="1" applyFill="1" applyBorder="1" applyAlignment="1">
      <alignment horizontal="center" vertical="center"/>
    </xf>
    <xf numFmtId="10" fontId="3" fillId="193" borderId="289" xfId="0" applyNumberFormat="1" applyFont="1" applyFill="1" applyBorder="1" applyAlignment="1">
      <alignment horizontal="center" vertical="center"/>
    </xf>
    <xf numFmtId="10" fontId="3" fillId="193" borderId="31" xfId="0" applyNumberFormat="1" applyFont="1" applyFill="1" applyBorder="1" applyAlignment="1">
      <alignment horizontal="center" vertical="center"/>
    </xf>
    <xf numFmtId="10" fontId="3" fillId="193" borderId="291" xfId="0" applyNumberFormat="1" applyFont="1" applyFill="1" applyBorder="1" applyAlignment="1">
      <alignment horizontal="center" vertical="center"/>
    </xf>
    <xf numFmtId="10" fontId="3" fillId="193" borderId="286" xfId="0" applyNumberFormat="1" applyFont="1" applyFill="1" applyBorder="1" applyAlignment="1">
      <alignment horizontal="center" vertical="center"/>
    </xf>
    <xf numFmtId="10" fontId="3" fillId="193" borderId="293" xfId="0" applyNumberFormat="1" applyFont="1" applyFill="1" applyBorder="1" applyAlignment="1">
      <alignment horizontal="center" vertical="center"/>
    </xf>
    <xf numFmtId="0" fontId="3" fillId="193" borderId="287" xfId="0" applyFont="1" applyFill="1" applyBorder="1" applyAlignment="1">
      <alignment horizontal="center" vertical="center" wrapText="1"/>
    </xf>
    <xf numFmtId="0" fontId="3" fillId="193" borderId="288" xfId="0" applyFont="1" applyFill="1" applyBorder="1" applyAlignment="1">
      <alignment horizontal="center" vertical="center" wrapText="1"/>
    </xf>
    <xf numFmtId="0" fontId="3" fillId="193" borderId="290" xfId="0" applyFont="1" applyFill="1" applyBorder="1" applyAlignment="1">
      <alignment horizontal="center" vertical="center" wrapText="1"/>
    </xf>
    <xf numFmtId="0" fontId="3" fillId="193" borderId="31" xfId="0" applyFont="1" applyFill="1" applyBorder="1" applyAlignment="1">
      <alignment horizontal="center" vertical="center" wrapText="1"/>
    </xf>
    <xf numFmtId="0" fontId="3" fillId="193" borderId="292" xfId="0" applyFont="1" applyFill="1" applyBorder="1" applyAlignment="1">
      <alignment horizontal="center" vertical="center" wrapText="1"/>
    </xf>
    <xf numFmtId="0" fontId="3" fillId="193" borderId="286" xfId="0" applyFont="1" applyFill="1" applyBorder="1" applyAlignment="1">
      <alignment horizontal="center" vertical="center" wrapText="1"/>
    </xf>
    <xf numFmtId="10" fontId="12" fillId="193" borderId="52" xfId="0" applyNumberFormat="1" applyFont="1" applyFill="1" applyBorder="1" applyAlignment="1">
      <alignment horizontal="center" vertical="center"/>
    </xf>
    <xf numFmtId="10" fontId="12" fillId="193" borderId="75" xfId="0" applyNumberFormat="1" applyFont="1" applyFill="1" applyBorder="1" applyAlignment="1">
      <alignment horizontal="center" vertical="center"/>
    </xf>
    <xf numFmtId="0" fontId="5" fillId="193" borderId="74" xfId="0" applyFont="1" applyFill="1" applyBorder="1" applyAlignment="1">
      <alignment horizontal="center" vertical="center" wrapText="1"/>
    </xf>
    <xf numFmtId="0" fontId="5" fillId="193" borderId="52" xfId="0" applyFont="1" applyFill="1" applyBorder="1" applyAlignment="1">
      <alignment horizontal="center" vertical="center" wrapText="1"/>
    </xf>
    <xf numFmtId="10" fontId="3" fillId="30" borderId="288" xfId="0" applyNumberFormat="1" applyFont="1" applyFill="1" applyBorder="1" applyAlignment="1">
      <alignment horizontal="center" vertical="center"/>
    </xf>
    <xf numFmtId="10" fontId="3" fillId="30" borderId="289" xfId="0" applyNumberFormat="1" applyFont="1" applyFill="1" applyBorder="1" applyAlignment="1">
      <alignment horizontal="center" vertical="center"/>
    </xf>
    <xf numFmtId="10" fontId="3" fillId="30" borderId="31" xfId="0" applyNumberFormat="1" applyFont="1" applyFill="1" applyBorder="1" applyAlignment="1">
      <alignment horizontal="center" vertical="center"/>
    </xf>
    <xf numFmtId="10" fontId="3" fillId="30" borderId="291" xfId="0" applyNumberFormat="1" applyFont="1" applyFill="1" applyBorder="1" applyAlignment="1">
      <alignment horizontal="center" vertical="center"/>
    </xf>
    <xf numFmtId="10" fontId="3" fillId="30" borderId="286" xfId="0" applyNumberFormat="1" applyFont="1" applyFill="1" applyBorder="1" applyAlignment="1">
      <alignment horizontal="center" vertical="center"/>
    </xf>
    <xf numFmtId="10" fontId="3" fillId="30" borderId="293" xfId="0" applyNumberFormat="1" applyFont="1" applyFill="1" applyBorder="1" applyAlignment="1">
      <alignment horizontal="center" vertical="center"/>
    </xf>
    <xf numFmtId="0" fontId="3" fillId="30" borderId="287" xfId="0" applyFont="1" applyFill="1" applyBorder="1" applyAlignment="1">
      <alignment horizontal="center" vertical="center" wrapText="1"/>
    </xf>
    <xf numFmtId="0" fontId="3" fillId="30" borderId="288" xfId="0" applyFont="1" applyFill="1" applyBorder="1" applyAlignment="1">
      <alignment horizontal="center" vertical="center" wrapText="1"/>
    </xf>
    <xf numFmtId="0" fontId="3" fillId="30" borderId="290" xfId="0" applyFont="1" applyFill="1" applyBorder="1" applyAlignment="1">
      <alignment horizontal="center" vertical="center" wrapText="1"/>
    </xf>
    <xf numFmtId="0" fontId="3" fillId="30" borderId="31" xfId="0" applyFont="1" applyFill="1" applyBorder="1" applyAlignment="1">
      <alignment horizontal="center" vertical="center" wrapText="1"/>
    </xf>
    <xf numFmtId="0" fontId="3" fillId="30" borderId="292" xfId="0" applyFont="1" applyFill="1" applyBorder="1" applyAlignment="1">
      <alignment horizontal="center" vertical="center" wrapText="1"/>
    </xf>
    <xf numFmtId="0" fontId="3" fillId="30" borderId="286" xfId="0" applyFont="1" applyFill="1" applyBorder="1" applyAlignment="1">
      <alignment horizontal="center" vertical="center" wrapText="1"/>
    </xf>
    <xf numFmtId="0" fontId="3" fillId="167" borderId="287" xfId="0" applyFont="1" applyFill="1" applyBorder="1" applyAlignment="1">
      <alignment horizontal="center" vertical="center" wrapText="1"/>
    </xf>
    <xf numFmtId="0" fontId="3" fillId="167" borderId="288" xfId="0" applyFont="1" applyFill="1" applyBorder="1" applyAlignment="1">
      <alignment horizontal="center" vertical="center" wrapText="1"/>
    </xf>
    <xf numFmtId="0" fontId="3" fillId="167" borderId="290" xfId="0" applyFont="1" applyFill="1" applyBorder="1" applyAlignment="1">
      <alignment horizontal="center" vertical="center" wrapText="1"/>
    </xf>
    <xf numFmtId="0" fontId="3" fillId="167" borderId="31" xfId="0" applyFont="1" applyFill="1" applyBorder="1" applyAlignment="1">
      <alignment horizontal="center" vertical="center" wrapText="1"/>
    </xf>
    <xf numFmtId="0" fontId="3" fillId="167" borderId="292" xfId="0" applyFont="1" applyFill="1" applyBorder="1" applyAlignment="1">
      <alignment horizontal="center" vertical="center" wrapText="1"/>
    </xf>
    <xf numFmtId="0" fontId="3" fillId="167" borderId="286" xfId="0" applyFont="1" applyFill="1" applyBorder="1" applyAlignment="1">
      <alignment horizontal="center" vertical="center" wrapText="1"/>
    </xf>
    <xf numFmtId="10" fontId="3" fillId="167" borderId="288" xfId="0" applyNumberFormat="1" applyFont="1" applyFill="1" applyBorder="1" applyAlignment="1">
      <alignment horizontal="center" vertical="center"/>
    </xf>
    <xf numFmtId="10" fontId="3" fillId="167" borderId="289" xfId="0" applyNumberFormat="1" applyFont="1" applyFill="1" applyBorder="1" applyAlignment="1">
      <alignment horizontal="center" vertical="center"/>
    </xf>
    <xf numFmtId="10" fontId="3" fillId="167" borderId="31" xfId="0" applyNumberFormat="1" applyFont="1" applyFill="1" applyBorder="1" applyAlignment="1">
      <alignment horizontal="center" vertical="center"/>
    </xf>
    <xf numFmtId="10" fontId="3" fillId="167" borderId="291" xfId="0" applyNumberFormat="1" applyFont="1" applyFill="1" applyBorder="1" applyAlignment="1">
      <alignment horizontal="center" vertical="center"/>
    </xf>
    <xf numFmtId="10" fontId="3" fillId="167" borderId="286" xfId="0" applyNumberFormat="1" applyFont="1" applyFill="1" applyBorder="1" applyAlignment="1">
      <alignment horizontal="center" vertical="center"/>
    </xf>
    <xf numFmtId="10" fontId="3" fillId="167" borderId="293" xfId="0" applyNumberFormat="1" applyFont="1" applyFill="1" applyBorder="1" applyAlignment="1">
      <alignment horizontal="center" vertical="center"/>
    </xf>
    <xf numFmtId="10" fontId="3" fillId="191" borderId="288" xfId="0" applyNumberFormat="1" applyFont="1" applyFill="1" applyBorder="1" applyAlignment="1">
      <alignment horizontal="center" vertical="center"/>
    </xf>
    <xf numFmtId="10" fontId="3" fillId="191" borderId="289" xfId="0" applyNumberFormat="1" applyFont="1" applyFill="1" applyBorder="1" applyAlignment="1">
      <alignment horizontal="center" vertical="center"/>
    </xf>
    <xf numFmtId="10" fontId="3" fillId="191" borderId="31" xfId="0" applyNumberFormat="1" applyFont="1" applyFill="1" applyBorder="1" applyAlignment="1">
      <alignment horizontal="center" vertical="center"/>
    </xf>
    <xf numFmtId="10" fontId="3" fillId="191" borderId="291" xfId="0" applyNumberFormat="1" applyFont="1" applyFill="1" applyBorder="1" applyAlignment="1">
      <alignment horizontal="center" vertical="center"/>
    </xf>
    <xf numFmtId="10" fontId="3" fillId="191" borderId="286" xfId="0" applyNumberFormat="1" applyFont="1" applyFill="1" applyBorder="1" applyAlignment="1">
      <alignment horizontal="center" vertical="center"/>
    </xf>
    <xf numFmtId="10" fontId="3" fillId="191" borderId="293" xfId="0" applyNumberFormat="1" applyFont="1" applyFill="1" applyBorder="1" applyAlignment="1">
      <alignment horizontal="center" vertical="center"/>
    </xf>
    <xf numFmtId="0" fontId="3" fillId="191" borderId="287" xfId="0" applyFont="1" applyFill="1" applyBorder="1" applyAlignment="1">
      <alignment horizontal="center" vertical="center" wrapText="1"/>
    </xf>
    <xf numFmtId="0" fontId="3" fillId="191" borderId="288" xfId="0" applyFont="1" applyFill="1" applyBorder="1" applyAlignment="1">
      <alignment horizontal="center" vertical="center" wrapText="1"/>
    </xf>
    <xf numFmtId="0" fontId="3" fillId="191" borderId="290" xfId="0" applyFont="1" applyFill="1" applyBorder="1" applyAlignment="1">
      <alignment horizontal="center" vertical="center" wrapText="1"/>
    </xf>
    <xf numFmtId="0" fontId="3" fillId="191" borderId="31" xfId="0" applyFont="1" applyFill="1" applyBorder="1" applyAlignment="1">
      <alignment horizontal="center" vertical="center" wrapText="1"/>
    </xf>
    <xf numFmtId="0" fontId="3" fillId="191" borderId="292" xfId="0" applyFont="1" applyFill="1" applyBorder="1" applyAlignment="1">
      <alignment horizontal="center" vertical="center" wrapText="1"/>
    </xf>
    <xf numFmtId="0" fontId="3" fillId="191" borderId="286" xfId="0" applyFont="1" applyFill="1" applyBorder="1" applyAlignment="1">
      <alignment horizontal="center" vertical="center" wrapText="1"/>
    </xf>
    <xf numFmtId="0" fontId="5" fillId="191" borderId="74" xfId="0" applyFont="1" applyFill="1" applyBorder="1" applyAlignment="1">
      <alignment horizontal="center" vertical="center" wrapText="1"/>
    </xf>
    <xf numFmtId="0" fontId="5" fillId="191" borderId="52" xfId="0" applyFont="1" applyFill="1" applyBorder="1" applyAlignment="1">
      <alignment horizontal="center" vertical="center" wrapText="1"/>
    </xf>
    <xf numFmtId="10" fontId="12" fillId="191" borderId="52" xfId="0" applyNumberFormat="1" applyFont="1" applyFill="1" applyBorder="1" applyAlignment="1">
      <alignment horizontal="center" vertical="center"/>
    </xf>
    <xf numFmtId="10" fontId="12" fillId="191" borderId="75" xfId="0" applyNumberFormat="1" applyFont="1" applyFill="1" applyBorder="1" applyAlignment="1">
      <alignment horizontal="center" vertical="center"/>
    </xf>
    <xf numFmtId="10" fontId="3" fillId="187" borderId="288" xfId="0" applyNumberFormat="1" applyFont="1" applyFill="1" applyBorder="1" applyAlignment="1">
      <alignment horizontal="center" vertical="center"/>
    </xf>
    <xf numFmtId="10" fontId="3" fillId="187" borderId="289" xfId="0" applyNumberFormat="1" applyFont="1" applyFill="1" applyBorder="1" applyAlignment="1">
      <alignment horizontal="center" vertical="center"/>
    </xf>
    <xf numFmtId="10" fontId="3" fillId="187" borderId="31" xfId="0" applyNumberFormat="1" applyFont="1" applyFill="1" applyBorder="1" applyAlignment="1">
      <alignment horizontal="center" vertical="center"/>
    </xf>
    <xf numFmtId="10" fontId="3" fillId="187" borderId="291" xfId="0" applyNumberFormat="1" applyFont="1" applyFill="1" applyBorder="1" applyAlignment="1">
      <alignment horizontal="center" vertical="center"/>
    </xf>
    <xf numFmtId="10" fontId="3" fillId="187" borderId="286" xfId="0" applyNumberFormat="1" applyFont="1" applyFill="1" applyBorder="1" applyAlignment="1">
      <alignment horizontal="center" vertical="center"/>
    </xf>
    <xf numFmtId="10" fontId="3" fillId="187" borderId="293" xfId="0" applyNumberFormat="1" applyFont="1" applyFill="1" applyBorder="1" applyAlignment="1">
      <alignment horizontal="center" vertical="center"/>
    </xf>
    <xf numFmtId="0" fontId="3" fillId="189" borderId="287" xfId="0" applyFont="1" applyFill="1" applyBorder="1" applyAlignment="1">
      <alignment horizontal="center" vertical="center" wrapText="1"/>
    </xf>
    <xf numFmtId="0" fontId="3" fillId="189" borderId="288" xfId="0" applyFont="1" applyFill="1" applyBorder="1" applyAlignment="1">
      <alignment horizontal="center" vertical="center" wrapText="1"/>
    </xf>
    <xf numFmtId="0" fontId="3" fillId="189" borderId="290" xfId="0" applyFont="1" applyFill="1" applyBorder="1" applyAlignment="1">
      <alignment horizontal="center" vertical="center" wrapText="1"/>
    </xf>
    <xf numFmtId="0" fontId="3" fillId="189" borderId="31" xfId="0" applyFont="1" applyFill="1" applyBorder="1" applyAlignment="1">
      <alignment horizontal="center" vertical="center" wrapText="1"/>
    </xf>
    <xf numFmtId="0" fontId="3" fillId="189" borderId="292" xfId="0" applyFont="1" applyFill="1" applyBorder="1" applyAlignment="1">
      <alignment horizontal="center" vertical="center" wrapText="1"/>
    </xf>
    <xf numFmtId="0" fontId="3" fillId="189" borderId="286" xfId="0" applyFont="1" applyFill="1" applyBorder="1" applyAlignment="1">
      <alignment horizontal="center" vertical="center" wrapText="1"/>
    </xf>
    <xf numFmtId="10" fontId="3" fillId="189" borderId="288" xfId="0" applyNumberFormat="1" applyFont="1" applyFill="1" applyBorder="1" applyAlignment="1">
      <alignment horizontal="center" vertical="center"/>
    </xf>
    <xf numFmtId="10" fontId="3" fillId="189" borderId="289" xfId="0" applyNumberFormat="1" applyFont="1" applyFill="1" applyBorder="1" applyAlignment="1">
      <alignment horizontal="center" vertical="center"/>
    </xf>
    <xf numFmtId="10" fontId="3" fillId="189" borderId="31" xfId="0" applyNumberFormat="1" applyFont="1" applyFill="1" applyBorder="1" applyAlignment="1">
      <alignment horizontal="center" vertical="center"/>
    </xf>
    <xf numFmtId="10" fontId="3" fillId="189" borderId="291" xfId="0" applyNumberFormat="1" applyFont="1" applyFill="1" applyBorder="1" applyAlignment="1">
      <alignment horizontal="center" vertical="center"/>
    </xf>
    <xf numFmtId="10" fontId="3" fillId="189" borderId="286" xfId="0" applyNumberFormat="1" applyFont="1" applyFill="1" applyBorder="1" applyAlignment="1">
      <alignment horizontal="center" vertical="center"/>
    </xf>
    <xf numFmtId="10" fontId="3" fillId="189" borderId="293" xfId="0" applyNumberFormat="1" applyFont="1" applyFill="1" applyBorder="1" applyAlignment="1">
      <alignment horizontal="center" vertical="center"/>
    </xf>
    <xf numFmtId="0" fontId="3" fillId="187" borderId="287" xfId="0" applyFont="1" applyFill="1" applyBorder="1" applyAlignment="1">
      <alignment horizontal="center" vertical="center" wrapText="1"/>
    </xf>
    <xf numFmtId="0" fontId="3" fillId="187" borderId="288" xfId="0" applyFont="1" applyFill="1" applyBorder="1" applyAlignment="1">
      <alignment horizontal="center" vertical="center" wrapText="1"/>
    </xf>
    <xf numFmtId="0" fontId="3" fillId="187" borderId="290" xfId="0" applyFont="1" applyFill="1" applyBorder="1" applyAlignment="1">
      <alignment horizontal="center" vertical="center" wrapText="1"/>
    </xf>
    <xf numFmtId="0" fontId="3" fillId="187" borderId="31" xfId="0" applyFont="1" applyFill="1" applyBorder="1" applyAlignment="1">
      <alignment horizontal="center" vertical="center" wrapText="1"/>
    </xf>
    <xf numFmtId="0" fontId="3" fillId="187" borderId="292" xfId="0" applyFont="1" applyFill="1" applyBorder="1" applyAlignment="1">
      <alignment horizontal="center" vertical="center" wrapText="1"/>
    </xf>
    <xf numFmtId="0" fontId="3" fillId="187" borderId="286" xfId="0" applyFont="1" applyFill="1" applyBorder="1" applyAlignment="1">
      <alignment horizontal="center" vertical="center" wrapText="1"/>
    </xf>
    <xf numFmtId="0" fontId="5" fillId="187" borderId="74" xfId="0" applyFont="1" applyFill="1" applyBorder="1" applyAlignment="1">
      <alignment horizontal="center" vertical="center" wrapText="1"/>
    </xf>
    <xf numFmtId="0" fontId="5" fillId="187" borderId="52" xfId="0" applyFont="1" applyFill="1" applyBorder="1" applyAlignment="1">
      <alignment horizontal="center" vertical="center" wrapText="1"/>
    </xf>
    <xf numFmtId="10" fontId="12" fillId="187" borderId="52" xfId="0" applyNumberFormat="1" applyFont="1" applyFill="1" applyBorder="1" applyAlignment="1">
      <alignment horizontal="center" vertical="center"/>
    </xf>
    <xf numFmtId="10" fontId="12" fillId="187" borderId="75" xfId="0" applyNumberFormat="1" applyFont="1" applyFill="1" applyBorder="1" applyAlignment="1">
      <alignment horizontal="center" vertical="center"/>
    </xf>
    <xf numFmtId="0" fontId="3" fillId="177" borderId="287" xfId="0" applyFont="1" applyFill="1" applyBorder="1" applyAlignment="1">
      <alignment horizontal="center" vertical="center" wrapText="1"/>
    </xf>
    <xf numFmtId="0" fontId="3" fillId="177" borderId="288" xfId="0" applyFont="1" applyFill="1" applyBorder="1" applyAlignment="1">
      <alignment horizontal="center" vertical="center" wrapText="1"/>
    </xf>
    <xf numFmtId="0" fontId="3" fillId="177" borderId="290" xfId="0" applyFont="1" applyFill="1" applyBorder="1" applyAlignment="1">
      <alignment horizontal="center" vertical="center" wrapText="1"/>
    </xf>
    <xf numFmtId="0" fontId="3" fillId="177" borderId="31" xfId="0" applyFont="1" applyFill="1" applyBorder="1" applyAlignment="1">
      <alignment horizontal="center" vertical="center" wrapText="1"/>
    </xf>
    <xf numFmtId="0" fontId="3" fillId="177" borderId="292" xfId="0" applyFont="1" applyFill="1" applyBorder="1" applyAlignment="1">
      <alignment horizontal="center" vertical="center" wrapText="1"/>
    </xf>
    <xf numFmtId="0" fontId="3" fillId="177" borderId="286" xfId="0" applyFont="1" applyFill="1" applyBorder="1" applyAlignment="1">
      <alignment horizontal="center" vertical="center" wrapText="1"/>
    </xf>
    <xf numFmtId="10" fontId="3" fillId="177" borderId="288" xfId="0" applyNumberFormat="1" applyFont="1" applyFill="1" applyBorder="1" applyAlignment="1">
      <alignment horizontal="center" vertical="center"/>
    </xf>
    <xf numFmtId="10" fontId="3" fillId="177" borderId="289" xfId="0" applyNumberFormat="1" applyFont="1" applyFill="1" applyBorder="1" applyAlignment="1">
      <alignment horizontal="center" vertical="center"/>
    </xf>
    <xf numFmtId="10" fontId="3" fillId="177" borderId="31" xfId="0" applyNumberFormat="1" applyFont="1" applyFill="1" applyBorder="1" applyAlignment="1">
      <alignment horizontal="center" vertical="center"/>
    </xf>
    <xf numFmtId="10" fontId="3" fillId="177" borderId="291" xfId="0" applyNumberFormat="1" applyFont="1" applyFill="1" applyBorder="1" applyAlignment="1">
      <alignment horizontal="center" vertical="center"/>
    </xf>
    <xf numFmtId="10" fontId="3" fillId="177" borderId="286" xfId="0" applyNumberFormat="1" applyFont="1" applyFill="1" applyBorder="1" applyAlignment="1">
      <alignment horizontal="center" vertical="center"/>
    </xf>
    <xf numFmtId="10" fontId="3" fillId="177" borderId="293" xfId="0" applyNumberFormat="1" applyFont="1" applyFill="1" applyBorder="1" applyAlignment="1">
      <alignment horizontal="center" vertical="center"/>
    </xf>
    <xf numFmtId="0" fontId="5" fillId="179" borderId="74" xfId="0" applyFont="1" applyFill="1" applyBorder="1" applyAlignment="1">
      <alignment horizontal="center" vertical="center" wrapText="1"/>
    </xf>
    <xf numFmtId="0" fontId="5" fillId="179" borderId="52" xfId="0" applyFont="1" applyFill="1" applyBorder="1" applyAlignment="1">
      <alignment horizontal="center" vertical="center" wrapText="1"/>
    </xf>
    <xf numFmtId="10" fontId="12" fillId="179" borderId="52" xfId="0" applyNumberFormat="1" applyFont="1" applyFill="1" applyBorder="1" applyAlignment="1">
      <alignment horizontal="center" vertical="center"/>
    </xf>
    <xf numFmtId="10" fontId="12" fillId="179" borderId="75" xfId="0" applyNumberFormat="1" applyFont="1" applyFill="1" applyBorder="1" applyAlignment="1">
      <alignment horizontal="center" vertical="center"/>
    </xf>
    <xf numFmtId="0" fontId="3" fillId="179" borderId="287" xfId="0" applyFont="1" applyFill="1" applyBorder="1" applyAlignment="1">
      <alignment horizontal="center" vertical="center" wrapText="1"/>
    </xf>
    <xf numFmtId="0" fontId="3" fillId="179" borderId="288" xfId="0" applyFont="1" applyFill="1" applyBorder="1" applyAlignment="1">
      <alignment horizontal="center" vertical="center" wrapText="1"/>
    </xf>
    <xf numFmtId="0" fontId="3" fillId="179" borderId="290" xfId="0" applyFont="1" applyFill="1" applyBorder="1" applyAlignment="1">
      <alignment horizontal="center" vertical="center" wrapText="1"/>
    </xf>
    <xf numFmtId="0" fontId="3" fillId="179" borderId="31" xfId="0" applyFont="1" applyFill="1" applyBorder="1" applyAlignment="1">
      <alignment horizontal="center" vertical="center" wrapText="1"/>
    </xf>
    <xf numFmtId="0" fontId="3" fillId="179" borderId="292" xfId="0" applyFont="1" applyFill="1" applyBorder="1" applyAlignment="1">
      <alignment horizontal="center" vertical="center" wrapText="1"/>
    </xf>
    <xf numFmtId="0" fontId="3" fillId="179" borderId="286" xfId="0" applyFont="1" applyFill="1" applyBorder="1" applyAlignment="1">
      <alignment horizontal="center" vertical="center" wrapText="1"/>
    </xf>
    <xf numFmtId="10" fontId="3" fillId="179" borderId="288" xfId="0" applyNumberFormat="1" applyFont="1" applyFill="1" applyBorder="1" applyAlignment="1">
      <alignment horizontal="center" vertical="center"/>
    </xf>
    <xf numFmtId="10" fontId="3" fillId="179" borderId="289" xfId="0" applyNumberFormat="1" applyFont="1" applyFill="1" applyBorder="1" applyAlignment="1">
      <alignment horizontal="center" vertical="center"/>
    </xf>
    <xf numFmtId="10" fontId="3" fillId="179" borderId="31" xfId="0" applyNumberFormat="1" applyFont="1" applyFill="1" applyBorder="1" applyAlignment="1">
      <alignment horizontal="center" vertical="center"/>
    </xf>
    <xf numFmtId="10" fontId="3" fillId="179" borderId="291" xfId="0" applyNumberFormat="1" applyFont="1" applyFill="1" applyBorder="1" applyAlignment="1">
      <alignment horizontal="center" vertical="center"/>
    </xf>
    <xf numFmtId="10" fontId="3" fillId="179" borderId="286" xfId="0" applyNumberFormat="1" applyFont="1" applyFill="1" applyBorder="1" applyAlignment="1">
      <alignment horizontal="center" vertical="center"/>
    </xf>
    <xf numFmtId="10" fontId="3" fillId="179" borderId="293" xfId="0" applyNumberFormat="1" applyFont="1" applyFill="1" applyBorder="1" applyAlignment="1">
      <alignment horizontal="center" vertical="center"/>
    </xf>
    <xf numFmtId="0" fontId="3" fillId="10" borderId="287" xfId="0" applyFont="1" applyFill="1" applyBorder="1" applyAlignment="1">
      <alignment horizontal="center" vertical="center" wrapText="1"/>
    </xf>
    <xf numFmtId="0" fontId="3" fillId="10" borderId="288" xfId="0" applyFont="1" applyFill="1" applyBorder="1" applyAlignment="1">
      <alignment horizontal="center" vertical="center" wrapText="1"/>
    </xf>
    <xf numFmtId="0" fontId="3" fillId="10" borderId="290" xfId="0" applyFont="1" applyFill="1" applyBorder="1" applyAlignment="1">
      <alignment horizontal="center" vertical="center" wrapText="1"/>
    </xf>
    <xf numFmtId="0" fontId="3" fillId="10" borderId="31" xfId="0" applyFont="1" applyFill="1" applyBorder="1" applyAlignment="1">
      <alignment horizontal="center" vertical="center" wrapText="1"/>
    </xf>
    <xf numFmtId="0" fontId="3" fillId="10" borderId="292" xfId="0" applyFont="1" applyFill="1" applyBorder="1" applyAlignment="1">
      <alignment horizontal="center" vertical="center" wrapText="1"/>
    </xf>
    <xf numFmtId="0" fontId="3" fillId="10" borderId="286" xfId="0" applyFont="1" applyFill="1" applyBorder="1" applyAlignment="1">
      <alignment horizontal="center" vertical="center" wrapText="1"/>
    </xf>
    <xf numFmtId="10" fontId="3" fillId="10" borderId="288" xfId="0" applyNumberFormat="1" applyFont="1" applyFill="1" applyBorder="1" applyAlignment="1">
      <alignment horizontal="center" vertical="center"/>
    </xf>
    <xf numFmtId="10" fontId="3" fillId="10" borderId="289" xfId="0" applyNumberFormat="1" applyFont="1" applyFill="1" applyBorder="1" applyAlignment="1">
      <alignment horizontal="center" vertical="center"/>
    </xf>
    <xf numFmtId="10" fontId="3" fillId="10" borderId="31" xfId="0" applyNumberFormat="1" applyFont="1" applyFill="1" applyBorder="1" applyAlignment="1">
      <alignment horizontal="center" vertical="center"/>
    </xf>
    <xf numFmtId="10" fontId="3" fillId="10" borderId="291" xfId="0" applyNumberFormat="1" applyFont="1" applyFill="1" applyBorder="1" applyAlignment="1">
      <alignment horizontal="center" vertical="center"/>
    </xf>
    <xf numFmtId="10" fontId="3" fillId="10" borderId="286" xfId="0" applyNumberFormat="1" applyFont="1" applyFill="1" applyBorder="1" applyAlignment="1">
      <alignment horizontal="center" vertical="center"/>
    </xf>
    <xf numFmtId="10" fontId="3" fillId="10" borderId="293" xfId="0" applyNumberFormat="1" applyFont="1" applyFill="1" applyBorder="1" applyAlignment="1">
      <alignment horizontal="center" vertical="center"/>
    </xf>
    <xf numFmtId="0" fontId="3" fillId="169" borderId="287" xfId="0" applyFont="1" applyFill="1" applyBorder="1" applyAlignment="1">
      <alignment horizontal="center" vertical="center" wrapText="1"/>
    </xf>
    <xf numFmtId="0" fontId="3" fillId="169" borderId="288" xfId="0" applyFont="1" applyFill="1" applyBorder="1" applyAlignment="1">
      <alignment horizontal="center" vertical="center" wrapText="1"/>
    </xf>
    <xf numFmtId="0" fontId="3" fillId="169" borderId="290" xfId="0" applyFont="1" applyFill="1" applyBorder="1" applyAlignment="1">
      <alignment horizontal="center" vertical="center" wrapText="1"/>
    </xf>
    <xf numFmtId="0" fontId="3" fillId="169" borderId="31" xfId="0" applyFont="1" applyFill="1" applyBorder="1" applyAlignment="1">
      <alignment horizontal="center" vertical="center" wrapText="1"/>
    </xf>
    <xf numFmtId="0" fontId="3" fillId="169" borderId="292" xfId="0" applyFont="1" applyFill="1" applyBorder="1" applyAlignment="1">
      <alignment horizontal="center" vertical="center" wrapText="1"/>
    </xf>
    <xf numFmtId="0" fontId="3" fillId="169" borderId="286" xfId="0" applyFont="1" applyFill="1" applyBorder="1" applyAlignment="1">
      <alignment horizontal="center" vertical="center" wrapText="1"/>
    </xf>
    <xf numFmtId="10" fontId="3" fillId="169" borderId="288" xfId="0" applyNumberFormat="1" applyFont="1" applyFill="1" applyBorder="1" applyAlignment="1">
      <alignment horizontal="center" vertical="center"/>
    </xf>
    <xf numFmtId="10" fontId="3" fillId="169" borderId="289" xfId="0" applyNumberFormat="1" applyFont="1" applyFill="1" applyBorder="1" applyAlignment="1">
      <alignment horizontal="center" vertical="center"/>
    </xf>
    <xf numFmtId="10" fontId="3" fillId="169" borderId="31" xfId="0" applyNumberFormat="1" applyFont="1" applyFill="1" applyBorder="1" applyAlignment="1">
      <alignment horizontal="center" vertical="center"/>
    </xf>
    <xf numFmtId="10" fontId="3" fillId="169" borderId="291" xfId="0" applyNumberFormat="1" applyFont="1" applyFill="1" applyBorder="1" applyAlignment="1">
      <alignment horizontal="center" vertical="center"/>
    </xf>
    <xf numFmtId="10" fontId="3" fillId="169" borderId="286" xfId="0" applyNumberFormat="1" applyFont="1" applyFill="1" applyBorder="1" applyAlignment="1">
      <alignment horizontal="center" vertical="center"/>
    </xf>
    <xf numFmtId="10" fontId="3" fillId="169" borderId="293" xfId="0" applyNumberFormat="1" applyFont="1" applyFill="1" applyBorder="1" applyAlignment="1">
      <alignment horizontal="center" vertical="center"/>
    </xf>
    <xf numFmtId="10" fontId="3" fillId="163" borderId="288" xfId="0" applyNumberFormat="1" applyFont="1" applyFill="1" applyBorder="1" applyAlignment="1">
      <alignment horizontal="center" vertical="center"/>
    </xf>
    <xf numFmtId="10" fontId="3" fillId="163" borderId="289" xfId="0" applyNumberFormat="1" applyFont="1" applyFill="1" applyBorder="1" applyAlignment="1">
      <alignment horizontal="center" vertical="center"/>
    </xf>
    <xf numFmtId="10" fontId="3" fillId="163" borderId="31" xfId="0" applyNumberFormat="1" applyFont="1" applyFill="1" applyBorder="1" applyAlignment="1">
      <alignment horizontal="center" vertical="center"/>
    </xf>
    <xf numFmtId="10" fontId="3" fillId="163" borderId="291" xfId="0" applyNumberFormat="1" applyFont="1" applyFill="1" applyBorder="1" applyAlignment="1">
      <alignment horizontal="center" vertical="center"/>
    </xf>
    <xf numFmtId="10" fontId="3" fillId="163" borderId="286" xfId="0" applyNumberFormat="1" applyFont="1" applyFill="1" applyBorder="1" applyAlignment="1">
      <alignment horizontal="center" vertical="center"/>
    </xf>
    <xf numFmtId="10" fontId="3" fillId="163" borderId="293" xfId="0" applyNumberFormat="1" applyFont="1" applyFill="1" applyBorder="1" applyAlignment="1">
      <alignment horizontal="center" vertical="center"/>
    </xf>
    <xf numFmtId="0" fontId="3" fillId="163" borderId="287" xfId="0" applyFont="1" applyFill="1" applyBorder="1" applyAlignment="1">
      <alignment horizontal="center" vertical="center" wrapText="1"/>
    </xf>
    <xf numFmtId="0" fontId="3" fillId="163" borderId="288" xfId="0" applyFont="1" applyFill="1" applyBorder="1" applyAlignment="1">
      <alignment horizontal="center" vertical="center" wrapText="1"/>
    </xf>
    <xf numFmtId="0" fontId="3" fillId="163" borderId="290" xfId="0" applyFont="1" applyFill="1" applyBorder="1" applyAlignment="1">
      <alignment horizontal="center" vertical="center" wrapText="1"/>
    </xf>
    <xf numFmtId="0" fontId="3" fillId="163" borderId="31" xfId="0" applyFont="1" applyFill="1" applyBorder="1" applyAlignment="1">
      <alignment horizontal="center" vertical="center" wrapText="1"/>
    </xf>
    <xf numFmtId="0" fontId="3" fillId="163" borderId="292" xfId="0" applyFont="1" applyFill="1" applyBorder="1" applyAlignment="1">
      <alignment horizontal="center" vertical="center" wrapText="1"/>
    </xf>
    <xf numFmtId="0" fontId="3" fillId="163" borderId="286" xfId="0" applyFont="1" applyFill="1" applyBorder="1" applyAlignment="1">
      <alignment horizontal="center" vertical="center" wrapText="1"/>
    </xf>
    <xf numFmtId="0" fontId="15" fillId="178" borderId="80" xfId="0" applyFont="1" applyFill="1" applyBorder="1" applyAlignment="1">
      <alignment horizontal="center" vertical="center" textRotation="90"/>
    </xf>
    <xf numFmtId="0" fontId="15" fillId="178" borderId="84" xfId="0" applyFont="1" applyFill="1" applyBorder="1" applyAlignment="1">
      <alignment horizontal="center" vertical="center" textRotation="90"/>
    </xf>
    <xf numFmtId="0" fontId="5" fillId="177" borderId="74" xfId="0" applyFont="1" applyFill="1" applyBorder="1" applyAlignment="1">
      <alignment horizontal="center" vertical="center" wrapText="1"/>
    </xf>
    <xf numFmtId="0" fontId="5" fillId="177" borderId="52" xfId="0" applyFont="1" applyFill="1" applyBorder="1" applyAlignment="1">
      <alignment horizontal="center" vertical="center" wrapText="1"/>
    </xf>
    <xf numFmtId="10" fontId="12" fillId="177" borderId="52" xfId="0" applyNumberFormat="1" applyFont="1" applyFill="1" applyBorder="1" applyAlignment="1">
      <alignment horizontal="center" vertical="center"/>
    </xf>
    <xf numFmtId="10" fontId="12" fillId="177" borderId="75" xfId="0" applyNumberFormat="1" applyFont="1" applyFill="1" applyBorder="1" applyAlignment="1">
      <alignment horizontal="center" vertical="center"/>
    </xf>
    <xf numFmtId="10" fontId="12" fillId="163" borderId="52" xfId="0" applyNumberFormat="1" applyFont="1" applyFill="1" applyBorder="1" applyAlignment="1">
      <alignment horizontal="center" vertical="center"/>
    </xf>
    <xf numFmtId="10" fontId="12" fillId="163" borderId="75" xfId="0" applyNumberFormat="1" applyFont="1" applyFill="1" applyBorder="1" applyAlignment="1">
      <alignment horizontal="center" vertical="center"/>
    </xf>
    <xf numFmtId="10" fontId="3" fillId="27" borderId="288" xfId="0" applyNumberFormat="1" applyFont="1" applyFill="1" applyBorder="1" applyAlignment="1">
      <alignment horizontal="center" vertical="center"/>
    </xf>
    <xf numFmtId="10" fontId="3" fillId="27" borderId="289" xfId="0" applyNumberFormat="1" applyFont="1" applyFill="1" applyBorder="1" applyAlignment="1">
      <alignment horizontal="center" vertical="center"/>
    </xf>
    <xf numFmtId="10" fontId="3" fillId="27" borderId="31" xfId="0" applyNumberFormat="1" applyFont="1" applyFill="1" applyBorder="1" applyAlignment="1">
      <alignment horizontal="center" vertical="center"/>
    </xf>
    <xf numFmtId="10" fontId="3" fillId="27" borderId="291" xfId="0" applyNumberFormat="1" applyFont="1" applyFill="1" applyBorder="1" applyAlignment="1">
      <alignment horizontal="center" vertical="center"/>
    </xf>
    <xf numFmtId="10" fontId="3" fillId="27" borderId="286" xfId="0" applyNumberFormat="1" applyFont="1" applyFill="1" applyBorder="1" applyAlignment="1">
      <alignment horizontal="center" vertical="center"/>
    </xf>
    <xf numFmtId="10" fontId="3" fillId="27" borderId="293" xfId="0" applyNumberFormat="1" applyFont="1" applyFill="1" applyBorder="1" applyAlignment="1">
      <alignment horizontal="center" vertical="center"/>
    </xf>
    <xf numFmtId="0" fontId="3" fillId="27" borderId="287" xfId="0" applyFont="1" applyFill="1" applyBorder="1" applyAlignment="1">
      <alignment horizontal="center" vertical="center" wrapText="1"/>
    </xf>
    <xf numFmtId="0" fontId="3" fillId="27" borderId="288" xfId="0" applyFont="1" applyFill="1" applyBorder="1" applyAlignment="1">
      <alignment horizontal="center" vertical="center" wrapText="1"/>
    </xf>
    <xf numFmtId="0" fontId="3" fillId="27" borderId="290" xfId="0" applyFont="1" applyFill="1" applyBorder="1" applyAlignment="1">
      <alignment horizontal="center" vertical="center" wrapText="1"/>
    </xf>
    <xf numFmtId="0" fontId="3" fillId="27" borderId="31" xfId="0" applyFont="1" applyFill="1" applyBorder="1" applyAlignment="1">
      <alignment horizontal="center" vertical="center" wrapText="1"/>
    </xf>
    <xf numFmtId="0" fontId="3" fillId="27" borderId="292" xfId="0" applyFont="1" applyFill="1" applyBorder="1" applyAlignment="1">
      <alignment horizontal="center" vertical="center" wrapText="1"/>
    </xf>
    <xf numFmtId="0" fontId="3" fillId="27" borderId="286" xfId="0" applyFont="1" applyFill="1" applyBorder="1" applyAlignment="1">
      <alignment horizontal="center" vertical="center" wrapText="1"/>
    </xf>
    <xf numFmtId="0" fontId="15" fillId="198" borderId="80" xfId="0" applyFont="1" applyFill="1" applyBorder="1" applyAlignment="1">
      <alignment horizontal="center" vertical="center" textRotation="90"/>
    </xf>
    <xf numFmtId="0" fontId="15" fillId="198" borderId="84" xfId="0" applyFont="1" applyFill="1" applyBorder="1" applyAlignment="1">
      <alignment horizontal="center" vertical="center" textRotation="90"/>
    </xf>
    <xf numFmtId="0" fontId="15" fillId="202" borderId="80" xfId="0" applyFont="1" applyFill="1" applyBorder="1" applyAlignment="1">
      <alignment horizontal="center" vertical="center" textRotation="90"/>
    </xf>
    <xf numFmtId="0" fontId="15" fillId="202" borderId="84" xfId="0" applyFont="1" applyFill="1" applyBorder="1" applyAlignment="1">
      <alignment horizontal="center" vertical="center" textRotation="90"/>
    </xf>
    <xf numFmtId="0" fontId="15" fillId="186" borderId="80" xfId="0" applyFont="1" applyFill="1" applyBorder="1" applyAlignment="1">
      <alignment horizontal="center" vertical="center" textRotation="90"/>
    </xf>
    <xf numFmtId="0" fontId="15" fillId="186" borderId="84" xfId="0" applyFont="1" applyFill="1" applyBorder="1" applyAlignment="1">
      <alignment horizontal="center" vertical="center" textRotation="90"/>
    </xf>
    <xf numFmtId="0" fontId="15" fillId="192" borderId="80" xfId="0" applyFont="1" applyFill="1" applyBorder="1" applyAlignment="1">
      <alignment horizontal="center" vertical="center" textRotation="90"/>
    </xf>
    <xf numFmtId="0" fontId="15" fillId="192" borderId="84" xfId="0" applyFont="1" applyFill="1" applyBorder="1" applyAlignment="1">
      <alignment horizontal="center" vertical="center" textRotation="90"/>
    </xf>
    <xf numFmtId="2" fontId="47" fillId="0" borderId="0" xfId="0" applyNumberFormat="1" applyFont="1" applyAlignment="1">
      <alignment horizontal="center" vertical="center" wrapText="1"/>
    </xf>
    <xf numFmtId="2" fontId="186" fillId="0" borderId="0" xfId="0" applyNumberFormat="1" applyFont="1" applyAlignment="1">
      <alignment horizontal="center" vertical="center" wrapText="1"/>
    </xf>
    <xf numFmtId="2" fontId="186" fillId="0" borderId="0" xfId="0" applyNumberFormat="1" applyFont="1" applyAlignment="1">
      <alignment horizontal="center" vertical="center"/>
    </xf>
    <xf numFmtId="10" fontId="12" fillId="167" borderId="52" xfId="0" applyNumberFormat="1" applyFont="1" applyFill="1" applyBorder="1" applyAlignment="1">
      <alignment horizontal="center" vertical="center"/>
    </xf>
    <xf numFmtId="10" fontId="12" fillId="167" borderId="75" xfId="0" applyNumberFormat="1" applyFont="1" applyFill="1" applyBorder="1" applyAlignment="1">
      <alignment horizontal="center" vertical="center"/>
    </xf>
    <xf numFmtId="0" fontId="15" fillId="190" borderId="80" xfId="0" applyFont="1" applyFill="1" applyBorder="1" applyAlignment="1">
      <alignment horizontal="center" vertical="center" textRotation="90"/>
    </xf>
    <xf numFmtId="0" fontId="15" fillId="190" borderId="84" xfId="0" applyFont="1" applyFill="1" applyBorder="1" applyAlignment="1">
      <alignment horizontal="center" vertical="center" textRotation="90"/>
    </xf>
    <xf numFmtId="0" fontId="15" fillId="188" borderId="80" xfId="0" applyFont="1" applyFill="1" applyBorder="1" applyAlignment="1">
      <alignment horizontal="center" vertical="center" textRotation="90"/>
    </xf>
    <xf numFmtId="0" fontId="15" fillId="188" borderId="84" xfId="0" applyFont="1" applyFill="1" applyBorder="1" applyAlignment="1">
      <alignment horizontal="center" vertical="center" textRotation="90"/>
    </xf>
    <xf numFmtId="0" fontId="15" fillId="184" borderId="80" xfId="0" applyFont="1" applyFill="1" applyBorder="1" applyAlignment="1">
      <alignment horizontal="center" vertical="center" textRotation="90"/>
    </xf>
    <xf numFmtId="0" fontId="15" fillId="184" borderId="84" xfId="0" applyFont="1" applyFill="1" applyBorder="1" applyAlignment="1">
      <alignment horizontal="center" vertical="center" textRotation="90"/>
    </xf>
    <xf numFmtId="0" fontId="5" fillId="189" borderId="74" xfId="0" applyFont="1" applyFill="1" applyBorder="1" applyAlignment="1">
      <alignment horizontal="center" vertical="center" wrapText="1"/>
    </xf>
    <xf numFmtId="0" fontId="5" fillId="189" borderId="52" xfId="0" applyFont="1" applyFill="1" applyBorder="1" applyAlignment="1">
      <alignment horizontal="center" vertical="center" wrapText="1"/>
    </xf>
    <xf numFmtId="10" fontId="12" fillId="189" borderId="52" xfId="0" applyNumberFormat="1" applyFont="1" applyFill="1" applyBorder="1" applyAlignment="1">
      <alignment horizontal="center" vertical="center"/>
    </xf>
    <xf numFmtId="10" fontId="12" fillId="189" borderId="75" xfId="0" applyNumberFormat="1" applyFont="1" applyFill="1" applyBorder="1" applyAlignment="1">
      <alignment horizontal="center" vertical="center"/>
    </xf>
    <xf numFmtId="0" fontId="5" fillId="183" borderId="74" xfId="0" applyFont="1" applyFill="1" applyBorder="1" applyAlignment="1">
      <alignment horizontal="center" vertical="center" wrapText="1"/>
    </xf>
    <xf numFmtId="0" fontId="5" fillId="183" borderId="52" xfId="0" applyFont="1" applyFill="1" applyBorder="1" applyAlignment="1">
      <alignment horizontal="center" vertical="center" wrapText="1"/>
    </xf>
    <xf numFmtId="10" fontId="12" fillId="183" borderId="52" xfId="0" applyNumberFormat="1" applyFont="1" applyFill="1" applyBorder="1" applyAlignment="1">
      <alignment horizontal="center" vertical="center"/>
    </xf>
    <xf numFmtId="10" fontId="12" fillId="183" borderId="75" xfId="0" applyNumberFormat="1" applyFont="1" applyFill="1" applyBorder="1" applyAlignment="1">
      <alignment horizontal="center" vertical="center"/>
    </xf>
    <xf numFmtId="0" fontId="3" fillId="183" borderId="287" xfId="0" applyFont="1" applyFill="1" applyBorder="1" applyAlignment="1">
      <alignment horizontal="center" vertical="center" wrapText="1"/>
    </xf>
    <xf numFmtId="0" fontId="3" fillId="183" borderId="288" xfId="0" applyFont="1" applyFill="1" applyBorder="1" applyAlignment="1">
      <alignment horizontal="center" vertical="center" wrapText="1"/>
    </xf>
    <xf numFmtId="0" fontId="3" fillId="183" borderId="290" xfId="0" applyFont="1" applyFill="1" applyBorder="1" applyAlignment="1">
      <alignment horizontal="center" vertical="center" wrapText="1"/>
    </xf>
    <xf numFmtId="0" fontId="3" fillId="183" borderId="31" xfId="0" applyFont="1" applyFill="1" applyBorder="1" applyAlignment="1">
      <alignment horizontal="center" vertical="center" wrapText="1"/>
    </xf>
    <xf numFmtId="0" fontId="3" fillId="183" borderId="292" xfId="0" applyFont="1" applyFill="1" applyBorder="1" applyAlignment="1">
      <alignment horizontal="center" vertical="center" wrapText="1"/>
    </xf>
    <xf numFmtId="0" fontId="3" fillId="183" borderId="286" xfId="0" applyFont="1" applyFill="1" applyBorder="1" applyAlignment="1">
      <alignment horizontal="center" vertical="center" wrapText="1"/>
    </xf>
    <xf numFmtId="10" fontId="3" fillId="183" borderId="288" xfId="0" applyNumberFormat="1" applyFont="1" applyFill="1" applyBorder="1" applyAlignment="1">
      <alignment horizontal="center" vertical="center"/>
    </xf>
    <xf numFmtId="10" fontId="3" fillId="183" borderId="289" xfId="0" applyNumberFormat="1" applyFont="1" applyFill="1" applyBorder="1" applyAlignment="1">
      <alignment horizontal="center" vertical="center"/>
    </xf>
    <xf numFmtId="10" fontId="3" fillId="183" borderId="31" xfId="0" applyNumberFormat="1" applyFont="1" applyFill="1" applyBorder="1" applyAlignment="1">
      <alignment horizontal="center" vertical="center"/>
    </xf>
    <xf numFmtId="10" fontId="3" fillId="183" borderId="291" xfId="0" applyNumberFormat="1" applyFont="1" applyFill="1" applyBorder="1" applyAlignment="1">
      <alignment horizontal="center" vertical="center"/>
    </xf>
    <xf numFmtId="10" fontId="3" fillId="183" borderId="286" xfId="0" applyNumberFormat="1" applyFont="1" applyFill="1" applyBorder="1" applyAlignment="1">
      <alignment horizontal="center" vertical="center"/>
    </xf>
    <xf numFmtId="10" fontId="3" fillId="183" borderId="293" xfId="0" applyNumberFormat="1" applyFont="1" applyFill="1" applyBorder="1" applyAlignment="1">
      <alignment horizontal="center" vertical="center"/>
    </xf>
    <xf numFmtId="0" fontId="15" fillId="180" borderId="80" xfId="0" applyFont="1" applyFill="1" applyBorder="1" applyAlignment="1">
      <alignment horizontal="center" vertical="center" textRotation="90"/>
    </xf>
    <xf numFmtId="0" fontId="15" fillId="180" borderId="84" xfId="0" applyFont="1" applyFill="1" applyBorder="1" applyAlignment="1">
      <alignment horizontal="center" vertical="center" textRotation="90"/>
    </xf>
    <xf numFmtId="10" fontId="12" fillId="169" borderId="52" xfId="0" applyNumberFormat="1" applyFont="1" applyFill="1" applyBorder="1" applyAlignment="1">
      <alignment horizontal="center" vertical="center"/>
    </xf>
    <xf numFmtId="10" fontId="12" fillId="169" borderId="75" xfId="0" applyNumberFormat="1" applyFont="1" applyFill="1" applyBorder="1" applyAlignment="1">
      <alignment horizontal="center" vertical="center"/>
    </xf>
    <xf numFmtId="0" fontId="5" fillId="24" borderId="108" xfId="0" applyFont="1" applyFill="1" applyBorder="1" applyAlignment="1">
      <alignment horizontal="center" vertical="center"/>
    </xf>
    <xf numFmtId="0" fontId="5" fillId="24" borderId="109" xfId="0" applyFont="1" applyFill="1" applyBorder="1" applyAlignment="1">
      <alignment horizontal="center" vertical="center"/>
    </xf>
    <xf numFmtId="10" fontId="3" fillId="24" borderId="109" xfId="0" applyNumberFormat="1" applyFont="1" applyFill="1" applyBorder="1" applyAlignment="1">
      <alignment horizontal="center" vertical="center"/>
    </xf>
    <xf numFmtId="10" fontId="3" fillId="24" borderId="110" xfId="0" applyNumberFormat="1" applyFont="1" applyFill="1" applyBorder="1" applyAlignment="1">
      <alignment horizontal="center" vertical="center"/>
    </xf>
    <xf numFmtId="0" fontId="3" fillId="38" borderId="80" xfId="0" applyFont="1" applyFill="1" applyBorder="1" applyAlignment="1">
      <alignment horizontal="center" vertical="center" textRotation="90"/>
    </xf>
    <xf numFmtId="0" fontId="3" fillId="38" borderId="84" xfId="0" applyFont="1" applyFill="1" applyBorder="1" applyAlignment="1">
      <alignment horizontal="center" vertical="center" textRotation="90"/>
    </xf>
    <xf numFmtId="0" fontId="3" fillId="116" borderId="80" xfId="0" applyFont="1" applyFill="1" applyBorder="1" applyAlignment="1">
      <alignment horizontal="center" vertical="center" textRotation="90"/>
    </xf>
    <xf numFmtId="0" fontId="3" fillId="116" borderId="84" xfId="0" applyFont="1" applyFill="1" applyBorder="1" applyAlignment="1">
      <alignment horizontal="center" vertical="center" textRotation="90"/>
    </xf>
    <xf numFmtId="0" fontId="5" fillId="115" borderId="108" xfId="0" applyFont="1" applyFill="1" applyBorder="1" applyAlignment="1">
      <alignment horizontal="center" vertical="center"/>
    </xf>
    <xf numFmtId="0" fontId="5" fillId="115" borderId="109" xfId="0" applyFont="1" applyFill="1" applyBorder="1" applyAlignment="1">
      <alignment horizontal="center" vertical="center"/>
    </xf>
    <xf numFmtId="10" fontId="3" fillId="115" borderId="109" xfId="0" applyNumberFormat="1" applyFont="1" applyFill="1" applyBorder="1" applyAlignment="1">
      <alignment horizontal="center" vertical="center"/>
    </xf>
    <xf numFmtId="10" fontId="3" fillId="115" borderId="110" xfId="0" applyNumberFormat="1" applyFont="1" applyFill="1" applyBorder="1" applyAlignment="1">
      <alignment horizontal="center" vertical="center"/>
    </xf>
    <xf numFmtId="0" fontId="142" fillId="0" borderId="15" xfId="0" applyFont="1" applyBorder="1" applyAlignment="1">
      <alignment horizontal="center" vertical="center" wrapText="1"/>
    </xf>
    <xf numFmtId="0" fontId="142" fillId="0" borderId="16" xfId="0" applyFont="1" applyBorder="1" applyAlignment="1">
      <alignment horizontal="center" vertical="center" wrapText="1"/>
    </xf>
    <xf numFmtId="0" fontId="142" fillId="0" borderId="57" xfId="0" applyFont="1" applyBorder="1" applyAlignment="1">
      <alignment horizontal="center" vertical="center" wrapText="1"/>
    </xf>
    <xf numFmtId="0" fontId="142" fillId="0" borderId="22" xfId="0" applyFont="1" applyBorder="1" applyAlignment="1">
      <alignment horizontal="center" vertical="center" wrapText="1"/>
    </xf>
    <xf numFmtId="0" fontId="142" fillId="0" borderId="11" xfId="0" applyFont="1" applyBorder="1" applyAlignment="1">
      <alignment horizontal="center" vertical="center" wrapText="1"/>
    </xf>
    <xf numFmtId="0" fontId="142" fillId="0" borderId="59" xfId="0" applyFont="1" applyBorder="1" applyAlignment="1">
      <alignment horizontal="center" vertical="center" wrapText="1"/>
    </xf>
    <xf numFmtId="0" fontId="37" fillId="24" borderId="14" xfId="0" applyFont="1" applyFill="1" applyBorder="1" applyAlignment="1">
      <alignment horizontal="center" vertical="center" textRotation="90"/>
    </xf>
    <xf numFmtId="0" fontId="37" fillId="24" borderId="23" xfId="0" applyFont="1" applyFill="1" applyBorder="1" applyAlignment="1">
      <alignment horizontal="center" vertical="center" textRotation="90"/>
    </xf>
    <xf numFmtId="0" fontId="142" fillId="24" borderId="14" xfId="0" applyFont="1" applyFill="1" applyBorder="1" applyAlignment="1">
      <alignment horizontal="center" vertical="center"/>
    </xf>
    <xf numFmtId="0" fontId="142" fillId="24" borderId="14" xfId="0" applyFont="1" applyFill="1" applyBorder="1" applyAlignment="1">
      <alignment horizontal="center" wrapText="1"/>
    </xf>
    <xf numFmtId="2" fontId="116" fillId="0" borderId="15" xfId="0" applyNumberFormat="1" applyFont="1" applyBorder="1" applyAlignment="1">
      <alignment horizontal="center" vertical="center"/>
    </xf>
    <xf numFmtId="2" fontId="116" fillId="0" borderId="57" xfId="0" applyNumberFormat="1" applyFont="1" applyBorder="1" applyAlignment="1">
      <alignment horizontal="center" vertical="center"/>
    </xf>
    <xf numFmtId="2" fontId="116" fillId="0" borderId="22" xfId="0" applyNumberFormat="1" applyFont="1" applyBorder="1" applyAlignment="1">
      <alignment horizontal="center" vertical="center"/>
    </xf>
    <xf numFmtId="2" fontId="116" fillId="0" borderId="59" xfId="0" applyNumberFormat="1" applyFont="1" applyBorder="1" applyAlignment="1">
      <alignment horizontal="center" vertical="center"/>
    </xf>
    <xf numFmtId="0" fontId="142" fillId="0" borderId="14" xfId="0" applyFont="1" applyBorder="1" applyAlignment="1">
      <alignment horizontal="center" vertical="center" wrapText="1"/>
    </xf>
    <xf numFmtId="2" fontId="116" fillId="0" borderId="14" xfId="0" applyNumberFormat="1" applyFont="1" applyBorder="1" applyAlignment="1">
      <alignment horizontal="center"/>
    </xf>
    <xf numFmtId="2" fontId="116" fillId="0" borderId="24" xfId="0" applyNumberFormat="1" applyFont="1" applyBorder="1" applyAlignment="1">
      <alignment horizontal="center" vertical="center"/>
    </xf>
    <xf numFmtId="0" fontId="142" fillId="0" borderId="22" xfId="0" applyFont="1" applyBorder="1" applyAlignment="1">
      <alignment horizontal="center" vertical="center"/>
    </xf>
    <xf numFmtId="0" fontId="142" fillId="0" borderId="11" xfId="0" applyFont="1" applyBorder="1" applyAlignment="1">
      <alignment horizontal="center" vertical="center"/>
    </xf>
    <xf numFmtId="0" fontId="142" fillId="0" borderId="59" xfId="0" applyFont="1" applyBorder="1" applyAlignment="1">
      <alignment horizontal="center" vertical="center"/>
    </xf>
    <xf numFmtId="0" fontId="142" fillId="0" borderId="129" xfId="0" applyFont="1" applyBorder="1" applyAlignment="1">
      <alignment horizontal="center" vertical="center" wrapText="1"/>
    </xf>
    <xf numFmtId="0" fontId="142" fillId="0" borderId="15" xfId="0" applyFont="1" applyBorder="1" applyAlignment="1">
      <alignment horizontal="center" vertical="center"/>
    </xf>
    <xf numFmtId="0" fontId="142" fillId="0" borderId="16" xfId="0" applyFont="1" applyBorder="1" applyAlignment="1">
      <alignment horizontal="center" vertical="center"/>
    </xf>
    <xf numFmtId="0" fontId="142" fillId="0" borderId="57" xfId="0" applyFont="1" applyBorder="1" applyAlignment="1">
      <alignment horizontal="center" vertical="center"/>
    </xf>
    <xf numFmtId="2" fontId="110" fillId="2" borderId="14" xfId="0" applyNumberFormat="1" applyFont="1" applyFill="1" applyBorder="1" applyAlignment="1">
      <alignment horizontal="center" vertical="center"/>
    </xf>
    <xf numFmtId="0" fontId="142" fillId="0" borderId="14" xfId="0" applyFont="1" applyBorder="1" applyAlignment="1">
      <alignment horizontal="center" vertical="center"/>
    </xf>
    <xf numFmtId="0" fontId="37" fillId="16" borderId="14" xfId="0" applyFont="1" applyFill="1" applyBorder="1" applyAlignment="1">
      <alignment horizontal="center" vertical="center" textRotation="90"/>
    </xf>
    <xf numFmtId="0" fontId="142" fillId="0" borderId="14" xfId="0" applyFont="1" applyBorder="1" applyAlignment="1">
      <alignment horizontal="center"/>
    </xf>
    <xf numFmtId="0" fontId="37" fillId="22" borderId="14" xfId="0" applyFont="1" applyFill="1" applyBorder="1" applyAlignment="1">
      <alignment horizontal="center" vertical="center" textRotation="90"/>
    </xf>
    <xf numFmtId="0" fontId="5" fillId="67" borderId="108" xfId="0" applyFont="1" applyFill="1" applyBorder="1" applyAlignment="1">
      <alignment horizontal="center" vertical="center"/>
    </xf>
    <xf numFmtId="0" fontId="5" fillId="67" borderId="109" xfId="0" applyFont="1" applyFill="1" applyBorder="1" applyAlignment="1">
      <alignment horizontal="center" vertical="center"/>
    </xf>
    <xf numFmtId="10" fontId="3" fillId="67" borderId="109" xfId="0" applyNumberFormat="1" applyFont="1" applyFill="1" applyBorder="1" applyAlignment="1">
      <alignment horizontal="center" vertical="center"/>
    </xf>
    <xf numFmtId="10" fontId="3" fillId="67" borderId="110" xfId="0" applyNumberFormat="1" applyFont="1" applyFill="1" applyBorder="1" applyAlignment="1">
      <alignment horizontal="center" vertical="center"/>
    </xf>
    <xf numFmtId="0" fontId="3" fillId="3" borderId="91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90" xfId="0" applyFont="1" applyFill="1" applyBorder="1" applyAlignment="1">
      <alignment horizontal="center" vertical="center"/>
    </xf>
    <xf numFmtId="0" fontId="3" fillId="3" borderId="76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77" xfId="0" applyFont="1" applyFill="1" applyBorder="1" applyAlignment="1">
      <alignment horizontal="center" vertical="center"/>
    </xf>
    <xf numFmtId="0" fontId="3" fillId="3" borderId="78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79" xfId="0" applyFont="1" applyFill="1" applyBorder="1" applyAlignment="1">
      <alignment horizontal="center" vertical="center"/>
    </xf>
    <xf numFmtId="0" fontId="5" fillId="35" borderId="108" xfId="0" applyFont="1" applyFill="1" applyBorder="1" applyAlignment="1">
      <alignment horizontal="center" vertical="center"/>
    </xf>
    <xf numFmtId="0" fontId="5" fillId="35" borderId="109" xfId="0" applyFont="1" applyFill="1" applyBorder="1" applyAlignment="1">
      <alignment horizontal="center" vertical="center"/>
    </xf>
    <xf numFmtId="10" fontId="3" fillId="35" borderId="109" xfId="0" applyNumberFormat="1" applyFont="1" applyFill="1" applyBorder="1" applyAlignment="1">
      <alignment horizontal="center" vertical="center"/>
    </xf>
    <xf numFmtId="10" fontId="3" fillId="35" borderId="110" xfId="0" applyNumberFormat="1" applyFont="1" applyFill="1" applyBorder="1" applyAlignment="1">
      <alignment horizontal="center" vertical="center"/>
    </xf>
    <xf numFmtId="0" fontId="3" fillId="68" borderId="80" xfId="0" applyFont="1" applyFill="1" applyBorder="1" applyAlignment="1">
      <alignment horizontal="center" vertical="center" textRotation="90"/>
    </xf>
    <xf numFmtId="0" fontId="3" fillId="68" borderId="84" xfId="0" applyFont="1" applyFill="1" applyBorder="1" applyAlignment="1">
      <alignment horizontal="center" vertical="center" textRotation="90"/>
    </xf>
    <xf numFmtId="0" fontId="5" fillId="66" borderId="120" xfId="0" applyFont="1" applyFill="1" applyBorder="1" applyAlignment="1">
      <alignment horizontal="center" vertical="center"/>
    </xf>
    <xf numFmtId="0" fontId="5" fillId="66" borderId="126" xfId="0" applyFont="1" applyFill="1" applyBorder="1" applyAlignment="1">
      <alignment horizontal="center" vertical="center"/>
    </xf>
    <xf numFmtId="0" fontId="41" fillId="66" borderId="119" xfId="0" applyFont="1" applyFill="1" applyBorder="1" applyAlignment="1">
      <alignment horizontal="center" vertical="center"/>
    </xf>
    <xf numFmtId="0" fontId="41" fillId="66" borderId="203" xfId="0" applyFont="1" applyFill="1" applyBorder="1" applyAlignment="1">
      <alignment horizontal="center" vertical="center"/>
    </xf>
    <xf numFmtId="0" fontId="3" fillId="66" borderId="121" xfId="0" applyFont="1" applyFill="1" applyBorder="1" applyAlignment="1">
      <alignment horizontal="center" vertical="center"/>
    </xf>
    <xf numFmtId="0" fontId="3" fillId="66" borderId="89" xfId="0" applyFont="1" applyFill="1" applyBorder="1" applyAlignment="1">
      <alignment horizontal="center" vertical="center"/>
    </xf>
    <xf numFmtId="0" fontId="3" fillId="111" borderId="122" xfId="0" applyFont="1" applyFill="1" applyBorder="1" applyAlignment="1">
      <alignment horizontal="center" vertical="center" textRotation="90"/>
    </xf>
    <xf numFmtId="0" fontId="75" fillId="66" borderId="16" xfId="0" applyFont="1" applyFill="1" applyBorder="1" applyAlignment="1">
      <alignment horizontal="center" vertical="center"/>
    </xf>
    <xf numFmtId="0" fontId="75" fillId="66" borderId="90" xfId="0" applyFont="1" applyFill="1" applyBorder="1" applyAlignment="1">
      <alignment horizontal="center" vertical="center"/>
    </xf>
    <xf numFmtId="0" fontId="75" fillId="66" borderId="131" xfId="0" applyFont="1" applyFill="1" applyBorder="1" applyAlignment="1">
      <alignment horizontal="center" vertical="center"/>
    </xf>
    <xf numFmtId="0" fontId="75" fillId="66" borderId="0" xfId="0" applyFont="1" applyFill="1" applyAlignment="1">
      <alignment horizontal="center" vertical="center"/>
    </xf>
    <xf numFmtId="0" fontId="75" fillId="66" borderId="77" xfId="0" applyFont="1" applyFill="1" applyBorder="1" applyAlignment="1">
      <alignment horizontal="center" vertical="center"/>
    </xf>
    <xf numFmtId="2" fontId="41" fillId="66" borderId="119" xfId="0" applyNumberFormat="1" applyFont="1" applyFill="1" applyBorder="1" applyAlignment="1">
      <alignment horizontal="center" vertical="center"/>
    </xf>
    <xf numFmtId="2" fontId="41" fillId="66" borderId="203" xfId="0" applyNumberFormat="1" applyFont="1" applyFill="1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0" fontId="129" fillId="0" borderId="0" xfId="0" applyFont="1" applyAlignment="1">
      <alignment horizontal="center" vertical="center" wrapText="1"/>
    </xf>
    <xf numFmtId="0" fontId="129" fillId="0" borderId="0" xfId="0" applyFont="1" applyAlignment="1">
      <alignment horizontal="center" vertical="center"/>
    </xf>
    <xf numFmtId="0" fontId="80" fillId="0" borderId="0" xfId="0" applyFont="1" applyAlignment="1">
      <alignment horizontal="center" vertical="center"/>
    </xf>
    <xf numFmtId="0" fontId="3" fillId="89" borderId="80" xfId="0" applyFont="1" applyFill="1" applyBorder="1" applyAlignment="1">
      <alignment horizontal="center" vertical="center" textRotation="90"/>
    </xf>
    <xf numFmtId="0" fontId="3" fillId="89" borderId="84" xfId="0" applyFont="1" applyFill="1" applyBorder="1" applyAlignment="1">
      <alignment horizontal="center" vertical="center" textRotation="90"/>
    </xf>
    <xf numFmtId="0" fontId="5" fillId="90" borderId="108" xfId="0" applyFont="1" applyFill="1" applyBorder="1" applyAlignment="1">
      <alignment horizontal="center" vertical="center"/>
    </xf>
    <xf numFmtId="0" fontId="5" fillId="90" borderId="109" xfId="0" applyFont="1" applyFill="1" applyBorder="1" applyAlignment="1">
      <alignment horizontal="center" vertical="center"/>
    </xf>
    <xf numFmtId="10" fontId="3" fillId="90" borderId="109" xfId="0" applyNumberFormat="1" applyFont="1" applyFill="1" applyBorder="1" applyAlignment="1">
      <alignment horizontal="center" vertical="center"/>
    </xf>
    <xf numFmtId="10" fontId="3" fillId="90" borderId="110" xfId="0" applyNumberFormat="1" applyFont="1" applyFill="1" applyBorder="1" applyAlignment="1">
      <alignment horizontal="center" vertical="center"/>
    </xf>
    <xf numFmtId="0" fontId="12" fillId="34" borderId="199" xfId="0" applyFont="1" applyFill="1" applyBorder="1" applyAlignment="1">
      <alignment horizontal="center" vertical="center" wrapText="1"/>
    </xf>
    <xf numFmtId="0" fontId="12" fillId="34" borderId="201" xfId="0" applyFont="1" applyFill="1" applyBorder="1" applyAlignment="1">
      <alignment horizontal="center" vertical="center" wrapText="1"/>
    </xf>
    <xf numFmtId="0" fontId="12" fillId="117" borderId="60" xfId="0" applyFont="1" applyFill="1" applyBorder="1" applyAlignment="1">
      <alignment horizontal="center" vertical="center" wrapText="1"/>
    </xf>
    <xf numFmtId="0" fontId="12" fillId="117" borderId="200" xfId="0" applyFont="1" applyFill="1" applyBorder="1" applyAlignment="1">
      <alignment horizontal="center" vertical="center" wrapText="1"/>
    </xf>
    <xf numFmtId="0" fontId="12" fillId="117" borderId="129" xfId="0" applyFont="1" applyFill="1" applyBorder="1" applyAlignment="1">
      <alignment horizontal="center" vertical="center" wrapText="1"/>
    </xf>
    <xf numFmtId="0" fontId="12" fillId="117" borderId="202" xfId="0" applyFont="1" applyFill="1" applyBorder="1" applyAlignment="1">
      <alignment horizontal="center" vertical="center" wrapText="1"/>
    </xf>
    <xf numFmtId="2" fontId="99" fillId="0" borderId="0" xfId="0" applyNumberFormat="1" applyFont="1" applyAlignment="1">
      <alignment horizontal="center" vertical="center"/>
    </xf>
    <xf numFmtId="0" fontId="5" fillId="96" borderId="105" xfId="0" applyFont="1" applyFill="1" applyBorder="1" applyAlignment="1">
      <alignment horizontal="center" vertical="center" wrapText="1"/>
    </xf>
    <xf numFmtId="0" fontId="5" fillId="96" borderId="78" xfId="0" applyFont="1" applyFill="1" applyBorder="1" applyAlignment="1">
      <alignment horizontal="center" vertical="center" wrapText="1"/>
    </xf>
    <xf numFmtId="0" fontId="5" fillId="96" borderId="59" xfId="0" applyFont="1" applyFill="1" applyBorder="1" applyAlignment="1">
      <alignment horizontal="center" vertical="center" wrapText="1"/>
    </xf>
    <xf numFmtId="10" fontId="12" fillId="96" borderId="52" xfId="0" applyNumberFormat="1" applyFont="1" applyFill="1" applyBorder="1" applyAlignment="1">
      <alignment horizontal="center" vertical="center"/>
    </xf>
    <xf numFmtId="10" fontId="12" fillId="96" borderId="75" xfId="0" applyNumberFormat="1" applyFont="1" applyFill="1" applyBorder="1" applyAlignment="1">
      <alignment horizontal="center" vertical="center"/>
    </xf>
    <xf numFmtId="10" fontId="12" fillId="96" borderId="11" xfId="0" applyNumberFormat="1" applyFont="1" applyFill="1" applyBorder="1" applyAlignment="1">
      <alignment horizontal="center" vertical="center"/>
    </xf>
    <xf numFmtId="10" fontId="12" fillId="96" borderId="79" xfId="0" applyNumberFormat="1" applyFont="1" applyFill="1" applyBorder="1" applyAlignment="1">
      <alignment horizontal="center" vertical="center"/>
    </xf>
    <xf numFmtId="0" fontId="5" fillId="110" borderId="105" xfId="0" applyFont="1" applyFill="1" applyBorder="1" applyAlignment="1">
      <alignment horizontal="center" vertical="center" wrapText="1"/>
    </xf>
    <xf numFmtId="0" fontId="5" fillId="110" borderId="78" xfId="0" applyFont="1" applyFill="1" applyBorder="1" applyAlignment="1">
      <alignment horizontal="center" vertical="center" wrapText="1"/>
    </xf>
    <xf numFmtId="0" fontId="5" fillId="110" borderId="59" xfId="0" applyFont="1" applyFill="1" applyBorder="1" applyAlignment="1">
      <alignment horizontal="center" vertical="center" wrapText="1"/>
    </xf>
    <xf numFmtId="10" fontId="12" fillId="110" borderId="52" xfId="0" applyNumberFormat="1" applyFont="1" applyFill="1" applyBorder="1" applyAlignment="1">
      <alignment horizontal="center" vertical="center"/>
    </xf>
    <xf numFmtId="10" fontId="12" fillId="110" borderId="75" xfId="0" applyNumberFormat="1" applyFont="1" applyFill="1" applyBorder="1" applyAlignment="1">
      <alignment horizontal="center" vertical="center"/>
    </xf>
    <xf numFmtId="10" fontId="12" fillId="110" borderId="11" xfId="0" applyNumberFormat="1" applyFont="1" applyFill="1" applyBorder="1" applyAlignment="1">
      <alignment horizontal="center" vertical="center"/>
    </xf>
    <xf numFmtId="10" fontId="12" fillId="110" borderId="79" xfId="0" applyNumberFormat="1" applyFont="1" applyFill="1" applyBorder="1" applyAlignment="1">
      <alignment horizontal="center" vertical="center"/>
    </xf>
    <xf numFmtId="0" fontId="35" fillId="0" borderId="0" xfId="0" applyFont="1" applyAlignment="1">
      <alignment horizontal="center"/>
    </xf>
    <xf numFmtId="0" fontId="56" fillId="37" borderId="23" xfId="0" applyFont="1" applyFill="1" applyBorder="1" applyAlignment="1">
      <alignment horizontal="center" vertical="center"/>
    </xf>
    <xf numFmtId="0" fontId="56" fillId="37" borderId="19" xfId="0" applyFont="1" applyFill="1" applyBorder="1" applyAlignment="1">
      <alignment horizontal="center" vertical="center"/>
    </xf>
    <xf numFmtId="0" fontId="56" fillId="37" borderId="24" xfId="0" applyFont="1" applyFill="1" applyBorder="1" applyAlignment="1">
      <alignment horizontal="center" vertical="center"/>
    </xf>
    <xf numFmtId="0" fontId="5" fillId="34" borderId="15" xfId="0" applyFont="1" applyFill="1" applyBorder="1" applyAlignment="1">
      <alignment horizontal="center" vertical="center" wrapText="1"/>
    </xf>
    <xf numFmtId="0" fontId="5" fillId="34" borderId="57" xfId="0" applyFont="1" applyFill="1" applyBorder="1" applyAlignment="1">
      <alignment horizontal="center" vertical="center" wrapText="1"/>
    </xf>
    <xf numFmtId="0" fontId="5" fillId="34" borderId="22" xfId="0" applyFont="1" applyFill="1" applyBorder="1" applyAlignment="1">
      <alignment horizontal="center" vertical="center" wrapText="1"/>
    </xf>
    <xf numFmtId="0" fontId="5" fillId="34" borderId="59" xfId="0" applyFont="1" applyFill="1" applyBorder="1" applyAlignment="1">
      <alignment horizontal="center" vertical="center" wrapText="1"/>
    </xf>
    <xf numFmtId="0" fontId="5" fillId="34" borderId="16" xfId="0" applyFont="1" applyFill="1" applyBorder="1" applyAlignment="1">
      <alignment horizontal="center" vertical="center" wrapText="1"/>
    </xf>
    <xf numFmtId="0" fontId="5" fillId="34" borderId="11" xfId="0" applyFont="1" applyFill="1" applyBorder="1" applyAlignment="1">
      <alignment horizontal="center" vertical="center" wrapText="1"/>
    </xf>
    <xf numFmtId="0" fontId="5" fillId="34" borderId="154" xfId="0" applyFont="1" applyFill="1" applyBorder="1" applyAlignment="1">
      <alignment horizontal="center" vertical="center" wrapText="1"/>
    </xf>
    <xf numFmtId="0" fontId="5" fillId="34" borderId="155" xfId="0" applyFont="1" applyFill="1" applyBorder="1" applyAlignment="1">
      <alignment horizontal="center" vertical="center" wrapText="1"/>
    </xf>
    <xf numFmtId="0" fontId="5" fillId="34" borderId="156" xfId="0" applyFont="1" applyFill="1" applyBorder="1" applyAlignment="1">
      <alignment horizontal="center" vertical="center" wrapText="1"/>
    </xf>
    <xf numFmtId="0" fontId="15" fillId="82" borderId="14" xfId="0" applyFont="1" applyFill="1" applyBorder="1" applyAlignment="1">
      <alignment horizontal="center" vertical="center" textRotation="90"/>
    </xf>
    <xf numFmtId="0" fontId="5" fillId="83" borderId="14" xfId="0" applyFont="1" applyFill="1" applyBorder="1" applyAlignment="1">
      <alignment horizontal="center" vertical="center" wrapText="1"/>
    </xf>
    <xf numFmtId="10" fontId="12" fillId="83" borderId="14" xfId="0" applyNumberFormat="1" applyFont="1" applyFill="1" applyBorder="1" applyAlignment="1">
      <alignment horizontal="center" vertical="center"/>
    </xf>
    <xf numFmtId="0" fontId="12" fillId="107" borderId="22" xfId="0" applyFont="1" applyFill="1" applyBorder="1" applyAlignment="1">
      <alignment horizontal="center" vertical="center" wrapText="1"/>
    </xf>
    <xf numFmtId="0" fontId="12" fillId="107" borderId="11" xfId="0" applyFont="1" applyFill="1" applyBorder="1" applyAlignment="1">
      <alignment horizontal="center" vertical="center" wrapText="1"/>
    </xf>
    <xf numFmtId="10" fontId="6" fillId="107" borderId="11" xfId="0" applyNumberFormat="1" applyFont="1" applyFill="1" applyBorder="1" applyAlignment="1">
      <alignment horizontal="center" vertical="center"/>
    </xf>
    <xf numFmtId="10" fontId="6" fillId="107" borderId="59" xfId="0" applyNumberFormat="1" applyFont="1" applyFill="1" applyBorder="1" applyAlignment="1">
      <alignment horizontal="center" vertical="center"/>
    </xf>
    <xf numFmtId="0" fontId="5" fillId="67" borderId="74" xfId="0" applyFont="1" applyFill="1" applyBorder="1" applyAlignment="1">
      <alignment horizontal="center" vertical="center"/>
    </xf>
    <xf numFmtId="0" fontId="5" fillId="67" borderId="52" xfId="0" applyFont="1" applyFill="1" applyBorder="1" applyAlignment="1">
      <alignment horizontal="center" vertical="center"/>
    </xf>
    <xf numFmtId="0" fontId="5" fillId="67" borderId="76" xfId="0" applyFont="1" applyFill="1" applyBorder="1" applyAlignment="1">
      <alignment horizontal="center" vertical="center"/>
    </xf>
    <xf numFmtId="0" fontId="5" fillId="67" borderId="0" xfId="0" applyFont="1" applyFill="1" applyAlignment="1">
      <alignment horizontal="center" vertical="center"/>
    </xf>
    <xf numFmtId="0" fontId="5" fillId="67" borderId="78" xfId="0" applyFont="1" applyFill="1" applyBorder="1" applyAlignment="1">
      <alignment horizontal="center" vertical="center"/>
    </xf>
    <xf numFmtId="0" fontId="5" fillId="67" borderId="11" xfId="0" applyFont="1" applyFill="1" applyBorder="1" applyAlignment="1">
      <alignment horizontal="center" vertical="center"/>
    </xf>
    <xf numFmtId="10" fontId="3" fillId="67" borderId="52" xfId="0" applyNumberFormat="1" applyFont="1" applyFill="1" applyBorder="1" applyAlignment="1">
      <alignment horizontal="center" vertical="center"/>
    </xf>
    <xf numFmtId="10" fontId="3" fillId="67" borderId="75" xfId="0" applyNumberFormat="1" applyFont="1" applyFill="1" applyBorder="1" applyAlignment="1">
      <alignment horizontal="center" vertical="center"/>
    </xf>
    <xf numFmtId="10" fontId="3" fillId="67" borderId="0" xfId="0" applyNumberFormat="1" applyFont="1" applyFill="1" applyAlignment="1">
      <alignment horizontal="center" vertical="center"/>
    </xf>
    <xf numFmtId="10" fontId="3" fillId="67" borderId="77" xfId="0" applyNumberFormat="1" applyFont="1" applyFill="1" applyBorder="1" applyAlignment="1">
      <alignment horizontal="center" vertical="center"/>
    </xf>
    <xf numFmtId="10" fontId="3" fillId="67" borderId="11" xfId="0" applyNumberFormat="1" applyFont="1" applyFill="1" applyBorder="1" applyAlignment="1">
      <alignment horizontal="center" vertical="center"/>
    </xf>
    <xf numFmtId="10" fontId="3" fillId="67" borderId="79" xfId="0" applyNumberFormat="1" applyFont="1" applyFill="1" applyBorder="1" applyAlignment="1">
      <alignment horizontal="center" vertical="center"/>
    </xf>
    <xf numFmtId="0" fontId="5" fillId="96" borderId="14" xfId="0" applyFont="1" applyFill="1" applyBorder="1" applyAlignment="1">
      <alignment horizontal="center" vertical="center" wrapText="1"/>
    </xf>
    <xf numFmtId="10" fontId="12" fillId="96" borderId="14" xfId="0" applyNumberFormat="1" applyFont="1" applyFill="1" applyBorder="1" applyAlignment="1">
      <alignment horizontal="center" vertical="center"/>
    </xf>
    <xf numFmtId="0" fontId="15" fillId="97" borderId="14" xfId="0" applyFont="1" applyFill="1" applyBorder="1" applyAlignment="1">
      <alignment horizontal="center" vertical="center" textRotation="90"/>
    </xf>
    <xf numFmtId="0" fontId="5" fillId="99" borderId="14" xfId="0" applyFont="1" applyFill="1" applyBorder="1" applyAlignment="1">
      <alignment horizontal="center" vertical="center" wrapText="1"/>
    </xf>
    <xf numFmtId="10" fontId="12" fillId="99" borderId="14" xfId="0" applyNumberFormat="1" applyFont="1" applyFill="1" applyBorder="1" applyAlignment="1">
      <alignment horizontal="center" vertical="center"/>
    </xf>
    <xf numFmtId="0" fontId="15" fillId="100" borderId="14" xfId="0" applyFont="1" applyFill="1" applyBorder="1" applyAlignment="1">
      <alignment horizontal="center" vertical="center" textRotation="90"/>
    </xf>
    <xf numFmtId="0" fontId="5" fillId="24" borderId="14" xfId="0" applyFont="1" applyFill="1" applyBorder="1" applyAlignment="1">
      <alignment horizontal="center" vertical="center" wrapText="1"/>
    </xf>
    <xf numFmtId="10" fontId="12" fillId="24" borderId="14" xfId="0" applyNumberFormat="1" applyFont="1" applyFill="1" applyBorder="1" applyAlignment="1">
      <alignment horizontal="center" vertical="center"/>
    </xf>
    <xf numFmtId="0" fontId="15" fillId="38" borderId="14" xfId="0" applyFont="1" applyFill="1" applyBorder="1" applyAlignment="1">
      <alignment horizontal="center" vertical="center" textRotation="90"/>
    </xf>
    <xf numFmtId="0" fontId="5" fillId="98" borderId="14" xfId="0" applyFont="1" applyFill="1" applyBorder="1" applyAlignment="1">
      <alignment horizontal="center" vertical="center" wrapText="1"/>
    </xf>
    <xf numFmtId="10" fontId="12" fillId="43" borderId="14" xfId="0" applyNumberFormat="1" applyFont="1" applyFill="1" applyBorder="1" applyAlignment="1">
      <alignment horizontal="center" vertical="center"/>
    </xf>
    <xf numFmtId="0" fontId="15" fillId="42" borderId="14" xfId="0" applyFont="1" applyFill="1" applyBorder="1" applyAlignment="1">
      <alignment horizontal="center" vertical="center" textRotation="90"/>
    </xf>
    <xf numFmtId="0" fontId="38" fillId="10" borderId="14" xfId="0" applyFont="1" applyFill="1" applyBorder="1" applyAlignment="1">
      <alignment horizontal="center" vertical="center"/>
    </xf>
    <xf numFmtId="0" fontId="43" fillId="37" borderId="23" xfId="0" applyFont="1" applyFill="1" applyBorder="1" applyAlignment="1">
      <alignment horizontal="center" vertical="center"/>
    </xf>
    <xf numFmtId="0" fontId="43" fillId="37" borderId="19" xfId="0" applyFont="1" applyFill="1" applyBorder="1" applyAlignment="1">
      <alignment horizontal="center" vertical="center"/>
    </xf>
    <xf numFmtId="0" fontId="15" fillId="63" borderId="13" xfId="0" applyFont="1" applyFill="1" applyBorder="1" applyAlignment="1">
      <alignment horizontal="center" vertical="center" textRotation="90"/>
    </xf>
    <xf numFmtId="0" fontId="15" fillId="63" borderId="102" xfId="0" applyFont="1" applyFill="1" applyBorder="1" applyAlignment="1">
      <alignment horizontal="center" vertical="center" textRotation="90"/>
    </xf>
    <xf numFmtId="0" fontId="5" fillId="62" borderId="92" xfId="0" applyFont="1" applyFill="1" applyBorder="1" applyAlignment="1">
      <alignment horizontal="center" vertical="center" wrapText="1"/>
    </xf>
    <xf numFmtId="0" fontId="5" fillId="62" borderId="94" xfId="0" applyFont="1" applyFill="1" applyBorder="1" applyAlignment="1">
      <alignment horizontal="center" vertical="center" wrapText="1"/>
    </xf>
    <xf numFmtId="0" fontId="5" fillId="62" borderId="13" xfId="0" applyFont="1" applyFill="1" applyBorder="1" applyAlignment="1">
      <alignment horizontal="center" vertical="center" wrapText="1"/>
    </xf>
    <xf numFmtId="0" fontId="5" fillId="62" borderId="14" xfId="0" applyFont="1" applyFill="1" applyBorder="1" applyAlignment="1">
      <alignment horizontal="center" vertical="center" wrapText="1"/>
    </xf>
    <xf numFmtId="10" fontId="12" fillId="62" borderId="94" xfId="0" applyNumberFormat="1" applyFont="1" applyFill="1" applyBorder="1" applyAlignment="1">
      <alignment horizontal="center" vertical="center"/>
    </xf>
    <xf numFmtId="10" fontId="12" fillId="62" borderId="95" xfId="0" applyNumberFormat="1" applyFont="1" applyFill="1" applyBorder="1" applyAlignment="1">
      <alignment horizontal="center" vertical="center"/>
    </xf>
    <xf numFmtId="10" fontId="12" fillId="62" borderId="14" xfId="0" applyNumberFormat="1" applyFont="1" applyFill="1" applyBorder="1" applyAlignment="1">
      <alignment horizontal="center" vertical="center"/>
    </xf>
    <xf numFmtId="10" fontId="12" fillId="62" borderId="25" xfId="0" applyNumberFormat="1" applyFont="1" applyFill="1" applyBorder="1" applyAlignment="1">
      <alignment horizontal="center" vertical="center"/>
    </xf>
    <xf numFmtId="0" fontId="43" fillId="37" borderId="24" xfId="0" applyFont="1" applyFill="1" applyBorder="1" applyAlignment="1">
      <alignment horizontal="center" vertical="center"/>
    </xf>
    <xf numFmtId="0" fontId="5" fillId="34" borderId="164" xfId="0" applyFont="1" applyFill="1" applyBorder="1" applyAlignment="1">
      <alignment horizontal="center" vertical="center" wrapText="1"/>
    </xf>
    <xf numFmtId="0" fontId="5" fillId="34" borderId="165" xfId="0" applyFont="1" applyFill="1" applyBorder="1" applyAlignment="1">
      <alignment horizontal="center" vertical="center" wrapText="1"/>
    </xf>
    <xf numFmtId="0" fontId="5" fillId="34" borderId="166" xfId="0" applyFont="1" applyFill="1" applyBorder="1" applyAlignment="1">
      <alignment horizontal="center" vertical="center" wrapText="1"/>
    </xf>
    <xf numFmtId="0" fontId="5" fillId="34" borderId="167" xfId="0" applyFont="1" applyFill="1" applyBorder="1" applyAlignment="1">
      <alignment horizontal="center" vertical="center" wrapText="1"/>
    </xf>
    <xf numFmtId="0" fontId="5" fillId="34" borderId="30" xfId="0" applyFont="1" applyFill="1" applyBorder="1" applyAlignment="1">
      <alignment horizontal="center" vertical="center" wrapText="1"/>
    </xf>
    <xf numFmtId="0" fontId="5" fillId="34" borderId="10" xfId="0" applyFont="1" applyFill="1" applyBorder="1" applyAlignment="1">
      <alignment horizontal="center" vertical="center" wrapText="1"/>
    </xf>
    <xf numFmtId="0" fontId="5" fillId="34" borderId="17" xfId="0" applyFont="1" applyFill="1" applyBorder="1" applyAlignment="1">
      <alignment horizontal="center" vertical="center" wrapText="1"/>
    </xf>
    <xf numFmtId="0" fontId="5" fillId="34" borderId="12" xfId="0" applyFont="1" applyFill="1" applyBorder="1" applyAlignment="1">
      <alignment horizontal="center" vertical="center" wrapText="1"/>
    </xf>
    <xf numFmtId="0" fontId="15" fillId="63" borderId="103" xfId="0" applyFont="1" applyFill="1" applyBorder="1" applyAlignment="1">
      <alignment horizontal="center" vertical="center" textRotation="90"/>
    </xf>
    <xf numFmtId="0" fontId="43" fillId="37" borderId="22" xfId="0" applyFont="1" applyFill="1" applyBorder="1" applyAlignment="1">
      <alignment horizontal="center" vertical="center"/>
    </xf>
    <xf numFmtId="0" fontId="5" fillId="62" borderId="96" xfId="0" applyFont="1" applyFill="1" applyBorder="1" applyAlignment="1">
      <alignment horizontal="center" vertical="center" wrapText="1"/>
    </xf>
    <xf numFmtId="0" fontId="5" fillId="62" borderId="60" xfId="0" applyFont="1" applyFill="1" applyBorder="1" applyAlignment="1">
      <alignment horizontal="center" vertical="center" wrapText="1"/>
    </xf>
    <xf numFmtId="0" fontId="5" fillId="34" borderId="160" xfId="0" applyFont="1" applyFill="1" applyBorder="1" applyAlignment="1">
      <alignment horizontal="center" vertical="center" wrapText="1"/>
    </xf>
    <xf numFmtId="0" fontId="5" fillId="34" borderId="159" xfId="0" applyFont="1" applyFill="1" applyBorder="1" applyAlignment="1">
      <alignment horizontal="center" vertical="center" wrapText="1"/>
    </xf>
    <xf numFmtId="49" fontId="123" fillId="0" borderId="0" xfId="0" applyNumberFormat="1" applyFont="1" applyAlignment="1">
      <alignment horizontal="center" vertical="center" wrapText="1"/>
    </xf>
    <xf numFmtId="0" fontId="115" fillId="0" borderId="0" xfId="0" applyFont="1" applyAlignment="1">
      <alignment horizontal="center" vertical="center" wrapText="1"/>
    </xf>
    <xf numFmtId="0" fontId="5" fillId="24" borderId="92" xfId="0" applyFont="1" applyFill="1" applyBorder="1" applyAlignment="1">
      <alignment horizontal="center" vertical="center" wrapText="1"/>
    </xf>
    <xf numFmtId="0" fontId="5" fillId="24" borderId="94" xfId="0" applyFont="1" applyFill="1" applyBorder="1" applyAlignment="1">
      <alignment horizontal="center" vertical="center" wrapText="1"/>
    </xf>
    <xf numFmtId="0" fontId="5" fillId="24" borderId="13" xfId="0" applyFont="1" applyFill="1" applyBorder="1" applyAlignment="1">
      <alignment horizontal="center" vertical="center" wrapText="1"/>
    </xf>
    <xf numFmtId="10" fontId="12" fillId="24" borderId="94" xfId="0" applyNumberFormat="1" applyFont="1" applyFill="1" applyBorder="1" applyAlignment="1">
      <alignment horizontal="center" vertical="center"/>
    </xf>
    <xf numFmtId="10" fontId="12" fillId="24" borderId="95" xfId="0" applyNumberFormat="1" applyFont="1" applyFill="1" applyBorder="1" applyAlignment="1">
      <alignment horizontal="center" vertical="center"/>
    </xf>
    <xf numFmtId="10" fontId="12" fillId="24" borderId="25" xfId="0" applyNumberFormat="1" applyFont="1" applyFill="1" applyBorder="1" applyAlignment="1">
      <alignment horizontal="center" vertical="center"/>
    </xf>
    <xf numFmtId="0" fontId="56" fillId="37" borderId="20" xfId="0" applyFont="1" applyFill="1" applyBorder="1" applyAlignment="1">
      <alignment horizontal="center" vertical="center"/>
    </xf>
    <xf numFmtId="0" fontId="15" fillId="38" borderId="13" xfId="0" applyFont="1" applyFill="1" applyBorder="1" applyAlignment="1">
      <alignment horizontal="center" vertical="center" textRotation="90"/>
    </xf>
    <xf numFmtId="0" fontId="15" fillId="38" borderId="102" xfId="0" applyFont="1" applyFill="1" applyBorder="1" applyAlignment="1">
      <alignment horizontal="center" vertical="center" textRotation="90"/>
    </xf>
    <xf numFmtId="10" fontId="12" fillId="24" borderId="60" xfId="0" applyNumberFormat="1" applyFont="1" applyFill="1" applyBorder="1" applyAlignment="1">
      <alignment horizontal="center" vertical="center"/>
    </xf>
    <xf numFmtId="10" fontId="12" fillId="24" borderId="21" xfId="0" applyNumberFormat="1" applyFont="1" applyFill="1" applyBorder="1" applyAlignment="1">
      <alignment horizontal="center" vertical="center"/>
    </xf>
    <xf numFmtId="0" fontId="56" fillId="37" borderId="11" xfId="0" applyFont="1" applyFill="1" applyBorder="1" applyAlignment="1">
      <alignment horizontal="center" vertical="center"/>
    </xf>
    <xf numFmtId="0" fontId="56" fillId="37" borderId="12" xfId="0" applyFont="1" applyFill="1" applyBorder="1" applyAlignment="1">
      <alignment horizontal="center" vertical="center"/>
    </xf>
    <xf numFmtId="0" fontId="143" fillId="0" borderId="0" xfId="0" applyFont="1" applyAlignment="1">
      <alignment horizontal="center" vertical="center" wrapText="1"/>
    </xf>
    <xf numFmtId="0" fontId="132" fillId="14" borderId="189" xfId="0" applyFont="1" applyFill="1" applyBorder="1" applyAlignment="1">
      <alignment horizontal="center" vertical="center"/>
    </xf>
    <xf numFmtId="0" fontId="132" fillId="14" borderId="190" xfId="0" applyFont="1" applyFill="1" applyBorder="1" applyAlignment="1">
      <alignment horizontal="center" vertical="center"/>
    </xf>
    <xf numFmtId="0" fontId="132" fillId="14" borderId="191" xfId="0" applyFont="1" applyFill="1" applyBorder="1" applyAlignment="1">
      <alignment horizontal="center" vertical="center"/>
    </xf>
    <xf numFmtId="0" fontId="126" fillId="34" borderId="62" xfId="0" applyFont="1" applyFill="1" applyBorder="1" applyAlignment="1">
      <alignment horizontal="center" vertical="center"/>
    </xf>
    <xf numFmtId="0" fontId="126" fillId="34" borderId="63" xfId="0" applyFont="1" applyFill="1" applyBorder="1" applyAlignment="1">
      <alignment horizontal="center" vertical="center"/>
    </xf>
    <xf numFmtId="0" fontId="126" fillId="34" borderId="68" xfId="0" applyFont="1" applyFill="1" applyBorder="1" applyAlignment="1">
      <alignment horizontal="center" vertical="center"/>
    </xf>
    <xf numFmtId="0" fontId="126" fillId="34" borderId="69" xfId="0" applyFont="1" applyFill="1" applyBorder="1" applyAlignment="1">
      <alignment horizontal="center" vertical="center"/>
    </xf>
    <xf numFmtId="0" fontId="61" fillId="0" borderId="179" xfId="0" applyFont="1" applyBorder="1" applyAlignment="1">
      <alignment horizontal="center" vertical="center"/>
    </xf>
    <xf numFmtId="0" fontId="61" fillId="0" borderId="63" xfId="0" applyFont="1" applyBorder="1" applyAlignment="1">
      <alignment horizontal="center" vertical="center"/>
    </xf>
    <xf numFmtId="0" fontId="61" fillId="0" borderId="178" xfId="0" applyFont="1" applyBorder="1" applyAlignment="1">
      <alignment horizontal="center" vertical="center"/>
    </xf>
    <xf numFmtId="0" fontId="61" fillId="0" borderId="69" xfId="0" applyFont="1" applyBorder="1" applyAlignment="1">
      <alignment horizontal="center" vertical="center"/>
    </xf>
    <xf numFmtId="0" fontId="120" fillId="36" borderId="62" xfId="0" applyFont="1" applyFill="1" applyBorder="1" applyAlignment="1">
      <alignment horizontal="center" vertical="center"/>
    </xf>
    <xf numFmtId="0" fontId="120" fillId="36" borderId="63" xfId="0" applyFont="1" applyFill="1" applyBorder="1" applyAlignment="1">
      <alignment horizontal="center" vertical="center"/>
    </xf>
    <xf numFmtId="0" fontId="120" fillId="36" borderId="171" xfId="0" applyFont="1" applyFill="1" applyBorder="1" applyAlignment="1">
      <alignment horizontal="center" vertical="center"/>
    </xf>
    <xf numFmtId="0" fontId="120" fillId="36" borderId="72" xfId="0" applyFont="1" applyFill="1" applyBorder="1" applyAlignment="1">
      <alignment horizontal="center" vertical="center"/>
    </xf>
    <xf numFmtId="0" fontId="120" fillId="36" borderId="0" xfId="0" applyFont="1" applyFill="1" applyAlignment="1">
      <alignment horizontal="center" vertical="center"/>
    </xf>
    <xf numFmtId="0" fontId="120" fillId="36" borderId="58" xfId="0" applyFont="1" applyFill="1" applyBorder="1" applyAlignment="1">
      <alignment horizontal="center" vertical="center"/>
    </xf>
    <xf numFmtId="0" fontId="135" fillId="0" borderId="179" xfId="0" applyFont="1" applyBorder="1" applyAlignment="1">
      <alignment horizontal="center" vertical="top"/>
    </xf>
    <xf numFmtId="0" fontId="135" fillId="0" borderId="63" xfId="0" applyFont="1" applyBorder="1" applyAlignment="1">
      <alignment horizontal="center" vertical="top"/>
    </xf>
    <xf numFmtId="0" fontId="135" fillId="0" borderId="34" xfId="0" applyFont="1" applyBorder="1" applyAlignment="1">
      <alignment horizontal="center" vertical="top"/>
    </xf>
    <xf numFmtId="0" fontId="135" fillId="0" borderId="0" xfId="0" applyFont="1" applyAlignment="1">
      <alignment horizontal="center" vertical="top"/>
    </xf>
    <xf numFmtId="0" fontId="61" fillId="0" borderId="183" xfId="0" applyFont="1" applyBorder="1" applyAlignment="1">
      <alignment horizontal="center" vertical="center"/>
    </xf>
    <xf numFmtId="0" fontId="61" fillId="0" borderId="181" xfId="0" applyFont="1" applyBorder="1" applyAlignment="1">
      <alignment horizontal="center" vertical="center"/>
    </xf>
    <xf numFmtId="0" fontId="121" fillId="34" borderId="180" xfId="0" applyFont="1" applyFill="1" applyBorder="1" applyAlignment="1">
      <alignment horizontal="center" vertical="center"/>
    </xf>
    <xf numFmtId="0" fontId="121" fillId="34" borderId="181" xfId="0" applyFont="1" applyFill="1" applyBorder="1" applyAlignment="1">
      <alignment horizontal="center" vertical="center"/>
    </xf>
    <xf numFmtId="0" fontId="121" fillId="34" borderId="182" xfId="0" applyFont="1" applyFill="1" applyBorder="1" applyAlignment="1">
      <alignment horizontal="center" vertical="center"/>
    </xf>
    <xf numFmtId="0" fontId="124" fillId="94" borderId="62" xfId="0" applyFont="1" applyFill="1" applyBorder="1" applyAlignment="1">
      <alignment horizontal="center" vertical="center" textRotation="90"/>
    </xf>
    <xf numFmtId="0" fontId="124" fillId="94" borderId="171" xfId="0" applyFont="1" applyFill="1" applyBorder="1" applyAlignment="1">
      <alignment horizontal="center" vertical="center" textRotation="90"/>
    </xf>
    <xf numFmtId="0" fontId="124" fillId="94" borderId="72" xfId="0" applyFont="1" applyFill="1" applyBorder="1" applyAlignment="1">
      <alignment horizontal="center" vertical="center" textRotation="90"/>
    </xf>
    <xf numFmtId="0" fontId="124" fillId="94" borderId="58" xfId="0" applyFont="1" applyFill="1" applyBorder="1" applyAlignment="1">
      <alignment horizontal="center" vertical="center" textRotation="90"/>
    </xf>
    <xf numFmtId="0" fontId="124" fillId="94" borderId="68" xfId="0" applyFont="1" applyFill="1" applyBorder="1" applyAlignment="1">
      <alignment horizontal="center" vertical="center" textRotation="90"/>
    </xf>
    <xf numFmtId="0" fontId="124" fillId="94" borderId="172" xfId="0" applyFont="1" applyFill="1" applyBorder="1" applyAlignment="1">
      <alignment horizontal="center" vertical="center" textRotation="90"/>
    </xf>
    <xf numFmtId="0" fontId="125" fillId="36" borderId="173" xfId="0" applyFont="1" applyFill="1" applyBorder="1" applyAlignment="1">
      <alignment horizontal="center" vertical="center"/>
    </xf>
    <xf numFmtId="0" fontId="125" fillId="36" borderId="174" xfId="0" applyFont="1" applyFill="1" applyBorder="1" applyAlignment="1">
      <alignment horizontal="center" vertical="center"/>
    </xf>
    <xf numFmtId="0" fontId="125" fillId="36" borderId="175" xfId="0" applyFont="1" applyFill="1" applyBorder="1" applyAlignment="1">
      <alignment horizontal="center" vertical="center"/>
    </xf>
    <xf numFmtId="0" fontId="127" fillId="34" borderId="176" xfId="0" applyFont="1" applyFill="1" applyBorder="1" applyAlignment="1">
      <alignment horizontal="center" vertical="center"/>
    </xf>
    <xf numFmtId="0" fontId="127" fillId="34" borderId="169" xfId="0" applyFont="1" applyFill="1" applyBorder="1" applyAlignment="1">
      <alignment horizontal="center" vertical="center"/>
    </xf>
    <xf numFmtId="0" fontId="127" fillId="34" borderId="177" xfId="0" applyFont="1" applyFill="1" applyBorder="1" applyAlignment="1">
      <alignment horizontal="center" vertical="center"/>
    </xf>
    <xf numFmtId="0" fontId="127" fillId="34" borderId="34" xfId="0" applyFont="1" applyFill="1" applyBorder="1" applyAlignment="1">
      <alignment horizontal="center" vertical="center"/>
    </xf>
    <xf numFmtId="0" fontId="127" fillId="34" borderId="0" xfId="0" applyFont="1" applyFill="1" applyAlignment="1">
      <alignment horizontal="center" vertical="center"/>
    </xf>
    <xf numFmtId="0" fontId="127" fillId="34" borderId="58" xfId="0" applyFont="1" applyFill="1" applyBorder="1" applyAlignment="1">
      <alignment horizontal="center" vertical="center"/>
    </xf>
    <xf numFmtId="0" fontId="127" fillId="34" borderId="178" xfId="0" applyFont="1" applyFill="1" applyBorder="1" applyAlignment="1">
      <alignment horizontal="center" vertical="center"/>
    </xf>
    <xf numFmtId="0" fontId="127" fillId="34" borderId="69" xfId="0" applyFont="1" applyFill="1" applyBorder="1" applyAlignment="1">
      <alignment horizontal="center" vertical="center"/>
    </xf>
    <xf numFmtId="0" fontId="127" fillId="34" borderId="172" xfId="0" applyFont="1" applyFill="1" applyBorder="1" applyAlignment="1">
      <alignment horizontal="center" vertical="center"/>
    </xf>
    <xf numFmtId="0" fontId="135" fillId="0" borderId="173" xfId="0" applyFont="1" applyBorder="1" applyAlignment="1">
      <alignment horizontal="center" vertical="center"/>
    </xf>
    <xf numFmtId="0" fontId="135" fillId="0" borderId="174" xfId="0" applyFont="1" applyBorder="1" applyAlignment="1">
      <alignment horizontal="center" vertical="center"/>
    </xf>
    <xf numFmtId="0" fontId="61" fillId="0" borderId="176" xfId="0" applyFont="1" applyBorder="1" applyAlignment="1">
      <alignment horizontal="center" vertical="center"/>
    </xf>
    <xf numFmtId="0" fontId="61" fillId="0" borderId="169" xfId="0" applyFont="1" applyBorder="1" applyAlignment="1">
      <alignment horizontal="center" vertical="center"/>
    </xf>
    <xf numFmtId="0" fontId="61" fillId="0" borderId="34" xfId="0" applyFont="1" applyBorder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56" fillId="37" borderId="14" xfId="0" applyFont="1" applyFill="1" applyBorder="1" applyAlignment="1">
      <alignment horizontal="center" vertical="center"/>
    </xf>
    <xf numFmtId="0" fontId="56" fillId="37" borderId="25" xfId="0" applyFont="1" applyFill="1" applyBorder="1" applyAlignment="1">
      <alignment horizontal="center" vertical="center"/>
    </xf>
    <xf numFmtId="0" fontId="15" fillId="44" borderId="13" xfId="0" applyFont="1" applyFill="1" applyBorder="1" applyAlignment="1">
      <alignment horizontal="center" vertical="center" textRotation="90"/>
    </xf>
    <xf numFmtId="0" fontId="15" fillId="44" borderId="102" xfId="0" applyFont="1" applyFill="1" applyBorder="1" applyAlignment="1">
      <alignment horizontal="center" vertical="center" textRotation="90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10" fontId="12" fillId="0" borderId="14" xfId="0" applyNumberFormat="1" applyFont="1" applyBorder="1" applyAlignment="1">
      <alignment horizontal="left" vertical="center"/>
    </xf>
    <xf numFmtId="0" fontId="5" fillId="45" borderId="92" xfId="0" applyFont="1" applyFill="1" applyBorder="1" applyAlignment="1">
      <alignment horizontal="center" vertical="center" wrapText="1"/>
    </xf>
    <xf numFmtId="0" fontId="5" fillId="45" borderId="94" xfId="0" applyFont="1" applyFill="1" applyBorder="1" applyAlignment="1">
      <alignment horizontal="center" vertical="center" wrapText="1"/>
    </xf>
    <xf numFmtId="0" fontId="5" fillId="45" borderId="13" xfId="0" applyFont="1" applyFill="1" applyBorder="1" applyAlignment="1">
      <alignment horizontal="center" vertical="center" wrapText="1"/>
    </xf>
    <xf numFmtId="0" fontId="5" fillId="45" borderId="14" xfId="0" applyFont="1" applyFill="1" applyBorder="1" applyAlignment="1">
      <alignment horizontal="center" vertical="center" wrapText="1"/>
    </xf>
    <xf numFmtId="10" fontId="12" fillId="45" borderId="94" xfId="0" applyNumberFormat="1" applyFont="1" applyFill="1" applyBorder="1" applyAlignment="1">
      <alignment horizontal="center" vertical="center"/>
    </xf>
    <xf numFmtId="10" fontId="12" fillId="45" borderId="95" xfId="0" applyNumberFormat="1" applyFont="1" applyFill="1" applyBorder="1" applyAlignment="1">
      <alignment horizontal="center" vertical="center"/>
    </xf>
    <xf numFmtId="10" fontId="12" fillId="45" borderId="14" xfId="0" applyNumberFormat="1" applyFont="1" applyFill="1" applyBorder="1" applyAlignment="1">
      <alignment horizontal="center" vertical="center"/>
    </xf>
    <xf numFmtId="10" fontId="12" fillId="45" borderId="25" xfId="0" applyNumberFormat="1" applyFont="1" applyFill="1" applyBorder="1" applyAlignment="1">
      <alignment horizontal="center" vertical="center"/>
    </xf>
    <xf numFmtId="0" fontId="3" fillId="34" borderId="18" xfId="0" applyFont="1" applyFill="1" applyBorder="1" applyAlignment="1">
      <alignment horizontal="center" vertical="center" wrapText="1"/>
    </xf>
    <xf numFmtId="0" fontId="3" fillId="34" borderId="24" xfId="0" applyFont="1" applyFill="1" applyBorder="1" applyAlignment="1">
      <alignment horizontal="center" vertical="center" wrapText="1"/>
    </xf>
    <xf numFmtId="10" fontId="3" fillId="34" borderId="20" xfId="0" applyNumberFormat="1" applyFont="1" applyFill="1" applyBorder="1" applyAlignment="1">
      <alignment horizontal="center" vertical="center"/>
    </xf>
    <xf numFmtId="0" fontId="3" fillId="34" borderId="193" xfId="0" applyFont="1" applyFill="1" applyBorder="1" applyAlignment="1">
      <alignment horizontal="center" vertical="center" wrapText="1"/>
    </xf>
    <xf numFmtId="0" fontId="3" fillId="34" borderId="194" xfId="0" applyFont="1" applyFill="1" applyBorder="1" applyAlignment="1">
      <alignment horizontal="center" vertical="center" wrapText="1"/>
    </xf>
    <xf numFmtId="0" fontId="5" fillId="45" borderId="96" xfId="0" applyFont="1" applyFill="1" applyBorder="1" applyAlignment="1">
      <alignment horizontal="center" vertical="center" wrapText="1"/>
    </xf>
    <xf numFmtId="0" fontId="5" fillId="45" borderId="60" xfId="0" applyFont="1" applyFill="1" applyBorder="1" applyAlignment="1">
      <alignment horizontal="center" vertical="center" wrapText="1"/>
    </xf>
    <xf numFmtId="0" fontId="15" fillId="44" borderId="103" xfId="0" applyFont="1" applyFill="1" applyBorder="1" applyAlignment="1">
      <alignment horizontal="center" vertical="center" textRotation="90"/>
    </xf>
    <xf numFmtId="0" fontId="56" fillId="37" borderId="129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 textRotation="90"/>
    </xf>
    <xf numFmtId="0" fontId="43" fillId="0" borderId="14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textRotation="90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128" fillId="95" borderId="62" xfId="0" applyFont="1" applyFill="1" applyBorder="1" applyAlignment="1">
      <alignment horizontal="center" vertical="center" wrapText="1"/>
    </xf>
    <xf numFmtId="0" fontId="128" fillId="95" borderId="63" xfId="0" applyFont="1" applyFill="1" applyBorder="1" applyAlignment="1">
      <alignment horizontal="center" vertical="center"/>
    </xf>
    <xf numFmtId="0" fontId="128" fillId="95" borderId="65" xfId="0" applyFont="1" applyFill="1" applyBorder="1" applyAlignment="1">
      <alignment horizontal="center" vertical="center"/>
    </xf>
    <xf numFmtId="0" fontId="128" fillId="95" borderId="72" xfId="0" applyFont="1" applyFill="1" applyBorder="1" applyAlignment="1">
      <alignment horizontal="center" vertical="center"/>
    </xf>
    <xf numFmtId="0" fontId="128" fillId="95" borderId="0" xfId="0" applyFont="1" applyFill="1" applyAlignment="1">
      <alignment horizontal="center" vertical="center"/>
    </xf>
    <xf numFmtId="0" fontId="128" fillId="95" borderId="70" xfId="0" applyFont="1" applyFill="1" applyBorder="1" applyAlignment="1">
      <alignment horizontal="center" vertical="center"/>
    </xf>
    <xf numFmtId="0" fontId="128" fillId="95" borderId="63" xfId="0" applyFont="1" applyFill="1" applyBorder="1" applyAlignment="1">
      <alignment horizontal="center" vertical="center" wrapText="1"/>
    </xf>
    <xf numFmtId="0" fontId="128" fillId="95" borderId="65" xfId="0" applyFont="1" applyFill="1" applyBorder="1" applyAlignment="1">
      <alignment horizontal="center" vertical="center" wrapText="1"/>
    </xf>
    <xf numFmtId="0" fontId="128" fillId="95" borderId="72" xfId="0" applyFont="1" applyFill="1" applyBorder="1" applyAlignment="1">
      <alignment horizontal="center" vertical="center" wrapText="1"/>
    </xf>
    <xf numFmtId="0" fontId="128" fillId="95" borderId="0" xfId="0" applyFont="1" applyFill="1" applyAlignment="1">
      <alignment horizontal="center" vertical="center" wrapText="1"/>
    </xf>
    <xf numFmtId="0" fontId="128" fillId="95" borderId="70" xfId="0" applyFont="1" applyFill="1" applyBorder="1" applyAlignment="1">
      <alignment horizontal="center" vertical="center" wrapText="1"/>
    </xf>
    <xf numFmtId="2" fontId="128" fillId="95" borderId="62" xfId="0" applyNumberFormat="1" applyFont="1" applyFill="1" applyBorder="1" applyAlignment="1">
      <alignment horizontal="center" vertical="center" wrapText="1"/>
    </xf>
    <xf numFmtId="2" fontId="128" fillId="95" borderId="63" xfId="0" applyNumberFormat="1" applyFont="1" applyFill="1" applyBorder="1" applyAlignment="1">
      <alignment horizontal="center" vertical="center" wrapText="1"/>
    </xf>
    <xf numFmtId="2" fontId="128" fillId="95" borderId="65" xfId="0" applyNumberFormat="1" applyFont="1" applyFill="1" applyBorder="1" applyAlignment="1">
      <alignment horizontal="center" vertical="center" wrapText="1"/>
    </xf>
    <xf numFmtId="2" fontId="128" fillId="95" borderId="72" xfId="0" applyNumberFormat="1" applyFont="1" applyFill="1" applyBorder="1" applyAlignment="1">
      <alignment horizontal="center" vertical="center" wrapText="1"/>
    </xf>
    <xf numFmtId="2" fontId="128" fillId="95" borderId="0" xfId="0" applyNumberFormat="1" applyFont="1" applyFill="1" applyAlignment="1">
      <alignment horizontal="center" vertical="center" wrapText="1"/>
    </xf>
    <xf numFmtId="2" fontId="128" fillId="95" borderId="70" xfId="0" applyNumberFormat="1" applyFont="1" applyFill="1" applyBorder="1" applyAlignment="1">
      <alignment horizontal="center" vertical="center" wrapText="1"/>
    </xf>
    <xf numFmtId="0" fontId="51" fillId="0" borderId="0" xfId="0" applyFont="1" applyAlignment="1">
      <alignment horizontal="center" vertical="center" wrapText="1"/>
    </xf>
    <xf numFmtId="10" fontId="118" fillId="0" borderId="72" xfId="0" applyNumberFormat="1" applyFont="1" applyBorder="1" applyAlignment="1">
      <alignment horizontal="center" vertical="top"/>
    </xf>
    <xf numFmtId="0" fontId="118" fillId="0" borderId="0" xfId="0" applyFont="1" applyAlignment="1">
      <alignment horizontal="center" vertical="top"/>
    </xf>
    <xf numFmtId="0" fontId="118" fillId="0" borderId="70" xfId="0" applyFont="1" applyBorder="1" applyAlignment="1">
      <alignment horizontal="center" vertical="top"/>
    </xf>
    <xf numFmtId="0" fontId="118" fillId="0" borderId="72" xfId="0" applyFont="1" applyBorder="1" applyAlignment="1">
      <alignment horizontal="center" vertical="top"/>
    </xf>
    <xf numFmtId="0" fontId="118" fillId="0" borderId="68" xfId="0" applyFont="1" applyBorder="1" applyAlignment="1">
      <alignment horizontal="center" vertical="top"/>
    </xf>
    <xf numFmtId="0" fontId="118" fillId="0" borderId="69" xfId="0" applyFont="1" applyBorder="1" applyAlignment="1">
      <alignment horizontal="center" vertical="top"/>
    </xf>
    <xf numFmtId="0" fontId="118" fillId="0" borderId="73" xfId="0" applyFont="1" applyBorder="1" applyAlignment="1">
      <alignment horizontal="center" vertical="top"/>
    </xf>
    <xf numFmtId="49" fontId="134" fillId="0" borderId="72" xfId="0" applyNumberFormat="1" applyFont="1" applyBorder="1" applyAlignment="1">
      <alignment horizontal="center" vertical="center" wrapText="1"/>
    </xf>
    <xf numFmtId="49" fontId="134" fillId="0" borderId="0" xfId="0" applyNumberFormat="1" applyFont="1" applyAlignment="1">
      <alignment horizontal="center" vertical="center" wrapText="1"/>
    </xf>
    <xf numFmtId="49" fontId="134" fillId="0" borderId="70" xfId="0" applyNumberFormat="1" applyFont="1" applyBorder="1" applyAlignment="1">
      <alignment horizontal="center" vertical="center" wrapText="1"/>
    </xf>
    <xf numFmtId="49" fontId="134" fillId="0" borderId="68" xfId="0" applyNumberFormat="1" applyFont="1" applyBorder="1" applyAlignment="1">
      <alignment horizontal="center" vertical="center" wrapText="1"/>
    </xf>
    <xf numFmtId="49" fontId="134" fillId="0" borderId="69" xfId="0" applyNumberFormat="1" applyFont="1" applyBorder="1" applyAlignment="1">
      <alignment horizontal="center" vertical="center" wrapText="1"/>
    </xf>
    <xf numFmtId="49" fontId="134" fillId="0" borderId="73" xfId="0" applyNumberFormat="1" applyFont="1" applyBorder="1" applyAlignment="1">
      <alignment horizontal="center" vertical="center" wrapText="1"/>
    </xf>
    <xf numFmtId="164" fontId="119" fillId="0" borderId="72" xfId="0" applyNumberFormat="1" applyFont="1" applyBorder="1" applyAlignment="1">
      <alignment horizontal="center" vertical="center" wrapText="1"/>
    </xf>
    <xf numFmtId="164" fontId="119" fillId="0" borderId="0" xfId="0" applyNumberFormat="1" applyFont="1" applyAlignment="1">
      <alignment horizontal="center" vertical="center" wrapText="1"/>
    </xf>
    <xf numFmtId="164" fontId="119" fillId="0" borderId="70" xfId="0" applyNumberFormat="1" applyFont="1" applyBorder="1" applyAlignment="1">
      <alignment horizontal="center" vertical="center" wrapText="1"/>
    </xf>
    <xf numFmtId="164" fontId="119" fillId="0" borderId="68" xfId="0" applyNumberFormat="1" applyFont="1" applyBorder="1" applyAlignment="1">
      <alignment horizontal="center" vertical="center" wrapText="1"/>
    </xf>
    <xf numFmtId="164" fontId="119" fillId="0" borderId="69" xfId="0" applyNumberFormat="1" applyFont="1" applyBorder="1" applyAlignment="1">
      <alignment horizontal="center" vertical="center" wrapText="1"/>
    </xf>
    <xf numFmtId="164" fontId="119" fillId="0" borderId="73" xfId="0" applyNumberFormat="1" applyFont="1" applyBorder="1" applyAlignment="1">
      <alignment horizontal="center" vertical="center" wrapText="1"/>
    </xf>
    <xf numFmtId="2" fontId="119" fillId="0" borderId="72" xfId="0" applyNumberFormat="1" applyFont="1" applyBorder="1" applyAlignment="1">
      <alignment horizontal="center" vertical="center"/>
    </xf>
    <xf numFmtId="2" fontId="119" fillId="0" borderId="0" xfId="0" applyNumberFormat="1" applyFont="1" applyAlignment="1">
      <alignment horizontal="center" vertical="center"/>
    </xf>
    <xf numFmtId="2" fontId="119" fillId="0" borderId="70" xfId="0" applyNumberFormat="1" applyFont="1" applyBorder="1" applyAlignment="1">
      <alignment horizontal="center" vertical="center"/>
    </xf>
    <xf numFmtId="2" fontId="119" fillId="0" borderId="68" xfId="0" applyNumberFormat="1" applyFont="1" applyBorder="1" applyAlignment="1">
      <alignment horizontal="center" vertical="center"/>
    </xf>
    <xf numFmtId="2" fontId="119" fillId="0" borderId="69" xfId="0" applyNumberFormat="1" applyFont="1" applyBorder="1" applyAlignment="1">
      <alignment horizontal="center" vertical="center"/>
    </xf>
    <xf numFmtId="2" fontId="119" fillId="0" borderId="73" xfId="0" applyNumberFormat="1" applyFont="1" applyBorder="1" applyAlignment="1">
      <alignment horizontal="center" vertical="center"/>
    </xf>
    <xf numFmtId="0" fontId="122" fillId="95" borderId="187" xfId="0" applyFont="1" applyFill="1" applyBorder="1" applyAlignment="1">
      <alignment horizontal="center" vertical="center" wrapText="1"/>
    </xf>
    <xf numFmtId="0" fontId="122" fillId="95" borderId="184" xfId="0" applyFont="1" applyFill="1" applyBorder="1" applyAlignment="1">
      <alignment horizontal="center" vertical="center" wrapText="1"/>
    </xf>
    <xf numFmtId="0" fontId="122" fillId="95" borderId="185" xfId="0" applyFont="1" applyFill="1" applyBorder="1" applyAlignment="1">
      <alignment horizontal="center" vertical="center" wrapText="1"/>
    </xf>
    <xf numFmtId="0" fontId="122" fillId="95" borderId="24" xfId="0" applyFont="1" applyFill="1" applyBorder="1" applyAlignment="1">
      <alignment horizontal="center" vertical="center" wrapText="1"/>
    </xf>
    <xf numFmtId="0" fontId="122" fillId="95" borderId="14" xfId="0" applyFont="1" applyFill="1" applyBorder="1" applyAlignment="1">
      <alignment horizontal="center" vertical="center" wrapText="1"/>
    </xf>
    <xf numFmtId="0" fontId="122" fillId="95" borderId="23" xfId="0" applyFont="1" applyFill="1" applyBorder="1" applyAlignment="1">
      <alignment horizontal="center" vertical="center" wrapText="1"/>
    </xf>
    <xf numFmtId="0" fontId="122" fillId="95" borderId="182" xfId="0" applyFont="1" applyFill="1" applyBorder="1" applyAlignment="1">
      <alignment horizontal="center" vertical="center" wrapText="1"/>
    </xf>
    <xf numFmtId="0" fontId="122" fillId="95" borderId="186" xfId="0" applyFont="1" applyFill="1" applyBorder="1" applyAlignment="1">
      <alignment horizontal="center" vertical="center" wrapText="1"/>
    </xf>
    <xf numFmtId="0" fontId="122" fillId="95" borderId="183" xfId="0" applyFont="1" applyFill="1" applyBorder="1" applyAlignment="1">
      <alignment horizontal="center" vertical="center" wrapText="1"/>
    </xf>
    <xf numFmtId="0" fontId="119" fillId="0" borderId="63" xfId="0" applyFont="1" applyBorder="1" applyAlignment="1">
      <alignment horizontal="center" vertical="center"/>
    </xf>
    <xf numFmtId="0" fontId="119" fillId="0" borderId="65" xfId="0" applyFont="1" applyBorder="1" applyAlignment="1">
      <alignment horizontal="center" vertical="center"/>
    </xf>
    <xf numFmtId="0" fontId="119" fillId="0" borderId="0" xfId="0" applyFont="1" applyAlignment="1">
      <alignment horizontal="center" vertical="center"/>
    </xf>
    <xf numFmtId="0" fontId="119" fillId="0" borderId="70" xfId="0" applyFont="1" applyBorder="1" applyAlignment="1">
      <alignment horizontal="center" vertical="center"/>
    </xf>
    <xf numFmtId="0" fontId="119" fillId="0" borderId="62" xfId="0" applyFont="1" applyBorder="1" applyAlignment="1">
      <alignment horizontal="right" vertical="center"/>
    </xf>
    <xf numFmtId="0" fontId="119" fillId="0" borderId="63" xfId="0" applyFont="1" applyBorder="1" applyAlignment="1">
      <alignment horizontal="right" vertical="center"/>
    </xf>
    <xf numFmtId="0" fontId="119" fillId="0" borderId="72" xfId="0" applyFont="1" applyBorder="1" applyAlignment="1">
      <alignment horizontal="right" vertical="center"/>
    </xf>
    <xf numFmtId="0" fontId="119" fillId="0" borderId="0" xfId="0" applyFont="1" applyAlignment="1">
      <alignment horizontal="right" vertical="center"/>
    </xf>
    <xf numFmtId="0" fontId="119" fillId="0" borderId="72" xfId="0" applyFont="1" applyBorder="1" applyAlignment="1">
      <alignment horizontal="center" vertical="top" wrapText="1"/>
    </xf>
    <xf numFmtId="0" fontId="119" fillId="0" borderId="0" xfId="0" applyFont="1" applyAlignment="1">
      <alignment horizontal="center" vertical="top" wrapText="1"/>
    </xf>
    <xf numFmtId="0" fontId="119" fillId="0" borderId="70" xfId="0" applyFont="1" applyBorder="1" applyAlignment="1">
      <alignment horizontal="center" vertical="top" wrapText="1"/>
    </xf>
    <xf numFmtId="0" fontId="119" fillId="0" borderId="68" xfId="0" applyFont="1" applyBorder="1" applyAlignment="1">
      <alignment horizontal="center" vertical="top" wrapText="1"/>
    </xf>
    <xf numFmtId="0" fontId="119" fillId="0" borderId="69" xfId="0" applyFont="1" applyBorder="1" applyAlignment="1">
      <alignment horizontal="center" vertical="top" wrapText="1"/>
    </xf>
    <xf numFmtId="0" fontId="119" fillId="0" borderId="73" xfId="0" applyFont="1" applyBorder="1" applyAlignment="1">
      <alignment horizontal="center" vertical="top" wrapText="1"/>
    </xf>
    <xf numFmtId="0" fontId="119" fillId="0" borderId="72" xfId="0" applyFont="1" applyBorder="1" applyAlignment="1">
      <alignment horizontal="center" wrapText="1"/>
    </xf>
    <xf numFmtId="0" fontId="119" fillId="0" borderId="0" xfId="0" applyFont="1" applyAlignment="1">
      <alignment horizontal="center" wrapText="1"/>
    </xf>
    <xf numFmtId="0" fontId="119" fillId="0" borderId="70" xfId="0" applyFont="1" applyBorder="1" applyAlignment="1">
      <alignment horizontal="center" wrapText="1"/>
    </xf>
    <xf numFmtId="0" fontId="61" fillId="0" borderId="0" xfId="0" applyFont="1" applyAlignment="1">
      <alignment horizontal="center" vertical="top"/>
    </xf>
    <xf numFmtId="0" fontId="12" fillId="34" borderId="14" xfId="0" applyFont="1" applyFill="1" applyBorder="1" applyAlignment="1">
      <alignment horizontal="center" vertical="center" wrapText="1"/>
    </xf>
    <xf numFmtId="0" fontId="12" fillId="34" borderId="188" xfId="0" applyFont="1" applyFill="1" applyBorder="1" applyAlignment="1">
      <alignment horizontal="center" vertical="center" wrapText="1"/>
    </xf>
    <xf numFmtId="0" fontId="12" fillId="34" borderId="56" xfId="0" applyFont="1" applyFill="1" applyBorder="1" applyAlignment="1">
      <alignment horizontal="center" vertical="center" wrapText="1"/>
    </xf>
    <xf numFmtId="0" fontId="15" fillId="74" borderId="80" xfId="0" applyFont="1" applyFill="1" applyBorder="1" applyAlignment="1">
      <alignment horizontal="center" vertical="center" textRotation="90"/>
    </xf>
    <xf numFmtId="0" fontId="15" fillId="74" borderId="84" xfId="0" applyFont="1" applyFill="1" applyBorder="1" applyAlignment="1">
      <alignment horizontal="center" vertical="center" textRotation="90"/>
    </xf>
    <xf numFmtId="0" fontId="5" fillId="77" borderId="74" xfId="0" applyFont="1" applyFill="1" applyBorder="1" applyAlignment="1">
      <alignment horizontal="center" vertical="center" wrapText="1"/>
    </xf>
    <xf numFmtId="0" fontId="5" fillId="77" borderId="105" xfId="0" applyFont="1" applyFill="1" applyBorder="1" applyAlignment="1">
      <alignment horizontal="center" vertical="center" wrapText="1"/>
    </xf>
    <xf numFmtId="0" fontId="5" fillId="77" borderId="78" xfId="0" applyFont="1" applyFill="1" applyBorder="1" applyAlignment="1">
      <alignment horizontal="center" vertical="center" wrapText="1"/>
    </xf>
    <xf numFmtId="0" fontId="5" fillId="77" borderId="59" xfId="0" applyFont="1" applyFill="1" applyBorder="1" applyAlignment="1">
      <alignment horizontal="center" vertical="center" wrapText="1"/>
    </xf>
    <xf numFmtId="10" fontId="12" fillId="77" borderId="52" xfId="0" applyNumberFormat="1" applyFont="1" applyFill="1" applyBorder="1" applyAlignment="1">
      <alignment horizontal="center" vertical="center"/>
    </xf>
    <xf numFmtId="10" fontId="12" fillId="77" borderId="75" xfId="0" applyNumberFormat="1" applyFont="1" applyFill="1" applyBorder="1" applyAlignment="1">
      <alignment horizontal="center" vertical="center"/>
    </xf>
    <xf numFmtId="10" fontId="12" fillId="77" borderId="11" xfId="0" applyNumberFormat="1" applyFont="1" applyFill="1" applyBorder="1" applyAlignment="1">
      <alignment horizontal="center" vertical="center"/>
    </xf>
    <xf numFmtId="10" fontId="12" fillId="77" borderId="79" xfId="0" applyNumberFormat="1" applyFont="1" applyFill="1" applyBorder="1" applyAlignment="1">
      <alignment horizontal="center" vertical="center"/>
    </xf>
    <xf numFmtId="0" fontId="109" fillId="66" borderId="82" xfId="0" applyFont="1" applyFill="1" applyBorder="1" applyAlignment="1">
      <alignment horizontal="center" vertical="center"/>
    </xf>
    <xf numFmtId="0" fontId="109" fillId="66" borderId="83" xfId="0" applyFont="1" applyFill="1" applyBorder="1" applyAlignment="1">
      <alignment horizontal="center" vertical="center"/>
    </xf>
    <xf numFmtId="0" fontId="109" fillId="66" borderId="127" xfId="0" applyFont="1" applyFill="1" applyBorder="1" applyAlignment="1">
      <alignment horizontal="center" vertical="center"/>
    </xf>
    <xf numFmtId="0" fontId="3" fillId="71" borderId="80" xfId="0" applyFont="1" applyFill="1" applyBorder="1" applyAlignment="1">
      <alignment horizontal="center" vertical="center" textRotation="90"/>
    </xf>
    <xf numFmtId="0" fontId="3" fillId="71" borderId="84" xfId="0" applyFont="1" applyFill="1" applyBorder="1" applyAlignment="1">
      <alignment horizontal="center" vertical="center" textRotation="90"/>
    </xf>
    <xf numFmtId="0" fontId="3" fillId="70" borderId="80" xfId="0" applyFont="1" applyFill="1" applyBorder="1" applyAlignment="1">
      <alignment horizontal="center" vertical="center" textRotation="90"/>
    </xf>
    <xf numFmtId="0" fontId="3" fillId="70" borderId="84" xfId="0" applyFont="1" applyFill="1" applyBorder="1" applyAlignment="1">
      <alignment horizontal="center" vertical="center" textRotation="90"/>
    </xf>
    <xf numFmtId="0" fontId="5" fillId="73" borderId="108" xfId="0" applyFont="1" applyFill="1" applyBorder="1" applyAlignment="1">
      <alignment horizontal="center" vertical="center"/>
    </xf>
    <xf numFmtId="0" fontId="5" fillId="73" borderId="109" xfId="0" applyFont="1" applyFill="1" applyBorder="1" applyAlignment="1">
      <alignment horizontal="center" vertical="center"/>
    </xf>
    <xf numFmtId="10" fontId="3" fillId="73" borderId="109" xfId="0" applyNumberFormat="1" applyFont="1" applyFill="1" applyBorder="1" applyAlignment="1">
      <alignment horizontal="center" vertical="center"/>
    </xf>
    <xf numFmtId="10" fontId="3" fillId="73" borderId="110" xfId="0" applyNumberFormat="1" applyFont="1" applyFill="1" applyBorder="1" applyAlignment="1">
      <alignment horizontal="center" vertical="center"/>
    </xf>
    <xf numFmtId="10" fontId="3" fillId="72" borderId="109" xfId="0" applyNumberFormat="1" applyFont="1" applyFill="1" applyBorder="1" applyAlignment="1">
      <alignment horizontal="center" vertical="center"/>
    </xf>
    <xf numFmtId="10" fontId="3" fillId="72" borderId="110" xfId="0" applyNumberFormat="1" applyFont="1" applyFill="1" applyBorder="1" applyAlignment="1">
      <alignment horizontal="center" vertical="center"/>
    </xf>
    <xf numFmtId="0" fontId="5" fillId="72" borderId="108" xfId="0" applyFont="1" applyFill="1" applyBorder="1" applyAlignment="1">
      <alignment horizontal="center" vertical="center"/>
    </xf>
    <xf numFmtId="0" fontId="5" fillId="72" borderId="109" xfId="0" applyFont="1" applyFill="1" applyBorder="1" applyAlignment="1">
      <alignment horizontal="center" vertical="center"/>
    </xf>
    <xf numFmtId="0" fontId="5" fillId="78" borderId="108" xfId="0" applyFont="1" applyFill="1" applyBorder="1" applyAlignment="1">
      <alignment horizontal="center" vertical="center"/>
    </xf>
    <xf numFmtId="0" fontId="5" fillId="78" borderId="109" xfId="0" applyFont="1" applyFill="1" applyBorder="1" applyAlignment="1">
      <alignment horizontal="center" vertical="center"/>
    </xf>
    <xf numFmtId="10" fontId="3" fillId="78" borderId="109" xfId="0" applyNumberFormat="1" applyFont="1" applyFill="1" applyBorder="1" applyAlignment="1">
      <alignment horizontal="center" vertical="center"/>
    </xf>
    <xf numFmtId="10" fontId="3" fillId="78" borderId="110" xfId="0" applyNumberFormat="1" applyFont="1" applyFill="1" applyBorder="1" applyAlignment="1">
      <alignment horizontal="center" vertical="center"/>
    </xf>
    <xf numFmtId="0" fontId="5" fillId="79" borderId="108" xfId="0" applyFont="1" applyFill="1" applyBorder="1" applyAlignment="1">
      <alignment horizontal="center" vertical="center"/>
    </xf>
    <xf numFmtId="0" fontId="5" fillId="79" borderId="109" xfId="0" applyFont="1" applyFill="1" applyBorder="1" applyAlignment="1">
      <alignment horizontal="center" vertical="center"/>
    </xf>
    <xf numFmtId="10" fontId="3" fillId="79" borderId="109" xfId="0" applyNumberFormat="1" applyFont="1" applyFill="1" applyBorder="1" applyAlignment="1">
      <alignment horizontal="center" vertical="center"/>
    </xf>
    <xf numFmtId="10" fontId="3" fillId="79" borderId="110" xfId="0" applyNumberFormat="1" applyFont="1" applyFill="1" applyBorder="1" applyAlignment="1">
      <alignment horizontal="center" vertical="center"/>
    </xf>
    <xf numFmtId="0" fontId="5" fillId="77" borderId="108" xfId="0" applyFont="1" applyFill="1" applyBorder="1" applyAlignment="1">
      <alignment horizontal="center" vertical="center"/>
    </xf>
    <xf numFmtId="0" fontId="5" fillId="77" borderId="109" xfId="0" applyFont="1" applyFill="1" applyBorder="1" applyAlignment="1">
      <alignment horizontal="center" vertical="center"/>
    </xf>
    <xf numFmtId="10" fontId="3" fillId="77" borderId="109" xfId="0" applyNumberFormat="1" applyFont="1" applyFill="1" applyBorder="1" applyAlignment="1">
      <alignment horizontal="center" vertical="center"/>
    </xf>
    <xf numFmtId="10" fontId="3" fillId="77" borderId="110" xfId="0" applyNumberFormat="1" applyFont="1" applyFill="1" applyBorder="1" applyAlignment="1">
      <alignment horizontal="center" vertical="center"/>
    </xf>
    <xf numFmtId="0" fontId="3" fillId="76" borderId="80" xfId="0" applyFont="1" applyFill="1" applyBorder="1" applyAlignment="1">
      <alignment horizontal="center" vertical="center" textRotation="90"/>
    </xf>
    <xf numFmtId="0" fontId="3" fillId="76" borderId="84" xfId="0" applyFont="1" applyFill="1" applyBorder="1" applyAlignment="1">
      <alignment horizontal="center" vertical="center" textRotation="90"/>
    </xf>
    <xf numFmtId="0" fontId="3" fillId="75" borderId="80" xfId="0" applyFont="1" applyFill="1" applyBorder="1" applyAlignment="1">
      <alignment horizontal="center" vertical="center" textRotation="90"/>
    </xf>
    <xf numFmtId="0" fontId="3" fillId="75" borderId="84" xfId="0" applyFont="1" applyFill="1" applyBorder="1" applyAlignment="1">
      <alignment horizontal="center" vertical="center" textRotation="90"/>
    </xf>
    <xf numFmtId="0" fontId="3" fillId="74" borderId="80" xfId="0" applyFont="1" applyFill="1" applyBorder="1" applyAlignment="1">
      <alignment horizontal="center" vertical="center" textRotation="90"/>
    </xf>
    <xf numFmtId="0" fontId="3" fillId="74" borderId="84" xfId="0" applyFont="1" applyFill="1" applyBorder="1" applyAlignment="1">
      <alignment horizontal="center" vertical="center" textRotation="90"/>
    </xf>
    <xf numFmtId="0" fontId="82" fillId="0" borderId="0" xfId="0" applyFont="1" applyAlignment="1">
      <alignment horizontal="center" vertical="center" wrapText="1"/>
    </xf>
    <xf numFmtId="0" fontId="80" fillId="0" borderId="0" xfId="0" applyFont="1" applyAlignment="1">
      <alignment horizontal="center" vertical="center" wrapText="1"/>
    </xf>
    <xf numFmtId="0" fontId="102" fillId="67" borderId="123" xfId="0" applyFont="1" applyFill="1" applyBorder="1" applyAlignment="1">
      <alignment horizontal="center" vertical="center"/>
    </xf>
    <xf numFmtId="0" fontId="102" fillId="67" borderId="124" xfId="0" applyFont="1" applyFill="1" applyBorder="1" applyAlignment="1">
      <alignment horizontal="center" vertical="center"/>
    </xf>
    <xf numFmtId="0" fontId="102" fillId="67" borderId="125" xfId="0" applyFont="1" applyFill="1" applyBorder="1" applyAlignment="1">
      <alignment horizontal="center" vertical="center"/>
    </xf>
    <xf numFmtId="0" fontId="102" fillId="14" borderId="1" xfId="0" applyFont="1" applyFill="1" applyBorder="1" applyAlignment="1">
      <alignment horizontal="center" vertical="center"/>
    </xf>
    <xf numFmtId="0" fontId="102" fillId="14" borderId="2" xfId="0" applyFont="1" applyFill="1" applyBorder="1" applyAlignment="1">
      <alignment horizontal="center" vertical="center"/>
    </xf>
    <xf numFmtId="0" fontId="102" fillId="14" borderId="3" xfId="0" applyFont="1" applyFill="1" applyBorder="1" applyAlignment="1">
      <alignment horizontal="center" vertical="center"/>
    </xf>
    <xf numFmtId="0" fontId="102" fillId="14" borderId="36" xfId="0" applyFont="1" applyFill="1" applyBorder="1" applyAlignment="1">
      <alignment horizontal="center" vertical="center"/>
    </xf>
    <xf numFmtId="0" fontId="102" fillId="14" borderId="0" xfId="0" applyFont="1" applyFill="1" applyAlignment="1">
      <alignment horizontal="center" vertical="center"/>
    </xf>
    <xf numFmtId="0" fontId="102" fillId="14" borderId="55" xfId="0" applyFont="1" applyFill="1" applyBorder="1" applyAlignment="1">
      <alignment horizontal="center" vertical="center"/>
    </xf>
    <xf numFmtId="0" fontId="102" fillId="14" borderId="7" xfId="0" applyFont="1" applyFill="1" applyBorder="1" applyAlignment="1">
      <alignment horizontal="center" vertical="center"/>
    </xf>
    <xf numFmtId="0" fontId="102" fillId="14" borderId="8" xfId="0" applyFont="1" applyFill="1" applyBorder="1" applyAlignment="1">
      <alignment horizontal="center" vertical="center"/>
    </xf>
    <xf numFmtId="0" fontId="102" fillId="14" borderId="9" xfId="0" applyFont="1" applyFill="1" applyBorder="1" applyAlignment="1">
      <alignment horizontal="center" vertical="center"/>
    </xf>
    <xf numFmtId="0" fontId="3" fillId="68" borderId="123" xfId="0" applyFont="1" applyFill="1" applyBorder="1" applyAlignment="1">
      <alignment horizontal="center" vertical="center" textRotation="90"/>
    </xf>
    <xf numFmtId="0" fontId="3" fillId="68" borderId="124" xfId="0" applyFont="1" applyFill="1" applyBorder="1" applyAlignment="1">
      <alignment horizontal="center" vertical="center" textRotation="90"/>
    </xf>
    <xf numFmtId="0" fontId="3" fillId="68" borderId="125" xfId="0" applyFont="1" applyFill="1" applyBorder="1" applyAlignment="1">
      <alignment horizontal="center" vertical="center" textRotation="90"/>
    </xf>
    <xf numFmtId="0" fontId="103" fillId="67" borderId="123" xfId="0" applyFont="1" applyFill="1" applyBorder="1" applyAlignment="1">
      <alignment horizontal="center" vertical="center" textRotation="90"/>
    </xf>
    <xf numFmtId="0" fontId="103" fillId="67" borderId="124" xfId="0" applyFont="1" applyFill="1" applyBorder="1" applyAlignment="1">
      <alignment horizontal="center" vertical="center" textRotation="90"/>
    </xf>
    <xf numFmtId="0" fontId="103" fillId="67" borderId="125" xfId="0" applyFont="1" applyFill="1" applyBorder="1" applyAlignment="1">
      <alignment horizontal="center" vertical="center" textRotation="90"/>
    </xf>
    <xf numFmtId="0" fontId="75" fillId="54" borderId="81" xfId="0" applyFont="1" applyFill="1" applyBorder="1" applyAlignment="1">
      <alignment horizontal="center" vertical="center"/>
    </xf>
    <xf numFmtId="0" fontId="75" fillId="54" borderId="82" xfId="0" applyFont="1" applyFill="1" applyBorder="1" applyAlignment="1">
      <alignment horizontal="center" vertical="center"/>
    </xf>
    <xf numFmtId="0" fontId="75" fillId="54" borderId="83" xfId="0" applyFont="1" applyFill="1" applyBorder="1" applyAlignment="1">
      <alignment horizontal="center" vertical="center"/>
    </xf>
    <xf numFmtId="0" fontId="3" fillId="34" borderId="22" xfId="0" applyFont="1" applyFill="1" applyBorder="1" applyAlignment="1">
      <alignment horizontal="center" vertical="center"/>
    </xf>
    <xf numFmtId="0" fontId="5" fillId="34" borderId="91" xfId="0" applyFont="1" applyFill="1" applyBorder="1" applyAlignment="1">
      <alignment horizontal="center" vertical="center"/>
    </xf>
    <xf numFmtId="0" fontId="5" fillId="34" borderId="16" xfId="0" applyFont="1" applyFill="1" applyBorder="1" applyAlignment="1">
      <alignment horizontal="center" vertical="center"/>
    </xf>
    <xf numFmtId="0" fontId="5" fillId="34" borderId="76" xfId="0" applyFont="1" applyFill="1" applyBorder="1" applyAlignment="1">
      <alignment horizontal="center" vertical="center"/>
    </xf>
    <xf numFmtId="0" fontId="5" fillId="34" borderId="0" xfId="0" applyFont="1" applyFill="1" applyAlignment="1">
      <alignment horizontal="center" vertical="center"/>
    </xf>
    <xf numFmtId="0" fontId="5" fillId="34" borderId="78" xfId="0" applyFont="1" applyFill="1" applyBorder="1" applyAlignment="1">
      <alignment horizontal="center" vertical="center"/>
    </xf>
    <xf numFmtId="0" fontId="5" fillId="34" borderId="11" xfId="0" applyFont="1" applyFill="1" applyBorder="1" applyAlignment="1">
      <alignment horizontal="center" vertical="center"/>
    </xf>
    <xf numFmtId="0" fontId="3" fillId="68" borderId="122" xfId="0" applyFont="1" applyFill="1" applyBorder="1" applyAlignment="1">
      <alignment horizontal="center" vertical="center" textRotation="90"/>
    </xf>
    <xf numFmtId="10" fontId="5" fillId="67" borderId="109" xfId="0" applyNumberFormat="1" applyFont="1" applyFill="1" applyBorder="1" applyAlignment="1">
      <alignment horizontal="center" vertical="center"/>
    </xf>
    <xf numFmtId="10" fontId="5" fillId="67" borderId="110" xfId="0" applyNumberFormat="1" applyFont="1" applyFill="1" applyBorder="1" applyAlignment="1">
      <alignment horizontal="center" vertical="center"/>
    </xf>
    <xf numFmtId="0" fontId="5" fillId="34" borderId="91" xfId="0" applyFont="1" applyFill="1" applyBorder="1" applyAlignment="1">
      <alignment horizontal="center" vertical="center" wrapText="1"/>
    </xf>
    <xf numFmtId="0" fontId="5" fillId="34" borderId="90" xfId="0" applyFont="1" applyFill="1" applyBorder="1" applyAlignment="1">
      <alignment horizontal="center" vertical="center" wrapText="1"/>
    </xf>
    <xf numFmtId="0" fontId="5" fillId="34" borderId="78" xfId="0" applyFont="1" applyFill="1" applyBorder="1" applyAlignment="1">
      <alignment horizontal="center" vertical="center" wrapText="1"/>
    </xf>
    <xf numFmtId="0" fontId="5" fillId="34" borderId="79" xfId="0" applyFont="1" applyFill="1" applyBorder="1" applyAlignment="1">
      <alignment horizontal="center" vertical="center" wrapText="1"/>
    </xf>
    <xf numFmtId="0" fontId="5" fillId="41" borderId="74" xfId="0" applyFont="1" applyFill="1" applyBorder="1" applyAlignment="1">
      <alignment horizontal="center" vertical="center" wrapText="1"/>
    </xf>
    <xf numFmtId="0" fontId="5" fillId="41" borderId="105" xfId="0" applyFont="1" applyFill="1" applyBorder="1" applyAlignment="1">
      <alignment horizontal="center" vertical="center" wrapText="1"/>
    </xf>
    <xf numFmtId="0" fontId="5" fillId="41" borderId="78" xfId="0" applyFont="1" applyFill="1" applyBorder="1" applyAlignment="1">
      <alignment horizontal="center" vertical="center" wrapText="1"/>
    </xf>
    <xf numFmtId="0" fontId="5" fillId="41" borderId="59" xfId="0" applyFont="1" applyFill="1" applyBorder="1" applyAlignment="1">
      <alignment horizontal="center" vertical="center" wrapText="1"/>
    </xf>
    <xf numFmtId="10" fontId="12" fillId="41" borderId="52" xfId="0" applyNumberFormat="1" applyFont="1" applyFill="1" applyBorder="1" applyAlignment="1">
      <alignment horizontal="center" vertical="center"/>
    </xf>
    <xf numFmtId="10" fontId="12" fillId="41" borderId="75" xfId="0" applyNumberFormat="1" applyFont="1" applyFill="1" applyBorder="1" applyAlignment="1">
      <alignment horizontal="center" vertical="center"/>
    </xf>
    <xf numFmtId="10" fontId="12" fillId="41" borderId="11" xfId="0" applyNumberFormat="1" applyFont="1" applyFill="1" applyBorder="1" applyAlignment="1">
      <alignment horizontal="center" vertical="center"/>
    </xf>
    <xf numFmtId="10" fontId="12" fillId="41" borderId="79" xfId="0" applyNumberFormat="1" applyFont="1" applyFill="1" applyBorder="1" applyAlignment="1">
      <alignment horizontal="center" vertical="center"/>
    </xf>
    <xf numFmtId="0" fontId="5" fillId="34" borderId="157" xfId="0" applyFont="1" applyFill="1" applyBorder="1" applyAlignment="1">
      <alignment horizontal="center" vertical="center" wrapText="1"/>
    </xf>
    <xf numFmtId="0" fontId="5" fillId="34" borderId="158" xfId="0" applyFont="1" applyFill="1" applyBorder="1" applyAlignment="1">
      <alignment horizontal="center" vertical="center" wrapText="1"/>
    </xf>
    <xf numFmtId="2" fontId="99" fillId="37" borderId="1" xfId="0" applyNumberFormat="1" applyFont="1" applyFill="1" applyBorder="1" applyAlignment="1">
      <alignment horizontal="center" vertical="center"/>
    </xf>
    <xf numFmtId="2" fontId="99" fillId="37" borderId="2" xfId="0" applyNumberFormat="1" applyFont="1" applyFill="1" applyBorder="1" applyAlignment="1">
      <alignment horizontal="center" vertical="center"/>
    </xf>
    <xf numFmtId="2" fontId="99" fillId="37" borderId="3" xfId="0" applyNumberFormat="1" applyFont="1" applyFill="1" applyBorder="1" applyAlignment="1">
      <alignment horizontal="center" vertical="center"/>
    </xf>
    <xf numFmtId="2" fontId="99" fillId="37" borderId="36" xfId="0" applyNumberFormat="1" applyFont="1" applyFill="1" applyBorder="1" applyAlignment="1">
      <alignment horizontal="center" vertical="center"/>
    </xf>
    <xf numFmtId="2" fontId="99" fillId="37" borderId="0" xfId="0" applyNumberFormat="1" applyFont="1" applyFill="1" applyAlignment="1">
      <alignment horizontal="center" vertical="center"/>
    </xf>
    <xf numFmtId="2" fontId="99" fillId="37" borderId="55" xfId="0" applyNumberFormat="1" applyFont="1" applyFill="1" applyBorder="1" applyAlignment="1">
      <alignment horizontal="center" vertical="center"/>
    </xf>
    <xf numFmtId="2" fontId="99" fillId="37" borderId="7" xfId="0" applyNumberFormat="1" applyFont="1" applyFill="1" applyBorder="1" applyAlignment="1">
      <alignment horizontal="center" vertical="center"/>
    </xf>
    <xf numFmtId="2" fontId="99" fillId="37" borderId="8" xfId="0" applyNumberFormat="1" applyFont="1" applyFill="1" applyBorder="1" applyAlignment="1">
      <alignment horizontal="center" vertical="center"/>
    </xf>
    <xf numFmtId="2" fontId="99" fillId="37" borderId="9" xfId="0" applyNumberFormat="1" applyFont="1" applyFill="1" applyBorder="1" applyAlignment="1">
      <alignment horizontal="center" vertical="center"/>
    </xf>
    <xf numFmtId="0" fontId="5" fillId="34" borderId="57" xfId="0" applyFont="1" applyFill="1" applyBorder="1" applyAlignment="1">
      <alignment horizontal="center" vertical="center"/>
    </xf>
    <xf numFmtId="0" fontId="5" fillId="34" borderId="59" xfId="0" applyFont="1" applyFill="1" applyBorder="1" applyAlignment="1">
      <alignment horizontal="center" vertical="center"/>
    </xf>
    <xf numFmtId="0" fontId="93" fillId="34" borderId="16" xfId="0" applyFont="1" applyFill="1" applyBorder="1" applyAlignment="1">
      <alignment horizontal="center" vertical="center"/>
    </xf>
    <xf numFmtId="0" fontId="93" fillId="34" borderId="90" xfId="0" applyFont="1" applyFill="1" applyBorder="1" applyAlignment="1">
      <alignment horizontal="center" vertical="center"/>
    </xf>
    <xf numFmtId="0" fontId="93" fillId="34" borderId="11" xfId="0" applyFont="1" applyFill="1" applyBorder="1" applyAlignment="1">
      <alignment horizontal="center" vertical="center"/>
    </xf>
    <xf numFmtId="0" fontId="93" fillId="34" borderId="79" xfId="0" applyFont="1" applyFill="1" applyBorder="1" applyAlignment="1">
      <alignment horizontal="center" vertical="center"/>
    </xf>
    <xf numFmtId="0" fontId="5" fillId="41" borderId="91" xfId="0" applyFont="1" applyFill="1" applyBorder="1" applyAlignment="1">
      <alignment horizontal="center" vertical="center" wrapText="1"/>
    </xf>
    <xf numFmtId="0" fontId="5" fillId="41" borderId="16" xfId="0" applyFont="1" applyFill="1" applyBorder="1" applyAlignment="1">
      <alignment horizontal="center" vertical="center" wrapText="1"/>
    </xf>
    <xf numFmtId="0" fontId="5" fillId="41" borderId="90" xfId="0" applyFont="1" applyFill="1" applyBorder="1" applyAlignment="1">
      <alignment horizontal="center" vertical="center" wrapText="1"/>
    </xf>
    <xf numFmtId="0" fontId="5" fillId="41" borderId="11" xfId="0" applyFont="1" applyFill="1" applyBorder="1" applyAlignment="1">
      <alignment horizontal="center" vertical="center" wrapText="1"/>
    </xf>
    <xf numFmtId="0" fontId="5" fillId="41" borderId="79" xfId="0" applyFont="1" applyFill="1" applyBorder="1" applyAlignment="1">
      <alignment horizontal="center" vertical="center" wrapText="1"/>
    </xf>
    <xf numFmtId="0" fontId="39" fillId="29" borderId="81" xfId="0" applyFont="1" applyFill="1" applyBorder="1" applyAlignment="1">
      <alignment horizontal="center" vertical="center"/>
    </xf>
    <xf numFmtId="0" fontId="39" fillId="29" borderId="82" xfId="0" applyFont="1" applyFill="1" applyBorder="1" applyAlignment="1">
      <alignment horizontal="center" vertical="center"/>
    </xf>
    <xf numFmtId="0" fontId="39" fillId="29" borderId="83" xfId="0" applyFont="1" applyFill="1" applyBorder="1" applyAlignment="1">
      <alignment horizontal="center" vertical="center"/>
    </xf>
    <xf numFmtId="0" fontId="65" fillId="37" borderId="81" xfId="0" applyFont="1" applyFill="1" applyBorder="1" applyAlignment="1">
      <alignment horizontal="center" vertical="center"/>
    </xf>
    <xf numFmtId="0" fontId="65" fillId="37" borderId="82" xfId="0" applyFont="1" applyFill="1" applyBorder="1" applyAlignment="1">
      <alignment horizontal="center" vertical="center"/>
    </xf>
    <xf numFmtId="0" fontId="65" fillId="37" borderId="83" xfId="0" applyFont="1" applyFill="1" applyBorder="1" applyAlignment="1">
      <alignment horizontal="center" vertical="center"/>
    </xf>
    <xf numFmtId="0" fontId="66" fillId="37" borderId="81" xfId="0" applyFont="1" applyFill="1" applyBorder="1" applyAlignment="1">
      <alignment horizontal="center" vertical="center"/>
    </xf>
    <xf numFmtId="0" fontId="66" fillId="37" borderId="82" xfId="0" applyFont="1" applyFill="1" applyBorder="1" applyAlignment="1">
      <alignment horizontal="center" vertical="center"/>
    </xf>
    <xf numFmtId="0" fontId="66" fillId="37" borderId="83" xfId="0" applyFont="1" applyFill="1" applyBorder="1" applyAlignment="1">
      <alignment horizontal="center" vertical="center"/>
    </xf>
    <xf numFmtId="0" fontId="89" fillId="0" borderId="0" xfId="0" applyFont="1" applyAlignment="1">
      <alignment horizontal="center" vertical="top"/>
    </xf>
    <xf numFmtId="0" fontId="67" fillId="0" borderId="0" xfId="0" applyFont="1" applyAlignment="1">
      <alignment horizontal="center" vertical="center"/>
    </xf>
    <xf numFmtId="10" fontId="12" fillId="0" borderId="25" xfId="0" applyNumberFormat="1" applyFont="1" applyBorder="1" applyAlignment="1">
      <alignment horizontal="left" vertical="center"/>
    </xf>
    <xf numFmtId="0" fontId="3" fillId="34" borderId="19" xfId="0" applyFont="1" applyFill="1" applyBorder="1" applyAlignment="1">
      <alignment horizontal="center" vertical="center" wrapText="1"/>
    </xf>
    <xf numFmtId="0" fontId="43" fillId="0" borderId="25" xfId="0" applyFont="1" applyBorder="1" applyAlignment="1">
      <alignment horizontal="center" vertical="center"/>
    </xf>
    <xf numFmtId="0" fontId="90" fillId="14" borderId="1" xfId="0" applyFont="1" applyFill="1" applyBorder="1" applyAlignment="1">
      <alignment horizontal="center" vertical="center"/>
    </xf>
    <xf numFmtId="0" fontId="90" fillId="14" borderId="2" xfId="0" applyFont="1" applyFill="1" applyBorder="1" applyAlignment="1">
      <alignment horizontal="center" vertical="center"/>
    </xf>
    <xf numFmtId="0" fontId="90" fillId="14" borderId="3" xfId="0" applyFont="1" applyFill="1" applyBorder="1" applyAlignment="1">
      <alignment horizontal="center" vertical="center"/>
    </xf>
    <xf numFmtId="0" fontId="90" fillId="14" borderId="7" xfId="0" applyFont="1" applyFill="1" applyBorder="1" applyAlignment="1">
      <alignment horizontal="center" vertical="center"/>
    </xf>
    <xf numFmtId="0" fontId="90" fillId="14" borderId="8" xfId="0" applyFont="1" applyFill="1" applyBorder="1" applyAlignment="1">
      <alignment horizontal="center" vertical="center"/>
    </xf>
    <xf numFmtId="0" fontId="90" fillId="14" borderId="9" xfId="0" applyFont="1" applyFill="1" applyBorder="1" applyAlignment="1">
      <alignment horizontal="center" vertical="center"/>
    </xf>
    <xf numFmtId="0" fontId="100" fillId="14" borderId="66" xfId="0" applyFont="1" applyFill="1" applyBorder="1" applyAlignment="1">
      <alignment horizontal="center" vertical="center"/>
    </xf>
    <xf numFmtId="0" fontId="61" fillId="14" borderId="71" xfId="0" applyFont="1" applyFill="1" applyBorder="1" applyAlignment="1">
      <alignment horizontal="center" vertical="center"/>
    </xf>
    <xf numFmtId="0" fontId="61" fillId="14" borderId="67" xfId="0" applyFont="1" applyFill="1" applyBorder="1" applyAlignment="1">
      <alignment horizontal="center" vertical="center"/>
    </xf>
    <xf numFmtId="0" fontId="5" fillId="34" borderId="14" xfId="0" applyFont="1" applyFill="1" applyBorder="1" applyAlignment="1">
      <alignment horizontal="center" vertical="center" wrapText="1"/>
    </xf>
    <xf numFmtId="0" fontId="38" fillId="37" borderId="14" xfId="0" applyFont="1" applyFill="1" applyBorder="1" applyAlignment="1">
      <alignment horizontal="center" vertical="center"/>
    </xf>
    <xf numFmtId="0" fontId="5" fillId="10" borderId="15" xfId="0" applyFont="1" applyFill="1" applyBorder="1" applyAlignment="1">
      <alignment horizontal="center" vertical="center" wrapText="1"/>
    </xf>
    <xf numFmtId="0" fontId="5" fillId="10" borderId="57" xfId="0" applyFont="1" applyFill="1" applyBorder="1" applyAlignment="1">
      <alignment horizontal="center" vertical="center" wrapText="1"/>
    </xf>
    <xf numFmtId="0" fontId="5" fillId="10" borderId="34" xfId="0" applyFont="1" applyFill="1" applyBorder="1" applyAlignment="1">
      <alignment horizontal="center" vertical="center" wrapText="1"/>
    </xf>
    <xf numFmtId="0" fontId="5" fillId="10" borderId="58" xfId="0" applyFont="1" applyFill="1" applyBorder="1" applyAlignment="1">
      <alignment horizontal="center" vertical="center" wrapText="1"/>
    </xf>
    <xf numFmtId="0" fontId="5" fillId="10" borderId="22" xfId="0" applyFont="1" applyFill="1" applyBorder="1" applyAlignment="1">
      <alignment horizontal="center" vertical="center" wrapText="1"/>
    </xf>
    <xf numFmtId="10" fontId="12" fillId="10" borderId="15" xfId="0" applyNumberFormat="1" applyFont="1" applyFill="1" applyBorder="1" applyAlignment="1">
      <alignment horizontal="center" vertical="center"/>
    </xf>
    <xf numFmtId="10" fontId="12" fillId="10" borderId="16" xfId="0" applyNumberFormat="1" applyFont="1" applyFill="1" applyBorder="1" applyAlignment="1">
      <alignment horizontal="center" vertical="center"/>
    </xf>
    <xf numFmtId="10" fontId="12" fillId="10" borderId="57" xfId="0" applyNumberFormat="1" applyFont="1" applyFill="1" applyBorder="1" applyAlignment="1">
      <alignment horizontal="center" vertical="center"/>
    </xf>
    <xf numFmtId="10" fontId="12" fillId="10" borderId="34" xfId="0" applyNumberFormat="1" applyFont="1" applyFill="1" applyBorder="1" applyAlignment="1">
      <alignment horizontal="center" vertical="center"/>
    </xf>
    <xf numFmtId="10" fontId="12" fillId="10" borderId="0" xfId="0" applyNumberFormat="1" applyFont="1" applyFill="1" applyAlignment="1">
      <alignment horizontal="center" vertical="center"/>
    </xf>
    <xf numFmtId="10" fontId="12" fillId="10" borderId="58" xfId="0" applyNumberFormat="1" applyFont="1" applyFill="1" applyBorder="1" applyAlignment="1">
      <alignment horizontal="center" vertical="center"/>
    </xf>
    <xf numFmtId="10" fontId="12" fillId="10" borderId="22" xfId="0" applyNumberFormat="1" applyFont="1" applyFill="1" applyBorder="1" applyAlignment="1">
      <alignment horizontal="center" vertical="center"/>
    </xf>
    <xf numFmtId="10" fontId="12" fillId="10" borderId="59" xfId="0" applyNumberFormat="1" applyFont="1" applyFill="1" applyBorder="1" applyAlignment="1">
      <alignment horizontal="center" vertical="center"/>
    </xf>
    <xf numFmtId="0" fontId="5" fillId="43" borderId="14" xfId="0" applyFont="1" applyFill="1" applyBorder="1" applyAlignment="1">
      <alignment horizontal="center" vertical="center" wrapText="1"/>
    </xf>
    <xf numFmtId="0" fontId="101" fillId="85" borderId="66" xfId="0" applyFont="1" applyFill="1" applyBorder="1" applyAlignment="1">
      <alignment horizontal="center" vertical="center"/>
    </xf>
    <xf numFmtId="0" fontId="101" fillId="85" borderId="71" xfId="0" applyFont="1" applyFill="1" applyBorder="1" applyAlignment="1">
      <alignment horizontal="center" vertical="center"/>
    </xf>
    <xf numFmtId="0" fontId="101" fillId="85" borderId="67" xfId="0" applyFont="1" applyFill="1" applyBorder="1" applyAlignment="1">
      <alignment horizontal="center" vertical="center"/>
    </xf>
    <xf numFmtId="0" fontId="104" fillId="86" borderId="66" xfId="0" applyFont="1" applyFill="1" applyBorder="1" applyAlignment="1">
      <alignment horizontal="center" vertical="center"/>
    </xf>
    <xf numFmtId="0" fontId="104" fillId="86" borderId="71" xfId="0" applyFont="1" applyFill="1" applyBorder="1" applyAlignment="1">
      <alignment horizontal="center" vertical="center"/>
    </xf>
    <xf numFmtId="0" fontId="104" fillId="86" borderId="67" xfId="0" applyFont="1" applyFill="1" applyBorder="1" applyAlignment="1">
      <alignment horizontal="center" vertical="center"/>
    </xf>
    <xf numFmtId="0" fontId="3" fillId="53" borderId="80" xfId="0" applyFont="1" applyFill="1" applyBorder="1" applyAlignment="1">
      <alignment horizontal="center" vertical="center" textRotation="90"/>
    </xf>
    <xf numFmtId="0" fontId="3" fillId="53" borderId="84" xfId="0" applyFont="1" applyFill="1" applyBorder="1" applyAlignment="1">
      <alignment horizontal="center" vertical="center" textRotation="90"/>
    </xf>
    <xf numFmtId="10" fontId="3" fillId="51" borderId="109" xfId="0" applyNumberFormat="1" applyFont="1" applyFill="1" applyBorder="1" applyAlignment="1">
      <alignment horizontal="center" vertical="center"/>
    </xf>
    <xf numFmtId="10" fontId="3" fillId="51" borderId="110" xfId="0" applyNumberFormat="1" applyFont="1" applyFill="1" applyBorder="1" applyAlignment="1">
      <alignment horizontal="center" vertical="center"/>
    </xf>
    <xf numFmtId="0" fontId="5" fillId="51" borderId="108" xfId="0" applyFont="1" applyFill="1" applyBorder="1" applyAlignment="1">
      <alignment horizontal="center" vertical="center"/>
    </xf>
    <xf numFmtId="0" fontId="5" fillId="51" borderId="109" xfId="0" applyFont="1" applyFill="1" applyBorder="1" applyAlignment="1">
      <alignment horizontal="center" vertical="center"/>
    </xf>
    <xf numFmtId="0" fontId="3" fillId="0" borderId="76" xfId="0" applyFont="1" applyBorder="1" applyAlignment="1">
      <alignment horizontal="center" vertical="center"/>
    </xf>
    <xf numFmtId="0" fontId="5" fillId="0" borderId="76" xfId="0" applyFont="1" applyBorder="1" applyAlignment="1">
      <alignment horizontal="center" vertical="center" textRotation="90"/>
    </xf>
    <xf numFmtId="0" fontId="15" fillId="46" borderId="80" xfId="0" applyFont="1" applyFill="1" applyBorder="1" applyAlignment="1">
      <alignment horizontal="center" vertical="center" textRotation="90"/>
    </xf>
    <xf numFmtId="0" fontId="15" fillId="46" borderId="84" xfId="0" applyFont="1" applyFill="1" applyBorder="1" applyAlignment="1">
      <alignment horizontal="center" vertical="center" textRotation="90"/>
    </xf>
    <xf numFmtId="0" fontId="5" fillId="47" borderId="74" xfId="0" applyFont="1" applyFill="1" applyBorder="1" applyAlignment="1">
      <alignment horizontal="center" vertical="center" wrapText="1"/>
    </xf>
    <xf numFmtId="0" fontId="5" fillId="47" borderId="105" xfId="0" applyFont="1" applyFill="1" applyBorder="1" applyAlignment="1">
      <alignment horizontal="center" vertical="center" wrapText="1"/>
    </xf>
    <xf numFmtId="0" fontId="5" fillId="47" borderId="76" xfId="0" applyFont="1" applyFill="1" applyBorder="1" applyAlignment="1">
      <alignment horizontal="center" vertical="center" wrapText="1"/>
    </xf>
    <xf numFmtId="0" fontId="5" fillId="47" borderId="58" xfId="0" applyFont="1" applyFill="1" applyBorder="1" applyAlignment="1">
      <alignment horizontal="center" vertical="center" wrapText="1"/>
    </xf>
    <xf numFmtId="0" fontId="5" fillId="47" borderId="78" xfId="0" applyFont="1" applyFill="1" applyBorder="1" applyAlignment="1">
      <alignment horizontal="center" vertical="center" wrapText="1"/>
    </xf>
    <xf numFmtId="0" fontId="5" fillId="47" borderId="59" xfId="0" applyFont="1" applyFill="1" applyBorder="1" applyAlignment="1">
      <alignment horizontal="center" vertical="center" wrapText="1"/>
    </xf>
    <xf numFmtId="10" fontId="12" fillId="47" borderId="51" xfId="0" applyNumberFormat="1" applyFont="1" applyFill="1" applyBorder="1" applyAlignment="1">
      <alignment horizontal="center" vertical="center"/>
    </xf>
    <xf numFmtId="10" fontId="12" fillId="47" borderId="52" xfId="0" applyNumberFormat="1" applyFont="1" applyFill="1" applyBorder="1" applyAlignment="1">
      <alignment horizontal="center" vertical="center"/>
    </xf>
    <xf numFmtId="10" fontId="12" fillId="47" borderId="75" xfId="0" applyNumberFormat="1" applyFont="1" applyFill="1" applyBorder="1" applyAlignment="1">
      <alignment horizontal="center" vertical="center"/>
    </xf>
    <xf numFmtId="10" fontId="12" fillId="47" borderId="34" xfId="0" applyNumberFormat="1" applyFont="1" applyFill="1" applyBorder="1" applyAlignment="1">
      <alignment horizontal="center" vertical="center"/>
    </xf>
    <xf numFmtId="10" fontId="12" fillId="47" borderId="0" xfId="0" applyNumberFormat="1" applyFont="1" applyFill="1" applyAlignment="1">
      <alignment horizontal="center" vertical="center"/>
    </xf>
    <xf numFmtId="10" fontId="12" fillId="47" borderId="77" xfId="0" applyNumberFormat="1" applyFont="1" applyFill="1" applyBorder="1" applyAlignment="1">
      <alignment horizontal="center" vertical="center"/>
    </xf>
    <xf numFmtId="10" fontId="12" fillId="47" borderId="22" xfId="0" applyNumberFormat="1" applyFont="1" applyFill="1" applyBorder="1" applyAlignment="1">
      <alignment horizontal="center" vertical="center"/>
    </xf>
    <xf numFmtId="10" fontId="12" fillId="47" borderId="11" xfId="0" applyNumberFormat="1" applyFont="1" applyFill="1" applyBorder="1" applyAlignment="1">
      <alignment horizontal="center" vertical="center"/>
    </xf>
    <xf numFmtId="10" fontId="12" fillId="47" borderId="79" xfId="0" applyNumberFormat="1" applyFont="1" applyFill="1" applyBorder="1" applyAlignment="1">
      <alignment horizontal="center" vertical="center"/>
    </xf>
    <xf numFmtId="0" fontId="71" fillId="14" borderId="66" xfId="0" applyFont="1" applyFill="1" applyBorder="1" applyAlignment="1">
      <alignment horizontal="center" vertical="center"/>
    </xf>
    <xf numFmtId="0" fontId="71" fillId="14" borderId="71" xfId="0" applyFont="1" applyFill="1" applyBorder="1" applyAlignment="1">
      <alignment horizontal="center" vertical="center"/>
    </xf>
    <xf numFmtId="0" fontId="71" fillId="14" borderId="67" xfId="0" applyFont="1" applyFill="1" applyBorder="1" applyAlignment="1">
      <alignment horizontal="center" vertical="center"/>
    </xf>
    <xf numFmtId="0" fontId="59" fillId="37" borderId="107" xfId="0" applyFont="1" applyFill="1" applyBorder="1" applyAlignment="1">
      <alignment horizontal="center" vertical="center"/>
    </xf>
    <xf numFmtId="0" fontId="5" fillId="49" borderId="74" xfId="0" applyFont="1" applyFill="1" applyBorder="1" applyAlignment="1">
      <alignment horizontal="center" vertical="center" wrapText="1"/>
    </xf>
    <xf numFmtId="0" fontId="5" fillId="49" borderId="105" xfId="0" applyFont="1" applyFill="1" applyBorder="1" applyAlignment="1">
      <alignment horizontal="center" vertical="center" wrapText="1"/>
    </xf>
    <xf numFmtId="0" fontId="5" fillId="49" borderId="78" xfId="0" applyFont="1" applyFill="1" applyBorder="1" applyAlignment="1">
      <alignment horizontal="center" vertical="center" wrapText="1"/>
    </xf>
    <xf numFmtId="0" fontId="5" fillId="49" borderId="59" xfId="0" applyFont="1" applyFill="1" applyBorder="1" applyAlignment="1">
      <alignment horizontal="center" vertical="center" wrapText="1"/>
    </xf>
    <xf numFmtId="10" fontId="12" fillId="49" borderId="51" xfId="0" applyNumberFormat="1" applyFont="1" applyFill="1" applyBorder="1" applyAlignment="1">
      <alignment horizontal="center" vertical="center"/>
    </xf>
    <xf numFmtId="10" fontId="12" fillId="49" borderId="52" xfId="0" applyNumberFormat="1" applyFont="1" applyFill="1" applyBorder="1" applyAlignment="1">
      <alignment horizontal="center" vertical="center"/>
    </xf>
    <xf numFmtId="10" fontId="12" fillId="49" borderId="75" xfId="0" applyNumberFormat="1" applyFont="1" applyFill="1" applyBorder="1" applyAlignment="1">
      <alignment horizontal="center" vertical="center"/>
    </xf>
    <xf numFmtId="10" fontId="12" fillId="49" borderId="22" xfId="0" applyNumberFormat="1" applyFont="1" applyFill="1" applyBorder="1" applyAlignment="1">
      <alignment horizontal="center" vertical="center"/>
    </xf>
    <xf numFmtId="10" fontId="12" fillId="49" borderId="11" xfId="0" applyNumberFormat="1" applyFont="1" applyFill="1" applyBorder="1" applyAlignment="1">
      <alignment horizontal="center" vertical="center"/>
    </xf>
    <xf numFmtId="10" fontId="12" fillId="49" borderId="79" xfId="0" applyNumberFormat="1" applyFont="1" applyFill="1" applyBorder="1" applyAlignment="1">
      <alignment horizontal="center" vertical="center"/>
    </xf>
    <xf numFmtId="0" fontId="15" fillId="44" borderId="80" xfId="0" applyFont="1" applyFill="1" applyBorder="1" applyAlignment="1">
      <alignment horizontal="center" vertical="center" textRotation="90"/>
    </xf>
    <xf numFmtId="0" fontId="15" fillId="44" borderId="84" xfId="0" applyFont="1" applyFill="1" applyBorder="1" applyAlignment="1">
      <alignment horizontal="center" vertical="center" textRotation="90"/>
    </xf>
    <xf numFmtId="0" fontId="38" fillId="37" borderId="107" xfId="0" applyFont="1" applyFill="1" applyBorder="1" applyAlignment="1">
      <alignment horizontal="center" vertical="center"/>
    </xf>
    <xf numFmtId="0" fontId="15" fillId="48" borderId="80" xfId="0" applyFont="1" applyFill="1" applyBorder="1" applyAlignment="1">
      <alignment horizontal="center" vertical="center" textRotation="90"/>
    </xf>
    <xf numFmtId="0" fontId="15" fillId="48" borderId="84" xfId="0" applyFont="1" applyFill="1" applyBorder="1" applyAlignment="1">
      <alignment horizontal="center" vertical="center" textRotation="90"/>
    </xf>
    <xf numFmtId="0" fontId="69" fillId="37" borderId="81" xfId="0" applyFont="1" applyFill="1" applyBorder="1" applyAlignment="1">
      <alignment horizontal="center" vertical="center"/>
    </xf>
    <xf numFmtId="0" fontId="69" fillId="37" borderId="82" xfId="0" applyFont="1" applyFill="1" applyBorder="1" applyAlignment="1">
      <alignment horizontal="center" vertical="center"/>
    </xf>
    <xf numFmtId="0" fontId="69" fillId="37" borderId="107" xfId="0" applyFont="1" applyFill="1" applyBorder="1" applyAlignment="1">
      <alignment horizontal="center" vertical="center"/>
    </xf>
    <xf numFmtId="10" fontId="12" fillId="45" borderId="52" xfId="0" applyNumberFormat="1" applyFont="1" applyFill="1" applyBorder="1" applyAlignment="1">
      <alignment horizontal="center" vertical="center"/>
    </xf>
    <xf numFmtId="10" fontId="12" fillId="45" borderId="75" xfId="0" applyNumberFormat="1" applyFont="1" applyFill="1" applyBorder="1" applyAlignment="1">
      <alignment horizontal="center" vertical="center"/>
    </xf>
    <xf numFmtId="10" fontId="12" fillId="45" borderId="11" xfId="0" applyNumberFormat="1" applyFont="1" applyFill="1" applyBorder="1" applyAlignment="1">
      <alignment horizontal="center" vertical="center"/>
    </xf>
    <xf numFmtId="10" fontId="12" fillId="45" borderId="79" xfId="0" applyNumberFormat="1" applyFont="1" applyFill="1" applyBorder="1" applyAlignment="1">
      <alignment horizontal="center" vertical="center"/>
    </xf>
    <xf numFmtId="0" fontId="5" fillId="45" borderId="74" xfId="0" applyFont="1" applyFill="1" applyBorder="1" applyAlignment="1">
      <alignment horizontal="center" vertical="center" wrapText="1"/>
    </xf>
    <xf numFmtId="0" fontId="5" fillId="45" borderId="105" xfId="0" applyFont="1" applyFill="1" applyBorder="1" applyAlignment="1">
      <alignment horizontal="center" vertical="center" wrapText="1"/>
    </xf>
    <xf numFmtId="0" fontId="5" fillId="45" borderId="78" xfId="0" applyFont="1" applyFill="1" applyBorder="1" applyAlignment="1">
      <alignment horizontal="center" vertical="center" wrapText="1"/>
    </xf>
    <xf numFmtId="0" fontId="5" fillId="45" borderId="59" xfId="0" applyFont="1" applyFill="1" applyBorder="1" applyAlignment="1">
      <alignment horizontal="center" vertical="center" wrapText="1"/>
    </xf>
    <xf numFmtId="0" fontId="68" fillId="46" borderId="80" xfId="0" applyFont="1" applyFill="1" applyBorder="1" applyAlignment="1">
      <alignment horizontal="center" vertical="center" textRotation="90" wrapText="1"/>
    </xf>
    <xf numFmtId="0" fontId="68" fillId="46" borderId="84" xfId="0" applyFont="1" applyFill="1" applyBorder="1" applyAlignment="1">
      <alignment horizontal="center" vertical="center" textRotation="90"/>
    </xf>
    <xf numFmtId="0" fontId="69" fillId="37" borderId="83" xfId="0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12" fillId="64" borderId="112" xfId="0" applyFont="1" applyFill="1" applyBorder="1" applyAlignment="1">
      <alignment horizontal="center" vertical="center" textRotation="90"/>
    </xf>
    <xf numFmtId="0" fontId="38" fillId="64" borderId="112" xfId="0" applyFont="1" applyFill="1" applyBorder="1" applyAlignment="1">
      <alignment horizontal="center" vertical="center"/>
    </xf>
    <xf numFmtId="0" fontId="38" fillId="0" borderId="112" xfId="0" applyFont="1" applyBorder="1" applyAlignment="1">
      <alignment horizontal="center" vertical="center"/>
    </xf>
    <xf numFmtId="0" fontId="5" fillId="0" borderId="112" xfId="0" applyFont="1" applyBorder="1" applyAlignment="1">
      <alignment horizontal="center" vertical="center" textRotation="90"/>
    </xf>
    <xf numFmtId="0" fontId="3" fillId="2" borderId="112" xfId="0" applyFont="1" applyFill="1" applyBorder="1" applyAlignment="1">
      <alignment horizontal="center" vertical="center"/>
    </xf>
    <xf numFmtId="0" fontId="3" fillId="0" borderId="112" xfId="0" applyFont="1" applyBorder="1" applyAlignment="1">
      <alignment horizontal="center" vertical="center"/>
    </xf>
    <xf numFmtId="10" fontId="12" fillId="0" borderId="112" xfId="0" applyNumberFormat="1" applyFont="1" applyBorder="1" applyAlignment="1">
      <alignment horizontal="left" vertical="center"/>
    </xf>
    <xf numFmtId="0" fontId="5" fillId="2" borderId="112" xfId="0" applyFont="1" applyFill="1" applyBorder="1" applyAlignment="1">
      <alignment horizontal="center" vertical="center"/>
    </xf>
    <xf numFmtId="10" fontId="12" fillId="2" borderId="112" xfId="0" applyNumberFormat="1" applyFont="1" applyFill="1" applyBorder="1" applyAlignment="1">
      <alignment horizontal="left" vertical="center"/>
    </xf>
    <xf numFmtId="0" fontId="5" fillId="0" borderId="11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10" fontId="12" fillId="2" borderId="0" xfId="0" applyNumberFormat="1" applyFont="1" applyFill="1" applyAlignment="1">
      <alignment horizontal="left" vertical="center"/>
    </xf>
    <xf numFmtId="0" fontId="12" fillId="42" borderId="13" xfId="0" applyFont="1" applyFill="1" applyBorder="1" applyAlignment="1">
      <alignment horizontal="center" vertical="center" textRotation="90"/>
    </xf>
    <xf numFmtId="0" fontId="12" fillId="42" borderId="102" xfId="0" applyFont="1" applyFill="1" applyBorder="1" applyAlignment="1">
      <alignment horizontal="center" vertical="center" textRotation="90"/>
    </xf>
    <xf numFmtId="0" fontId="12" fillId="64" borderId="0" xfId="0" applyFont="1" applyFill="1" applyAlignment="1">
      <alignment horizontal="center" vertical="center" textRotation="90"/>
    </xf>
    <xf numFmtId="0" fontId="3" fillId="2" borderId="0" xfId="0" applyFont="1" applyFill="1" applyAlignment="1">
      <alignment horizontal="center" vertical="center"/>
    </xf>
    <xf numFmtId="0" fontId="38" fillId="37" borderId="25" xfId="0" applyFont="1" applyFill="1" applyBorder="1" applyAlignment="1">
      <alignment horizontal="center" vertical="center"/>
    </xf>
    <xf numFmtId="0" fontId="3" fillId="34" borderId="13" xfId="0" applyFont="1" applyFill="1" applyBorder="1" applyAlignment="1">
      <alignment horizontal="center" vertical="center"/>
    </xf>
    <xf numFmtId="0" fontId="3" fillId="34" borderId="14" xfId="0" applyFont="1" applyFill="1" applyBorder="1" applyAlignment="1">
      <alignment horizontal="center" vertical="center"/>
    </xf>
    <xf numFmtId="0" fontId="3" fillId="34" borderId="25" xfId="0" applyFont="1" applyFill="1" applyBorder="1" applyAlignment="1">
      <alignment horizontal="center" vertical="center"/>
    </xf>
    <xf numFmtId="0" fontId="3" fillId="43" borderId="30" xfId="0" applyFont="1" applyFill="1" applyBorder="1" applyAlignment="1">
      <alignment horizontal="center" vertical="center"/>
    </xf>
    <xf numFmtId="0" fontId="3" fillId="43" borderId="17" xfId="0" applyFont="1" applyFill="1" applyBorder="1" applyAlignment="1">
      <alignment horizontal="center" vertical="center"/>
    </xf>
    <xf numFmtId="0" fontId="3" fillId="43" borderId="36" xfId="0" applyFont="1" applyFill="1" applyBorder="1" applyAlignment="1">
      <alignment horizontal="center" vertical="center"/>
    </xf>
    <xf numFmtId="0" fontId="3" fillId="43" borderId="55" xfId="0" applyFont="1" applyFill="1" applyBorder="1" applyAlignment="1">
      <alignment horizontal="center" vertical="center"/>
    </xf>
    <xf numFmtId="0" fontId="3" fillId="43" borderId="10" xfId="0" applyFont="1" applyFill="1" applyBorder="1" applyAlignment="1">
      <alignment horizontal="center" vertical="center"/>
    </xf>
    <xf numFmtId="0" fontId="3" fillId="43" borderId="1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0" fontId="5" fillId="43" borderId="94" xfId="0" applyNumberFormat="1" applyFont="1" applyFill="1" applyBorder="1" applyAlignment="1">
      <alignment horizontal="left" vertical="center"/>
    </xf>
    <xf numFmtId="10" fontId="5" fillId="43" borderId="95" xfId="0" applyNumberFormat="1" applyFont="1" applyFill="1" applyBorder="1" applyAlignment="1">
      <alignment horizontal="left" vertical="center"/>
    </xf>
    <xf numFmtId="0" fontId="5" fillId="43" borderId="92" xfId="0" applyFont="1" applyFill="1" applyBorder="1" applyAlignment="1">
      <alignment horizontal="center" vertical="center"/>
    </xf>
    <xf numFmtId="0" fontId="5" fillId="43" borderId="94" xfId="0" applyFont="1" applyFill="1" applyBorder="1" applyAlignment="1">
      <alignment horizontal="center" vertical="center"/>
    </xf>
    <xf numFmtId="10" fontId="12" fillId="43" borderId="94" xfId="0" applyNumberFormat="1" applyFont="1" applyFill="1" applyBorder="1" applyAlignment="1">
      <alignment horizontal="left" vertical="center"/>
    </xf>
    <xf numFmtId="10" fontId="12" fillId="43" borderId="95" xfId="0" applyNumberFormat="1" applyFont="1" applyFill="1" applyBorder="1" applyAlignment="1">
      <alignment horizontal="left" vertical="center"/>
    </xf>
    <xf numFmtId="0" fontId="92" fillId="0" borderId="0" xfId="0" applyFont="1" applyAlignment="1">
      <alignment horizontal="center"/>
    </xf>
    <xf numFmtId="0" fontId="38" fillId="64" borderId="0" xfId="0" applyFont="1" applyFill="1" applyAlignment="1">
      <alignment horizontal="center"/>
    </xf>
    <xf numFmtId="0" fontId="50" fillId="0" borderId="113" xfId="0" applyFont="1" applyBorder="1" applyAlignment="1">
      <alignment horizontal="center" vertical="center" wrapText="1"/>
    </xf>
    <xf numFmtId="10" fontId="93" fillId="43" borderId="94" xfId="0" applyNumberFormat="1" applyFont="1" applyFill="1" applyBorder="1" applyAlignment="1">
      <alignment horizontal="left" vertical="center"/>
    </xf>
    <xf numFmtId="10" fontId="93" fillId="43" borderId="95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7">
    <dxf>
      <fill>
        <patternFill>
          <bgColor theme="7" tint="0.59996337778862885"/>
        </patternFill>
      </fill>
    </dxf>
    <dxf>
      <fill>
        <patternFill>
          <bgColor rgb="FF90FF21"/>
        </patternFill>
      </fill>
    </dxf>
    <dxf>
      <fill>
        <patternFill>
          <bgColor theme="7" tint="0.59996337778862885"/>
        </patternFill>
      </fill>
    </dxf>
    <dxf>
      <fill>
        <patternFill>
          <bgColor rgb="FF51FF21"/>
        </patternFill>
      </fill>
    </dxf>
    <dxf>
      <fill>
        <patternFill>
          <bgColor rgb="FF90FF21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0FF21"/>
        </patternFill>
      </fill>
    </dxf>
    <dxf>
      <fill>
        <patternFill>
          <bgColor theme="7" tint="0.59996337778862885"/>
        </patternFill>
      </fill>
    </dxf>
    <dxf>
      <fill>
        <patternFill>
          <bgColor rgb="FF90FF21"/>
        </patternFill>
      </fill>
    </dxf>
    <dxf>
      <fill>
        <patternFill>
          <bgColor rgb="FF90FF21"/>
        </patternFill>
      </fill>
    </dxf>
    <dxf>
      <fill>
        <patternFill>
          <bgColor theme="7" tint="0.59996337778862885"/>
        </patternFill>
      </fill>
    </dxf>
    <dxf>
      <fill>
        <patternFill>
          <bgColor rgb="FF51FF21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0FF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7" tint="0.59996337778862885"/>
        </patternFill>
      </fill>
    </dxf>
    <dxf>
      <fill>
        <patternFill>
          <bgColor rgb="FF90FF21"/>
        </patternFill>
      </fill>
    </dxf>
    <dxf>
      <fill>
        <patternFill>
          <bgColor theme="7" tint="0.59996337778862885"/>
        </patternFill>
      </fill>
    </dxf>
    <dxf>
      <fill>
        <patternFill>
          <bgColor rgb="FF51FF21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51FF21"/>
      <color rgb="FFCCFF66"/>
      <color rgb="FFC5FFFC"/>
      <color rgb="FFD9E1F2"/>
      <color rgb="FFB5EEED"/>
      <color rgb="FFC9FFC9"/>
      <color rgb="FFFFCC00"/>
      <color rgb="FFFEFFEF"/>
      <color rgb="FFCCFFCC"/>
      <color rgb="FFAFE4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theme" Target="theme/theme1.xml"/><Relationship Id="rId74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heetMetadata" Target="metadata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microsoft.com/office/2022/10/relationships/richValueRel" Target="richData/richValueRel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microsoft.com/office/2017/06/relationships/rdRichValue" Target="richData/rdrichvalu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600" b="1" i="0" u="none" strike="noStrike" kern="1200" spc="0" baseline="0">
                <a:solidFill>
                  <a:schemeClr val="accent2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US" sz="3600">
                <a:solidFill>
                  <a:schemeClr val="accent2"/>
                </a:solidFill>
              </a:rPr>
              <a:t>Completed Projects</a:t>
            </a:r>
          </a:p>
        </c:rich>
      </c:tx>
      <c:layout>
        <c:manualLayout>
          <c:xMode val="edge"/>
          <c:yMode val="edge"/>
          <c:x val="0.44335722102375752"/>
          <c:y val="3.86378720203834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1" i="0" u="none" strike="noStrike" kern="1200" spc="0" baseline="0">
              <a:solidFill>
                <a:schemeClr val="accent2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9673215637974744E-2"/>
          <c:y val="0.18228369203245431"/>
          <c:w val="0.90000297873938628"/>
          <c:h val="0.613866210619804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'Daily Repair Rate (Old)'!$M$52</c:f>
              <c:strCache>
                <c:ptCount val="1"/>
                <c:pt idx="0">
                  <c:v>Repair Ratio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'Daily Repair Rate (Old)'!$J$53:$L$68</c:f>
              <c:strCache>
                <c:ptCount val="16"/>
                <c:pt idx="0">
                  <c:v>2022-2024 Proj. Avg</c:v>
                </c:pt>
                <c:pt idx="1">
                  <c:v>2025 Proj. Avg</c:v>
                </c:pt>
                <c:pt idx="2">
                  <c:v>11-109</c:v>
                </c:pt>
                <c:pt idx="3">
                  <c:v>05-092</c:v>
                </c:pt>
                <c:pt idx="4">
                  <c:v>11-110</c:v>
                </c:pt>
                <c:pt idx="5">
                  <c:v>12-114</c:v>
                </c:pt>
                <c:pt idx="6">
                  <c:v>05-093 Load . P.</c:v>
                </c:pt>
                <c:pt idx="7">
                  <c:v>05-093 Marine A.</c:v>
                </c:pt>
                <c:pt idx="8">
                  <c:v>12-112 (54")</c:v>
                </c:pt>
                <c:pt idx="9">
                  <c:v>10-106</c:v>
                </c:pt>
                <c:pt idx="10">
                  <c:v>02-120</c:v>
                </c:pt>
                <c:pt idx="11">
                  <c:v>02-121</c:v>
                </c:pt>
                <c:pt idx="12">
                  <c:v>02-121</c:v>
                </c:pt>
                <c:pt idx="13">
                  <c:v>05-093 Flare B.</c:v>
                </c:pt>
                <c:pt idx="14">
                  <c:v>12-112SN (54")</c:v>
                </c:pt>
                <c:pt idx="15">
                  <c:v>05-092 (Part 2)</c:v>
                </c:pt>
              </c:strCache>
            </c:strRef>
          </c:cat>
          <c:val>
            <c:numRef>
              <c:f>'Daily Repair Rate (Old)'!$M$53:$M$68</c:f>
              <c:numCache>
                <c:formatCode>0.00%</c:formatCode>
                <c:ptCount val="16"/>
                <c:pt idx="0">
                  <c:v>3.4299999999999997E-2</c:v>
                </c:pt>
                <c:pt idx="1">
                  <c:v>2.3099999999999999E-2</c:v>
                </c:pt>
                <c:pt idx="2">
                  <c:v>1.5900000000000001E-2</c:v>
                </c:pt>
                <c:pt idx="3">
                  <c:v>4.1900000000000007E-2</c:v>
                </c:pt>
                <c:pt idx="4">
                  <c:v>5.4000000000000003E-3</c:v>
                </c:pt>
                <c:pt idx="5">
                  <c:v>3.5200000000000002E-2</c:v>
                </c:pt>
                <c:pt idx="6">
                  <c:v>1.72E-2</c:v>
                </c:pt>
                <c:pt idx="7">
                  <c:v>1.49E-2</c:v>
                </c:pt>
                <c:pt idx="8">
                  <c:v>0.1024</c:v>
                </c:pt>
                <c:pt idx="9">
                  <c:v>3.1800000000000002E-2</c:v>
                </c:pt>
                <c:pt idx="10">
                  <c:v>2.3E-2</c:v>
                </c:pt>
                <c:pt idx="11">
                  <c:v>4.0000000000000001E-3</c:v>
                </c:pt>
                <c:pt idx="12">
                  <c:v>4.0000000000000001E-3</c:v>
                </c:pt>
                <c:pt idx="13">
                  <c:v>9.4999999999999998E-3</c:v>
                </c:pt>
                <c:pt idx="14">
                  <c:v>1.2500000000000001E-2</c:v>
                </c:pt>
                <c:pt idx="15">
                  <c:v>8.0999999999999996E-3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F5-4EAF-AFA3-CAE661C2008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80216623"/>
        <c:axId val="1180217103"/>
      </c:barChart>
      <c:catAx>
        <c:axId val="1180216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180217103"/>
        <c:crosses val="autoZero"/>
        <c:auto val="1"/>
        <c:lblAlgn val="ctr"/>
        <c:lblOffset val="100"/>
        <c:noMultiLvlLbl val="0"/>
      </c:catAx>
      <c:valAx>
        <c:axId val="118021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180216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265833988748504"/>
          <c:y val="0.92782038527586863"/>
          <c:w val="0.51958745675747908"/>
          <c:h val="7.08960431525882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4000" b="1" i="0" u="none" strike="noStrike" kern="1200" spc="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r>
              <a:rPr lang="en-US" sz="4000" b="1">
                <a:solidFill>
                  <a:schemeClr val="accent2"/>
                </a:solidFill>
              </a:rPr>
              <a:t>Daily</a:t>
            </a:r>
            <a:r>
              <a:rPr lang="en-US" sz="4000" b="1" baseline="0">
                <a:solidFill>
                  <a:schemeClr val="accent2"/>
                </a:solidFill>
              </a:rPr>
              <a:t> Repair Rate (%)</a:t>
            </a:r>
            <a:endParaRPr lang="en-US" sz="4000" b="1">
              <a:solidFill>
                <a:schemeClr val="accent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1" i="0" u="none" strike="noStrike" kern="1200" spc="0" baseline="0">
              <a:solidFill>
                <a:schemeClr val="accent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7705674235966644E-2"/>
          <c:y val="0.11400044640364324"/>
          <c:w val="0.95637254597931609"/>
          <c:h val="0.75473600081423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'Daily Repair Rate (Old)'!$K$39</c:f>
              <c:strCache>
                <c:ptCount val="1"/>
                <c:pt idx="0">
                  <c:v>6/3/2026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'Daily Repair Rate (Old)'!$J$40:$J$46</c:f>
              <c:strCache>
                <c:ptCount val="7"/>
                <c:pt idx="0">
                  <c:v>05-095</c:v>
                </c:pt>
                <c:pt idx="1">
                  <c:v>05-093 (Pipeway)</c:v>
                </c:pt>
                <c:pt idx="2">
                  <c:v>10-107JT</c:v>
                </c:pt>
                <c:pt idx="3">
                  <c:v>01-116SN (42")</c:v>
                </c:pt>
                <c:pt idx="4">
                  <c:v>01-116SN (36")</c:v>
                </c:pt>
                <c:pt idx="5">
                  <c:v>12-112SN (60")</c:v>
                </c:pt>
                <c:pt idx="6">
                  <c:v>05-0128RZ</c:v>
                </c:pt>
              </c:strCache>
            </c:strRef>
          </c:cat>
          <c:val>
            <c:numRef>
              <c:f>'Daily Repair Rate (Old)'!$K$40:$K$46</c:f>
              <c:numCache>
                <c:formatCode>0.00%</c:formatCode>
                <c:ptCount val="7"/>
                <c:pt idx="0">
                  <c:v>4.36E-2</c:v>
                </c:pt>
                <c:pt idx="1">
                  <c:v>8.5999999999999993E-2</c:v>
                </c:pt>
                <c:pt idx="2">
                  <c:v>0.02</c:v>
                </c:pt>
                <c:pt idx="3">
                  <c:v>2.6100000000000002E-2</c:v>
                </c:pt>
                <c:pt idx="4">
                  <c:v>2.9399999999999999E-2</c:v>
                </c:pt>
                <c:pt idx="5">
                  <c:v>0.10829999999999999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44-4E3F-AD3D-84906544979E}"/>
            </c:ext>
          </c:extLst>
        </c:ser>
        <c:ser>
          <c:idx val="1"/>
          <c:order val="1"/>
          <c:tx>
            <c:strRef>
              <c:f>'Daily Repair Rate (Old)'!$L$39</c:f>
              <c:strCache>
                <c:ptCount val="1"/>
                <c:pt idx="0">
                  <c:v>6/4/2026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'Daily Repair Rate (Old)'!$J$40:$J$46</c:f>
              <c:strCache>
                <c:ptCount val="7"/>
                <c:pt idx="0">
                  <c:v>05-095</c:v>
                </c:pt>
                <c:pt idx="1">
                  <c:v>05-093 (Pipeway)</c:v>
                </c:pt>
                <c:pt idx="2">
                  <c:v>10-107JT</c:v>
                </c:pt>
                <c:pt idx="3">
                  <c:v>01-116SN (42")</c:v>
                </c:pt>
                <c:pt idx="4">
                  <c:v>01-116SN (36")</c:v>
                </c:pt>
                <c:pt idx="5">
                  <c:v>12-112SN (60")</c:v>
                </c:pt>
                <c:pt idx="6">
                  <c:v>05-0128RZ</c:v>
                </c:pt>
              </c:strCache>
            </c:strRef>
          </c:cat>
          <c:val>
            <c:numRef>
              <c:f>'Daily Repair Rate (Old)'!$L$40:$L$46</c:f>
              <c:numCache>
                <c:formatCode>0.00%</c:formatCode>
                <c:ptCount val="7"/>
                <c:pt idx="0">
                  <c:v>4.36E-2</c:v>
                </c:pt>
                <c:pt idx="1">
                  <c:v>8.4699999999999998E-2</c:v>
                </c:pt>
                <c:pt idx="2">
                  <c:v>0.02</c:v>
                </c:pt>
                <c:pt idx="3">
                  <c:v>2.6100000000000002E-2</c:v>
                </c:pt>
                <c:pt idx="4">
                  <c:v>2.9399999999999999E-2</c:v>
                </c:pt>
                <c:pt idx="5">
                  <c:v>0.10299999999999999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44-4E3F-AD3D-84906544979E}"/>
            </c:ext>
          </c:extLst>
        </c:ser>
        <c:ser>
          <c:idx val="2"/>
          <c:order val="2"/>
          <c:tx>
            <c:strRef>
              <c:f>'Daily Repair Rate (Old)'!$M$39</c:f>
              <c:strCache>
                <c:ptCount val="1"/>
                <c:pt idx="0">
                  <c:v>6/5/2026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'Daily Repair Rate (Old)'!$J$40:$J$46</c:f>
              <c:strCache>
                <c:ptCount val="7"/>
                <c:pt idx="0">
                  <c:v>05-095</c:v>
                </c:pt>
                <c:pt idx="1">
                  <c:v>05-093 (Pipeway)</c:v>
                </c:pt>
                <c:pt idx="2">
                  <c:v>10-107JT</c:v>
                </c:pt>
                <c:pt idx="3">
                  <c:v>01-116SN (42")</c:v>
                </c:pt>
                <c:pt idx="4">
                  <c:v>01-116SN (36")</c:v>
                </c:pt>
                <c:pt idx="5">
                  <c:v>12-112SN (60")</c:v>
                </c:pt>
                <c:pt idx="6">
                  <c:v>05-0128RZ</c:v>
                </c:pt>
              </c:strCache>
            </c:strRef>
          </c:cat>
          <c:val>
            <c:numRef>
              <c:f>'Daily Repair Rate (Old)'!$M$40:$M$46</c:f>
              <c:numCache>
                <c:formatCode>0.00%</c:formatCode>
                <c:ptCount val="7"/>
                <c:pt idx="0">
                  <c:v>4.36E-2</c:v>
                </c:pt>
                <c:pt idx="1">
                  <c:v>8.4699999999999998E-2</c:v>
                </c:pt>
                <c:pt idx="2">
                  <c:v>0.02</c:v>
                </c:pt>
                <c:pt idx="3">
                  <c:v>2.6100000000000002E-2</c:v>
                </c:pt>
                <c:pt idx="4">
                  <c:v>2.9399999999999999E-2</c:v>
                </c:pt>
                <c:pt idx="5">
                  <c:v>0.10299999999999999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78-484C-81D8-60D172A9814F}"/>
            </c:ext>
          </c:extLst>
        </c:ser>
        <c:ser>
          <c:idx val="3"/>
          <c:order val="3"/>
          <c:tx>
            <c:strRef>
              <c:f>'Daily Repair Rate (Old)'!$N$39</c:f>
              <c:strCache>
                <c:ptCount val="1"/>
                <c:pt idx="0">
                  <c:v>6/6/2026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'Daily Repair Rate (Old)'!$J$40:$J$46</c:f>
              <c:strCache>
                <c:ptCount val="7"/>
                <c:pt idx="0">
                  <c:v>05-095</c:v>
                </c:pt>
                <c:pt idx="1">
                  <c:v>05-093 (Pipeway)</c:v>
                </c:pt>
                <c:pt idx="2">
                  <c:v>10-107JT</c:v>
                </c:pt>
                <c:pt idx="3">
                  <c:v>01-116SN (42")</c:v>
                </c:pt>
                <c:pt idx="4">
                  <c:v>01-116SN (36")</c:v>
                </c:pt>
                <c:pt idx="5">
                  <c:v>12-112SN (60")</c:v>
                </c:pt>
                <c:pt idx="6">
                  <c:v>05-0128RZ</c:v>
                </c:pt>
              </c:strCache>
            </c:strRef>
          </c:cat>
          <c:val>
            <c:numRef>
              <c:f>'Daily Repair Rate (Old)'!$N$40:$N$46</c:f>
              <c:numCache>
                <c:formatCode>0.00%</c:formatCode>
                <c:ptCount val="7"/>
                <c:pt idx="0">
                  <c:v>4.36E-2</c:v>
                </c:pt>
                <c:pt idx="1">
                  <c:v>8.4699999999999998E-2</c:v>
                </c:pt>
                <c:pt idx="2">
                  <c:v>0.02</c:v>
                </c:pt>
                <c:pt idx="3">
                  <c:v>2.6100000000000002E-2</c:v>
                </c:pt>
                <c:pt idx="4">
                  <c:v>2.9399999999999999E-2</c:v>
                </c:pt>
                <c:pt idx="5">
                  <c:v>0.10299999999999999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E7-409E-9277-2B46FDCB132A}"/>
            </c:ext>
          </c:extLst>
        </c:ser>
        <c:ser>
          <c:idx val="4"/>
          <c:order val="4"/>
          <c:tx>
            <c:strRef>
              <c:f>'Daily Repair Rate (Old)'!$O$39</c:f>
              <c:strCache>
                <c:ptCount val="1"/>
                <c:pt idx="0">
                  <c:v>6/8/2026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'Daily Repair Rate (Old)'!$J$40:$J$46</c:f>
              <c:strCache>
                <c:ptCount val="7"/>
                <c:pt idx="0">
                  <c:v>05-095</c:v>
                </c:pt>
                <c:pt idx="1">
                  <c:v>05-093 (Pipeway)</c:v>
                </c:pt>
                <c:pt idx="2">
                  <c:v>10-107JT</c:v>
                </c:pt>
                <c:pt idx="3">
                  <c:v>01-116SN (42")</c:v>
                </c:pt>
                <c:pt idx="4">
                  <c:v>01-116SN (36")</c:v>
                </c:pt>
                <c:pt idx="5">
                  <c:v>12-112SN (60")</c:v>
                </c:pt>
                <c:pt idx="6">
                  <c:v>05-0128RZ</c:v>
                </c:pt>
              </c:strCache>
            </c:strRef>
          </c:cat>
          <c:val>
            <c:numRef>
              <c:f>'Daily Repair Rate (Old)'!$O$40:$O$46</c:f>
              <c:numCache>
                <c:formatCode>0.00%</c:formatCode>
                <c:ptCount val="7"/>
                <c:pt idx="0">
                  <c:v>4.36E-2</c:v>
                </c:pt>
                <c:pt idx="1">
                  <c:v>8.8900000000000007E-2</c:v>
                </c:pt>
                <c:pt idx="2">
                  <c:v>0.02</c:v>
                </c:pt>
                <c:pt idx="3">
                  <c:v>2.6100000000000002E-2</c:v>
                </c:pt>
                <c:pt idx="4">
                  <c:v>2.9399999999999999E-2</c:v>
                </c:pt>
                <c:pt idx="5">
                  <c:v>0.1013</c:v>
                </c:pt>
                <c:pt idx="6">
                  <c:v>5.1000000000000004E-3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FF-4E9B-9F0B-DE9ADC9A2835}"/>
            </c:ext>
          </c:extLst>
        </c:ser>
        <c:ser>
          <c:idx val="5"/>
          <c:order val="5"/>
          <c:tx>
            <c:strRef>
              <c:f>'Daily Repair Rate (Old)'!$P$39</c:f>
              <c:strCache>
                <c:ptCount val="1"/>
                <c:pt idx="0">
                  <c:v>6/9/2026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'Daily Repair Rate (Old)'!$J$40:$J$46</c:f>
              <c:strCache>
                <c:ptCount val="7"/>
                <c:pt idx="0">
                  <c:v>05-095</c:v>
                </c:pt>
                <c:pt idx="1">
                  <c:v>05-093 (Pipeway)</c:v>
                </c:pt>
                <c:pt idx="2">
                  <c:v>10-107JT</c:v>
                </c:pt>
                <c:pt idx="3">
                  <c:v>01-116SN (42")</c:v>
                </c:pt>
                <c:pt idx="4">
                  <c:v>01-116SN (36")</c:v>
                </c:pt>
                <c:pt idx="5">
                  <c:v>12-112SN (60")</c:v>
                </c:pt>
                <c:pt idx="6">
                  <c:v>05-0128RZ</c:v>
                </c:pt>
              </c:strCache>
            </c:strRef>
          </c:cat>
          <c:val>
            <c:numRef>
              <c:f>'Daily Repair Rate (Old)'!$P$40:$P$46</c:f>
              <c:numCache>
                <c:formatCode>0.00%</c:formatCode>
                <c:ptCount val="7"/>
                <c:pt idx="0">
                  <c:v>4.36E-2</c:v>
                </c:pt>
                <c:pt idx="1">
                  <c:v>8.8900000000000007E-2</c:v>
                </c:pt>
                <c:pt idx="2">
                  <c:v>0.02</c:v>
                </c:pt>
                <c:pt idx="3">
                  <c:v>2.6100000000000002E-2</c:v>
                </c:pt>
                <c:pt idx="4">
                  <c:v>2.9399999999999999E-2</c:v>
                </c:pt>
                <c:pt idx="5">
                  <c:v>0.1013</c:v>
                </c:pt>
                <c:pt idx="6">
                  <c:v>2.3599999999999999E-2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28-48FC-9C47-F5FD9EF25A1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71834847"/>
        <c:axId val="1971826687"/>
      </c:barChart>
      <c:catAx>
        <c:axId val="19718348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971826687"/>
        <c:crosses val="autoZero"/>
        <c:auto val="1"/>
        <c:lblAlgn val="ctr"/>
        <c:lblOffset val="100"/>
        <c:noMultiLvlLbl val="0"/>
      </c:catAx>
      <c:valAx>
        <c:axId val="197182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971834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3082326171815557E-2"/>
          <c:y val="1.9732818358781039E-2"/>
          <c:w val="0.3799548653432383"/>
          <c:h val="6.87588447395445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600" b="1" i="0" u="none" strike="noStrike" kern="1200" spc="0" baseline="0">
                <a:solidFill>
                  <a:schemeClr val="accent2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US" sz="3600">
                <a:solidFill>
                  <a:schemeClr val="accent2"/>
                </a:solidFill>
              </a:rPr>
              <a:t>Completed Projects</a:t>
            </a:r>
          </a:p>
        </c:rich>
      </c:tx>
      <c:layout>
        <c:manualLayout>
          <c:xMode val="edge"/>
          <c:yMode val="edge"/>
          <c:x val="0.44335722102375752"/>
          <c:y val="3.86378720203834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1" i="0" u="none" strike="noStrike" kern="1200" spc="0" baseline="0">
              <a:solidFill>
                <a:schemeClr val="accent2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9673215637974744E-2"/>
          <c:y val="0.18228369203245431"/>
          <c:w val="0.90000297873938628"/>
          <c:h val="0.613866210619804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'Daily Repair Rate'!$O$80</c:f>
              <c:strCache>
                <c:ptCount val="1"/>
                <c:pt idx="0">
                  <c:v>Repair Ratio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'Daily Repair Rate'!$L$81:$N$96</c:f>
              <c:strCache>
                <c:ptCount val="16"/>
                <c:pt idx="0">
                  <c:v>2022-2024 Proj. Avg</c:v>
                </c:pt>
                <c:pt idx="1">
                  <c:v>2025 Proj. Avg</c:v>
                </c:pt>
                <c:pt idx="2">
                  <c:v>11-109</c:v>
                </c:pt>
                <c:pt idx="3">
                  <c:v>05-092</c:v>
                </c:pt>
                <c:pt idx="4">
                  <c:v>11-110</c:v>
                </c:pt>
                <c:pt idx="5">
                  <c:v>12-114</c:v>
                </c:pt>
                <c:pt idx="6">
                  <c:v>05-093 Load . P.</c:v>
                </c:pt>
                <c:pt idx="7">
                  <c:v>05-093 Marine A.</c:v>
                </c:pt>
                <c:pt idx="8">
                  <c:v>12-112 (54")</c:v>
                </c:pt>
                <c:pt idx="9">
                  <c:v>10-106</c:v>
                </c:pt>
                <c:pt idx="10">
                  <c:v>02-120</c:v>
                </c:pt>
                <c:pt idx="11">
                  <c:v>02-121</c:v>
                </c:pt>
                <c:pt idx="12">
                  <c:v>02-121</c:v>
                </c:pt>
                <c:pt idx="13">
                  <c:v>05-093 Flare B.</c:v>
                </c:pt>
                <c:pt idx="14">
                  <c:v>12-112SN (54")</c:v>
                </c:pt>
                <c:pt idx="15">
                  <c:v>05-092 (Part 2)</c:v>
                </c:pt>
              </c:strCache>
            </c:strRef>
          </c:cat>
          <c:val>
            <c:numRef>
              <c:f>'Daily Repair Rate'!$O$81:$O$96</c:f>
              <c:numCache>
                <c:formatCode>0.00%</c:formatCode>
                <c:ptCount val="16"/>
                <c:pt idx="0">
                  <c:v>3.4299999999999997E-2</c:v>
                </c:pt>
                <c:pt idx="1">
                  <c:v>2.3099999999999999E-2</c:v>
                </c:pt>
                <c:pt idx="2">
                  <c:v>1.5900000000000001E-2</c:v>
                </c:pt>
                <c:pt idx="3">
                  <c:v>4.1900000000000007E-2</c:v>
                </c:pt>
                <c:pt idx="4">
                  <c:v>5.4000000000000003E-3</c:v>
                </c:pt>
                <c:pt idx="5">
                  <c:v>3.5200000000000002E-2</c:v>
                </c:pt>
                <c:pt idx="6">
                  <c:v>1.72E-2</c:v>
                </c:pt>
                <c:pt idx="7">
                  <c:v>1.49E-2</c:v>
                </c:pt>
                <c:pt idx="8">
                  <c:v>0.1024</c:v>
                </c:pt>
                <c:pt idx="9">
                  <c:v>3.1800000000000002E-2</c:v>
                </c:pt>
                <c:pt idx="10">
                  <c:v>2.3E-2</c:v>
                </c:pt>
                <c:pt idx="11">
                  <c:v>4.0000000000000001E-3</c:v>
                </c:pt>
                <c:pt idx="12">
                  <c:v>4.0000000000000001E-3</c:v>
                </c:pt>
                <c:pt idx="13">
                  <c:v>9.4999999999999998E-3</c:v>
                </c:pt>
                <c:pt idx="14">
                  <c:v>1.2500000000000001E-2</c:v>
                </c:pt>
                <c:pt idx="15">
                  <c:v>8.0999999999999996E-3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89-4AE1-A424-79072250AD8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80216623"/>
        <c:axId val="1180217103"/>
      </c:barChart>
      <c:catAx>
        <c:axId val="1180216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180217103"/>
        <c:crosses val="autoZero"/>
        <c:auto val="1"/>
        <c:lblAlgn val="ctr"/>
        <c:lblOffset val="100"/>
        <c:noMultiLvlLbl val="0"/>
      </c:catAx>
      <c:valAx>
        <c:axId val="118021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180216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265833988748504"/>
          <c:y val="0.92782038527586863"/>
          <c:w val="0.51958745675747908"/>
          <c:h val="7.08960431525882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4000" b="1" i="0" u="none" strike="noStrike" kern="1200" spc="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r>
              <a:rPr lang="en-US" sz="4000" b="1">
                <a:solidFill>
                  <a:schemeClr val="accent2"/>
                </a:solidFill>
              </a:rPr>
              <a:t>Daily</a:t>
            </a:r>
            <a:r>
              <a:rPr lang="en-US" sz="4000" b="1" baseline="0">
                <a:solidFill>
                  <a:schemeClr val="accent2"/>
                </a:solidFill>
              </a:rPr>
              <a:t> Repair Rate (%)</a:t>
            </a:r>
            <a:endParaRPr lang="en-US" sz="4000" b="1">
              <a:solidFill>
                <a:schemeClr val="accent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1" i="0" u="none" strike="noStrike" kern="1200" spc="0" baseline="0">
              <a:solidFill>
                <a:schemeClr val="accent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7705687311739122E-2"/>
          <c:y val="0.1754716795626825"/>
          <c:w val="0.95637254597931609"/>
          <c:h val="0.718237419294335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'Daily Repair Rate'!$M$67</c:f>
              <c:strCache>
                <c:ptCount val="1"/>
                <c:pt idx="0">
                  <c:v>8/22/2026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'Daily Repair Rate'!$L$68:$L$77</c:f>
              <c:strCache>
                <c:ptCount val="10"/>
                <c:pt idx="0">
                  <c:v>05-095</c:v>
                </c:pt>
                <c:pt idx="1">
                  <c:v>05-093 (Pipeway)</c:v>
                </c:pt>
                <c:pt idx="2">
                  <c:v>10-107JT</c:v>
                </c:pt>
                <c:pt idx="3">
                  <c:v>01-116SN (42")</c:v>
                </c:pt>
                <c:pt idx="4">
                  <c:v>01-116SN (36")</c:v>
                </c:pt>
                <c:pt idx="5">
                  <c:v>10-108 (60"X0.375")</c:v>
                </c:pt>
                <c:pt idx="6">
                  <c:v>10-108 (66"X0.375")</c:v>
                </c:pt>
                <c:pt idx="7">
                  <c:v>06-131</c:v>
                </c:pt>
                <c:pt idx="8">
                  <c:v>02-123JE</c:v>
                </c:pt>
                <c:pt idx="9">
                  <c:v>01-118</c:v>
                </c:pt>
              </c:strCache>
            </c:strRef>
          </c:cat>
          <c:val>
            <c:numRef>
              <c:f>'Daily Repair Rate'!$M$68:$M$77</c:f>
              <c:numCache>
                <c:formatCode>0.00%</c:formatCode>
                <c:ptCount val="10"/>
                <c:pt idx="0">
                  <c:v>4.4900000000000002E-2</c:v>
                </c:pt>
                <c:pt idx="1">
                  <c:v>7.3300000000000004E-2</c:v>
                </c:pt>
                <c:pt idx="2">
                  <c:v>2.9100000000000001E-2</c:v>
                </c:pt>
                <c:pt idx="3">
                  <c:v>2.1999999999999999E-2</c:v>
                </c:pt>
                <c:pt idx="4">
                  <c:v>2.3099999999999999E-2</c:v>
                </c:pt>
                <c:pt idx="5">
                  <c:v>2.1899999999999999E-2</c:v>
                </c:pt>
                <c:pt idx="6">
                  <c:v>1.0500000000000001E-2</c:v>
                </c:pt>
                <c:pt idx="7">
                  <c:v>1.38E-2</c:v>
                </c:pt>
                <c:pt idx="8">
                  <c:v>1.1900000000000001E-2</c:v>
                </c:pt>
                <c:pt idx="9">
                  <c:v>4.7000000000000002E-3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33-43E2-A3E0-E990261577B9}"/>
            </c:ext>
          </c:extLst>
        </c:ser>
        <c:ser>
          <c:idx val="1"/>
          <c:order val="1"/>
          <c:tx>
            <c:strRef>
              <c:f>'Daily Repair Rate'!$N$67</c:f>
              <c:strCache>
                <c:ptCount val="1"/>
                <c:pt idx="0">
                  <c:v>8/24/2026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'Daily Repair Rate'!$L$68:$L$77</c:f>
              <c:strCache>
                <c:ptCount val="10"/>
                <c:pt idx="0">
                  <c:v>05-095</c:v>
                </c:pt>
                <c:pt idx="1">
                  <c:v>05-093 (Pipeway)</c:v>
                </c:pt>
                <c:pt idx="2">
                  <c:v>10-107JT</c:v>
                </c:pt>
                <c:pt idx="3">
                  <c:v>01-116SN (42")</c:v>
                </c:pt>
                <c:pt idx="4">
                  <c:v>01-116SN (36")</c:v>
                </c:pt>
                <c:pt idx="5">
                  <c:v>10-108 (60"X0.375")</c:v>
                </c:pt>
                <c:pt idx="6">
                  <c:v>10-108 (66"X0.375")</c:v>
                </c:pt>
                <c:pt idx="7">
                  <c:v>06-131</c:v>
                </c:pt>
                <c:pt idx="8">
                  <c:v>02-123JE</c:v>
                </c:pt>
                <c:pt idx="9">
                  <c:v>01-118</c:v>
                </c:pt>
              </c:strCache>
            </c:strRef>
          </c:cat>
          <c:val>
            <c:numRef>
              <c:f>'Daily Repair Rate'!$N$68:$N$77</c:f>
              <c:numCache>
                <c:formatCode>0.00%</c:formatCode>
                <c:ptCount val="10"/>
                <c:pt idx="0">
                  <c:v>4.4900000000000002E-2</c:v>
                </c:pt>
                <c:pt idx="1">
                  <c:v>7.3300000000000004E-2</c:v>
                </c:pt>
                <c:pt idx="2">
                  <c:v>2.9100000000000001E-2</c:v>
                </c:pt>
                <c:pt idx="3">
                  <c:v>2.1999999999999999E-2</c:v>
                </c:pt>
                <c:pt idx="4">
                  <c:v>2.3099999999999999E-2</c:v>
                </c:pt>
                <c:pt idx="5">
                  <c:v>2.3599999999999999E-2</c:v>
                </c:pt>
                <c:pt idx="6">
                  <c:v>1.06E-2</c:v>
                </c:pt>
                <c:pt idx="7">
                  <c:v>1.38E-2</c:v>
                </c:pt>
                <c:pt idx="8">
                  <c:v>1.2E-2</c:v>
                </c:pt>
                <c:pt idx="9">
                  <c:v>4.4999999999999997E-3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33-43E2-A3E0-E990261577B9}"/>
            </c:ext>
          </c:extLst>
        </c:ser>
        <c:ser>
          <c:idx val="2"/>
          <c:order val="2"/>
          <c:tx>
            <c:strRef>
              <c:f>'Daily Repair Rate'!$O$67</c:f>
              <c:strCache>
                <c:ptCount val="1"/>
                <c:pt idx="0">
                  <c:v>8/25/2026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'Daily Repair Rate'!$L$68:$L$77</c:f>
              <c:strCache>
                <c:ptCount val="10"/>
                <c:pt idx="0">
                  <c:v>05-095</c:v>
                </c:pt>
                <c:pt idx="1">
                  <c:v>05-093 (Pipeway)</c:v>
                </c:pt>
                <c:pt idx="2">
                  <c:v>10-107JT</c:v>
                </c:pt>
                <c:pt idx="3">
                  <c:v>01-116SN (42")</c:v>
                </c:pt>
                <c:pt idx="4">
                  <c:v>01-116SN (36")</c:v>
                </c:pt>
                <c:pt idx="5">
                  <c:v>10-108 (60"X0.375")</c:v>
                </c:pt>
                <c:pt idx="6">
                  <c:v>10-108 (66"X0.375")</c:v>
                </c:pt>
                <c:pt idx="7">
                  <c:v>06-131</c:v>
                </c:pt>
                <c:pt idx="8">
                  <c:v>02-123JE</c:v>
                </c:pt>
                <c:pt idx="9">
                  <c:v>01-118</c:v>
                </c:pt>
              </c:strCache>
            </c:strRef>
          </c:cat>
          <c:val>
            <c:numRef>
              <c:f>'Daily Repair Rate'!$O$68:$O$77</c:f>
              <c:numCache>
                <c:formatCode>0.00%</c:formatCode>
                <c:ptCount val="10"/>
                <c:pt idx="0">
                  <c:v>4.4900000000000002E-2</c:v>
                </c:pt>
                <c:pt idx="1">
                  <c:v>7.3300000000000004E-2</c:v>
                </c:pt>
                <c:pt idx="2">
                  <c:v>2.9000000000000001E-2</c:v>
                </c:pt>
                <c:pt idx="3">
                  <c:v>2.1999999999999999E-2</c:v>
                </c:pt>
                <c:pt idx="4">
                  <c:v>2.3099999999999999E-2</c:v>
                </c:pt>
                <c:pt idx="5">
                  <c:v>2.3599999999999999E-2</c:v>
                </c:pt>
                <c:pt idx="6">
                  <c:v>1.0699999999999999E-2</c:v>
                </c:pt>
                <c:pt idx="7">
                  <c:v>1.38E-2</c:v>
                </c:pt>
                <c:pt idx="8">
                  <c:v>1.2E-2</c:v>
                </c:pt>
                <c:pt idx="9">
                  <c:v>5.1999999999999998E-3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33-43E2-A3E0-E990261577B9}"/>
            </c:ext>
          </c:extLst>
        </c:ser>
        <c:ser>
          <c:idx val="3"/>
          <c:order val="3"/>
          <c:tx>
            <c:strRef>
              <c:f>'Daily Repair Rate'!$P$67</c:f>
              <c:strCache>
                <c:ptCount val="1"/>
                <c:pt idx="0">
                  <c:v>8/26/2026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'Daily Repair Rate'!$L$68:$L$77</c:f>
              <c:strCache>
                <c:ptCount val="10"/>
                <c:pt idx="0">
                  <c:v>05-095</c:v>
                </c:pt>
                <c:pt idx="1">
                  <c:v>05-093 (Pipeway)</c:v>
                </c:pt>
                <c:pt idx="2">
                  <c:v>10-107JT</c:v>
                </c:pt>
                <c:pt idx="3">
                  <c:v>01-116SN (42")</c:v>
                </c:pt>
                <c:pt idx="4">
                  <c:v>01-116SN (36")</c:v>
                </c:pt>
                <c:pt idx="5">
                  <c:v>10-108 (60"X0.375")</c:v>
                </c:pt>
                <c:pt idx="6">
                  <c:v>10-108 (66"X0.375")</c:v>
                </c:pt>
                <c:pt idx="7">
                  <c:v>06-131</c:v>
                </c:pt>
                <c:pt idx="8">
                  <c:v>02-123JE</c:v>
                </c:pt>
                <c:pt idx="9">
                  <c:v>01-118</c:v>
                </c:pt>
              </c:strCache>
            </c:strRef>
          </c:cat>
          <c:val>
            <c:numRef>
              <c:f>'Daily Repair Rate'!$P$68:$P$77</c:f>
              <c:numCache>
                <c:formatCode>0.00%</c:formatCode>
                <c:ptCount val="10"/>
                <c:pt idx="0">
                  <c:v>4.4900000000000002E-2</c:v>
                </c:pt>
                <c:pt idx="1">
                  <c:v>7.3300000000000004E-2</c:v>
                </c:pt>
                <c:pt idx="2">
                  <c:v>2.9000000000000001E-2</c:v>
                </c:pt>
                <c:pt idx="3">
                  <c:v>2.1999999999999999E-2</c:v>
                </c:pt>
                <c:pt idx="4">
                  <c:v>2.3099999999999999E-2</c:v>
                </c:pt>
                <c:pt idx="5">
                  <c:v>2.3599999999999999E-2</c:v>
                </c:pt>
                <c:pt idx="6">
                  <c:v>1.06E-2</c:v>
                </c:pt>
                <c:pt idx="7">
                  <c:v>1.38E-2</c:v>
                </c:pt>
                <c:pt idx="8">
                  <c:v>1.1900000000000001E-2</c:v>
                </c:pt>
                <c:pt idx="9">
                  <c:v>5.5999999999999999E-3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33-43E2-A3E0-E990261577B9}"/>
            </c:ext>
          </c:extLst>
        </c:ser>
        <c:ser>
          <c:idx val="4"/>
          <c:order val="4"/>
          <c:tx>
            <c:strRef>
              <c:f>'Daily Repair Rate'!$Q$67</c:f>
              <c:strCache>
                <c:ptCount val="1"/>
                <c:pt idx="0">
                  <c:v>8/27/2026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'Daily Repair Rate'!$L$68:$L$77</c:f>
              <c:strCache>
                <c:ptCount val="10"/>
                <c:pt idx="0">
                  <c:v>05-095</c:v>
                </c:pt>
                <c:pt idx="1">
                  <c:v>05-093 (Pipeway)</c:v>
                </c:pt>
                <c:pt idx="2">
                  <c:v>10-107JT</c:v>
                </c:pt>
                <c:pt idx="3">
                  <c:v>01-116SN (42")</c:v>
                </c:pt>
                <c:pt idx="4">
                  <c:v>01-116SN (36")</c:v>
                </c:pt>
                <c:pt idx="5">
                  <c:v>10-108 (60"X0.375")</c:v>
                </c:pt>
                <c:pt idx="6">
                  <c:v>10-108 (66"X0.375")</c:v>
                </c:pt>
                <c:pt idx="7">
                  <c:v>06-131</c:v>
                </c:pt>
                <c:pt idx="8">
                  <c:v>02-123JE</c:v>
                </c:pt>
                <c:pt idx="9">
                  <c:v>01-118</c:v>
                </c:pt>
              </c:strCache>
            </c:strRef>
          </c:cat>
          <c:val>
            <c:numRef>
              <c:f>'Daily Repair Rate'!$Q$68:$Q$77</c:f>
              <c:numCache>
                <c:formatCode>0.00%</c:formatCode>
                <c:ptCount val="10"/>
                <c:pt idx="0">
                  <c:v>4.4900000000000002E-2</c:v>
                </c:pt>
                <c:pt idx="1">
                  <c:v>7.3300000000000004E-2</c:v>
                </c:pt>
                <c:pt idx="2">
                  <c:v>2.92E-2</c:v>
                </c:pt>
                <c:pt idx="3">
                  <c:v>2.1999999999999999E-2</c:v>
                </c:pt>
                <c:pt idx="4">
                  <c:v>2.3099999999999999E-2</c:v>
                </c:pt>
                <c:pt idx="5">
                  <c:v>2.3599999999999999E-2</c:v>
                </c:pt>
                <c:pt idx="6">
                  <c:v>1.0699999999999999E-2</c:v>
                </c:pt>
                <c:pt idx="7">
                  <c:v>1.38E-2</c:v>
                </c:pt>
                <c:pt idx="8">
                  <c:v>1.2200000000000001E-2</c:v>
                </c:pt>
                <c:pt idx="9">
                  <c:v>6.7999999999999996E-3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433-43E2-A3E0-E990261577B9}"/>
            </c:ext>
          </c:extLst>
        </c:ser>
        <c:ser>
          <c:idx val="5"/>
          <c:order val="5"/>
          <c:tx>
            <c:strRef>
              <c:f>'Daily Repair Rate'!$R$67</c:f>
              <c:strCache>
                <c:ptCount val="1"/>
                <c:pt idx="0">
                  <c:v>8/28/2026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'Daily Repair Rate'!$L$68:$L$77</c:f>
              <c:strCache>
                <c:ptCount val="10"/>
                <c:pt idx="0">
                  <c:v>05-095</c:v>
                </c:pt>
                <c:pt idx="1">
                  <c:v>05-093 (Pipeway)</c:v>
                </c:pt>
                <c:pt idx="2">
                  <c:v>10-107JT</c:v>
                </c:pt>
                <c:pt idx="3">
                  <c:v>01-116SN (42")</c:v>
                </c:pt>
                <c:pt idx="4">
                  <c:v>01-116SN (36")</c:v>
                </c:pt>
                <c:pt idx="5">
                  <c:v>10-108 (60"X0.375")</c:v>
                </c:pt>
                <c:pt idx="6">
                  <c:v>10-108 (66"X0.375")</c:v>
                </c:pt>
                <c:pt idx="7">
                  <c:v>06-131</c:v>
                </c:pt>
                <c:pt idx="8">
                  <c:v>02-123JE</c:v>
                </c:pt>
                <c:pt idx="9">
                  <c:v>01-118</c:v>
                </c:pt>
              </c:strCache>
            </c:strRef>
          </c:cat>
          <c:val>
            <c:numRef>
              <c:f>'Daily Repair Rate'!$R$68:$R$77</c:f>
              <c:numCache>
                <c:formatCode>0.00%</c:formatCode>
                <c:ptCount val="10"/>
                <c:pt idx="0">
                  <c:v>4.4900000000000002E-2</c:v>
                </c:pt>
                <c:pt idx="1">
                  <c:v>7.3300000000000004E-2</c:v>
                </c:pt>
                <c:pt idx="2">
                  <c:v>2.92E-2</c:v>
                </c:pt>
                <c:pt idx="3">
                  <c:v>2.1999999999999999E-2</c:v>
                </c:pt>
                <c:pt idx="4">
                  <c:v>2.3099999999999999E-2</c:v>
                </c:pt>
                <c:pt idx="5">
                  <c:v>2.3599999999999999E-2</c:v>
                </c:pt>
                <c:pt idx="6">
                  <c:v>1.0699999999999999E-2</c:v>
                </c:pt>
                <c:pt idx="7">
                  <c:v>1.38E-2</c:v>
                </c:pt>
                <c:pt idx="8">
                  <c:v>1.2699999999999999E-2</c:v>
                </c:pt>
                <c:pt idx="9">
                  <c:v>6.7000000000000002E-3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433-43E2-A3E0-E990261577B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71834847"/>
        <c:axId val="1971826687"/>
      </c:barChart>
      <c:catAx>
        <c:axId val="19718348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971826687"/>
        <c:crosses val="autoZero"/>
        <c:auto val="1"/>
        <c:lblAlgn val="ctr"/>
        <c:lblOffset val="100"/>
        <c:noMultiLvlLbl val="0"/>
      </c:catAx>
      <c:valAx>
        <c:axId val="197182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971834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1322152491839644E-2"/>
          <c:y val="1.0127941686966768E-2"/>
          <c:w val="0.3799548653432383"/>
          <c:h val="6.87588447395445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1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058808972850306E-2"/>
          <c:y val="4.4434037255294455E-2"/>
          <c:w val="0.93593082077649936"/>
          <c:h val="0.6805637471989681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'Daily Chart'!$F$2</c:f>
              <c:strCache>
                <c:ptCount val="1"/>
                <c:pt idx="0">
                  <c:v>11.18.2025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'Daily Chart'!$A$5:$A$11</c:f>
              <c:strCache>
                <c:ptCount val="7"/>
                <c:pt idx="0">
                  <c:v>2025Q-05-093 ( Land Accessway)</c:v>
                </c:pt>
                <c:pt idx="1">
                  <c:v>2025Q-05-095(P. 1&amp;2)</c:v>
                </c:pt>
                <c:pt idx="2">
                  <c:v>2025Q-06-097</c:v>
                </c:pt>
                <c:pt idx="3">
                  <c:v>2025Q-05-093(Ø54)</c:v>
                </c:pt>
                <c:pt idx="4">
                  <c:v>2025Q-05-092(Ø60")</c:v>
                </c:pt>
                <c:pt idx="5">
                  <c:v>2025Q-05-093</c:v>
                </c:pt>
                <c:pt idx="6">
                  <c:v>Overall                                                                                   Including  Completed  Projects</c:v>
                </c:pt>
              </c:strCache>
            </c:strRef>
          </c:cat>
          <c:val>
            <c:numRef>
              <c:f>'Daily Chart'!$F$5:$F$11</c:f>
              <c:numCache>
                <c:formatCode>0.00%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CB-416E-BAE4-F3E2767DBACE}"/>
            </c:ext>
          </c:extLst>
        </c:ser>
        <c:ser>
          <c:idx val="2"/>
          <c:order val="1"/>
          <c:tx>
            <c:strRef>
              <c:f>'Daily Chart'!$G$2</c:f>
              <c:strCache>
                <c:ptCount val="1"/>
                <c:pt idx="0">
                  <c:v>11.19.2025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'Daily Chart'!$A$5:$A$11</c:f>
              <c:strCache>
                <c:ptCount val="7"/>
                <c:pt idx="0">
                  <c:v>2025Q-05-093 ( Land Accessway)</c:v>
                </c:pt>
                <c:pt idx="1">
                  <c:v>2025Q-05-095(P. 1&amp;2)</c:v>
                </c:pt>
                <c:pt idx="2">
                  <c:v>2025Q-06-097</c:v>
                </c:pt>
                <c:pt idx="3">
                  <c:v>2025Q-05-093(Ø54)</c:v>
                </c:pt>
                <c:pt idx="4">
                  <c:v>2025Q-05-092(Ø60")</c:v>
                </c:pt>
                <c:pt idx="5">
                  <c:v>2025Q-05-093</c:v>
                </c:pt>
                <c:pt idx="6">
                  <c:v>Overall                                                                                   Including  Completed  Projects</c:v>
                </c:pt>
              </c:strCache>
            </c:strRef>
          </c:cat>
          <c:val>
            <c:numRef>
              <c:f>'Daily Chart'!$G$5:$G$11</c:f>
              <c:numCache>
                <c:formatCode>0.00%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CB-416E-BAE4-F3E2767DBACE}"/>
            </c:ext>
          </c:extLst>
        </c:ser>
        <c:ser>
          <c:idx val="3"/>
          <c:order val="2"/>
          <c:tx>
            <c:strRef>
              <c:f>'Daily Chart'!$H$2</c:f>
              <c:strCache>
                <c:ptCount val="1"/>
                <c:pt idx="0">
                  <c:v>11.20.2025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'Daily Chart'!$A$5:$A$11</c:f>
              <c:strCache>
                <c:ptCount val="7"/>
                <c:pt idx="0">
                  <c:v>2025Q-05-093 ( Land Accessway)</c:v>
                </c:pt>
                <c:pt idx="1">
                  <c:v>2025Q-05-095(P. 1&amp;2)</c:v>
                </c:pt>
                <c:pt idx="2">
                  <c:v>2025Q-06-097</c:v>
                </c:pt>
                <c:pt idx="3">
                  <c:v>2025Q-05-093(Ø54)</c:v>
                </c:pt>
                <c:pt idx="4">
                  <c:v>2025Q-05-092(Ø60")</c:v>
                </c:pt>
                <c:pt idx="5">
                  <c:v>2025Q-05-093</c:v>
                </c:pt>
                <c:pt idx="6">
                  <c:v>Overall                                                                                   Including  Completed  Projects</c:v>
                </c:pt>
              </c:strCache>
            </c:strRef>
          </c:cat>
          <c:val>
            <c:numRef>
              <c:f>'Daily Chart'!$H$5:$H$11</c:f>
              <c:numCache>
                <c:formatCode>0.00%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CB-416E-BAE4-F3E2767DBACE}"/>
            </c:ext>
          </c:extLst>
        </c:ser>
        <c:ser>
          <c:idx val="4"/>
          <c:order val="3"/>
          <c:tx>
            <c:strRef>
              <c:f>'Daily Chart'!$I$2</c:f>
              <c:strCache>
                <c:ptCount val="1"/>
                <c:pt idx="0">
                  <c:v>11.21.2025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'Daily Chart'!$A$5:$A$11</c:f>
              <c:strCache>
                <c:ptCount val="7"/>
                <c:pt idx="0">
                  <c:v>2025Q-05-093 ( Land Accessway)</c:v>
                </c:pt>
                <c:pt idx="1">
                  <c:v>2025Q-05-095(P. 1&amp;2)</c:v>
                </c:pt>
                <c:pt idx="2">
                  <c:v>2025Q-06-097</c:v>
                </c:pt>
                <c:pt idx="3">
                  <c:v>2025Q-05-093(Ø54)</c:v>
                </c:pt>
                <c:pt idx="4">
                  <c:v>2025Q-05-092(Ø60")</c:v>
                </c:pt>
                <c:pt idx="5">
                  <c:v>2025Q-05-093</c:v>
                </c:pt>
                <c:pt idx="6">
                  <c:v>Overall                                                                                   Including  Completed  Projects</c:v>
                </c:pt>
              </c:strCache>
            </c:strRef>
          </c:cat>
          <c:val>
            <c:numRef>
              <c:f>'Daily Chart'!$I$5:$I$11</c:f>
              <c:numCache>
                <c:formatCode>0.00%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ECB-416E-BAE4-F3E2767DBACE}"/>
            </c:ext>
          </c:extLst>
        </c:ser>
        <c:ser>
          <c:idx val="0"/>
          <c:order val="4"/>
          <c:tx>
            <c:strRef>
              <c:f>'Daily Chart'!$J$2</c:f>
              <c:strCache>
                <c:ptCount val="1"/>
                <c:pt idx="0">
                  <c:v>11.22.2025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'Daily Chart'!$A$5:$A$11</c:f>
              <c:strCache>
                <c:ptCount val="7"/>
                <c:pt idx="0">
                  <c:v>2025Q-05-093 ( Land Accessway)</c:v>
                </c:pt>
                <c:pt idx="1">
                  <c:v>2025Q-05-095(P. 1&amp;2)</c:v>
                </c:pt>
                <c:pt idx="2">
                  <c:v>2025Q-06-097</c:v>
                </c:pt>
                <c:pt idx="3">
                  <c:v>2025Q-05-093(Ø54)</c:v>
                </c:pt>
                <c:pt idx="4">
                  <c:v>2025Q-05-092(Ø60")</c:v>
                </c:pt>
                <c:pt idx="5">
                  <c:v>2025Q-05-093</c:v>
                </c:pt>
                <c:pt idx="6">
                  <c:v>Overall                                                                                   Including  Completed  Projects</c:v>
                </c:pt>
              </c:strCache>
            </c:strRef>
          </c:cat>
          <c:val>
            <c:numRef>
              <c:f>'Daily Chart'!$J$5:$J$11</c:f>
              <c:numCache>
                <c:formatCode>0.00%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ECB-416E-BAE4-F3E2767DBACE}"/>
            </c:ext>
          </c:extLst>
        </c:ser>
        <c:ser>
          <c:idx val="5"/>
          <c:order val="5"/>
          <c:tx>
            <c:strRef>
              <c:f>'Daily Chart'!$K$2</c:f>
              <c:strCache>
                <c:ptCount val="1"/>
                <c:pt idx="0">
                  <c:v>11.24.2025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'Daily Chart'!$A$5:$A$11</c:f>
              <c:strCache>
                <c:ptCount val="7"/>
                <c:pt idx="0">
                  <c:v>2025Q-05-093 ( Land Accessway)</c:v>
                </c:pt>
                <c:pt idx="1">
                  <c:v>2025Q-05-095(P. 1&amp;2)</c:v>
                </c:pt>
                <c:pt idx="2">
                  <c:v>2025Q-06-097</c:v>
                </c:pt>
                <c:pt idx="3">
                  <c:v>2025Q-05-093(Ø54)</c:v>
                </c:pt>
                <c:pt idx="4">
                  <c:v>2025Q-05-092(Ø60")</c:v>
                </c:pt>
                <c:pt idx="5">
                  <c:v>2025Q-05-093</c:v>
                </c:pt>
                <c:pt idx="6">
                  <c:v>Overall                                                                                   Including  Completed  Projects</c:v>
                </c:pt>
              </c:strCache>
            </c:strRef>
          </c:cat>
          <c:val>
            <c:numRef>
              <c:f>'Daily Chart'!$K$5:$K$11</c:f>
              <c:numCache>
                <c:formatCode>0.00%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ECB-416E-BAE4-F3E2767DBACE}"/>
            </c:ext>
          </c:extLst>
        </c:ser>
        <c:ser>
          <c:idx val="6"/>
          <c:order val="6"/>
          <c:tx>
            <c:strRef>
              <c:f>'Daily Chart'!$L$2</c:f>
              <c:strCache>
                <c:ptCount val="1"/>
                <c:pt idx="0">
                  <c:v>11.25.2025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'Daily Chart'!$A$5:$A$11</c:f>
              <c:strCache>
                <c:ptCount val="7"/>
                <c:pt idx="0">
                  <c:v>2025Q-05-093 ( Land Accessway)</c:v>
                </c:pt>
                <c:pt idx="1">
                  <c:v>2025Q-05-095(P. 1&amp;2)</c:v>
                </c:pt>
                <c:pt idx="2">
                  <c:v>2025Q-06-097</c:v>
                </c:pt>
                <c:pt idx="3">
                  <c:v>2025Q-05-093(Ø54)</c:v>
                </c:pt>
                <c:pt idx="4">
                  <c:v>2025Q-05-092(Ø60")</c:v>
                </c:pt>
                <c:pt idx="5">
                  <c:v>2025Q-05-093</c:v>
                </c:pt>
                <c:pt idx="6">
                  <c:v>Overall                                                                                   Including  Completed  Projects</c:v>
                </c:pt>
              </c:strCache>
            </c:strRef>
          </c:cat>
          <c:val>
            <c:numRef>
              <c:f>'Daily Chart'!$L$5:$L$11</c:f>
              <c:numCache>
                <c:formatCode>0.00%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ECB-416E-BAE4-F3E2767DBAC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04934384"/>
        <c:axId val="1258172255"/>
      </c:barChart>
      <c:catAx>
        <c:axId val="100493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172255"/>
        <c:crosses val="autoZero"/>
        <c:auto val="1"/>
        <c:lblAlgn val="ctr"/>
        <c:lblOffset val="100"/>
        <c:noMultiLvlLbl val="0"/>
      </c:catAx>
      <c:valAx>
        <c:axId val="1258172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93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337810739146735E-2"/>
          <c:y val="0.10996263677538219"/>
          <c:w val="0.90757503733195821"/>
          <c:h val="0.663788653038085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'Daily Chart'!$B$12</c:f>
              <c:strCache>
                <c:ptCount val="1"/>
                <c:pt idx="0">
                  <c:v>Repair Ratio (%)</c:v>
                </c:pt>
              </c:strCache>
            </c:strRef>
          </c:tx>
          <c:spPr>
            <a:solidFill>
              <a:srgbClr val="00CC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'Daily Chart'!$A$44:$A$90</c:f>
              <c:strCache>
                <c:ptCount val="47"/>
                <c:pt idx="0">
                  <c:v>2024 Proj. Avg</c:v>
                </c:pt>
                <c:pt idx="1">
                  <c:v>01-075</c:v>
                </c:pt>
                <c:pt idx="2">
                  <c:v>01-076</c:v>
                </c:pt>
                <c:pt idx="3">
                  <c:v>01-077</c:v>
                </c:pt>
                <c:pt idx="4">
                  <c:v>01-078 + 080</c:v>
                </c:pt>
                <c:pt idx="5">
                  <c:v>02-083</c:v>
                </c:pt>
                <c:pt idx="6">
                  <c:v>02-081</c:v>
                </c:pt>
                <c:pt idx="7">
                  <c:v>02-082</c:v>
                </c:pt>
                <c:pt idx="8">
                  <c:v>02-084</c:v>
                </c:pt>
                <c:pt idx="9">
                  <c:v>02-052d</c:v>
                </c:pt>
                <c:pt idx="10">
                  <c:v>12-073b</c:v>
                </c:pt>
                <c:pt idx="11">
                  <c:v>12-073a</c:v>
                </c:pt>
                <c:pt idx="12">
                  <c:v>12-074a</c:v>
                </c:pt>
                <c:pt idx="13">
                  <c:v>12-074b</c:v>
                </c:pt>
                <c:pt idx="14">
                  <c:v>12-074c</c:v>
                </c:pt>
                <c:pt idx="15">
                  <c:v>12-074d/e</c:v>
                </c:pt>
                <c:pt idx="16">
                  <c:v>03-087</c:v>
                </c:pt>
                <c:pt idx="17">
                  <c:v>03-085a</c:v>
                </c:pt>
                <c:pt idx="18">
                  <c:v>03-085b</c:v>
                </c:pt>
                <c:pt idx="19">
                  <c:v>04-091</c:v>
                </c:pt>
                <c:pt idx="20">
                  <c:v>04-088</c:v>
                </c:pt>
                <c:pt idx="21">
                  <c:v>05-096</c:v>
                </c:pt>
                <c:pt idx="22">
                  <c:v>04-090</c:v>
                </c:pt>
                <c:pt idx="23">
                  <c:v>04-089</c:v>
                </c:pt>
                <c:pt idx="24">
                  <c:v>09-068a</c:v>
                </c:pt>
                <c:pt idx="25">
                  <c:v>12-074a Addition</c:v>
                </c:pt>
                <c:pt idx="26">
                  <c:v>03-086</c:v>
                </c:pt>
                <c:pt idx="27">
                  <c:v>06-100</c:v>
                </c:pt>
                <c:pt idx="28">
                  <c:v>07-063c</c:v>
                </c:pt>
                <c:pt idx="29">
                  <c:v>04-091b</c:v>
                </c:pt>
                <c:pt idx="30">
                  <c:v>09-068</c:v>
                </c:pt>
                <c:pt idx="31">
                  <c:v>04-090b</c:v>
                </c:pt>
                <c:pt idx="32">
                  <c:v>05-094a</c:v>
                </c:pt>
                <c:pt idx="33">
                  <c:v>04-2q-8004(36'')</c:v>
                </c:pt>
                <c:pt idx="34">
                  <c:v>04-2Q-8004(Ø48)</c:v>
                </c:pt>
                <c:pt idx="35">
                  <c:v>05-094b</c:v>
                </c:pt>
                <c:pt idx="36">
                  <c:v>06-102</c:v>
                </c:pt>
                <c:pt idx="37">
                  <c:v>06-101</c:v>
                </c:pt>
                <c:pt idx="38">
                  <c:v>09-068 (Ø30)</c:v>
                </c:pt>
                <c:pt idx="39">
                  <c:v>07-063a</c:v>
                </c:pt>
                <c:pt idx="40">
                  <c:v>04-2Q-8004 (2025Q-01-79c) </c:v>
                </c:pt>
                <c:pt idx="41">
                  <c:v>07-063b</c:v>
                </c:pt>
                <c:pt idx="42">
                  <c:v>09-068</c:v>
                </c:pt>
                <c:pt idx="43">
                  <c:v>09-104</c:v>
                </c:pt>
                <c:pt idx="44">
                  <c:v>06-099b</c:v>
                </c:pt>
                <c:pt idx="45">
                  <c:v>06-099a</c:v>
                </c:pt>
                <c:pt idx="46">
                  <c:v>05-092</c:v>
                </c:pt>
              </c:strCache>
            </c:strRef>
          </c:cat>
          <c:val>
            <c:numRef>
              <c:f>'Daily Chart'!$B$44:$B$90</c:f>
              <c:numCache>
                <c:formatCode>0.00%</c:formatCode>
                <c:ptCount val="47"/>
                <c:pt idx="0">
                  <c:v>3.27E-2</c:v>
                </c:pt>
                <c:pt idx="1">
                  <c:v>8.8000000000000005E-3</c:v>
                </c:pt>
                <c:pt idx="2">
                  <c:v>3.1400000000000004E-2</c:v>
                </c:pt>
                <c:pt idx="3">
                  <c:v>0.12740000000000001</c:v>
                </c:pt>
                <c:pt idx="4">
                  <c:v>8.1099999999999992E-2</c:v>
                </c:pt>
                <c:pt idx="5">
                  <c:v>1.3000000000000001E-2</c:v>
                </c:pt>
                <c:pt idx="6">
                  <c:v>1.06E-2</c:v>
                </c:pt>
                <c:pt idx="7">
                  <c:v>1.78E-2</c:v>
                </c:pt>
                <c:pt idx="8">
                  <c:v>1.0800000000000001E-2</c:v>
                </c:pt>
                <c:pt idx="9">
                  <c:v>1.49E-2</c:v>
                </c:pt>
                <c:pt idx="10">
                  <c:v>1.5600000000000001E-2</c:v>
                </c:pt>
                <c:pt idx="11">
                  <c:v>7.4999999999999997E-3</c:v>
                </c:pt>
                <c:pt idx="12">
                  <c:v>9.01E-2</c:v>
                </c:pt>
                <c:pt idx="13">
                  <c:v>1.5599999999999999E-2</c:v>
                </c:pt>
                <c:pt idx="14">
                  <c:v>3.4599999999999999E-2</c:v>
                </c:pt>
                <c:pt idx="15">
                  <c:v>1.89E-2</c:v>
                </c:pt>
                <c:pt idx="16">
                  <c:v>4.2000000000000003E-2</c:v>
                </c:pt>
                <c:pt idx="17">
                  <c:v>2.2499999999999999E-2</c:v>
                </c:pt>
                <c:pt idx="18">
                  <c:v>7.5399999999999995E-2</c:v>
                </c:pt>
                <c:pt idx="19">
                  <c:v>5.8999999999999999E-3</c:v>
                </c:pt>
                <c:pt idx="20">
                  <c:v>4.36E-2</c:v>
                </c:pt>
                <c:pt idx="21">
                  <c:v>9.9700000000000011E-2</c:v>
                </c:pt>
                <c:pt idx="22">
                  <c:v>2.3099999999999999E-2</c:v>
                </c:pt>
                <c:pt idx="23">
                  <c:v>1.2699999999999999E-2</c:v>
                </c:pt>
                <c:pt idx="24">
                  <c:v>0.17379999999999998</c:v>
                </c:pt>
                <c:pt idx="25">
                  <c:v>8.5800000000000001E-2</c:v>
                </c:pt>
                <c:pt idx="26">
                  <c:v>1.1200000000000002E-2</c:v>
                </c:pt>
                <c:pt idx="27">
                  <c:v>1.32E-2</c:v>
                </c:pt>
                <c:pt idx="28">
                  <c:v>1.11E-2</c:v>
                </c:pt>
                <c:pt idx="29">
                  <c:v>3.4200000000000001E-2</c:v>
                </c:pt>
                <c:pt idx="30">
                  <c:v>3.15E-2</c:v>
                </c:pt>
                <c:pt idx="31">
                  <c:v>5.3499999999999999E-2</c:v>
                </c:pt>
                <c:pt idx="32">
                  <c:v>5.7300000000000004E-2</c:v>
                </c:pt>
                <c:pt idx="33">
                  <c:v>6.0000000000000001E-3</c:v>
                </c:pt>
                <c:pt idx="34">
                  <c:v>0.13150000000000001</c:v>
                </c:pt>
                <c:pt idx="35">
                  <c:v>2.9700000000000001E-2</c:v>
                </c:pt>
                <c:pt idx="36">
                  <c:v>3.85E-2</c:v>
                </c:pt>
                <c:pt idx="37">
                  <c:v>6.3899999999999998E-2</c:v>
                </c:pt>
                <c:pt idx="38">
                  <c:v>7.9399999999999998E-2</c:v>
                </c:pt>
                <c:pt idx="39">
                  <c:v>1.1299999999999999E-2</c:v>
                </c:pt>
                <c:pt idx="40">
                  <c:v>7.5899999999999995E-2</c:v>
                </c:pt>
                <c:pt idx="41">
                  <c:v>1.9400000000000001E-2</c:v>
                </c:pt>
                <c:pt idx="42">
                  <c:v>2.9100000000000001E-2</c:v>
                </c:pt>
                <c:pt idx="43">
                  <c:v>6.6E-3</c:v>
                </c:pt>
                <c:pt idx="44">
                  <c:v>4.7300000000000002E-2</c:v>
                </c:pt>
                <c:pt idx="45">
                  <c:v>5.96E-2</c:v>
                </c:pt>
                <c:pt idx="46">
                  <c:v>5.0599999999999999E-2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45-4CF0-A0D1-4EF938A2470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80216623"/>
        <c:axId val="1180217103"/>
      </c:barChart>
      <c:catAx>
        <c:axId val="11802166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180217103"/>
        <c:crosses val="autoZero"/>
        <c:auto val="1"/>
        <c:lblAlgn val="ctr"/>
        <c:lblOffset val="100"/>
        <c:noMultiLvlLbl val="0"/>
      </c:catAx>
      <c:valAx>
        <c:axId val="118021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180216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7" Type="http://schemas.openxmlformats.org/officeDocument/2006/relationships/chart" Target="../charts/chart2.xml"/><Relationship Id="rId2" Type="http://schemas.openxmlformats.org/officeDocument/2006/relationships/image" Target="cid:image001.jpg@01D853D0.40179560" TargetMode="External"/><Relationship Id="rId1" Type="http://schemas.openxmlformats.org/officeDocument/2006/relationships/image" Target="../media/image4.jpeg"/><Relationship Id="rId6" Type="http://schemas.openxmlformats.org/officeDocument/2006/relationships/chart" Target="../charts/chart1.xml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7" Type="http://schemas.openxmlformats.org/officeDocument/2006/relationships/chart" Target="../charts/chart4.xml"/><Relationship Id="rId2" Type="http://schemas.openxmlformats.org/officeDocument/2006/relationships/image" Target="cid:image001.jpg@01D853D0.40179560" TargetMode="External"/><Relationship Id="rId1" Type="http://schemas.openxmlformats.org/officeDocument/2006/relationships/image" Target="../media/image8.jpeg"/><Relationship Id="rId6" Type="http://schemas.openxmlformats.org/officeDocument/2006/relationships/chart" Target="../charts/chart3.xml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2" Type="http://schemas.microsoft.com/office/2007/relationships/hdphoto" Target="../media/hdphoto2.wdp"/><Relationship Id="rId1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2" Type="http://schemas.microsoft.com/office/2007/relationships/hdphoto" Target="../media/hdphoto2.wdp"/><Relationship Id="rId1" Type="http://schemas.openxmlformats.org/officeDocument/2006/relationships/image" Target="../media/image10.png"/></Relationships>
</file>

<file path=xl/drawings/_rels/drawing8.xml.rels><?xml version="1.0" encoding="UTF-8" standalone="yes"?>
<Relationships xmlns="http://schemas.openxmlformats.org/package/2006/relationships"><Relationship Id="rId2" Type="http://schemas.microsoft.com/office/2007/relationships/hdphoto" Target="../media/hdphoto2.wdp"/><Relationship Id="rId1" Type="http://schemas.openxmlformats.org/officeDocument/2006/relationships/image" Target="../media/image10.png"/></Relationships>
</file>

<file path=xl/drawings/_rels/drawing9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9.png"/></Relationships>
</file>

<file path=xl/drawings/_rels/drawing1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9.png"/></Relationships>
</file>

<file path=xl/drawings/_rels/drawing1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9.png"/></Relationships>
</file>

<file path=xl/drawings/_rels/drawing13.xml.rels><?xml version="1.0" encoding="UTF-8" standalone="yes"?>
<Relationships xmlns="http://schemas.openxmlformats.org/package/2006/relationships"><Relationship Id="rId2" Type="http://schemas.microsoft.com/office/2007/relationships/hdphoto" Target="../media/hdphoto2.wdp"/><Relationship Id="rId1" Type="http://schemas.openxmlformats.org/officeDocument/2006/relationships/image" Target="../media/image10.png"/></Relationships>
</file>

<file path=xl/drawings/_rels/drawing14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9.png"/></Relationships>
</file>

<file path=xl/drawings/_rels/drawing15.xml.rels><?xml version="1.0" encoding="UTF-8" standalone="yes"?>
<Relationships xmlns="http://schemas.openxmlformats.org/package/2006/relationships"><Relationship Id="rId2" Type="http://schemas.microsoft.com/office/2007/relationships/hdphoto" Target="../media/hdphoto2.wdp"/><Relationship Id="rId1" Type="http://schemas.openxmlformats.org/officeDocument/2006/relationships/image" Target="../media/image10.png"/></Relationships>
</file>

<file path=xl/drawings/_rels/drawing16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9.png"/></Relationships>
</file>

<file path=xl/drawings/_rels/drawing17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9.png"/></Relationships>
</file>

<file path=xl/drawings/_rels/drawing18.xml.rels><?xml version="1.0" encoding="UTF-8" standalone="yes"?>
<Relationships xmlns="http://schemas.openxmlformats.org/package/2006/relationships"><Relationship Id="rId2" Type="http://schemas.microsoft.com/office/2007/relationships/hdphoto" Target="../media/hdphoto2.wdp"/><Relationship Id="rId1" Type="http://schemas.openxmlformats.org/officeDocument/2006/relationships/image" Target="../media/image10.png"/></Relationships>
</file>

<file path=xl/drawings/_rels/drawing19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9.png"/></Relationships>
</file>

<file path=xl/drawings/_rels/drawing20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9.png"/></Relationships>
</file>

<file path=xl/drawings/_rels/drawing2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9.png"/></Relationships>
</file>

<file path=xl/drawings/_rels/drawing22.xml.rels><?xml version="1.0" encoding="UTF-8" standalone="yes"?>
<Relationships xmlns="http://schemas.openxmlformats.org/package/2006/relationships"><Relationship Id="rId2" Type="http://schemas.microsoft.com/office/2007/relationships/hdphoto" Target="../media/hdphoto2.wdp"/><Relationship Id="rId1" Type="http://schemas.openxmlformats.org/officeDocument/2006/relationships/image" Target="../media/image10.png"/></Relationships>
</file>

<file path=xl/drawings/_rels/drawing23.xml.rels><?xml version="1.0" encoding="UTF-8" standalone="yes"?>
<Relationships xmlns="http://schemas.openxmlformats.org/package/2006/relationships"><Relationship Id="rId2" Type="http://schemas.microsoft.com/office/2007/relationships/hdphoto" Target="../media/hdphoto2.wdp"/><Relationship Id="rId1" Type="http://schemas.openxmlformats.org/officeDocument/2006/relationships/image" Target="../media/image10.png"/></Relationships>
</file>

<file path=xl/drawings/_rels/drawing24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9.png"/></Relationships>
</file>

<file path=xl/drawings/_rels/drawing25.xml.rels><?xml version="1.0" encoding="UTF-8" standalone="yes"?>
<Relationships xmlns="http://schemas.openxmlformats.org/package/2006/relationships"><Relationship Id="rId2" Type="http://schemas.microsoft.com/office/2007/relationships/hdphoto" Target="../media/hdphoto2.wdp"/><Relationship Id="rId1" Type="http://schemas.openxmlformats.org/officeDocument/2006/relationships/image" Target="../media/image10.png"/></Relationships>
</file>

<file path=xl/drawings/_rels/drawing26.xml.rels><?xml version="1.0" encoding="UTF-8" standalone="yes"?>
<Relationships xmlns="http://schemas.openxmlformats.org/package/2006/relationships"><Relationship Id="rId2" Type="http://schemas.microsoft.com/office/2007/relationships/hdphoto" Target="../media/hdphoto2.wdp"/><Relationship Id="rId1" Type="http://schemas.openxmlformats.org/officeDocument/2006/relationships/image" Target="../media/image10.png"/></Relationships>
</file>

<file path=xl/drawings/_rels/drawing27.xml.rels><?xml version="1.0" encoding="UTF-8" standalone="yes"?>
<Relationships xmlns="http://schemas.openxmlformats.org/package/2006/relationships"><Relationship Id="rId2" Type="http://schemas.microsoft.com/office/2007/relationships/hdphoto" Target="../media/hdphoto2.wdp"/><Relationship Id="rId1" Type="http://schemas.openxmlformats.org/officeDocument/2006/relationships/image" Target="../media/image10.png"/></Relationships>
</file>

<file path=xl/drawings/_rels/drawing28.xml.rels><?xml version="1.0" encoding="UTF-8" standalone="yes"?>
<Relationships xmlns="http://schemas.openxmlformats.org/package/2006/relationships"><Relationship Id="rId2" Type="http://schemas.microsoft.com/office/2007/relationships/hdphoto" Target="../media/hdphoto2.wdp"/><Relationship Id="rId1" Type="http://schemas.openxmlformats.org/officeDocument/2006/relationships/image" Target="../media/image10.png"/></Relationships>
</file>

<file path=xl/drawings/_rels/drawing29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9.png"/></Relationships>
</file>

<file path=xl/drawings/_rels/drawing30.xml.rels><?xml version="1.0" encoding="UTF-8" standalone="yes"?>
<Relationships xmlns="http://schemas.openxmlformats.org/package/2006/relationships"><Relationship Id="rId2" Type="http://schemas.microsoft.com/office/2007/relationships/hdphoto" Target="../media/hdphoto2.wdp"/><Relationship Id="rId1" Type="http://schemas.openxmlformats.org/officeDocument/2006/relationships/image" Target="../media/image10.png"/></Relationships>
</file>

<file path=xl/drawings/_rels/drawing3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9.png"/></Relationships>
</file>

<file path=xl/drawings/_rels/drawing3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9.png"/></Relationships>
</file>

<file path=xl/drawings/_rels/drawing33.xml.rels><?xml version="1.0" encoding="UTF-8" standalone="yes"?>
<Relationships xmlns="http://schemas.openxmlformats.org/package/2006/relationships"><Relationship Id="rId2" Type="http://schemas.microsoft.com/office/2007/relationships/hdphoto" Target="../media/hdphoto2.wdp"/><Relationship Id="rId1" Type="http://schemas.openxmlformats.org/officeDocument/2006/relationships/image" Target="../media/image10.png"/></Relationships>
</file>

<file path=xl/drawings/_rels/drawing34.xml.rels><?xml version="1.0" encoding="UTF-8" standalone="yes"?>
<Relationships xmlns="http://schemas.openxmlformats.org/package/2006/relationships"><Relationship Id="rId2" Type="http://schemas.microsoft.com/office/2007/relationships/hdphoto" Target="../media/hdphoto2.wdp"/><Relationship Id="rId1" Type="http://schemas.openxmlformats.org/officeDocument/2006/relationships/image" Target="../media/image10.png"/></Relationships>
</file>

<file path=xl/drawings/_rels/drawing35.xml.rels><?xml version="1.0" encoding="UTF-8" standalone="yes"?>
<Relationships xmlns="http://schemas.openxmlformats.org/package/2006/relationships"><Relationship Id="rId2" Type="http://schemas.microsoft.com/office/2007/relationships/hdphoto" Target="../media/hdphoto2.wdp"/><Relationship Id="rId1" Type="http://schemas.openxmlformats.org/officeDocument/2006/relationships/image" Target="../media/image10.png"/></Relationships>
</file>

<file path=xl/drawings/_rels/drawing36.xml.rels><?xml version="1.0" encoding="UTF-8" standalone="yes"?>
<Relationships xmlns="http://schemas.openxmlformats.org/package/2006/relationships"><Relationship Id="rId2" Type="http://schemas.microsoft.com/office/2007/relationships/hdphoto" Target="../media/hdphoto2.wdp"/><Relationship Id="rId1" Type="http://schemas.openxmlformats.org/officeDocument/2006/relationships/image" Target="../media/image10.png"/></Relationships>
</file>

<file path=xl/drawings/_rels/drawing37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9.png"/></Relationships>
</file>

<file path=xl/drawings/_rels/drawing38.xml.rels><?xml version="1.0" encoding="UTF-8" standalone="yes"?>
<Relationships xmlns="http://schemas.openxmlformats.org/package/2006/relationships"><Relationship Id="rId2" Type="http://schemas.microsoft.com/office/2007/relationships/hdphoto" Target="../media/hdphoto2.wdp"/><Relationship Id="rId1" Type="http://schemas.openxmlformats.org/officeDocument/2006/relationships/image" Target="../media/image10.png"/></Relationships>
</file>

<file path=xl/drawings/_rels/drawing39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9.png"/></Relationships>
</file>

<file path=xl/drawings/_rels/drawing40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9.png"/></Relationships>
</file>

<file path=xl/drawings/_rels/drawing41.xml.rels><?xml version="1.0" encoding="UTF-8" standalone="yes"?>
<Relationships xmlns="http://schemas.openxmlformats.org/package/2006/relationships"><Relationship Id="rId2" Type="http://schemas.microsoft.com/office/2007/relationships/hdphoto" Target="../media/hdphoto2.wdp"/><Relationship Id="rId1" Type="http://schemas.openxmlformats.org/officeDocument/2006/relationships/image" Target="../media/image10.png"/></Relationships>
</file>

<file path=xl/drawings/_rels/drawing4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9.png"/></Relationships>
</file>

<file path=xl/drawings/_rels/drawing43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9.png"/></Relationships>
</file>

<file path=xl/drawings/_rels/drawing44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9.png"/></Relationships>
</file>

<file path=xl/drawings/_rels/drawing45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9.png"/></Relationships>
</file>

<file path=xl/drawings/_rels/drawing46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9.png"/></Relationships>
</file>

<file path=xl/drawings/_rels/drawing47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9.png"/></Relationships>
</file>

<file path=xl/drawings/_rels/drawing48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9.png"/></Relationships>
</file>

<file path=xl/drawings/_rels/drawing49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9.png"/></Relationships>
</file>

<file path=xl/drawings/_rels/drawing50.xml.rels><?xml version="1.0" encoding="UTF-8" standalone="yes"?>
<Relationships xmlns="http://schemas.openxmlformats.org/package/2006/relationships"><Relationship Id="rId2" Type="http://schemas.microsoft.com/office/2007/relationships/hdphoto" Target="../media/hdphoto2.wdp"/><Relationship Id="rId1" Type="http://schemas.openxmlformats.org/officeDocument/2006/relationships/image" Target="../media/image10.png"/></Relationships>
</file>

<file path=xl/drawings/_rels/drawing51.xml.rels><?xml version="1.0" encoding="UTF-8" standalone="yes"?>
<Relationships xmlns="http://schemas.openxmlformats.org/package/2006/relationships"><Relationship Id="rId2" Type="http://schemas.microsoft.com/office/2007/relationships/hdphoto" Target="../media/hdphoto2.wdp"/><Relationship Id="rId1" Type="http://schemas.openxmlformats.org/officeDocument/2006/relationships/image" Target="../media/image10.png"/></Relationships>
</file>

<file path=xl/drawings/_rels/drawing53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9.png"/></Relationships>
</file>

<file path=xl/drawings/_rels/drawing54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9.png"/></Relationships>
</file>

<file path=xl/drawings/_rels/drawing55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9.png"/></Relationships>
</file>

<file path=xl/drawings/_rels/drawing56.xml.rels><?xml version="1.0" encoding="UTF-8" standalone="yes"?>
<Relationships xmlns="http://schemas.openxmlformats.org/package/2006/relationships"><Relationship Id="rId2" Type="http://schemas.microsoft.com/office/2007/relationships/hdphoto" Target="../media/hdphoto2.wdp"/><Relationship Id="rId1" Type="http://schemas.openxmlformats.org/officeDocument/2006/relationships/image" Target="../media/image10.png"/></Relationships>
</file>

<file path=xl/drawings/_rels/drawing57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9.png"/></Relationships>
</file>

<file path=xl/drawings/_rels/drawing58.xml.rels><?xml version="1.0" encoding="UTF-8" standalone="yes"?>
<Relationships xmlns="http://schemas.openxmlformats.org/package/2006/relationships"><Relationship Id="rId2" Type="http://schemas.microsoft.com/office/2007/relationships/hdphoto" Target="../media/hdphoto2.wdp"/><Relationship Id="rId1" Type="http://schemas.openxmlformats.org/officeDocument/2006/relationships/image" Target="../media/image10.png"/></Relationships>
</file>

<file path=xl/drawings/_rels/drawing5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0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9.png"/></Relationships>
</file>

<file path=xl/drawings/_rels/drawing6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9.png"/></Relationships>
</file>

<file path=xl/drawings/_rels/drawing6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349798</xdr:colOff>
      <xdr:row>0</xdr:row>
      <xdr:rowOff>335564</xdr:rowOff>
    </xdr:from>
    <xdr:ext cx="3494287" cy="460988"/>
    <xdr:pic>
      <xdr:nvPicPr>
        <xdr:cNvPr id="2" name="Picture 1" descr="cid:image001.jpg@01D853D0.40179560">
          <a:extLst>
            <a:ext uri="{FF2B5EF4-FFF2-40B4-BE49-F238E27FC236}">
              <a16:creationId xmlns:a16="http://schemas.microsoft.com/office/drawing/2014/main" id="{FDD0C032-6E6C-4A9B-8A9D-6263494805EC}"/>
            </a:ext>
          </a:extLst>
        </xdr:cNvPr>
        <xdr:cNvPicPr/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10653" r="1568" b="40203"/>
        <a:stretch>
          <a:fillRect/>
        </a:stretch>
      </xdr:blipFill>
      <xdr:spPr bwMode="auto">
        <a:xfrm>
          <a:off x="349798" y="335564"/>
          <a:ext cx="3494287" cy="460988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5</xdr:col>
      <xdr:colOff>589708</xdr:colOff>
      <xdr:row>28</xdr:row>
      <xdr:rowOff>270137</xdr:rowOff>
    </xdr:from>
    <xdr:to>
      <xdr:col>10</xdr:col>
      <xdr:colOff>1164208</xdr:colOff>
      <xdr:row>28</xdr:row>
      <xdr:rowOff>1222049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14A49D3-A785-44F1-BEEB-844C876D30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46" b="8806"/>
        <a:stretch/>
      </xdr:blipFill>
      <xdr:spPr>
        <a:xfrm>
          <a:off x="4875958" y="25368512"/>
          <a:ext cx="9218438" cy="951912"/>
        </a:xfrm>
        <a:prstGeom prst="rect">
          <a:avLst/>
        </a:prstGeom>
      </xdr:spPr>
    </xdr:pic>
    <xdr:clientData/>
  </xdr:twoCellAnchor>
  <xdr:twoCellAnchor editAs="oneCell">
    <xdr:from>
      <xdr:col>10</xdr:col>
      <xdr:colOff>1408606</xdr:colOff>
      <xdr:row>28</xdr:row>
      <xdr:rowOff>258556</xdr:rowOff>
    </xdr:from>
    <xdr:to>
      <xdr:col>14</xdr:col>
      <xdr:colOff>1028200</xdr:colOff>
      <xdr:row>28</xdr:row>
      <xdr:rowOff>1101738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AD5F324-8E35-4986-BBD3-6D68DD3B71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44" r="881" b="7567"/>
        <a:stretch/>
      </xdr:blipFill>
      <xdr:spPr>
        <a:xfrm>
          <a:off x="14338794" y="25356931"/>
          <a:ext cx="9668469" cy="843182"/>
        </a:xfrm>
        <a:prstGeom prst="rect">
          <a:avLst/>
        </a:prstGeom>
      </xdr:spPr>
    </xdr:pic>
    <xdr:clientData/>
  </xdr:twoCellAnchor>
  <xdr:twoCellAnchor editAs="oneCell">
    <xdr:from>
      <xdr:col>13</xdr:col>
      <xdr:colOff>1166812</xdr:colOff>
      <xdr:row>28</xdr:row>
      <xdr:rowOff>263339</xdr:rowOff>
    </xdr:from>
    <xdr:to>
      <xdr:col>15</xdr:col>
      <xdr:colOff>1429130</xdr:colOff>
      <xdr:row>28</xdr:row>
      <xdr:rowOff>1050869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F38A00D-A7AC-4AA4-BAA1-6087885781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40" r="3410" b="10978"/>
        <a:stretch/>
      </xdr:blipFill>
      <xdr:spPr>
        <a:xfrm>
          <a:off x="21740812" y="25361714"/>
          <a:ext cx="5596318" cy="787530"/>
        </a:xfrm>
        <a:prstGeom prst="rect">
          <a:avLst/>
        </a:prstGeom>
      </xdr:spPr>
    </xdr:pic>
    <xdr:clientData/>
  </xdr:twoCellAnchor>
  <xdr:twoCellAnchor>
    <xdr:from>
      <xdr:col>0</xdr:col>
      <xdr:colOff>428625</xdr:colOff>
      <xdr:row>35</xdr:row>
      <xdr:rowOff>119063</xdr:rowOff>
    </xdr:from>
    <xdr:to>
      <xdr:col>15</xdr:col>
      <xdr:colOff>2740603</xdr:colOff>
      <xdr:row>36</xdr:row>
      <xdr:rowOff>4881563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388AC680-232D-4342-96FC-8FDB82AD42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261937</xdr:colOff>
      <xdr:row>33</xdr:row>
      <xdr:rowOff>241464</xdr:rowOff>
    </xdr:from>
    <xdr:to>
      <xdr:col>15</xdr:col>
      <xdr:colOff>3214686</xdr:colOff>
      <xdr:row>34</xdr:row>
      <xdr:rowOff>3325090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0C4CD36-A7D6-629C-5397-74E6192CCD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349798</xdr:colOff>
      <xdr:row>0</xdr:row>
      <xdr:rowOff>335564</xdr:rowOff>
    </xdr:from>
    <xdr:ext cx="3494287" cy="460988"/>
    <xdr:pic>
      <xdr:nvPicPr>
        <xdr:cNvPr id="2" name="Picture 1" descr="cid:image001.jpg@01D853D0.40179560">
          <a:extLst>
            <a:ext uri="{FF2B5EF4-FFF2-40B4-BE49-F238E27FC236}">
              <a16:creationId xmlns:a16="http://schemas.microsoft.com/office/drawing/2014/main" id="{7E22B186-E4C1-4F32-988D-31A8CAF98E8D}"/>
            </a:ext>
          </a:extLst>
        </xdr:cNvPr>
        <xdr:cNvPicPr/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10653" r="1568" b="40203"/>
        <a:stretch>
          <a:fillRect/>
        </a:stretch>
      </xdr:blipFill>
      <xdr:spPr bwMode="auto">
        <a:xfrm>
          <a:off x="349798" y="335564"/>
          <a:ext cx="3494287" cy="460988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5</xdr:col>
      <xdr:colOff>589708</xdr:colOff>
      <xdr:row>41</xdr:row>
      <xdr:rowOff>270137</xdr:rowOff>
    </xdr:from>
    <xdr:to>
      <xdr:col>9</xdr:col>
      <xdr:colOff>3045396</xdr:colOff>
      <xdr:row>41</xdr:row>
      <xdr:rowOff>1222049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745780-BCC5-4FC9-BF7C-8D96A6BED9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46" b="8806"/>
        <a:stretch/>
      </xdr:blipFill>
      <xdr:spPr>
        <a:xfrm>
          <a:off x="4828333" y="25597112"/>
          <a:ext cx="9213675" cy="951912"/>
        </a:xfrm>
        <a:prstGeom prst="rect">
          <a:avLst/>
        </a:prstGeom>
      </xdr:spPr>
    </xdr:pic>
    <xdr:clientData/>
  </xdr:twoCellAnchor>
  <xdr:twoCellAnchor editAs="oneCell">
    <xdr:from>
      <xdr:col>10</xdr:col>
      <xdr:colOff>1408606</xdr:colOff>
      <xdr:row>41</xdr:row>
      <xdr:rowOff>258556</xdr:rowOff>
    </xdr:from>
    <xdr:to>
      <xdr:col>13</xdr:col>
      <xdr:colOff>170950</xdr:colOff>
      <xdr:row>41</xdr:row>
      <xdr:rowOff>1101738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17A5527-E73A-4CF2-9C7E-C7797F4E3D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44" r="881" b="7567"/>
        <a:stretch/>
      </xdr:blipFill>
      <xdr:spPr>
        <a:xfrm>
          <a:off x="14286406" y="25585531"/>
          <a:ext cx="9687519" cy="843182"/>
        </a:xfrm>
        <a:prstGeom prst="rect">
          <a:avLst/>
        </a:prstGeom>
      </xdr:spPr>
    </xdr:pic>
    <xdr:clientData/>
  </xdr:twoCellAnchor>
  <xdr:twoCellAnchor editAs="oneCell">
    <xdr:from>
      <xdr:col>13</xdr:col>
      <xdr:colOff>1166812</xdr:colOff>
      <xdr:row>41</xdr:row>
      <xdr:rowOff>263339</xdr:rowOff>
    </xdr:from>
    <xdr:to>
      <xdr:col>15</xdr:col>
      <xdr:colOff>214692</xdr:colOff>
      <xdr:row>41</xdr:row>
      <xdr:rowOff>1050869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F5782BB-0110-4A69-8A50-C367086272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40" r="3410" b="10978"/>
        <a:stretch/>
      </xdr:blipFill>
      <xdr:spPr>
        <a:xfrm>
          <a:off x="21702712" y="25590314"/>
          <a:ext cx="5596318" cy="787530"/>
        </a:xfrm>
        <a:prstGeom prst="rect">
          <a:avLst/>
        </a:prstGeom>
      </xdr:spPr>
    </xdr:pic>
    <xdr:clientData/>
  </xdr:twoCellAnchor>
  <xdr:twoCellAnchor>
    <xdr:from>
      <xdr:col>0</xdr:col>
      <xdr:colOff>428625</xdr:colOff>
      <xdr:row>52</xdr:row>
      <xdr:rowOff>119063</xdr:rowOff>
    </xdr:from>
    <xdr:to>
      <xdr:col>15</xdr:col>
      <xdr:colOff>2740603</xdr:colOff>
      <xdr:row>53</xdr:row>
      <xdr:rowOff>4881563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B96F5E7-3E2A-49F8-926E-28294229B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381000</xdr:colOff>
      <xdr:row>50</xdr:row>
      <xdr:rowOff>95250</xdr:rowOff>
    </xdr:from>
    <xdr:to>
      <xdr:col>15</xdr:col>
      <xdr:colOff>3333749</xdr:colOff>
      <xdr:row>51</xdr:row>
      <xdr:rowOff>3325090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23A1026-8B26-403F-94D6-BB20C8E2EB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528944</xdr:rowOff>
    </xdr:from>
    <xdr:ext cx="32423100" cy="2671456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875AB9B-1BC9-45A3-B76E-DDC6A460FA44}"/>
            </a:ext>
          </a:extLst>
        </xdr:cNvPr>
        <xdr:cNvSpPr/>
      </xdr:nvSpPr>
      <xdr:spPr>
        <a:xfrm>
          <a:off x="0" y="528944"/>
          <a:ext cx="32423100" cy="2671456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11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05-095 Priority #2</a:t>
          </a:r>
          <a:r>
            <a:rPr lang="en-US" sz="110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FFFF0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11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- Ø 72 " x 1 " </a:t>
          </a:r>
        </a:p>
        <a:p>
          <a:pPr algn="ctr"/>
          <a:r>
            <a:rPr lang="en-US" sz="11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190 Pipes (P#103</a:t>
          </a:r>
          <a:r>
            <a:rPr lang="en-US" sz="110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... 292)</a:t>
          </a:r>
          <a:r>
            <a:rPr lang="en-US" sz="11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</xdr:txBody>
    </xdr:sp>
    <xdr:clientData/>
  </xdr:oneCellAnchor>
  <xdr:oneCellAnchor>
    <xdr:from>
      <xdr:col>85</xdr:col>
      <xdr:colOff>547687</xdr:colOff>
      <xdr:row>41</xdr:row>
      <xdr:rowOff>380999</xdr:rowOff>
    </xdr:from>
    <xdr:ext cx="7868949" cy="76074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04E9A2D-8AA4-4B8F-8730-33B40485968C}"/>
            </a:ext>
          </a:extLst>
        </xdr:cNvPr>
        <xdr:cNvSpPr/>
      </xdr:nvSpPr>
      <xdr:spPr>
        <a:xfrm flipV="1">
          <a:off x="40743187" y="14782799"/>
          <a:ext cx="7868949" cy="76074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rgbClr val="CCFFCC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0</xdr:colOff>
      <xdr:row>99</xdr:row>
      <xdr:rowOff>119991</xdr:rowOff>
    </xdr:from>
    <xdr:ext cx="2424545" cy="734288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5751B01-C011-4316-8372-DA4E86007ADA}"/>
            </a:ext>
          </a:extLst>
        </xdr:cNvPr>
        <xdr:cNvSpPr/>
      </xdr:nvSpPr>
      <xdr:spPr>
        <a:xfrm>
          <a:off x="0" y="35552991"/>
          <a:ext cx="2424545" cy="734288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0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0</xdr:colOff>
      <xdr:row>102</xdr:row>
      <xdr:rowOff>64328</xdr:rowOff>
    </xdr:from>
    <xdr:ext cx="2459182" cy="680357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BA2529C-93F4-48FC-9064-672B3A1A7AA7}"/>
            </a:ext>
          </a:extLst>
        </xdr:cNvPr>
        <xdr:cNvSpPr/>
      </xdr:nvSpPr>
      <xdr:spPr>
        <a:xfrm>
          <a:off x="0" y="36554603"/>
          <a:ext cx="2459182" cy="680357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twoCellAnchor>
    <xdr:from>
      <xdr:col>23</xdr:col>
      <xdr:colOff>23510</xdr:colOff>
      <xdr:row>99</xdr:row>
      <xdr:rowOff>3710</xdr:rowOff>
    </xdr:from>
    <xdr:to>
      <xdr:col>24</xdr:col>
      <xdr:colOff>145972</xdr:colOff>
      <xdr:row>108</xdr:row>
      <xdr:rowOff>259772</xdr:rowOff>
    </xdr:to>
    <xdr:sp macro="" textlink="">
      <xdr:nvSpPr>
        <xdr:cNvPr id="6" name="Left Bracket 5">
          <a:extLst>
            <a:ext uri="{FF2B5EF4-FFF2-40B4-BE49-F238E27FC236}">
              <a16:creationId xmlns:a16="http://schemas.microsoft.com/office/drawing/2014/main" id="{77720443-48A4-41EF-BB21-030D270AA457}"/>
            </a:ext>
          </a:extLst>
        </xdr:cNvPr>
        <xdr:cNvSpPr/>
      </xdr:nvSpPr>
      <xdr:spPr>
        <a:xfrm rot="10800000" flipH="1">
          <a:off x="9367535" y="35436710"/>
          <a:ext cx="493937" cy="3323112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58</xdr:col>
      <xdr:colOff>33399</xdr:colOff>
      <xdr:row>100</xdr:row>
      <xdr:rowOff>56036</xdr:rowOff>
    </xdr:from>
    <xdr:to>
      <xdr:col>58</xdr:col>
      <xdr:colOff>49599</xdr:colOff>
      <xdr:row>108</xdr:row>
      <xdr:rowOff>122464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3CE7624F-9E2C-4C75-ACC4-C5CE6C5BB9FD}"/>
            </a:ext>
          </a:extLst>
        </xdr:cNvPr>
        <xdr:cNvCxnSpPr/>
      </xdr:nvCxnSpPr>
      <xdr:spPr>
        <a:xfrm flipH="1">
          <a:off x="23560149" y="35917661"/>
          <a:ext cx="16200" cy="2704853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71436</xdr:colOff>
      <xdr:row>98</xdr:row>
      <xdr:rowOff>1238250</xdr:rowOff>
    </xdr:from>
    <xdr:to>
      <xdr:col>22</xdr:col>
      <xdr:colOff>95248</xdr:colOff>
      <xdr:row>108</xdr:row>
      <xdr:rowOff>254001</xdr:rowOff>
    </xdr:to>
    <xdr:sp macro="" textlink="$BW$131">
      <xdr:nvSpPr>
        <xdr:cNvPr id="8" name="Flowchart: Data 7">
          <a:extLst>
            <a:ext uri="{FF2B5EF4-FFF2-40B4-BE49-F238E27FC236}">
              <a16:creationId xmlns:a16="http://schemas.microsoft.com/office/drawing/2014/main" id="{AE1F38C8-6A6E-4024-9D77-6D3D7AD47B68}"/>
            </a:ext>
          </a:extLst>
        </xdr:cNvPr>
        <xdr:cNvSpPr/>
      </xdr:nvSpPr>
      <xdr:spPr>
        <a:xfrm flipH="1">
          <a:off x="4310061" y="43195875"/>
          <a:ext cx="6286500" cy="3706814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FF8181"/>
          </a:solidFill>
        </a:ln>
        <a:effectLst>
          <a:glow rad="139700">
            <a:srgbClr val="FF8181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D6729EDA-FF24-4EBA-B4BF-E3CACD3AB3B3}" type="TxLink">
            <a:rPr lang="en-US" sz="96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4.49%</a:t>
          </a:fld>
          <a:endParaRPr lang="en-US" sz="400000" b="1" i="0" u="none" strike="noStrike">
            <a:solidFill>
              <a:schemeClr val="bg1"/>
            </a:solidFill>
            <a:effectLst>
              <a:glow rad="139700">
                <a:schemeClr val="accent2">
                  <a:alpha val="40000"/>
                </a:schemeClr>
              </a:glow>
            </a:effectLst>
            <a:latin typeface="Trade Gothic Inline" panose="020B0504030203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68</xdr:col>
      <xdr:colOff>231322</xdr:colOff>
      <xdr:row>99</xdr:row>
      <xdr:rowOff>27214</xdr:rowOff>
    </xdr:from>
    <xdr:to>
      <xdr:col>69</xdr:col>
      <xdr:colOff>348834</xdr:colOff>
      <xdr:row>108</xdr:row>
      <xdr:rowOff>192973</xdr:rowOff>
    </xdr:to>
    <xdr:sp macro="" textlink="">
      <xdr:nvSpPr>
        <xdr:cNvPr id="9" name="Left Bracket 8">
          <a:extLst>
            <a:ext uri="{FF2B5EF4-FFF2-40B4-BE49-F238E27FC236}">
              <a16:creationId xmlns:a16="http://schemas.microsoft.com/office/drawing/2014/main" id="{D7C9EFE2-46B2-4F0C-A39C-8767F375D9EB}"/>
            </a:ext>
          </a:extLst>
        </xdr:cNvPr>
        <xdr:cNvSpPr/>
      </xdr:nvSpPr>
      <xdr:spPr>
        <a:xfrm flipH="1">
          <a:off x="27796672" y="35460214"/>
          <a:ext cx="488987" cy="3232809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46</xdr:col>
      <xdr:colOff>34635</xdr:colOff>
      <xdr:row>99</xdr:row>
      <xdr:rowOff>259773</xdr:rowOff>
    </xdr:from>
    <xdr:to>
      <xdr:col>46</xdr:col>
      <xdr:colOff>50835</xdr:colOff>
      <xdr:row>108</xdr:row>
      <xdr:rowOff>49110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D035E249-452D-4EFA-B65E-0A444BF5E351}"/>
            </a:ext>
          </a:extLst>
        </xdr:cNvPr>
        <xdr:cNvCxnSpPr/>
      </xdr:nvCxnSpPr>
      <xdr:spPr>
        <a:xfrm flipH="1">
          <a:off x="18522660" y="35692773"/>
          <a:ext cx="16200" cy="2856387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100</xdr:row>
      <xdr:rowOff>34637</xdr:rowOff>
    </xdr:from>
    <xdr:to>
      <xdr:col>35</xdr:col>
      <xdr:colOff>16200</xdr:colOff>
      <xdr:row>108</xdr:row>
      <xdr:rowOff>101065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1DA349ED-C673-47C6-A853-F1961174D20A}"/>
            </a:ext>
          </a:extLst>
        </xdr:cNvPr>
        <xdr:cNvCxnSpPr/>
      </xdr:nvCxnSpPr>
      <xdr:spPr>
        <a:xfrm flipH="1">
          <a:off x="14173200" y="35896262"/>
          <a:ext cx="16200" cy="2704853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47</xdr:col>
      <xdr:colOff>251114</xdr:colOff>
      <xdr:row>98</xdr:row>
      <xdr:rowOff>47626</xdr:rowOff>
    </xdr:from>
    <xdr:ext cx="10012073" cy="838197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3FC84FBF-B96A-4744-9CF6-17F3F47C2A6B}"/>
            </a:ext>
          </a:extLst>
        </xdr:cNvPr>
        <xdr:cNvSpPr/>
      </xdr:nvSpPr>
      <xdr:spPr>
        <a:xfrm>
          <a:off x="22372927" y="42005251"/>
          <a:ext cx="10012073" cy="838197"/>
        </a:xfrm>
        <a:prstGeom prst="rect">
          <a:avLst/>
        </a:prstGeom>
        <a:solidFill>
          <a:srgbClr val="FFFF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8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CUSTOMER (TOT.): 292 PCS.</a:t>
          </a:r>
          <a:endParaRPr lang="en-US" sz="48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192355</xdr:colOff>
      <xdr:row>37</xdr:row>
      <xdr:rowOff>246662</xdr:rowOff>
    </xdr:from>
    <xdr:ext cx="2651538" cy="73428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837DF84-9956-4913-AB0C-B5139FA6DCDC}"/>
            </a:ext>
          </a:extLst>
        </xdr:cNvPr>
        <xdr:cNvSpPr/>
      </xdr:nvSpPr>
      <xdr:spPr>
        <a:xfrm>
          <a:off x="192355" y="11552837"/>
          <a:ext cx="2651538" cy="734288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4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251517</xdr:colOff>
      <xdr:row>40</xdr:row>
      <xdr:rowOff>28330</xdr:rowOff>
    </xdr:from>
    <xdr:ext cx="2592377" cy="680357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2EF7440-084B-4219-AC1B-D53F4350B8F6}"/>
            </a:ext>
          </a:extLst>
        </xdr:cNvPr>
        <xdr:cNvSpPr/>
      </xdr:nvSpPr>
      <xdr:spPr>
        <a:xfrm>
          <a:off x="251517" y="12687055"/>
          <a:ext cx="2592377" cy="680357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twoCellAnchor>
    <xdr:from>
      <xdr:col>1</xdr:col>
      <xdr:colOff>162046</xdr:colOff>
      <xdr:row>41</xdr:row>
      <xdr:rowOff>714994</xdr:rowOff>
    </xdr:from>
    <xdr:to>
      <xdr:col>13</xdr:col>
      <xdr:colOff>134833</xdr:colOff>
      <xdr:row>47</xdr:row>
      <xdr:rowOff>524495</xdr:rowOff>
    </xdr:to>
    <xdr:sp macro="" textlink="$AY$56">
      <xdr:nvSpPr>
        <xdr:cNvPr id="4" name="Flowchart: Data 3">
          <a:extLst>
            <a:ext uri="{FF2B5EF4-FFF2-40B4-BE49-F238E27FC236}">
              <a16:creationId xmlns:a16="http://schemas.microsoft.com/office/drawing/2014/main" id="{0DB31C06-6E07-4F02-82D8-739CFEA40D1A}"/>
            </a:ext>
          </a:extLst>
        </xdr:cNvPr>
        <xdr:cNvSpPr/>
      </xdr:nvSpPr>
      <xdr:spPr>
        <a:xfrm flipH="1">
          <a:off x="421819" y="14084630"/>
          <a:ext cx="4995059" cy="2407229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75DBFF"/>
          </a:solidFill>
        </a:ln>
        <a:effectLst>
          <a:glow rad="101600">
            <a:schemeClr val="accent1">
              <a:satMod val="175000"/>
              <a:alpha val="40000"/>
            </a:scheme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B212A7B-1C84-46B5-B24C-32F1C99198DB}" type="TxLink">
            <a:rPr lang="en-US" sz="6600" b="1" i="0" u="none" strike="noStrike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3.66%</a:t>
          </a:fld>
          <a:endParaRPr lang="en-US" sz="400000" b="1">
            <a:solidFill>
              <a:schemeClr val="bg1"/>
            </a:solidFill>
            <a:effectLst>
              <a:glow rad="228600">
                <a:srgbClr val="75FFF2">
                  <a:alpha val="40000"/>
                </a:srgbClr>
              </a:glow>
            </a:effectLst>
            <a:latin typeface="Trade Gothic Inline" panose="020B0504030203020204" pitchFamily="34" charset="0"/>
          </a:endParaRPr>
        </a:p>
      </xdr:txBody>
    </xdr:sp>
    <xdr:clientData/>
  </xdr:twoCellAnchor>
  <xdr:twoCellAnchor>
    <xdr:from>
      <xdr:col>34</xdr:col>
      <xdr:colOff>143837</xdr:colOff>
      <xdr:row>37</xdr:row>
      <xdr:rowOff>176895</xdr:rowOff>
    </xdr:from>
    <xdr:to>
      <xdr:col>34</xdr:col>
      <xdr:colOff>143837</xdr:colOff>
      <xdr:row>47</xdr:row>
      <xdr:rowOff>489859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D040902C-17A5-46FC-8178-B82BA8DCDD49}"/>
            </a:ext>
          </a:extLst>
        </xdr:cNvPr>
        <xdr:cNvCxnSpPr/>
      </xdr:nvCxnSpPr>
      <xdr:spPr>
        <a:xfrm>
          <a:off x="13897937" y="11483070"/>
          <a:ext cx="0" cy="4961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136066</xdr:colOff>
      <xdr:row>37</xdr:row>
      <xdr:rowOff>54428</xdr:rowOff>
    </xdr:from>
    <xdr:to>
      <xdr:col>49</xdr:col>
      <xdr:colOff>163278</xdr:colOff>
      <xdr:row>47</xdr:row>
      <xdr:rowOff>683559</xdr:rowOff>
    </xdr:to>
    <xdr:sp macro="" textlink="">
      <xdr:nvSpPr>
        <xdr:cNvPr id="6" name="Left Bracket 5">
          <a:extLst>
            <a:ext uri="{FF2B5EF4-FFF2-40B4-BE49-F238E27FC236}">
              <a16:creationId xmlns:a16="http://schemas.microsoft.com/office/drawing/2014/main" id="{14DCC209-4E53-4F67-93E7-6E5DD0F93ACB}"/>
            </a:ext>
          </a:extLst>
        </xdr:cNvPr>
        <xdr:cNvSpPr/>
      </xdr:nvSpPr>
      <xdr:spPr>
        <a:xfrm flipH="1">
          <a:off x="19576591" y="11360603"/>
          <a:ext cx="398687" cy="5277331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15</xdr:col>
      <xdr:colOff>40825</xdr:colOff>
      <xdr:row>37</xdr:row>
      <xdr:rowOff>176890</xdr:rowOff>
    </xdr:from>
    <xdr:to>
      <xdr:col>16</xdr:col>
      <xdr:colOff>163287</xdr:colOff>
      <xdr:row>47</xdr:row>
      <xdr:rowOff>721177</xdr:rowOff>
    </xdr:to>
    <xdr:sp macro="" textlink="">
      <xdr:nvSpPr>
        <xdr:cNvPr id="7" name="Left Bracket 6">
          <a:extLst>
            <a:ext uri="{FF2B5EF4-FFF2-40B4-BE49-F238E27FC236}">
              <a16:creationId xmlns:a16="http://schemas.microsoft.com/office/drawing/2014/main" id="{E4BF6B95-5E3A-4CB1-8D10-D2F62D187A6A}"/>
            </a:ext>
          </a:extLst>
        </xdr:cNvPr>
        <xdr:cNvSpPr/>
      </xdr:nvSpPr>
      <xdr:spPr>
        <a:xfrm rot="10800000" flipH="1">
          <a:off x="6089200" y="11483065"/>
          <a:ext cx="398687" cy="5192487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122465</xdr:colOff>
      <xdr:row>41</xdr:row>
      <xdr:rowOff>190499</xdr:rowOff>
    </xdr:from>
    <xdr:to>
      <xdr:col>9</xdr:col>
      <xdr:colOff>122465</xdr:colOff>
      <xdr:row>41</xdr:row>
      <xdr:rowOff>217714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4048D0F1-FEF2-47EA-889F-26B828ABEA35}"/>
            </a:ext>
          </a:extLst>
        </xdr:cNvPr>
        <xdr:cNvCxnSpPr/>
      </xdr:nvCxnSpPr>
      <xdr:spPr>
        <a:xfrm flipH="1" flipV="1">
          <a:off x="122465" y="13544549"/>
          <a:ext cx="3657600" cy="27215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27214</xdr:colOff>
      <xdr:row>41</xdr:row>
      <xdr:rowOff>802821</xdr:rowOff>
    </xdr:from>
    <xdr:to>
      <xdr:col>34</xdr:col>
      <xdr:colOff>27214</xdr:colOff>
      <xdr:row>41</xdr:row>
      <xdr:rowOff>802821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F1743234-8439-4C65-8CD1-CA0961D328BE}"/>
            </a:ext>
          </a:extLst>
        </xdr:cNvPr>
        <xdr:cNvCxnSpPr/>
      </xdr:nvCxnSpPr>
      <xdr:spPr>
        <a:xfrm>
          <a:off x="9371239" y="14156871"/>
          <a:ext cx="4410075" cy="0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122464</xdr:colOff>
      <xdr:row>37</xdr:row>
      <xdr:rowOff>272143</xdr:rowOff>
    </xdr:from>
    <xdr:to>
      <xdr:col>22</xdr:col>
      <xdr:colOff>122464</xdr:colOff>
      <xdr:row>47</xdr:row>
      <xdr:rowOff>585107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783DAE-30F7-494F-8887-41AF578E0534}"/>
            </a:ext>
          </a:extLst>
        </xdr:cNvPr>
        <xdr:cNvCxnSpPr/>
      </xdr:nvCxnSpPr>
      <xdr:spPr>
        <a:xfrm>
          <a:off x="9180739" y="11578318"/>
          <a:ext cx="0" cy="4961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</xdr:col>
      <xdr:colOff>81643</xdr:colOff>
      <xdr:row>0</xdr:row>
      <xdr:rowOff>1836964</xdr:rowOff>
    </xdr:from>
    <xdr:ext cx="18703636" cy="1134555"/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35294AEF-1A3E-42FE-97EC-B6A687786DEB}"/>
            </a:ext>
          </a:extLst>
        </xdr:cNvPr>
        <xdr:cNvSpPr/>
      </xdr:nvSpPr>
      <xdr:spPr>
        <a:xfrm>
          <a:off x="348343" y="1836964"/>
          <a:ext cx="18703636" cy="1134555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72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>
                  <a:lumMod val="20000"/>
                  <a:lumOff val="8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2026Q-01-117KH PROJECT</a:t>
          </a:r>
          <a:r>
            <a:rPr lang="en-US" sz="72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>
                  <a:lumMod val="20000"/>
                  <a:lumOff val="8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chemeClr val="accent4">
                <a:lumMod val="20000"/>
                <a:lumOff val="80000"/>
              </a:schemeClr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  <a:p>
          <a:pPr algn="ctr"/>
          <a:r>
            <a:rPr lang="en-US" sz="72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00B0F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7200" b="1" u="sng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60 " x 1.25 " - 23 Pipes </a:t>
          </a:r>
        </a:p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113434</xdr:colOff>
      <xdr:row>0</xdr:row>
      <xdr:rowOff>883227</xdr:rowOff>
    </xdr:from>
    <xdr:ext cx="32423100" cy="1928812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F7D356E-7CAA-4BF5-9022-0A633AD44D96}"/>
            </a:ext>
          </a:extLst>
        </xdr:cNvPr>
        <xdr:cNvSpPr/>
      </xdr:nvSpPr>
      <xdr:spPr>
        <a:xfrm>
          <a:off x="465859" y="883227"/>
          <a:ext cx="32423100" cy="1928812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132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99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2026Q-06-131TS</a:t>
          </a:r>
          <a:r>
            <a:rPr lang="en-US" sz="132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88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92D05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42 " x 1" -</a:t>
          </a:r>
          <a:r>
            <a:rPr lang="en-US" sz="88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92D05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88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92D05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72 PIPES</a:t>
          </a:r>
        </a:p>
      </xdr:txBody>
    </xdr:sp>
    <xdr:clientData/>
  </xdr:oneCellAnchor>
  <xdr:oneCellAnchor>
    <xdr:from>
      <xdr:col>85</xdr:col>
      <xdr:colOff>547687</xdr:colOff>
      <xdr:row>41</xdr:row>
      <xdr:rowOff>380999</xdr:rowOff>
    </xdr:from>
    <xdr:ext cx="7868949" cy="76074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4BE8DFB-3258-44A5-989E-6718FE529AC3}"/>
            </a:ext>
          </a:extLst>
        </xdr:cNvPr>
        <xdr:cNvSpPr/>
      </xdr:nvSpPr>
      <xdr:spPr>
        <a:xfrm flipV="1">
          <a:off x="50506312" y="44329350"/>
          <a:ext cx="7868949" cy="76074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rgbClr val="CCFFCC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0</xdr:colOff>
      <xdr:row>123</xdr:row>
      <xdr:rowOff>119991</xdr:rowOff>
    </xdr:from>
    <xdr:ext cx="3024187" cy="1094446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50A42F5-02ED-4B53-8C31-CC55A3B1B644}"/>
            </a:ext>
          </a:extLst>
        </xdr:cNvPr>
        <xdr:cNvSpPr/>
      </xdr:nvSpPr>
      <xdr:spPr>
        <a:xfrm>
          <a:off x="0" y="45439941"/>
          <a:ext cx="3024187" cy="1094446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48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8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0</xdr:colOff>
      <xdr:row>126</xdr:row>
      <xdr:rowOff>278641</xdr:rowOff>
    </xdr:from>
    <xdr:ext cx="2928936" cy="1173921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EB9CDAA-1773-480B-BDA8-D3D04374E40D}"/>
            </a:ext>
          </a:extLst>
        </xdr:cNvPr>
        <xdr:cNvSpPr/>
      </xdr:nvSpPr>
      <xdr:spPr>
        <a:xfrm>
          <a:off x="0" y="46655866"/>
          <a:ext cx="2928936" cy="1173921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48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twoCellAnchor>
    <xdr:from>
      <xdr:col>23</xdr:col>
      <xdr:colOff>23510</xdr:colOff>
      <xdr:row>119</xdr:row>
      <xdr:rowOff>-1</xdr:rowOff>
    </xdr:from>
    <xdr:to>
      <xdr:col>23</xdr:col>
      <xdr:colOff>309562</xdr:colOff>
      <xdr:row>132</xdr:row>
      <xdr:rowOff>3381373</xdr:rowOff>
    </xdr:to>
    <xdr:sp macro="" textlink="">
      <xdr:nvSpPr>
        <xdr:cNvPr id="6" name="Left Bracket 5">
          <a:extLst>
            <a:ext uri="{FF2B5EF4-FFF2-40B4-BE49-F238E27FC236}">
              <a16:creationId xmlns:a16="http://schemas.microsoft.com/office/drawing/2014/main" id="{C7BFF6EC-3E53-40E2-B72C-C64917C40C04}"/>
            </a:ext>
          </a:extLst>
        </xdr:cNvPr>
        <xdr:cNvSpPr/>
      </xdr:nvSpPr>
      <xdr:spPr>
        <a:xfrm rot="10800000" flipH="1">
          <a:off x="12863210" y="45319950"/>
          <a:ext cx="286052" cy="6410323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8</xdr:col>
      <xdr:colOff>261931</xdr:colOff>
      <xdr:row>117</xdr:row>
      <xdr:rowOff>190496</xdr:rowOff>
    </xdr:from>
    <xdr:to>
      <xdr:col>22</xdr:col>
      <xdr:colOff>-1</xdr:colOff>
      <xdr:row>132</xdr:row>
      <xdr:rowOff>1881186</xdr:rowOff>
    </xdr:to>
    <xdr:sp macro="" textlink="$AU$153">
      <xdr:nvSpPr>
        <xdr:cNvPr id="7" name="Flowchart: Data 6">
          <a:extLst>
            <a:ext uri="{FF2B5EF4-FFF2-40B4-BE49-F238E27FC236}">
              <a16:creationId xmlns:a16="http://schemas.microsoft.com/office/drawing/2014/main" id="{A1F8E206-8B16-432D-BCBA-B24235C5F2E8}"/>
            </a:ext>
          </a:extLst>
        </xdr:cNvPr>
        <xdr:cNvSpPr/>
      </xdr:nvSpPr>
      <xdr:spPr>
        <a:xfrm flipH="1">
          <a:off x="4729156" y="45205646"/>
          <a:ext cx="7824793" cy="6186490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FF8181"/>
          </a:solidFill>
        </a:ln>
        <a:effectLst>
          <a:glow rad="139700">
            <a:srgbClr val="FF8181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DB3F0644-490D-4B5D-B1E8-B434A540197A}" type="TxLink">
            <a:rPr lang="en-US" sz="115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1.49%</a:t>
          </a:fld>
          <a:endParaRPr lang="en-US" sz="400000" b="1" i="0" u="none" strike="noStrike">
            <a:solidFill>
              <a:schemeClr val="bg1"/>
            </a:solidFill>
            <a:effectLst>
              <a:glow rad="139700">
                <a:schemeClr val="accent2">
                  <a:alpha val="40000"/>
                </a:schemeClr>
              </a:glow>
            </a:effectLst>
            <a:latin typeface="Trade Gothic Inline" panose="020B0504030203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59</xdr:col>
      <xdr:colOff>119061</xdr:colOff>
      <xdr:row>123</xdr:row>
      <xdr:rowOff>23812</xdr:rowOff>
    </xdr:from>
    <xdr:to>
      <xdr:col>59</xdr:col>
      <xdr:colOff>571498</xdr:colOff>
      <xdr:row>132</xdr:row>
      <xdr:rowOff>3357562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927236BB-7596-477F-89AE-AF87F5968F34}"/>
            </a:ext>
          </a:extLst>
        </xdr:cNvPr>
        <xdr:cNvSpPr/>
      </xdr:nvSpPr>
      <xdr:spPr>
        <a:xfrm flipH="1">
          <a:off x="32475486" y="45343762"/>
          <a:ext cx="452437" cy="6391275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35</xdr:col>
      <xdr:colOff>23812</xdr:colOff>
      <xdr:row>123</xdr:row>
      <xdr:rowOff>126176</xdr:rowOff>
    </xdr:from>
    <xdr:to>
      <xdr:col>35</xdr:col>
      <xdr:colOff>23812</xdr:colOff>
      <xdr:row>132</xdr:row>
      <xdr:rowOff>2905124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52409E86-4852-4254-8B19-561513878115}"/>
            </a:ext>
          </a:extLst>
        </xdr:cNvPr>
        <xdr:cNvCxnSpPr/>
      </xdr:nvCxnSpPr>
      <xdr:spPr>
        <a:xfrm flipV="1">
          <a:off x="19330987" y="45446126"/>
          <a:ext cx="0" cy="6284148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71437</xdr:colOff>
      <xdr:row>131</xdr:row>
      <xdr:rowOff>1619250</xdr:rowOff>
    </xdr:from>
    <xdr:ext cx="5453063" cy="680357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4A96C9E-F134-46EF-ABA7-853336AACABA}"/>
            </a:ext>
          </a:extLst>
        </xdr:cNvPr>
        <xdr:cNvSpPr/>
      </xdr:nvSpPr>
      <xdr:spPr>
        <a:xfrm>
          <a:off x="71437" y="49672875"/>
          <a:ext cx="5453063" cy="680357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8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Fused Steel Ring: 0</a:t>
          </a:r>
        </a:p>
      </xdr:txBody>
    </xdr:sp>
    <xdr:clientData/>
  </xdr:oneCellAnchor>
  <xdr:oneCellAnchor>
    <xdr:from>
      <xdr:col>0</xdr:col>
      <xdr:colOff>71436</xdr:colOff>
      <xdr:row>131</xdr:row>
      <xdr:rowOff>857251</xdr:rowOff>
    </xdr:from>
    <xdr:ext cx="5191127" cy="680357"/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E751E43A-D6DD-4760-A4CF-ABCC93213B54}"/>
            </a:ext>
          </a:extLst>
        </xdr:cNvPr>
        <xdr:cNvSpPr/>
      </xdr:nvSpPr>
      <xdr:spPr>
        <a:xfrm>
          <a:off x="71436" y="48910876"/>
          <a:ext cx="5191127" cy="680357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8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Back-Up Ring: 0</a:t>
          </a:r>
        </a:p>
      </xdr:txBody>
    </xdr:sp>
    <xdr:clientData/>
  </xdr:oneCellAnchor>
  <xdr:twoCellAnchor>
    <xdr:from>
      <xdr:col>45</xdr:col>
      <xdr:colOff>238125</xdr:colOff>
      <xdr:row>123</xdr:row>
      <xdr:rowOff>142875</xdr:rowOff>
    </xdr:from>
    <xdr:to>
      <xdr:col>45</xdr:col>
      <xdr:colOff>238125</xdr:colOff>
      <xdr:row>132</xdr:row>
      <xdr:rowOff>2921823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C7B4AE6F-0E3D-45A1-B2A2-522B03E13FEE}"/>
            </a:ext>
          </a:extLst>
        </xdr:cNvPr>
        <xdr:cNvCxnSpPr/>
      </xdr:nvCxnSpPr>
      <xdr:spPr>
        <a:xfrm flipV="1">
          <a:off x="25031700" y="45462825"/>
          <a:ext cx="0" cy="6265098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46</xdr:col>
      <xdr:colOff>380999</xdr:colOff>
      <xdr:row>131</xdr:row>
      <xdr:rowOff>-1</xdr:rowOff>
    </xdr:from>
    <xdr:to>
      <xdr:col>59</xdr:col>
      <xdr:colOff>309562</xdr:colOff>
      <xdr:row>131</xdr:row>
      <xdr:rowOff>-1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CDC2D49F-739D-44AE-9DC9-00FE6B79E7E0}"/>
            </a:ext>
          </a:extLst>
        </xdr:cNvPr>
        <xdr:cNvCxnSpPr/>
      </xdr:nvCxnSpPr>
      <xdr:spPr>
        <a:xfrm flipH="1">
          <a:off x="25526999" y="47863124"/>
          <a:ext cx="7138988" cy="0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0</xdr:col>
      <xdr:colOff>95250</xdr:colOff>
      <xdr:row>131</xdr:row>
      <xdr:rowOff>71438</xdr:rowOff>
    </xdr:from>
    <xdr:ext cx="4953000" cy="680357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D21089BA-7C35-4A12-8D02-6F301047B470}"/>
            </a:ext>
          </a:extLst>
        </xdr:cNvPr>
        <xdr:cNvSpPr/>
      </xdr:nvSpPr>
      <xdr:spPr>
        <a:xfrm>
          <a:off x="95250" y="48125063"/>
          <a:ext cx="4953000" cy="680357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8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Drive Shoe: 6</a:t>
          </a:r>
        </a:p>
      </xdr:txBody>
    </xdr:sp>
    <xdr:clientData/>
  </xdr:oneCellAnchor>
  <xdr:oneCellAnchor>
    <xdr:from>
      <xdr:col>0</xdr:col>
      <xdr:colOff>95249</xdr:colOff>
      <xdr:row>132</xdr:row>
      <xdr:rowOff>928688</xdr:rowOff>
    </xdr:from>
    <xdr:ext cx="5667375" cy="1173921"/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2882A0A0-F66A-4FFB-8458-C2D0F8C092EE}"/>
            </a:ext>
          </a:extLst>
        </xdr:cNvPr>
        <xdr:cNvSpPr/>
      </xdr:nvSpPr>
      <xdr:spPr>
        <a:xfrm>
          <a:off x="95249" y="50625376"/>
          <a:ext cx="5667375" cy="1173921"/>
        </a:xfrm>
        <a:prstGeom prst="rect">
          <a:avLst/>
        </a:prstGeom>
        <a:solidFill>
          <a:srgbClr val="FFFF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48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WATCO</a:t>
          </a:r>
          <a:r>
            <a:rPr lang="en-US" sz="48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48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: 6</a:t>
          </a:r>
          <a:r>
            <a:rPr lang="en-US" sz="48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PCS.</a:t>
          </a:r>
          <a:endParaRPr lang="en-US" sz="48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200025</xdr:colOff>
      <xdr:row>0</xdr:row>
      <xdr:rowOff>0</xdr:rowOff>
    </xdr:from>
    <xdr:ext cx="32423100" cy="1928812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38CA797-872B-4DC0-96E9-019C3CE6DC1E}"/>
            </a:ext>
          </a:extLst>
        </xdr:cNvPr>
        <xdr:cNvSpPr/>
      </xdr:nvSpPr>
      <xdr:spPr>
        <a:xfrm>
          <a:off x="1838325" y="0"/>
          <a:ext cx="32423100" cy="1928812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132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99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2025Q-10-107JT</a:t>
          </a:r>
          <a:r>
            <a:rPr lang="en-US" sz="132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88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92D05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72 " x 1" -</a:t>
          </a:r>
          <a:r>
            <a:rPr lang="en-US" sz="88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92D05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88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92D05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108 PIPES</a:t>
          </a:r>
        </a:p>
      </xdr:txBody>
    </xdr:sp>
    <xdr:clientData/>
  </xdr:oneCellAnchor>
  <xdr:oneCellAnchor>
    <xdr:from>
      <xdr:col>85</xdr:col>
      <xdr:colOff>547687</xdr:colOff>
      <xdr:row>41</xdr:row>
      <xdr:rowOff>380999</xdr:rowOff>
    </xdr:from>
    <xdr:ext cx="7868949" cy="76074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ACE182A-581C-4425-9DCC-0EF7C9DD1755}"/>
            </a:ext>
          </a:extLst>
        </xdr:cNvPr>
        <xdr:cNvSpPr/>
      </xdr:nvSpPr>
      <xdr:spPr>
        <a:xfrm flipV="1">
          <a:off x="44762737" y="21021674"/>
          <a:ext cx="7868949" cy="76074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rgbClr val="CCFFCC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0</xdr:colOff>
      <xdr:row>123</xdr:row>
      <xdr:rowOff>119991</xdr:rowOff>
    </xdr:from>
    <xdr:ext cx="2424545" cy="927758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A7E1FFF-8A7E-44C6-91A7-78CC3AA4F80D}"/>
            </a:ext>
          </a:extLst>
        </xdr:cNvPr>
        <xdr:cNvSpPr/>
      </xdr:nvSpPr>
      <xdr:spPr>
        <a:xfrm>
          <a:off x="0" y="53388554"/>
          <a:ext cx="2424545" cy="927758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40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0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0</xdr:colOff>
      <xdr:row>126</xdr:row>
      <xdr:rowOff>64328</xdr:rowOff>
    </xdr:from>
    <xdr:ext cx="2459182" cy="680357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1EBC2AF-C2CC-4A9B-850F-1408800D8C2B}"/>
            </a:ext>
          </a:extLst>
        </xdr:cNvPr>
        <xdr:cNvSpPr/>
      </xdr:nvSpPr>
      <xdr:spPr>
        <a:xfrm>
          <a:off x="0" y="48203678"/>
          <a:ext cx="2459182" cy="680357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twoCellAnchor>
    <xdr:from>
      <xdr:col>23</xdr:col>
      <xdr:colOff>23510</xdr:colOff>
      <xdr:row>119</xdr:row>
      <xdr:rowOff>3710</xdr:rowOff>
    </xdr:from>
    <xdr:to>
      <xdr:col>23</xdr:col>
      <xdr:colOff>309562</xdr:colOff>
      <xdr:row>132</xdr:row>
      <xdr:rowOff>857250</xdr:rowOff>
    </xdr:to>
    <xdr:sp macro="" textlink="">
      <xdr:nvSpPr>
        <xdr:cNvPr id="6" name="Left Bracket 5">
          <a:extLst>
            <a:ext uri="{FF2B5EF4-FFF2-40B4-BE49-F238E27FC236}">
              <a16:creationId xmlns:a16="http://schemas.microsoft.com/office/drawing/2014/main" id="{F6E29B8E-6409-40BE-8AAC-35A272390EDF}"/>
            </a:ext>
          </a:extLst>
        </xdr:cNvPr>
        <xdr:cNvSpPr/>
      </xdr:nvSpPr>
      <xdr:spPr>
        <a:xfrm rot="10800000" flipH="1">
          <a:off x="12596510" y="53272273"/>
          <a:ext cx="286052" cy="4115852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58</xdr:col>
      <xdr:colOff>33399</xdr:colOff>
      <xdr:row>124</xdr:row>
      <xdr:rowOff>56036</xdr:rowOff>
    </xdr:from>
    <xdr:to>
      <xdr:col>58</xdr:col>
      <xdr:colOff>49599</xdr:colOff>
      <xdr:row>132</xdr:row>
      <xdr:rowOff>122464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3DA4568A-2C6F-414A-B7E5-20D6762B655A}"/>
            </a:ext>
          </a:extLst>
        </xdr:cNvPr>
        <xdr:cNvCxnSpPr/>
      </xdr:nvCxnSpPr>
      <xdr:spPr>
        <a:xfrm flipH="1">
          <a:off x="26760549" y="47566736"/>
          <a:ext cx="16200" cy="2704853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261934</xdr:colOff>
      <xdr:row>117</xdr:row>
      <xdr:rowOff>190499</xdr:rowOff>
    </xdr:from>
    <xdr:to>
      <xdr:col>22</xdr:col>
      <xdr:colOff>119058</xdr:colOff>
      <xdr:row>131</xdr:row>
      <xdr:rowOff>333374</xdr:rowOff>
    </xdr:to>
    <xdr:sp macro="" textlink="$BW$155">
      <xdr:nvSpPr>
        <xdr:cNvPr id="8" name="Flowchart: Data 7">
          <a:extLst>
            <a:ext uri="{FF2B5EF4-FFF2-40B4-BE49-F238E27FC236}">
              <a16:creationId xmlns:a16="http://schemas.microsoft.com/office/drawing/2014/main" id="{03E52999-A9CE-419A-8B36-EBBC7FCBCECF}"/>
            </a:ext>
          </a:extLst>
        </xdr:cNvPr>
        <xdr:cNvSpPr/>
      </xdr:nvSpPr>
      <xdr:spPr>
        <a:xfrm flipH="1">
          <a:off x="4595809" y="26217562"/>
          <a:ext cx="7810499" cy="3048000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FF8181"/>
          </a:solidFill>
        </a:ln>
        <a:effectLst>
          <a:glow rad="139700">
            <a:srgbClr val="FF8181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DB3F0644-490D-4B5D-B1E8-B434A540197A}" type="TxLink">
            <a:rPr lang="en-US" sz="115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2.92%</a:t>
          </a:fld>
          <a:endParaRPr lang="en-US" sz="400000" b="1" i="0" u="none" strike="noStrike">
            <a:solidFill>
              <a:schemeClr val="bg1"/>
            </a:solidFill>
            <a:effectLst>
              <a:glow rad="139700">
                <a:schemeClr val="accent2">
                  <a:alpha val="40000"/>
                </a:schemeClr>
              </a:glow>
            </a:effectLst>
            <a:latin typeface="Trade Gothic Inline" panose="020B0504030203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68</xdr:col>
      <xdr:colOff>285750</xdr:colOff>
      <xdr:row>123</xdr:row>
      <xdr:rowOff>27214</xdr:rowOff>
    </xdr:from>
    <xdr:to>
      <xdr:col>70</xdr:col>
      <xdr:colOff>23812</xdr:colOff>
      <xdr:row>132</xdr:row>
      <xdr:rowOff>928687</xdr:rowOff>
    </xdr:to>
    <xdr:sp macro="" textlink="">
      <xdr:nvSpPr>
        <xdr:cNvPr id="9" name="Left Bracket 8">
          <a:extLst>
            <a:ext uri="{FF2B5EF4-FFF2-40B4-BE49-F238E27FC236}">
              <a16:creationId xmlns:a16="http://schemas.microsoft.com/office/drawing/2014/main" id="{6D2D98B5-0E7D-43A1-B21A-5ADBD00890D5}"/>
            </a:ext>
          </a:extLst>
        </xdr:cNvPr>
        <xdr:cNvSpPr/>
      </xdr:nvSpPr>
      <xdr:spPr>
        <a:xfrm flipH="1">
          <a:off x="36957000" y="53295777"/>
          <a:ext cx="500062" cy="4163785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46</xdr:col>
      <xdr:colOff>34635</xdr:colOff>
      <xdr:row>123</xdr:row>
      <xdr:rowOff>259773</xdr:rowOff>
    </xdr:from>
    <xdr:to>
      <xdr:col>46</xdr:col>
      <xdr:colOff>50835</xdr:colOff>
      <xdr:row>132</xdr:row>
      <xdr:rowOff>49110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F2CA8B61-6431-4439-8559-8AE6A876D39B}"/>
            </a:ext>
          </a:extLst>
        </xdr:cNvPr>
        <xdr:cNvCxnSpPr/>
      </xdr:nvCxnSpPr>
      <xdr:spPr>
        <a:xfrm flipH="1">
          <a:off x="21237285" y="47341848"/>
          <a:ext cx="16200" cy="2856387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124</xdr:row>
      <xdr:rowOff>34637</xdr:rowOff>
    </xdr:from>
    <xdr:to>
      <xdr:col>35</xdr:col>
      <xdr:colOff>16200</xdr:colOff>
      <xdr:row>132</xdr:row>
      <xdr:rowOff>101065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CC6F9C22-CC12-465D-9D2B-B6EF49AE757B}"/>
            </a:ext>
          </a:extLst>
        </xdr:cNvPr>
        <xdr:cNvCxnSpPr/>
      </xdr:nvCxnSpPr>
      <xdr:spPr>
        <a:xfrm flipH="1">
          <a:off x="16297275" y="47545337"/>
          <a:ext cx="16200" cy="2704853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0</xdr:col>
      <xdr:colOff>119062</xdr:colOff>
      <xdr:row>132</xdr:row>
      <xdr:rowOff>166687</xdr:rowOff>
    </xdr:from>
    <xdr:ext cx="2459182" cy="680357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C164B8C-5F16-481F-9149-39F8D2E36D69}"/>
            </a:ext>
          </a:extLst>
        </xdr:cNvPr>
        <xdr:cNvSpPr/>
      </xdr:nvSpPr>
      <xdr:spPr>
        <a:xfrm>
          <a:off x="119062" y="56697562"/>
          <a:ext cx="2459182" cy="680357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COATED:</a:t>
          </a:r>
        </a:p>
      </xdr:txBody>
    </xdr:sp>
    <xdr:clientData/>
  </xdr:oneCellAnchor>
  <xdr:oneCellAnchor>
    <xdr:from>
      <xdr:col>0</xdr:col>
      <xdr:colOff>95250</xdr:colOff>
      <xdr:row>128</xdr:row>
      <xdr:rowOff>261938</xdr:rowOff>
    </xdr:from>
    <xdr:ext cx="3048000" cy="666750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96B4434-9038-4639-94EE-9E12B0BEC43A}"/>
            </a:ext>
          </a:extLst>
        </xdr:cNvPr>
        <xdr:cNvSpPr/>
      </xdr:nvSpPr>
      <xdr:spPr>
        <a:xfrm>
          <a:off x="95250" y="55173563"/>
          <a:ext cx="3048000" cy="666750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Clutch T.W.:    </a:t>
          </a:r>
          <a:endParaRPr lang="en-US" sz="40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95249</xdr:colOff>
      <xdr:row>131</xdr:row>
      <xdr:rowOff>0</xdr:rowOff>
    </xdr:from>
    <xdr:ext cx="3000375" cy="680357"/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EC1CA22A-B9C7-4E35-806D-1E40FBC77369}"/>
            </a:ext>
          </a:extLst>
        </xdr:cNvPr>
        <xdr:cNvSpPr/>
      </xdr:nvSpPr>
      <xdr:spPr>
        <a:xfrm>
          <a:off x="95249" y="55864125"/>
          <a:ext cx="3000375" cy="680357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Clutch</a:t>
          </a:r>
          <a:r>
            <a:rPr lang="en-US" sz="40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W.O.</a:t>
          </a:r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:</a:t>
          </a:r>
        </a:p>
      </xdr:txBody>
    </xdr:sp>
    <xdr:clientData/>
  </xdr:oneCellAnchor>
  <xdr:oneCellAnchor>
    <xdr:from>
      <xdr:col>11</xdr:col>
      <xdr:colOff>333376</xdr:colOff>
      <xdr:row>131</xdr:row>
      <xdr:rowOff>523877</xdr:rowOff>
    </xdr:from>
    <xdr:ext cx="6119812" cy="857249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37BEAEA0-9C6C-476F-892E-1BCF98A36276}"/>
            </a:ext>
          </a:extLst>
        </xdr:cNvPr>
        <xdr:cNvSpPr/>
      </xdr:nvSpPr>
      <xdr:spPr>
        <a:xfrm>
          <a:off x="6096001" y="29456065"/>
          <a:ext cx="6119812" cy="857249"/>
        </a:xfrm>
        <a:prstGeom prst="rect">
          <a:avLst/>
        </a:prstGeom>
        <a:solidFill>
          <a:srgbClr val="FFFF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54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WATCO: 104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192355</xdr:colOff>
      <xdr:row>31</xdr:row>
      <xdr:rowOff>246662</xdr:rowOff>
    </xdr:from>
    <xdr:ext cx="2651538" cy="73428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94170E5-2E5B-4866-AE37-06AAA55A48FB}"/>
            </a:ext>
          </a:extLst>
        </xdr:cNvPr>
        <xdr:cNvSpPr/>
      </xdr:nvSpPr>
      <xdr:spPr>
        <a:xfrm>
          <a:off x="192355" y="9733562"/>
          <a:ext cx="2651538" cy="734288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4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251517</xdr:colOff>
      <xdr:row>34</xdr:row>
      <xdr:rowOff>28330</xdr:rowOff>
    </xdr:from>
    <xdr:ext cx="2592377" cy="680357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211B37A-FB02-4807-92C3-013C8B03CD3B}"/>
            </a:ext>
          </a:extLst>
        </xdr:cNvPr>
        <xdr:cNvSpPr/>
      </xdr:nvSpPr>
      <xdr:spPr>
        <a:xfrm>
          <a:off x="251517" y="10515355"/>
          <a:ext cx="2592377" cy="680357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oneCellAnchor>
    <xdr:from>
      <xdr:col>0</xdr:col>
      <xdr:colOff>68036</xdr:colOff>
      <xdr:row>0</xdr:row>
      <xdr:rowOff>1141546</xdr:rowOff>
    </xdr:from>
    <xdr:ext cx="18192750" cy="1134555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F62AEEC-A3FB-4DDF-8D21-E1D2FBE79515}"/>
            </a:ext>
          </a:extLst>
        </xdr:cNvPr>
        <xdr:cNvSpPr/>
      </xdr:nvSpPr>
      <xdr:spPr>
        <a:xfrm>
          <a:off x="68036" y="1141546"/>
          <a:ext cx="18192750" cy="1134555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72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>
                  <a:lumMod val="20000"/>
                  <a:lumOff val="8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2025Q-10-108JT PROJECT</a:t>
          </a:r>
          <a:r>
            <a:rPr lang="en-US" sz="72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>
                  <a:lumMod val="20000"/>
                  <a:lumOff val="8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chemeClr val="accent4">
                <a:lumMod val="20000"/>
                <a:lumOff val="80000"/>
              </a:schemeClr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</xdr:txBody>
    </xdr:sp>
    <xdr:clientData/>
  </xdr:oneCellAnchor>
  <xdr:twoCellAnchor>
    <xdr:from>
      <xdr:col>0</xdr:col>
      <xdr:colOff>58137</xdr:colOff>
      <xdr:row>37</xdr:row>
      <xdr:rowOff>258536</xdr:rowOff>
    </xdr:from>
    <xdr:to>
      <xdr:col>13</xdr:col>
      <xdr:colOff>204107</xdr:colOff>
      <xdr:row>41</xdr:row>
      <xdr:rowOff>721178</xdr:rowOff>
    </xdr:to>
    <xdr:sp macro="" textlink="AY50">
      <xdr:nvSpPr>
        <xdr:cNvPr id="5" name="Flowchart: Data 4">
          <a:extLst>
            <a:ext uri="{FF2B5EF4-FFF2-40B4-BE49-F238E27FC236}">
              <a16:creationId xmlns:a16="http://schemas.microsoft.com/office/drawing/2014/main" id="{1D542867-4C93-4E0D-99AF-5022BB762C8F}"/>
            </a:ext>
          </a:extLst>
        </xdr:cNvPr>
        <xdr:cNvSpPr/>
      </xdr:nvSpPr>
      <xdr:spPr>
        <a:xfrm flipH="1">
          <a:off x="58137" y="12817929"/>
          <a:ext cx="5452756" cy="2054678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75DBFF"/>
          </a:solidFill>
        </a:ln>
        <a:effectLst>
          <a:glow rad="101600">
            <a:schemeClr val="accent1">
              <a:satMod val="175000"/>
              <a:alpha val="40000"/>
            </a:scheme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 b="1" i="0" u="none" strike="noStrike" baseline="0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 Rate:                               </a:t>
          </a:r>
          <a:fld id="{E55FF195-9467-4C59-A151-5E21B9A13E95}" type="TxLink">
            <a:rPr lang="en-US" sz="8000" b="1" i="0" u="none" strike="noStrike" baseline="0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0.77%</a:t>
          </a:fld>
          <a:endParaRPr lang="en-US" sz="333300" b="1" i="1" cap="none" spc="50">
            <a:ln w="3175" cmpd="sng">
              <a:solidFill>
                <a:schemeClr val="bg1"/>
              </a:solidFill>
              <a:prstDash val="solid"/>
            </a:ln>
            <a:solidFill>
              <a:schemeClr val="bg1"/>
            </a:solidFill>
            <a:effectLst>
              <a:glow rad="228600">
                <a:srgbClr val="75FFF2">
                  <a:alpha val="40000"/>
                </a:srgbClr>
              </a:glow>
            </a:effectLst>
            <a:latin typeface="Trade Gothic Inline" panose="020B0504030203020204" pitchFamily="34" charset="0"/>
          </a:endParaRPr>
        </a:p>
      </xdr:txBody>
    </xdr:sp>
    <xdr:clientData/>
  </xdr:twoCellAnchor>
  <xdr:twoCellAnchor>
    <xdr:from>
      <xdr:col>34</xdr:col>
      <xdr:colOff>143837</xdr:colOff>
      <xdr:row>31</xdr:row>
      <xdr:rowOff>176895</xdr:rowOff>
    </xdr:from>
    <xdr:to>
      <xdr:col>34</xdr:col>
      <xdr:colOff>143837</xdr:colOff>
      <xdr:row>41</xdr:row>
      <xdr:rowOff>489859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11DC94A9-DC31-47AA-8322-B1E8FC1DD9ED}"/>
            </a:ext>
          </a:extLst>
        </xdr:cNvPr>
        <xdr:cNvCxnSpPr/>
      </xdr:nvCxnSpPr>
      <xdr:spPr>
        <a:xfrm>
          <a:off x="13897937" y="9663795"/>
          <a:ext cx="0" cy="4961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136066</xdr:colOff>
      <xdr:row>31</xdr:row>
      <xdr:rowOff>54428</xdr:rowOff>
    </xdr:from>
    <xdr:to>
      <xdr:col>49</xdr:col>
      <xdr:colOff>163278</xdr:colOff>
      <xdr:row>41</xdr:row>
      <xdr:rowOff>683559</xdr:rowOff>
    </xdr:to>
    <xdr:sp macro="" textlink="">
      <xdr:nvSpPr>
        <xdr:cNvPr id="7" name="Left Bracket 6">
          <a:extLst>
            <a:ext uri="{FF2B5EF4-FFF2-40B4-BE49-F238E27FC236}">
              <a16:creationId xmlns:a16="http://schemas.microsoft.com/office/drawing/2014/main" id="{B5C63ABC-06CB-4EB6-AB65-8EB952AFF141}"/>
            </a:ext>
          </a:extLst>
        </xdr:cNvPr>
        <xdr:cNvSpPr/>
      </xdr:nvSpPr>
      <xdr:spPr>
        <a:xfrm flipH="1">
          <a:off x="19633741" y="9541328"/>
          <a:ext cx="398687" cy="5277331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14</xdr:col>
      <xdr:colOff>170709</xdr:colOff>
      <xdr:row>30</xdr:row>
      <xdr:rowOff>680358</xdr:rowOff>
    </xdr:from>
    <xdr:to>
      <xdr:col>16</xdr:col>
      <xdr:colOff>108859</xdr:colOff>
      <xdr:row>41</xdr:row>
      <xdr:rowOff>734784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F3B838A4-9DF7-4002-9490-B34AAE5D48E4}"/>
            </a:ext>
          </a:extLst>
        </xdr:cNvPr>
        <xdr:cNvSpPr/>
      </xdr:nvSpPr>
      <xdr:spPr>
        <a:xfrm rot="10800000" flipH="1">
          <a:off x="5844888" y="9484179"/>
          <a:ext cx="577685" cy="5402034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122465</xdr:colOff>
      <xdr:row>37</xdr:row>
      <xdr:rowOff>122463</xdr:rowOff>
    </xdr:from>
    <xdr:to>
      <xdr:col>9</xdr:col>
      <xdr:colOff>122465</xdr:colOff>
      <xdr:row>37</xdr:row>
      <xdr:rowOff>149678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AF852FB3-B0E9-4187-BCE2-AFC2AFC449F3}"/>
            </a:ext>
          </a:extLst>
        </xdr:cNvPr>
        <xdr:cNvCxnSpPr/>
      </xdr:nvCxnSpPr>
      <xdr:spPr>
        <a:xfrm flipH="1" flipV="1">
          <a:off x="122465" y="12681856"/>
          <a:ext cx="3660321" cy="27215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27214</xdr:colOff>
      <xdr:row>35</xdr:row>
      <xdr:rowOff>802821</xdr:rowOff>
    </xdr:from>
    <xdr:to>
      <xdr:col>34</xdr:col>
      <xdr:colOff>27214</xdr:colOff>
      <xdr:row>35</xdr:row>
      <xdr:rowOff>802821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21043082-3D60-4A56-AB04-624B1DBF1FA7}"/>
            </a:ext>
          </a:extLst>
        </xdr:cNvPr>
        <xdr:cNvCxnSpPr/>
      </xdr:nvCxnSpPr>
      <xdr:spPr>
        <a:xfrm>
          <a:off x="9371239" y="11985171"/>
          <a:ext cx="4410075" cy="0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122464</xdr:colOff>
      <xdr:row>31</xdr:row>
      <xdr:rowOff>272143</xdr:rowOff>
    </xdr:from>
    <xdr:to>
      <xdr:col>22</xdr:col>
      <xdr:colOff>122464</xdr:colOff>
      <xdr:row>41</xdr:row>
      <xdr:rowOff>585107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104C6D74-0374-4B68-987F-D63BF84F51BA}"/>
            </a:ext>
          </a:extLst>
        </xdr:cNvPr>
        <xdr:cNvCxnSpPr/>
      </xdr:nvCxnSpPr>
      <xdr:spPr>
        <a:xfrm>
          <a:off x="9180739" y="9759043"/>
          <a:ext cx="0" cy="4961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0</xdr:col>
      <xdr:colOff>76695</xdr:colOff>
      <xdr:row>35</xdr:row>
      <xdr:rowOff>4948</xdr:rowOff>
    </xdr:from>
    <xdr:ext cx="5576454" cy="658089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4EE1B241-0990-4E59-9578-E1CDD972121F}"/>
            </a:ext>
          </a:extLst>
        </xdr:cNvPr>
        <xdr:cNvSpPr/>
      </xdr:nvSpPr>
      <xdr:spPr>
        <a:xfrm>
          <a:off x="76695" y="11190019"/>
          <a:ext cx="5576454" cy="658089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3600" b="1" i="1" cap="none" spc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228600">
                  <a:schemeClr val="accent6">
                    <a:satMod val="175000"/>
                    <a:alpha val="40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Carbozinc 11: 3 pcs.</a:t>
          </a:r>
        </a:p>
      </xdr:txBody>
    </xdr:sp>
    <xdr:clientData/>
  </xdr:oneCellAnchor>
  <xdr:oneCellAnchor>
    <xdr:from>
      <xdr:col>32</xdr:col>
      <xdr:colOff>201527</xdr:colOff>
      <xdr:row>0</xdr:row>
      <xdr:rowOff>326572</xdr:rowOff>
    </xdr:from>
    <xdr:ext cx="1134555" cy="9348107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7E51BABB-A5F9-4A33-A8E6-D8707B56F157}"/>
            </a:ext>
          </a:extLst>
        </xdr:cNvPr>
        <xdr:cNvSpPr/>
      </xdr:nvSpPr>
      <xdr:spPr>
        <a:xfrm rot="16200000">
          <a:off x="9171215" y="4433348"/>
          <a:ext cx="9348107" cy="1134555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5400" b="1" u="sng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66FF33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84 " x 0.75 " - 2 Pipes </a:t>
          </a:r>
        </a:p>
        <a:p>
          <a:pPr algn="ctr"/>
          <a:r>
            <a:rPr lang="en-US" sz="44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</xdr:txBody>
    </xdr:sp>
    <xdr:clientData/>
  </xdr:oneCellAnchor>
  <xdr:oneCellAnchor>
    <xdr:from>
      <xdr:col>2</xdr:col>
      <xdr:colOff>242348</xdr:colOff>
      <xdr:row>0</xdr:row>
      <xdr:rowOff>0</xdr:rowOff>
    </xdr:from>
    <xdr:ext cx="1134555" cy="8493440"/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BC34263F-93C7-4683-89E2-3E451DA9A7A6}"/>
            </a:ext>
          </a:extLst>
        </xdr:cNvPr>
        <xdr:cNvSpPr/>
      </xdr:nvSpPr>
      <xdr:spPr>
        <a:xfrm rot="16200000">
          <a:off x="-2456019" y="3679442"/>
          <a:ext cx="8493440" cy="1134555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5400" b="1" u="sng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84 " x 0.625 " - 4 Pipes </a:t>
          </a:r>
        </a:p>
        <a:p>
          <a:pPr algn="ctr"/>
          <a:r>
            <a:rPr lang="en-US" sz="44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</xdr:txBody>
    </xdr:sp>
    <xdr:clientData/>
  </xdr:oneCellAnchor>
  <xdr:oneCellAnchor>
    <xdr:from>
      <xdr:col>0</xdr:col>
      <xdr:colOff>81643</xdr:colOff>
      <xdr:row>35</xdr:row>
      <xdr:rowOff>693965</xdr:rowOff>
    </xdr:from>
    <xdr:ext cx="5576454" cy="658089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23E3A421-07B6-4A0A-8AC8-789BB43F49E9}"/>
            </a:ext>
          </a:extLst>
        </xdr:cNvPr>
        <xdr:cNvSpPr/>
      </xdr:nvSpPr>
      <xdr:spPr>
        <a:xfrm>
          <a:off x="81643" y="11879036"/>
          <a:ext cx="5576454" cy="658089"/>
        </a:xfrm>
        <a:prstGeom prst="rect">
          <a:avLst/>
        </a:prstGeom>
        <a:solidFill>
          <a:srgbClr val="FFFF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3600" b="1" i="1" cap="none" spc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228600">
                  <a:schemeClr val="accent6">
                    <a:satMod val="175000"/>
                    <a:alpha val="40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Customer : 6</a:t>
          </a: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192355</xdr:colOff>
      <xdr:row>31</xdr:row>
      <xdr:rowOff>246662</xdr:rowOff>
    </xdr:from>
    <xdr:ext cx="2651538" cy="73428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5C69924-EE8C-4CC0-8D28-10F9A1CACC69}"/>
            </a:ext>
          </a:extLst>
        </xdr:cNvPr>
        <xdr:cNvSpPr/>
      </xdr:nvSpPr>
      <xdr:spPr>
        <a:xfrm>
          <a:off x="192355" y="9733562"/>
          <a:ext cx="2651538" cy="734288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4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251517</xdr:colOff>
      <xdr:row>34</xdr:row>
      <xdr:rowOff>28330</xdr:rowOff>
    </xdr:from>
    <xdr:ext cx="2592377" cy="680357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AC4BC47-F7F5-4E29-9A4E-C602E10FBA71}"/>
            </a:ext>
          </a:extLst>
        </xdr:cNvPr>
        <xdr:cNvSpPr/>
      </xdr:nvSpPr>
      <xdr:spPr>
        <a:xfrm>
          <a:off x="251517" y="10515355"/>
          <a:ext cx="2592377" cy="680357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oneCellAnchor>
    <xdr:from>
      <xdr:col>1</xdr:col>
      <xdr:colOff>517071</xdr:colOff>
      <xdr:row>0</xdr:row>
      <xdr:rowOff>774153</xdr:rowOff>
    </xdr:from>
    <xdr:ext cx="18192750" cy="1134555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264C2B2-1CDE-48E7-BCAC-AB4534967BE4}"/>
            </a:ext>
          </a:extLst>
        </xdr:cNvPr>
        <xdr:cNvSpPr/>
      </xdr:nvSpPr>
      <xdr:spPr>
        <a:xfrm>
          <a:off x="789214" y="774153"/>
          <a:ext cx="18192750" cy="1134555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72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>
                  <a:lumMod val="20000"/>
                  <a:lumOff val="8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2025Q-10-108JT PROJECT</a:t>
          </a:r>
          <a:r>
            <a:rPr lang="en-US" sz="72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>
                  <a:lumMod val="20000"/>
                  <a:lumOff val="8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chemeClr val="accent4">
                <a:lumMod val="20000"/>
                <a:lumOff val="80000"/>
              </a:schemeClr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</xdr:txBody>
    </xdr:sp>
    <xdr:clientData/>
  </xdr:oneCellAnchor>
  <xdr:twoCellAnchor>
    <xdr:from>
      <xdr:col>0</xdr:col>
      <xdr:colOff>98959</xdr:colOff>
      <xdr:row>36</xdr:row>
      <xdr:rowOff>176893</xdr:rowOff>
    </xdr:from>
    <xdr:to>
      <xdr:col>13</xdr:col>
      <xdr:colOff>244929</xdr:colOff>
      <xdr:row>41</xdr:row>
      <xdr:rowOff>503464</xdr:rowOff>
    </xdr:to>
    <xdr:sp macro="" textlink="AY50">
      <xdr:nvSpPr>
        <xdr:cNvPr id="5" name="Flowchart: Data 4">
          <a:extLst>
            <a:ext uri="{FF2B5EF4-FFF2-40B4-BE49-F238E27FC236}">
              <a16:creationId xmlns:a16="http://schemas.microsoft.com/office/drawing/2014/main" id="{62CDC9D8-A392-43FC-9D01-145B6C58E2EE}"/>
            </a:ext>
          </a:extLst>
        </xdr:cNvPr>
        <xdr:cNvSpPr/>
      </xdr:nvSpPr>
      <xdr:spPr>
        <a:xfrm flipH="1">
          <a:off x="98959" y="12736286"/>
          <a:ext cx="5452756" cy="2109107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75DBFF"/>
          </a:solidFill>
        </a:ln>
        <a:effectLst>
          <a:glow rad="101600">
            <a:schemeClr val="accent1">
              <a:satMod val="175000"/>
              <a:alpha val="40000"/>
            </a:scheme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 b="1" i="0" u="none" strike="noStrike" baseline="0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 Rate:                               </a:t>
          </a:r>
          <a:fld id="{9AC082A0-31E3-4692-B1F0-0494CE40F529}" type="TxLink">
            <a:rPr lang="en-US" sz="7200" b="1" i="0" u="none" strike="noStrike" baseline="0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5.85%</a:t>
          </a:fld>
          <a:endParaRPr lang="en-US" sz="333300" b="1" i="1" cap="none" spc="50">
            <a:ln w="3175" cmpd="sng">
              <a:solidFill>
                <a:schemeClr val="bg1"/>
              </a:solidFill>
              <a:prstDash val="solid"/>
            </a:ln>
            <a:solidFill>
              <a:schemeClr val="bg1"/>
            </a:solidFill>
            <a:effectLst>
              <a:glow rad="228600">
                <a:srgbClr val="75FFF2">
                  <a:alpha val="40000"/>
                </a:srgbClr>
              </a:glow>
            </a:effectLst>
            <a:latin typeface="Trade Gothic Inline" panose="020B0504030203020204" pitchFamily="34" charset="0"/>
          </a:endParaRPr>
        </a:p>
      </xdr:txBody>
    </xdr:sp>
    <xdr:clientData/>
  </xdr:twoCellAnchor>
  <xdr:twoCellAnchor>
    <xdr:from>
      <xdr:col>34</xdr:col>
      <xdr:colOff>143837</xdr:colOff>
      <xdr:row>31</xdr:row>
      <xdr:rowOff>176895</xdr:rowOff>
    </xdr:from>
    <xdr:to>
      <xdr:col>34</xdr:col>
      <xdr:colOff>143837</xdr:colOff>
      <xdr:row>41</xdr:row>
      <xdr:rowOff>489859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E73E362B-817C-416C-BE04-F1145AE9D45D}"/>
            </a:ext>
          </a:extLst>
        </xdr:cNvPr>
        <xdr:cNvCxnSpPr/>
      </xdr:nvCxnSpPr>
      <xdr:spPr>
        <a:xfrm>
          <a:off x="13897937" y="9663795"/>
          <a:ext cx="0" cy="4961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136066</xdr:colOff>
      <xdr:row>31</xdr:row>
      <xdr:rowOff>54428</xdr:rowOff>
    </xdr:from>
    <xdr:to>
      <xdr:col>49</xdr:col>
      <xdr:colOff>163278</xdr:colOff>
      <xdr:row>41</xdr:row>
      <xdr:rowOff>683559</xdr:rowOff>
    </xdr:to>
    <xdr:sp macro="" textlink="">
      <xdr:nvSpPr>
        <xdr:cNvPr id="7" name="Left Bracket 6">
          <a:extLst>
            <a:ext uri="{FF2B5EF4-FFF2-40B4-BE49-F238E27FC236}">
              <a16:creationId xmlns:a16="http://schemas.microsoft.com/office/drawing/2014/main" id="{AF092326-05EB-4597-8F13-8CDFBB0C7CCA}"/>
            </a:ext>
          </a:extLst>
        </xdr:cNvPr>
        <xdr:cNvSpPr/>
      </xdr:nvSpPr>
      <xdr:spPr>
        <a:xfrm flipH="1">
          <a:off x="19633741" y="9541328"/>
          <a:ext cx="398687" cy="5277331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14</xdr:col>
      <xdr:colOff>170709</xdr:colOff>
      <xdr:row>30</xdr:row>
      <xdr:rowOff>680358</xdr:rowOff>
    </xdr:from>
    <xdr:to>
      <xdr:col>16</xdr:col>
      <xdr:colOff>108859</xdr:colOff>
      <xdr:row>41</xdr:row>
      <xdr:rowOff>734784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FF5426BF-571D-475F-AE69-666AF3E4BF21}"/>
            </a:ext>
          </a:extLst>
        </xdr:cNvPr>
        <xdr:cNvSpPr/>
      </xdr:nvSpPr>
      <xdr:spPr>
        <a:xfrm rot="10800000" flipH="1">
          <a:off x="5847609" y="9471933"/>
          <a:ext cx="585850" cy="5397951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1</xdr:col>
      <xdr:colOff>408214</xdr:colOff>
      <xdr:row>36</xdr:row>
      <xdr:rowOff>40820</xdr:rowOff>
    </xdr:from>
    <xdr:to>
      <xdr:col>11</xdr:col>
      <xdr:colOff>40821</xdr:colOff>
      <xdr:row>36</xdr:row>
      <xdr:rowOff>68035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49188E56-096D-4A01-A173-0487C3938517}"/>
            </a:ext>
          </a:extLst>
        </xdr:cNvPr>
        <xdr:cNvCxnSpPr/>
      </xdr:nvCxnSpPr>
      <xdr:spPr>
        <a:xfrm flipH="1" flipV="1">
          <a:off x="680357" y="12600213"/>
          <a:ext cx="3660321" cy="27215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27214</xdr:colOff>
      <xdr:row>35</xdr:row>
      <xdr:rowOff>802821</xdr:rowOff>
    </xdr:from>
    <xdr:to>
      <xdr:col>34</xdr:col>
      <xdr:colOff>27214</xdr:colOff>
      <xdr:row>35</xdr:row>
      <xdr:rowOff>802821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521C67C9-E1C3-4D80-AF65-A84AB350E379}"/>
            </a:ext>
          </a:extLst>
        </xdr:cNvPr>
        <xdr:cNvCxnSpPr/>
      </xdr:nvCxnSpPr>
      <xdr:spPr>
        <a:xfrm>
          <a:off x="9371239" y="11985171"/>
          <a:ext cx="4410075" cy="0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122464</xdr:colOff>
      <xdr:row>31</xdr:row>
      <xdr:rowOff>272143</xdr:rowOff>
    </xdr:from>
    <xdr:to>
      <xdr:col>22</xdr:col>
      <xdr:colOff>122464</xdr:colOff>
      <xdr:row>41</xdr:row>
      <xdr:rowOff>585107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EC43873F-A918-4DE8-9D83-6A6A03CB4910}"/>
            </a:ext>
          </a:extLst>
        </xdr:cNvPr>
        <xdr:cNvCxnSpPr/>
      </xdr:nvCxnSpPr>
      <xdr:spPr>
        <a:xfrm>
          <a:off x="9180739" y="9759043"/>
          <a:ext cx="0" cy="4961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0</xdr:col>
      <xdr:colOff>49480</xdr:colOff>
      <xdr:row>35</xdr:row>
      <xdr:rowOff>100198</xdr:rowOff>
    </xdr:from>
    <xdr:ext cx="5576454" cy="525732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91E843A8-F6A0-40CB-B13D-85885F7AEEC4}"/>
            </a:ext>
          </a:extLst>
        </xdr:cNvPr>
        <xdr:cNvSpPr/>
      </xdr:nvSpPr>
      <xdr:spPr>
        <a:xfrm>
          <a:off x="49480" y="11475769"/>
          <a:ext cx="5576454" cy="525732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3600" b="1" i="1" cap="none" spc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228600">
                  <a:schemeClr val="accent6">
                    <a:satMod val="175000"/>
                    <a:alpha val="40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Carbozinc 11: 6 pcs.</a:t>
          </a:r>
        </a:p>
      </xdr:txBody>
    </xdr:sp>
    <xdr:clientData/>
  </xdr:oneCellAnchor>
  <xdr:oneCellAnchor>
    <xdr:from>
      <xdr:col>24</xdr:col>
      <xdr:colOff>149682</xdr:colOff>
      <xdr:row>0</xdr:row>
      <xdr:rowOff>1875207</xdr:rowOff>
    </xdr:from>
    <xdr:ext cx="9348107" cy="614901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4FDDC447-7B53-4D46-AB10-334E9C62C683}"/>
            </a:ext>
          </a:extLst>
        </xdr:cNvPr>
        <xdr:cNvSpPr/>
      </xdr:nvSpPr>
      <xdr:spPr>
        <a:xfrm>
          <a:off x="9851575" y="1875207"/>
          <a:ext cx="9348107" cy="614901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5400" b="1" u="sng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66FF33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90 " x 0.625 " - 6 Pipes </a:t>
          </a:r>
        </a:p>
        <a:p>
          <a:pPr algn="ctr"/>
          <a:r>
            <a:rPr lang="en-US" sz="44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</xdr:txBody>
    </xdr:sp>
    <xdr:clientData/>
  </xdr:oneCellAnchor>
  <xdr:oneCellAnchor>
    <xdr:from>
      <xdr:col>0</xdr:col>
      <xdr:colOff>1</xdr:colOff>
      <xdr:row>1</xdr:row>
      <xdr:rowOff>223229</xdr:rowOff>
    </xdr:from>
    <xdr:ext cx="8191500" cy="21220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2D9394D7-10D1-49EE-840D-DB1A18AF3085}"/>
            </a:ext>
          </a:extLst>
        </xdr:cNvPr>
        <xdr:cNvSpPr/>
      </xdr:nvSpPr>
      <xdr:spPr>
        <a:xfrm>
          <a:off x="1" y="2237086"/>
          <a:ext cx="8191500" cy="212200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5400" b="1" u="sng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90 " x 0.5 " - 4 Pipes </a:t>
          </a:r>
        </a:p>
        <a:p>
          <a:pPr algn="ctr"/>
          <a:r>
            <a:rPr lang="en-US" sz="44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</xdr:txBody>
    </xdr:sp>
    <xdr:clientData/>
  </xdr:oneCellAnchor>
  <xdr:oneCellAnchor>
    <xdr:from>
      <xdr:col>13</xdr:col>
      <xdr:colOff>122464</xdr:colOff>
      <xdr:row>10</xdr:row>
      <xdr:rowOff>762000</xdr:rowOff>
    </xdr:from>
    <xdr:ext cx="9348107" cy="614901"/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FA6691EA-4BB8-4C43-89A9-7B79F05E426A}"/>
            </a:ext>
          </a:extLst>
        </xdr:cNvPr>
        <xdr:cNvSpPr/>
      </xdr:nvSpPr>
      <xdr:spPr>
        <a:xfrm>
          <a:off x="5429250" y="6055179"/>
          <a:ext cx="9348107" cy="614901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5400" b="1" u="sng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00B0F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90 " x 0.75 " - 2 Pipes</a:t>
          </a:r>
          <a:r>
            <a:rPr lang="en-US" sz="5400" b="1" u="sng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66FF33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  <a:p>
          <a:pPr algn="ctr"/>
          <a:r>
            <a:rPr lang="en-US" sz="44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</xdr:txBody>
    </xdr:sp>
    <xdr:clientData/>
  </xdr:oneCellAnchor>
  <xdr:oneCellAnchor>
    <xdr:from>
      <xdr:col>0</xdr:col>
      <xdr:colOff>0</xdr:colOff>
      <xdr:row>35</xdr:row>
      <xdr:rowOff>680358</xdr:rowOff>
    </xdr:from>
    <xdr:ext cx="5576454" cy="408214"/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96E8AFA6-D874-40B1-9BF1-6985AC3684CF}"/>
            </a:ext>
          </a:extLst>
        </xdr:cNvPr>
        <xdr:cNvSpPr/>
      </xdr:nvSpPr>
      <xdr:spPr>
        <a:xfrm>
          <a:off x="0" y="12055929"/>
          <a:ext cx="5576454" cy="408214"/>
        </a:xfrm>
        <a:prstGeom prst="rect">
          <a:avLst/>
        </a:prstGeom>
        <a:solidFill>
          <a:srgbClr val="FFFF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3600" b="1" i="1" cap="none" spc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228600">
                  <a:schemeClr val="accent6">
                    <a:satMod val="175000"/>
                    <a:alpha val="40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CUSTOMER : 12 </a:t>
          </a: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119063</xdr:colOff>
      <xdr:row>110</xdr:row>
      <xdr:rowOff>132051</xdr:rowOff>
    </xdr:from>
    <xdr:ext cx="3388178" cy="891885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8CC033D-B4C5-4762-9793-506ACF116F2F}"/>
            </a:ext>
          </a:extLst>
        </xdr:cNvPr>
        <xdr:cNvSpPr/>
      </xdr:nvSpPr>
      <xdr:spPr>
        <a:xfrm>
          <a:off x="119063" y="27802176"/>
          <a:ext cx="3388178" cy="891885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54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54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142876</xdr:colOff>
      <xdr:row>112</xdr:row>
      <xdr:rowOff>48244</xdr:rowOff>
    </xdr:from>
    <xdr:ext cx="3388178" cy="951879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504F6B8-97C3-4610-B8E9-D4497FE00638}"/>
            </a:ext>
          </a:extLst>
        </xdr:cNvPr>
        <xdr:cNvSpPr/>
      </xdr:nvSpPr>
      <xdr:spPr>
        <a:xfrm>
          <a:off x="142876" y="29147119"/>
          <a:ext cx="3388178" cy="951879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54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twoCellAnchor>
    <xdr:from>
      <xdr:col>8</xdr:col>
      <xdr:colOff>333373</xdr:colOff>
      <xdr:row>104</xdr:row>
      <xdr:rowOff>95249</xdr:rowOff>
    </xdr:from>
    <xdr:to>
      <xdr:col>23</xdr:col>
      <xdr:colOff>285748</xdr:colOff>
      <xdr:row>114</xdr:row>
      <xdr:rowOff>309563</xdr:rowOff>
    </xdr:to>
    <xdr:sp macro="" textlink="$AW$132">
      <xdr:nvSpPr>
        <xdr:cNvPr id="4" name="Flowchart: Data 3">
          <a:extLst>
            <a:ext uri="{FF2B5EF4-FFF2-40B4-BE49-F238E27FC236}">
              <a16:creationId xmlns:a16="http://schemas.microsoft.com/office/drawing/2014/main" id="{64159FD1-F0A6-458C-A043-956D6FE531FF}"/>
            </a:ext>
          </a:extLst>
        </xdr:cNvPr>
        <xdr:cNvSpPr/>
      </xdr:nvSpPr>
      <xdr:spPr>
        <a:xfrm flipH="1">
          <a:off x="4643436" y="26074687"/>
          <a:ext cx="8096250" cy="3952876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FF8181"/>
          </a:solidFill>
        </a:ln>
        <a:effectLst>
          <a:glow rad="139700">
            <a:srgbClr val="FF8181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54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 Rate:</a:t>
          </a:r>
          <a:r>
            <a:rPr lang="en-US" sz="5400" b="1" i="0" u="none" strike="noStrike" baseline="0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                                                           </a:t>
          </a:r>
          <a:fld id="{B2A55630-BB75-446A-8909-CA2FBAB28C50}" type="TxLink">
            <a:rPr lang="en-US" sz="115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1.84%</a:t>
          </a:fld>
          <a:endParaRPr lang="en-US" sz="333300" b="1" i="0" u="none" strike="noStrike">
            <a:solidFill>
              <a:schemeClr val="bg1"/>
            </a:solidFill>
            <a:effectLst>
              <a:glow rad="139700">
                <a:schemeClr val="accent2">
                  <a:alpha val="40000"/>
                </a:schemeClr>
              </a:glow>
            </a:effectLst>
            <a:latin typeface="Trade Gothic Inline" panose="020B0504030203020204" pitchFamily="34" charset="0"/>
            <a:ea typeface="Calibri"/>
            <a:cs typeface="Calibri"/>
          </a:endParaRPr>
        </a:p>
      </xdr:txBody>
    </xdr:sp>
    <xdr:clientData/>
  </xdr:twoCellAnchor>
  <xdr:oneCellAnchor>
    <xdr:from>
      <xdr:col>5</xdr:col>
      <xdr:colOff>28140</xdr:colOff>
      <xdr:row>0</xdr:row>
      <xdr:rowOff>318529</xdr:rowOff>
    </xdr:from>
    <xdr:ext cx="29594609" cy="967346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49A4C78-FDF5-480E-8B66-7C2E03AFAFDE}"/>
            </a:ext>
          </a:extLst>
        </xdr:cNvPr>
        <xdr:cNvSpPr/>
      </xdr:nvSpPr>
      <xdr:spPr>
        <a:xfrm>
          <a:off x="2480828" y="318529"/>
          <a:ext cx="29594609" cy="967346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8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2025Q-11-111JT</a:t>
          </a:r>
          <a:r>
            <a:rPr lang="en-US" sz="80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PROJECT</a:t>
          </a:r>
          <a:r>
            <a:rPr lang="en-US" sz="8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endParaRPr lang="en-US" sz="88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rgbClr val="CCFFCC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twoCellAnchor>
    <xdr:from>
      <xdr:col>23</xdr:col>
      <xdr:colOff>237823</xdr:colOff>
      <xdr:row>104</xdr:row>
      <xdr:rowOff>122773</xdr:rowOff>
    </xdr:from>
    <xdr:to>
      <xdr:col>24</xdr:col>
      <xdr:colOff>360285</xdr:colOff>
      <xdr:row>114</xdr:row>
      <xdr:rowOff>188335</xdr:rowOff>
    </xdr:to>
    <xdr:sp macro="" textlink="">
      <xdr:nvSpPr>
        <xdr:cNvPr id="6" name="Left Bracket 5">
          <a:extLst>
            <a:ext uri="{FF2B5EF4-FFF2-40B4-BE49-F238E27FC236}">
              <a16:creationId xmlns:a16="http://schemas.microsoft.com/office/drawing/2014/main" id="{4789B433-9A23-400C-8DF0-DD6980110FE0}"/>
            </a:ext>
          </a:extLst>
        </xdr:cNvPr>
        <xdr:cNvSpPr/>
      </xdr:nvSpPr>
      <xdr:spPr>
        <a:xfrm rot="10800000" flipH="1">
          <a:off x="11739261" y="26102211"/>
          <a:ext cx="551087" cy="3804124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59</xdr:col>
      <xdr:colOff>33399</xdr:colOff>
      <xdr:row>106</xdr:row>
      <xdr:rowOff>56036</xdr:rowOff>
    </xdr:from>
    <xdr:to>
      <xdr:col>59</xdr:col>
      <xdr:colOff>49599</xdr:colOff>
      <xdr:row>114</xdr:row>
      <xdr:rowOff>122464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89D233E3-61DC-4340-85D9-1057112CD051}"/>
            </a:ext>
          </a:extLst>
        </xdr:cNvPr>
        <xdr:cNvCxnSpPr/>
      </xdr:nvCxnSpPr>
      <xdr:spPr>
        <a:xfrm flipH="1">
          <a:off x="28865574" y="21696836"/>
          <a:ext cx="16200" cy="3266828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69</xdr:col>
      <xdr:colOff>155122</xdr:colOff>
      <xdr:row>105</xdr:row>
      <xdr:rowOff>151039</xdr:rowOff>
    </xdr:from>
    <xdr:to>
      <xdr:col>69</xdr:col>
      <xdr:colOff>358359</xdr:colOff>
      <xdr:row>114</xdr:row>
      <xdr:rowOff>316798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DACE0667-ECB2-47B6-9B1E-E9AEC97591B7}"/>
            </a:ext>
          </a:extLst>
        </xdr:cNvPr>
        <xdr:cNvSpPr/>
      </xdr:nvSpPr>
      <xdr:spPr>
        <a:xfrm flipH="1">
          <a:off x="33864097" y="21601339"/>
          <a:ext cx="203237" cy="3556659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47</xdr:col>
      <xdr:colOff>34635</xdr:colOff>
      <xdr:row>105</xdr:row>
      <xdr:rowOff>259773</xdr:rowOff>
    </xdr:from>
    <xdr:to>
      <xdr:col>47</xdr:col>
      <xdr:colOff>50835</xdr:colOff>
      <xdr:row>114</xdr:row>
      <xdr:rowOff>49110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CFC1C3BF-BBAD-4491-84C5-CAF01044BDE2}"/>
            </a:ext>
          </a:extLst>
        </xdr:cNvPr>
        <xdr:cNvCxnSpPr/>
      </xdr:nvCxnSpPr>
      <xdr:spPr>
        <a:xfrm flipH="1">
          <a:off x="23151810" y="21643398"/>
          <a:ext cx="16200" cy="3246912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0</xdr:colOff>
      <xdr:row>106</xdr:row>
      <xdr:rowOff>34637</xdr:rowOff>
    </xdr:from>
    <xdr:to>
      <xdr:col>36</xdr:col>
      <xdr:colOff>16200</xdr:colOff>
      <xdr:row>114</xdr:row>
      <xdr:rowOff>101065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560B938D-08D6-4FAF-8602-04A922A7091D}"/>
            </a:ext>
          </a:extLst>
        </xdr:cNvPr>
        <xdr:cNvCxnSpPr/>
      </xdr:nvCxnSpPr>
      <xdr:spPr>
        <a:xfrm flipH="1">
          <a:off x="17335500" y="21675437"/>
          <a:ext cx="16200" cy="3266828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93082</xdr:colOff>
      <xdr:row>37</xdr:row>
      <xdr:rowOff>166686</xdr:rowOff>
    </xdr:from>
    <xdr:to>
      <xdr:col>9</xdr:col>
      <xdr:colOff>380998</xdr:colOff>
      <xdr:row>100</xdr:row>
      <xdr:rowOff>127719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D6C2C69-C67B-466C-9D18-494B4EB81A74}"/>
            </a:ext>
          </a:extLst>
        </xdr:cNvPr>
        <xdr:cNvSpPr txBox="1"/>
      </xdr:nvSpPr>
      <xdr:spPr>
        <a:xfrm>
          <a:off x="93082" y="22764749"/>
          <a:ext cx="4788479" cy="770658"/>
        </a:xfrm>
        <a:prstGeom prst="rect">
          <a:avLst/>
        </a:prstGeom>
        <a:solidFill>
          <a:srgbClr val="66FF33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54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chemeClr val="bg1">
                  <a:lumMod val="75000"/>
                </a:schemeClr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Carbozinc:</a:t>
          </a:r>
          <a:r>
            <a:rPr kumimoji="0" lang="en-US" sz="54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 12</a:t>
          </a:r>
        </a:p>
      </xdr:txBody>
    </xdr:sp>
    <xdr:clientData/>
  </xdr:twoCellAnchor>
  <xdr:twoCellAnchor>
    <xdr:from>
      <xdr:col>0</xdr:col>
      <xdr:colOff>82264</xdr:colOff>
      <xdr:row>101</xdr:row>
      <xdr:rowOff>84425</xdr:rowOff>
    </xdr:from>
    <xdr:to>
      <xdr:col>9</xdr:col>
      <xdr:colOff>333375</xdr:colOff>
      <xdr:row>103</xdr:row>
      <xdr:rowOff>976312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4607444-AAAC-4B84-B721-B12A57F0A010}"/>
            </a:ext>
          </a:extLst>
        </xdr:cNvPr>
        <xdr:cNvSpPr txBox="1"/>
      </xdr:nvSpPr>
      <xdr:spPr>
        <a:xfrm>
          <a:off x="82264" y="23682613"/>
          <a:ext cx="4751674" cy="127288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54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chemeClr val="bg1">
                  <a:lumMod val="75000"/>
                </a:schemeClr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Customer:</a:t>
          </a:r>
          <a:r>
            <a:rPr kumimoji="0" lang="en-US" sz="54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 21</a:t>
          </a:r>
        </a:p>
      </xdr:txBody>
    </xdr:sp>
    <xdr:clientData/>
  </xdr:twoCellAnchor>
  <xdr:oneCellAnchor>
    <xdr:from>
      <xdr:col>6</xdr:col>
      <xdr:colOff>214312</xdr:colOff>
      <xdr:row>0</xdr:row>
      <xdr:rowOff>1881188</xdr:rowOff>
    </xdr:from>
    <xdr:ext cx="29594609" cy="967346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2207B7EF-8B6E-4352-BBB0-8A21E6DDC210}"/>
            </a:ext>
          </a:extLst>
        </xdr:cNvPr>
        <xdr:cNvSpPr/>
      </xdr:nvSpPr>
      <xdr:spPr>
        <a:xfrm>
          <a:off x="2952750" y="1881188"/>
          <a:ext cx="29594609" cy="967346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8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90 " x 0.5 " - 33 Pipes </a:t>
          </a:r>
          <a:endParaRPr lang="en-US" sz="88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rgbClr val="CCFFCC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6</xdr:col>
      <xdr:colOff>571501</xdr:colOff>
      <xdr:row>23</xdr:row>
      <xdr:rowOff>404811</xdr:rowOff>
    </xdr:from>
    <xdr:ext cx="29594609" cy="967346"/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9FD6724D-9B6C-4852-8BB1-9B02A2589E55}"/>
            </a:ext>
          </a:extLst>
        </xdr:cNvPr>
        <xdr:cNvSpPr/>
      </xdr:nvSpPr>
      <xdr:spPr>
        <a:xfrm>
          <a:off x="3309939" y="15597186"/>
          <a:ext cx="29594609" cy="967346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8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00B0F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90 " x 0.75 " - 21 Pipes </a:t>
          </a:r>
          <a:endParaRPr lang="en-US" sz="88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rgbClr val="00B0F0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twoCellAnchor>
    <xdr:from>
      <xdr:col>0</xdr:col>
      <xdr:colOff>153695</xdr:colOff>
      <xdr:row>19</xdr:row>
      <xdr:rowOff>238126</xdr:rowOff>
    </xdr:from>
    <xdr:to>
      <xdr:col>10</xdr:col>
      <xdr:colOff>12986</xdr:colOff>
      <xdr:row>20</xdr:row>
      <xdr:rowOff>723034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AE7D8C0-6B15-422A-A2FD-C568393B16AC}"/>
            </a:ext>
          </a:extLst>
        </xdr:cNvPr>
        <xdr:cNvSpPr txBox="1"/>
      </xdr:nvSpPr>
      <xdr:spPr>
        <a:xfrm>
          <a:off x="153695" y="12620626"/>
          <a:ext cx="4788479" cy="770658"/>
        </a:xfrm>
        <a:prstGeom prst="rect">
          <a:avLst/>
        </a:prstGeom>
        <a:solidFill>
          <a:srgbClr val="66FF33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54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chemeClr val="bg1">
                  <a:lumMod val="75000"/>
                </a:schemeClr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Carbozinc:</a:t>
          </a:r>
          <a:r>
            <a:rPr kumimoji="0" lang="en-US" sz="54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 27</a:t>
          </a:r>
        </a:p>
      </xdr:txBody>
    </xdr:sp>
    <xdr:clientData/>
  </xdr:twoCellAnchor>
  <xdr:twoCellAnchor>
    <xdr:from>
      <xdr:col>0</xdr:col>
      <xdr:colOff>142876</xdr:colOff>
      <xdr:row>20</xdr:row>
      <xdr:rowOff>917865</xdr:rowOff>
    </xdr:from>
    <xdr:to>
      <xdr:col>9</xdr:col>
      <xdr:colOff>393987</xdr:colOff>
      <xdr:row>22</xdr:row>
      <xdr:rowOff>380999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1444CDD3-D05B-4357-A473-BF0D793F638E}"/>
            </a:ext>
          </a:extLst>
        </xdr:cNvPr>
        <xdr:cNvSpPr txBox="1"/>
      </xdr:nvSpPr>
      <xdr:spPr>
        <a:xfrm>
          <a:off x="142876" y="13586115"/>
          <a:ext cx="4751674" cy="115382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54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chemeClr val="bg1">
                  <a:lumMod val="75000"/>
                </a:schemeClr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Customer:</a:t>
          </a:r>
          <a:r>
            <a:rPr kumimoji="0" lang="en-US" sz="54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 33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138546</xdr:colOff>
      <xdr:row>31</xdr:row>
      <xdr:rowOff>67440</xdr:rowOff>
    </xdr:from>
    <xdr:ext cx="3498273" cy="937014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971CC09-FA67-4F5C-8AA5-B5F995AC9298}"/>
            </a:ext>
          </a:extLst>
        </xdr:cNvPr>
        <xdr:cNvSpPr/>
      </xdr:nvSpPr>
      <xdr:spPr>
        <a:xfrm>
          <a:off x="138546" y="12564240"/>
          <a:ext cx="3498273" cy="937014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8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8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14</xdr:col>
      <xdr:colOff>17318</xdr:colOff>
      <xdr:row>31</xdr:row>
      <xdr:rowOff>47011</xdr:rowOff>
    </xdr:from>
    <xdr:ext cx="3671455" cy="836216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5CC4043-38C8-46B0-AF48-AE11EE34DD77}"/>
            </a:ext>
          </a:extLst>
        </xdr:cNvPr>
        <xdr:cNvSpPr/>
      </xdr:nvSpPr>
      <xdr:spPr>
        <a:xfrm>
          <a:off x="5694218" y="12543811"/>
          <a:ext cx="3671455" cy="836216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8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twoCellAnchor>
    <xdr:from>
      <xdr:col>0</xdr:col>
      <xdr:colOff>51954</xdr:colOff>
      <xdr:row>36</xdr:row>
      <xdr:rowOff>254004</xdr:rowOff>
    </xdr:from>
    <xdr:to>
      <xdr:col>19</xdr:col>
      <xdr:colOff>69272</xdr:colOff>
      <xdr:row>45</xdr:row>
      <xdr:rowOff>0</xdr:rowOff>
    </xdr:to>
    <xdr:sp macro="" textlink="$AY$81">
      <xdr:nvSpPr>
        <xdr:cNvPr id="4" name="Flowchart: Data 3">
          <a:extLst>
            <a:ext uri="{FF2B5EF4-FFF2-40B4-BE49-F238E27FC236}">
              <a16:creationId xmlns:a16="http://schemas.microsoft.com/office/drawing/2014/main" id="{3380841A-BB6E-4CDA-A07D-CF19C5680DCB}"/>
            </a:ext>
          </a:extLst>
        </xdr:cNvPr>
        <xdr:cNvSpPr/>
      </xdr:nvSpPr>
      <xdr:spPr>
        <a:xfrm flipH="1">
          <a:off x="51954" y="15909640"/>
          <a:ext cx="7671954" cy="3504042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FF8181"/>
          </a:solidFill>
        </a:ln>
        <a:effectLst>
          <a:glow rad="139700">
            <a:srgbClr val="FF8181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54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 Rate:</a:t>
          </a:r>
          <a:r>
            <a:rPr lang="en-US" sz="5400" b="1" i="0" u="none" strike="noStrike" baseline="0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                                                       </a:t>
          </a:r>
          <a:fld id="{1221351D-8DCF-4872-9A7A-A7612B9DC1D0}" type="TxLink">
            <a:rPr lang="en-US" sz="115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2.04%</a:t>
          </a:fld>
          <a:endParaRPr lang="en-US" sz="400000" b="1" i="0" u="none" strike="noStrike">
            <a:solidFill>
              <a:schemeClr val="bg1"/>
            </a:solidFill>
            <a:effectLst>
              <a:glow rad="139700">
                <a:schemeClr val="accent2">
                  <a:alpha val="40000"/>
                </a:schemeClr>
              </a:glow>
            </a:effectLst>
            <a:latin typeface="Trade Gothic Inline" panose="020B0504030203020204" pitchFamily="34" charset="0"/>
            <a:ea typeface="Calibri"/>
            <a:cs typeface="Calibri"/>
          </a:endParaRPr>
        </a:p>
      </xdr:txBody>
    </xdr:sp>
    <xdr:clientData/>
  </xdr:twoCellAnchor>
  <xdr:oneCellAnchor>
    <xdr:from>
      <xdr:col>3</xdr:col>
      <xdr:colOff>34635</xdr:colOff>
      <xdr:row>1</xdr:row>
      <xdr:rowOff>175654</xdr:rowOff>
    </xdr:from>
    <xdr:ext cx="24228137" cy="536864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DA6C7BF-E78C-4E33-8B53-85DD60AB6EEC}"/>
            </a:ext>
          </a:extLst>
        </xdr:cNvPr>
        <xdr:cNvSpPr/>
      </xdr:nvSpPr>
      <xdr:spPr>
        <a:xfrm>
          <a:off x="1298862" y="1128154"/>
          <a:ext cx="24228137" cy="536864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88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FFC00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2026Q-01-115NN</a:t>
          </a:r>
          <a:r>
            <a:rPr lang="en-US" sz="88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88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00B0F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- Ø 60 " x 1" - 27 Pipes </a:t>
          </a:r>
          <a:endParaRPr lang="en-US" sz="96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rgbClr val="00B0F0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twoCellAnchor>
    <xdr:from>
      <xdr:col>21</xdr:col>
      <xdr:colOff>75465</xdr:colOff>
      <xdr:row>34</xdr:row>
      <xdr:rowOff>259772</xdr:rowOff>
    </xdr:from>
    <xdr:to>
      <xdr:col>22</xdr:col>
      <xdr:colOff>197927</xdr:colOff>
      <xdr:row>47</xdr:row>
      <xdr:rowOff>51955</xdr:rowOff>
    </xdr:to>
    <xdr:sp macro="" textlink="">
      <xdr:nvSpPr>
        <xdr:cNvPr id="6" name="Left Bracket 5">
          <a:extLst>
            <a:ext uri="{FF2B5EF4-FFF2-40B4-BE49-F238E27FC236}">
              <a16:creationId xmlns:a16="http://schemas.microsoft.com/office/drawing/2014/main" id="{1271091C-9389-4F0F-95CE-C8BB747C1C99}"/>
            </a:ext>
          </a:extLst>
        </xdr:cNvPr>
        <xdr:cNvSpPr/>
      </xdr:nvSpPr>
      <xdr:spPr>
        <a:xfrm rot="10800000" flipH="1">
          <a:off x="8419365" y="13499522"/>
          <a:ext cx="836837" cy="4507058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56</xdr:col>
      <xdr:colOff>31883</xdr:colOff>
      <xdr:row>36</xdr:row>
      <xdr:rowOff>86591</xdr:rowOff>
    </xdr:from>
    <xdr:to>
      <xdr:col>56</xdr:col>
      <xdr:colOff>51954</xdr:colOff>
      <xdr:row>48</xdr:row>
      <xdr:rowOff>17318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9C7299BF-591A-43EF-A685-BB1E27BFF972}"/>
            </a:ext>
          </a:extLst>
        </xdr:cNvPr>
        <xdr:cNvCxnSpPr/>
      </xdr:nvCxnSpPr>
      <xdr:spPr>
        <a:xfrm flipH="1">
          <a:off x="22510883" y="13907366"/>
          <a:ext cx="20071" cy="4140777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66</xdr:col>
      <xdr:colOff>404504</xdr:colOff>
      <xdr:row>35</xdr:row>
      <xdr:rowOff>9895</xdr:rowOff>
    </xdr:from>
    <xdr:to>
      <xdr:col>68</xdr:col>
      <xdr:colOff>160932</xdr:colOff>
      <xdr:row>48</xdr:row>
      <xdr:rowOff>51954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126ECAA6-612C-42A8-9DAA-46DE35EF4586}"/>
            </a:ext>
          </a:extLst>
        </xdr:cNvPr>
        <xdr:cNvSpPr/>
      </xdr:nvSpPr>
      <xdr:spPr>
        <a:xfrm flipH="1">
          <a:off x="26922104" y="13525870"/>
          <a:ext cx="756553" cy="4556909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44</xdr:col>
      <xdr:colOff>34635</xdr:colOff>
      <xdr:row>36</xdr:row>
      <xdr:rowOff>86591</xdr:rowOff>
    </xdr:from>
    <xdr:to>
      <xdr:col>44</xdr:col>
      <xdr:colOff>59691</xdr:colOff>
      <xdr:row>47</xdr:row>
      <xdr:rowOff>31792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948A5FD7-C0F1-47F5-9F5B-9B3F9EF7C458}"/>
            </a:ext>
          </a:extLst>
        </xdr:cNvPr>
        <xdr:cNvCxnSpPr/>
      </xdr:nvCxnSpPr>
      <xdr:spPr>
        <a:xfrm flipH="1">
          <a:off x="17827335" y="13907366"/>
          <a:ext cx="25056" cy="4079051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277091</xdr:colOff>
      <xdr:row>36</xdr:row>
      <xdr:rowOff>-1</xdr:rowOff>
    </xdr:from>
    <xdr:to>
      <xdr:col>33</xdr:col>
      <xdr:colOff>8352</xdr:colOff>
      <xdr:row>46</xdr:row>
      <xdr:rowOff>239610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CB3E434E-898A-42B1-AF83-61D090FF0961}"/>
            </a:ext>
          </a:extLst>
        </xdr:cNvPr>
        <xdr:cNvCxnSpPr/>
      </xdr:nvCxnSpPr>
      <xdr:spPr>
        <a:xfrm flipH="1">
          <a:off x="13373966" y="13820774"/>
          <a:ext cx="17011" cy="4097236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33</xdr:col>
      <xdr:colOff>329045</xdr:colOff>
      <xdr:row>31</xdr:row>
      <xdr:rowOff>106075</xdr:rowOff>
    </xdr:from>
    <xdr:ext cx="4468090" cy="666750"/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FB27548C-4249-4D3D-BF72-3780486C5D1F}"/>
            </a:ext>
          </a:extLst>
        </xdr:cNvPr>
        <xdr:cNvSpPr/>
      </xdr:nvSpPr>
      <xdr:spPr>
        <a:xfrm>
          <a:off x="13646727" y="14428211"/>
          <a:ext cx="4468090" cy="666750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Clutch T.W.: 27   </a:t>
          </a:r>
          <a:endParaRPr lang="en-US" sz="40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46</xdr:col>
      <xdr:colOff>450271</xdr:colOff>
      <xdr:row>31</xdr:row>
      <xdr:rowOff>86591</xdr:rowOff>
    </xdr:from>
    <xdr:ext cx="3948545" cy="680357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C3A07B68-7757-4B83-B14D-5657B49DBE61}"/>
            </a:ext>
          </a:extLst>
        </xdr:cNvPr>
        <xdr:cNvSpPr/>
      </xdr:nvSpPr>
      <xdr:spPr>
        <a:xfrm>
          <a:off x="18790226" y="14408727"/>
          <a:ext cx="3948545" cy="680357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Clutch</a:t>
          </a:r>
          <a:r>
            <a:rPr lang="en-US" sz="40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W.O.</a:t>
          </a:r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: 27</a:t>
          </a:r>
        </a:p>
      </xdr:txBody>
    </xdr:sp>
    <xdr:clientData/>
  </xdr:oneCellAnchor>
  <xdr:oneCellAnchor>
    <xdr:from>
      <xdr:col>59</xdr:col>
      <xdr:colOff>121227</xdr:colOff>
      <xdr:row>31</xdr:row>
      <xdr:rowOff>34636</xdr:rowOff>
    </xdr:from>
    <xdr:ext cx="3948545" cy="680357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776C5856-6A94-46AC-90A9-4609D203A12A}"/>
            </a:ext>
          </a:extLst>
        </xdr:cNvPr>
        <xdr:cNvSpPr/>
      </xdr:nvSpPr>
      <xdr:spPr>
        <a:xfrm>
          <a:off x="23847136" y="14356772"/>
          <a:ext cx="3948545" cy="680357"/>
        </a:xfrm>
        <a:prstGeom prst="rect">
          <a:avLst/>
        </a:prstGeom>
        <a:solidFill>
          <a:srgbClr val="FFFF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WATCO</a:t>
          </a:r>
          <a:r>
            <a:rPr lang="en-US" sz="40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: 27</a:t>
          </a:r>
          <a:endParaRPr lang="en-US" sz="40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34636</xdr:colOff>
      <xdr:row>26</xdr:row>
      <xdr:rowOff>51954</xdr:rowOff>
    </xdr:from>
    <xdr:ext cx="5818909" cy="1575955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97C7A79-CEAA-4FBF-8C66-CB879C78681A}"/>
            </a:ext>
          </a:extLst>
        </xdr:cNvPr>
        <xdr:cNvSpPr/>
      </xdr:nvSpPr>
      <xdr:spPr>
        <a:xfrm>
          <a:off x="301336" y="13834629"/>
          <a:ext cx="5818909" cy="1575955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60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60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1</xdr:col>
      <xdr:colOff>93084</xdr:colOff>
      <xdr:row>27</xdr:row>
      <xdr:rowOff>157412</xdr:rowOff>
    </xdr:from>
    <xdr:ext cx="5760461" cy="143586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2D0BE99-FFD5-476C-82B5-43CDEF09CAE4}"/>
            </a:ext>
          </a:extLst>
        </xdr:cNvPr>
        <xdr:cNvSpPr/>
      </xdr:nvSpPr>
      <xdr:spPr>
        <a:xfrm>
          <a:off x="359784" y="15559337"/>
          <a:ext cx="5760461" cy="1435860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66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oneCellAnchor>
    <xdr:from>
      <xdr:col>4</xdr:col>
      <xdr:colOff>190499</xdr:colOff>
      <xdr:row>0</xdr:row>
      <xdr:rowOff>833744</xdr:rowOff>
    </xdr:from>
    <xdr:ext cx="24228137" cy="536864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1C92FC87-1A03-42B6-88AB-B2327665B0FC}"/>
            </a:ext>
          </a:extLst>
        </xdr:cNvPr>
        <xdr:cNvSpPr/>
      </xdr:nvSpPr>
      <xdr:spPr>
        <a:xfrm>
          <a:off x="1828799" y="833744"/>
          <a:ext cx="24228137" cy="536864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88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2026Q-01-116SN </a:t>
          </a:r>
          <a:r>
            <a:rPr lang="en-US" sz="88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- Ø 36 " x 1 " - 54 Pipes </a:t>
          </a:r>
          <a:endParaRPr lang="en-US" sz="96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rgbClr val="CCFFCC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twoCellAnchor>
    <xdr:from>
      <xdr:col>21</xdr:col>
      <xdr:colOff>23510</xdr:colOff>
      <xdr:row>30</xdr:row>
      <xdr:rowOff>34635</xdr:rowOff>
    </xdr:from>
    <xdr:to>
      <xdr:col>22</xdr:col>
      <xdr:colOff>145972</xdr:colOff>
      <xdr:row>39</xdr:row>
      <xdr:rowOff>259771</xdr:rowOff>
    </xdr:to>
    <xdr:sp macro="" textlink="">
      <xdr:nvSpPr>
        <xdr:cNvPr id="6" name="Left Bracket 5">
          <a:extLst>
            <a:ext uri="{FF2B5EF4-FFF2-40B4-BE49-F238E27FC236}">
              <a16:creationId xmlns:a16="http://schemas.microsoft.com/office/drawing/2014/main" id="{67380EFB-60EC-4FB1-A172-AF8DB4C64B4E}"/>
            </a:ext>
          </a:extLst>
        </xdr:cNvPr>
        <xdr:cNvSpPr/>
      </xdr:nvSpPr>
      <xdr:spPr>
        <a:xfrm rot="10800000" flipH="1">
          <a:off x="8367410" y="18507075"/>
          <a:ext cx="836837" cy="3536371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56</xdr:col>
      <xdr:colOff>33399</xdr:colOff>
      <xdr:row>31</xdr:row>
      <xdr:rowOff>56036</xdr:rowOff>
    </xdr:from>
    <xdr:to>
      <xdr:col>56</xdr:col>
      <xdr:colOff>49599</xdr:colOff>
      <xdr:row>39</xdr:row>
      <xdr:rowOff>122464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3A4848D9-8EFC-4B7E-BAB9-E93B1348A682}"/>
            </a:ext>
          </a:extLst>
        </xdr:cNvPr>
        <xdr:cNvCxnSpPr/>
      </xdr:nvCxnSpPr>
      <xdr:spPr>
        <a:xfrm flipH="1">
          <a:off x="22512399" y="18507075"/>
          <a:ext cx="16200" cy="3399064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66</xdr:col>
      <xdr:colOff>231322</xdr:colOff>
      <xdr:row>30</xdr:row>
      <xdr:rowOff>103908</xdr:rowOff>
    </xdr:from>
    <xdr:to>
      <xdr:col>67</xdr:col>
      <xdr:colOff>282159</xdr:colOff>
      <xdr:row>39</xdr:row>
      <xdr:rowOff>192972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FBFE51B3-9782-4811-8365-2A0F66483333}"/>
            </a:ext>
          </a:extLst>
        </xdr:cNvPr>
        <xdr:cNvSpPr/>
      </xdr:nvSpPr>
      <xdr:spPr>
        <a:xfrm flipH="1">
          <a:off x="26748922" y="18507075"/>
          <a:ext cx="765212" cy="3469572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44</xdr:col>
      <xdr:colOff>34635</xdr:colOff>
      <xdr:row>30</xdr:row>
      <xdr:rowOff>259773</xdr:rowOff>
    </xdr:from>
    <xdr:to>
      <xdr:col>44</xdr:col>
      <xdr:colOff>50835</xdr:colOff>
      <xdr:row>39</xdr:row>
      <xdr:rowOff>49110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CB105843-E3CC-40DB-BFE4-B47BFF08D02E}"/>
            </a:ext>
          </a:extLst>
        </xdr:cNvPr>
        <xdr:cNvCxnSpPr/>
      </xdr:nvCxnSpPr>
      <xdr:spPr>
        <a:xfrm flipH="1">
          <a:off x="17827335" y="18507075"/>
          <a:ext cx="16200" cy="3325710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31</xdr:row>
      <xdr:rowOff>34637</xdr:rowOff>
    </xdr:from>
    <xdr:to>
      <xdr:col>33</xdr:col>
      <xdr:colOff>16200</xdr:colOff>
      <xdr:row>39</xdr:row>
      <xdr:rowOff>101065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39FD1140-B38B-4B19-AEF6-A91E7BF7D995}"/>
            </a:ext>
          </a:extLst>
        </xdr:cNvPr>
        <xdr:cNvCxnSpPr/>
      </xdr:nvCxnSpPr>
      <xdr:spPr>
        <a:xfrm flipH="1">
          <a:off x="13382625" y="18507075"/>
          <a:ext cx="16200" cy="3377665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121227</xdr:colOff>
      <xdr:row>29</xdr:row>
      <xdr:rowOff>242454</xdr:rowOff>
    </xdr:from>
    <xdr:to>
      <xdr:col>19</xdr:col>
      <xdr:colOff>93080</xdr:colOff>
      <xdr:row>41</xdr:row>
      <xdr:rowOff>10824</xdr:rowOff>
    </xdr:to>
    <xdr:sp macro="" textlink="$AY$92">
      <xdr:nvSpPr>
        <xdr:cNvPr id="11" name="Flowchart: Data 10">
          <a:extLst>
            <a:ext uri="{FF2B5EF4-FFF2-40B4-BE49-F238E27FC236}">
              <a16:creationId xmlns:a16="http://schemas.microsoft.com/office/drawing/2014/main" id="{4B04F0F3-419A-47AC-9CB2-607F12FEC2BA}"/>
            </a:ext>
          </a:extLst>
        </xdr:cNvPr>
        <xdr:cNvSpPr/>
      </xdr:nvSpPr>
      <xdr:spPr>
        <a:xfrm flipH="1">
          <a:off x="121227" y="18132136"/>
          <a:ext cx="7626489" cy="4028643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FF8181"/>
          </a:solidFill>
        </a:ln>
        <a:effectLst>
          <a:glow rad="139700">
            <a:srgbClr val="FF8181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C208C47-889F-4DC9-BF26-2DFFF0614FEA}" type="TxLink">
            <a:rPr lang="en-US" sz="115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2.31%</a:t>
          </a:fld>
          <a:endParaRPr lang="en-US" sz="333400" b="1" i="0" u="none" strike="noStrike">
            <a:solidFill>
              <a:schemeClr val="bg1"/>
            </a:solidFill>
            <a:effectLst>
              <a:glow rad="139700">
                <a:schemeClr val="accent2">
                  <a:alpha val="40000"/>
                </a:schemeClr>
              </a:glow>
            </a:effectLst>
            <a:latin typeface="Trade Gothic Inline" panose="020B0504030203020204" pitchFamily="34" charset="0"/>
            <a:ea typeface="Calibri"/>
            <a:cs typeface="Calibri"/>
          </a:endParaRPr>
        </a:p>
      </xdr:txBody>
    </xdr:sp>
    <xdr:clientData/>
  </xdr:twoCellAnchor>
  <xdr:oneCellAnchor>
    <xdr:from>
      <xdr:col>34</xdr:col>
      <xdr:colOff>34637</xdr:colOff>
      <xdr:row>25</xdr:row>
      <xdr:rowOff>450272</xdr:rowOff>
    </xdr:from>
    <xdr:ext cx="4779817" cy="744682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3299AC79-6C50-4ADC-BEB4-08BF9E9BB8B8}"/>
            </a:ext>
          </a:extLst>
        </xdr:cNvPr>
        <xdr:cNvSpPr/>
      </xdr:nvSpPr>
      <xdr:spPr>
        <a:xfrm>
          <a:off x="13716001" y="12884727"/>
          <a:ext cx="4779817" cy="744682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60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Intercure 200</a:t>
          </a:r>
          <a:endParaRPr lang="en-US" sz="60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34</xdr:col>
      <xdr:colOff>41132</xdr:colOff>
      <xdr:row>26</xdr:row>
      <xdr:rowOff>1547</xdr:rowOff>
    </xdr:from>
    <xdr:ext cx="5275550" cy="678483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DC164D99-3669-4A84-B0F1-1B0E64DD3526}"/>
            </a:ext>
          </a:extLst>
        </xdr:cNvPr>
        <xdr:cNvSpPr/>
      </xdr:nvSpPr>
      <xdr:spPr>
        <a:xfrm>
          <a:off x="13722496" y="13786820"/>
          <a:ext cx="5275550" cy="678483"/>
        </a:xfrm>
        <a:prstGeom prst="rect">
          <a:avLst/>
        </a:prstGeom>
        <a:solidFill>
          <a:srgbClr val="FFC0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66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Interzone 505</a:t>
          </a:r>
        </a:p>
      </xdr:txBody>
    </xdr:sp>
    <xdr:clientData/>
  </xdr:oneCellAnchor>
  <xdr:oneCellAnchor>
    <xdr:from>
      <xdr:col>34</xdr:col>
      <xdr:colOff>51957</xdr:colOff>
      <xdr:row>26</xdr:row>
      <xdr:rowOff>848590</xdr:rowOff>
    </xdr:from>
    <xdr:ext cx="5524498" cy="678483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976C27EE-FE89-48E5-9291-F6294EC648A8}"/>
            </a:ext>
          </a:extLst>
        </xdr:cNvPr>
        <xdr:cNvSpPr/>
      </xdr:nvSpPr>
      <xdr:spPr>
        <a:xfrm>
          <a:off x="13733321" y="14633863"/>
          <a:ext cx="5524498" cy="678483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66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Interthane 990</a:t>
          </a:r>
        </a:p>
      </xdr:txBody>
    </xdr:sp>
    <xdr:clientData/>
  </xdr:oneCellAnchor>
  <xdr:oneCellAnchor>
    <xdr:from>
      <xdr:col>52</xdr:col>
      <xdr:colOff>207818</xdr:colOff>
      <xdr:row>28</xdr:row>
      <xdr:rowOff>138545</xdr:rowOff>
    </xdr:from>
    <xdr:ext cx="6321137" cy="838197"/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BD4CBE8F-B667-4396-9976-B5EFBF6896C4}"/>
            </a:ext>
          </a:extLst>
        </xdr:cNvPr>
        <xdr:cNvSpPr/>
      </xdr:nvSpPr>
      <xdr:spPr>
        <a:xfrm>
          <a:off x="21266727" y="17179636"/>
          <a:ext cx="6321137" cy="838197"/>
        </a:xfrm>
        <a:prstGeom prst="rect">
          <a:avLst/>
        </a:prstGeom>
        <a:solidFill>
          <a:srgbClr val="FFFF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8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WATCO (TOT.): 54 PCS.</a:t>
          </a:r>
          <a:endParaRPr lang="en-US" sz="48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49</xdr:col>
      <xdr:colOff>69273</xdr:colOff>
      <xdr:row>25</xdr:row>
      <xdr:rowOff>813955</xdr:rowOff>
    </xdr:from>
    <xdr:ext cx="7827818" cy="744682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FA79C802-3E88-45FC-9185-363D2FCB81CD}"/>
            </a:ext>
          </a:extLst>
        </xdr:cNvPr>
        <xdr:cNvSpPr/>
      </xdr:nvSpPr>
      <xdr:spPr>
        <a:xfrm>
          <a:off x="19777364" y="13248410"/>
          <a:ext cx="7827818" cy="744682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60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Primer (Firetex): 20 </a:t>
          </a:r>
          <a:endParaRPr lang="en-US" sz="60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49</xdr:col>
      <xdr:colOff>121228</xdr:colOff>
      <xdr:row>26</xdr:row>
      <xdr:rowOff>450273</xdr:rowOff>
    </xdr:from>
    <xdr:ext cx="7810499" cy="678483"/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A20FA885-2B54-4D24-8613-AB17B7CC650D}"/>
            </a:ext>
          </a:extLst>
        </xdr:cNvPr>
        <xdr:cNvSpPr/>
      </xdr:nvSpPr>
      <xdr:spPr>
        <a:xfrm>
          <a:off x="19829319" y="14235546"/>
          <a:ext cx="7810499" cy="678483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66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Firetex : 13</a:t>
          </a:r>
        </a:p>
      </xdr:txBody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34636</xdr:colOff>
      <xdr:row>26</xdr:row>
      <xdr:rowOff>51954</xdr:rowOff>
    </xdr:from>
    <xdr:ext cx="5818909" cy="1575955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79BC5C7-E2F3-42BA-AF2D-CF89AA81D373}"/>
            </a:ext>
          </a:extLst>
        </xdr:cNvPr>
        <xdr:cNvSpPr/>
      </xdr:nvSpPr>
      <xdr:spPr>
        <a:xfrm>
          <a:off x="301336" y="12005829"/>
          <a:ext cx="5818909" cy="1575955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60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60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1</xdr:col>
      <xdr:colOff>93084</xdr:colOff>
      <xdr:row>27</xdr:row>
      <xdr:rowOff>157412</xdr:rowOff>
    </xdr:from>
    <xdr:ext cx="5760461" cy="143586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F488891-76B1-4F7B-8611-241980602FBD}"/>
            </a:ext>
          </a:extLst>
        </xdr:cNvPr>
        <xdr:cNvSpPr/>
      </xdr:nvSpPr>
      <xdr:spPr>
        <a:xfrm>
          <a:off x="359784" y="13730537"/>
          <a:ext cx="5760461" cy="1435860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66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twoCellAnchor>
    <xdr:from>
      <xdr:col>1</xdr:col>
      <xdr:colOff>82259</xdr:colOff>
      <xdr:row>29</xdr:row>
      <xdr:rowOff>251112</xdr:rowOff>
    </xdr:from>
    <xdr:to>
      <xdr:col>19</xdr:col>
      <xdr:colOff>313885</xdr:colOff>
      <xdr:row>41</xdr:row>
      <xdr:rowOff>19482</xdr:rowOff>
    </xdr:to>
    <xdr:sp macro="" textlink="$AY$92">
      <xdr:nvSpPr>
        <xdr:cNvPr id="4" name="Flowchart: Data 3">
          <a:extLst>
            <a:ext uri="{FF2B5EF4-FFF2-40B4-BE49-F238E27FC236}">
              <a16:creationId xmlns:a16="http://schemas.microsoft.com/office/drawing/2014/main" id="{C5881D72-D06B-42AC-AE40-3E5ED4BEB5D9}"/>
            </a:ext>
          </a:extLst>
        </xdr:cNvPr>
        <xdr:cNvSpPr/>
      </xdr:nvSpPr>
      <xdr:spPr>
        <a:xfrm flipH="1">
          <a:off x="342032" y="18140794"/>
          <a:ext cx="7626489" cy="4028643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FF8181"/>
          </a:solidFill>
        </a:ln>
        <a:effectLst>
          <a:glow rad="139700">
            <a:srgbClr val="FF8181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FEA1D62-10D4-44F6-A039-DA7FA78E4DD6}" type="TxLink">
            <a:rPr lang="en-US" sz="115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2.20%</a:t>
          </a:fld>
          <a:endParaRPr lang="en-US" sz="333300" b="1" i="0" u="none" strike="noStrike">
            <a:solidFill>
              <a:schemeClr val="bg1"/>
            </a:solidFill>
            <a:effectLst>
              <a:glow rad="139700">
                <a:schemeClr val="accent2">
                  <a:alpha val="40000"/>
                </a:schemeClr>
              </a:glow>
            </a:effectLst>
            <a:latin typeface="Trade Gothic Inline" panose="020B0504030203020204" pitchFamily="34" charset="0"/>
            <a:ea typeface="Calibri"/>
            <a:cs typeface="Calibri"/>
          </a:endParaRPr>
        </a:p>
      </xdr:txBody>
    </xdr:sp>
    <xdr:clientData/>
  </xdr:twoCellAnchor>
  <xdr:oneCellAnchor>
    <xdr:from>
      <xdr:col>4</xdr:col>
      <xdr:colOff>190499</xdr:colOff>
      <xdr:row>0</xdr:row>
      <xdr:rowOff>833744</xdr:rowOff>
    </xdr:from>
    <xdr:ext cx="24228137" cy="536864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15DDAD3-F431-47B9-8356-5F01D9BA43A9}"/>
            </a:ext>
          </a:extLst>
        </xdr:cNvPr>
        <xdr:cNvSpPr/>
      </xdr:nvSpPr>
      <xdr:spPr>
        <a:xfrm>
          <a:off x="1828799" y="833744"/>
          <a:ext cx="24228137" cy="536864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88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2026Q-01-116SN </a:t>
          </a:r>
          <a:r>
            <a:rPr lang="en-US" sz="88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- Ø 42 " x 1 " - 48 Pipes </a:t>
          </a:r>
          <a:endParaRPr lang="en-US" sz="96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rgbClr val="CCFFCC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twoCellAnchor>
    <xdr:from>
      <xdr:col>21</xdr:col>
      <xdr:colOff>23510</xdr:colOff>
      <xdr:row>30</xdr:row>
      <xdr:rowOff>34635</xdr:rowOff>
    </xdr:from>
    <xdr:to>
      <xdr:col>22</xdr:col>
      <xdr:colOff>145972</xdr:colOff>
      <xdr:row>39</xdr:row>
      <xdr:rowOff>259771</xdr:rowOff>
    </xdr:to>
    <xdr:sp macro="" textlink="">
      <xdr:nvSpPr>
        <xdr:cNvPr id="6" name="Left Bracket 5">
          <a:extLst>
            <a:ext uri="{FF2B5EF4-FFF2-40B4-BE49-F238E27FC236}">
              <a16:creationId xmlns:a16="http://schemas.microsoft.com/office/drawing/2014/main" id="{9CD4DBA9-92FD-4D88-95FF-670D6FE74499}"/>
            </a:ext>
          </a:extLst>
        </xdr:cNvPr>
        <xdr:cNvSpPr/>
      </xdr:nvSpPr>
      <xdr:spPr>
        <a:xfrm rot="10800000" flipH="1">
          <a:off x="8367410" y="16678275"/>
          <a:ext cx="836837" cy="3536371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56</xdr:col>
      <xdr:colOff>33399</xdr:colOff>
      <xdr:row>31</xdr:row>
      <xdr:rowOff>56036</xdr:rowOff>
    </xdr:from>
    <xdr:to>
      <xdr:col>56</xdr:col>
      <xdr:colOff>49599</xdr:colOff>
      <xdr:row>39</xdr:row>
      <xdr:rowOff>122464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12FDA83C-7215-4D37-8AF6-8868DFD65DDA}"/>
            </a:ext>
          </a:extLst>
        </xdr:cNvPr>
        <xdr:cNvCxnSpPr/>
      </xdr:nvCxnSpPr>
      <xdr:spPr>
        <a:xfrm flipH="1">
          <a:off x="22512399" y="16678275"/>
          <a:ext cx="16200" cy="3399064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66</xdr:col>
      <xdr:colOff>231322</xdr:colOff>
      <xdr:row>30</xdr:row>
      <xdr:rowOff>103908</xdr:rowOff>
    </xdr:from>
    <xdr:to>
      <xdr:col>67</xdr:col>
      <xdr:colOff>282159</xdr:colOff>
      <xdr:row>39</xdr:row>
      <xdr:rowOff>192972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9104225B-17DD-4E9B-947D-E5D2F29E01B1}"/>
            </a:ext>
          </a:extLst>
        </xdr:cNvPr>
        <xdr:cNvSpPr/>
      </xdr:nvSpPr>
      <xdr:spPr>
        <a:xfrm flipH="1">
          <a:off x="26748922" y="16678275"/>
          <a:ext cx="765212" cy="3469572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44</xdr:col>
      <xdr:colOff>34635</xdr:colOff>
      <xdr:row>30</xdr:row>
      <xdr:rowOff>259773</xdr:rowOff>
    </xdr:from>
    <xdr:to>
      <xdr:col>44</xdr:col>
      <xdr:colOff>50835</xdr:colOff>
      <xdr:row>39</xdr:row>
      <xdr:rowOff>49110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97BB18D8-86C6-4C1C-8855-6C7573E51C75}"/>
            </a:ext>
          </a:extLst>
        </xdr:cNvPr>
        <xdr:cNvCxnSpPr/>
      </xdr:nvCxnSpPr>
      <xdr:spPr>
        <a:xfrm flipH="1">
          <a:off x="17827335" y="16678275"/>
          <a:ext cx="16200" cy="3325710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31</xdr:row>
      <xdr:rowOff>34637</xdr:rowOff>
    </xdr:from>
    <xdr:to>
      <xdr:col>33</xdr:col>
      <xdr:colOff>16200</xdr:colOff>
      <xdr:row>39</xdr:row>
      <xdr:rowOff>101065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2D736287-BE30-477E-A470-935C54416768}"/>
            </a:ext>
          </a:extLst>
        </xdr:cNvPr>
        <xdr:cNvCxnSpPr/>
      </xdr:nvCxnSpPr>
      <xdr:spPr>
        <a:xfrm flipH="1">
          <a:off x="13382625" y="16678275"/>
          <a:ext cx="16200" cy="3377665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51</xdr:col>
      <xdr:colOff>675408</xdr:colOff>
      <xdr:row>26</xdr:row>
      <xdr:rowOff>519546</xdr:rowOff>
    </xdr:from>
    <xdr:ext cx="6511637" cy="744682"/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6057B71E-0519-4F5C-AA60-87CAC1CC14AF}"/>
            </a:ext>
          </a:extLst>
        </xdr:cNvPr>
        <xdr:cNvSpPr/>
      </xdr:nvSpPr>
      <xdr:spPr>
        <a:xfrm>
          <a:off x="21024272" y="14304819"/>
          <a:ext cx="6511637" cy="744682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60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Intercure 200: 48   </a:t>
          </a:r>
          <a:endParaRPr lang="en-US" sz="60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51</xdr:col>
      <xdr:colOff>681902</xdr:colOff>
      <xdr:row>26</xdr:row>
      <xdr:rowOff>1456275</xdr:rowOff>
    </xdr:from>
    <xdr:ext cx="6522461" cy="678483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9FEC2B99-F539-4F03-88DD-055468B30286}"/>
            </a:ext>
          </a:extLst>
        </xdr:cNvPr>
        <xdr:cNvSpPr/>
      </xdr:nvSpPr>
      <xdr:spPr>
        <a:xfrm>
          <a:off x="21030766" y="15241548"/>
          <a:ext cx="6522461" cy="678483"/>
        </a:xfrm>
        <a:prstGeom prst="rect">
          <a:avLst/>
        </a:prstGeom>
        <a:solidFill>
          <a:srgbClr val="FFC0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66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Interzone 505: 48</a:t>
          </a:r>
        </a:p>
      </xdr:txBody>
    </xdr:sp>
    <xdr:clientData/>
  </xdr:oneCellAnchor>
  <xdr:oneCellAnchor>
    <xdr:from>
      <xdr:col>51</xdr:col>
      <xdr:colOff>259772</xdr:colOff>
      <xdr:row>27</xdr:row>
      <xdr:rowOff>710045</xdr:rowOff>
    </xdr:from>
    <xdr:ext cx="7013865" cy="678483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DA6321D1-A31A-4993-9731-D0391DDB3864}"/>
            </a:ext>
          </a:extLst>
        </xdr:cNvPr>
        <xdr:cNvSpPr/>
      </xdr:nvSpPr>
      <xdr:spPr>
        <a:xfrm>
          <a:off x="20608636" y="16123227"/>
          <a:ext cx="7013865" cy="678483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66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Interthane 990: 48</a:t>
          </a:r>
        </a:p>
      </xdr:txBody>
    </xdr:sp>
    <xdr:clientData/>
  </xdr:oneCellAnchor>
  <xdr:oneCellAnchor>
    <xdr:from>
      <xdr:col>43</xdr:col>
      <xdr:colOff>207818</xdr:colOff>
      <xdr:row>25</xdr:row>
      <xdr:rowOff>813955</xdr:rowOff>
    </xdr:from>
    <xdr:ext cx="10012073" cy="838197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A626C7F4-96A0-4E05-AD5B-CAEE633C1C7A}"/>
            </a:ext>
          </a:extLst>
        </xdr:cNvPr>
        <xdr:cNvSpPr/>
      </xdr:nvSpPr>
      <xdr:spPr>
        <a:xfrm>
          <a:off x="17543318" y="13248410"/>
          <a:ext cx="10012073" cy="838197"/>
        </a:xfrm>
        <a:prstGeom prst="rect">
          <a:avLst/>
        </a:prstGeom>
        <a:solidFill>
          <a:srgbClr val="FFFF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8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WATCO (TOT.): 48 PCS.</a:t>
          </a:r>
          <a:endParaRPr lang="en-US" sz="48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192355</xdr:colOff>
      <xdr:row>31</xdr:row>
      <xdr:rowOff>246662</xdr:rowOff>
    </xdr:from>
    <xdr:ext cx="2651538" cy="73428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824407A-53E1-4129-94D4-43F333CA9D74}"/>
            </a:ext>
          </a:extLst>
        </xdr:cNvPr>
        <xdr:cNvSpPr/>
      </xdr:nvSpPr>
      <xdr:spPr>
        <a:xfrm>
          <a:off x="192355" y="9733562"/>
          <a:ext cx="2651538" cy="734288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4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251517</xdr:colOff>
      <xdr:row>34</xdr:row>
      <xdr:rowOff>28330</xdr:rowOff>
    </xdr:from>
    <xdr:ext cx="2592377" cy="680357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B1FE896-92A9-454E-ADFD-C5065BD1326F}"/>
            </a:ext>
          </a:extLst>
        </xdr:cNvPr>
        <xdr:cNvSpPr/>
      </xdr:nvSpPr>
      <xdr:spPr>
        <a:xfrm>
          <a:off x="251517" y="10515355"/>
          <a:ext cx="2592377" cy="680357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oneCellAnchor>
    <xdr:from>
      <xdr:col>1</xdr:col>
      <xdr:colOff>571499</xdr:colOff>
      <xdr:row>0</xdr:row>
      <xdr:rowOff>1345653</xdr:rowOff>
    </xdr:from>
    <xdr:ext cx="18192750" cy="1134555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1E5820A-CA99-45FC-9459-804D6A32F849}"/>
            </a:ext>
          </a:extLst>
        </xdr:cNvPr>
        <xdr:cNvSpPr/>
      </xdr:nvSpPr>
      <xdr:spPr>
        <a:xfrm>
          <a:off x="843642" y="1345653"/>
          <a:ext cx="18192750" cy="1134555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72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>
                  <a:lumMod val="20000"/>
                  <a:lumOff val="8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2026Q-05-126TS PROJECT</a:t>
          </a:r>
          <a:r>
            <a:rPr lang="en-US" sz="72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>
                  <a:lumMod val="20000"/>
                  <a:lumOff val="8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chemeClr val="accent4">
                <a:lumMod val="20000"/>
                <a:lumOff val="80000"/>
              </a:schemeClr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</xdr:txBody>
    </xdr:sp>
    <xdr:clientData/>
  </xdr:oneCellAnchor>
  <xdr:twoCellAnchor>
    <xdr:from>
      <xdr:col>0</xdr:col>
      <xdr:colOff>58137</xdr:colOff>
      <xdr:row>35</xdr:row>
      <xdr:rowOff>513112</xdr:rowOff>
    </xdr:from>
    <xdr:to>
      <xdr:col>13</xdr:col>
      <xdr:colOff>204107</xdr:colOff>
      <xdr:row>41</xdr:row>
      <xdr:rowOff>721178</xdr:rowOff>
    </xdr:to>
    <xdr:sp macro="" textlink="AY50">
      <xdr:nvSpPr>
        <xdr:cNvPr id="5" name="Flowchart: Data 4">
          <a:extLst>
            <a:ext uri="{FF2B5EF4-FFF2-40B4-BE49-F238E27FC236}">
              <a16:creationId xmlns:a16="http://schemas.microsoft.com/office/drawing/2014/main" id="{581949E6-83FE-4D8F-81F0-754639AA36D3}"/>
            </a:ext>
          </a:extLst>
        </xdr:cNvPr>
        <xdr:cNvSpPr/>
      </xdr:nvSpPr>
      <xdr:spPr>
        <a:xfrm flipH="1">
          <a:off x="58137" y="11695462"/>
          <a:ext cx="5451395" cy="3160816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75DBFF"/>
          </a:solidFill>
        </a:ln>
        <a:effectLst>
          <a:glow rad="101600">
            <a:schemeClr val="accent1">
              <a:satMod val="175000"/>
              <a:alpha val="40000"/>
            </a:scheme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 b="1" i="0" u="none" strike="noStrike" baseline="0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 Rate:                                                   </a:t>
          </a:r>
          <a:fld id="{AE558600-0A8D-4DEA-B252-EE7BD0D374BC}" type="TxLink">
            <a:rPr lang="en-US" sz="8000" b="1" i="0" u="none" strike="noStrike" baseline="0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3.80%</a:t>
          </a:fld>
          <a:endParaRPr lang="en-US" sz="277800" b="1" i="1" cap="none" spc="50">
            <a:ln w="3175" cmpd="sng">
              <a:solidFill>
                <a:schemeClr val="bg1"/>
              </a:solidFill>
              <a:prstDash val="solid"/>
            </a:ln>
            <a:solidFill>
              <a:schemeClr val="bg1"/>
            </a:solidFill>
            <a:effectLst>
              <a:glow rad="228600">
                <a:srgbClr val="75FFF2">
                  <a:alpha val="40000"/>
                </a:srgbClr>
              </a:glow>
            </a:effectLst>
            <a:latin typeface="Trade Gothic Inline" panose="020B0504030203020204" pitchFamily="34" charset="0"/>
          </a:endParaRPr>
        </a:p>
      </xdr:txBody>
    </xdr:sp>
    <xdr:clientData/>
  </xdr:twoCellAnchor>
  <xdr:twoCellAnchor>
    <xdr:from>
      <xdr:col>34</xdr:col>
      <xdr:colOff>143837</xdr:colOff>
      <xdr:row>31</xdr:row>
      <xdr:rowOff>176895</xdr:rowOff>
    </xdr:from>
    <xdr:to>
      <xdr:col>34</xdr:col>
      <xdr:colOff>143837</xdr:colOff>
      <xdr:row>41</xdr:row>
      <xdr:rowOff>489859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C0A0CC86-7B8A-4DBC-8294-CC8A0864B777}"/>
            </a:ext>
          </a:extLst>
        </xdr:cNvPr>
        <xdr:cNvCxnSpPr/>
      </xdr:nvCxnSpPr>
      <xdr:spPr>
        <a:xfrm>
          <a:off x="13897937" y="9663795"/>
          <a:ext cx="0" cy="4961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136066</xdr:colOff>
      <xdr:row>31</xdr:row>
      <xdr:rowOff>54428</xdr:rowOff>
    </xdr:from>
    <xdr:to>
      <xdr:col>49</xdr:col>
      <xdr:colOff>163278</xdr:colOff>
      <xdr:row>41</xdr:row>
      <xdr:rowOff>683559</xdr:rowOff>
    </xdr:to>
    <xdr:sp macro="" textlink="">
      <xdr:nvSpPr>
        <xdr:cNvPr id="7" name="Left Bracket 6">
          <a:extLst>
            <a:ext uri="{FF2B5EF4-FFF2-40B4-BE49-F238E27FC236}">
              <a16:creationId xmlns:a16="http://schemas.microsoft.com/office/drawing/2014/main" id="{A67DE22D-6B34-45B4-B9F8-586850840006}"/>
            </a:ext>
          </a:extLst>
        </xdr:cNvPr>
        <xdr:cNvSpPr/>
      </xdr:nvSpPr>
      <xdr:spPr>
        <a:xfrm flipH="1">
          <a:off x="19633741" y="9541328"/>
          <a:ext cx="398687" cy="5277331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14</xdr:col>
      <xdr:colOff>225137</xdr:colOff>
      <xdr:row>31</xdr:row>
      <xdr:rowOff>103909</xdr:rowOff>
    </xdr:from>
    <xdr:to>
      <xdr:col>16</xdr:col>
      <xdr:colOff>163287</xdr:colOff>
      <xdr:row>41</xdr:row>
      <xdr:rowOff>721177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2DED5BAF-BB26-44AE-836D-47EFF13DC6D6}"/>
            </a:ext>
          </a:extLst>
        </xdr:cNvPr>
        <xdr:cNvSpPr/>
      </xdr:nvSpPr>
      <xdr:spPr>
        <a:xfrm rot="10800000" flipH="1">
          <a:off x="5902037" y="9590809"/>
          <a:ext cx="585850" cy="5265468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122465</xdr:colOff>
      <xdr:row>35</xdr:row>
      <xdr:rowOff>190499</xdr:rowOff>
    </xdr:from>
    <xdr:to>
      <xdr:col>9</xdr:col>
      <xdr:colOff>122465</xdr:colOff>
      <xdr:row>35</xdr:row>
      <xdr:rowOff>217714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AED9FB1D-7902-41DF-B07B-6084FD3FC23F}"/>
            </a:ext>
          </a:extLst>
        </xdr:cNvPr>
        <xdr:cNvCxnSpPr/>
      </xdr:nvCxnSpPr>
      <xdr:spPr>
        <a:xfrm flipH="1" flipV="1">
          <a:off x="122465" y="11372849"/>
          <a:ext cx="3657600" cy="27215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27214</xdr:colOff>
      <xdr:row>35</xdr:row>
      <xdr:rowOff>802821</xdr:rowOff>
    </xdr:from>
    <xdr:to>
      <xdr:col>34</xdr:col>
      <xdr:colOff>27214</xdr:colOff>
      <xdr:row>35</xdr:row>
      <xdr:rowOff>802821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BE110074-F4FA-410C-A5CB-C6A770A51286}"/>
            </a:ext>
          </a:extLst>
        </xdr:cNvPr>
        <xdr:cNvCxnSpPr/>
      </xdr:nvCxnSpPr>
      <xdr:spPr>
        <a:xfrm>
          <a:off x="9371239" y="11985171"/>
          <a:ext cx="4410075" cy="0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122464</xdr:colOff>
      <xdr:row>31</xdr:row>
      <xdr:rowOff>272143</xdr:rowOff>
    </xdr:from>
    <xdr:to>
      <xdr:col>22</xdr:col>
      <xdr:colOff>122464</xdr:colOff>
      <xdr:row>41</xdr:row>
      <xdr:rowOff>585107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A1A6F62D-4959-47FA-AAB8-0207E3CD74A3}"/>
            </a:ext>
          </a:extLst>
        </xdr:cNvPr>
        <xdr:cNvCxnSpPr/>
      </xdr:nvCxnSpPr>
      <xdr:spPr>
        <a:xfrm>
          <a:off x="9180739" y="9759043"/>
          <a:ext cx="0" cy="4961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13</xdr:col>
      <xdr:colOff>244929</xdr:colOff>
      <xdr:row>0</xdr:row>
      <xdr:rowOff>1992156</xdr:rowOff>
    </xdr:from>
    <xdr:ext cx="8763000" cy="1134555"/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FFFA75E4-0791-4DF3-9C08-662CCE68BAEA}"/>
            </a:ext>
          </a:extLst>
        </xdr:cNvPr>
        <xdr:cNvSpPr/>
      </xdr:nvSpPr>
      <xdr:spPr>
        <a:xfrm>
          <a:off x="5551715" y="1992156"/>
          <a:ext cx="8763000" cy="1134555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5400" b="1" u="sng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42 " x 1 " - 8 Pipes </a:t>
          </a:r>
        </a:p>
        <a:p>
          <a:pPr algn="ctr"/>
          <a:r>
            <a:rPr lang="en-US" sz="44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</xdr:txBody>
    </xdr:sp>
    <xdr:clientData/>
  </xdr:oneCellAnchor>
  <xdr:oneCellAnchor>
    <xdr:from>
      <xdr:col>36</xdr:col>
      <xdr:colOff>258536</xdr:colOff>
      <xdr:row>29</xdr:row>
      <xdr:rowOff>571500</xdr:rowOff>
    </xdr:from>
    <xdr:ext cx="5415643" cy="585107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B6F85F51-AA4A-4087-A9A9-B18B5222863D}"/>
            </a:ext>
          </a:extLst>
        </xdr:cNvPr>
        <xdr:cNvSpPr/>
      </xdr:nvSpPr>
      <xdr:spPr>
        <a:xfrm>
          <a:off x="14627679" y="8599714"/>
          <a:ext cx="5415643" cy="585107"/>
        </a:xfrm>
        <a:prstGeom prst="rect">
          <a:avLst/>
        </a:prstGeom>
        <a:solidFill>
          <a:srgbClr val="FFFF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CUSTOMER : 8 PCS.</a:t>
          </a:r>
        </a:p>
      </xdr:txBody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31</xdr:row>
      <xdr:rowOff>136713</xdr:rowOff>
    </xdr:from>
    <xdr:ext cx="3498273" cy="937014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A73B330-2997-425E-B845-51396FE93442}"/>
            </a:ext>
          </a:extLst>
        </xdr:cNvPr>
        <xdr:cNvSpPr/>
      </xdr:nvSpPr>
      <xdr:spPr>
        <a:xfrm>
          <a:off x="190500" y="12633513"/>
          <a:ext cx="3498273" cy="937014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8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8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14</xdr:col>
      <xdr:colOff>69272</xdr:colOff>
      <xdr:row>31</xdr:row>
      <xdr:rowOff>116284</xdr:rowOff>
    </xdr:from>
    <xdr:ext cx="3671455" cy="836216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4613734-4E50-40F4-9950-CD9CE9DA0CAD}"/>
            </a:ext>
          </a:extLst>
        </xdr:cNvPr>
        <xdr:cNvSpPr/>
      </xdr:nvSpPr>
      <xdr:spPr>
        <a:xfrm>
          <a:off x="5746172" y="12613084"/>
          <a:ext cx="3671455" cy="836216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8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twoCellAnchor>
    <xdr:from>
      <xdr:col>0</xdr:col>
      <xdr:colOff>0</xdr:colOff>
      <xdr:row>36</xdr:row>
      <xdr:rowOff>254005</xdr:rowOff>
    </xdr:from>
    <xdr:to>
      <xdr:col>19</xdr:col>
      <xdr:colOff>17318</xdr:colOff>
      <xdr:row>45</xdr:row>
      <xdr:rowOff>1</xdr:rowOff>
    </xdr:to>
    <xdr:sp macro="" textlink="$AY$81">
      <xdr:nvSpPr>
        <xdr:cNvPr id="4" name="Flowchart: Data 3">
          <a:extLst>
            <a:ext uri="{FF2B5EF4-FFF2-40B4-BE49-F238E27FC236}">
              <a16:creationId xmlns:a16="http://schemas.microsoft.com/office/drawing/2014/main" id="{A54A1F44-B179-4934-BB8F-A571CB6595FD}"/>
            </a:ext>
          </a:extLst>
        </xdr:cNvPr>
        <xdr:cNvSpPr/>
      </xdr:nvSpPr>
      <xdr:spPr>
        <a:xfrm flipH="1">
          <a:off x="0" y="14489550"/>
          <a:ext cx="7671954" cy="3504042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FF8181"/>
          </a:solidFill>
        </a:ln>
        <a:effectLst>
          <a:glow rad="139700">
            <a:srgbClr val="FF8181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5400" b="1" i="0" u="none" strike="noStrike" baseline="0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 Rate:                                                      </a:t>
          </a:r>
          <a:fld id="{8CA06990-C8B2-42B4-A94C-4036132E5872}" type="TxLink">
            <a:rPr lang="en-US" sz="11500" b="1" i="0" u="none" strike="noStrike" baseline="0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7.33%</a:t>
          </a:fld>
          <a:endParaRPr lang="en-US" sz="400000" b="1" i="0" u="none" strike="noStrike">
            <a:solidFill>
              <a:schemeClr val="bg1"/>
            </a:solidFill>
            <a:effectLst>
              <a:glow rad="139700">
                <a:schemeClr val="accent2">
                  <a:alpha val="40000"/>
                </a:schemeClr>
              </a:glow>
            </a:effectLst>
            <a:latin typeface="Trade Gothic Inline" panose="020B0504030203020204" pitchFamily="34" charset="0"/>
            <a:ea typeface="Calibri"/>
            <a:cs typeface="Calibri"/>
          </a:endParaRPr>
        </a:p>
      </xdr:txBody>
    </xdr:sp>
    <xdr:clientData/>
  </xdr:twoCellAnchor>
  <xdr:oneCellAnchor>
    <xdr:from>
      <xdr:col>3</xdr:col>
      <xdr:colOff>103908</xdr:colOff>
      <xdr:row>0</xdr:row>
      <xdr:rowOff>816427</xdr:rowOff>
    </xdr:from>
    <xdr:ext cx="24228137" cy="536864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5F90DFC3-716F-4D73-A211-22F67D08341F}"/>
            </a:ext>
          </a:extLst>
        </xdr:cNvPr>
        <xdr:cNvSpPr/>
      </xdr:nvSpPr>
      <xdr:spPr>
        <a:xfrm>
          <a:off x="1370733" y="816427"/>
          <a:ext cx="24228137" cy="536864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99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2025Q-05-93 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FFC00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(PIPEWAY TRESTLE) </a:t>
          </a:r>
          <a:r>
            <a:rPr lang="en-US" sz="66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FFC00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75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-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99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54 " x 1.5" - 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99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49 Pipes </a:t>
          </a:r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rgbClr val="99FFCC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twoCellAnchor>
    <xdr:from>
      <xdr:col>21</xdr:col>
      <xdr:colOff>335238</xdr:colOff>
      <xdr:row>34</xdr:row>
      <xdr:rowOff>259772</xdr:rowOff>
    </xdr:from>
    <xdr:to>
      <xdr:col>23</xdr:col>
      <xdr:colOff>163291</xdr:colOff>
      <xdr:row>47</xdr:row>
      <xdr:rowOff>51955</xdr:rowOff>
    </xdr:to>
    <xdr:sp macro="" textlink="">
      <xdr:nvSpPr>
        <xdr:cNvPr id="6" name="Left Bracket 5">
          <a:extLst>
            <a:ext uri="{FF2B5EF4-FFF2-40B4-BE49-F238E27FC236}">
              <a16:creationId xmlns:a16="http://schemas.microsoft.com/office/drawing/2014/main" id="{EFD77D67-8773-4324-BDBB-B781A0CD30B9}"/>
            </a:ext>
          </a:extLst>
        </xdr:cNvPr>
        <xdr:cNvSpPr/>
      </xdr:nvSpPr>
      <xdr:spPr>
        <a:xfrm rot="10800000" flipH="1">
          <a:off x="8630647" y="14148954"/>
          <a:ext cx="832508" cy="4260274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56</xdr:col>
      <xdr:colOff>31883</xdr:colOff>
      <xdr:row>36</xdr:row>
      <xdr:rowOff>86591</xdr:rowOff>
    </xdr:from>
    <xdr:to>
      <xdr:col>56</xdr:col>
      <xdr:colOff>51954</xdr:colOff>
      <xdr:row>48</xdr:row>
      <xdr:rowOff>17318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F8BA97E6-40E2-49B5-A72C-C387992B2973}"/>
            </a:ext>
          </a:extLst>
        </xdr:cNvPr>
        <xdr:cNvCxnSpPr/>
      </xdr:nvCxnSpPr>
      <xdr:spPr>
        <a:xfrm flipH="1">
          <a:off x="22510883" y="13678766"/>
          <a:ext cx="20071" cy="4140777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66</xdr:col>
      <xdr:colOff>404504</xdr:colOff>
      <xdr:row>35</xdr:row>
      <xdr:rowOff>9895</xdr:rowOff>
    </xdr:from>
    <xdr:to>
      <xdr:col>68</xdr:col>
      <xdr:colOff>160932</xdr:colOff>
      <xdr:row>48</xdr:row>
      <xdr:rowOff>51954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696AA706-1A8D-4A3F-BC62-218BAD954683}"/>
            </a:ext>
          </a:extLst>
        </xdr:cNvPr>
        <xdr:cNvSpPr/>
      </xdr:nvSpPr>
      <xdr:spPr>
        <a:xfrm flipH="1">
          <a:off x="26922104" y="13525870"/>
          <a:ext cx="756553" cy="4328309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44</xdr:col>
      <xdr:colOff>34635</xdr:colOff>
      <xdr:row>36</xdr:row>
      <xdr:rowOff>86591</xdr:rowOff>
    </xdr:from>
    <xdr:to>
      <xdr:col>44</xdr:col>
      <xdr:colOff>59691</xdr:colOff>
      <xdr:row>47</xdr:row>
      <xdr:rowOff>31792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846A2A2D-0860-4202-BCF7-82D8080A9E35}"/>
            </a:ext>
          </a:extLst>
        </xdr:cNvPr>
        <xdr:cNvCxnSpPr/>
      </xdr:nvCxnSpPr>
      <xdr:spPr>
        <a:xfrm flipH="1">
          <a:off x="17827335" y="13678766"/>
          <a:ext cx="25056" cy="4079051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277091</xdr:colOff>
      <xdr:row>36</xdr:row>
      <xdr:rowOff>-1</xdr:rowOff>
    </xdr:from>
    <xdr:to>
      <xdr:col>33</xdr:col>
      <xdr:colOff>8352</xdr:colOff>
      <xdr:row>46</xdr:row>
      <xdr:rowOff>239610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994A6BBB-A40A-4E75-BCBF-359C20BEFAD0}"/>
            </a:ext>
          </a:extLst>
        </xdr:cNvPr>
        <xdr:cNvCxnSpPr/>
      </xdr:nvCxnSpPr>
      <xdr:spPr>
        <a:xfrm flipH="1">
          <a:off x="13373966" y="13592174"/>
          <a:ext cx="17011" cy="4097236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28</xdr:col>
      <xdr:colOff>277090</xdr:colOff>
      <xdr:row>31</xdr:row>
      <xdr:rowOff>17317</xdr:rowOff>
    </xdr:from>
    <xdr:ext cx="4831773" cy="969818"/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27E0F10A-26E5-4AEF-8978-AF60BDBDD661}"/>
            </a:ext>
          </a:extLst>
        </xdr:cNvPr>
        <xdr:cNvSpPr/>
      </xdr:nvSpPr>
      <xdr:spPr>
        <a:xfrm>
          <a:off x="11640415" y="12514117"/>
          <a:ext cx="4831773" cy="969818"/>
        </a:xfrm>
        <a:prstGeom prst="rect">
          <a:avLst/>
        </a:prstGeom>
        <a:solidFill>
          <a:srgbClr val="FFC0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48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PICKING</a:t>
          </a:r>
          <a:r>
            <a:rPr lang="en-US" sz="48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EYES:</a:t>
          </a:r>
          <a:endParaRPr lang="en-US" sz="48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45</xdr:col>
      <xdr:colOff>259773</xdr:colOff>
      <xdr:row>31</xdr:row>
      <xdr:rowOff>0</xdr:rowOff>
    </xdr:from>
    <xdr:ext cx="4831773" cy="969818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19D3387B-3022-441C-B7BB-9E6634770530}"/>
            </a:ext>
          </a:extLst>
        </xdr:cNvPr>
        <xdr:cNvSpPr/>
      </xdr:nvSpPr>
      <xdr:spPr>
        <a:xfrm>
          <a:off x="18423948" y="12496800"/>
          <a:ext cx="4831773" cy="969818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48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300M COATED:</a:t>
          </a:r>
          <a:endParaRPr lang="en-US" sz="48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61</xdr:col>
      <xdr:colOff>467592</xdr:colOff>
      <xdr:row>31</xdr:row>
      <xdr:rowOff>17318</xdr:rowOff>
    </xdr:from>
    <xdr:ext cx="3307772" cy="969818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5BB8435F-3DF2-45C7-BE59-C16DBBA447E4}"/>
            </a:ext>
          </a:extLst>
        </xdr:cNvPr>
        <xdr:cNvSpPr/>
      </xdr:nvSpPr>
      <xdr:spPr>
        <a:xfrm>
          <a:off x="24834274" y="13161818"/>
          <a:ext cx="3307772" cy="969818"/>
        </a:xfrm>
        <a:prstGeom prst="rect">
          <a:avLst/>
        </a:prstGeom>
        <a:solidFill>
          <a:srgbClr val="FFFF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48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WATCO : 49</a:t>
          </a:r>
          <a:endParaRPr lang="en-US" sz="48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192355</xdr:colOff>
      <xdr:row>31</xdr:row>
      <xdr:rowOff>246662</xdr:rowOff>
    </xdr:from>
    <xdr:ext cx="2651538" cy="73428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F53DF03-36AB-4D73-A934-73990D7E4D8F}"/>
            </a:ext>
          </a:extLst>
        </xdr:cNvPr>
        <xdr:cNvSpPr/>
      </xdr:nvSpPr>
      <xdr:spPr>
        <a:xfrm>
          <a:off x="192355" y="9733562"/>
          <a:ext cx="2651538" cy="734288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4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251517</xdr:colOff>
      <xdr:row>34</xdr:row>
      <xdr:rowOff>28330</xdr:rowOff>
    </xdr:from>
    <xdr:ext cx="2592377" cy="680357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321E458-7B66-4187-B9A9-7FE69DCC1190}"/>
            </a:ext>
          </a:extLst>
        </xdr:cNvPr>
        <xdr:cNvSpPr/>
      </xdr:nvSpPr>
      <xdr:spPr>
        <a:xfrm>
          <a:off x="251517" y="10515355"/>
          <a:ext cx="2592377" cy="680357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oneCellAnchor>
    <xdr:from>
      <xdr:col>1</xdr:col>
      <xdr:colOff>571499</xdr:colOff>
      <xdr:row>0</xdr:row>
      <xdr:rowOff>1345653</xdr:rowOff>
    </xdr:from>
    <xdr:ext cx="18192750" cy="1134555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FCAC320-99CA-44AD-96A7-011B394BCD6A}"/>
            </a:ext>
          </a:extLst>
        </xdr:cNvPr>
        <xdr:cNvSpPr/>
      </xdr:nvSpPr>
      <xdr:spPr>
        <a:xfrm>
          <a:off x="838199" y="1345653"/>
          <a:ext cx="18192750" cy="1134555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72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A7EBAD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2025Q-05-093 (HDD) PROJECT</a:t>
          </a:r>
          <a:r>
            <a:rPr lang="en-US" sz="72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A7EBAD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rgbClr val="A7EBAD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</xdr:txBody>
    </xdr:sp>
    <xdr:clientData/>
  </xdr:oneCellAnchor>
  <xdr:twoCellAnchor>
    <xdr:from>
      <xdr:col>0</xdr:col>
      <xdr:colOff>58137</xdr:colOff>
      <xdr:row>35</xdr:row>
      <xdr:rowOff>513112</xdr:rowOff>
    </xdr:from>
    <xdr:to>
      <xdr:col>13</xdr:col>
      <xdr:colOff>204107</xdr:colOff>
      <xdr:row>41</xdr:row>
      <xdr:rowOff>721178</xdr:rowOff>
    </xdr:to>
    <xdr:sp macro="" textlink="AY50">
      <xdr:nvSpPr>
        <xdr:cNvPr id="5" name="Flowchart: Data 4">
          <a:extLst>
            <a:ext uri="{FF2B5EF4-FFF2-40B4-BE49-F238E27FC236}">
              <a16:creationId xmlns:a16="http://schemas.microsoft.com/office/drawing/2014/main" id="{AE47ADAA-C25F-4E69-98E4-E816FDCC1C1D}"/>
            </a:ext>
          </a:extLst>
        </xdr:cNvPr>
        <xdr:cNvSpPr/>
      </xdr:nvSpPr>
      <xdr:spPr>
        <a:xfrm flipH="1">
          <a:off x="58137" y="11695462"/>
          <a:ext cx="5451395" cy="3160816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75DBFF"/>
          </a:solidFill>
        </a:ln>
        <a:effectLst>
          <a:glow rad="101600">
            <a:schemeClr val="accent1">
              <a:satMod val="175000"/>
              <a:alpha val="40000"/>
            </a:scheme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 b="1" i="0" u="none" strike="noStrike" baseline="0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 Rate:                                  </a:t>
          </a:r>
          <a:fld id="{80B48033-C35A-4BC7-B1CA-2AC24FC47CB9}" type="TxLink">
            <a:rPr lang="en-US" sz="8000" b="1" i="0" u="none" strike="noStrike" baseline="0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2.18%</a:t>
          </a:fld>
          <a:endParaRPr lang="en-US" sz="333300" b="1" i="1" cap="none" spc="50">
            <a:ln w="3175" cmpd="sng">
              <a:solidFill>
                <a:schemeClr val="bg1"/>
              </a:solidFill>
              <a:prstDash val="solid"/>
            </a:ln>
            <a:solidFill>
              <a:schemeClr val="bg1"/>
            </a:solidFill>
            <a:effectLst>
              <a:glow rad="228600">
                <a:srgbClr val="75FFF2">
                  <a:alpha val="40000"/>
                </a:srgbClr>
              </a:glow>
            </a:effectLst>
            <a:latin typeface="Trade Gothic Inline" panose="020B0504030203020204" pitchFamily="34" charset="0"/>
          </a:endParaRPr>
        </a:p>
      </xdr:txBody>
    </xdr:sp>
    <xdr:clientData/>
  </xdr:twoCellAnchor>
  <xdr:twoCellAnchor>
    <xdr:from>
      <xdr:col>34</xdr:col>
      <xdr:colOff>143837</xdr:colOff>
      <xdr:row>31</xdr:row>
      <xdr:rowOff>176895</xdr:rowOff>
    </xdr:from>
    <xdr:to>
      <xdr:col>34</xdr:col>
      <xdr:colOff>143837</xdr:colOff>
      <xdr:row>41</xdr:row>
      <xdr:rowOff>489859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E690FCF8-6282-4BAB-B6FB-55BA6DB51D22}"/>
            </a:ext>
          </a:extLst>
        </xdr:cNvPr>
        <xdr:cNvCxnSpPr/>
      </xdr:nvCxnSpPr>
      <xdr:spPr>
        <a:xfrm>
          <a:off x="13897937" y="9663795"/>
          <a:ext cx="0" cy="4961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136066</xdr:colOff>
      <xdr:row>31</xdr:row>
      <xdr:rowOff>54428</xdr:rowOff>
    </xdr:from>
    <xdr:to>
      <xdr:col>49</xdr:col>
      <xdr:colOff>163278</xdr:colOff>
      <xdr:row>41</xdr:row>
      <xdr:rowOff>683559</xdr:rowOff>
    </xdr:to>
    <xdr:sp macro="" textlink="">
      <xdr:nvSpPr>
        <xdr:cNvPr id="7" name="Left Bracket 6">
          <a:extLst>
            <a:ext uri="{FF2B5EF4-FFF2-40B4-BE49-F238E27FC236}">
              <a16:creationId xmlns:a16="http://schemas.microsoft.com/office/drawing/2014/main" id="{25209932-3DC5-496F-BAC9-910A0D3D8404}"/>
            </a:ext>
          </a:extLst>
        </xdr:cNvPr>
        <xdr:cNvSpPr/>
      </xdr:nvSpPr>
      <xdr:spPr>
        <a:xfrm flipH="1">
          <a:off x="19633741" y="9541328"/>
          <a:ext cx="398687" cy="5277331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14</xdr:col>
      <xdr:colOff>225137</xdr:colOff>
      <xdr:row>31</xdr:row>
      <xdr:rowOff>103909</xdr:rowOff>
    </xdr:from>
    <xdr:to>
      <xdr:col>16</xdr:col>
      <xdr:colOff>163287</xdr:colOff>
      <xdr:row>41</xdr:row>
      <xdr:rowOff>721177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069A111C-2FC1-4A45-A946-050CCCE0ECD2}"/>
            </a:ext>
          </a:extLst>
        </xdr:cNvPr>
        <xdr:cNvSpPr/>
      </xdr:nvSpPr>
      <xdr:spPr>
        <a:xfrm rot="10800000" flipH="1">
          <a:off x="5902037" y="9590809"/>
          <a:ext cx="585850" cy="5265468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122465</xdr:colOff>
      <xdr:row>35</xdr:row>
      <xdr:rowOff>190499</xdr:rowOff>
    </xdr:from>
    <xdr:to>
      <xdr:col>9</xdr:col>
      <xdr:colOff>122465</xdr:colOff>
      <xdr:row>35</xdr:row>
      <xdr:rowOff>217714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BD7FF0E-519B-4B70-B74E-8E59A4A31832}"/>
            </a:ext>
          </a:extLst>
        </xdr:cNvPr>
        <xdr:cNvCxnSpPr/>
      </xdr:nvCxnSpPr>
      <xdr:spPr>
        <a:xfrm flipH="1" flipV="1">
          <a:off x="122465" y="11372849"/>
          <a:ext cx="3657600" cy="27215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27214</xdr:colOff>
      <xdr:row>35</xdr:row>
      <xdr:rowOff>802821</xdr:rowOff>
    </xdr:from>
    <xdr:to>
      <xdr:col>34</xdr:col>
      <xdr:colOff>27214</xdr:colOff>
      <xdr:row>35</xdr:row>
      <xdr:rowOff>802821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74126951-2CD4-4E38-A9D1-C991E5FC117A}"/>
            </a:ext>
          </a:extLst>
        </xdr:cNvPr>
        <xdr:cNvCxnSpPr/>
      </xdr:nvCxnSpPr>
      <xdr:spPr>
        <a:xfrm>
          <a:off x="9371239" y="11985171"/>
          <a:ext cx="4410075" cy="0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122464</xdr:colOff>
      <xdr:row>31</xdr:row>
      <xdr:rowOff>272143</xdr:rowOff>
    </xdr:from>
    <xdr:to>
      <xdr:col>22</xdr:col>
      <xdr:colOff>122464</xdr:colOff>
      <xdr:row>41</xdr:row>
      <xdr:rowOff>585107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3063DBF2-D8CE-4945-A7AC-08E23B281B69}"/>
            </a:ext>
          </a:extLst>
        </xdr:cNvPr>
        <xdr:cNvCxnSpPr/>
      </xdr:nvCxnSpPr>
      <xdr:spPr>
        <a:xfrm>
          <a:off x="9180739" y="9759043"/>
          <a:ext cx="0" cy="4961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13</xdr:col>
      <xdr:colOff>244929</xdr:colOff>
      <xdr:row>0</xdr:row>
      <xdr:rowOff>1992156</xdr:rowOff>
    </xdr:from>
    <xdr:ext cx="8763000" cy="1134555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21D9C462-A257-4921-A065-10318A156599}"/>
            </a:ext>
          </a:extLst>
        </xdr:cNvPr>
        <xdr:cNvSpPr/>
      </xdr:nvSpPr>
      <xdr:spPr>
        <a:xfrm>
          <a:off x="5550354" y="1992156"/>
          <a:ext cx="8763000" cy="1134555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5400" b="1" u="sng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66FF33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36 " x 0.75 " - 14 Pipes </a:t>
          </a:r>
        </a:p>
        <a:p>
          <a:pPr algn="ctr"/>
          <a:r>
            <a:rPr lang="en-US" sz="44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</xdr:txBody>
    </xdr:sp>
    <xdr:clientData/>
  </xdr:oneCellAnchor>
  <xdr:oneCellAnchor>
    <xdr:from>
      <xdr:col>6</xdr:col>
      <xdr:colOff>27215</xdr:colOff>
      <xdr:row>30</xdr:row>
      <xdr:rowOff>13607</xdr:rowOff>
    </xdr:from>
    <xdr:ext cx="5415643" cy="585107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1174CBF1-9D80-4349-9CFB-D91B328FA2D2}"/>
            </a:ext>
          </a:extLst>
        </xdr:cNvPr>
        <xdr:cNvSpPr/>
      </xdr:nvSpPr>
      <xdr:spPr>
        <a:xfrm>
          <a:off x="2313215" y="8654143"/>
          <a:ext cx="5415643" cy="585107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300M COATED</a:t>
          </a:r>
          <a:r>
            <a:rPr lang="en-US" sz="40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: 14 PCS</a:t>
          </a:r>
          <a:endParaRPr lang="en-US" sz="40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19</xdr:col>
      <xdr:colOff>340179</xdr:colOff>
      <xdr:row>30</xdr:row>
      <xdr:rowOff>13607</xdr:rowOff>
    </xdr:from>
    <xdr:ext cx="5415643" cy="585107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9EB3CCF4-5788-424D-AC6D-0FAEC7FD18A6}"/>
            </a:ext>
          </a:extLst>
        </xdr:cNvPr>
        <xdr:cNvSpPr/>
      </xdr:nvSpPr>
      <xdr:spPr>
        <a:xfrm>
          <a:off x="8028215" y="8654143"/>
          <a:ext cx="5415643" cy="585107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251HS COATED</a:t>
          </a:r>
          <a:r>
            <a:rPr lang="en-US" sz="40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: 9 PCS</a:t>
          </a:r>
          <a:endParaRPr lang="en-US" sz="40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34</xdr:col>
      <xdr:colOff>2722</xdr:colOff>
      <xdr:row>30</xdr:row>
      <xdr:rowOff>16329</xdr:rowOff>
    </xdr:from>
    <xdr:ext cx="5415643" cy="585107"/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2BB66F36-C4BF-4971-833E-BB0F958B84EC}"/>
            </a:ext>
          </a:extLst>
        </xdr:cNvPr>
        <xdr:cNvSpPr/>
      </xdr:nvSpPr>
      <xdr:spPr>
        <a:xfrm>
          <a:off x="13732329" y="8656865"/>
          <a:ext cx="5415643" cy="585107"/>
        </a:xfrm>
        <a:prstGeom prst="rect">
          <a:avLst/>
        </a:prstGeom>
        <a:solidFill>
          <a:srgbClr val="FFFF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WATCO : 14 PCS.</a:t>
          </a:r>
        </a:p>
      </xdr:txBody>
    </xdr:sp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119062</xdr:colOff>
      <xdr:row>0</xdr:row>
      <xdr:rowOff>0</xdr:rowOff>
    </xdr:from>
    <xdr:ext cx="32423100" cy="1500187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D3DDA79-5F55-46F4-9E33-0BBFDB229BFB}"/>
            </a:ext>
          </a:extLst>
        </xdr:cNvPr>
        <xdr:cNvSpPr/>
      </xdr:nvSpPr>
      <xdr:spPr>
        <a:xfrm>
          <a:off x="1192789" y="0"/>
          <a:ext cx="32423100" cy="1500187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9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2025Q-10-105</a:t>
          </a:r>
          <a:r>
            <a:rPr lang="en-US" sz="96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72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Ø36" x 0.75" -</a:t>
          </a:r>
          <a:r>
            <a:rPr lang="en-US" sz="72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72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89 PIPES</a:t>
          </a:r>
        </a:p>
      </xdr:txBody>
    </xdr:sp>
    <xdr:clientData/>
  </xdr:oneCellAnchor>
  <xdr:oneCellAnchor>
    <xdr:from>
      <xdr:col>85</xdr:col>
      <xdr:colOff>547687</xdr:colOff>
      <xdr:row>41</xdr:row>
      <xdr:rowOff>380999</xdr:rowOff>
    </xdr:from>
    <xdr:ext cx="7868949" cy="76074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9723F95-2314-497C-81F9-4BC54DD58D85}"/>
            </a:ext>
          </a:extLst>
        </xdr:cNvPr>
        <xdr:cNvSpPr/>
      </xdr:nvSpPr>
      <xdr:spPr>
        <a:xfrm flipV="1">
          <a:off x="49106137" y="20469224"/>
          <a:ext cx="7868949" cy="76074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rgbClr val="CCFFCC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0</xdr:colOff>
      <xdr:row>111</xdr:row>
      <xdr:rowOff>119991</xdr:rowOff>
    </xdr:from>
    <xdr:ext cx="2424545" cy="734288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87A7B60D-C6D5-4215-8622-976D0122DC50}"/>
            </a:ext>
          </a:extLst>
        </xdr:cNvPr>
        <xdr:cNvSpPr/>
      </xdr:nvSpPr>
      <xdr:spPr>
        <a:xfrm>
          <a:off x="0" y="25704141"/>
          <a:ext cx="2424545" cy="734288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0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0</xdr:colOff>
      <xdr:row>114</xdr:row>
      <xdr:rowOff>64328</xdr:rowOff>
    </xdr:from>
    <xdr:ext cx="2459182" cy="680357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F5FB98DA-1F4A-498E-9E0A-B2293BB1BE12}"/>
            </a:ext>
          </a:extLst>
        </xdr:cNvPr>
        <xdr:cNvSpPr/>
      </xdr:nvSpPr>
      <xdr:spPr>
        <a:xfrm>
          <a:off x="0" y="26705753"/>
          <a:ext cx="2459182" cy="680357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twoCellAnchor>
    <xdr:from>
      <xdr:col>23</xdr:col>
      <xdr:colOff>23510</xdr:colOff>
      <xdr:row>111</xdr:row>
      <xdr:rowOff>3710</xdr:rowOff>
    </xdr:from>
    <xdr:to>
      <xdr:col>24</xdr:col>
      <xdr:colOff>145972</xdr:colOff>
      <xdr:row>120</xdr:row>
      <xdr:rowOff>259772</xdr:rowOff>
    </xdr:to>
    <xdr:sp macro="" textlink="">
      <xdr:nvSpPr>
        <xdr:cNvPr id="6" name="Left Bracket 5">
          <a:extLst>
            <a:ext uri="{FF2B5EF4-FFF2-40B4-BE49-F238E27FC236}">
              <a16:creationId xmlns:a16="http://schemas.microsoft.com/office/drawing/2014/main" id="{F6AB732A-DB17-400D-AF2F-55DF93B1C125}"/>
            </a:ext>
          </a:extLst>
        </xdr:cNvPr>
        <xdr:cNvSpPr/>
      </xdr:nvSpPr>
      <xdr:spPr>
        <a:xfrm rot="10800000" flipH="1">
          <a:off x="11948810" y="25587860"/>
          <a:ext cx="789212" cy="3323112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58</xdr:col>
      <xdr:colOff>33399</xdr:colOff>
      <xdr:row>112</xdr:row>
      <xdr:rowOff>56036</xdr:rowOff>
    </xdr:from>
    <xdr:to>
      <xdr:col>58</xdr:col>
      <xdr:colOff>49599</xdr:colOff>
      <xdr:row>120</xdr:row>
      <xdr:rowOff>122464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BBB9FD6F-764B-4517-8D32-8FA46551AF58}"/>
            </a:ext>
          </a:extLst>
        </xdr:cNvPr>
        <xdr:cNvCxnSpPr/>
      </xdr:nvCxnSpPr>
      <xdr:spPr>
        <a:xfrm flipH="1">
          <a:off x="30027624" y="26068811"/>
          <a:ext cx="16200" cy="2704853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71436</xdr:colOff>
      <xdr:row>44</xdr:row>
      <xdr:rowOff>422413</xdr:rowOff>
    </xdr:from>
    <xdr:to>
      <xdr:col>22</xdr:col>
      <xdr:colOff>95248</xdr:colOff>
      <xdr:row>119</xdr:row>
      <xdr:rowOff>86278</xdr:rowOff>
    </xdr:to>
    <xdr:sp macro="" textlink="$BW$143">
      <xdr:nvSpPr>
        <xdr:cNvPr id="8" name="Flowchart: Data 7">
          <a:extLst>
            <a:ext uri="{FF2B5EF4-FFF2-40B4-BE49-F238E27FC236}">
              <a16:creationId xmlns:a16="http://schemas.microsoft.com/office/drawing/2014/main" id="{97EDF8FD-077B-46BA-956D-7C1A6BD609DB}"/>
            </a:ext>
          </a:extLst>
        </xdr:cNvPr>
        <xdr:cNvSpPr/>
      </xdr:nvSpPr>
      <xdr:spPr>
        <a:xfrm flipH="1">
          <a:off x="4857749" y="27378163"/>
          <a:ext cx="7143749" cy="3450053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FF8181"/>
          </a:solidFill>
        </a:ln>
        <a:effectLst>
          <a:glow rad="139700">
            <a:srgbClr val="FF8181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8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 Rate:                                                      </a:t>
          </a:r>
          <a:fld id="{BC4FE271-5385-4578-93BA-0F4EBFD96F48}" type="TxLink">
            <a:rPr lang="en-US" sz="96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2.12%</a:t>
          </a:fld>
          <a:endParaRPr lang="en-US" sz="333300" b="1" i="0" u="none" strike="noStrike">
            <a:solidFill>
              <a:schemeClr val="bg1"/>
            </a:solidFill>
            <a:effectLst>
              <a:glow rad="139700">
                <a:schemeClr val="accent2">
                  <a:alpha val="40000"/>
                </a:schemeClr>
              </a:glow>
            </a:effectLst>
            <a:latin typeface="Trade Gothic Inline" panose="020B0504030203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68</xdr:col>
      <xdr:colOff>231322</xdr:colOff>
      <xdr:row>111</xdr:row>
      <xdr:rowOff>27214</xdr:rowOff>
    </xdr:from>
    <xdr:to>
      <xdr:col>69</xdr:col>
      <xdr:colOff>348834</xdr:colOff>
      <xdr:row>120</xdr:row>
      <xdr:rowOff>192973</xdr:rowOff>
    </xdr:to>
    <xdr:sp macro="" textlink="">
      <xdr:nvSpPr>
        <xdr:cNvPr id="9" name="Left Bracket 8">
          <a:extLst>
            <a:ext uri="{FF2B5EF4-FFF2-40B4-BE49-F238E27FC236}">
              <a16:creationId xmlns:a16="http://schemas.microsoft.com/office/drawing/2014/main" id="{76403456-05B9-49A7-9362-FE00C4D9D7E5}"/>
            </a:ext>
          </a:extLst>
        </xdr:cNvPr>
        <xdr:cNvSpPr/>
      </xdr:nvSpPr>
      <xdr:spPr>
        <a:xfrm flipH="1">
          <a:off x="35864347" y="25611364"/>
          <a:ext cx="784262" cy="3232809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46</xdr:col>
      <xdr:colOff>34635</xdr:colOff>
      <xdr:row>111</xdr:row>
      <xdr:rowOff>259773</xdr:rowOff>
    </xdr:from>
    <xdr:to>
      <xdr:col>46</xdr:col>
      <xdr:colOff>50835</xdr:colOff>
      <xdr:row>120</xdr:row>
      <xdr:rowOff>49110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829EDA4F-BA03-408A-92A4-0681B4FFCB55}"/>
            </a:ext>
          </a:extLst>
        </xdr:cNvPr>
        <xdr:cNvCxnSpPr/>
      </xdr:nvCxnSpPr>
      <xdr:spPr>
        <a:xfrm flipH="1">
          <a:off x="23894760" y="25843923"/>
          <a:ext cx="16200" cy="2856387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112</xdr:row>
      <xdr:rowOff>34637</xdr:rowOff>
    </xdr:from>
    <xdr:to>
      <xdr:col>35</xdr:col>
      <xdr:colOff>16200</xdr:colOff>
      <xdr:row>120</xdr:row>
      <xdr:rowOff>101065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9BC2FC05-BABF-4F19-A580-9BE2524CB6F8}"/>
            </a:ext>
          </a:extLst>
        </xdr:cNvPr>
        <xdr:cNvCxnSpPr/>
      </xdr:nvCxnSpPr>
      <xdr:spPr>
        <a:xfrm flipH="1">
          <a:off x="18078450" y="26047412"/>
          <a:ext cx="16200" cy="2704853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0</xdr:col>
      <xdr:colOff>23812</xdr:colOff>
      <xdr:row>117</xdr:row>
      <xdr:rowOff>95249</xdr:rowOff>
    </xdr:from>
    <xdr:ext cx="2952749" cy="680357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EA064E30-8A3C-4F32-8520-A40080DBAC00}"/>
            </a:ext>
          </a:extLst>
        </xdr:cNvPr>
        <xdr:cNvSpPr/>
      </xdr:nvSpPr>
      <xdr:spPr>
        <a:xfrm>
          <a:off x="23812" y="29979937"/>
          <a:ext cx="2952749" cy="680357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Carbozinc:</a:t>
          </a:r>
        </a:p>
      </xdr:txBody>
    </xdr:sp>
    <xdr:clientData/>
  </xdr:oneCellAnchor>
  <xdr:oneCellAnchor>
    <xdr:from>
      <xdr:col>52</xdr:col>
      <xdr:colOff>71437</xdr:colOff>
      <xdr:row>44</xdr:row>
      <xdr:rowOff>114735</xdr:rowOff>
    </xdr:from>
    <xdr:ext cx="4468090" cy="666750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2DDC9770-18A6-4970-A4B0-31A20CA8816B}"/>
            </a:ext>
          </a:extLst>
        </xdr:cNvPr>
        <xdr:cNvSpPr/>
      </xdr:nvSpPr>
      <xdr:spPr>
        <a:xfrm>
          <a:off x="27717750" y="27070485"/>
          <a:ext cx="4468090" cy="666750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Clutch T.W.: 87  </a:t>
          </a:r>
          <a:endParaRPr lang="en-US" sz="40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62</xdr:col>
      <xdr:colOff>-1</xdr:colOff>
      <xdr:row>44</xdr:row>
      <xdr:rowOff>95251</xdr:rowOff>
    </xdr:from>
    <xdr:ext cx="3948545" cy="680357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D2997AEF-946F-4A23-B2EF-323C9D00907F}"/>
            </a:ext>
          </a:extLst>
        </xdr:cNvPr>
        <xdr:cNvSpPr/>
      </xdr:nvSpPr>
      <xdr:spPr>
        <a:xfrm>
          <a:off x="32861249" y="27051001"/>
          <a:ext cx="3948545" cy="680357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Clutch</a:t>
          </a:r>
          <a:r>
            <a:rPr lang="en-US" sz="40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W.O.</a:t>
          </a:r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: 87</a:t>
          </a:r>
        </a:p>
      </xdr:txBody>
    </xdr:sp>
    <xdr:clientData/>
  </xdr:oneCellAnchor>
  <xdr:oneCellAnchor>
    <xdr:from>
      <xdr:col>0</xdr:col>
      <xdr:colOff>119062</xdr:colOff>
      <xdr:row>119</xdr:row>
      <xdr:rowOff>71437</xdr:rowOff>
    </xdr:from>
    <xdr:ext cx="2952749" cy="680357"/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14349349-9F95-4AAB-A888-B32899231932}"/>
            </a:ext>
          </a:extLst>
        </xdr:cNvPr>
        <xdr:cNvSpPr/>
      </xdr:nvSpPr>
      <xdr:spPr>
        <a:xfrm>
          <a:off x="119062" y="30813375"/>
          <a:ext cx="2952749" cy="680357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Carboguard:</a:t>
          </a:r>
        </a:p>
      </xdr:txBody>
    </xdr:sp>
    <xdr:clientData/>
  </xdr:oneCellAnchor>
  <xdr:oneCellAnchor>
    <xdr:from>
      <xdr:col>42</xdr:col>
      <xdr:colOff>23813</xdr:colOff>
      <xdr:row>43</xdr:row>
      <xdr:rowOff>309562</xdr:rowOff>
    </xdr:from>
    <xdr:ext cx="4831773" cy="969818"/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B8BB03D1-C1BA-48BD-B835-6AD698619D49}"/>
            </a:ext>
          </a:extLst>
        </xdr:cNvPr>
        <xdr:cNvSpPr/>
      </xdr:nvSpPr>
      <xdr:spPr>
        <a:xfrm>
          <a:off x="22288501" y="26812875"/>
          <a:ext cx="4831773" cy="969818"/>
        </a:xfrm>
        <a:prstGeom prst="rect">
          <a:avLst/>
        </a:prstGeom>
        <a:solidFill>
          <a:srgbClr val="FFFF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48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WATCO : 89</a:t>
          </a:r>
          <a:endParaRPr lang="en-US" sz="48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138546</xdr:colOff>
      <xdr:row>31</xdr:row>
      <xdr:rowOff>67440</xdr:rowOff>
    </xdr:from>
    <xdr:ext cx="3498273" cy="937014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484D03B-B7A5-4BEF-B75D-33153E9EE68F}"/>
            </a:ext>
          </a:extLst>
        </xdr:cNvPr>
        <xdr:cNvSpPr/>
      </xdr:nvSpPr>
      <xdr:spPr>
        <a:xfrm>
          <a:off x="138546" y="12564240"/>
          <a:ext cx="3498273" cy="937014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8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8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14</xdr:col>
      <xdr:colOff>17318</xdr:colOff>
      <xdr:row>31</xdr:row>
      <xdr:rowOff>47011</xdr:rowOff>
    </xdr:from>
    <xdr:ext cx="3671455" cy="836216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A613A50-7762-4FFC-A211-B3CDA3448C25}"/>
            </a:ext>
          </a:extLst>
        </xdr:cNvPr>
        <xdr:cNvSpPr/>
      </xdr:nvSpPr>
      <xdr:spPr>
        <a:xfrm>
          <a:off x="5694218" y="12543811"/>
          <a:ext cx="3671455" cy="836216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8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twoCellAnchor>
    <xdr:from>
      <xdr:col>0</xdr:col>
      <xdr:colOff>51954</xdr:colOff>
      <xdr:row>36</xdr:row>
      <xdr:rowOff>202050</xdr:rowOff>
    </xdr:from>
    <xdr:to>
      <xdr:col>19</xdr:col>
      <xdr:colOff>69272</xdr:colOff>
      <xdr:row>44</xdr:row>
      <xdr:rowOff>277092</xdr:rowOff>
    </xdr:to>
    <xdr:sp macro="" textlink="$AY$81">
      <xdr:nvSpPr>
        <xdr:cNvPr id="4" name="Flowchart: Data 3">
          <a:extLst>
            <a:ext uri="{FF2B5EF4-FFF2-40B4-BE49-F238E27FC236}">
              <a16:creationId xmlns:a16="http://schemas.microsoft.com/office/drawing/2014/main" id="{D1535D93-4340-421E-AA59-3EB7C023F699}"/>
            </a:ext>
          </a:extLst>
        </xdr:cNvPr>
        <xdr:cNvSpPr/>
      </xdr:nvSpPr>
      <xdr:spPr>
        <a:xfrm flipH="1">
          <a:off x="51954" y="14004641"/>
          <a:ext cx="7671954" cy="3504042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FF8181"/>
          </a:solidFill>
        </a:ln>
        <a:effectLst>
          <a:glow rad="139700">
            <a:srgbClr val="FF8181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54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 rATE:                                                     </a:t>
          </a:r>
          <a:fld id="{36030447-1309-4BF6-99E9-73AF744A2353}" type="TxLink">
            <a:rPr lang="en-US" sz="115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8.53%</a:t>
          </a:fld>
          <a:endParaRPr lang="en-US" sz="333300" b="1" i="0" u="none" strike="noStrike">
            <a:solidFill>
              <a:schemeClr val="bg1"/>
            </a:solidFill>
            <a:effectLst>
              <a:glow rad="139700">
                <a:schemeClr val="accent2">
                  <a:alpha val="40000"/>
                </a:schemeClr>
              </a:glow>
            </a:effectLst>
            <a:latin typeface="Trade Gothic Inline" panose="020B0504030203020204" pitchFamily="34" charset="0"/>
            <a:ea typeface="Calibri"/>
            <a:cs typeface="Calibri"/>
          </a:endParaRPr>
        </a:p>
      </xdr:txBody>
    </xdr:sp>
    <xdr:clientData/>
  </xdr:twoCellAnchor>
  <xdr:oneCellAnchor>
    <xdr:from>
      <xdr:col>3</xdr:col>
      <xdr:colOff>103908</xdr:colOff>
      <xdr:row>0</xdr:row>
      <xdr:rowOff>816427</xdr:rowOff>
    </xdr:from>
    <xdr:ext cx="24228137" cy="536864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2B2A54FF-6F62-41AE-A259-7CB21969FDB1}"/>
            </a:ext>
          </a:extLst>
        </xdr:cNvPr>
        <xdr:cNvSpPr/>
      </xdr:nvSpPr>
      <xdr:spPr>
        <a:xfrm>
          <a:off x="1370733" y="816427"/>
          <a:ext cx="24228137" cy="536864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66FF33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2025Q-12-112SN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75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-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60 " x 1" - 30 Pipes </a:t>
          </a:r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chemeClr val="accent1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twoCellAnchor>
    <xdr:from>
      <xdr:col>21</xdr:col>
      <xdr:colOff>75465</xdr:colOff>
      <xdr:row>34</xdr:row>
      <xdr:rowOff>259772</xdr:rowOff>
    </xdr:from>
    <xdr:to>
      <xdr:col>22</xdr:col>
      <xdr:colOff>197927</xdr:colOff>
      <xdr:row>47</xdr:row>
      <xdr:rowOff>51955</xdr:rowOff>
    </xdr:to>
    <xdr:sp macro="" textlink="">
      <xdr:nvSpPr>
        <xdr:cNvPr id="6" name="Left Bracket 5">
          <a:extLst>
            <a:ext uri="{FF2B5EF4-FFF2-40B4-BE49-F238E27FC236}">
              <a16:creationId xmlns:a16="http://schemas.microsoft.com/office/drawing/2014/main" id="{97A24BF3-36BA-4E18-998D-9E79D053C2B6}"/>
            </a:ext>
          </a:extLst>
        </xdr:cNvPr>
        <xdr:cNvSpPr/>
      </xdr:nvSpPr>
      <xdr:spPr>
        <a:xfrm rot="10800000" flipH="1">
          <a:off x="8419365" y="13499522"/>
          <a:ext cx="836837" cy="4507058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56</xdr:col>
      <xdr:colOff>31883</xdr:colOff>
      <xdr:row>36</xdr:row>
      <xdr:rowOff>86591</xdr:rowOff>
    </xdr:from>
    <xdr:to>
      <xdr:col>56</xdr:col>
      <xdr:colOff>51954</xdr:colOff>
      <xdr:row>48</xdr:row>
      <xdr:rowOff>17318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FF49D788-E704-4BDB-A2CA-C3A39C96CE3F}"/>
            </a:ext>
          </a:extLst>
        </xdr:cNvPr>
        <xdr:cNvCxnSpPr/>
      </xdr:nvCxnSpPr>
      <xdr:spPr>
        <a:xfrm flipH="1">
          <a:off x="22510883" y="13907366"/>
          <a:ext cx="20071" cy="4140777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66</xdr:col>
      <xdr:colOff>404504</xdr:colOff>
      <xdr:row>35</xdr:row>
      <xdr:rowOff>9895</xdr:rowOff>
    </xdr:from>
    <xdr:to>
      <xdr:col>68</xdr:col>
      <xdr:colOff>160932</xdr:colOff>
      <xdr:row>48</xdr:row>
      <xdr:rowOff>51954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574B6A38-0F0A-4F5C-9C5D-BFE17687CFA4}"/>
            </a:ext>
          </a:extLst>
        </xdr:cNvPr>
        <xdr:cNvSpPr/>
      </xdr:nvSpPr>
      <xdr:spPr>
        <a:xfrm flipH="1">
          <a:off x="26922104" y="13525870"/>
          <a:ext cx="756553" cy="4556909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44</xdr:col>
      <xdr:colOff>34635</xdr:colOff>
      <xdr:row>36</xdr:row>
      <xdr:rowOff>86591</xdr:rowOff>
    </xdr:from>
    <xdr:to>
      <xdr:col>44</xdr:col>
      <xdr:colOff>59691</xdr:colOff>
      <xdr:row>47</xdr:row>
      <xdr:rowOff>31792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28940F30-107D-4CAF-A25E-04A0A0FB7BB7}"/>
            </a:ext>
          </a:extLst>
        </xdr:cNvPr>
        <xdr:cNvCxnSpPr/>
      </xdr:nvCxnSpPr>
      <xdr:spPr>
        <a:xfrm flipH="1">
          <a:off x="17827335" y="13907366"/>
          <a:ext cx="25056" cy="4079051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277091</xdr:colOff>
      <xdr:row>36</xdr:row>
      <xdr:rowOff>-1</xdr:rowOff>
    </xdr:from>
    <xdr:to>
      <xdr:col>33</xdr:col>
      <xdr:colOff>8352</xdr:colOff>
      <xdr:row>46</xdr:row>
      <xdr:rowOff>239610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33AE614F-DF22-44D7-86E4-8BD3BEC7B23A}"/>
            </a:ext>
          </a:extLst>
        </xdr:cNvPr>
        <xdr:cNvCxnSpPr/>
      </xdr:nvCxnSpPr>
      <xdr:spPr>
        <a:xfrm flipH="1">
          <a:off x="13373966" y="13820774"/>
          <a:ext cx="17011" cy="4097236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29</xdr:col>
      <xdr:colOff>242456</xdr:colOff>
      <xdr:row>31</xdr:row>
      <xdr:rowOff>1</xdr:rowOff>
    </xdr:from>
    <xdr:ext cx="4433453" cy="969818"/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829C435C-ABB7-4E4B-B0E0-FD22CEF17B8D}"/>
            </a:ext>
          </a:extLst>
        </xdr:cNvPr>
        <xdr:cNvSpPr/>
      </xdr:nvSpPr>
      <xdr:spPr>
        <a:xfrm>
          <a:off x="11914911" y="12469092"/>
          <a:ext cx="4433453" cy="969818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48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CTE COATED:</a:t>
          </a:r>
          <a:endParaRPr lang="en-US" sz="48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57</xdr:col>
      <xdr:colOff>86592</xdr:colOff>
      <xdr:row>25</xdr:row>
      <xdr:rowOff>34636</xdr:rowOff>
    </xdr:from>
    <xdr:ext cx="4831773" cy="969818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14D41A9E-5047-4DA0-B76C-6BC3EAE02989}"/>
            </a:ext>
          </a:extLst>
        </xdr:cNvPr>
        <xdr:cNvSpPr/>
      </xdr:nvSpPr>
      <xdr:spPr>
        <a:xfrm>
          <a:off x="23154410" y="10390909"/>
          <a:ext cx="4831773" cy="969818"/>
        </a:xfrm>
        <a:prstGeom prst="rect">
          <a:avLst/>
        </a:prstGeom>
        <a:solidFill>
          <a:srgbClr val="FFFF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48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WATCO : 30</a:t>
          </a:r>
          <a:endParaRPr lang="en-US" sz="48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46</xdr:col>
      <xdr:colOff>17319</xdr:colOff>
      <xdr:row>31</xdr:row>
      <xdr:rowOff>173182</xdr:rowOff>
    </xdr:from>
    <xdr:ext cx="4468090" cy="666750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48BFCA6D-4AFC-43DD-B4F5-718412B4609B}"/>
            </a:ext>
          </a:extLst>
        </xdr:cNvPr>
        <xdr:cNvSpPr/>
      </xdr:nvSpPr>
      <xdr:spPr>
        <a:xfrm>
          <a:off x="18357274" y="12642273"/>
          <a:ext cx="4468090" cy="666750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Clutch T.W.: 30    </a:t>
          </a:r>
          <a:endParaRPr lang="en-US" sz="40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58</xdr:col>
      <xdr:colOff>138546</xdr:colOff>
      <xdr:row>31</xdr:row>
      <xdr:rowOff>153698</xdr:rowOff>
    </xdr:from>
    <xdr:ext cx="3948545" cy="680357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52512D18-7A1F-4262-A367-11EDB85EC3D2}"/>
            </a:ext>
          </a:extLst>
        </xdr:cNvPr>
        <xdr:cNvSpPr/>
      </xdr:nvSpPr>
      <xdr:spPr>
        <a:xfrm>
          <a:off x="23500773" y="12622789"/>
          <a:ext cx="3948545" cy="680357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Clutch</a:t>
          </a:r>
          <a:r>
            <a:rPr lang="en-US" sz="40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W.O.</a:t>
          </a:r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: 29</a:t>
          </a:r>
        </a:p>
      </xdr:txBody>
    </xdr:sp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192355</xdr:colOff>
      <xdr:row>31</xdr:row>
      <xdr:rowOff>246662</xdr:rowOff>
    </xdr:from>
    <xdr:ext cx="2651538" cy="73428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A904E19-3F28-4332-A443-DA3D569ABBFA}"/>
            </a:ext>
          </a:extLst>
        </xdr:cNvPr>
        <xdr:cNvSpPr/>
      </xdr:nvSpPr>
      <xdr:spPr>
        <a:xfrm>
          <a:off x="192355" y="9066812"/>
          <a:ext cx="2651538" cy="734288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4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251517</xdr:colOff>
      <xdr:row>34</xdr:row>
      <xdr:rowOff>28330</xdr:rowOff>
    </xdr:from>
    <xdr:ext cx="2592377" cy="680357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B3F712C-9A90-4444-A39B-FDA38C047FD8}"/>
            </a:ext>
          </a:extLst>
        </xdr:cNvPr>
        <xdr:cNvSpPr/>
      </xdr:nvSpPr>
      <xdr:spPr>
        <a:xfrm>
          <a:off x="251517" y="10201030"/>
          <a:ext cx="2592377" cy="680357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oneCellAnchor>
    <xdr:from>
      <xdr:col>0</xdr:col>
      <xdr:colOff>0</xdr:colOff>
      <xdr:row>0</xdr:row>
      <xdr:rowOff>1790978</xdr:rowOff>
    </xdr:from>
    <xdr:ext cx="19876467" cy="1134555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C060D09-7105-4B91-9C2F-8DE6D5654372}"/>
            </a:ext>
          </a:extLst>
        </xdr:cNvPr>
        <xdr:cNvSpPr/>
      </xdr:nvSpPr>
      <xdr:spPr>
        <a:xfrm>
          <a:off x="0" y="1790978"/>
          <a:ext cx="19876467" cy="1134555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2025Q-10-108JT PROJECT </a:t>
          </a:r>
        </a:p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75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>
                  <a:lumMod val="20000"/>
                  <a:lumOff val="8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84 " x 0.5 " - 16 Pipes </a:t>
          </a:r>
        </a:p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</xdr:txBody>
    </xdr:sp>
    <xdr:clientData/>
  </xdr:oneCellAnchor>
  <xdr:twoCellAnchor>
    <xdr:from>
      <xdr:col>1</xdr:col>
      <xdr:colOff>81640</xdr:colOff>
      <xdr:row>35</xdr:row>
      <xdr:rowOff>680358</xdr:rowOff>
    </xdr:from>
    <xdr:to>
      <xdr:col>13</xdr:col>
      <xdr:colOff>54427</xdr:colOff>
      <xdr:row>41</xdr:row>
      <xdr:rowOff>489859</xdr:rowOff>
    </xdr:to>
    <xdr:sp macro="" textlink="$AY$50">
      <xdr:nvSpPr>
        <xdr:cNvPr id="5" name="Flowchart: Data 4">
          <a:extLst>
            <a:ext uri="{FF2B5EF4-FFF2-40B4-BE49-F238E27FC236}">
              <a16:creationId xmlns:a16="http://schemas.microsoft.com/office/drawing/2014/main" id="{AF9E79E5-ABC6-424D-B700-EEEAAC9B3B35}"/>
            </a:ext>
          </a:extLst>
        </xdr:cNvPr>
        <xdr:cNvSpPr/>
      </xdr:nvSpPr>
      <xdr:spPr>
        <a:xfrm flipH="1">
          <a:off x="353783" y="11538858"/>
          <a:ext cx="5007430" cy="2422072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75DBFF"/>
          </a:solidFill>
        </a:ln>
        <a:effectLst>
          <a:glow rad="101600">
            <a:schemeClr val="accent1">
              <a:satMod val="175000"/>
              <a:alpha val="40000"/>
            </a:scheme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200" b="1" i="0" u="none" strike="noStrike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 Rate:                              </a:t>
          </a:r>
          <a:fld id="{0EA3E2A2-9E7A-4CAC-9326-3CB21DFFE5DC}" type="TxLink">
            <a:rPr lang="en-US" sz="6600" b="1" i="0" u="none" strike="noStrike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0.38%</a:t>
          </a:fld>
          <a:endParaRPr lang="en-US" sz="333300" b="1">
            <a:solidFill>
              <a:schemeClr val="bg1"/>
            </a:solidFill>
            <a:effectLst>
              <a:glow rad="228600">
                <a:srgbClr val="75FFF2">
                  <a:alpha val="40000"/>
                </a:srgbClr>
              </a:glow>
            </a:effectLst>
            <a:latin typeface="Trade Gothic Inline" panose="020B0504030203020204" pitchFamily="34" charset="0"/>
          </a:endParaRPr>
        </a:p>
      </xdr:txBody>
    </xdr:sp>
    <xdr:clientData/>
  </xdr:twoCellAnchor>
  <xdr:twoCellAnchor>
    <xdr:from>
      <xdr:col>34</xdr:col>
      <xdr:colOff>143837</xdr:colOff>
      <xdr:row>31</xdr:row>
      <xdr:rowOff>176895</xdr:rowOff>
    </xdr:from>
    <xdr:to>
      <xdr:col>34</xdr:col>
      <xdr:colOff>143837</xdr:colOff>
      <xdr:row>41</xdr:row>
      <xdr:rowOff>489859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6F3C16A-5B4F-46C8-922A-110655169079}"/>
            </a:ext>
          </a:extLst>
        </xdr:cNvPr>
        <xdr:cNvCxnSpPr/>
      </xdr:nvCxnSpPr>
      <xdr:spPr>
        <a:xfrm>
          <a:off x="13897937" y="8997045"/>
          <a:ext cx="0" cy="4961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136066</xdr:colOff>
      <xdr:row>31</xdr:row>
      <xdr:rowOff>54428</xdr:rowOff>
    </xdr:from>
    <xdr:to>
      <xdr:col>49</xdr:col>
      <xdr:colOff>163278</xdr:colOff>
      <xdr:row>41</xdr:row>
      <xdr:rowOff>683559</xdr:rowOff>
    </xdr:to>
    <xdr:sp macro="" textlink="">
      <xdr:nvSpPr>
        <xdr:cNvPr id="7" name="Left Bracket 6">
          <a:extLst>
            <a:ext uri="{FF2B5EF4-FFF2-40B4-BE49-F238E27FC236}">
              <a16:creationId xmlns:a16="http://schemas.microsoft.com/office/drawing/2014/main" id="{7E9F05EC-A428-42DF-AAC0-788148FA1836}"/>
            </a:ext>
          </a:extLst>
        </xdr:cNvPr>
        <xdr:cNvSpPr/>
      </xdr:nvSpPr>
      <xdr:spPr>
        <a:xfrm flipH="1">
          <a:off x="19576591" y="8874578"/>
          <a:ext cx="398687" cy="5277331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15</xdr:col>
      <xdr:colOff>40825</xdr:colOff>
      <xdr:row>31</xdr:row>
      <xdr:rowOff>176890</xdr:rowOff>
    </xdr:from>
    <xdr:to>
      <xdr:col>16</xdr:col>
      <xdr:colOff>163287</xdr:colOff>
      <xdr:row>41</xdr:row>
      <xdr:rowOff>721177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980AD1FA-9F97-4CC4-B105-78D346BFEFB3}"/>
            </a:ext>
          </a:extLst>
        </xdr:cNvPr>
        <xdr:cNvSpPr/>
      </xdr:nvSpPr>
      <xdr:spPr>
        <a:xfrm rot="10800000" flipH="1">
          <a:off x="6089200" y="8997040"/>
          <a:ext cx="398687" cy="5192487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122465</xdr:colOff>
      <xdr:row>35</xdr:row>
      <xdr:rowOff>190499</xdr:rowOff>
    </xdr:from>
    <xdr:to>
      <xdr:col>9</xdr:col>
      <xdr:colOff>122465</xdr:colOff>
      <xdr:row>35</xdr:row>
      <xdr:rowOff>217714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2BD21013-05FB-4660-AE4E-5BAB179AAB6F}"/>
            </a:ext>
          </a:extLst>
        </xdr:cNvPr>
        <xdr:cNvCxnSpPr/>
      </xdr:nvCxnSpPr>
      <xdr:spPr>
        <a:xfrm flipH="1" flipV="1">
          <a:off x="122465" y="11058524"/>
          <a:ext cx="3657600" cy="27215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27214</xdr:colOff>
      <xdr:row>35</xdr:row>
      <xdr:rowOff>802821</xdr:rowOff>
    </xdr:from>
    <xdr:to>
      <xdr:col>34</xdr:col>
      <xdr:colOff>27214</xdr:colOff>
      <xdr:row>35</xdr:row>
      <xdr:rowOff>802821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61393FDE-93DF-4CF7-8914-8AD57B43530D}"/>
            </a:ext>
          </a:extLst>
        </xdr:cNvPr>
        <xdr:cNvCxnSpPr/>
      </xdr:nvCxnSpPr>
      <xdr:spPr>
        <a:xfrm>
          <a:off x="9371239" y="11670846"/>
          <a:ext cx="4410075" cy="0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122464</xdr:colOff>
      <xdr:row>31</xdr:row>
      <xdr:rowOff>272143</xdr:rowOff>
    </xdr:from>
    <xdr:to>
      <xdr:col>22</xdr:col>
      <xdr:colOff>122464</xdr:colOff>
      <xdr:row>41</xdr:row>
      <xdr:rowOff>585107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9384A230-16DF-46A9-A1C2-BE7044543785}"/>
            </a:ext>
          </a:extLst>
        </xdr:cNvPr>
        <xdr:cNvCxnSpPr/>
      </xdr:nvCxnSpPr>
      <xdr:spPr>
        <a:xfrm>
          <a:off x="9180739" y="9092293"/>
          <a:ext cx="0" cy="4961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0</xdr:col>
      <xdr:colOff>149678</xdr:colOff>
      <xdr:row>30</xdr:row>
      <xdr:rowOff>1115786</xdr:rowOff>
    </xdr:from>
    <xdr:ext cx="5576454" cy="658089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1853D973-7967-4F3E-9A80-9AC302D5044E}"/>
            </a:ext>
          </a:extLst>
        </xdr:cNvPr>
        <xdr:cNvSpPr/>
      </xdr:nvSpPr>
      <xdr:spPr>
        <a:xfrm>
          <a:off x="149678" y="8164286"/>
          <a:ext cx="5576454" cy="658089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3600" b="1" i="1" cap="none" spc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228600">
                  <a:schemeClr val="accent6">
                    <a:satMod val="175000"/>
                    <a:alpha val="40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Carbozinc 11: 14 pcs.</a:t>
          </a:r>
        </a:p>
      </xdr:txBody>
    </xdr:sp>
    <xdr:clientData/>
  </xdr:oneCellAnchor>
  <xdr:oneCellAnchor>
    <xdr:from>
      <xdr:col>0</xdr:col>
      <xdr:colOff>122464</xdr:colOff>
      <xdr:row>30</xdr:row>
      <xdr:rowOff>299357</xdr:rowOff>
    </xdr:from>
    <xdr:ext cx="5576454" cy="658089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47BF2B82-2A15-4977-8FB7-F99794EE37B4}"/>
            </a:ext>
          </a:extLst>
        </xdr:cNvPr>
        <xdr:cNvSpPr/>
      </xdr:nvSpPr>
      <xdr:spPr>
        <a:xfrm>
          <a:off x="122464" y="7347857"/>
          <a:ext cx="5576454" cy="658089"/>
        </a:xfrm>
        <a:prstGeom prst="rect">
          <a:avLst/>
        </a:prstGeom>
        <a:solidFill>
          <a:srgbClr val="FFFF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3600" b="1" i="1" cap="none" spc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228600">
                  <a:schemeClr val="accent6">
                    <a:satMod val="175000"/>
                    <a:alpha val="40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CUSTOMER : 16 </a:t>
          </a:r>
        </a:p>
      </xdr:txBody>
    </xdr:sp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138546</xdr:colOff>
      <xdr:row>31</xdr:row>
      <xdr:rowOff>67440</xdr:rowOff>
    </xdr:from>
    <xdr:ext cx="3498273" cy="937014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CDB9BC5-6C6C-476D-A210-2896DF71F9D3}"/>
            </a:ext>
          </a:extLst>
        </xdr:cNvPr>
        <xdr:cNvSpPr/>
      </xdr:nvSpPr>
      <xdr:spPr>
        <a:xfrm>
          <a:off x="138546" y="12564240"/>
          <a:ext cx="3498273" cy="937014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8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8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14</xdr:col>
      <xdr:colOff>17318</xdr:colOff>
      <xdr:row>31</xdr:row>
      <xdr:rowOff>47011</xdr:rowOff>
    </xdr:from>
    <xdr:ext cx="3671455" cy="836216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39C19C4-1DDA-41F7-9983-5B42DBE9E92C}"/>
            </a:ext>
          </a:extLst>
        </xdr:cNvPr>
        <xdr:cNvSpPr/>
      </xdr:nvSpPr>
      <xdr:spPr>
        <a:xfrm>
          <a:off x="5694218" y="12543811"/>
          <a:ext cx="3671455" cy="836216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8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twoCellAnchor>
    <xdr:from>
      <xdr:col>0</xdr:col>
      <xdr:colOff>51953</xdr:colOff>
      <xdr:row>36</xdr:row>
      <xdr:rowOff>202049</xdr:rowOff>
    </xdr:from>
    <xdr:to>
      <xdr:col>19</xdr:col>
      <xdr:colOff>294408</xdr:colOff>
      <xdr:row>46</xdr:row>
      <xdr:rowOff>242454</xdr:rowOff>
    </xdr:to>
    <xdr:sp macro="" textlink="$AY$81">
      <xdr:nvSpPr>
        <xdr:cNvPr id="4" name="Flowchart: Data 3">
          <a:extLst>
            <a:ext uri="{FF2B5EF4-FFF2-40B4-BE49-F238E27FC236}">
              <a16:creationId xmlns:a16="http://schemas.microsoft.com/office/drawing/2014/main" id="{993CAF3F-A844-4FA7-B35D-087827990E97}"/>
            </a:ext>
          </a:extLst>
        </xdr:cNvPr>
        <xdr:cNvSpPr/>
      </xdr:nvSpPr>
      <xdr:spPr>
        <a:xfrm flipH="1">
          <a:off x="51953" y="14004640"/>
          <a:ext cx="7897091" cy="3885041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FF8181"/>
          </a:solidFill>
        </a:ln>
        <a:effectLst>
          <a:glow rad="139700">
            <a:srgbClr val="FF8181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54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 Rate:                                                        </a:t>
          </a:r>
          <a:fld id="{CB7412A8-BA56-45D7-BF7A-B9EFA250DA30}" type="TxLink">
            <a:rPr lang="en-US" sz="115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0.58%</a:t>
          </a:fld>
          <a:endParaRPr lang="en-US" sz="400000" b="1" i="0" u="none" strike="noStrike">
            <a:solidFill>
              <a:schemeClr val="bg1"/>
            </a:solidFill>
            <a:effectLst>
              <a:glow rad="139700">
                <a:schemeClr val="accent2">
                  <a:alpha val="40000"/>
                </a:schemeClr>
              </a:glow>
            </a:effectLst>
            <a:latin typeface="Trade Gothic Inline" panose="020B0504030203020204" pitchFamily="34" charset="0"/>
            <a:ea typeface="Calibri"/>
            <a:cs typeface="Calibri"/>
          </a:endParaRPr>
        </a:p>
      </xdr:txBody>
    </xdr:sp>
    <xdr:clientData/>
  </xdr:twoCellAnchor>
  <xdr:oneCellAnchor>
    <xdr:from>
      <xdr:col>3</xdr:col>
      <xdr:colOff>103908</xdr:colOff>
      <xdr:row>0</xdr:row>
      <xdr:rowOff>816427</xdr:rowOff>
    </xdr:from>
    <xdr:ext cx="24228137" cy="536864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AA71922D-9AF9-42A2-BE36-9BC7A6933D8E}"/>
            </a:ext>
          </a:extLst>
        </xdr:cNvPr>
        <xdr:cNvSpPr/>
      </xdr:nvSpPr>
      <xdr:spPr>
        <a:xfrm>
          <a:off x="1370733" y="816427"/>
          <a:ext cx="24228137" cy="536864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66FF33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2025Q-11-111JT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75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-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84 " x 0.5" - 39 Pipes </a:t>
          </a:r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chemeClr val="accent1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twoCellAnchor>
    <xdr:from>
      <xdr:col>21</xdr:col>
      <xdr:colOff>75465</xdr:colOff>
      <xdr:row>34</xdr:row>
      <xdr:rowOff>259772</xdr:rowOff>
    </xdr:from>
    <xdr:to>
      <xdr:col>22</xdr:col>
      <xdr:colOff>197927</xdr:colOff>
      <xdr:row>47</xdr:row>
      <xdr:rowOff>51955</xdr:rowOff>
    </xdr:to>
    <xdr:sp macro="" textlink="">
      <xdr:nvSpPr>
        <xdr:cNvPr id="6" name="Left Bracket 5">
          <a:extLst>
            <a:ext uri="{FF2B5EF4-FFF2-40B4-BE49-F238E27FC236}">
              <a16:creationId xmlns:a16="http://schemas.microsoft.com/office/drawing/2014/main" id="{54498163-C096-453F-8E01-E9ECA6F39E39}"/>
            </a:ext>
          </a:extLst>
        </xdr:cNvPr>
        <xdr:cNvSpPr/>
      </xdr:nvSpPr>
      <xdr:spPr>
        <a:xfrm rot="10800000" flipH="1">
          <a:off x="8419365" y="13499522"/>
          <a:ext cx="836837" cy="4507058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56</xdr:col>
      <xdr:colOff>31883</xdr:colOff>
      <xdr:row>36</xdr:row>
      <xdr:rowOff>86591</xdr:rowOff>
    </xdr:from>
    <xdr:to>
      <xdr:col>56</xdr:col>
      <xdr:colOff>51954</xdr:colOff>
      <xdr:row>48</xdr:row>
      <xdr:rowOff>17318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6733E22E-1C06-48F9-B34B-A4B11421E7B4}"/>
            </a:ext>
          </a:extLst>
        </xdr:cNvPr>
        <xdr:cNvCxnSpPr/>
      </xdr:nvCxnSpPr>
      <xdr:spPr>
        <a:xfrm flipH="1">
          <a:off x="22510883" y="13907366"/>
          <a:ext cx="20071" cy="4140777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66</xdr:col>
      <xdr:colOff>404504</xdr:colOff>
      <xdr:row>35</xdr:row>
      <xdr:rowOff>9895</xdr:rowOff>
    </xdr:from>
    <xdr:to>
      <xdr:col>68</xdr:col>
      <xdr:colOff>160932</xdr:colOff>
      <xdr:row>48</xdr:row>
      <xdr:rowOff>51954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C2F36E3F-6227-44D1-B5ED-1201A9C3BFA3}"/>
            </a:ext>
          </a:extLst>
        </xdr:cNvPr>
        <xdr:cNvSpPr/>
      </xdr:nvSpPr>
      <xdr:spPr>
        <a:xfrm flipH="1">
          <a:off x="26922104" y="13525870"/>
          <a:ext cx="756553" cy="4556909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44</xdr:col>
      <xdr:colOff>34635</xdr:colOff>
      <xdr:row>36</xdr:row>
      <xdr:rowOff>86591</xdr:rowOff>
    </xdr:from>
    <xdr:to>
      <xdr:col>44</xdr:col>
      <xdr:colOff>59691</xdr:colOff>
      <xdr:row>47</xdr:row>
      <xdr:rowOff>31792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4B2569AF-DE53-4B8A-8278-EDA62D26E0F4}"/>
            </a:ext>
          </a:extLst>
        </xdr:cNvPr>
        <xdr:cNvCxnSpPr/>
      </xdr:nvCxnSpPr>
      <xdr:spPr>
        <a:xfrm flipH="1">
          <a:off x="17827335" y="13907366"/>
          <a:ext cx="25056" cy="4079051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277091</xdr:colOff>
      <xdr:row>36</xdr:row>
      <xdr:rowOff>-1</xdr:rowOff>
    </xdr:from>
    <xdr:to>
      <xdr:col>33</xdr:col>
      <xdr:colOff>8352</xdr:colOff>
      <xdr:row>46</xdr:row>
      <xdr:rowOff>239610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1964B3FC-EA48-4D2F-A444-26ECCD72D664}"/>
            </a:ext>
          </a:extLst>
        </xdr:cNvPr>
        <xdr:cNvCxnSpPr/>
      </xdr:nvCxnSpPr>
      <xdr:spPr>
        <a:xfrm flipH="1">
          <a:off x="13373966" y="13820774"/>
          <a:ext cx="17011" cy="4097236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29</xdr:col>
      <xdr:colOff>242456</xdr:colOff>
      <xdr:row>31</xdr:row>
      <xdr:rowOff>1</xdr:rowOff>
    </xdr:from>
    <xdr:ext cx="4831773" cy="969818"/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D9DDC07A-D5FD-49E3-84C3-7B211B848BC7}"/>
            </a:ext>
          </a:extLst>
        </xdr:cNvPr>
        <xdr:cNvSpPr/>
      </xdr:nvSpPr>
      <xdr:spPr>
        <a:xfrm>
          <a:off x="11977256" y="12496801"/>
          <a:ext cx="4831773" cy="969818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48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COATED:</a:t>
          </a:r>
          <a:endParaRPr lang="en-US" sz="48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48</xdr:col>
      <xdr:colOff>225137</xdr:colOff>
      <xdr:row>31</xdr:row>
      <xdr:rowOff>69272</xdr:rowOff>
    </xdr:from>
    <xdr:ext cx="6165272" cy="86591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31568ECF-E881-49FD-AB57-7D979FAC1B86}"/>
            </a:ext>
          </a:extLst>
        </xdr:cNvPr>
        <xdr:cNvSpPr/>
      </xdr:nvSpPr>
      <xdr:spPr>
        <a:xfrm>
          <a:off x="19569546" y="12538363"/>
          <a:ext cx="6165272" cy="865910"/>
        </a:xfrm>
        <a:prstGeom prst="rect">
          <a:avLst/>
        </a:prstGeom>
        <a:solidFill>
          <a:srgbClr val="FFFF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4800" b="1" i="1" cap="none" spc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228600">
                  <a:schemeClr val="accent6">
                    <a:satMod val="175000"/>
                    <a:alpha val="40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CUSTOMER : 39 </a:t>
          </a:r>
        </a:p>
      </xdr:txBody>
    </xdr:sp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31</xdr:row>
      <xdr:rowOff>136713</xdr:rowOff>
    </xdr:from>
    <xdr:ext cx="3498273" cy="937014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46BD6AF-C06A-4D5D-9DFA-0348CA735EF7}"/>
            </a:ext>
          </a:extLst>
        </xdr:cNvPr>
        <xdr:cNvSpPr/>
      </xdr:nvSpPr>
      <xdr:spPr>
        <a:xfrm>
          <a:off x="190500" y="12995463"/>
          <a:ext cx="3498273" cy="937014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8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8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14</xdr:col>
      <xdr:colOff>69272</xdr:colOff>
      <xdr:row>31</xdr:row>
      <xdr:rowOff>116284</xdr:rowOff>
    </xdr:from>
    <xdr:ext cx="3671455" cy="836216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9813EB8-C59E-4E01-8D8E-0D3264B45FF2}"/>
            </a:ext>
          </a:extLst>
        </xdr:cNvPr>
        <xdr:cNvSpPr/>
      </xdr:nvSpPr>
      <xdr:spPr>
        <a:xfrm>
          <a:off x="5746172" y="12975034"/>
          <a:ext cx="3671455" cy="836216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8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twoCellAnchor>
    <xdr:from>
      <xdr:col>0</xdr:col>
      <xdr:colOff>51954</xdr:colOff>
      <xdr:row>36</xdr:row>
      <xdr:rowOff>202049</xdr:rowOff>
    </xdr:from>
    <xdr:to>
      <xdr:col>20</xdr:col>
      <xdr:colOff>103909</xdr:colOff>
      <xdr:row>48</xdr:row>
      <xdr:rowOff>0</xdr:rowOff>
    </xdr:to>
    <xdr:sp macro="" textlink="$AY$81">
      <xdr:nvSpPr>
        <xdr:cNvPr id="4" name="Flowchart: Data 3">
          <a:extLst>
            <a:ext uri="{FF2B5EF4-FFF2-40B4-BE49-F238E27FC236}">
              <a16:creationId xmlns:a16="http://schemas.microsoft.com/office/drawing/2014/main" id="{19ED16F6-89DB-4184-8B75-D27A77E4674C}"/>
            </a:ext>
          </a:extLst>
        </xdr:cNvPr>
        <xdr:cNvSpPr/>
      </xdr:nvSpPr>
      <xdr:spPr>
        <a:xfrm flipH="1">
          <a:off x="51954" y="14887867"/>
          <a:ext cx="8070273" cy="3988951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FF8181"/>
          </a:solidFill>
        </a:ln>
        <a:effectLst>
          <a:glow rad="139700">
            <a:srgbClr val="FF8181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54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 Rate: </a:t>
          </a:r>
          <a:r>
            <a:rPr lang="en-US" sz="60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                                                              </a:t>
          </a:r>
          <a:fld id="{895A61DE-94A3-45B5-8167-B6AA75451E0C}" type="TxLink">
            <a:rPr lang="en-US" sz="115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1.58%</a:t>
          </a:fld>
          <a:endParaRPr lang="en-US" sz="400000" b="1" i="0" u="none" strike="noStrike">
            <a:solidFill>
              <a:schemeClr val="bg1"/>
            </a:solidFill>
            <a:effectLst>
              <a:glow rad="139700">
                <a:schemeClr val="accent2">
                  <a:alpha val="40000"/>
                </a:schemeClr>
              </a:glow>
            </a:effectLst>
            <a:latin typeface="Trade Gothic Inline" panose="020B0504030203020204" pitchFamily="34" charset="0"/>
            <a:ea typeface="Calibri"/>
            <a:cs typeface="Calibri"/>
          </a:endParaRPr>
        </a:p>
      </xdr:txBody>
    </xdr:sp>
    <xdr:clientData/>
  </xdr:twoCellAnchor>
  <xdr:oneCellAnchor>
    <xdr:from>
      <xdr:col>3</xdr:col>
      <xdr:colOff>0</xdr:colOff>
      <xdr:row>1</xdr:row>
      <xdr:rowOff>348835</xdr:rowOff>
    </xdr:from>
    <xdr:ext cx="25693687" cy="863437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E2FB858-BF61-4D8C-9790-C899B670C1D3}"/>
            </a:ext>
          </a:extLst>
        </xdr:cNvPr>
        <xdr:cNvSpPr/>
      </xdr:nvSpPr>
      <xdr:spPr>
        <a:xfrm>
          <a:off x="1262063" y="1301335"/>
          <a:ext cx="25693687" cy="863437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88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99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2025Q-12-113SN</a:t>
          </a:r>
          <a:r>
            <a:rPr lang="en-US" sz="88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99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PROJECT</a:t>
          </a:r>
          <a:r>
            <a:rPr lang="en-US" sz="88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99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88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88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75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-</a:t>
          </a:r>
          <a:r>
            <a:rPr lang="en-US" sz="88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88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66" x .75" - 25 Pipes </a:t>
          </a:r>
          <a:endParaRPr lang="en-US" sz="96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chemeClr val="accent1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twoCellAnchor>
    <xdr:from>
      <xdr:col>21</xdr:col>
      <xdr:colOff>75465</xdr:colOff>
      <xdr:row>34</xdr:row>
      <xdr:rowOff>259772</xdr:rowOff>
    </xdr:from>
    <xdr:to>
      <xdr:col>22</xdr:col>
      <xdr:colOff>197927</xdr:colOff>
      <xdr:row>47</xdr:row>
      <xdr:rowOff>51955</xdr:rowOff>
    </xdr:to>
    <xdr:sp macro="" textlink="">
      <xdr:nvSpPr>
        <xdr:cNvPr id="6" name="Left Bracket 5">
          <a:extLst>
            <a:ext uri="{FF2B5EF4-FFF2-40B4-BE49-F238E27FC236}">
              <a16:creationId xmlns:a16="http://schemas.microsoft.com/office/drawing/2014/main" id="{9F8BE2DC-686C-499D-8FDF-DCD678B53BFC}"/>
            </a:ext>
          </a:extLst>
        </xdr:cNvPr>
        <xdr:cNvSpPr/>
      </xdr:nvSpPr>
      <xdr:spPr>
        <a:xfrm rot="10800000" flipH="1">
          <a:off x="8419365" y="13861472"/>
          <a:ext cx="836837" cy="4278458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56</xdr:col>
      <xdr:colOff>31883</xdr:colOff>
      <xdr:row>36</xdr:row>
      <xdr:rowOff>86591</xdr:rowOff>
    </xdr:from>
    <xdr:to>
      <xdr:col>56</xdr:col>
      <xdr:colOff>51954</xdr:colOff>
      <xdr:row>48</xdr:row>
      <xdr:rowOff>17318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4B040D79-7A50-4409-9BB7-60D7ED409607}"/>
            </a:ext>
          </a:extLst>
        </xdr:cNvPr>
        <xdr:cNvCxnSpPr/>
      </xdr:nvCxnSpPr>
      <xdr:spPr>
        <a:xfrm flipH="1">
          <a:off x="22510883" y="14040716"/>
          <a:ext cx="20071" cy="4140777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66</xdr:col>
      <xdr:colOff>404504</xdr:colOff>
      <xdr:row>35</xdr:row>
      <xdr:rowOff>9895</xdr:rowOff>
    </xdr:from>
    <xdr:to>
      <xdr:col>68</xdr:col>
      <xdr:colOff>160932</xdr:colOff>
      <xdr:row>48</xdr:row>
      <xdr:rowOff>51954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D925A265-E538-4752-BD0A-0B4E70F53610}"/>
            </a:ext>
          </a:extLst>
        </xdr:cNvPr>
        <xdr:cNvSpPr/>
      </xdr:nvSpPr>
      <xdr:spPr>
        <a:xfrm flipH="1">
          <a:off x="26922104" y="13887820"/>
          <a:ext cx="756553" cy="4328309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44</xdr:col>
      <xdr:colOff>34635</xdr:colOff>
      <xdr:row>36</xdr:row>
      <xdr:rowOff>86591</xdr:rowOff>
    </xdr:from>
    <xdr:to>
      <xdr:col>44</xdr:col>
      <xdr:colOff>59691</xdr:colOff>
      <xdr:row>47</xdr:row>
      <xdr:rowOff>31792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AB0EF17A-499C-4CEA-A4C7-C4A7D9DC8D30}"/>
            </a:ext>
          </a:extLst>
        </xdr:cNvPr>
        <xdr:cNvCxnSpPr/>
      </xdr:nvCxnSpPr>
      <xdr:spPr>
        <a:xfrm flipH="1">
          <a:off x="17827335" y="14040716"/>
          <a:ext cx="25056" cy="4079051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277091</xdr:colOff>
      <xdr:row>36</xdr:row>
      <xdr:rowOff>-1</xdr:rowOff>
    </xdr:from>
    <xdr:to>
      <xdr:col>33</xdr:col>
      <xdr:colOff>8352</xdr:colOff>
      <xdr:row>46</xdr:row>
      <xdr:rowOff>239610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E2C47A75-D6A7-42F2-877B-DBE60EC515EC}"/>
            </a:ext>
          </a:extLst>
        </xdr:cNvPr>
        <xdr:cNvCxnSpPr/>
      </xdr:nvCxnSpPr>
      <xdr:spPr>
        <a:xfrm flipH="1">
          <a:off x="13373966" y="13954124"/>
          <a:ext cx="17011" cy="4097236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27</xdr:col>
      <xdr:colOff>242454</xdr:colOff>
      <xdr:row>30</xdr:row>
      <xdr:rowOff>226003</xdr:rowOff>
    </xdr:from>
    <xdr:ext cx="8402493" cy="677418"/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2CC4BAF6-EF68-4451-B37A-BE4B95C07957}"/>
            </a:ext>
          </a:extLst>
        </xdr:cNvPr>
        <xdr:cNvSpPr/>
      </xdr:nvSpPr>
      <xdr:spPr>
        <a:xfrm>
          <a:off x="11256818" y="12816321"/>
          <a:ext cx="8402493" cy="677418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CLUTCH MOUNTED: 25 PCS.</a:t>
          </a:r>
          <a:endParaRPr lang="en-US" sz="40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49</xdr:col>
      <xdr:colOff>-1</xdr:colOff>
      <xdr:row>30</xdr:row>
      <xdr:rowOff>207819</xdr:rowOff>
    </xdr:from>
    <xdr:ext cx="8455506" cy="727362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C0EB3F87-03BF-4077-A4E2-E325AD82CE1A}"/>
            </a:ext>
          </a:extLst>
        </xdr:cNvPr>
        <xdr:cNvSpPr/>
      </xdr:nvSpPr>
      <xdr:spPr>
        <a:xfrm>
          <a:off x="19708090" y="12798137"/>
          <a:ext cx="8455506" cy="727362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CLUTCH</a:t>
          </a:r>
          <a:r>
            <a:rPr lang="en-US" sz="40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WELD OUT: 25 PCS</a:t>
          </a:r>
          <a:endParaRPr lang="en-US" sz="40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30</xdr:col>
      <xdr:colOff>86592</xdr:colOff>
      <xdr:row>31</xdr:row>
      <xdr:rowOff>173182</xdr:rowOff>
    </xdr:from>
    <xdr:ext cx="8455506" cy="727362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7A0FEC0A-8DC2-4305-9006-3F9447E0E47F}"/>
            </a:ext>
          </a:extLst>
        </xdr:cNvPr>
        <xdr:cNvSpPr/>
      </xdr:nvSpPr>
      <xdr:spPr>
        <a:xfrm>
          <a:off x="12122728" y="13767955"/>
          <a:ext cx="8455506" cy="727362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CTE COATED</a:t>
          </a:r>
          <a:r>
            <a:rPr lang="en-US" sz="40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: 25 PCS</a:t>
          </a:r>
          <a:endParaRPr lang="en-US" sz="40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51</xdr:col>
      <xdr:colOff>450272</xdr:colOff>
      <xdr:row>31</xdr:row>
      <xdr:rowOff>173182</xdr:rowOff>
    </xdr:from>
    <xdr:ext cx="7187046" cy="727362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AAFFED91-300C-4D70-AF1C-E6C35FB701D5}"/>
            </a:ext>
          </a:extLst>
        </xdr:cNvPr>
        <xdr:cNvSpPr/>
      </xdr:nvSpPr>
      <xdr:spPr>
        <a:xfrm>
          <a:off x="20799136" y="13767955"/>
          <a:ext cx="7187046" cy="727362"/>
        </a:xfrm>
        <a:prstGeom prst="rect">
          <a:avLst/>
        </a:prstGeom>
        <a:solidFill>
          <a:srgbClr val="FFFF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WATCO : 25 PCS</a:t>
          </a:r>
        </a:p>
      </xdr:txBody>
    </xdr:sp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119062</xdr:colOff>
      <xdr:row>0</xdr:row>
      <xdr:rowOff>0</xdr:rowOff>
    </xdr:from>
    <xdr:ext cx="32423100" cy="1500187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383112A-1B03-4FD9-9A83-16C8833B4EC0}"/>
            </a:ext>
          </a:extLst>
        </xdr:cNvPr>
        <xdr:cNvSpPr/>
      </xdr:nvSpPr>
      <xdr:spPr>
        <a:xfrm>
          <a:off x="1214437" y="0"/>
          <a:ext cx="32423100" cy="1500187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9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2025Q-10-108JT</a:t>
          </a:r>
          <a:r>
            <a:rPr lang="en-US" sz="96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72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68 " x .375 " -</a:t>
          </a:r>
          <a:r>
            <a:rPr lang="en-US" sz="72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72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108 PIPES</a:t>
          </a:r>
        </a:p>
      </xdr:txBody>
    </xdr:sp>
    <xdr:clientData/>
  </xdr:oneCellAnchor>
  <xdr:oneCellAnchor>
    <xdr:from>
      <xdr:col>85</xdr:col>
      <xdr:colOff>547687</xdr:colOff>
      <xdr:row>41</xdr:row>
      <xdr:rowOff>380999</xdr:rowOff>
    </xdr:from>
    <xdr:ext cx="7868949" cy="76074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984BE47-E7D9-4F75-AFCD-FBED2B27F9F8}"/>
            </a:ext>
          </a:extLst>
        </xdr:cNvPr>
        <xdr:cNvSpPr/>
      </xdr:nvSpPr>
      <xdr:spPr>
        <a:xfrm flipV="1">
          <a:off x="44762737" y="21021674"/>
          <a:ext cx="7868949" cy="76074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rgbClr val="CCFFCC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0</xdr:colOff>
      <xdr:row>111</xdr:row>
      <xdr:rowOff>119991</xdr:rowOff>
    </xdr:from>
    <xdr:ext cx="2424545" cy="734288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2989619-F90D-4B2C-B408-8F7A536B2519}"/>
            </a:ext>
          </a:extLst>
        </xdr:cNvPr>
        <xdr:cNvSpPr/>
      </xdr:nvSpPr>
      <xdr:spPr>
        <a:xfrm>
          <a:off x="0" y="47202066"/>
          <a:ext cx="2424545" cy="734288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0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0</xdr:colOff>
      <xdr:row>114</xdr:row>
      <xdr:rowOff>64328</xdr:rowOff>
    </xdr:from>
    <xdr:ext cx="2459182" cy="680357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5D96D17-6938-406E-8FB0-23171A2563CA}"/>
            </a:ext>
          </a:extLst>
        </xdr:cNvPr>
        <xdr:cNvSpPr/>
      </xdr:nvSpPr>
      <xdr:spPr>
        <a:xfrm>
          <a:off x="0" y="48203678"/>
          <a:ext cx="2459182" cy="680357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twoCellAnchor>
    <xdr:from>
      <xdr:col>23</xdr:col>
      <xdr:colOff>23510</xdr:colOff>
      <xdr:row>107</xdr:row>
      <xdr:rowOff>3709</xdr:rowOff>
    </xdr:from>
    <xdr:to>
      <xdr:col>24</xdr:col>
      <xdr:colOff>145972</xdr:colOff>
      <xdr:row>120</xdr:row>
      <xdr:rowOff>595311</xdr:rowOff>
    </xdr:to>
    <xdr:sp macro="" textlink="">
      <xdr:nvSpPr>
        <xdr:cNvPr id="6" name="Left Bracket 5">
          <a:extLst>
            <a:ext uri="{FF2B5EF4-FFF2-40B4-BE49-F238E27FC236}">
              <a16:creationId xmlns:a16="http://schemas.microsoft.com/office/drawing/2014/main" id="{7F254CB4-A647-4E3A-A1A4-ADA844A91179}"/>
            </a:ext>
          </a:extLst>
        </xdr:cNvPr>
        <xdr:cNvSpPr/>
      </xdr:nvSpPr>
      <xdr:spPr>
        <a:xfrm rot="10800000" flipH="1">
          <a:off x="12025010" y="25792647"/>
          <a:ext cx="789212" cy="3711039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58</xdr:col>
      <xdr:colOff>33399</xdr:colOff>
      <xdr:row>112</xdr:row>
      <xdr:rowOff>56036</xdr:rowOff>
    </xdr:from>
    <xdr:to>
      <xdr:col>58</xdr:col>
      <xdr:colOff>49599</xdr:colOff>
      <xdr:row>120</xdr:row>
      <xdr:rowOff>122464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228BEC09-86B2-4429-9F5F-7B97AEF402E5}"/>
            </a:ext>
          </a:extLst>
        </xdr:cNvPr>
        <xdr:cNvCxnSpPr/>
      </xdr:nvCxnSpPr>
      <xdr:spPr>
        <a:xfrm flipH="1">
          <a:off x="26760549" y="47566736"/>
          <a:ext cx="16200" cy="2704853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-1</xdr:colOff>
      <xdr:row>110</xdr:row>
      <xdr:rowOff>1238250</xdr:rowOff>
    </xdr:from>
    <xdr:to>
      <xdr:col>22</xdr:col>
      <xdr:colOff>23811</xdr:colOff>
      <xdr:row>120</xdr:row>
      <xdr:rowOff>254001</xdr:rowOff>
    </xdr:to>
    <xdr:sp macro="" textlink="$BW$143">
      <xdr:nvSpPr>
        <xdr:cNvPr id="8" name="Flowchart: Data 7">
          <a:extLst>
            <a:ext uri="{FF2B5EF4-FFF2-40B4-BE49-F238E27FC236}">
              <a16:creationId xmlns:a16="http://schemas.microsoft.com/office/drawing/2014/main" id="{33DC0D3A-3F17-43DD-B198-1843D7CEABEE}"/>
            </a:ext>
          </a:extLst>
        </xdr:cNvPr>
        <xdr:cNvSpPr/>
      </xdr:nvSpPr>
      <xdr:spPr>
        <a:xfrm flipH="1">
          <a:off x="4210049" y="47082075"/>
          <a:ext cx="6215062" cy="3321051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FF8181"/>
          </a:solidFill>
        </a:ln>
        <a:effectLst>
          <a:glow rad="139700">
            <a:srgbClr val="FF8181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8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 rATE:                                                  </a:t>
          </a:r>
          <a:fld id="{D56EB187-9C58-4F0C-8339-86C820FE7DD6}" type="TxLink">
            <a:rPr lang="en-US" sz="96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0.99%</a:t>
          </a:fld>
          <a:endParaRPr lang="en-US" sz="333300" b="1" i="0" u="none" strike="noStrike">
            <a:solidFill>
              <a:schemeClr val="bg1"/>
            </a:solidFill>
            <a:effectLst>
              <a:glow rad="139700">
                <a:schemeClr val="accent2">
                  <a:alpha val="40000"/>
                </a:schemeClr>
              </a:glow>
            </a:effectLst>
            <a:latin typeface="Trade Gothic Inline" panose="020B0504030203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68</xdr:col>
      <xdr:colOff>231322</xdr:colOff>
      <xdr:row>111</xdr:row>
      <xdr:rowOff>27214</xdr:rowOff>
    </xdr:from>
    <xdr:to>
      <xdr:col>69</xdr:col>
      <xdr:colOff>348834</xdr:colOff>
      <xdr:row>120</xdr:row>
      <xdr:rowOff>523875</xdr:rowOff>
    </xdr:to>
    <xdr:sp macro="" textlink="">
      <xdr:nvSpPr>
        <xdr:cNvPr id="9" name="Left Bracket 8">
          <a:extLst>
            <a:ext uri="{FF2B5EF4-FFF2-40B4-BE49-F238E27FC236}">
              <a16:creationId xmlns:a16="http://schemas.microsoft.com/office/drawing/2014/main" id="{6CF691D0-DD7E-4F75-A66F-D280FFC2ED36}"/>
            </a:ext>
          </a:extLst>
        </xdr:cNvPr>
        <xdr:cNvSpPr/>
      </xdr:nvSpPr>
      <xdr:spPr>
        <a:xfrm flipH="1">
          <a:off x="36069135" y="25816152"/>
          <a:ext cx="784262" cy="3616098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46</xdr:col>
      <xdr:colOff>34635</xdr:colOff>
      <xdr:row>111</xdr:row>
      <xdr:rowOff>259773</xdr:rowOff>
    </xdr:from>
    <xdr:to>
      <xdr:col>46</xdr:col>
      <xdr:colOff>50835</xdr:colOff>
      <xdr:row>120</xdr:row>
      <xdr:rowOff>49110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716BE1B5-BEB0-415D-A03C-298FBDC58530}"/>
            </a:ext>
          </a:extLst>
        </xdr:cNvPr>
        <xdr:cNvCxnSpPr/>
      </xdr:nvCxnSpPr>
      <xdr:spPr>
        <a:xfrm flipH="1">
          <a:off x="21237285" y="47341848"/>
          <a:ext cx="16200" cy="2856387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112</xdr:row>
      <xdr:rowOff>34637</xdr:rowOff>
    </xdr:from>
    <xdr:to>
      <xdr:col>35</xdr:col>
      <xdr:colOff>16200</xdr:colOff>
      <xdr:row>120</xdr:row>
      <xdr:rowOff>101065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A13A17F5-059F-4519-A73F-607B85551B1F}"/>
            </a:ext>
          </a:extLst>
        </xdr:cNvPr>
        <xdr:cNvCxnSpPr/>
      </xdr:nvCxnSpPr>
      <xdr:spPr>
        <a:xfrm flipH="1">
          <a:off x="16297275" y="47545337"/>
          <a:ext cx="16200" cy="2704853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0</xdr:col>
      <xdr:colOff>23813</xdr:colOff>
      <xdr:row>117</xdr:row>
      <xdr:rowOff>95249</xdr:rowOff>
    </xdr:from>
    <xdr:ext cx="2459182" cy="680357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151E89F-C753-4C07-8FC9-5AC8A7F061AC}"/>
            </a:ext>
          </a:extLst>
        </xdr:cNvPr>
        <xdr:cNvSpPr/>
      </xdr:nvSpPr>
      <xdr:spPr>
        <a:xfrm>
          <a:off x="23813" y="49063274"/>
          <a:ext cx="2459182" cy="680357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COATED:</a:t>
          </a:r>
        </a:p>
      </xdr:txBody>
    </xdr:sp>
    <xdr:clientData/>
  </xdr:oneCellAnchor>
  <xdr:oneCellAnchor>
    <xdr:from>
      <xdr:col>0</xdr:col>
      <xdr:colOff>71439</xdr:colOff>
      <xdr:row>119</xdr:row>
      <xdr:rowOff>238124</xdr:rowOff>
    </xdr:from>
    <xdr:ext cx="5000623" cy="969818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7CA14D4E-5BB6-4093-8477-AB880B09AAD7}"/>
            </a:ext>
          </a:extLst>
        </xdr:cNvPr>
        <xdr:cNvSpPr/>
      </xdr:nvSpPr>
      <xdr:spPr>
        <a:xfrm>
          <a:off x="71439" y="28622624"/>
          <a:ext cx="5000623" cy="969818"/>
        </a:xfrm>
        <a:prstGeom prst="rect">
          <a:avLst/>
        </a:prstGeom>
        <a:solidFill>
          <a:srgbClr val="FFFF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48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CUSTOMER : 108</a:t>
          </a:r>
          <a:endParaRPr lang="en-US" sz="48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192355</xdr:colOff>
      <xdr:row>31</xdr:row>
      <xdr:rowOff>246662</xdr:rowOff>
    </xdr:from>
    <xdr:ext cx="2651538" cy="73428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F83A669-68D6-41C9-81B6-D1040A349C73}"/>
            </a:ext>
          </a:extLst>
        </xdr:cNvPr>
        <xdr:cNvSpPr/>
      </xdr:nvSpPr>
      <xdr:spPr>
        <a:xfrm>
          <a:off x="192355" y="9733562"/>
          <a:ext cx="2651538" cy="734288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4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251517</xdr:colOff>
      <xdr:row>34</xdr:row>
      <xdr:rowOff>28330</xdr:rowOff>
    </xdr:from>
    <xdr:ext cx="2592377" cy="680357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FA65466-BD26-4292-A2F4-F8750F331203}"/>
            </a:ext>
          </a:extLst>
        </xdr:cNvPr>
        <xdr:cNvSpPr/>
      </xdr:nvSpPr>
      <xdr:spPr>
        <a:xfrm>
          <a:off x="251517" y="10515355"/>
          <a:ext cx="2592377" cy="680357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oneCellAnchor>
    <xdr:from>
      <xdr:col>1</xdr:col>
      <xdr:colOff>571499</xdr:colOff>
      <xdr:row>0</xdr:row>
      <xdr:rowOff>1345653</xdr:rowOff>
    </xdr:from>
    <xdr:ext cx="18192750" cy="1134555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A8669D3-0D6B-4A35-A4AB-60397135145C}"/>
            </a:ext>
          </a:extLst>
        </xdr:cNvPr>
        <xdr:cNvSpPr/>
      </xdr:nvSpPr>
      <xdr:spPr>
        <a:xfrm>
          <a:off x="838199" y="1345653"/>
          <a:ext cx="18192750" cy="1134555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72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>
                  <a:lumMod val="20000"/>
                  <a:lumOff val="8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2026Q-05-128RZ PROJECT</a:t>
          </a:r>
          <a:r>
            <a:rPr lang="en-US" sz="72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>
                  <a:lumMod val="20000"/>
                  <a:lumOff val="8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chemeClr val="accent4">
                <a:lumMod val="20000"/>
                <a:lumOff val="80000"/>
              </a:schemeClr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</xdr:txBody>
    </xdr:sp>
    <xdr:clientData/>
  </xdr:oneCellAnchor>
  <xdr:twoCellAnchor>
    <xdr:from>
      <xdr:col>0</xdr:col>
      <xdr:colOff>0</xdr:colOff>
      <xdr:row>35</xdr:row>
      <xdr:rowOff>526719</xdr:rowOff>
    </xdr:from>
    <xdr:to>
      <xdr:col>13</xdr:col>
      <xdr:colOff>145970</xdr:colOff>
      <xdr:row>41</xdr:row>
      <xdr:rowOff>734785</xdr:rowOff>
    </xdr:to>
    <xdr:sp macro="" textlink="AY50">
      <xdr:nvSpPr>
        <xdr:cNvPr id="5" name="Flowchart: Data 4">
          <a:extLst>
            <a:ext uri="{FF2B5EF4-FFF2-40B4-BE49-F238E27FC236}">
              <a16:creationId xmlns:a16="http://schemas.microsoft.com/office/drawing/2014/main" id="{58915883-55DB-4583-8E85-4DA1456C6FE7}"/>
            </a:ext>
          </a:extLst>
        </xdr:cNvPr>
        <xdr:cNvSpPr/>
      </xdr:nvSpPr>
      <xdr:spPr>
        <a:xfrm flipH="1">
          <a:off x="0" y="11657362"/>
          <a:ext cx="5452756" cy="3174423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75DBFF"/>
          </a:solidFill>
        </a:ln>
        <a:effectLst>
          <a:glow rad="101600">
            <a:schemeClr val="accent1">
              <a:satMod val="175000"/>
              <a:alpha val="40000"/>
            </a:scheme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 b="1" i="0" u="none" strike="noStrike" baseline="0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 Rate:                                      </a:t>
          </a:r>
          <a:fld id="{6EDA1A34-1CCF-4C1D-B02F-EEDF0796DDC5}" type="TxLink">
            <a:rPr lang="en-US" sz="7200" b="1" i="0" u="none" strike="noStrike" baseline="0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3.68%</a:t>
          </a:fld>
          <a:endParaRPr lang="en-US" sz="192900" b="1" i="1" cap="none" spc="50">
            <a:ln w="3175" cmpd="sng">
              <a:solidFill>
                <a:schemeClr val="bg1"/>
              </a:solidFill>
              <a:prstDash val="solid"/>
            </a:ln>
            <a:solidFill>
              <a:schemeClr val="bg1"/>
            </a:solidFill>
            <a:effectLst>
              <a:glow rad="228600">
                <a:srgbClr val="75FFF2">
                  <a:alpha val="40000"/>
                </a:srgbClr>
              </a:glow>
            </a:effectLst>
            <a:latin typeface="Trade Gothic Inline" panose="020B0504030203020204" pitchFamily="34" charset="0"/>
          </a:endParaRPr>
        </a:p>
      </xdr:txBody>
    </xdr:sp>
    <xdr:clientData/>
  </xdr:twoCellAnchor>
  <xdr:twoCellAnchor>
    <xdr:from>
      <xdr:col>34</xdr:col>
      <xdr:colOff>143837</xdr:colOff>
      <xdr:row>31</xdr:row>
      <xdr:rowOff>176895</xdr:rowOff>
    </xdr:from>
    <xdr:to>
      <xdr:col>34</xdr:col>
      <xdr:colOff>143837</xdr:colOff>
      <xdr:row>41</xdr:row>
      <xdr:rowOff>489859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A78FB7CF-99C5-474D-BD73-7CAFE83A80D1}"/>
            </a:ext>
          </a:extLst>
        </xdr:cNvPr>
        <xdr:cNvCxnSpPr/>
      </xdr:nvCxnSpPr>
      <xdr:spPr>
        <a:xfrm>
          <a:off x="13897937" y="9663795"/>
          <a:ext cx="0" cy="4961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136066</xdr:colOff>
      <xdr:row>31</xdr:row>
      <xdr:rowOff>54428</xdr:rowOff>
    </xdr:from>
    <xdr:to>
      <xdr:col>49</xdr:col>
      <xdr:colOff>163278</xdr:colOff>
      <xdr:row>41</xdr:row>
      <xdr:rowOff>683559</xdr:rowOff>
    </xdr:to>
    <xdr:sp macro="" textlink="">
      <xdr:nvSpPr>
        <xdr:cNvPr id="7" name="Left Bracket 6">
          <a:extLst>
            <a:ext uri="{FF2B5EF4-FFF2-40B4-BE49-F238E27FC236}">
              <a16:creationId xmlns:a16="http://schemas.microsoft.com/office/drawing/2014/main" id="{2808FFD4-B5A5-4198-9881-C9A62A896010}"/>
            </a:ext>
          </a:extLst>
        </xdr:cNvPr>
        <xdr:cNvSpPr/>
      </xdr:nvSpPr>
      <xdr:spPr>
        <a:xfrm flipH="1">
          <a:off x="19633741" y="9541328"/>
          <a:ext cx="398687" cy="5277331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14</xdr:col>
      <xdr:colOff>225137</xdr:colOff>
      <xdr:row>31</xdr:row>
      <xdr:rowOff>103909</xdr:rowOff>
    </xdr:from>
    <xdr:to>
      <xdr:col>16</xdr:col>
      <xdr:colOff>163287</xdr:colOff>
      <xdr:row>41</xdr:row>
      <xdr:rowOff>721177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961882A7-4BAB-4632-8698-927B0DD8F0A2}"/>
            </a:ext>
          </a:extLst>
        </xdr:cNvPr>
        <xdr:cNvSpPr/>
      </xdr:nvSpPr>
      <xdr:spPr>
        <a:xfrm rot="10800000" flipH="1">
          <a:off x="5902037" y="9590809"/>
          <a:ext cx="585850" cy="5265468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122465</xdr:colOff>
      <xdr:row>35</xdr:row>
      <xdr:rowOff>190499</xdr:rowOff>
    </xdr:from>
    <xdr:to>
      <xdr:col>9</xdr:col>
      <xdr:colOff>122465</xdr:colOff>
      <xdr:row>35</xdr:row>
      <xdr:rowOff>217714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71A4C28A-5854-4DBA-94DB-65842ABFA822}"/>
            </a:ext>
          </a:extLst>
        </xdr:cNvPr>
        <xdr:cNvCxnSpPr/>
      </xdr:nvCxnSpPr>
      <xdr:spPr>
        <a:xfrm flipH="1" flipV="1">
          <a:off x="122465" y="11372849"/>
          <a:ext cx="3657600" cy="27215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27214</xdr:colOff>
      <xdr:row>35</xdr:row>
      <xdr:rowOff>802821</xdr:rowOff>
    </xdr:from>
    <xdr:to>
      <xdr:col>34</xdr:col>
      <xdr:colOff>27214</xdr:colOff>
      <xdr:row>35</xdr:row>
      <xdr:rowOff>802821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770C5E03-A8C0-4A9C-BB66-C470647E15C9}"/>
            </a:ext>
          </a:extLst>
        </xdr:cNvPr>
        <xdr:cNvCxnSpPr/>
      </xdr:nvCxnSpPr>
      <xdr:spPr>
        <a:xfrm>
          <a:off x="9371239" y="11985171"/>
          <a:ext cx="4410075" cy="0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122464</xdr:colOff>
      <xdr:row>31</xdr:row>
      <xdr:rowOff>272143</xdr:rowOff>
    </xdr:from>
    <xdr:to>
      <xdr:col>22</xdr:col>
      <xdr:colOff>122464</xdr:colOff>
      <xdr:row>41</xdr:row>
      <xdr:rowOff>585107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AF430C3F-72BB-4258-8A06-7555F48FD5D9}"/>
            </a:ext>
          </a:extLst>
        </xdr:cNvPr>
        <xdr:cNvCxnSpPr/>
      </xdr:nvCxnSpPr>
      <xdr:spPr>
        <a:xfrm>
          <a:off x="9180739" y="9759043"/>
          <a:ext cx="0" cy="4961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13</xdr:col>
      <xdr:colOff>244929</xdr:colOff>
      <xdr:row>0</xdr:row>
      <xdr:rowOff>1992156</xdr:rowOff>
    </xdr:from>
    <xdr:ext cx="8763000" cy="1134555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2C432E0B-ECAE-4DA6-9BF4-A2EE9EAE2C81}"/>
            </a:ext>
          </a:extLst>
        </xdr:cNvPr>
        <xdr:cNvSpPr/>
      </xdr:nvSpPr>
      <xdr:spPr>
        <a:xfrm>
          <a:off x="5550354" y="1992156"/>
          <a:ext cx="8763000" cy="1134555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5400" b="1" u="sng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36 " x 0.75 " - 18 Pipes </a:t>
          </a:r>
        </a:p>
        <a:p>
          <a:pPr algn="ctr"/>
          <a:r>
            <a:rPr lang="en-US" sz="44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</xdr:txBody>
    </xdr:sp>
    <xdr:clientData/>
  </xdr:oneCellAnchor>
  <xdr:oneCellAnchor>
    <xdr:from>
      <xdr:col>21</xdr:col>
      <xdr:colOff>536863</xdr:colOff>
      <xdr:row>29</xdr:row>
      <xdr:rowOff>484910</xdr:rowOff>
    </xdr:from>
    <xdr:ext cx="5299364" cy="865908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87B4A39A-0E93-43B5-AFA8-392D672EE74F}"/>
            </a:ext>
          </a:extLst>
        </xdr:cNvPr>
        <xdr:cNvSpPr/>
      </xdr:nvSpPr>
      <xdr:spPr>
        <a:xfrm>
          <a:off x="8832272" y="8433955"/>
          <a:ext cx="5299364" cy="865908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48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300M COATED: 18</a:t>
          </a:r>
          <a:endParaRPr lang="en-US" sz="48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35</xdr:col>
      <xdr:colOff>51955</xdr:colOff>
      <xdr:row>29</xdr:row>
      <xdr:rowOff>502227</xdr:rowOff>
    </xdr:from>
    <xdr:ext cx="5801591" cy="838199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67D369A9-2D07-4F8E-A137-28EEA72B0A24}"/>
            </a:ext>
          </a:extLst>
        </xdr:cNvPr>
        <xdr:cNvSpPr/>
      </xdr:nvSpPr>
      <xdr:spPr>
        <a:xfrm>
          <a:off x="14097000" y="8451272"/>
          <a:ext cx="5801591" cy="838199"/>
        </a:xfrm>
        <a:prstGeom prst="rect">
          <a:avLst/>
        </a:prstGeom>
        <a:solidFill>
          <a:srgbClr val="FFFF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8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CUSTOMER : 18 PCS.</a:t>
          </a:r>
          <a:endParaRPr lang="en-US" sz="48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192355</xdr:colOff>
      <xdr:row>31</xdr:row>
      <xdr:rowOff>246662</xdr:rowOff>
    </xdr:from>
    <xdr:ext cx="2651538" cy="73428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6BBD320-5AE8-4283-A113-5BE404AA14BF}"/>
            </a:ext>
          </a:extLst>
        </xdr:cNvPr>
        <xdr:cNvSpPr/>
      </xdr:nvSpPr>
      <xdr:spPr>
        <a:xfrm>
          <a:off x="192355" y="9066812"/>
          <a:ext cx="2651538" cy="734288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4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251517</xdr:colOff>
      <xdr:row>34</xdr:row>
      <xdr:rowOff>28330</xdr:rowOff>
    </xdr:from>
    <xdr:ext cx="2592377" cy="680357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ABF8BD2-CBCA-4105-95F0-72676B4E0491}"/>
            </a:ext>
          </a:extLst>
        </xdr:cNvPr>
        <xdr:cNvSpPr/>
      </xdr:nvSpPr>
      <xdr:spPr>
        <a:xfrm>
          <a:off x="251517" y="10201030"/>
          <a:ext cx="2592377" cy="680357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oneCellAnchor>
    <xdr:from>
      <xdr:col>0</xdr:col>
      <xdr:colOff>0</xdr:colOff>
      <xdr:row>0</xdr:row>
      <xdr:rowOff>1790978</xdr:rowOff>
    </xdr:from>
    <xdr:ext cx="19876467" cy="1134555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37FF84D-761C-411F-A640-3A3EF9FAC02D}"/>
            </a:ext>
          </a:extLst>
        </xdr:cNvPr>
        <xdr:cNvSpPr/>
      </xdr:nvSpPr>
      <xdr:spPr>
        <a:xfrm>
          <a:off x="0" y="1790978"/>
          <a:ext cx="19876467" cy="1134555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2025Q-11-111JT PROJECT </a:t>
          </a:r>
        </a:p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75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>
                  <a:lumMod val="20000"/>
                  <a:lumOff val="8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78 " x 0.5 " - 3 Pipes</a:t>
          </a:r>
        </a:p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</xdr:txBody>
    </xdr:sp>
    <xdr:clientData/>
  </xdr:oneCellAnchor>
  <xdr:twoCellAnchor>
    <xdr:from>
      <xdr:col>1</xdr:col>
      <xdr:colOff>40818</xdr:colOff>
      <xdr:row>35</xdr:row>
      <xdr:rowOff>680357</xdr:rowOff>
    </xdr:from>
    <xdr:to>
      <xdr:col>13</xdr:col>
      <xdr:colOff>13605</xdr:colOff>
      <xdr:row>41</xdr:row>
      <xdr:rowOff>571499</xdr:rowOff>
    </xdr:to>
    <xdr:sp macro="" textlink="$AY$50">
      <xdr:nvSpPr>
        <xdr:cNvPr id="5" name="Flowchart: Data 4">
          <a:extLst>
            <a:ext uri="{FF2B5EF4-FFF2-40B4-BE49-F238E27FC236}">
              <a16:creationId xmlns:a16="http://schemas.microsoft.com/office/drawing/2014/main" id="{8C97CB25-9F04-4D1B-B490-2EBBD5C4E5E2}"/>
            </a:ext>
          </a:extLst>
        </xdr:cNvPr>
        <xdr:cNvSpPr/>
      </xdr:nvSpPr>
      <xdr:spPr>
        <a:xfrm flipH="1">
          <a:off x="300591" y="11556175"/>
          <a:ext cx="4995059" cy="2488869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75DBFF"/>
          </a:solidFill>
        </a:ln>
        <a:effectLst>
          <a:glow rad="101600">
            <a:schemeClr val="accent1">
              <a:satMod val="175000"/>
              <a:alpha val="40000"/>
            </a:scheme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BD85E03-71D5-4722-9BE8-2B1EE3EDD8C6}" type="TxLink">
            <a:rPr lang="en-US" sz="7200" b="1" i="0" u="none" strike="noStrike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0.76%</a:t>
          </a:fld>
          <a:endParaRPr lang="en-US" sz="333300" b="1">
            <a:solidFill>
              <a:schemeClr val="bg1"/>
            </a:solidFill>
            <a:effectLst>
              <a:glow rad="228600">
                <a:srgbClr val="75FFF2">
                  <a:alpha val="40000"/>
                </a:srgbClr>
              </a:glow>
            </a:effectLst>
            <a:latin typeface="Trade Gothic Inline" panose="020B0504030203020204" pitchFamily="34" charset="0"/>
          </a:endParaRPr>
        </a:p>
      </xdr:txBody>
    </xdr:sp>
    <xdr:clientData/>
  </xdr:twoCellAnchor>
  <xdr:twoCellAnchor>
    <xdr:from>
      <xdr:col>34</xdr:col>
      <xdr:colOff>143837</xdr:colOff>
      <xdr:row>31</xdr:row>
      <xdr:rowOff>176895</xdr:rowOff>
    </xdr:from>
    <xdr:to>
      <xdr:col>34</xdr:col>
      <xdr:colOff>143837</xdr:colOff>
      <xdr:row>41</xdr:row>
      <xdr:rowOff>489859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1217AC40-7296-4D4C-9766-40BA54DE7654}"/>
            </a:ext>
          </a:extLst>
        </xdr:cNvPr>
        <xdr:cNvCxnSpPr/>
      </xdr:nvCxnSpPr>
      <xdr:spPr>
        <a:xfrm>
          <a:off x="13897937" y="8997045"/>
          <a:ext cx="0" cy="4961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136066</xdr:colOff>
      <xdr:row>31</xdr:row>
      <xdr:rowOff>54428</xdr:rowOff>
    </xdr:from>
    <xdr:to>
      <xdr:col>49</xdr:col>
      <xdr:colOff>163278</xdr:colOff>
      <xdr:row>41</xdr:row>
      <xdr:rowOff>683559</xdr:rowOff>
    </xdr:to>
    <xdr:sp macro="" textlink="">
      <xdr:nvSpPr>
        <xdr:cNvPr id="7" name="Left Bracket 6">
          <a:extLst>
            <a:ext uri="{FF2B5EF4-FFF2-40B4-BE49-F238E27FC236}">
              <a16:creationId xmlns:a16="http://schemas.microsoft.com/office/drawing/2014/main" id="{C172797E-9DFC-407F-8159-0BC7A8BDE5C2}"/>
            </a:ext>
          </a:extLst>
        </xdr:cNvPr>
        <xdr:cNvSpPr/>
      </xdr:nvSpPr>
      <xdr:spPr>
        <a:xfrm flipH="1">
          <a:off x="19576591" y="8874578"/>
          <a:ext cx="398687" cy="5277331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15</xdr:col>
      <xdr:colOff>40825</xdr:colOff>
      <xdr:row>31</xdr:row>
      <xdr:rowOff>176890</xdr:rowOff>
    </xdr:from>
    <xdr:to>
      <xdr:col>16</xdr:col>
      <xdr:colOff>163287</xdr:colOff>
      <xdr:row>41</xdr:row>
      <xdr:rowOff>721177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1947C1DA-BEC9-45FF-BA0C-781EDB5CB2F8}"/>
            </a:ext>
          </a:extLst>
        </xdr:cNvPr>
        <xdr:cNvSpPr/>
      </xdr:nvSpPr>
      <xdr:spPr>
        <a:xfrm rot="10800000" flipH="1">
          <a:off x="6089200" y="8997040"/>
          <a:ext cx="398687" cy="5192487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122465</xdr:colOff>
      <xdr:row>35</xdr:row>
      <xdr:rowOff>190499</xdr:rowOff>
    </xdr:from>
    <xdr:to>
      <xdr:col>9</xdr:col>
      <xdr:colOff>122465</xdr:colOff>
      <xdr:row>35</xdr:row>
      <xdr:rowOff>217714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5D390A1-FDF0-4E28-8731-F743F77F58E0}"/>
            </a:ext>
          </a:extLst>
        </xdr:cNvPr>
        <xdr:cNvCxnSpPr/>
      </xdr:nvCxnSpPr>
      <xdr:spPr>
        <a:xfrm flipH="1" flipV="1">
          <a:off x="122465" y="11058524"/>
          <a:ext cx="3657600" cy="27215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27214</xdr:colOff>
      <xdr:row>35</xdr:row>
      <xdr:rowOff>802821</xdr:rowOff>
    </xdr:from>
    <xdr:to>
      <xdr:col>34</xdr:col>
      <xdr:colOff>27214</xdr:colOff>
      <xdr:row>35</xdr:row>
      <xdr:rowOff>802821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BF11A387-602A-497E-B49B-B1E78537886B}"/>
            </a:ext>
          </a:extLst>
        </xdr:cNvPr>
        <xdr:cNvCxnSpPr/>
      </xdr:nvCxnSpPr>
      <xdr:spPr>
        <a:xfrm>
          <a:off x="9371239" y="11670846"/>
          <a:ext cx="4410075" cy="0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122464</xdr:colOff>
      <xdr:row>31</xdr:row>
      <xdr:rowOff>272143</xdr:rowOff>
    </xdr:from>
    <xdr:to>
      <xdr:col>22</xdr:col>
      <xdr:colOff>122464</xdr:colOff>
      <xdr:row>41</xdr:row>
      <xdr:rowOff>585107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E0B6AB3E-9A32-4E91-9FC3-CA0FDAA6A94E}"/>
            </a:ext>
          </a:extLst>
        </xdr:cNvPr>
        <xdr:cNvCxnSpPr/>
      </xdr:nvCxnSpPr>
      <xdr:spPr>
        <a:xfrm>
          <a:off x="9180739" y="9092293"/>
          <a:ext cx="0" cy="4961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0</xdr:col>
      <xdr:colOff>108857</xdr:colOff>
      <xdr:row>30</xdr:row>
      <xdr:rowOff>1102179</xdr:rowOff>
    </xdr:from>
    <xdr:ext cx="5576454" cy="658089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A62EAEC-C607-44E1-894C-D74EB89E649A}"/>
            </a:ext>
          </a:extLst>
        </xdr:cNvPr>
        <xdr:cNvSpPr/>
      </xdr:nvSpPr>
      <xdr:spPr>
        <a:xfrm>
          <a:off x="108857" y="8160204"/>
          <a:ext cx="5576454" cy="658089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3600" b="1" i="1" cap="none" spc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228600">
                  <a:schemeClr val="accent6">
                    <a:satMod val="175000"/>
                    <a:alpha val="40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Carbozinc 11: 0 pcs.</a:t>
          </a:r>
        </a:p>
      </xdr:txBody>
    </xdr:sp>
    <xdr:clientData/>
  </xdr:oneCellAnchor>
  <xdr:oneCellAnchor>
    <xdr:from>
      <xdr:col>0</xdr:col>
      <xdr:colOff>122464</xdr:colOff>
      <xdr:row>30</xdr:row>
      <xdr:rowOff>285751</xdr:rowOff>
    </xdr:from>
    <xdr:ext cx="4831773" cy="530678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1C130DE0-2D68-44CD-B3D3-4DB82689168B}"/>
            </a:ext>
          </a:extLst>
        </xdr:cNvPr>
        <xdr:cNvSpPr/>
      </xdr:nvSpPr>
      <xdr:spPr>
        <a:xfrm>
          <a:off x="122464" y="7343776"/>
          <a:ext cx="4831773" cy="530678"/>
        </a:xfrm>
        <a:prstGeom prst="rect">
          <a:avLst/>
        </a:prstGeom>
        <a:solidFill>
          <a:srgbClr val="FFFF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48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CUSTOMER : 2</a:t>
          </a:r>
          <a:endParaRPr lang="en-US" sz="48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476249</xdr:colOff>
      <xdr:row>110</xdr:row>
      <xdr:rowOff>452438</xdr:rowOff>
    </xdr:from>
    <xdr:ext cx="3881437" cy="1285874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50801A2-30BF-4681-891D-51E7A5B44F02}"/>
            </a:ext>
          </a:extLst>
        </xdr:cNvPr>
        <xdr:cNvSpPr/>
      </xdr:nvSpPr>
      <xdr:spPr>
        <a:xfrm>
          <a:off x="476249" y="18502313"/>
          <a:ext cx="3881437" cy="1285874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60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60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1</xdr:col>
      <xdr:colOff>23813</xdr:colOff>
      <xdr:row>111</xdr:row>
      <xdr:rowOff>191119</xdr:rowOff>
    </xdr:from>
    <xdr:ext cx="3786185" cy="1404318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8429595-CB1F-41DD-9656-061C5178D2C5}"/>
            </a:ext>
          </a:extLst>
        </xdr:cNvPr>
        <xdr:cNvSpPr/>
      </xdr:nvSpPr>
      <xdr:spPr>
        <a:xfrm>
          <a:off x="523876" y="20431744"/>
          <a:ext cx="3786185" cy="1404318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6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twoCellAnchor>
    <xdr:from>
      <xdr:col>9</xdr:col>
      <xdr:colOff>333373</xdr:colOff>
      <xdr:row>107</xdr:row>
      <xdr:rowOff>23812</xdr:rowOff>
    </xdr:from>
    <xdr:to>
      <xdr:col>23</xdr:col>
      <xdr:colOff>214308</xdr:colOff>
      <xdr:row>114</xdr:row>
      <xdr:rowOff>476251</xdr:rowOff>
    </xdr:to>
    <xdr:sp macro="" textlink="$AW$132">
      <xdr:nvSpPr>
        <xdr:cNvPr id="4" name="Flowchart: Data 3">
          <a:extLst>
            <a:ext uri="{FF2B5EF4-FFF2-40B4-BE49-F238E27FC236}">
              <a16:creationId xmlns:a16="http://schemas.microsoft.com/office/drawing/2014/main" id="{965D12AF-85FB-4BAC-8E9B-61B6263E1BF7}"/>
            </a:ext>
          </a:extLst>
        </xdr:cNvPr>
        <xdr:cNvSpPr/>
      </xdr:nvSpPr>
      <xdr:spPr>
        <a:xfrm flipH="1">
          <a:off x="5762623" y="17097375"/>
          <a:ext cx="8000998" cy="4500564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FF8181"/>
          </a:solidFill>
        </a:ln>
        <a:effectLst>
          <a:glow rad="139700">
            <a:srgbClr val="FF8181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ED9F4CBD-1B3C-48BC-B839-8D4A9CB62314}" type="TxLink">
            <a:rPr lang="en-US" sz="115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2.39%</a:t>
          </a:fld>
          <a:endParaRPr lang="en-US" sz="333300" b="1" i="0" u="none" strike="noStrike">
            <a:solidFill>
              <a:schemeClr val="bg1"/>
            </a:solidFill>
            <a:effectLst>
              <a:glow rad="139700">
                <a:schemeClr val="accent2">
                  <a:alpha val="40000"/>
                </a:schemeClr>
              </a:glow>
            </a:effectLst>
            <a:latin typeface="Trade Gothic Inline" panose="020B0504030203020204" pitchFamily="34" charset="0"/>
            <a:ea typeface="Calibri"/>
            <a:cs typeface="Calibri"/>
          </a:endParaRPr>
        </a:p>
      </xdr:txBody>
    </xdr:sp>
    <xdr:clientData/>
  </xdr:twoCellAnchor>
  <xdr:oneCellAnchor>
    <xdr:from>
      <xdr:col>6</xdr:col>
      <xdr:colOff>552016</xdr:colOff>
      <xdr:row>0</xdr:row>
      <xdr:rowOff>2033029</xdr:rowOff>
    </xdr:from>
    <xdr:ext cx="29594609" cy="967346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B8D2414-5B08-4B18-880D-91023FBAD2A5}"/>
            </a:ext>
          </a:extLst>
        </xdr:cNvPr>
        <xdr:cNvSpPr/>
      </xdr:nvSpPr>
      <xdr:spPr>
        <a:xfrm>
          <a:off x="3981016" y="2033029"/>
          <a:ext cx="29594609" cy="967346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138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2025Q-11-111JT</a:t>
          </a:r>
          <a:r>
            <a:rPr lang="en-US" sz="138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PROJECT</a:t>
          </a:r>
          <a:r>
            <a:rPr lang="en-US" sz="138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endParaRPr lang="en-US" sz="166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rgbClr val="CCFFCC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twoCellAnchor>
    <xdr:from>
      <xdr:col>23</xdr:col>
      <xdr:colOff>499760</xdr:colOff>
      <xdr:row>105</xdr:row>
      <xdr:rowOff>3711</xdr:rowOff>
    </xdr:from>
    <xdr:to>
      <xdr:col>25</xdr:col>
      <xdr:colOff>193597</xdr:colOff>
      <xdr:row>114</xdr:row>
      <xdr:rowOff>666749</xdr:rowOff>
    </xdr:to>
    <xdr:sp macro="" textlink="">
      <xdr:nvSpPr>
        <xdr:cNvPr id="6" name="Left Bracket 5">
          <a:extLst>
            <a:ext uri="{FF2B5EF4-FFF2-40B4-BE49-F238E27FC236}">
              <a16:creationId xmlns:a16="http://schemas.microsoft.com/office/drawing/2014/main" id="{BC427F40-D489-4D37-A57C-007FD09AF358}"/>
            </a:ext>
          </a:extLst>
        </xdr:cNvPr>
        <xdr:cNvSpPr/>
      </xdr:nvSpPr>
      <xdr:spPr>
        <a:xfrm rot="10800000" flipH="1">
          <a:off x="14049073" y="16553399"/>
          <a:ext cx="789212" cy="5235038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59</xdr:col>
      <xdr:colOff>23812</xdr:colOff>
      <xdr:row>106</xdr:row>
      <xdr:rowOff>56036</xdr:rowOff>
    </xdr:from>
    <xdr:to>
      <xdr:col>59</xdr:col>
      <xdr:colOff>49599</xdr:colOff>
      <xdr:row>114</xdr:row>
      <xdr:rowOff>666749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8C5F664B-3938-4278-BF90-F4281E7C7123}"/>
            </a:ext>
          </a:extLst>
        </xdr:cNvPr>
        <xdr:cNvCxnSpPr/>
      </xdr:nvCxnSpPr>
      <xdr:spPr>
        <a:xfrm flipH="1">
          <a:off x="34742437" y="16796224"/>
          <a:ext cx="25787" cy="4992213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69</xdr:col>
      <xdr:colOff>155121</xdr:colOff>
      <xdr:row>105</xdr:row>
      <xdr:rowOff>151039</xdr:rowOff>
    </xdr:from>
    <xdr:to>
      <xdr:col>69</xdr:col>
      <xdr:colOff>404811</xdr:colOff>
      <xdr:row>114</xdr:row>
      <xdr:rowOff>619124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86211519-8EDA-4C4C-BEA5-78137A1F2156}"/>
            </a:ext>
          </a:extLst>
        </xdr:cNvPr>
        <xdr:cNvSpPr/>
      </xdr:nvSpPr>
      <xdr:spPr>
        <a:xfrm flipH="1">
          <a:off x="40302996" y="16700727"/>
          <a:ext cx="249690" cy="5040085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47</xdr:col>
      <xdr:colOff>23812</xdr:colOff>
      <xdr:row>106</xdr:row>
      <xdr:rowOff>2598</xdr:rowOff>
    </xdr:from>
    <xdr:to>
      <xdr:col>47</xdr:col>
      <xdr:colOff>50835</xdr:colOff>
      <xdr:row>114</xdr:row>
      <xdr:rowOff>595312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E0859B26-1B40-487D-94DA-C1C17411A662}"/>
            </a:ext>
          </a:extLst>
        </xdr:cNvPr>
        <xdr:cNvCxnSpPr/>
      </xdr:nvCxnSpPr>
      <xdr:spPr>
        <a:xfrm flipH="1">
          <a:off x="27789187" y="16742786"/>
          <a:ext cx="27023" cy="4974214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16200</xdr:colOff>
      <xdr:row>106</xdr:row>
      <xdr:rowOff>34637</xdr:rowOff>
    </xdr:from>
    <xdr:to>
      <xdr:col>36</xdr:col>
      <xdr:colOff>95250</xdr:colOff>
      <xdr:row>114</xdr:row>
      <xdr:rowOff>714374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57DAD976-A12F-4B48-BC97-9E42A9D8BF88}"/>
            </a:ext>
          </a:extLst>
        </xdr:cNvPr>
        <xdr:cNvCxnSpPr/>
      </xdr:nvCxnSpPr>
      <xdr:spPr>
        <a:xfrm>
          <a:off x="21018825" y="16774825"/>
          <a:ext cx="79050" cy="5061237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7</xdr:col>
      <xdr:colOff>23811</xdr:colOff>
      <xdr:row>0</xdr:row>
      <xdr:rowOff>3619501</xdr:rowOff>
    </xdr:from>
    <xdr:ext cx="29594609" cy="967346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88A865C2-DF01-4F22-8F16-25696A36DE5B}"/>
            </a:ext>
          </a:extLst>
        </xdr:cNvPr>
        <xdr:cNvSpPr/>
      </xdr:nvSpPr>
      <xdr:spPr>
        <a:xfrm>
          <a:off x="4357686" y="3619501"/>
          <a:ext cx="29594609" cy="967346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115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84 " x 0.75 " - 24 Pipes </a:t>
          </a:r>
          <a:endParaRPr lang="en-US" sz="138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rgbClr val="CCFFCC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twoCellAnchor>
    <xdr:from>
      <xdr:col>0</xdr:col>
      <xdr:colOff>153695</xdr:colOff>
      <xdr:row>19</xdr:row>
      <xdr:rowOff>238126</xdr:rowOff>
    </xdr:from>
    <xdr:to>
      <xdr:col>10</xdr:col>
      <xdr:colOff>12986</xdr:colOff>
      <xdr:row>20</xdr:row>
      <xdr:rowOff>723034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3F6D3D06-EA11-4D25-8F98-6A9E912E3FB4}"/>
            </a:ext>
          </a:extLst>
        </xdr:cNvPr>
        <xdr:cNvSpPr txBox="1"/>
      </xdr:nvSpPr>
      <xdr:spPr>
        <a:xfrm>
          <a:off x="153695" y="12582526"/>
          <a:ext cx="5202816" cy="770658"/>
        </a:xfrm>
        <a:prstGeom prst="rect">
          <a:avLst/>
        </a:prstGeom>
        <a:solidFill>
          <a:srgbClr val="66FF33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54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chemeClr val="bg1">
                  <a:lumMod val="75000"/>
                </a:schemeClr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Carbozinc:</a:t>
          </a:r>
          <a:r>
            <a:rPr kumimoji="0" lang="en-US" sz="54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 0</a:t>
          </a:r>
        </a:p>
      </xdr:txBody>
    </xdr:sp>
    <xdr:clientData/>
  </xdr:twoCellAnchor>
  <xdr:twoCellAnchor>
    <xdr:from>
      <xdr:col>0</xdr:col>
      <xdr:colOff>142876</xdr:colOff>
      <xdr:row>20</xdr:row>
      <xdr:rowOff>917865</xdr:rowOff>
    </xdr:from>
    <xdr:to>
      <xdr:col>9</xdr:col>
      <xdr:colOff>393987</xdr:colOff>
      <xdr:row>22</xdr:row>
      <xdr:rowOff>380999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4D43D4F9-5107-43E1-A746-7B896FC950C3}"/>
            </a:ext>
          </a:extLst>
        </xdr:cNvPr>
        <xdr:cNvSpPr txBox="1"/>
      </xdr:nvSpPr>
      <xdr:spPr>
        <a:xfrm>
          <a:off x="142876" y="13548015"/>
          <a:ext cx="5175536" cy="1149059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54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chemeClr val="bg1">
                  <a:lumMod val="75000"/>
                </a:schemeClr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Customer:</a:t>
          </a:r>
          <a:r>
            <a:rPr kumimoji="0" lang="en-US" sz="54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 11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192355</xdr:colOff>
      <xdr:row>31</xdr:row>
      <xdr:rowOff>246662</xdr:rowOff>
    </xdr:from>
    <xdr:ext cx="2651538" cy="73428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C6206E5-BE01-408B-9AC3-72A52CCA4D03}"/>
            </a:ext>
          </a:extLst>
        </xdr:cNvPr>
        <xdr:cNvSpPr/>
      </xdr:nvSpPr>
      <xdr:spPr>
        <a:xfrm>
          <a:off x="192355" y="9724037"/>
          <a:ext cx="2651538" cy="734288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4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251517</xdr:colOff>
      <xdr:row>34</xdr:row>
      <xdr:rowOff>28330</xdr:rowOff>
    </xdr:from>
    <xdr:ext cx="2592377" cy="680357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CAAABCE-9B73-40FF-9297-311F03B58747}"/>
            </a:ext>
          </a:extLst>
        </xdr:cNvPr>
        <xdr:cNvSpPr/>
      </xdr:nvSpPr>
      <xdr:spPr>
        <a:xfrm>
          <a:off x="251517" y="10858255"/>
          <a:ext cx="2592377" cy="680357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oneCellAnchor>
    <xdr:from>
      <xdr:col>0</xdr:col>
      <xdr:colOff>0</xdr:colOff>
      <xdr:row>0</xdr:row>
      <xdr:rowOff>1790978</xdr:rowOff>
    </xdr:from>
    <xdr:ext cx="19876467" cy="1134555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82D5AC6-2F99-495C-8EDC-EFAD5665236D}"/>
            </a:ext>
          </a:extLst>
        </xdr:cNvPr>
        <xdr:cNvSpPr/>
      </xdr:nvSpPr>
      <xdr:spPr>
        <a:xfrm>
          <a:off x="0" y="1790978"/>
          <a:ext cx="19876467" cy="1134555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2025Q-11-111JT PROJECT </a:t>
          </a:r>
        </a:p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75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>
                  <a:lumMod val="20000"/>
                  <a:lumOff val="8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96 " x 0.750 " - 6 Pipes</a:t>
          </a:r>
        </a:p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</xdr:txBody>
    </xdr:sp>
    <xdr:clientData/>
  </xdr:oneCellAnchor>
  <xdr:twoCellAnchor>
    <xdr:from>
      <xdr:col>1</xdr:col>
      <xdr:colOff>68032</xdr:colOff>
      <xdr:row>45</xdr:row>
      <xdr:rowOff>81643</xdr:rowOff>
    </xdr:from>
    <xdr:to>
      <xdr:col>13</xdr:col>
      <xdr:colOff>40819</xdr:colOff>
      <xdr:row>58</xdr:row>
      <xdr:rowOff>81642</xdr:rowOff>
    </xdr:to>
    <xdr:sp macro="" textlink="$AY$50">
      <xdr:nvSpPr>
        <xdr:cNvPr id="5" name="Flowchart: Data 4">
          <a:extLst>
            <a:ext uri="{FF2B5EF4-FFF2-40B4-BE49-F238E27FC236}">
              <a16:creationId xmlns:a16="http://schemas.microsoft.com/office/drawing/2014/main" id="{839416F7-EF07-4E8E-B68D-E11E48D05739}"/>
            </a:ext>
          </a:extLst>
        </xdr:cNvPr>
        <xdr:cNvSpPr/>
      </xdr:nvSpPr>
      <xdr:spPr>
        <a:xfrm flipH="1">
          <a:off x="340175" y="15566572"/>
          <a:ext cx="5007430" cy="2503713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75DBFF"/>
          </a:solidFill>
        </a:ln>
        <a:effectLst>
          <a:glow rad="101600">
            <a:schemeClr val="accent1">
              <a:satMod val="175000"/>
              <a:alpha val="40000"/>
            </a:scheme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200" b="1" i="0" u="none" strike="noStrike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 rATE:                             </a:t>
          </a:r>
          <a:fld id="{FA36B989-B84F-4CAC-84E5-C14832F25569}" type="TxLink">
            <a:rPr lang="en-US" sz="7200" b="1" i="0" u="none" strike="noStrike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1.17%</a:t>
          </a:fld>
          <a:endParaRPr lang="en-US" sz="123400" b="1">
            <a:solidFill>
              <a:schemeClr val="bg1"/>
            </a:solidFill>
            <a:effectLst>
              <a:glow rad="228600">
                <a:srgbClr val="75FFF2">
                  <a:alpha val="40000"/>
                </a:srgbClr>
              </a:glow>
            </a:effectLst>
            <a:latin typeface="Trade Gothic Inline" panose="020B0504030203020204" pitchFamily="34" charset="0"/>
          </a:endParaRPr>
        </a:p>
      </xdr:txBody>
    </xdr:sp>
    <xdr:clientData/>
  </xdr:twoCellAnchor>
  <xdr:twoCellAnchor>
    <xdr:from>
      <xdr:col>34</xdr:col>
      <xdr:colOff>143837</xdr:colOff>
      <xdr:row>31</xdr:row>
      <xdr:rowOff>176895</xdr:rowOff>
    </xdr:from>
    <xdr:to>
      <xdr:col>34</xdr:col>
      <xdr:colOff>143837</xdr:colOff>
      <xdr:row>41</xdr:row>
      <xdr:rowOff>489859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1397EB8F-0B1E-4966-BCF0-8DEDEA67570E}"/>
            </a:ext>
          </a:extLst>
        </xdr:cNvPr>
        <xdr:cNvCxnSpPr/>
      </xdr:nvCxnSpPr>
      <xdr:spPr>
        <a:xfrm>
          <a:off x="13897937" y="9654270"/>
          <a:ext cx="0" cy="4961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136066</xdr:colOff>
      <xdr:row>31</xdr:row>
      <xdr:rowOff>54428</xdr:rowOff>
    </xdr:from>
    <xdr:to>
      <xdr:col>49</xdr:col>
      <xdr:colOff>163278</xdr:colOff>
      <xdr:row>41</xdr:row>
      <xdr:rowOff>683559</xdr:rowOff>
    </xdr:to>
    <xdr:sp macro="" textlink="">
      <xdr:nvSpPr>
        <xdr:cNvPr id="7" name="Left Bracket 6">
          <a:extLst>
            <a:ext uri="{FF2B5EF4-FFF2-40B4-BE49-F238E27FC236}">
              <a16:creationId xmlns:a16="http://schemas.microsoft.com/office/drawing/2014/main" id="{6997266D-7534-44ED-9702-02E962A0AD2A}"/>
            </a:ext>
          </a:extLst>
        </xdr:cNvPr>
        <xdr:cNvSpPr/>
      </xdr:nvSpPr>
      <xdr:spPr>
        <a:xfrm flipH="1">
          <a:off x="19576591" y="9531803"/>
          <a:ext cx="398687" cy="5277331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15</xdr:col>
      <xdr:colOff>40825</xdr:colOff>
      <xdr:row>31</xdr:row>
      <xdr:rowOff>176890</xdr:rowOff>
    </xdr:from>
    <xdr:to>
      <xdr:col>16</xdr:col>
      <xdr:colOff>163287</xdr:colOff>
      <xdr:row>41</xdr:row>
      <xdr:rowOff>721177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148C2C27-26C7-4B8E-8E1A-4C2D2739C81C}"/>
            </a:ext>
          </a:extLst>
        </xdr:cNvPr>
        <xdr:cNvSpPr/>
      </xdr:nvSpPr>
      <xdr:spPr>
        <a:xfrm rot="10800000" flipH="1">
          <a:off x="6089200" y="9654265"/>
          <a:ext cx="398687" cy="5192487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122465</xdr:colOff>
      <xdr:row>35</xdr:row>
      <xdr:rowOff>190499</xdr:rowOff>
    </xdr:from>
    <xdr:to>
      <xdr:col>9</xdr:col>
      <xdr:colOff>122465</xdr:colOff>
      <xdr:row>35</xdr:row>
      <xdr:rowOff>217714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16917F78-6680-40FE-8C66-6E9097632539}"/>
            </a:ext>
          </a:extLst>
        </xdr:cNvPr>
        <xdr:cNvCxnSpPr/>
      </xdr:nvCxnSpPr>
      <xdr:spPr>
        <a:xfrm flipH="1" flipV="1">
          <a:off x="122465" y="11715749"/>
          <a:ext cx="3657600" cy="27215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27214</xdr:colOff>
      <xdr:row>35</xdr:row>
      <xdr:rowOff>802821</xdr:rowOff>
    </xdr:from>
    <xdr:to>
      <xdr:col>34</xdr:col>
      <xdr:colOff>27214</xdr:colOff>
      <xdr:row>35</xdr:row>
      <xdr:rowOff>802821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EFCC8995-4932-4C95-B4A2-AD231B616CE7}"/>
            </a:ext>
          </a:extLst>
        </xdr:cNvPr>
        <xdr:cNvCxnSpPr/>
      </xdr:nvCxnSpPr>
      <xdr:spPr>
        <a:xfrm>
          <a:off x="9371239" y="12328071"/>
          <a:ext cx="4410075" cy="0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122464</xdr:colOff>
      <xdr:row>31</xdr:row>
      <xdr:rowOff>272143</xdr:rowOff>
    </xdr:from>
    <xdr:to>
      <xdr:col>22</xdr:col>
      <xdr:colOff>122464</xdr:colOff>
      <xdr:row>41</xdr:row>
      <xdr:rowOff>585107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329B8740-A8A5-4C5D-832E-9016F05E4CAA}"/>
            </a:ext>
          </a:extLst>
        </xdr:cNvPr>
        <xdr:cNvCxnSpPr/>
      </xdr:nvCxnSpPr>
      <xdr:spPr>
        <a:xfrm>
          <a:off x="9180739" y="9749518"/>
          <a:ext cx="0" cy="4961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0</xdr:col>
      <xdr:colOff>108857</xdr:colOff>
      <xdr:row>30</xdr:row>
      <xdr:rowOff>1102179</xdr:rowOff>
    </xdr:from>
    <xdr:ext cx="5576454" cy="658089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672AFA3-BC14-473A-9F4B-467B32298EBA}"/>
            </a:ext>
          </a:extLst>
        </xdr:cNvPr>
        <xdr:cNvSpPr/>
      </xdr:nvSpPr>
      <xdr:spPr>
        <a:xfrm>
          <a:off x="108857" y="8817429"/>
          <a:ext cx="5576454" cy="658089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3600" b="1" i="1" cap="none" spc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228600">
                  <a:schemeClr val="accent6">
                    <a:satMod val="175000"/>
                    <a:alpha val="40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Carbozinc 11: 0 pcs.</a:t>
          </a:r>
        </a:p>
      </xdr:txBody>
    </xdr:sp>
    <xdr:clientData/>
  </xdr:oneCellAnchor>
  <xdr:oneCellAnchor>
    <xdr:from>
      <xdr:col>0</xdr:col>
      <xdr:colOff>122464</xdr:colOff>
      <xdr:row>30</xdr:row>
      <xdr:rowOff>285751</xdr:rowOff>
    </xdr:from>
    <xdr:ext cx="4831773" cy="530678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2162CE24-FEFA-48D2-85E0-6EEB37976162}"/>
            </a:ext>
          </a:extLst>
        </xdr:cNvPr>
        <xdr:cNvSpPr/>
      </xdr:nvSpPr>
      <xdr:spPr>
        <a:xfrm>
          <a:off x="122464" y="8001001"/>
          <a:ext cx="4831773" cy="530678"/>
        </a:xfrm>
        <a:prstGeom prst="rect">
          <a:avLst/>
        </a:prstGeom>
        <a:solidFill>
          <a:srgbClr val="FFFF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48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CUSTOMER : 0</a:t>
          </a:r>
          <a:endParaRPr lang="en-US" sz="48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192355</xdr:colOff>
      <xdr:row>31</xdr:row>
      <xdr:rowOff>246662</xdr:rowOff>
    </xdr:from>
    <xdr:ext cx="2651538" cy="73428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F8B1493-183D-4FA3-BEF2-F864EE4B8156}"/>
            </a:ext>
          </a:extLst>
        </xdr:cNvPr>
        <xdr:cNvSpPr/>
      </xdr:nvSpPr>
      <xdr:spPr>
        <a:xfrm>
          <a:off x="192355" y="9066812"/>
          <a:ext cx="2651538" cy="734288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4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251517</xdr:colOff>
      <xdr:row>34</xdr:row>
      <xdr:rowOff>28330</xdr:rowOff>
    </xdr:from>
    <xdr:ext cx="2592377" cy="680357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C5D5521-D856-4508-B872-35B9B1CF307A}"/>
            </a:ext>
          </a:extLst>
        </xdr:cNvPr>
        <xdr:cNvSpPr/>
      </xdr:nvSpPr>
      <xdr:spPr>
        <a:xfrm>
          <a:off x="251517" y="10201030"/>
          <a:ext cx="2592377" cy="680357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oneCellAnchor>
    <xdr:from>
      <xdr:col>0</xdr:col>
      <xdr:colOff>0</xdr:colOff>
      <xdr:row>0</xdr:row>
      <xdr:rowOff>1790978</xdr:rowOff>
    </xdr:from>
    <xdr:ext cx="19876467" cy="1134555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4E44E3D-545E-4255-B885-D19A8F97E590}"/>
            </a:ext>
          </a:extLst>
        </xdr:cNvPr>
        <xdr:cNvSpPr/>
      </xdr:nvSpPr>
      <xdr:spPr>
        <a:xfrm>
          <a:off x="0" y="1790978"/>
          <a:ext cx="19876467" cy="1134555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2025Q-10-108JT PROJECT </a:t>
          </a:r>
        </a:p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75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>
                  <a:lumMod val="20000"/>
                  <a:lumOff val="8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78 " x 0.5 " - 15 Pipes</a:t>
          </a:r>
        </a:p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</xdr:txBody>
    </xdr:sp>
    <xdr:clientData/>
  </xdr:oneCellAnchor>
  <xdr:twoCellAnchor>
    <xdr:from>
      <xdr:col>1</xdr:col>
      <xdr:colOff>40819</xdr:colOff>
      <xdr:row>35</xdr:row>
      <xdr:rowOff>680358</xdr:rowOff>
    </xdr:from>
    <xdr:to>
      <xdr:col>13</xdr:col>
      <xdr:colOff>13606</xdr:colOff>
      <xdr:row>41</xdr:row>
      <xdr:rowOff>489859</xdr:rowOff>
    </xdr:to>
    <xdr:sp macro="" textlink="$AY$50">
      <xdr:nvSpPr>
        <xdr:cNvPr id="5" name="Flowchart: Data 4">
          <a:extLst>
            <a:ext uri="{FF2B5EF4-FFF2-40B4-BE49-F238E27FC236}">
              <a16:creationId xmlns:a16="http://schemas.microsoft.com/office/drawing/2014/main" id="{D5BC6271-3EEE-4110-942A-48391620BCFC}"/>
            </a:ext>
          </a:extLst>
        </xdr:cNvPr>
        <xdr:cNvSpPr/>
      </xdr:nvSpPr>
      <xdr:spPr>
        <a:xfrm flipH="1">
          <a:off x="312962" y="11538858"/>
          <a:ext cx="5007430" cy="2422072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75DBFF"/>
          </a:solidFill>
        </a:ln>
        <a:effectLst>
          <a:glow rad="101600">
            <a:schemeClr val="accent1">
              <a:satMod val="175000"/>
              <a:alpha val="40000"/>
            </a:scheme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1870E3C5-6C1D-40F0-85C9-A2FA0C8A8FEC}" type="TxLink">
            <a:rPr lang="en-US" sz="7200" b="1" i="0" u="none" strike="noStrike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0.83%</a:t>
          </a:fld>
          <a:endParaRPr lang="en-US" sz="307000" b="1">
            <a:solidFill>
              <a:schemeClr val="bg1"/>
            </a:solidFill>
            <a:effectLst>
              <a:glow rad="228600">
                <a:srgbClr val="75FFF2">
                  <a:alpha val="40000"/>
                </a:srgbClr>
              </a:glow>
            </a:effectLst>
            <a:latin typeface="Trade Gothic Inline" panose="020B0504030203020204" pitchFamily="34" charset="0"/>
          </a:endParaRPr>
        </a:p>
      </xdr:txBody>
    </xdr:sp>
    <xdr:clientData/>
  </xdr:twoCellAnchor>
  <xdr:twoCellAnchor>
    <xdr:from>
      <xdr:col>34</xdr:col>
      <xdr:colOff>143837</xdr:colOff>
      <xdr:row>31</xdr:row>
      <xdr:rowOff>176895</xdr:rowOff>
    </xdr:from>
    <xdr:to>
      <xdr:col>34</xdr:col>
      <xdr:colOff>143837</xdr:colOff>
      <xdr:row>41</xdr:row>
      <xdr:rowOff>489859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6C592BCD-AC6C-4BBB-ACAD-6FC5AF06DA77}"/>
            </a:ext>
          </a:extLst>
        </xdr:cNvPr>
        <xdr:cNvCxnSpPr/>
      </xdr:nvCxnSpPr>
      <xdr:spPr>
        <a:xfrm>
          <a:off x="13897937" y="8997045"/>
          <a:ext cx="0" cy="4961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136066</xdr:colOff>
      <xdr:row>31</xdr:row>
      <xdr:rowOff>54428</xdr:rowOff>
    </xdr:from>
    <xdr:to>
      <xdr:col>49</xdr:col>
      <xdr:colOff>163278</xdr:colOff>
      <xdr:row>41</xdr:row>
      <xdr:rowOff>683559</xdr:rowOff>
    </xdr:to>
    <xdr:sp macro="" textlink="">
      <xdr:nvSpPr>
        <xdr:cNvPr id="7" name="Left Bracket 6">
          <a:extLst>
            <a:ext uri="{FF2B5EF4-FFF2-40B4-BE49-F238E27FC236}">
              <a16:creationId xmlns:a16="http://schemas.microsoft.com/office/drawing/2014/main" id="{797F5C91-7016-4A8A-B897-30117C39DA84}"/>
            </a:ext>
          </a:extLst>
        </xdr:cNvPr>
        <xdr:cNvSpPr/>
      </xdr:nvSpPr>
      <xdr:spPr>
        <a:xfrm flipH="1">
          <a:off x="19576591" y="8874578"/>
          <a:ext cx="398687" cy="5277331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15</xdr:col>
      <xdr:colOff>40825</xdr:colOff>
      <xdr:row>31</xdr:row>
      <xdr:rowOff>176890</xdr:rowOff>
    </xdr:from>
    <xdr:to>
      <xdr:col>16</xdr:col>
      <xdr:colOff>163287</xdr:colOff>
      <xdr:row>41</xdr:row>
      <xdr:rowOff>721177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452EBEC3-547E-4693-BC16-2689FECFDD6B}"/>
            </a:ext>
          </a:extLst>
        </xdr:cNvPr>
        <xdr:cNvSpPr/>
      </xdr:nvSpPr>
      <xdr:spPr>
        <a:xfrm rot="10800000" flipH="1">
          <a:off x="6089200" y="8997040"/>
          <a:ext cx="398687" cy="5192487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122465</xdr:colOff>
      <xdr:row>35</xdr:row>
      <xdr:rowOff>190499</xdr:rowOff>
    </xdr:from>
    <xdr:to>
      <xdr:col>9</xdr:col>
      <xdr:colOff>122465</xdr:colOff>
      <xdr:row>35</xdr:row>
      <xdr:rowOff>217714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1E92AFC0-31F7-434B-AE61-61F3D0C528ED}"/>
            </a:ext>
          </a:extLst>
        </xdr:cNvPr>
        <xdr:cNvCxnSpPr/>
      </xdr:nvCxnSpPr>
      <xdr:spPr>
        <a:xfrm flipH="1" flipV="1">
          <a:off x="122465" y="11058524"/>
          <a:ext cx="3657600" cy="27215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27214</xdr:colOff>
      <xdr:row>35</xdr:row>
      <xdr:rowOff>802821</xdr:rowOff>
    </xdr:from>
    <xdr:to>
      <xdr:col>34</xdr:col>
      <xdr:colOff>27214</xdr:colOff>
      <xdr:row>35</xdr:row>
      <xdr:rowOff>802821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6A71FC7E-4E83-4570-A358-BC5F83583271}"/>
            </a:ext>
          </a:extLst>
        </xdr:cNvPr>
        <xdr:cNvCxnSpPr/>
      </xdr:nvCxnSpPr>
      <xdr:spPr>
        <a:xfrm>
          <a:off x="9371239" y="11670846"/>
          <a:ext cx="4410075" cy="0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122464</xdr:colOff>
      <xdr:row>31</xdr:row>
      <xdr:rowOff>272143</xdr:rowOff>
    </xdr:from>
    <xdr:to>
      <xdr:col>22</xdr:col>
      <xdr:colOff>122464</xdr:colOff>
      <xdr:row>41</xdr:row>
      <xdr:rowOff>585107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BC6922E-D800-4C3F-86A8-CA5728ED5E5F}"/>
            </a:ext>
          </a:extLst>
        </xdr:cNvPr>
        <xdr:cNvCxnSpPr/>
      </xdr:nvCxnSpPr>
      <xdr:spPr>
        <a:xfrm>
          <a:off x="9180739" y="9092293"/>
          <a:ext cx="0" cy="4961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0</xdr:col>
      <xdr:colOff>108857</xdr:colOff>
      <xdr:row>30</xdr:row>
      <xdr:rowOff>1102179</xdr:rowOff>
    </xdr:from>
    <xdr:ext cx="5576454" cy="658089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82669EC-3854-413E-AF4E-A087BB350F30}"/>
            </a:ext>
          </a:extLst>
        </xdr:cNvPr>
        <xdr:cNvSpPr/>
      </xdr:nvSpPr>
      <xdr:spPr>
        <a:xfrm>
          <a:off x="108857" y="8150679"/>
          <a:ext cx="5576454" cy="658089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3600" b="1" i="1" cap="none" spc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228600">
                  <a:schemeClr val="accent6">
                    <a:satMod val="175000"/>
                    <a:alpha val="40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Carbozinc 11: 3 pcs.</a:t>
          </a:r>
        </a:p>
      </xdr:txBody>
    </xdr:sp>
    <xdr:clientData/>
  </xdr:oneCellAnchor>
  <xdr:oneCellAnchor>
    <xdr:from>
      <xdr:col>0</xdr:col>
      <xdr:colOff>122464</xdr:colOff>
      <xdr:row>30</xdr:row>
      <xdr:rowOff>285751</xdr:rowOff>
    </xdr:from>
    <xdr:ext cx="4831773" cy="530678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8E5CFA3D-EEC5-410E-92C9-8792E35FA32D}"/>
            </a:ext>
          </a:extLst>
        </xdr:cNvPr>
        <xdr:cNvSpPr/>
      </xdr:nvSpPr>
      <xdr:spPr>
        <a:xfrm>
          <a:off x="122464" y="7334251"/>
          <a:ext cx="4831773" cy="530678"/>
        </a:xfrm>
        <a:prstGeom prst="rect">
          <a:avLst/>
        </a:prstGeom>
        <a:solidFill>
          <a:srgbClr val="FFFF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48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CUSTOMER : 8</a:t>
          </a:r>
          <a:endParaRPr lang="en-US" sz="48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192355</xdr:colOff>
      <xdr:row>31</xdr:row>
      <xdr:rowOff>246662</xdr:rowOff>
    </xdr:from>
    <xdr:ext cx="2651538" cy="73428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F29AB3F-5ADD-4AD1-B5F9-F8CF0E7FD201}"/>
            </a:ext>
          </a:extLst>
        </xdr:cNvPr>
        <xdr:cNvSpPr/>
      </xdr:nvSpPr>
      <xdr:spPr>
        <a:xfrm>
          <a:off x="192355" y="9066812"/>
          <a:ext cx="2651538" cy="734288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4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251517</xdr:colOff>
      <xdr:row>34</xdr:row>
      <xdr:rowOff>28330</xdr:rowOff>
    </xdr:from>
    <xdr:ext cx="2592377" cy="680357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7ABD93C-82F9-4D51-B106-CDE9742E5AF8}"/>
            </a:ext>
          </a:extLst>
        </xdr:cNvPr>
        <xdr:cNvSpPr/>
      </xdr:nvSpPr>
      <xdr:spPr>
        <a:xfrm>
          <a:off x="251517" y="10201030"/>
          <a:ext cx="2592377" cy="680357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oneCellAnchor>
    <xdr:from>
      <xdr:col>0</xdr:col>
      <xdr:colOff>0</xdr:colOff>
      <xdr:row>0</xdr:row>
      <xdr:rowOff>1790978</xdr:rowOff>
    </xdr:from>
    <xdr:ext cx="19876467" cy="1134555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134F43A-5F03-482D-8D16-67909C8F327A}"/>
            </a:ext>
          </a:extLst>
        </xdr:cNvPr>
        <xdr:cNvSpPr/>
      </xdr:nvSpPr>
      <xdr:spPr>
        <a:xfrm>
          <a:off x="0" y="1790978"/>
          <a:ext cx="19876467" cy="1134555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2025Q-10-108JT PROJECT </a:t>
          </a:r>
        </a:p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75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>
                  <a:lumMod val="20000"/>
                  <a:lumOff val="8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96 " x 0.625 " - 4 Pipes</a:t>
          </a:r>
        </a:p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</xdr:txBody>
    </xdr:sp>
    <xdr:clientData/>
  </xdr:oneCellAnchor>
  <xdr:twoCellAnchor>
    <xdr:from>
      <xdr:col>1</xdr:col>
      <xdr:colOff>40818</xdr:colOff>
      <xdr:row>35</xdr:row>
      <xdr:rowOff>680357</xdr:rowOff>
    </xdr:from>
    <xdr:to>
      <xdr:col>13</xdr:col>
      <xdr:colOff>13605</xdr:colOff>
      <xdr:row>41</xdr:row>
      <xdr:rowOff>571499</xdr:rowOff>
    </xdr:to>
    <xdr:sp macro="" textlink="$AY$50">
      <xdr:nvSpPr>
        <xdr:cNvPr id="5" name="Flowchart: Data 4">
          <a:extLst>
            <a:ext uri="{FF2B5EF4-FFF2-40B4-BE49-F238E27FC236}">
              <a16:creationId xmlns:a16="http://schemas.microsoft.com/office/drawing/2014/main" id="{BDFC89BB-6FD7-4776-8150-FDE5345FC03C}"/>
            </a:ext>
          </a:extLst>
        </xdr:cNvPr>
        <xdr:cNvSpPr/>
      </xdr:nvSpPr>
      <xdr:spPr>
        <a:xfrm flipH="1">
          <a:off x="307518" y="11548382"/>
          <a:ext cx="5011512" cy="2491467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75DBFF"/>
          </a:solidFill>
        </a:ln>
        <a:effectLst>
          <a:glow rad="101600">
            <a:schemeClr val="accent1">
              <a:satMod val="175000"/>
              <a:alpha val="40000"/>
            </a:scheme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400" b="1" i="0" u="none" strike="noStrike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 Rate:                          </a:t>
          </a:r>
          <a:fld id="{180FB27B-0ADE-455D-9F49-1125AEF266FC}" type="TxLink">
            <a:rPr lang="en-US" sz="4400" b="1" i="0" u="none" strike="noStrike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1.87%</a:t>
          </a:fld>
          <a:endParaRPr lang="en-US" sz="368400" b="1">
            <a:solidFill>
              <a:schemeClr val="bg1"/>
            </a:solidFill>
            <a:effectLst>
              <a:glow rad="228600">
                <a:srgbClr val="75FFF2">
                  <a:alpha val="40000"/>
                </a:srgbClr>
              </a:glow>
            </a:effectLst>
            <a:latin typeface="Trade Gothic Inline" panose="020B0504030203020204" pitchFamily="34" charset="0"/>
          </a:endParaRPr>
        </a:p>
      </xdr:txBody>
    </xdr:sp>
    <xdr:clientData/>
  </xdr:twoCellAnchor>
  <xdr:twoCellAnchor>
    <xdr:from>
      <xdr:col>34</xdr:col>
      <xdr:colOff>143837</xdr:colOff>
      <xdr:row>31</xdr:row>
      <xdr:rowOff>176895</xdr:rowOff>
    </xdr:from>
    <xdr:to>
      <xdr:col>34</xdr:col>
      <xdr:colOff>143837</xdr:colOff>
      <xdr:row>41</xdr:row>
      <xdr:rowOff>489859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C581244A-6A34-490D-8DF8-D11AD0D94FB0}"/>
            </a:ext>
          </a:extLst>
        </xdr:cNvPr>
        <xdr:cNvCxnSpPr/>
      </xdr:nvCxnSpPr>
      <xdr:spPr>
        <a:xfrm>
          <a:off x="13897937" y="8997045"/>
          <a:ext cx="0" cy="4961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136066</xdr:colOff>
      <xdr:row>31</xdr:row>
      <xdr:rowOff>54428</xdr:rowOff>
    </xdr:from>
    <xdr:to>
      <xdr:col>49</xdr:col>
      <xdr:colOff>163278</xdr:colOff>
      <xdr:row>41</xdr:row>
      <xdr:rowOff>683559</xdr:rowOff>
    </xdr:to>
    <xdr:sp macro="" textlink="">
      <xdr:nvSpPr>
        <xdr:cNvPr id="7" name="Left Bracket 6">
          <a:extLst>
            <a:ext uri="{FF2B5EF4-FFF2-40B4-BE49-F238E27FC236}">
              <a16:creationId xmlns:a16="http://schemas.microsoft.com/office/drawing/2014/main" id="{9B032457-C50F-4E57-B3A2-644A3CE7FFAD}"/>
            </a:ext>
          </a:extLst>
        </xdr:cNvPr>
        <xdr:cNvSpPr/>
      </xdr:nvSpPr>
      <xdr:spPr>
        <a:xfrm flipH="1">
          <a:off x="19576591" y="8874578"/>
          <a:ext cx="398687" cy="5277331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15</xdr:col>
      <xdr:colOff>40825</xdr:colOff>
      <xdr:row>31</xdr:row>
      <xdr:rowOff>176890</xdr:rowOff>
    </xdr:from>
    <xdr:to>
      <xdr:col>16</xdr:col>
      <xdr:colOff>163287</xdr:colOff>
      <xdr:row>41</xdr:row>
      <xdr:rowOff>721177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4FA9424A-1554-47E4-8D9E-7C5BA102DCBA}"/>
            </a:ext>
          </a:extLst>
        </xdr:cNvPr>
        <xdr:cNvSpPr/>
      </xdr:nvSpPr>
      <xdr:spPr>
        <a:xfrm rot="10800000" flipH="1">
          <a:off x="6089200" y="8997040"/>
          <a:ext cx="398687" cy="5192487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122465</xdr:colOff>
      <xdr:row>35</xdr:row>
      <xdr:rowOff>190499</xdr:rowOff>
    </xdr:from>
    <xdr:to>
      <xdr:col>9</xdr:col>
      <xdr:colOff>122465</xdr:colOff>
      <xdr:row>35</xdr:row>
      <xdr:rowOff>217714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6E536F54-F271-47A4-9AE5-4A7979454F06}"/>
            </a:ext>
          </a:extLst>
        </xdr:cNvPr>
        <xdr:cNvCxnSpPr/>
      </xdr:nvCxnSpPr>
      <xdr:spPr>
        <a:xfrm flipH="1" flipV="1">
          <a:off x="122465" y="11058524"/>
          <a:ext cx="3657600" cy="27215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27214</xdr:colOff>
      <xdr:row>35</xdr:row>
      <xdr:rowOff>802821</xdr:rowOff>
    </xdr:from>
    <xdr:to>
      <xdr:col>34</xdr:col>
      <xdr:colOff>27214</xdr:colOff>
      <xdr:row>35</xdr:row>
      <xdr:rowOff>802821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A4FD3BCB-3EE4-49D6-ACD1-A9F75C33EB4B}"/>
            </a:ext>
          </a:extLst>
        </xdr:cNvPr>
        <xdr:cNvCxnSpPr/>
      </xdr:nvCxnSpPr>
      <xdr:spPr>
        <a:xfrm>
          <a:off x="9371239" y="11670846"/>
          <a:ext cx="4410075" cy="0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122464</xdr:colOff>
      <xdr:row>31</xdr:row>
      <xdr:rowOff>272143</xdr:rowOff>
    </xdr:from>
    <xdr:to>
      <xdr:col>22</xdr:col>
      <xdr:colOff>122464</xdr:colOff>
      <xdr:row>41</xdr:row>
      <xdr:rowOff>585107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195DD02C-5965-4E17-8E01-90C483788223}"/>
            </a:ext>
          </a:extLst>
        </xdr:cNvPr>
        <xdr:cNvCxnSpPr/>
      </xdr:nvCxnSpPr>
      <xdr:spPr>
        <a:xfrm>
          <a:off x="9180739" y="9092293"/>
          <a:ext cx="0" cy="4961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0</xdr:col>
      <xdr:colOff>108857</xdr:colOff>
      <xdr:row>30</xdr:row>
      <xdr:rowOff>1102179</xdr:rowOff>
    </xdr:from>
    <xdr:ext cx="5576454" cy="658089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9D94B8B4-D4A2-46C8-B842-69270B0D39B0}"/>
            </a:ext>
          </a:extLst>
        </xdr:cNvPr>
        <xdr:cNvSpPr/>
      </xdr:nvSpPr>
      <xdr:spPr>
        <a:xfrm>
          <a:off x="108857" y="8160204"/>
          <a:ext cx="5576454" cy="658089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3600" b="1" i="1" cap="none" spc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228600">
                  <a:schemeClr val="accent6">
                    <a:satMod val="175000"/>
                    <a:alpha val="40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Carbozinc 11: 0 pcs.</a:t>
          </a:r>
        </a:p>
      </xdr:txBody>
    </xdr:sp>
    <xdr:clientData/>
  </xdr:oneCellAnchor>
  <xdr:oneCellAnchor>
    <xdr:from>
      <xdr:col>0</xdr:col>
      <xdr:colOff>122464</xdr:colOff>
      <xdr:row>30</xdr:row>
      <xdr:rowOff>285751</xdr:rowOff>
    </xdr:from>
    <xdr:ext cx="4831773" cy="530678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3DAAA7A-429B-49D8-A5FA-2B95A72BC4E7}"/>
            </a:ext>
          </a:extLst>
        </xdr:cNvPr>
        <xdr:cNvSpPr/>
      </xdr:nvSpPr>
      <xdr:spPr>
        <a:xfrm>
          <a:off x="122464" y="7343776"/>
          <a:ext cx="4831773" cy="530678"/>
        </a:xfrm>
        <a:prstGeom prst="rect">
          <a:avLst/>
        </a:prstGeom>
        <a:solidFill>
          <a:srgbClr val="FFFF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48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CUSTOMER : 3</a:t>
          </a:r>
          <a:endParaRPr lang="en-US" sz="48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192355</xdr:colOff>
      <xdr:row>37</xdr:row>
      <xdr:rowOff>246662</xdr:rowOff>
    </xdr:from>
    <xdr:ext cx="2651538" cy="73428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A1A8C60-751F-46D1-879E-EFE6AF78774E}"/>
            </a:ext>
          </a:extLst>
        </xdr:cNvPr>
        <xdr:cNvSpPr/>
      </xdr:nvSpPr>
      <xdr:spPr>
        <a:xfrm>
          <a:off x="192355" y="9066812"/>
          <a:ext cx="2651538" cy="734288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4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251517</xdr:colOff>
      <xdr:row>40</xdr:row>
      <xdr:rowOff>28330</xdr:rowOff>
    </xdr:from>
    <xdr:ext cx="2592377" cy="680357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AD22782-97B1-44F9-8423-39359D828F46}"/>
            </a:ext>
          </a:extLst>
        </xdr:cNvPr>
        <xdr:cNvSpPr/>
      </xdr:nvSpPr>
      <xdr:spPr>
        <a:xfrm>
          <a:off x="251517" y="10201030"/>
          <a:ext cx="2592377" cy="680357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twoCellAnchor>
    <xdr:from>
      <xdr:col>1</xdr:col>
      <xdr:colOff>40819</xdr:colOff>
      <xdr:row>41</xdr:row>
      <xdr:rowOff>680358</xdr:rowOff>
    </xdr:from>
    <xdr:to>
      <xdr:col>13</xdr:col>
      <xdr:colOff>13606</xdr:colOff>
      <xdr:row>47</xdr:row>
      <xdr:rowOff>489859</xdr:rowOff>
    </xdr:to>
    <xdr:sp macro="" textlink="$AY$56">
      <xdr:nvSpPr>
        <xdr:cNvPr id="5" name="Flowchart: Data 4">
          <a:extLst>
            <a:ext uri="{FF2B5EF4-FFF2-40B4-BE49-F238E27FC236}">
              <a16:creationId xmlns:a16="http://schemas.microsoft.com/office/drawing/2014/main" id="{44EF2C35-E62C-4C98-BE3C-F5E17B075A00}"/>
            </a:ext>
          </a:extLst>
        </xdr:cNvPr>
        <xdr:cNvSpPr/>
      </xdr:nvSpPr>
      <xdr:spPr>
        <a:xfrm flipH="1">
          <a:off x="307519" y="11548383"/>
          <a:ext cx="5011512" cy="2409826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75DBFF"/>
          </a:solidFill>
        </a:ln>
        <a:effectLst>
          <a:glow rad="101600">
            <a:schemeClr val="accent1">
              <a:satMod val="175000"/>
              <a:alpha val="40000"/>
            </a:scheme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B212A7B-1C84-46B5-B24C-32F1C99198DB}" type="TxLink">
            <a:rPr lang="en-US" sz="6600" b="1" i="0" u="none" strike="noStrike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2.37%</a:t>
          </a:fld>
          <a:endParaRPr lang="en-US" sz="400000" b="1">
            <a:solidFill>
              <a:schemeClr val="bg1"/>
            </a:solidFill>
            <a:effectLst>
              <a:glow rad="228600">
                <a:srgbClr val="75FFF2">
                  <a:alpha val="40000"/>
                </a:srgbClr>
              </a:glow>
            </a:effectLst>
            <a:latin typeface="Trade Gothic Inline" panose="020B0504030203020204" pitchFamily="34" charset="0"/>
          </a:endParaRPr>
        </a:p>
      </xdr:txBody>
    </xdr:sp>
    <xdr:clientData/>
  </xdr:twoCellAnchor>
  <xdr:twoCellAnchor>
    <xdr:from>
      <xdr:col>34</xdr:col>
      <xdr:colOff>143837</xdr:colOff>
      <xdr:row>37</xdr:row>
      <xdr:rowOff>176895</xdr:rowOff>
    </xdr:from>
    <xdr:to>
      <xdr:col>34</xdr:col>
      <xdr:colOff>143837</xdr:colOff>
      <xdr:row>47</xdr:row>
      <xdr:rowOff>489859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3AC6BD27-2B24-40C7-ABF6-E85FE00875FD}"/>
            </a:ext>
          </a:extLst>
        </xdr:cNvPr>
        <xdr:cNvCxnSpPr/>
      </xdr:nvCxnSpPr>
      <xdr:spPr>
        <a:xfrm>
          <a:off x="13897937" y="8997045"/>
          <a:ext cx="0" cy="4961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136066</xdr:colOff>
      <xdr:row>37</xdr:row>
      <xdr:rowOff>54428</xdr:rowOff>
    </xdr:from>
    <xdr:to>
      <xdr:col>49</xdr:col>
      <xdr:colOff>163278</xdr:colOff>
      <xdr:row>47</xdr:row>
      <xdr:rowOff>683559</xdr:rowOff>
    </xdr:to>
    <xdr:sp macro="" textlink="">
      <xdr:nvSpPr>
        <xdr:cNvPr id="7" name="Left Bracket 6">
          <a:extLst>
            <a:ext uri="{FF2B5EF4-FFF2-40B4-BE49-F238E27FC236}">
              <a16:creationId xmlns:a16="http://schemas.microsoft.com/office/drawing/2014/main" id="{5ED2E873-7844-4351-9ABC-B0AB857CB124}"/>
            </a:ext>
          </a:extLst>
        </xdr:cNvPr>
        <xdr:cNvSpPr/>
      </xdr:nvSpPr>
      <xdr:spPr>
        <a:xfrm flipH="1">
          <a:off x="19576591" y="8874578"/>
          <a:ext cx="398687" cy="5277331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15</xdr:col>
      <xdr:colOff>40825</xdr:colOff>
      <xdr:row>37</xdr:row>
      <xdr:rowOff>176890</xdr:rowOff>
    </xdr:from>
    <xdr:to>
      <xdr:col>16</xdr:col>
      <xdr:colOff>163287</xdr:colOff>
      <xdr:row>47</xdr:row>
      <xdr:rowOff>721177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7F787992-6241-4CB9-B1E8-104A06CD0320}"/>
            </a:ext>
          </a:extLst>
        </xdr:cNvPr>
        <xdr:cNvSpPr/>
      </xdr:nvSpPr>
      <xdr:spPr>
        <a:xfrm rot="10800000" flipH="1">
          <a:off x="6089200" y="8997040"/>
          <a:ext cx="398687" cy="5192487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122465</xdr:colOff>
      <xdr:row>41</xdr:row>
      <xdr:rowOff>190499</xdr:rowOff>
    </xdr:from>
    <xdr:to>
      <xdr:col>9</xdr:col>
      <xdr:colOff>122465</xdr:colOff>
      <xdr:row>41</xdr:row>
      <xdr:rowOff>217714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4030B592-B648-4644-9252-97032A75658E}"/>
            </a:ext>
          </a:extLst>
        </xdr:cNvPr>
        <xdr:cNvCxnSpPr/>
      </xdr:nvCxnSpPr>
      <xdr:spPr>
        <a:xfrm flipH="1" flipV="1">
          <a:off x="122465" y="11058524"/>
          <a:ext cx="3657600" cy="27215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27214</xdr:colOff>
      <xdr:row>41</xdr:row>
      <xdr:rowOff>802821</xdr:rowOff>
    </xdr:from>
    <xdr:to>
      <xdr:col>34</xdr:col>
      <xdr:colOff>27214</xdr:colOff>
      <xdr:row>41</xdr:row>
      <xdr:rowOff>802821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42C149EB-536D-4747-9FB8-F130E2E5928D}"/>
            </a:ext>
          </a:extLst>
        </xdr:cNvPr>
        <xdr:cNvCxnSpPr/>
      </xdr:nvCxnSpPr>
      <xdr:spPr>
        <a:xfrm>
          <a:off x="9371239" y="11670846"/>
          <a:ext cx="4410075" cy="0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122464</xdr:colOff>
      <xdr:row>37</xdr:row>
      <xdr:rowOff>272143</xdr:rowOff>
    </xdr:from>
    <xdr:to>
      <xdr:col>22</xdr:col>
      <xdr:colOff>122464</xdr:colOff>
      <xdr:row>47</xdr:row>
      <xdr:rowOff>585107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AC1C47D0-5AD4-476D-B014-688B5175E30E}"/>
            </a:ext>
          </a:extLst>
        </xdr:cNvPr>
        <xdr:cNvCxnSpPr/>
      </xdr:nvCxnSpPr>
      <xdr:spPr>
        <a:xfrm>
          <a:off x="9180739" y="9092293"/>
          <a:ext cx="0" cy="4961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</xdr:col>
      <xdr:colOff>81643</xdr:colOff>
      <xdr:row>0</xdr:row>
      <xdr:rowOff>1836964</xdr:rowOff>
    </xdr:from>
    <xdr:ext cx="18703636" cy="1134555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51A4CAEE-0ED3-4827-9448-F0F962A3D4EB}"/>
            </a:ext>
          </a:extLst>
        </xdr:cNvPr>
        <xdr:cNvSpPr/>
      </xdr:nvSpPr>
      <xdr:spPr>
        <a:xfrm>
          <a:off x="353786" y="1836964"/>
          <a:ext cx="18703636" cy="1134555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72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>
                  <a:lumMod val="20000"/>
                  <a:lumOff val="8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2025Q-10-108JT PROJECT</a:t>
          </a:r>
          <a:r>
            <a:rPr lang="en-US" sz="72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>
                  <a:lumMod val="20000"/>
                  <a:lumOff val="8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chemeClr val="accent4">
                <a:lumMod val="20000"/>
                <a:lumOff val="80000"/>
              </a:schemeClr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  <a:p>
          <a:pPr algn="ctr"/>
          <a:r>
            <a:rPr lang="en-US" sz="72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00B0F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7200" b="1" u="sng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60 " x 0.375 " - 22 Pipes </a:t>
          </a:r>
        </a:p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</xdr:txBody>
    </xdr:sp>
    <xdr:clientData/>
  </xdr:oneCellAnchor>
  <xdr:oneCellAnchor>
    <xdr:from>
      <xdr:col>14</xdr:col>
      <xdr:colOff>163285</xdr:colOff>
      <xdr:row>36</xdr:row>
      <xdr:rowOff>952500</xdr:rowOff>
    </xdr:from>
    <xdr:ext cx="7266215" cy="707571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8666ED90-9CB0-47B2-81BC-A76D97E33AD2}"/>
            </a:ext>
          </a:extLst>
        </xdr:cNvPr>
        <xdr:cNvSpPr/>
      </xdr:nvSpPr>
      <xdr:spPr>
        <a:xfrm>
          <a:off x="5837464" y="10477500"/>
          <a:ext cx="7266215" cy="707571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40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Carbozinc 11 Coated : 22 pipes</a:t>
          </a:r>
          <a:endParaRPr lang="en-US" sz="40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16</xdr:col>
      <xdr:colOff>231322</xdr:colOff>
      <xdr:row>36</xdr:row>
      <xdr:rowOff>81643</xdr:rowOff>
    </xdr:from>
    <xdr:ext cx="5576454" cy="658089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476C6714-DF1E-4199-A3D9-B74EBFE96E6E}"/>
            </a:ext>
          </a:extLst>
        </xdr:cNvPr>
        <xdr:cNvSpPr/>
      </xdr:nvSpPr>
      <xdr:spPr>
        <a:xfrm>
          <a:off x="6545036" y="9606643"/>
          <a:ext cx="5576454" cy="658089"/>
        </a:xfrm>
        <a:prstGeom prst="rect">
          <a:avLst/>
        </a:prstGeom>
        <a:solidFill>
          <a:srgbClr val="FFFF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3600" b="1" i="1" cap="none" spc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228600">
                  <a:schemeClr val="accent6">
                    <a:satMod val="175000"/>
                    <a:alpha val="40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CUSTOMER : 22 </a:t>
          </a:r>
        </a:p>
      </xdr:txBody>
    </xdr:sp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0</xdr:rowOff>
    </xdr:from>
    <xdr:ext cx="32423100" cy="1928812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0E5D358-F6B8-45DE-A310-18591E70F971}"/>
            </a:ext>
          </a:extLst>
        </xdr:cNvPr>
        <xdr:cNvSpPr/>
      </xdr:nvSpPr>
      <xdr:spPr>
        <a:xfrm>
          <a:off x="47625" y="0"/>
          <a:ext cx="32423100" cy="1928812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132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2025Q-10-108JT</a:t>
          </a:r>
          <a:r>
            <a:rPr lang="en-US" sz="132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88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66 " x .375 " -</a:t>
          </a:r>
          <a:r>
            <a:rPr lang="en-US" sz="88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88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209 PIPES</a:t>
          </a:r>
        </a:p>
      </xdr:txBody>
    </xdr:sp>
    <xdr:clientData/>
  </xdr:oneCellAnchor>
  <xdr:oneCellAnchor>
    <xdr:from>
      <xdr:col>85</xdr:col>
      <xdr:colOff>547687</xdr:colOff>
      <xdr:row>41</xdr:row>
      <xdr:rowOff>380999</xdr:rowOff>
    </xdr:from>
    <xdr:ext cx="7868949" cy="76074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1171476-EDB7-4CD6-BFAF-6FDCB1BBE504}"/>
            </a:ext>
          </a:extLst>
        </xdr:cNvPr>
        <xdr:cNvSpPr/>
      </xdr:nvSpPr>
      <xdr:spPr>
        <a:xfrm flipV="1">
          <a:off x="44762737" y="21412199"/>
          <a:ext cx="7868949" cy="76074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rgbClr val="CCFFCC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0</xdr:colOff>
      <xdr:row>111</xdr:row>
      <xdr:rowOff>119991</xdr:rowOff>
    </xdr:from>
    <xdr:ext cx="2424545" cy="734288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3CB32B7-79EC-4A70-AE52-4B7B679E3869}"/>
            </a:ext>
          </a:extLst>
        </xdr:cNvPr>
        <xdr:cNvSpPr/>
      </xdr:nvSpPr>
      <xdr:spPr>
        <a:xfrm>
          <a:off x="0" y="43287291"/>
          <a:ext cx="2424545" cy="734288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0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0</xdr:colOff>
      <xdr:row>114</xdr:row>
      <xdr:rowOff>64328</xdr:rowOff>
    </xdr:from>
    <xdr:ext cx="2459182" cy="680357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2D4510B2-E0D9-4ADD-B125-57907B73E42C}"/>
            </a:ext>
          </a:extLst>
        </xdr:cNvPr>
        <xdr:cNvSpPr/>
      </xdr:nvSpPr>
      <xdr:spPr>
        <a:xfrm>
          <a:off x="0" y="44288903"/>
          <a:ext cx="2459182" cy="680357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twoCellAnchor>
    <xdr:from>
      <xdr:col>23</xdr:col>
      <xdr:colOff>23510</xdr:colOff>
      <xdr:row>111</xdr:row>
      <xdr:rowOff>3710</xdr:rowOff>
    </xdr:from>
    <xdr:to>
      <xdr:col>24</xdr:col>
      <xdr:colOff>145972</xdr:colOff>
      <xdr:row>120</xdr:row>
      <xdr:rowOff>259772</xdr:rowOff>
    </xdr:to>
    <xdr:sp macro="" textlink="">
      <xdr:nvSpPr>
        <xdr:cNvPr id="6" name="Left Bracket 5">
          <a:extLst>
            <a:ext uri="{FF2B5EF4-FFF2-40B4-BE49-F238E27FC236}">
              <a16:creationId xmlns:a16="http://schemas.microsoft.com/office/drawing/2014/main" id="{44A0F472-266C-4A2D-B299-4946CFD603BC}"/>
            </a:ext>
          </a:extLst>
        </xdr:cNvPr>
        <xdr:cNvSpPr/>
      </xdr:nvSpPr>
      <xdr:spPr>
        <a:xfrm rot="10800000" flipH="1">
          <a:off x="10710560" y="43171010"/>
          <a:ext cx="493937" cy="3323112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58</xdr:col>
      <xdr:colOff>33399</xdr:colOff>
      <xdr:row>112</xdr:row>
      <xdr:rowOff>56036</xdr:rowOff>
    </xdr:from>
    <xdr:to>
      <xdr:col>58</xdr:col>
      <xdr:colOff>49599</xdr:colOff>
      <xdr:row>120</xdr:row>
      <xdr:rowOff>122464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32637159-F978-4854-A340-CC40BD94A993}"/>
            </a:ext>
          </a:extLst>
        </xdr:cNvPr>
        <xdr:cNvCxnSpPr/>
      </xdr:nvCxnSpPr>
      <xdr:spPr>
        <a:xfrm flipH="1">
          <a:off x="26760549" y="43651961"/>
          <a:ext cx="16200" cy="2704853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119061</xdr:colOff>
      <xdr:row>107</xdr:row>
      <xdr:rowOff>0</xdr:rowOff>
    </xdr:from>
    <xdr:to>
      <xdr:col>22</xdr:col>
      <xdr:colOff>142873</xdr:colOff>
      <xdr:row>120</xdr:row>
      <xdr:rowOff>254001</xdr:rowOff>
    </xdr:to>
    <xdr:sp macro="" textlink="$BW$143">
      <xdr:nvSpPr>
        <xdr:cNvPr id="8" name="Flowchart: Data 7">
          <a:extLst>
            <a:ext uri="{FF2B5EF4-FFF2-40B4-BE49-F238E27FC236}">
              <a16:creationId xmlns:a16="http://schemas.microsoft.com/office/drawing/2014/main" id="{48BEB0BA-AB97-48CC-85D0-DD256F3F1DDC}"/>
            </a:ext>
          </a:extLst>
        </xdr:cNvPr>
        <xdr:cNvSpPr/>
      </xdr:nvSpPr>
      <xdr:spPr>
        <a:xfrm flipH="1">
          <a:off x="4357686" y="47291625"/>
          <a:ext cx="6286500" cy="3373439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FF8181"/>
          </a:solidFill>
        </a:ln>
        <a:effectLst>
          <a:glow rad="139700">
            <a:srgbClr val="FF8181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C67171BC-8EFD-4BB2-BDFE-2442ABE8FB9B}" type="TxLink">
            <a:rPr lang="en-US" sz="88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1.07%</a:t>
          </a:fld>
          <a:endParaRPr lang="en-US" sz="400000" b="1" i="0" u="none" strike="noStrike">
            <a:solidFill>
              <a:schemeClr val="bg1"/>
            </a:solidFill>
            <a:effectLst>
              <a:glow rad="139700">
                <a:schemeClr val="accent2">
                  <a:alpha val="40000"/>
                </a:schemeClr>
              </a:glow>
            </a:effectLst>
            <a:latin typeface="Trade Gothic Inline" panose="020B0504030203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68</xdr:col>
      <xdr:colOff>231322</xdr:colOff>
      <xdr:row>111</xdr:row>
      <xdr:rowOff>27214</xdr:rowOff>
    </xdr:from>
    <xdr:to>
      <xdr:col>69</xdr:col>
      <xdr:colOff>348834</xdr:colOff>
      <xdr:row>120</xdr:row>
      <xdr:rowOff>192973</xdr:rowOff>
    </xdr:to>
    <xdr:sp macro="" textlink="">
      <xdr:nvSpPr>
        <xdr:cNvPr id="9" name="Left Bracket 8">
          <a:extLst>
            <a:ext uri="{FF2B5EF4-FFF2-40B4-BE49-F238E27FC236}">
              <a16:creationId xmlns:a16="http://schemas.microsoft.com/office/drawing/2014/main" id="{CD27AD49-B05A-4F83-8E8B-632C55728B37}"/>
            </a:ext>
          </a:extLst>
        </xdr:cNvPr>
        <xdr:cNvSpPr/>
      </xdr:nvSpPr>
      <xdr:spPr>
        <a:xfrm flipH="1">
          <a:off x="31816222" y="43194514"/>
          <a:ext cx="488987" cy="3232809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46</xdr:col>
      <xdr:colOff>34635</xdr:colOff>
      <xdr:row>111</xdr:row>
      <xdr:rowOff>259773</xdr:rowOff>
    </xdr:from>
    <xdr:to>
      <xdr:col>46</xdr:col>
      <xdr:colOff>50835</xdr:colOff>
      <xdr:row>120</xdr:row>
      <xdr:rowOff>49110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6D701DC1-AF83-4592-88EE-D9C203943360}"/>
            </a:ext>
          </a:extLst>
        </xdr:cNvPr>
        <xdr:cNvCxnSpPr/>
      </xdr:nvCxnSpPr>
      <xdr:spPr>
        <a:xfrm flipH="1">
          <a:off x="21237285" y="43427073"/>
          <a:ext cx="16200" cy="2856387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112</xdr:row>
      <xdr:rowOff>34637</xdr:rowOff>
    </xdr:from>
    <xdr:to>
      <xdr:col>35</xdr:col>
      <xdr:colOff>16200</xdr:colOff>
      <xdr:row>120</xdr:row>
      <xdr:rowOff>101065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26FC5F6-6E30-45E4-B66D-9DB40006513A}"/>
            </a:ext>
          </a:extLst>
        </xdr:cNvPr>
        <xdr:cNvCxnSpPr/>
      </xdr:nvCxnSpPr>
      <xdr:spPr>
        <a:xfrm flipH="1">
          <a:off x="16297275" y="43630562"/>
          <a:ext cx="16200" cy="2704853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0</xdr:col>
      <xdr:colOff>23813</xdr:colOff>
      <xdr:row>117</xdr:row>
      <xdr:rowOff>95249</xdr:rowOff>
    </xdr:from>
    <xdr:ext cx="2459182" cy="680357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91D83C6C-CF0B-4254-8BE1-5CABE6B7AE05}"/>
            </a:ext>
          </a:extLst>
        </xdr:cNvPr>
        <xdr:cNvSpPr/>
      </xdr:nvSpPr>
      <xdr:spPr>
        <a:xfrm>
          <a:off x="23813" y="49315687"/>
          <a:ext cx="2459182" cy="680357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COATED:</a:t>
          </a:r>
        </a:p>
      </xdr:txBody>
    </xdr:sp>
    <xdr:clientData/>
  </xdr:oneCellAnchor>
  <xdr:oneCellAnchor>
    <xdr:from>
      <xdr:col>0</xdr:col>
      <xdr:colOff>71438</xdr:colOff>
      <xdr:row>119</xdr:row>
      <xdr:rowOff>238124</xdr:rowOff>
    </xdr:from>
    <xdr:ext cx="4831773" cy="969818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B0B3A6EE-074F-4E40-B33A-54AFF66B30F7}"/>
            </a:ext>
          </a:extLst>
        </xdr:cNvPr>
        <xdr:cNvSpPr/>
      </xdr:nvSpPr>
      <xdr:spPr>
        <a:xfrm>
          <a:off x="71438" y="50125312"/>
          <a:ext cx="4831773" cy="969818"/>
        </a:xfrm>
        <a:prstGeom prst="rect">
          <a:avLst/>
        </a:prstGeom>
        <a:solidFill>
          <a:srgbClr val="FFFF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48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CUSTOMER : 209</a:t>
          </a:r>
          <a:endParaRPr lang="en-US" sz="48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192355</xdr:colOff>
      <xdr:row>31</xdr:row>
      <xdr:rowOff>246662</xdr:rowOff>
    </xdr:from>
    <xdr:ext cx="2651538" cy="73428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86AC3F7-D3E8-4A6F-AD15-9049F66C609A}"/>
            </a:ext>
          </a:extLst>
        </xdr:cNvPr>
        <xdr:cNvSpPr/>
      </xdr:nvSpPr>
      <xdr:spPr>
        <a:xfrm>
          <a:off x="192355" y="9724037"/>
          <a:ext cx="2651538" cy="734288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4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251517</xdr:colOff>
      <xdr:row>34</xdr:row>
      <xdr:rowOff>28330</xdr:rowOff>
    </xdr:from>
    <xdr:ext cx="2592377" cy="680357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B67ECCE-2FAD-458A-B4A5-BBDD4DA0FD08}"/>
            </a:ext>
          </a:extLst>
        </xdr:cNvPr>
        <xdr:cNvSpPr/>
      </xdr:nvSpPr>
      <xdr:spPr>
        <a:xfrm>
          <a:off x="251517" y="10858255"/>
          <a:ext cx="2592377" cy="680357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oneCellAnchor>
    <xdr:from>
      <xdr:col>0</xdr:col>
      <xdr:colOff>0</xdr:colOff>
      <xdr:row>0</xdr:row>
      <xdr:rowOff>1790978</xdr:rowOff>
    </xdr:from>
    <xdr:ext cx="19876467" cy="1134555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3B132E0-F139-4FB5-8D9D-BF24B6D0D142}"/>
            </a:ext>
          </a:extLst>
        </xdr:cNvPr>
        <xdr:cNvSpPr/>
      </xdr:nvSpPr>
      <xdr:spPr>
        <a:xfrm>
          <a:off x="0" y="1790978"/>
          <a:ext cx="19876467" cy="1134555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2025Q-10-108JT PROJECT </a:t>
          </a:r>
        </a:p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75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>
                  <a:lumMod val="20000"/>
                  <a:lumOff val="8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54 " x 0.375 " - 6 Pipes</a:t>
          </a:r>
        </a:p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</xdr:txBody>
    </xdr:sp>
    <xdr:clientData/>
  </xdr:oneCellAnchor>
  <xdr:twoCellAnchor>
    <xdr:from>
      <xdr:col>0</xdr:col>
      <xdr:colOff>258532</xdr:colOff>
      <xdr:row>35</xdr:row>
      <xdr:rowOff>557893</xdr:rowOff>
    </xdr:from>
    <xdr:to>
      <xdr:col>12</xdr:col>
      <xdr:colOff>244926</xdr:colOff>
      <xdr:row>41</xdr:row>
      <xdr:rowOff>449035</xdr:rowOff>
    </xdr:to>
    <xdr:sp macro="" textlink="$AY$50">
      <xdr:nvSpPr>
        <xdr:cNvPr id="5" name="Flowchart: Data 4">
          <a:extLst>
            <a:ext uri="{FF2B5EF4-FFF2-40B4-BE49-F238E27FC236}">
              <a16:creationId xmlns:a16="http://schemas.microsoft.com/office/drawing/2014/main" id="{4F88C297-CDAB-4732-85AF-845FB44DA603}"/>
            </a:ext>
          </a:extLst>
        </xdr:cNvPr>
        <xdr:cNvSpPr/>
      </xdr:nvSpPr>
      <xdr:spPr>
        <a:xfrm flipH="1">
          <a:off x="258532" y="12069536"/>
          <a:ext cx="5007430" cy="2503713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75DBFF"/>
          </a:solidFill>
        </a:ln>
        <a:effectLst>
          <a:glow rad="101600">
            <a:schemeClr val="accent1">
              <a:satMod val="175000"/>
              <a:alpha val="40000"/>
            </a:scheme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64ADC178-9AF3-48C0-ACB9-38C2B43E1440}" type="TxLink">
            <a:rPr lang="en-US" sz="7200" b="1" i="0" u="none" strike="noStrike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4.09%</a:t>
          </a:fld>
          <a:endParaRPr lang="en-US" sz="400000" b="1">
            <a:solidFill>
              <a:schemeClr val="bg1"/>
            </a:solidFill>
            <a:effectLst>
              <a:glow rad="228600">
                <a:srgbClr val="75FFF2">
                  <a:alpha val="40000"/>
                </a:srgbClr>
              </a:glow>
            </a:effectLst>
            <a:latin typeface="Trade Gothic Inline" panose="020B0504030203020204" pitchFamily="34" charset="0"/>
          </a:endParaRPr>
        </a:p>
      </xdr:txBody>
    </xdr:sp>
    <xdr:clientData/>
  </xdr:twoCellAnchor>
  <xdr:twoCellAnchor>
    <xdr:from>
      <xdr:col>34</xdr:col>
      <xdr:colOff>143837</xdr:colOff>
      <xdr:row>31</xdr:row>
      <xdr:rowOff>176895</xdr:rowOff>
    </xdr:from>
    <xdr:to>
      <xdr:col>34</xdr:col>
      <xdr:colOff>143837</xdr:colOff>
      <xdr:row>41</xdr:row>
      <xdr:rowOff>489859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ECF7B050-D3D1-44F6-9BD2-84230B39FDD1}"/>
            </a:ext>
          </a:extLst>
        </xdr:cNvPr>
        <xdr:cNvCxnSpPr/>
      </xdr:nvCxnSpPr>
      <xdr:spPr>
        <a:xfrm>
          <a:off x="13897937" y="9654270"/>
          <a:ext cx="0" cy="4961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136066</xdr:colOff>
      <xdr:row>31</xdr:row>
      <xdr:rowOff>54428</xdr:rowOff>
    </xdr:from>
    <xdr:to>
      <xdr:col>49</xdr:col>
      <xdr:colOff>163278</xdr:colOff>
      <xdr:row>41</xdr:row>
      <xdr:rowOff>683559</xdr:rowOff>
    </xdr:to>
    <xdr:sp macro="" textlink="">
      <xdr:nvSpPr>
        <xdr:cNvPr id="7" name="Left Bracket 6">
          <a:extLst>
            <a:ext uri="{FF2B5EF4-FFF2-40B4-BE49-F238E27FC236}">
              <a16:creationId xmlns:a16="http://schemas.microsoft.com/office/drawing/2014/main" id="{7119021A-BD53-47CF-B5EA-87993023A0DD}"/>
            </a:ext>
          </a:extLst>
        </xdr:cNvPr>
        <xdr:cNvSpPr/>
      </xdr:nvSpPr>
      <xdr:spPr>
        <a:xfrm flipH="1">
          <a:off x="19576591" y="9531803"/>
          <a:ext cx="398687" cy="5277331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15</xdr:col>
      <xdr:colOff>40825</xdr:colOff>
      <xdr:row>31</xdr:row>
      <xdr:rowOff>176890</xdr:rowOff>
    </xdr:from>
    <xdr:to>
      <xdr:col>16</xdr:col>
      <xdr:colOff>163287</xdr:colOff>
      <xdr:row>41</xdr:row>
      <xdr:rowOff>721177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002B69AC-8B72-40E1-BCE7-B1F7473F0BC0}"/>
            </a:ext>
          </a:extLst>
        </xdr:cNvPr>
        <xdr:cNvSpPr/>
      </xdr:nvSpPr>
      <xdr:spPr>
        <a:xfrm rot="10800000" flipH="1">
          <a:off x="6089200" y="9654265"/>
          <a:ext cx="398687" cy="5192487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122465</xdr:colOff>
      <xdr:row>35</xdr:row>
      <xdr:rowOff>190499</xdr:rowOff>
    </xdr:from>
    <xdr:to>
      <xdr:col>9</xdr:col>
      <xdr:colOff>122465</xdr:colOff>
      <xdr:row>35</xdr:row>
      <xdr:rowOff>217714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22A5B3D0-B6C4-4AF2-808B-7CB11F84F405}"/>
            </a:ext>
          </a:extLst>
        </xdr:cNvPr>
        <xdr:cNvCxnSpPr/>
      </xdr:nvCxnSpPr>
      <xdr:spPr>
        <a:xfrm flipH="1" flipV="1">
          <a:off x="122465" y="11715749"/>
          <a:ext cx="3657600" cy="27215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27214</xdr:colOff>
      <xdr:row>35</xdr:row>
      <xdr:rowOff>802821</xdr:rowOff>
    </xdr:from>
    <xdr:to>
      <xdr:col>34</xdr:col>
      <xdr:colOff>27214</xdr:colOff>
      <xdr:row>35</xdr:row>
      <xdr:rowOff>802821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5AA54F9-5C90-42BF-A5FA-C1492FE476D8}"/>
            </a:ext>
          </a:extLst>
        </xdr:cNvPr>
        <xdr:cNvCxnSpPr/>
      </xdr:nvCxnSpPr>
      <xdr:spPr>
        <a:xfrm>
          <a:off x="9371239" y="12328071"/>
          <a:ext cx="4410075" cy="0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122464</xdr:colOff>
      <xdr:row>31</xdr:row>
      <xdr:rowOff>272143</xdr:rowOff>
    </xdr:from>
    <xdr:to>
      <xdr:col>22</xdr:col>
      <xdr:colOff>122464</xdr:colOff>
      <xdr:row>41</xdr:row>
      <xdr:rowOff>585107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F9FDC96E-C84D-416F-8303-0F417FA01764}"/>
            </a:ext>
          </a:extLst>
        </xdr:cNvPr>
        <xdr:cNvCxnSpPr/>
      </xdr:nvCxnSpPr>
      <xdr:spPr>
        <a:xfrm>
          <a:off x="9180739" y="9749518"/>
          <a:ext cx="0" cy="4961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0</xdr:col>
      <xdr:colOff>108857</xdr:colOff>
      <xdr:row>30</xdr:row>
      <xdr:rowOff>1102179</xdr:rowOff>
    </xdr:from>
    <xdr:ext cx="5576454" cy="658089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DE24A280-EBA6-4E1F-BA7B-9AC1D7E51E12}"/>
            </a:ext>
          </a:extLst>
        </xdr:cNvPr>
        <xdr:cNvSpPr/>
      </xdr:nvSpPr>
      <xdr:spPr>
        <a:xfrm>
          <a:off x="108857" y="8817429"/>
          <a:ext cx="5576454" cy="658089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3600" b="1" i="1" cap="none" spc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228600">
                  <a:schemeClr val="accent6">
                    <a:satMod val="175000"/>
                    <a:alpha val="40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Carbozinc 11: 6 pcs.</a:t>
          </a:r>
        </a:p>
      </xdr:txBody>
    </xdr:sp>
    <xdr:clientData/>
  </xdr:oneCellAnchor>
  <xdr:oneCellAnchor>
    <xdr:from>
      <xdr:col>0</xdr:col>
      <xdr:colOff>122464</xdr:colOff>
      <xdr:row>30</xdr:row>
      <xdr:rowOff>285751</xdr:rowOff>
    </xdr:from>
    <xdr:ext cx="4831773" cy="530678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CF08BEAA-A4F7-4DCE-BC47-7DA4A3300026}"/>
            </a:ext>
          </a:extLst>
        </xdr:cNvPr>
        <xdr:cNvSpPr/>
      </xdr:nvSpPr>
      <xdr:spPr>
        <a:xfrm>
          <a:off x="122464" y="8001001"/>
          <a:ext cx="4831773" cy="530678"/>
        </a:xfrm>
        <a:prstGeom prst="rect">
          <a:avLst/>
        </a:prstGeom>
        <a:solidFill>
          <a:srgbClr val="FFFF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48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CUSTOMER : 0</a:t>
          </a:r>
          <a:endParaRPr lang="en-US" sz="48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114300</xdr:colOff>
      <xdr:row>0</xdr:row>
      <xdr:rowOff>481319</xdr:rowOff>
    </xdr:from>
    <xdr:ext cx="32423100" cy="2671456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B9E5636-283D-4D17-8F6D-53D74FE60C47}"/>
            </a:ext>
          </a:extLst>
        </xdr:cNvPr>
        <xdr:cNvSpPr/>
      </xdr:nvSpPr>
      <xdr:spPr>
        <a:xfrm>
          <a:off x="4591050" y="481319"/>
          <a:ext cx="32423100" cy="2671456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11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01-118KH Project</a:t>
          </a:r>
          <a:r>
            <a:rPr lang="en-US" sz="110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FFFF0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11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- Ø 36 " x 0.625 " </a:t>
          </a:r>
        </a:p>
        <a:p>
          <a:pPr algn="ctr"/>
          <a:r>
            <a:rPr lang="en-US" sz="11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676 Pipes </a:t>
          </a:r>
        </a:p>
      </xdr:txBody>
    </xdr:sp>
    <xdr:clientData/>
  </xdr:oneCellAnchor>
  <xdr:oneCellAnchor>
    <xdr:from>
      <xdr:col>95</xdr:col>
      <xdr:colOff>547687</xdr:colOff>
      <xdr:row>41</xdr:row>
      <xdr:rowOff>380999</xdr:rowOff>
    </xdr:from>
    <xdr:ext cx="7868949" cy="76074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AEC15A7-2B7B-4CFE-B9FF-9557FD2D3CAE}"/>
            </a:ext>
          </a:extLst>
        </xdr:cNvPr>
        <xdr:cNvSpPr/>
      </xdr:nvSpPr>
      <xdr:spPr>
        <a:xfrm flipV="1">
          <a:off x="45029437" y="21412199"/>
          <a:ext cx="7868949" cy="76074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rgbClr val="CCFFCC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21</xdr:col>
      <xdr:colOff>547685</xdr:colOff>
      <xdr:row>267</xdr:row>
      <xdr:rowOff>48552</xdr:rowOff>
    </xdr:from>
    <xdr:ext cx="4452938" cy="11182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6972899-D0CB-450B-AFF5-77C6C48E25F1}"/>
            </a:ext>
          </a:extLst>
        </xdr:cNvPr>
        <xdr:cNvSpPr/>
      </xdr:nvSpPr>
      <xdr:spPr>
        <a:xfrm>
          <a:off x="10810873" y="139589802"/>
          <a:ext cx="4452938" cy="1118260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66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66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22</xdr:col>
      <xdr:colOff>71436</xdr:colOff>
      <xdr:row>268</xdr:row>
      <xdr:rowOff>469141</xdr:rowOff>
    </xdr:from>
    <xdr:ext cx="4524376" cy="1245359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7335CEEC-9840-4657-99F4-34ACAFA3AEA9}"/>
            </a:ext>
          </a:extLst>
        </xdr:cNvPr>
        <xdr:cNvSpPr/>
      </xdr:nvSpPr>
      <xdr:spPr>
        <a:xfrm>
          <a:off x="10906124" y="141439141"/>
          <a:ext cx="4524376" cy="1245359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66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twoCellAnchor>
    <xdr:from>
      <xdr:col>23</xdr:col>
      <xdr:colOff>23510</xdr:colOff>
      <xdr:row>270</xdr:row>
      <xdr:rowOff>3710</xdr:rowOff>
    </xdr:from>
    <xdr:to>
      <xdr:col>24</xdr:col>
      <xdr:colOff>145972</xdr:colOff>
      <xdr:row>279</xdr:row>
      <xdr:rowOff>1262062</xdr:rowOff>
    </xdr:to>
    <xdr:sp macro="" textlink="">
      <xdr:nvSpPr>
        <xdr:cNvPr id="6" name="Left Bracket 5">
          <a:extLst>
            <a:ext uri="{FF2B5EF4-FFF2-40B4-BE49-F238E27FC236}">
              <a16:creationId xmlns:a16="http://schemas.microsoft.com/office/drawing/2014/main" id="{A2103116-E099-4952-86F8-9F692F66C522}"/>
            </a:ext>
          </a:extLst>
        </xdr:cNvPr>
        <xdr:cNvSpPr/>
      </xdr:nvSpPr>
      <xdr:spPr>
        <a:xfrm rot="10800000" flipH="1">
          <a:off x="11429698" y="143188273"/>
          <a:ext cx="693962" cy="5473164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58</xdr:col>
      <xdr:colOff>33399</xdr:colOff>
      <xdr:row>272</xdr:row>
      <xdr:rowOff>56036</xdr:rowOff>
    </xdr:from>
    <xdr:to>
      <xdr:col>58</xdr:col>
      <xdr:colOff>49599</xdr:colOff>
      <xdr:row>279</xdr:row>
      <xdr:rowOff>455839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E8B87B21-38CE-4071-AE85-30269ADDF9CE}"/>
            </a:ext>
          </a:extLst>
        </xdr:cNvPr>
        <xdr:cNvCxnSpPr/>
      </xdr:nvCxnSpPr>
      <xdr:spPr>
        <a:xfrm flipH="1">
          <a:off x="28941774" y="144145474"/>
          <a:ext cx="16200" cy="3709740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119062</xdr:colOff>
      <xdr:row>269</xdr:row>
      <xdr:rowOff>1071562</xdr:rowOff>
    </xdr:from>
    <xdr:to>
      <xdr:col>21</xdr:col>
      <xdr:colOff>476248</xdr:colOff>
      <xdr:row>279</xdr:row>
      <xdr:rowOff>928686</xdr:rowOff>
    </xdr:to>
    <xdr:sp macro="" textlink="$AU$292">
      <xdr:nvSpPr>
        <xdr:cNvPr id="8" name="Flowchart: Data 7">
          <a:extLst>
            <a:ext uri="{FF2B5EF4-FFF2-40B4-BE49-F238E27FC236}">
              <a16:creationId xmlns:a16="http://schemas.microsoft.com/office/drawing/2014/main" id="{6067C55C-85B5-4049-903F-8EA2749AAF8B}"/>
            </a:ext>
          </a:extLst>
        </xdr:cNvPr>
        <xdr:cNvSpPr/>
      </xdr:nvSpPr>
      <xdr:spPr>
        <a:xfrm flipH="1">
          <a:off x="119062" y="142684500"/>
          <a:ext cx="10620374" cy="5643561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FF8181"/>
          </a:solidFill>
        </a:ln>
        <a:effectLst>
          <a:glow rad="139700">
            <a:srgbClr val="FF8181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A7B42A6-7122-4387-A739-C8EC595C9A35}" type="TxLink">
            <a:rPr lang="en-US" sz="138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0.67%</a:t>
          </a:fld>
          <a:endParaRPr lang="en-US" sz="333300" b="1" i="0" u="none" strike="noStrike">
            <a:solidFill>
              <a:schemeClr val="bg1"/>
            </a:solidFill>
            <a:effectLst>
              <a:glow rad="139700">
                <a:schemeClr val="accent2">
                  <a:alpha val="40000"/>
                </a:schemeClr>
              </a:glow>
            </a:effectLst>
            <a:latin typeface="Trade Gothic Inline" panose="020B0504030203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77</xdr:col>
      <xdr:colOff>207509</xdr:colOff>
      <xdr:row>270</xdr:row>
      <xdr:rowOff>0</xdr:rowOff>
    </xdr:from>
    <xdr:to>
      <xdr:col>78</xdr:col>
      <xdr:colOff>325021</xdr:colOff>
      <xdr:row>279</xdr:row>
      <xdr:rowOff>1119188</xdr:rowOff>
    </xdr:to>
    <xdr:sp macro="" textlink="">
      <xdr:nvSpPr>
        <xdr:cNvPr id="9" name="Left Bracket 8">
          <a:extLst>
            <a:ext uri="{FF2B5EF4-FFF2-40B4-BE49-F238E27FC236}">
              <a16:creationId xmlns:a16="http://schemas.microsoft.com/office/drawing/2014/main" id="{BAFDA24F-6280-4FDB-8058-BB7AC80B45F8}"/>
            </a:ext>
          </a:extLst>
        </xdr:cNvPr>
        <xdr:cNvSpPr/>
      </xdr:nvSpPr>
      <xdr:spPr>
        <a:xfrm flipH="1">
          <a:off x="38545634" y="143184563"/>
          <a:ext cx="689012" cy="5334000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46</xdr:col>
      <xdr:colOff>58448</xdr:colOff>
      <xdr:row>271</xdr:row>
      <xdr:rowOff>331211</xdr:rowOff>
    </xdr:from>
    <xdr:to>
      <xdr:col>46</xdr:col>
      <xdr:colOff>74648</xdr:colOff>
      <xdr:row>279</xdr:row>
      <xdr:rowOff>692048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9AA2F109-BABE-42E6-BDB2-61C679333197}"/>
            </a:ext>
          </a:extLst>
        </xdr:cNvPr>
        <xdr:cNvCxnSpPr/>
      </xdr:nvCxnSpPr>
      <xdr:spPr>
        <a:xfrm flipH="1">
          <a:off x="22823198" y="144087274"/>
          <a:ext cx="16200" cy="4004149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272</xdr:row>
      <xdr:rowOff>34637</xdr:rowOff>
    </xdr:from>
    <xdr:to>
      <xdr:col>35</xdr:col>
      <xdr:colOff>16200</xdr:colOff>
      <xdr:row>279</xdr:row>
      <xdr:rowOff>434440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DEE2ABB1-EC29-4B78-B63B-0BEE8360B29F}"/>
            </a:ext>
          </a:extLst>
        </xdr:cNvPr>
        <xdr:cNvCxnSpPr/>
      </xdr:nvCxnSpPr>
      <xdr:spPr>
        <a:xfrm flipH="1">
          <a:off x="17478375" y="144124075"/>
          <a:ext cx="16200" cy="3709740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95</xdr:col>
      <xdr:colOff>547687</xdr:colOff>
      <xdr:row>125</xdr:row>
      <xdr:rowOff>380999</xdr:rowOff>
    </xdr:from>
    <xdr:ext cx="7868949" cy="76074"/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7656778F-61E4-42AC-84E4-4E3E20F47AC8}"/>
            </a:ext>
          </a:extLst>
        </xdr:cNvPr>
        <xdr:cNvSpPr/>
      </xdr:nvSpPr>
      <xdr:spPr>
        <a:xfrm flipV="1">
          <a:off x="49573422" y="21515293"/>
          <a:ext cx="7868949" cy="76074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rgbClr val="CCFFCC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95</xdr:col>
      <xdr:colOff>547687</xdr:colOff>
      <xdr:row>219</xdr:row>
      <xdr:rowOff>380999</xdr:rowOff>
    </xdr:from>
    <xdr:ext cx="7868949" cy="76074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2DA9318-E4C8-4058-8C1E-FBCFD51FF9E2}"/>
            </a:ext>
          </a:extLst>
        </xdr:cNvPr>
        <xdr:cNvSpPr/>
      </xdr:nvSpPr>
      <xdr:spPr>
        <a:xfrm flipV="1">
          <a:off x="49982437" y="60221812"/>
          <a:ext cx="7868949" cy="76074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rgbClr val="CCFFCC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42</xdr:col>
      <xdr:colOff>333375</xdr:colOff>
      <xdr:row>265</xdr:row>
      <xdr:rowOff>95250</xdr:rowOff>
    </xdr:from>
    <xdr:ext cx="4429123" cy="133350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F94877D9-E666-4C75-9282-3C65C3A98B65}"/>
            </a:ext>
          </a:extLst>
        </xdr:cNvPr>
        <xdr:cNvSpPr/>
      </xdr:nvSpPr>
      <xdr:spPr>
        <a:xfrm>
          <a:off x="21264563" y="139350750"/>
          <a:ext cx="4429123" cy="1333500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60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Shoe T.W.:    </a:t>
          </a:r>
          <a:endParaRPr lang="en-US" sz="60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42</xdr:col>
      <xdr:colOff>309562</xdr:colOff>
      <xdr:row>268</xdr:row>
      <xdr:rowOff>333375</xdr:rowOff>
    </xdr:from>
    <xdr:ext cx="4381500" cy="1238250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4CA971E6-1D5E-4DE6-B742-4AB89D97F9A2}"/>
            </a:ext>
          </a:extLst>
        </xdr:cNvPr>
        <xdr:cNvSpPr/>
      </xdr:nvSpPr>
      <xdr:spPr>
        <a:xfrm>
          <a:off x="21240750" y="141303375"/>
          <a:ext cx="4381500" cy="1238250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6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Shoe</a:t>
          </a:r>
          <a:r>
            <a:rPr lang="en-US" sz="60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W.O.</a:t>
          </a:r>
          <a:r>
            <a:rPr lang="en-US" sz="6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:</a:t>
          </a:r>
        </a:p>
      </xdr:txBody>
    </xdr:sp>
    <xdr:clientData/>
  </xdr:oneCellAnchor>
  <xdr:oneCellAnchor>
    <xdr:from>
      <xdr:col>57</xdr:col>
      <xdr:colOff>547688</xdr:colOff>
      <xdr:row>265</xdr:row>
      <xdr:rowOff>95250</xdr:rowOff>
    </xdr:from>
    <xdr:ext cx="4429123" cy="133350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8B6C0718-F319-492C-B437-9619D5A1010B}"/>
            </a:ext>
          </a:extLst>
        </xdr:cNvPr>
        <xdr:cNvSpPr/>
      </xdr:nvSpPr>
      <xdr:spPr>
        <a:xfrm>
          <a:off x="28979813" y="139350750"/>
          <a:ext cx="4429123" cy="1333500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60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Clutch T.W.:    </a:t>
          </a:r>
          <a:endParaRPr lang="en-US" sz="60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57</xdr:col>
      <xdr:colOff>23812</xdr:colOff>
      <xdr:row>268</xdr:row>
      <xdr:rowOff>333375</xdr:rowOff>
    </xdr:from>
    <xdr:ext cx="4881563" cy="1238250"/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9EC8BC89-AEBE-4BC3-871E-A36407D2D1EE}"/>
            </a:ext>
          </a:extLst>
        </xdr:cNvPr>
        <xdr:cNvSpPr/>
      </xdr:nvSpPr>
      <xdr:spPr>
        <a:xfrm>
          <a:off x="28455937" y="141303375"/>
          <a:ext cx="4881563" cy="1238250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6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Clutch</a:t>
          </a:r>
          <a:r>
            <a:rPr lang="en-US" sz="60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W.O.</a:t>
          </a:r>
          <a:r>
            <a:rPr lang="en-US" sz="6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:</a:t>
          </a:r>
        </a:p>
      </xdr:txBody>
    </xdr:sp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247650</xdr:colOff>
      <xdr:row>0</xdr:row>
      <xdr:rowOff>0</xdr:rowOff>
    </xdr:from>
    <xdr:ext cx="32423100" cy="1214437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A61C6EE-11D2-4A4A-9EA3-1F3EAD5AE1A9}"/>
            </a:ext>
          </a:extLst>
        </xdr:cNvPr>
        <xdr:cNvSpPr/>
      </xdr:nvSpPr>
      <xdr:spPr>
        <a:xfrm>
          <a:off x="2247900" y="0"/>
          <a:ext cx="32423100" cy="1214437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8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99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2026Q-02-123JE</a:t>
          </a:r>
          <a:r>
            <a:rPr lang="en-US" sz="96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72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92D05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42 " x 1" -</a:t>
          </a:r>
          <a:r>
            <a:rPr lang="en-US" sz="72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92D05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72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92D05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120 PIPES</a:t>
          </a:r>
        </a:p>
      </xdr:txBody>
    </xdr:sp>
    <xdr:clientData/>
  </xdr:oneCellAnchor>
  <xdr:oneCellAnchor>
    <xdr:from>
      <xdr:col>85</xdr:col>
      <xdr:colOff>547687</xdr:colOff>
      <xdr:row>41</xdr:row>
      <xdr:rowOff>380999</xdr:rowOff>
    </xdr:from>
    <xdr:ext cx="7868949" cy="76074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1A0A431-8094-4E63-9044-339FE355D22C}"/>
            </a:ext>
          </a:extLst>
        </xdr:cNvPr>
        <xdr:cNvSpPr/>
      </xdr:nvSpPr>
      <xdr:spPr>
        <a:xfrm flipV="1">
          <a:off x="49477612" y="21021674"/>
          <a:ext cx="7868949" cy="76074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rgbClr val="CCFFCC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0</xdr:colOff>
      <xdr:row>123</xdr:row>
      <xdr:rowOff>119991</xdr:rowOff>
    </xdr:from>
    <xdr:ext cx="2424545" cy="927758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A70C6DC-DF58-4D3D-B003-F43A9A058E07}"/>
            </a:ext>
          </a:extLst>
        </xdr:cNvPr>
        <xdr:cNvSpPr/>
      </xdr:nvSpPr>
      <xdr:spPr>
        <a:xfrm>
          <a:off x="0" y="26256591"/>
          <a:ext cx="2424545" cy="927758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40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0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0</xdr:colOff>
      <xdr:row>126</xdr:row>
      <xdr:rowOff>64328</xdr:rowOff>
    </xdr:from>
    <xdr:ext cx="2459182" cy="680357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A73FA32-3691-4608-8305-0C41542C66AE}"/>
            </a:ext>
          </a:extLst>
        </xdr:cNvPr>
        <xdr:cNvSpPr/>
      </xdr:nvSpPr>
      <xdr:spPr>
        <a:xfrm>
          <a:off x="0" y="27258203"/>
          <a:ext cx="2459182" cy="680357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twoCellAnchor>
    <xdr:from>
      <xdr:col>23</xdr:col>
      <xdr:colOff>23510</xdr:colOff>
      <xdr:row>119</xdr:row>
      <xdr:rowOff>3710</xdr:rowOff>
    </xdr:from>
    <xdr:to>
      <xdr:col>23</xdr:col>
      <xdr:colOff>309562</xdr:colOff>
      <xdr:row>132</xdr:row>
      <xdr:rowOff>857250</xdr:rowOff>
    </xdr:to>
    <xdr:sp macro="" textlink="">
      <xdr:nvSpPr>
        <xdr:cNvPr id="6" name="Left Bracket 5">
          <a:extLst>
            <a:ext uri="{FF2B5EF4-FFF2-40B4-BE49-F238E27FC236}">
              <a16:creationId xmlns:a16="http://schemas.microsoft.com/office/drawing/2014/main" id="{896547C7-DE8D-4549-9F71-96CE42D5A670}"/>
            </a:ext>
          </a:extLst>
        </xdr:cNvPr>
        <xdr:cNvSpPr/>
      </xdr:nvSpPr>
      <xdr:spPr>
        <a:xfrm rot="10800000" flipH="1">
          <a:off x="12472685" y="26136600"/>
          <a:ext cx="286052" cy="4067175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58</xdr:col>
      <xdr:colOff>33399</xdr:colOff>
      <xdr:row>124</xdr:row>
      <xdr:rowOff>56036</xdr:rowOff>
    </xdr:from>
    <xdr:to>
      <xdr:col>58</xdr:col>
      <xdr:colOff>49599</xdr:colOff>
      <xdr:row>132</xdr:row>
      <xdr:rowOff>122464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33B44041-12CB-472E-95F6-38C3ED4D76A7}"/>
            </a:ext>
          </a:extLst>
        </xdr:cNvPr>
        <xdr:cNvCxnSpPr/>
      </xdr:nvCxnSpPr>
      <xdr:spPr>
        <a:xfrm flipH="1">
          <a:off x="30989649" y="26621261"/>
          <a:ext cx="16200" cy="2847728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261932</xdr:colOff>
      <xdr:row>117</xdr:row>
      <xdr:rowOff>190499</xdr:rowOff>
    </xdr:from>
    <xdr:to>
      <xdr:col>22</xdr:col>
      <xdr:colOff>119056</xdr:colOff>
      <xdr:row>131</xdr:row>
      <xdr:rowOff>500062</xdr:rowOff>
    </xdr:to>
    <xdr:sp macro="" textlink="$BW$155">
      <xdr:nvSpPr>
        <xdr:cNvPr id="8" name="Flowchart: Data 7">
          <a:extLst>
            <a:ext uri="{FF2B5EF4-FFF2-40B4-BE49-F238E27FC236}">
              <a16:creationId xmlns:a16="http://schemas.microsoft.com/office/drawing/2014/main" id="{A5CD7700-C8F4-4C4F-AA1D-15DB0E5B8AEC}"/>
            </a:ext>
          </a:extLst>
        </xdr:cNvPr>
        <xdr:cNvSpPr/>
      </xdr:nvSpPr>
      <xdr:spPr>
        <a:xfrm flipH="1">
          <a:off x="4595807" y="26074687"/>
          <a:ext cx="7810499" cy="3214688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FF8181"/>
          </a:solidFill>
        </a:ln>
        <a:effectLst>
          <a:glow rad="139700">
            <a:srgbClr val="FF8181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A36F8530-2B93-4CB9-B421-8D4029D9DEFA}" type="TxLink">
            <a:rPr lang="en-US" sz="115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1.27%</a:t>
          </a:fld>
          <a:endParaRPr lang="en-US" sz="333300" b="1" i="0" u="none" strike="noStrike">
            <a:solidFill>
              <a:schemeClr val="bg1"/>
            </a:solidFill>
            <a:effectLst>
              <a:glow rad="139700">
                <a:schemeClr val="accent2">
                  <a:alpha val="40000"/>
                </a:schemeClr>
              </a:glow>
            </a:effectLst>
            <a:latin typeface="Trade Gothic Inline" panose="020B0504030203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68</xdr:col>
      <xdr:colOff>285750</xdr:colOff>
      <xdr:row>123</xdr:row>
      <xdr:rowOff>27214</xdr:rowOff>
    </xdr:from>
    <xdr:to>
      <xdr:col>70</xdr:col>
      <xdr:colOff>23812</xdr:colOff>
      <xdr:row>132</xdr:row>
      <xdr:rowOff>928687</xdr:rowOff>
    </xdr:to>
    <xdr:sp macro="" textlink="">
      <xdr:nvSpPr>
        <xdr:cNvPr id="9" name="Left Bracket 8">
          <a:extLst>
            <a:ext uri="{FF2B5EF4-FFF2-40B4-BE49-F238E27FC236}">
              <a16:creationId xmlns:a16="http://schemas.microsoft.com/office/drawing/2014/main" id="{D780C6B9-A9EC-4E04-95D8-9E89907514DE}"/>
            </a:ext>
          </a:extLst>
        </xdr:cNvPr>
        <xdr:cNvSpPr/>
      </xdr:nvSpPr>
      <xdr:spPr>
        <a:xfrm flipH="1">
          <a:off x="36585525" y="26163814"/>
          <a:ext cx="481012" cy="4111398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46</xdr:col>
      <xdr:colOff>34635</xdr:colOff>
      <xdr:row>123</xdr:row>
      <xdr:rowOff>259773</xdr:rowOff>
    </xdr:from>
    <xdr:to>
      <xdr:col>46</xdr:col>
      <xdr:colOff>50835</xdr:colOff>
      <xdr:row>132</xdr:row>
      <xdr:rowOff>49110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7FE62356-A02E-4768-93D2-67D994057BC3}"/>
            </a:ext>
          </a:extLst>
        </xdr:cNvPr>
        <xdr:cNvCxnSpPr/>
      </xdr:nvCxnSpPr>
      <xdr:spPr>
        <a:xfrm flipH="1">
          <a:off x="24409110" y="26396373"/>
          <a:ext cx="16200" cy="2999262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124</xdr:row>
      <xdr:rowOff>34637</xdr:rowOff>
    </xdr:from>
    <xdr:to>
      <xdr:col>35</xdr:col>
      <xdr:colOff>16200</xdr:colOff>
      <xdr:row>132</xdr:row>
      <xdr:rowOff>101065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7C7D4311-1892-49DA-8396-AE9A7E90F9F6}"/>
            </a:ext>
          </a:extLst>
        </xdr:cNvPr>
        <xdr:cNvCxnSpPr/>
      </xdr:nvCxnSpPr>
      <xdr:spPr>
        <a:xfrm flipH="1">
          <a:off x="18764250" y="26599862"/>
          <a:ext cx="16200" cy="2847728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0</xdr:col>
      <xdr:colOff>95250</xdr:colOff>
      <xdr:row>128</xdr:row>
      <xdr:rowOff>261938</xdr:rowOff>
    </xdr:from>
    <xdr:ext cx="3048000" cy="666750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C1CE79B4-AC1D-4DED-A31C-F16ADCE05A2C}"/>
            </a:ext>
          </a:extLst>
        </xdr:cNvPr>
        <xdr:cNvSpPr/>
      </xdr:nvSpPr>
      <xdr:spPr>
        <a:xfrm>
          <a:off x="95250" y="28008263"/>
          <a:ext cx="3048000" cy="666750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Shoe T.W.:    </a:t>
          </a:r>
          <a:endParaRPr lang="en-US" sz="40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95249</xdr:colOff>
      <xdr:row>131</xdr:row>
      <xdr:rowOff>0</xdr:rowOff>
    </xdr:from>
    <xdr:ext cx="3000375" cy="680357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C9E509D8-926C-4D0D-A6F0-E450B32D57A0}"/>
            </a:ext>
          </a:extLst>
        </xdr:cNvPr>
        <xdr:cNvSpPr/>
      </xdr:nvSpPr>
      <xdr:spPr>
        <a:xfrm>
          <a:off x="95249" y="28679775"/>
          <a:ext cx="3000375" cy="680357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Shoe</a:t>
          </a:r>
          <a:r>
            <a:rPr lang="en-US" sz="40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W.O.</a:t>
          </a:r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:</a:t>
          </a:r>
        </a:p>
      </xdr:txBody>
    </xdr:sp>
    <xdr:clientData/>
  </xdr:oneCellAnchor>
  <xdr:oneCellAnchor>
    <xdr:from>
      <xdr:col>59</xdr:col>
      <xdr:colOff>-1</xdr:colOff>
      <xdr:row>109</xdr:row>
      <xdr:rowOff>119063</xdr:rowOff>
    </xdr:from>
    <xdr:ext cx="5286375" cy="680357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DCE0B14C-202D-4263-835F-077F0195A9EC}"/>
            </a:ext>
          </a:extLst>
        </xdr:cNvPr>
        <xdr:cNvSpPr/>
      </xdr:nvSpPr>
      <xdr:spPr>
        <a:xfrm>
          <a:off x="31646812" y="25217438"/>
          <a:ext cx="5286375" cy="680357"/>
        </a:xfrm>
        <a:prstGeom prst="rect">
          <a:avLst/>
        </a:prstGeom>
        <a:solidFill>
          <a:srgbClr val="FFFF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8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WATCO : 114</a:t>
          </a:r>
          <a:r>
            <a:rPr lang="en-US" sz="48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PCS.</a:t>
          </a:r>
          <a:endParaRPr lang="en-US" sz="48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192355</xdr:colOff>
      <xdr:row>31</xdr:row>
      <xdr:rowOff>246662</xdr:rowOff>
    </xdr:from>
    <xdr:ext cx="2651538" cy="73428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6B8B6A7-6F02-4241-9195-83AA3EC4DAA7}"/>
            </a:ext>
          </a:extLst>
        </xdr:cNvPr>
        <xdr:cNvSpPr/>
      </xdr:nvSpPr>
      <xdr:spPr>
        <a:xfrm>
          <a:off x="192355" y="9304937"/>
          <a:ext cx="2651538" cy="734288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4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251517</xdr:colOff>
      <xdr:row>34</xdr:row>
      <xdr:rowOff>28330</xdr:rowOff>
    </xdr:from>
    <xdr:ext cx="2592377" cy="680357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CF48A5C-CAD3-4207-98AD-40D7332E57B1}"/>
            </a:ext>
          </a:extLst>
        </xdr:cNvPr>
        <xdr:cNvSpPr/>
      </xdr:nvSpPr>
      <xdr:spPr>
        <a:xfrm>
          <a:off x="251517" y="10086730"/>
          <a:ext cx="2592377" cy="680357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oneCellAnchor>
    <xdr:from>
      <xdr:col>0</xdr:col>
      <xdr:colOff>68036</xdr:colOff>
      <xdr:row>0</xdr:row>
      <xdr:rowOff>1141546</xdr:rowOff>
    </xdr:from>
    <xdr:ext cx="18192750" cy="1134555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B4063B7-B004-4DD9-8242-E154A5187E3D}"/>
            </a:ext>
          </a:extLst>
        </xdr:cNvPr>
        <xdr:cNvSpPr/>
      </xdr:nvSpPr>
      <xdr:spPr>
        <a:xfrm>
          <a:off x="68036" y="1141546"/>
          <a:ext cx="18192750" cy="1134555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72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>
                  <a:lumMod val="20000"/>
                  <a:lumOff val="8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2025Q-10-108JT PROJECT</a:t>
          </a:r>
          <a:r>
            <a:rPr lang="en-US" sz="72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>
                  <a:lumMod val="20000"/>
                  <a:lumOff val="8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chemeClr val="accent4">
                <a:lumMod val="20000"/>
                <a:lumOff val="80000"/>
              </a:schemeClr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</xdr:txBody>
    </xdr:sp>
    <xdr:clientData/>
  </xdr:oneCellAnchor>
  <xdr:twoCellAnchor>
    <xdr:from>
      <xdr:col>0</xdr:col>
      <xdr:colOff>58137</xdr:colOff>
      <xdr:row>35</xdr:row>
      <xdr:rowOff>513112</xdr:rowOff>
    </xdr:from>
    <xdr:to>
      <xdr:col>13</xdr:col>
      <xdr:colOff>204107</xdr:colOff>
      <xdr:row>41</xdr:row>
      <xdr:rowOff>721178</xdr:rowOff>
    </xdr:to>
    <xdr:sp macro="" textlink="AY50">
      <xdr:nvSpPr>
        <xdr:cNvPr id="5" name="Flowchart: Data 4">
          <a:extLst>
            <a:ext uri="{FF2B5EF4-FFF2-40B4-BE49-F238E27FC236}">
              <a16:creationId xmlns:a16="http://schemas.microsoft.com/office/drawing/2014/main" id="{B08AA7BE-4113-4440-AB96-39B86B2FFE53}"/>
            </a:ext>
          </a:extLst>
        </xdr:cNvPr>
        <xdr:cNvSpPr/>
      </xdr:nvSpPr>
      <xdr:spPr>
        <a:xfrm flipH="1">
          <a:off x="58137" y="11698183"/>
          <a:ext cx="5452756" cy="3174424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75DBFF"/>
          </a:solidFill>
        </a:ln>
        <a:effectLst>
          <a:glow rad="101600">
            <a:schemeClr val="accent1">
              <a:satMod val="175000"/>
              <a:alpha val="40000"/>
            </a:scheme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 b="1" i="0" u="none" strike="noStrike" baseline="0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 Rate:                              </a:t>
          </a:r>
          <a:fld id="{E6825D73-2085-4A59-9929-28A98BAB4721}" type="TxLink">
            <a:rPr lang="en-US" sz="8000" b="1" i="0" u="none" strike="noStrike" baseline="0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1.05%</a:t>
          </a:fld>
          <a:endParaRPr lang="en-US" sz="231500" b="1" i="1" cap="none" spc="50">
            <a:ln w="3175" cmpd="sng">
              <a:solidFill>
                <a:schemeClr val="bg1"/>
              </a:solidFill>
              <a:prstDash val="solid"/>
            </a:ln>
            <a:solidFill>
              <a:schemeClr val="bg1"/>
            </a:solidFill>
            <a:effectLst>
              <a:glow rad="228600">
                <a:srgbClr val="75FFF2">
                  <a:alpha val="40000"/>
                </a:srgbClr>
              </a:glow>
            </a:effectLst>
            <a:latin typeface="Trade Gothic Inline" panose="020B0504030203020204" pitchFamily="34" charset="0"/>
          </a:endParaRPr>
        </a:p>
      </xdr:txBody>
    </xdr:sp>
    <xdr:clientData/>
  </xdr:twoCellAnchor>
  <xdr:twoCellAnchor>
    <xdr:from>
      <xdr:col>34</xdr:col>
      <xdr:colOff>143837</xdr:colOff>
      <xdr:row>31</xdr:row>
      <xdr:rowOff>176895</xdr:rowOff>
    </xdr:from>
    <xdr:to>
      <xdr:col>34</xdr:col>
      <xdr:colOff>143837</xdr:colOff>
      <xdr:row>41</xdr:row>
      <xdr:rowOff>489859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31C335DB-4302-4D9A-B631-97EDD44D5808}"/>
            </a:ext>
          </a:extLst>
        </xdr:cNvPr>
        <xdr:cNvCxnSpPr/>
      </xdr:nvCxnSpPr>
      <xdr:spPr>
        <a:xfrm>
          <a:off x="13897937" y="9235170"/>
          <a:ext cx="0" cy="4961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136066</xdr:colOff>
      <xdr:row>31</xdr:row>
      <xdr:rowOff>54428</xdr:rowOff>
    </xdr:from>
    <xdr:to>
      <xdr:col>49</xdr:col>
      <xdr:colOff>163278</xdr:colOff>
      <xdr:row>41</xdr:row>
      <xdr:rowOff>683559</xdr:rowOff>
    </xdr:to>
    <xdr:sp macro="" textlink="">
      <xdr:nvSpPr>
        <xdr:cNvPr id="7" name="Left Bracket 6">
          <a:extLst>
            <a:ext uri="{FF2B5EF4-FFF2-40B4-BE49-F238E27FC236}">
              <a16:creationId xmlns:a16="http://schemas.microsoft.com/office/drawing/2014/main" id="{DDC83D5D-555C-44D5-8DE0-72CFAFD0FB21}"/>
            </a:ext>
          </a:extLst>
        </xdr:cNvPr>
        <xdr:cNvSpPr/>
      </xdr:nvSpPr>
      <xdr:spPr>
        <a:xfrm flipH="1">
          <a:off x="19576591" y="9112703"/>
          <a:ext cx="398687" cy="5277331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14</xdr:col>
      <xdr:colOff>225137</xdr:colOff>
      <xdr:row>31</xdr:row>
      <xdr:rowOff>103909</xdr:rowOff>
    </xdr:from>
    <xdr:to>
      <xdr:col>16</xdr:col>
      <xdr:colOff>163287</xdr:colOff>
      <xdr:row>41</xdr:row>
      <xdr:rowOff>721177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EB49E7AE-C57B-489E-A2CC-C14361918AA1}"/>
            </a:ext>
          </a:extLst>
        </xdr:cNvPr>
        <xdr:cNvSpPr/>
      </xdr:nvSpPr>
      <xdr:spPr>
        <a:xfrm rot="10800000" flipH="1">
          <a:off x="5902037" y="9162184"/>
          <a:ext cx="585850" cy="5265468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122465</xdr:colOff>
      <xdr:row>35</xdr:row>
      <xdr:rowOff>190499</xdr:rowOff>
    </xdr:from>
    <xdr:to>
      <xdr:col>9</xdr:col>
      <xdr:colOff>122465</xdr:colOff>
      <xdr:row>35</xdr:row>
      <xdr:rowOff>217714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4F147111-D81F-4F86-8E72-C910A8DADE53}"/>
            </a:ext>
          </a:extLst>
        </xdr:cNvPr>
        <xdr:cNvCxnSpPr/>
      </xdr:nvCxnSpPr>
      <xdr:spPr>
        <a:xfrm flipH="1" flipV="1">
          <a:off x="122465" y="10944224"/>
          <a:ext cx="3657600" cy="27215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27214</xdr:colOff>
      <xdr:row>35</xdr:row>
      <xdr:rowOff>802821</xdr:rowOff>
    </xdr:from>
    <xdr:to>
      <xdr:col>34</xdr:col>
      <xdr:colOff>27214</xdr:colOff>
      <xdr:row>35</xdr:row>
      <xdr:rowOff>802821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B1CA6F5B-2204-4CB6-885B-87961B7A4D40}"/>
            </a:ext>
          </a:extLst>
        </xdr:cNvPr>
        <xdr:cNvCxnSpPr/>
      </xdr:nvCxnSpPr>
      <xdr:spPr>
        <a:xfrm>
          <a:off x="9371239" y="11556546"/>
          <a:ext cx="4410075" cy="0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122464</xdr:colOff>
      <xdr:row>31</xdr:row>
      <xdr:rowOff>272143</xdr:rowOff>
    </xdr:from>
    <xdr:to>
      <xdr:col>22</xdr:col>
      <xdr:colOff>122464</xdr:colOff>
      <xdr:row>41</xdr:row>
      <xdr:rowOff>585107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3B4501C4-8D2F-4FBC-987C-9C92B89A9720}"/>
            </a:ext>
          </a:extLst>
        </xdr:cNvPr>
        <xdr:cNvCxnSpPr/>
      </xdr:nvCxnSpPr>
      <xdr:spPr>
        <a:xfrm>
          <a:off x="9180739" y="9330418"/>
          <a:ext cx="0" cy="4961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0</xdr:col>
      <xdr:colOff>103909</xdr:colOff>
      <xdr:row>30</xdr:row>
      <xdr:rowOff>86591</xdr:rowOff>
    </xdr:from>
    <xdr:ext cx="5576454" cy="658089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4598CD0-8D9F-480C-B2F3-519212A4281C}"/>
            </a:ext>
          </a:extLst>
        </xdr:cNvPr>
        <xdr:cNvSpPr/>
      </xdr:nvSpPr>
      <xdr:spPr>
        <a:xfrm>
          <a:off x="103909" y="8449541"/>
          <a:ext cx="5576454" cy="658089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3600" b="1" i="1" cap="none" spc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228600">
                  <a:schemeClr val="accent6">
                    <a:satMod val="175000"/>
                    <a:alpha val="40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Carbozinc 11: 8 pcs.</a:t>
          </a:r>
        </a:p>
      </xdr:txBody>
    </xdr:sp>
    <xdr:clientData/>
  </xdr:oneCellAnchor>
  <xdr:oneCellAnchor>
    <xdr:from>
      <xdr:col>0</xdr:col>
      <xdr:colOff>155863</xdr:colOff>
      <xdr:row>29</xdr:row>
      <xdr:rowOff>51955</xdr:rowOff>
    </xdr:from>
    <xdr:ext cx="5576454" cy="658089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EDAECE15-1262-414F-89F4-B114EFF44740}"/>
            </a:ext>
          </a:extLst>
        </xdr:cNvPr>
        <xdr:cNvSpPr/>
      </xdr:nvSpPr>
      <xdr:spPr>
        <a:xfrm>
          <a:off x="155863" y="8070273"/>
          <a:ext cx="5576454" cy="658089"/>
        </a:xfrm>
        <a:prstGeom prst="rect">
          <a:avLst/>
        </a:prstGeom>
        <a:solidFill>
          <a:srgbClr val="FFFF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3600" b="1" i="1" cap="none" spc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228600">
                  <a:schemeClr val="accent6">
                    <a:satMod val="175000"/>
                    <a:alpha val="40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CUSTOMER : 8 </a:t>
          </a:r>
        </a:p>
      </xdr:txBody>
    </xdr:sp>
    <xdr:clientData/>
  </xdr:oneCellAnchor>
  <xdr:oneCellAnchor>
    <xdr:from>
      <xdr:col>41</xdr:col>
      <xdr:colOff>541705</xdr:colOff>
      <xdr:row>0</xdr:row>
      <xdr:rowOff>0</xdr:rowOff>
    </xdr:from>
    <xdr:ext cx="1134555" cy="9348107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592BFB58-260A-4624-B65A-E80491D85739}"/>
            </a:ext>
          </a:extLst>
        </xdr:cNvPr>
        <xdr:cNvSpPr/>
      </xdr:nvSpPr>
      <xdr:spPr>
        <a:xfrm rot="16200000">
          <a:off x="12817929" y="4106776"/>
          <a:ext cx="9348107" cy="1134555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5400" b="1" u="sng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66FF33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72 " x 0.375 " - 1 Pipe </a:t>
          </a:r>
        </a:p>
        <a:p>
          <a:pPr algn="ctr"/>
          <a:r>
            <a:rPr lang="en-US" sz="44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</xdr:txBody>
    </xdr:sp>
    <xdr:clientData/>
  </xdr:oneCellAnchor>
  <xdr:oneCellAnchor>
    <xdr:from>
      <xdr:col>2</xdr:col>
      <xdr:colOff>242348</xdr:colOff>
      <xdr:row>0</xdr:row>
      <xdr:rowOff>0</xdr:rowOff>
    </xdr:from>
    <xdr:ext cx="1134555" cy="8493440"/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5E2C068C-9F9E-4C0E-8526-9B928C68E046}"/>
            </a:ext>
          </a:extLst>
        </xdr:cNvPr>
        <xdr:cNvSpPr/>
      </xdr:nvSpPr>
      <xdr:spPr>
        <a:xfrm rot="16200000">
          <a:off x="-2443773" y="3679442"/>
          <a:ext cx="8493440" cy="1134555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5400" b="1" u="sng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72 " x 0.5 " - 7 Pipes </a:t>
          </a:r>
        </a:p>
        <a:p>
          <a:pPr algn="ctr"/>
          <a:r>
            <a:rPr lang="en-US" sz="44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</xdr:txBody>
    </xdr:sp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192355</xdr:colOff>
      <xdr:row>31</xdr:row>
      <xdr:rowOff>246662</xdr:rowOff>
    </xdr:from>
    <xdr:ext cx="2651538" cy="73428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8CACD13-68F5-48B3-BC6B-B3B1D74CE051}"/>
            </a:ext>
          </a:extLst>
        </xdr:cNvPr>
        <xdr:cNvSpPr/>
      </xdr:nvSpPr>
      <xdr:spPr>
        <a:xfrm>
          <a:off x="192355" y="10743212"/>
          <a:ext cx="2651538" cy="734288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4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251517</xdr:colOff>
      <xdr:row>34</xdr:row>
      <xdr:rowOff>28330</xdr:rowOff>
    </xdr:from>
    <xdr:ext cx="2592377" cy="680357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C82E1E1-EED1-408E-BB93-AF42AB9B568B}"/>
            </a:ext>
          </a:extLst>
        </xdr:cNvPr>
        <xdr:cNvSpPr/>
      </xdr:nvSpPr>
      <xdr:spPr>
        <a:xfrm>
          <a:off x="251517" y="11525005"/>
          <a:ext cx="2592377" cy="680357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oneCellAnchor>
    <xdr:from>
      <xdr:col>0</xdr:col>
      <xdr:colOff>155864</xdr:colOff>
      <xdr:row>0</xdr:row>
      <xdr:rowOff>1943131</xdr:rowOff>
    </xdr:from>
    <xdr:ext cx="18703636" cy="325551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BD80511-373B-48F6-ACCE-7F8DC333F022}"/>
            </a:ext>
          </a:extLst>
        </xdr:cNvPr>
        <xdr:cNvSpPr/>
      </xdr:nvSpPr>
      <xdr:spPr>
        <a:xfrm>
          <a:off x="155864" y="1943131"/>
          <a:ext cx="18703636" cy="325551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72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tx2">
                  <a:lumMod val="40000"/>
                  <a:lumOff val="6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2025Q-12-112SN PROJECT</a:t>
          </a:r>
          <a:r>
            <a:rPr lang="en-US" sz="72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tx2">
                  <a:lumMod val="40000"/>
                  <a:lumOff val="6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chemeClr val="tx2">
                <a:lumMod val="40000"/>
                <a:lumOff val="60000"/>
              </a:schemeClr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</xdr:txBody>
    </xdr:sp>
    <xdr:clientData/>
  </xdr:oneCellAnchor>
  <xdr:twoCellAnchor>
    <xdr:from>
      <xdr:col>0</xdr:col>
      <xdr:colOff>-207388</xdr:colOff>
      <xdr:row>35</xdr:row>
      <xdr:rowOff>513113</xdr:rowOff>
    </xdr:from>
    <xdr:to>
      <xdr:col>13</xdr:col>
      <xdr:colOff>352116</xdr:colOff>
      <xdr:row>41</xdr:row>
      <xdr:rowOff>611085</xdr:rowOff>
    </xdr:to>
    <xdr:sp macro="" textlink="AY50">
      <xdr:nvSpPr>
        <xdr:cNvPr id="5" name="Flowchart: Data 4">
          <a:extLst>
            <a:ext uri="{FF2B5EF4-FFF2-40B4-BE49-F238E27FC236}">
              <a16:creationId xmlns:a16="http://schemas.microsoft.com/office/drawing/2014/main" id="{A815892A-7EAB-4A28-8751-7DE3B54CB589}"/>
            </a:ext>
          </a:extLst>
        </xdr:cNvPr>
        <xdr:cNvSpPr/>
      </xdr:nvSpPr>
      <xdr:spPr>
        <a:xfrm flipH="1">
          <a:off x="-207388" y="13155386"/>
          <a:ext cx="5841549" cy="3042063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75DBFF"/>
          </a:solidFill>
        </a:ln>
        <a:effectLst>
          <a:glow rad="101600">
            <a:schemeClr val="accent1">
              <a:satMod val="175000"/>
              <a:alpha val="40000"/>
            </a:scheme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000" b="1" i="0" u="none" strike="noStrike" baseline="0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 Rate:                                  </a:t>
          </a:r>
          <a:fld id="{5410E761-5A03-4338-8DFE-75A540C61580}" type="TxLink">
            <a:rPr lang="en-US" sz="8800" b="1" i="0" u="none" strike="noStrike" baseline="0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1.25%</a:t>
          </a:fld>
          <a:endParaRPr lang="en-US" sz="277800" b="1" i="1" cap="none" spc="50">
            <a:ln w="3175" cmpd="sng">
              <a:solidFill>
                <a:schemeClr val="bg1"/>
              </a:solidFill>
              <a:prstDash val="solid"/>
            </a:ln>
            <a:solidFill>
              <a:schemeClr val="bg1"/>
            </a:solidFill>
            <a:effectLst>
              <a:glow rad="228600">
                <a:srgbClr val="75FFF2">
                  <a:alpha val="40000"/>
                </a:srgbClr>
              </a:glow>
            </a:effectLst>
            <a:latin typeface="Trade Gothic Inline" panose="020B0504030203020204" pitchFamily="34" charset="0"/>
          </a:endParaRPr>
        </a:p>
      </xdr:txBody>
    </xdr:sp>
    <xdr:clientData/>
  </xdr:twoCellAnchor>
  <xdr:twoCellAnchor>
    <xdr:from>
      <xdr:col>34</xdr:col>
      <xdr:colOff>143837</xdr:colOff>
      <xdr:row>31</xdr:row>
      <xdr:rowOff>176895</xdr:rowOff>
    </xdr:from>
    <xdr:to>
      <xdr:col>34</xdr:col>
      <xdr:colOff>143837</xdr:colOff>
      <xdr:row>41</xdr:row>
      <xdr:rowOff>489859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21F6DCE3-B67C-4AAC-8CD7-F3569DF1B685}"/>
            </a:ext>
          </a:extLst>
        </xdr:cNvPr>
        <xdr:cNvCxnSpPr/>
      </xdr:nvCxnSpPr>
      <xdr:spPr>
        <a:xfrm>
          <a:off x="13897937" y="10673445"/>
          <a:ext cx="0" cy="4961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136066</xdr:colOff>
      <xdr:row>31</xdr:row>
      <xdr:rowOff>54428</xdr:rowOff>
    </xdr:from>
    <xdr:to>
      <xdr:col>49</xdr:col>
      <xdr:colOff>163278</xdr:colOff>
      <xdr:row>41</xdr:row>
      <xdr:rowOff>683559</xdr:rowOff>
    </xdr:to>
    <xdr:sp macro="" textlink="">
      <xdr:nvSpPr>
        <xdr:cNvPr id="7" name="Left Bracket 6">
          <a:extLst>
            <a:ext uri="{FF2B5EF4-FFF2-40B4-BE49-F238E27FC236}">
              <a16:creationId xmlns:a16="http://schemas.microsoft.com/office/drawing/2014/main" id="{BA3EE657-1EB0-47C9-BDB8-388DE9DE4763}"/>
            </a:ext>
          </a:extLst>
        </xdr:cNvPr>
        <xdr:cNvSpPr/>
      </xdr:nvSpPr>
      <xdr:spPr>
        <a:xfrm flipH="1">
          <a:off x="19576591" y="10550978"/>
          <a:ext cx="398687" cy="5277331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14</xdr:col>
      <xdr:colOff>225137</xdr:colOff>
      <xdr:row>31</xdr:row>
      <xdr:rowOff>103909</xdr:rowOff>
    </xdr:from>
    <xdr:to>
      <xdr:col>16</xdr:col>
      <xdr:colOff>163287</xdr:colOff>
      <xdr:row>41</xdr:row>
      <xdr:rowOff>721177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C075D928-8038-44F4-9412-D5813FCA353F}"/>
            </a:ext>
          </a:extLst>
        </xdr:cNvPr>
        <xdr:cNvSpPr/>
      </xdr:nvSpPr>
      <xdr:spPr>
        <a:xfrm rot="10800000" flipH="1">
          <a:off x="5902037" y="10600459"/>
          <a:ext cx="585850" cy="5265468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122465</xdr:colOff>
      <xdr:row>35</xdr:row>
      <xdr:rowOff>190499</xdr:rowOff>
    </xdr:from>
    <xdr:to>
      <xdr:col>9</xdr:col>
      <xdr:colOff>122465</xdr:colOff>
      <xdr:row>35</xdr:row>
      <xdr:rowOff>217714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39EE046D-78B1-4D28-AE26-A2ED8BE0C277}"/>
            </a:ext>
          </a:extLst>
        </xdr:cNvPr>
        <xdr:cNvCxnSpPr/>
      </xdr:nvCxnSpPr>
      <xdr:spPr>
        <a:xfrm flipH="1" flipV="1">
          <a:off x="122465" y="12382499"/>
          <a:ext cx="3657600" cy="27215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44532</xdr:colOff>
      <xdr:row>35</xdr:row>
      <xdr:rowOff>1097230</xdr:rowOff>
    </xdr:from>
    <xdr:to>
      <xdr:col>34</xdr:col>
      <xdr:colOff>44532</xdr:colOff>
      <xdr:row>35</xdr:row>
      <xdr:rowOff>1097230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6CDD7DC7-0C5A-4924-B0BE-2283B1A920C2}"/>
            </a:ext>
          </a:extLst>
        </xdr:cNvPr>
        <xdr:cNvCxnSpPr/>
      </xdr:nvCxnSpPr>
      <xdr:spPr>
        <a:xfrm>
          <a:off x="9344396" y="13739503"/>
          <a:ext cx="4381500" cy="0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122464</xdr:colOff>
      <xdr:row>31</xdr:row>
      <xdr:rowOff>272143</xdr:rowOff>
    </xdr:from>
    <xdr:to>
      <xdr:col>22</xdr:col>
      <xdr:colOff>122464</xdr:colOff>
      <xdr:row>41</xdr:row>
      <xdr:rowOff>585107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C9F58A25-434D-4003-8769-EFD82E69B9D9}"/>
            </a:ext>
          </a:extLst>
        </xdr:cNvPr>
        <xdr:cNvCxnSpPr/>
      </xdr:nvCxnSpPr>
      <xdr:spPr>
        <a:xfrm>
          <a:off x="9180739" y="10768693"/>
          <a:ext cx="0" cy="4961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29</xdr:col>
      <xdr:colOff>277092</xdr:colOff>
      <xdr:row>0</xdr:row>
      <xdr:rowOff>2459182</xdr:rowOff>
    </xdr:from>
    <xdr:ext cx="6754089" cy="813955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540C6F73-5981-4164-B106-30B987FD08FB}"/>
            </a:ext>
          </a:extLst>
        </xdr:cNvPr>
        <xdr:cNvSpPr/>
      </xdr:nvSpPr>
      <xdr:spPr>
        <a:xfrm>
          <a:off x="11949547" y="2459182"/>
          <a:ext cx="6754089" cy="813955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54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00B0F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5400" b="1" u="sng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FFC00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54 " x .5 " - 4 Pipes </a:t>
          </a:r>
        </a:p>
        <a:p>
          <a:pPr algn="ctr"/>
          <a:r>
            <a:rPr lang="en-US" sz="44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FFC00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</xdr:txBody>
    </xdr:sp>
    <xdr:clientData/>
  </xdr:oneCellAnchor>
  <xdr:oneCellAnchor>
    <xdr:from>
      <xdr:col>34</xdr:col>
      <xdr:colOff>340178</xdr:colOff>
      <xdr:row>14</xdr:row>
      <xdr:rowOff>398318</xdr:rowOff>
    </xdr:from>
    <xdr:ext cx="5576454" cy="1182583"/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E05B5F36-A29D-4A19-822A-2C3EC5B07CDD}"/>
            </a:ext>
          </a:extLst>
        </xdr:cNvPr>
        <xdr:cNvSpPr/>
      </xdr:nvSpPr>
      <xdr:spPr>
        <a:xfrm>
          <a:off x="14644996" y="9455727"/>
          <a:ext cx="5576454" cy="1182583"/>
        </a:xfrm>
        <a:prstGeom prst="rect">
          <a:avLst/>
        </a:prstGeom>
        <a:solidFill>
          <a:srgbClr val="FFFF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3600" b="1" i="1" cap="none" spc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WATCO: 14 pcs.</a:t>
          </a:r>
        </a:p>
        <a:p>
          <a:pPr algn="ctr"/>
          <a:r>
            <a:rPr lang="en-US" sz="2800" b="1" i="1" cap="none" spc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(Shipped</a:t>
          </a:r>
          <a:r>
            <a:rPr lang="en-US" sz="28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as parts of monopiles)</a:t>
          </a:r>
          <a:endParaRPr lang="en-US" sz="36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1</xdr:colOff>
      <xdr:row>0</xdr:row>
      <xdr:rowOff>3048001</xdr:rowOff>
    </xdr:from>
    <xdr:ext cx="9871364" cy="8659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A803947-966E-46CA-8C5D-52305D0F0EBB}"/>
            </a:ext>
          </a:extLst>
        </xdr:cNvPr>
        <xdr:cNvSpPr/>
      </xdr:nvSpPr>
      <xdr:spPr>
        <a:xfrm>
          <a:off x="1" y="3048001"/>
          <a:ext cx="9871364" cy="86590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48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00B0F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4800" b="1" u="sng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00B0F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54 " x  .485" - 5 Pipes </a:t>
          </a:r>
        </a:p>
        <a:p>
          <a:pPr algn="ctr"/>
          <a:r>
            <a:rPr lang="en-US" sz="4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</xdr:txBody>
    </xdr:sp>
    <xdr:clientData/>
  </xdr:oneCellAnchor>
  <xdr:oneCellAnchor>
    <xdr:from>
      <xdr:col>14</xdr:col>
      <xdr:colOff>294410</xdr:colOff>
      <xdr:row>7</xdr:row>
      <xdr:rowOff>883227</xdr:rowOff>
    </xdr:from>
    <xdr:ext cx="10113818" cy="813955"/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EAD1DF26-5F40-4013-B987-C23FD8F0E206}"/>
            </a:ext>
          </a:extLst>
        </xdr:cNvPr>
        <xdr:cNvSpPr/>
      </xdr:nvSpPr>
      <xdr:spPr>
        <a:xfrm>
          <a:off x="5940137" y="6182591"/>
          <a:ext cx="10113818" cy="813955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54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00B0F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5400" b="1" u="sng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FFD966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54 " x </a:t>
          </a:r>
          <a:r>
            <a:rPr lang="en-US" sz="5400" b="1" u="sng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FFD966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.</a:t>
          </a:r>
          <a:r>
            <a:rPr lang="en-US" sz="5400" b="1" u="sng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FFD966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715" - 5 Pipes </a:t>
          </a:r>
        </a:p>
        <a:p>
          <a:pPr algn="ctr"/>
          <a:r>
            <a:rPr lang="en-US" sz="44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</xdr:txBody>
    </xdr:sp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192355</xdr:colOff>
      <xdr:row>31</xdr:row>
      <xdr:rowOff>246662</xdr:rowOff>
    </xdr:from>
    <xdr:ext cx="2651538" cy="73428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F81DD39-3121-42BD-A17F-2833026F9C7D}"/>
            </a:ext>
          </a:extLst>
        </xdr:cNvPr>
        <xdr:cNvSpPr/>
      </xdr:nvSpPr>
      <xdr:spPr>
        <a:xfrm>
          <a:off x="192355" y="10743212"/>
          <a:ext cx="2651538" cy="734288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4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251517</xdr:colOff>
      <xdr:row>34</xdr:row>
      <xdr:rowOff>28330</xdr:rowOff>
    </xdr:from>
    <xdr:ext cx="2592377" cy="680357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BDD8990-A003-4D1F-91C3-BE0C52BEBBF1}"/>
            </a:ext>
          </a:extLst>
        </xdr:cNvPr>
        <xdr:cNvSpPr/>
      </xdr:nvSpPr>
      <xdr:spPr>
        <a:xfrm>
          <a:off x="251517" y="11525005"/>
          <a:ext cx="2592377" cy="680357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oneCellAnchor>
    <xdr:from>
      <xdr:col>1</xdr:col>
      <xdr:colOff>446561</xdr:colOff>
      <xdr:row>0</xdr:row>
      <xdr:rowOff>2428040</xdr:rowOff>
    </xdr:from>
    <xdr:ext cx="18703636" cy="1134555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4779907-39C0-4C84-99AB-54AC654436DB}"/>
            </a:ext>
          </a:extLst>
        </xdr:cNvPr>
        <xdr:cNvSpPr/>
      </xdr:nvSpPr>
      <xdr:spPr>
        <a:xfrm>
          <a:off x="718704" y="2428040"/>
          <a:ext cx="18703636" cy="1134555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72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tx2">
                  <a:lumMod val="40000"/>
                  <a:lumOff val="6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2026Q-12-112SN PROJECT</a:t>
          </a:r>
          <a:r>
            <a:rPr lang="en-US" sz="72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tx2">
                  <a:lumMod val="40000"/>
                  <a:lumOff val="6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chemeClr val="tx2">
                <a:lumMod val="40000"/>
                <a:lumOff val="60000"/>
              </a:schemeClr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  <a:p>
          <a:pPr algn="ctr"/>
          <a:r>
            <a:rPr lang="en-US" sz="72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00B0F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7200" b="1" u="sng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00B0F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54 " x 1.2 " - 4 Pipes </a:t>
          </a:r>
        </a:p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</xdr:txBody>
    </xdr:sp>
    <xdr:clientData/>
  </xdr:oneCellAnchor>
  <xdr:twoCellAnchor>
    <xdr:from>
      <xdr:col>0</xdr:col>
      <xdr:colOff>58137</xdr:colOff>
      <xdr:row>35</xdr:row>
      <xdr:rowOff>513113</xdr:rowOff>
    </xdr:from>
    <xdr:to>
      <xdr:col>13</xdr:col>
      <xdr:colOff>86591</xdr:colOff>
      <xdr:row>41</xdr:row>
      <xdr:rowOff>611085</xdr:rowOff>
    </xdr:to>
    <xdr:sp macro="" textlink="AY50">
      <xdr:nvSpPr>
        <xdr:cNvPr id="5" name="Flowchart: Data 4">
          <a:extLst>
            <a:ext uri="{FF2B5EF4-FFF2-40B4-BE49-F238E27FC236}">
              <a16:creationId xmlns:a16="http://schemas.microsoft.com/office/drawing/2014/main" id="{4E5CFA2D-85D4-4329-9711-1128F4F11389}"/>
            </a:ext>
          </a:extLst>
        </xdr:cNvPr>
        <xdr:cNvSpPr/>
      </xdr:nvSpPr>
      <xdr:spPr>
        <a:xfrm flipH="1">
          <a:off x="58137" y="12691506"/>
          <a:ext cx="5335240" cy="3064329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75DBFF"/>
          </a:solidFill>
        </a:ln>
        <a:effectLst>
          <a:glow rad="101600">
            <a:schemeClr val="accent1">
              <a:satMod val="175000"/>
              <a:alpha val="40000"/>
            </a:scheme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 b="1" i="0" u="none" strike="noStrike" baseline="0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 Rate:                              </a:t>
          </a:r>
          <a:fld id="{C4A8C3F8-7084-4804-BD5C-74F913B84BBE}" type="TxLink">
            <a:rPr lang="en-US" sz="6600" b="1" i="0" u="none" strike="noStrike" baseline="0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10.24%</a:t>
          </a:fld>
          <a:endParaRPr lang="en-US" sz="333300" b="1" i="1" cap="none" spc="50">
            <a:ln w="3175" cmpd="sng">
              <a:solidFill>
                <a:schemeClr val="bg1"/>
              </a:solidFill>
              <a:prstDash val="solid"/>
            </a:ln>
            <a:solidFill>
              <a:schemeClr val="bg1"/>
            </a:solidFill>
            <a:effectLst>
              <a:glow rad="228600">
                <a:srgbClr val="75FFF2">
                  <a:alpha val="40000"/>
                </a:srgbClr>
              </a:glow>
            </a:effectLst>
            <a:latin typeface="Trade Gothic Inline" panose="020B0504030203020204" pitchFamily="34" charset="0"/>
          </a:endParaRPr>
        </a:p>
      </xdr:txBody>
    </xdr:sp>
    <xdr:clientData/>
  </xdr:twoCellAnchor>
  <xdr:twoCellAnchor>
    <xdr:from>
      <xdr:col>34</xdr:col>
      <xdr:colOff>143837</xdr:colOff>
      <xdr:row>31</xdr:row>
      <xdr:rowOff>176895</xdr:rowOff>
    </xdr:from>
    <xdr:to>
      <xdr:col>34</xdr:col>
      <xdr:colOff>143837</xdr:colOff>
      <xdr:row>41</xdr:row>
      <xdr:rowOff>489859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EC928AC0-95FD-4D33-8973-B5B935CCD22A}"/>
            </a:ext>
          </a:extLst>
        </xdr:cNvPr>
        <xdr:cNvCxnSpPr/>
      </xdr:nvCxnSpPr>
      <xdr:spPr>
        <a:xfrm>
          <a:off x="13897937" y="10673445"/>
          <a:ext cx="0" cy="4961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136066</xdr:colOff>
      <xdr:row>31</xdr:row>
      <xdr:rowOff>54428</xdr:rowOff>
    </xdr:from>
    <xdr:to>
      <xdr:col>49</xdr:col>
      <xdr:colOff>163278</xdr:colOff>
      <xdr:row>41</xdr:row>
      <xdr:rowOff>683559</xdr:rowOff>
    </xdr:to>
    <xdr:sp macro="" textlink="">
      <xdr:nvSpPr>
        <xdr:cNvPr id="7" name="Left Bracket 6">
          <a:extLst>
            <a:ext uri="{FF2B5EF4-FFF2-40B4-BE49-F238E27FC236}">
              <a16:creationId xmlns:a16="http://schemas.microsoft.com/office/drawing/2014/main" id="{0BEF4724-65C2-4FA4-BDB3-9C037F7E56B1}"/>
            </a:ext>
          </a:extLst>
        </xdr:cNvPr>
        <xdr:cNvSpPr/>
      </xdr:nvSpPr>
      <xdr:spPr>
        <a:xfrm flipH="1">
          <a:off x="19576591" y="10550978"/>
          <a:ext cx="398687" cy="5277331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14</xdr:col>
      <xdr:colOff>225137</xdr:colOff>
      <xdr:row>31</xdr:row>
      <xdr:rowOff>103909</xdr:rowOff>
    </xdr:from>
    <xdr:to>
      <xdr:col>16</xdr:col>
      <xdr:colOff>163287</xdr:colOff>
      <xdr:row>41</xdr:row>
      <xdr:rowOff>721177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7C87FC7D-326C-4F72-941B-048ABEBEDAA1}"/>
            </a:ext>
          </a:extLst>
        </xdr:cNvPr>
        <xdr:cNvSpPr/>
      </xdr:nvSpPr>
      <xdr:spPr>
        <a:xfrm rot="10800000" flipH="1">
          <a:off x="5902037" y="10600459"/>
          <a:ext cx="585850" cy="5265468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122465</xdr:colOff>
      <xdr:row>35</xdr:row>
      <xdr:rowOff>190499</xdr:rowOff>
    </xdr:from>
    <xdr:to>
      <xdr:col>9</xdr:col>
      <xdr:colOff>122465</xdr:colOff>
      <xdr:row>35</xdr:row>
      <xdr:rowOff>217714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7CBA9B8E-2710-490A-BAF8-179C00414715}"/>
            </a:ext>
          </a:extLst>
        </xdr:cNvPr>
        <xdr:cNvCxnSpPr/>
      </xdr:nvCxnSpPr>
      <xdr:spPr>
        <a:xfrm flipH="1" flipV="1">
          <a:off x="122465" y="12382499"/>
          <a:ext cx="3657600" cy="27215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27214</xdr:colOff>
      <xdr:row>35</xdr:row>
      <xdr:rowOff>802821</xdr:rowOff>
    </xdr:from>
    <xdr:to>
      <xdr:col>34</xdr:col>
      <xdr:colOff>27214</xdr:colOff>
      <xdr:row>35</xdr:row>
      <xdr:rowOff>802821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EF357086-AA92-4504-B9CF-B1FAB3CB34CD}"/>
            </a:ext>
          </a:extLst>
        </xdr:cNvPr>
        <xdr:cNvCxnSpPr/>
      </xdr:nvCxnSpPr>
      <xdr:spPr>
        <a:xfrm>
          <a:off x="9371239" y="12994821"/>
          <a:ext cx="4410075" cy="0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122464</xdr:colOff>
      <xdr:row>31</xdr:row>
      <xdr:rowOff>272143</xdr:rowOff>
    </xdr:from>
    <xdr:to>
      <xdr:col>22</xdr:col>
      <xdr:colOff>122464</xdr:colOff>
      <xdr:row>41</xdr:row>
      <xdr:rowOff>585107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2B2E9BDC-E3AE-4284-A54B-310A7C561869}"/>
            </a:ext>
          </a:extLst>
        </xdr:cNvPr>
        <xdr:cNvCxnSpPr/>
      </xdr:nvCxnSpPr>
      <xdr:spPr>
        <a:xfrm>
          <a:off x="9180739" y="10768693"/>
          <a:ext cx="0" cy="4961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0</xdr:col>
      <xdr:colOff>103909</xdr:colOff>
      <xdr:row>30</xdr:row>
      <xdr:rowOff>86591</xdr:rowOff>
    </xdr:from>
    <xdr:ext cx="5576454" cy="658089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DC3B8707-EB6F-42BA-986D-7DC1C3C50627}"/>
            </a:ext>
          </a:extLst>
        </xdr:cNvPr>
        <xdr:cNvSpPr/>
      </xdr:nvSpPr>
      <xdr:spPr>
        <a:xfrm>
          <a:off x="103909" y="9887816"/>
          <a:ext cx="5576454" cy="658089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3600" b="1" i="1" cap="none" spc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228600">
                  <a:schemeClr val="accent6">
                    <a:satMod val="175000"/>
                    <a:alpha val="40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BEVEL: 4 pcs.</a:t>
          </a:r>
        </a:p>
      </xdr:txBody>
    </xdr:sp>
    <xdr:clientData/>
  </xdr:oneCellAnchor>
  <xdr:oneCellAnchor>
    <xdr:from>
      <xdr:col>35</xdr:col>
      <xdr:colOff>242456</xdr:colOff>
      <xdr:row>12</xdr:row>
      <xdr:rowOff>242454</xdr:rowOff>
    </xdr:from>
    <xdr:ext cx="5576454" cy="1182583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91241A06-69F5-4806-9823-E12DDEC1F145}"/>
            </a:ext>
          </a:extLst>
        </xdr:cNvPr>
        <xdr:cNvSpPr/>
      </xdr:nvSpPr>
      <xdr:spPr>
        <a:xfrm>
          <a:off x="14287501" y="8884227"/>
          <a:ext cx="5576454" cy="1182583"/>
        </a:xfrm>
        <a:prstGeom prst="rect">
          <a:avLst/>
        </a:prstGeom>
        <a:solidFill>
          <a:srgbClr val="FFFF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3600" b="1" i="1" cap="none" spc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WATCO: 4 pcs.</a:t>
          </a:r>
        </a:p>
        <a:p>
          <a:pPr algn="ctr"/>
          <a:r>
            <a:rPr lang="en-US" sz="2800" b="1" i="1" cap="none" spc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(Shipped</a:t>
          </a:r>
          <a:r>
            <a:rPr lang="en-US" sz="28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as parts of monopiles)</a:t>
          </a:r>
          <a:endParaRPr lang="en-US" sz="36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192355</xdr:colOff>
      <xdr:row>31</xdr:row>
      <xdr:rowOff>246662</xdr:rowOff>
    </xdr:from>
    <xdr:ext cx="2651538" cy="73428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F48D6DF-3059-42BA-9639-21269ADCAB50}"/>
            </a:ext>
          </a:extLst>
        </xdr:cNvPr>
        <xdr:cNvSpPr/>
      </xdr:nvSpPr>
      <xdr:spPr>
        <a:xfrm>
          <a:off x="192355" y="6095012"/>
          <a:ext cx="2651538" cy="734288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4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1</xdr:col>
      <xdr:colOff>26380</xdr:colOff>
      <xdr:row>33</xdr:row>
      <xdr:rowOff>62966</xdr:rowOff>
    </xdr:from>
    <xdr:ext cx="2592377" cy="680357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8CBFB9E-63B9-4B11-A289-70F446806EB7}"/>
            </a:ext>
          </a:extLst>
        </xdr:cNvPr>
        <xdr:cNvSpPr/>
      </xdr:nvSpPr>
      <xdr:spPr>
        <a:xfrm>
          <a:off x="286153" y="9691875"/>
          <a:ext cx="2592377" cy="680357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oneCellAnchor>
    <xdr:from>
      <xdr:col>0</xdr:col>
      <xdr:colOff>154485</xdr:colOff>
      <xdr:row>0</xdr:row>
      <xdr:rowOff>2044566</xdr:rowOff>
    </xdr:from>
    <xdr:ext cx="19876467" cy="1134555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0157D39-CC01-46FA-B7F4-EBFD963DF957}"/>
            </a:ext>
          </a:extLst>
        </xdr:cNvPr>
        <xdr:cNvSpPr/>
      </xdr:nvSpPr>
      <xdr:spPr>
        <a:xfrm>
          <a:off x="154485" y="2044566"/>
          <a:ext cx="19876467" cy="1134555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72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00B0F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2025Q-06-097 - (TAMPA PORT RED WING</a:t>
          </a:r>
          <a:r>
            <a:rPr lang="en-US" sz="72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00B0F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)</a:t>
          </a:r>
          <a:r>
            <a:rPr lang="en-US" sz="72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00B0F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 </a:t>
          </a:r>
        </a:p>
        <a:p>
          <a:pPr algn="ctr"/>
          <a:r>
            <a:rPr lang="en-US" sz="72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66FF33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42 " x 0.50 " - 4 Pipes </a:t>
          </a:r>
        </a:p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</xdr:txBody>
    </xdr:sp>
    <xdr:clientData/>
  </xdr:oneCellAnchor>
  <xdr:twoCellAnchor>
    <xdr:from>
      <xdr:col>1</xdr:col>
      <xdr:colOff>144729</xdr:colOff>
      <xdr:row>35</xdr:row>
      <xdr:rowOff>149432</xdr:rowOff>
    </xdr:from>
    <xdr:to>
      <xdr:col>11</xdr:col>
      <xdr:colOff>171944</xdr:colOff>
      <xdr:row>41</xdr:row>
      <xdr:rowOff>247404</xdr:rowOff>
    </xdr:to>
    <xdr:sp macro="" textlink="AY50">
      <xdr:nvSpPr>
        <xdr:cNvPr id="5" name="Flowchart: Data 4">
          <a:extLst>
            <a:ext uri="{FF2B5EF4-FFF2-40B4-BE49-F238E27FC236}">
              <a16:creationId xmlns:a16="http://schemas.microsoft.com/office/drawing/2014/main" id="{E63B7673-F0E2-4A36-9267-3153EED711C5}"/>
            </a:ext>
          </a:extLst>
        </xdr:cNvPr>
        <xdr:cNvSpPr/>
      </xdr:nvSpPr>
      <xdr:spPr>
        <a:xfrm flipH="1">
          <a:off x="404502" y="11163796"/>
          <a:ext cx="4045033" cy="2262744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75DBFF"/>
          </a:solidFill>
        </a:ln>
        <a:effectLst>
          <a:glow rad="101600">
            <a:schemeClr val="accent1">
              <a:satMod val="175000"/>
              <a:alpha val="40000"/>
            </a:scheme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000" b="0" i="0" u="none" strike="noStrike" baseline="0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 RATE: </a:t>
          </a:r>
          <a:fld id="{6822D2F8-E185-429B-9815-B04B0FCF4A6E}" type="TxLink">
            <a:rPr lang="en-US" sz="4000" b="0" i="0" u="none" strike="noStrike" baseline="0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2.42%</a:t>
          </a:fld>
          <a:endParaRPr lang="en-US" sz="333300" b="1" i="1" cap="none" spc="50">
            <a:ln w="3175" cmpd="sng">
              <a:solidFill>
                <a:schemeClr val="bg1"/>
              </a:solidFill>
              <a:prstDash val="solid"/>
            </a:ln>
            <a:solidFill>
              <a:schemeClr val="bg1"/>
            </a:solidFill>
            <a:effectLst>
              <a:glow rad="228600">
                <a:srgbClr val="75FFF2">
                  <a:alpha val="40000"/>
                </a:srgbClr>
              </a:glow>
            </a:effectLst>
            <a:latin typeface="Trade Gothic Inline" panose="020B0504030203020204" pitchFamily="34" charset="0"/>
          </a:endParaRPr>
        </a:p>
      </xdr:txBody>
    </xdr:sp>
    <xdr:clientData/>
  </xdr:twoCellAnchor>
  <xdr:twoCellAnchor>
    <xdr:from>
      <xdr:col>34</xdr:col>
      <xdr:colOff>143837</xdr:colOff>
      <xdr:row>31</xdr:row>
      <xdr:rowOff>176895</xdr:rowOff>
    </xdr:from>
    <xdr:to>
      <xdr:col>34</xdr:col>
      <xdr:colOff>143837</xdr:colOff>
      <xdr:row>41</xdr:row>
      <xdr:rowOff>489859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2BC61B2A-0B32-4328-9400-58916F77648F}"/>
            </a:ext>
          </a:extLst>
        </xdr:cNvPr>
        <xdr:cNvCxnSpPr/>
      </xdr:nvCxnSpPr>
      <xdr:spPr>
        <a:xfrm>
          <a:off x="20870237" y="6082395"/>
          <a:ext cx="0" cy="1922689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136066</xdr:colOff>
      <xdr:row>31</xdr:row>
      <xdr:rowOff>54428</xdr:rowOff>
    </xdr:from>
    <xdr:to>
      <xdr:col>49</xdr:col>
      <xdr:colOff>163278</xdr:colOff>
      <xdr:row>41</xdr:row>
      <xdr:rowOff>683559</xdr:rowOff>
    </xdr:to>
    <xdr:sp macro="" textlink="">
      <xdr:nvSpPr>
        <xdr:cNvPr id="7" name="Left Bracket 6">
          <a:extLst>
            <a:ext uri="{FF2B5EF4-FFF2-40B4-BE49-F238E27FC236}">
              <a16:creationId xmlns:a16="http://schemas.microsoft.com/office/drawing/2014/main" id="{90D6E93F-14C9-4EE4-B778-31276052931E}"/>
            </a:ext>
          </a:extLst>
        </xdr:cNvPr>
        <xdr:cNvSpPr/>
      </xdr:nvSpPr>
      <xdr:spPr>
        <a:xfrm flipH="1">
          <a:off x="29396866" y="5959928"/>
          <a:ext cx="636812" cy="2038831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15</xdr:col>
      <xdr:colOff>40825</xdr:colOff>
      <xdr:row>31</xdr:row>
      <xdr:rowOff>176890</xdr:rowOff>
    </xdr:from>
    <xdr:to>
      <xdr:col>16</xdr:col>
      <xdr:colOff>163287</xdr:colOff>
      <xdr:row>41</xdr:row>
      <xdr:rowOff>721177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0E011ED0-4B4F-443F-9079-CFE65EFA9392}"/>
            </a:ext>
          </a:extLst>
        </xdr:cNvPr>
        <xdr:cNvSpPr/>
      </xdr:nvSpPr>
      <xdr:spPr>
        <a:xfrm rot="10800000" flipH="1">
          <a:off x="9184825" y="6082390"/>
          <a:ext cx="732062" cy="1915887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174420</xdr:colOff>
      <xdr:row>34</xdr:row>
      <xdr:rowOff>484909</xdr:rowOff>
    </xdr:from>
    <xdr:to>
      <xdr:col>9</xdr:col>
      <xdr:colOff>174420</xdr:colOff>
      <xdr:row>34</xdr:row>
      <xdr:rowOff>512124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DA9E876A-B780-4110-85DA-0A645A3A4503}"/>
            </a:ext>
          </a:extLst>
        </xdr:cNvPr>
        <xdr:cNvCxnSpPr/>
      </xdr:nvCxnSpPr>
      <xdr:spPr>
        <a:xfrm flipH="1" flipV="1">
          <a:off x="174420" y="10806545"/>
          <a:ext cx="3636818" cy="27215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27214</xdr:colOff>
      <xdr:row>35</xdr:row>
      <xdr:rowOff>802821</xdr:rowOff>
    </xdr:from>
    <xdr:to>
      <xdr:col>34</xdr:col>
      <xdr:colOff>27214</xdr:colOff>
      <xdr:row>35</xdr:row>
      <xdr:rowOff>802821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6AC5ACF6-7680-4EF9-9156-12B149A4164B}"/>
            </a:ext>
          </a:extLst>
        </xdr:cNvPr>
        <xdr:cNvCxnSpPr/>
      </xdr:nvCxnSpPr>
      <xdr:spPr>
        <a:xfrm>
          <a:off x="14048014" y="6860721"/>
          <a:ext cx="6705600" cy="0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122464</xdr:colOff>
      <xdr:row>31</xdr:row>
      <xdr:rowOff>272143</xdr:rowOff>
    </xdr:from>
    <xdr:to>
      <xdr:col>22</xdr:col>
      <xdr:colOff>122464</xdr:colOff>
      <xdr:row>41</xdr:row>
      <xdr:rowOff>585107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8F787D0F-78EE-4DC5-96C8-441521DDC023}"/>
            </a:ext>
          </a:extLst>
        </xdr:cNvPr>
        <xdr:cNvCxnSpPr/>
      </xdr:nvCxnSpPr>
      <xdr:spPr>
        <a:xfrm>
          <a:off x="13533664" y="6091918"/>
          <a:ext cx="0" cy="1913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0</xdr:col>
      <xdr:colOff>0</xdr:colOff>
      <xdr:row>10</xdr:row>
      <xdr:rowOff>265959</xdr:rowOff>
    </xdr:from>
    <xdr:ext cx="7375072" cy="734288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AD7868B3-2DFF-40E5-8303-C7341C5B8E16}"/>
            </a:ext>
          </a:extLst>
        </xdr:cNvPr>
        <xdr:cNvSpPr/>
      </xdr:nvSpPr>
      <xdr:spPr>
        <a:xfrm>
          <a:off x="0" y="5617277"/>
          <a:ext cx="7375072" cy="734288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Primer L. Coated: 4 pcs</a:t>
          </a:r>
          <a:endParaRPr lang="en-US" sz="44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0</xdr:colOff>
      <xdr:row>11</xdr:row>
      <xdr:rowOff>435428</xdr:rowOff>
    </xdr:from>
    <xdr:ext cx="7375072" cy="734288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A29B148A-B7E9-4257-A488-4CA03D988AEB}"/>
            </a:ext>
          </a:extLst>
        </xdr:cNvPr>
        <xdr:cNvSpPr/>
      </xdr:nvSpPr>
      <xdr:spPr>
        <a:xfrm>
          <a:off x="0" y="6136821"/>
          <a:ext cx="7375072" cy="734288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C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Mid Layer Coated: 4 pcs</a:t>
          </a:r>
          <a:endParaRPr lang="en-US" sz="44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C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0</xdr:colOff>
      <xdr:row>12</xdr:row>
      <xdr:rowOff>285750</xdr:rowOff>
    </xdr:from>
    <xdr:ext cx="7375072" cy="734288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372777C4-9F30-4283-A570-99BACD01FC3D}"/>
            </a:ext>
          </a:extLst>
        </xdr:cNvPr>
        <xdr:cNvSpPr/>
      </xdr:nvSpPr>
      <xdr:spPr>
        <a:xfrm>
          <a:off x="0" y="6898821"/>
          <a:ext cx="7375072" cy="734288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66FF33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Top Layer Coated: 4 pcs</a:t>
          </a:r>
          <a:endParaRPr lang="en-US" sz="44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66FF33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37</xdr:col>
      <xdr:colOff>0</xdr:colOff>
      <xdr:row>13</xdr:row>
      <xdr:rowOff>0</xdr:rowOff>
    </xdr:from>
    <xdr:ext cx="5576454" cy="658089"/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B601821D-D47D-4CEF-8831-0CF2D7CEA32C}"/>
            </a:ext>
          </a:extLst>
        </xdr:cNvPr>
        <xdr:cNvSpPr/>
      </xdr:nvSpPr>
      <xdr:spPr>
        <a:xfrm>
          <a:off x="15032182" y="7325591"/>
          <a:ext cx="5576454" cy="658089"/>
        </a:xfrm>
        <a:prstGeom prst="rect">
          <a:avLst/>
        </a:prstGeom>
        <a:solidFill>
          <a:srgbClr val="FFFF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3600" b="1" i="1" cap="none" spc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228600">
                  <a:schemeClr val="accent6">
                    <a:satMod val="175000"/>
                    <a:alpha val="40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CUSTOMER : 4</a:t>
          </a:r>
        </a:p>
      </xdr:txBody>
    </xdr:sp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104</xdr:row>
      <xdr:rowOff>155864</xdr:rowOff>
    </xdr:from>
    <xdr:ext cx="3388178" cy="73428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486142C-38B1-4434-AC3B-859400B573DB}"/>
            </a:ext>
          </a:extLst>
        </xdr:cNvPr>
        <xdr:cNvSpPr/>
      </xdr:nvSpPr>
      <xdr:spPr>
        <a:xfrm>
          <a:off x="266700" y="21177539"/>
          <a:ext cx="3388178" cy="734288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54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54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1</xdr:col>
      <xdr:colOff>0</xdr:colOff>
      <xdr:row>108</xdr:row>
      <xdr:rowOff>48246</xdr:rowOff>
    </xdr:from>
    <xdr:ext cx="3388178" cy="740968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0234807-F62A-407C-BC99-DBFC90727175}"/>
            </a:ext>
          </a:extLst>
        </xdr:cNvPr>
        <xdr:cNvSpPr/>
      </xdr:nvSpPr>
      <xdr:spPr>
        <a:xfrm>
          <a:off x="266700" y="21946221"/>
          <a:ext cx="3388178" cy="740968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54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twoCellAnchor>
    <xdr:from>
      <xdr:col>10</xdr:col>
      <xdr:colOff>47623</xdr:colOff>
      <xdr:row>104</xdr:row>
      <xdr:rowOff>10824</xdr:rowOff>
    </xdr:from>
    <xdr:to>
      <xdr:col>23</xdr:col>
      <xdr:colOff>36800</xdr:colOff>
      <xdr:row>114</xdr:row>
      <xdr:rowOff>184006</xdr:rowOff>
    </xdr:to>
    <xdr:sp macro="" textlink="$CI$143">
      <xdr:nvSpPr>
        <xdr:cNvPr id="4" name="Flowchart: Data 3">
          <a:extLst>
            <a:ext uri="{FF2B5EF4-FFF2-40B4-BE49-F238E27FC236}">
              <a16:creationId xmlns:a16="http://schemas.microsoft.com/office/drawing/2014/main" id="{25AF144F-1292-41CA-8AFC-F333AFDAFE13}"/>
            </a:ext>
          </a:extLst>
        </xdr:cNvPr>
        <xdr:cNvSpPr/>
      </xdr:nvSpPr>
      <xdr:spPr>
        <a:xfrm flipH="1">
          <a:off x="4976811" y="21394449"/>
          <a:ext cx="6561427" cy="3768870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FF8181"/>
          </a:solidFill>
        </a:ln>
        <a:effectLst>
          <a:glow rad="139700">
            <a:srgbClr val="FF8181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4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</a:t>
          </a:r>
          <a:r>
            <a:rPr lang="en-US" sz="4400" b="1" i="0" u="none" strike="noStrike" baseline="0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 rATE:                                             </a:t>
          </a:r>
          <a:fld id="{7838F229-C096-458C-88C8-F676A37B7E4D}" type="TxLink">
            <a:rPr lang="en-US" sz="96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0.95%</a:t>
          </a:fld>
          <a:endParaRPr lang="en-US" sz="333300" b="1" i="0" u="none" strike="noStrike">
            <a:solidFill>
              <a:schemeClr val="bg1"/>
            </a:solidFill>
            <a:effectLst>
              <a:glow rad="139700">
                <a:schemeClr val="accent2">
                  <a:alpha val="40000"/>
                </a:schemeClr>
              </a:glow>
            </a:effectLst>
            <a:latin typeface="Trade Gothic Inline" panose="020B0504030203020204" pitchFamily="34" charset="0"/>
            <a:ea typeface="Calibri"/>
            <a:cs typeface="Calibri"/>
          </a:endParaRPr>
        </a:p>
      </xdr:txBody>
    </xdr:sp>
    <xdr:clientData/>
  </xdr:twoCellAnchor>
  <xdr:oneCellAnchor>
    <xdr:from>
      <xdr:col>5</xdr:col>
      <xdr:colOff>28140</xdr:colOff>
      <xdr:row>0</xdr:row>
      <xdr:rowOff>556654</xdr:rowOff>
    </xdr:from>
    <xdr:ext cx="29594609" cy="967346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7E0C75DD-DE3A-40D7-A95B-8CC67A39586A}"/>
            </a:ext>
          </a:extLst>
        </xdr:cNvPr>
        <xdr:cNvSpPr/>
      </xdr:nvSpPr>
      <xdr:spPr>
        <a:xfrm>
          <a:off x="2457015" y="556654"/>
          <a:ext cx="29594609" cy="967346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72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00B05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Flare Boom / Flare Stack - </a:t>
          </a:r>
          <a:r>
            <a:rPr lang="en-US" sz="8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2025Q-05-093 </a:t>
          </a:r>
          <a:r>
            <a:rPr lang="en-US" sz="80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FFFF0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8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- Ø 36 " x 0.75 " - 73 Pipes </a:t>
          </a:r>
          <a:endParaRPr lang="en-US" sz="88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rgbClr val="CCFFCC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twoCellAnchor>
    <xdr:from>
      <xdr:col>23</xdr:col>
      <xdr:colOff>47323</xdr:colOff>
      <xdr:row>105</xdr:row>
      <xdr:rowOff>3710</xdr:rowOff>
    </xdr:from>
    <xdr:to>
      <xdr:col>24</xdr:col>
      <xdr:colOff>169785</xdr:colOff>
      <xdr:row>114</xdr:row>
      <xdr:rowOff>259772</xdr:rowOff>
    </xdr:to>
    <xdr:sp macro="" textlink="">
      <xdr:nvSpPr>
        <xdr:cNvPr id="6" name="Left Bracket 5">
          <a:extLst>
            <a:ext uri="{FF2B5EF4-FFF2-40B4-BE49-F238E27FC236}">
              <a16:creationId xmlns:a16="http://schemas.microsoft.com/office/drawing/2014/main" id="{2B24F87E-D585-4E54-9703-8E2A68819F30}"/>
            </a:ext>
          </a:extLst>
        </xdr:cNvPr>
        <xdr:cNvSpPr/>
      </xdr:nvSpPr>
      <xdr:spPr>
        <a:xfrm rot="10800000" flipH="1">
          <a:off x="11548761" y="21577835"/>
          <a:ext cx="551087" cy="3661250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59</xdr:col>
      <xdr:colOff>33399</xdr:colOff>
      <xdr:row>106</xdr:row>
      <xdr:rowOff>56036</xdr:rowOff>
    </xdr:from>
    <xdr:to>
      <xdr:col>59</xdr:col>
      <xdr:colOff>49599</xdr:colOff>
      <xdr:row>114</xdr:row>
      <xdr:rowOff>122464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EEDCC8AA-F999-4B3D-88AA-F68B12F7E6E3}"/>
            </a:ext>
          </a:extLst>
        </xdr:cNvPr>
        <xdr:cNvCxnSpPr/>
      </xdr:nvCxnSpPr>
      <xdr:spPr>
        <a:xfrm flipH="1">
          <a:off x="28865574" y="21458711"/>
          <a:ext cx="16200" cy="3266828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69</xdr:col>
      <xdr:colOff>155122</xdr:colOff>
      <xdr:row>105</xdr:row>
      <xdr:rowOff>151039</xdr:rowOff>
    </xdr:from>
    <xdr:to>
      <xdr:col>69</xdr:col>
      <xdr:colOff>358359</xdr:colOff>
      <xdr:row>114</xdr:row>
      <xdr:rowOff>316798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9E08EAF0-97F2-4D65-9E9C-71053C37F986}"/>
            </a:ext>
          </a:extLst>
        </xdr:cNvPr>
        <xdr:cNvSpPr/>
      </xdr:nvSpPr>
      <xdr:spPr>
        <a:xfrm flipH="1">
          <a:off x="33864097" y="21363214"/>
          <a:ext cx="203237" cy="3556659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47</xdr:col>
      <xdr:colOff>34635</xdr:colOff>
      <xdr:row>105</xdr:row>
      <xdr:rowOff>259773</xdr:rowOff>
    </xdr:from>
    <xdr:to>
      <xdr:col>47</xdr:col>
      <xdr:colOff>50835</xdr:colOff>
      <xdr:row>114</xdr:row>
      <xdr:rowOff>49110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18752C8B-F44D-4B05-9156-6C1A80C5D82F}"/>
            </a:ext>
          </a:extLst>
        </xdr:cNvPr>
        <xdr:cNvCxnSpPr/>
      </xdr:nvCxnSpPr>
      <xdr:spPr>
        <a:xfrm flipH="1">
          <a:off x="23151810" y="21405273"/>
          <a:ext cx="16200" cy="3246912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0</xdr:colOff>
      <xdr:row>106</xdr:row>
      <xdr:rowOff>34637</xdr:rowOff>
    </xdr:from>
    <xdr:to>
      <xdr:col>36</xdr:col>
      <xdr:colOff>16200</xdr:colOff>
      <xdr:row>114</xdr:row>
      <xdr:rowOff>101065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6566C392-2CC5-4112-9A1D-652E6E83E280}"/>
            </a:ext>
          </a:extLst>
        </xdr:cNvPr>
        <xdr:cNvCxnSpPr/>
      </xdr:nvCxnSpPr>
      <xdr:spPr>
        <a:xfrm flipH="1">
          <a:off x="17335500" y="21437312"/>
          <a:ext cx="16200" cy="3266828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855083</xdr:colOff>
      <xdr:row>35</xdr:row>
      <xdr:rowOff>409142</xdr:rowOff>
    </xdr:from>
    <xdr:to>
      <xdr:col>34</xdr:col>
      <xdr:colOff>25976</xdr:colOff>
      <xdr:row>97</xdr:row>
      <xdr:rowOff>127720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756A155-ED1F-4EA7-B0F8-D4CCD5AEFD6C}"/>
            </a:ext>
          </a:extLst>
        </xdr:cNvPr>
        <xdr:cNvSpPr txBox="1"/>
      </xdr:nvSpPr>
      <xdr:spPr>
        <a:xfrm>
          <a:off x="10813038" y="18801051"/>
          <a:ext cx="5751802" cy="1363805"/>
        </a:xfrm>
        <a:prstGeom prst="rect">
          <a:avLst/>
        </a:prstGeom>
        <a:solidFill>
          <a:srgbClr val="66FF33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54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chemeClr val="bg1">
                  <a:lumMod val="75000"/>
                </a:schemeClr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300M COATED:</a:t>
          </a:r>
          <a:r>
            <a:rPr kumimoji="0" lang="en-US" sz="54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 73</a:t>
          </a:r>
        </a:p>
      </xdr:txBody>
    </xdr:sp>
    <xdr:clientData/>
  </xdr:twoCellAnchor>
  <xdr:twoCellAnchor>
    <xdr:from>
      <xdr:col>0</xdr:col>
      <xdr:colOff>34638</xdr:colOff>
      <xdr:row>111</xdr:row>
      <xdr:rowOff>251113</xdr:rowOff>
    </xdr:from>
    <xdr:to>
      <xdr:col>11</xdr:col>
      <xdr:colOff>772826</xdr:colOff>
      <xdr:row>116</xdr:row>
      <xdr:rowOff>101743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900876B-81DB-431A-BEBE-B71D1FF9B426}"/>
            </a:ext>
          </a:extLst>
        </xdr:cNvPr>
        <xdr:cNvSpPr txBox="1"/>
      </xdr:nvSpPr>
      <xdr:spPr>
        <a:xfrm>
          <a:off x="34638" y="24271431"/>
          <a:ext cx="5847052" cy="1339994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54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chemeClr val="bg1">
                  <a:lumMod val="75000"/>
                </a:schemeClr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WATCO:</a:t>
          </a:r>
          <a:r>
            <a:rPr kumimoji="0" lang="en-US" sz="54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 73</a:t>
          </a:r>
        </a:p>
      </xdr:txBody>
    </xdr:sp>
    <xdr:clientData/>
  </xdr:twoCellAnchor>
  <xdr:twoCellAnchor>
    <xdr:from>
      <xdr:col>35</xdr:col>
      <xdr:colOff>34636</xdr:colOff>
      <xdr:row>35</xdr:row>
      <xdr:rowOff>415636</xdr:rowOff>
    </xdr:from>
    <xdr:to>
      <xdr:col>51</xdr:col>
      <xdr:colOff>415637</xdr:colOff>
      <xdr:row>97</xdr:row>
      <xdr:rowOff>134214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86779FE-984B-413C-BEDB-984CCF095BD3}"/>
            </a:ext>
          </a:extLst>
        </xdr:cNvPr>
        <xdr:cNvSpPr txBox="1"/>
      </xdr:nvSpPr>
      <xdr:spPr>
        <a:xfrm>
          <a:off x="16989136" y="18807545"/>
          <a:ext cx="7931728" cy="1363805"/>
        </a:xfrm>
        <a:prstGeom prst="rect">
          <a:avLst/>
        </a:prstGeom>
        <a:solidFill>
          <a:srgbClr val="00CC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54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chemeClr val="bg1">
                  <a:lumMod val="75000"/>
                </a:schemeClr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INTERGARD COATED:</a:t>
          </a:r>
          <a:r>
            <a:rPr kumimoji="0" lang="en-US" sz="54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 10</a:t>
          </a:r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192355</xdr:colOff>
      <xdr:row>31</xdr:row>
      <xdr:rowOff>246662</xdr:rowOff>
    </xdr:from>
    <xdr:ext cx="2651538" cy="73428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5E99F99-AD62-4B42-AC29-676CB2230B2A}"/>
            </a:ext>
          </a:extLst>
        </xdr:cNvPr>
        <xdr:cNvSpPr/>
      </xdr:nvSpPr>
      <xdr:spPr>
        <a:xfrm>
          <a:off x="192355" y="9304937"/>
          <a:ext cx="2651538" cy="734288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4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251517</xdr:colOff>
      <xdr:row>34</xdr:row>
      <xdr:rowOff>28330</xdr:rowOff>
    </xdr:from>
    <xdr:ext cx="2592377" cy="680357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AD33858-D0FB-44C6-A777-7C08686657B1}"/>
            </a:ext>
          </a:extLst>
        </xdr:cNvPr>
        <xdr:cNvSpPr/>
      </xdr:nvSpPr>
      <xdr:spPr>
        <a:xfrm>
          <a:off x="251517" y="10086730"/>
          <a:ext cx="2592377" cy="680357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oneCellAnchor>
    <xdr:from>
      <xdr:col>0</xdr:col>
      <xdr:colOff>51954</xdr:colOff>
      <xdr:row>0</xdr:row>
      <xdr:rowOff>2428040</xdr:rowOff>
    </xdr:from>
    <xdr:ext cx="18703636" cy="325551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B41C8EB-5199-4874-8612-9304F1C40051}"/>
            </a:ext>
          </a:extLst>
        </xdr:cNvPr>
        <xdr:cNvSpPr/>
      </xdr:nvSpPr>
      <xdr:spPr>
        <a:xfrm>
          <a:off x="51954" y="2428040"/>
          <a:ext cx="18703636" cy="325551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72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tx2">
                  <a:lumMod val="40000"/>
                  <a:lumOff val="6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2025Q-11-109 PROJECT</a:t>
          </a:r>
          <a:r>
            <a:rPr lang="en-US" sz="72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tx2">
                  <a:lumMod val="40000"/>
                  <a:lumOff val="6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chemeClr val="tx2">
                <a:lumMod val="40000"/>
                <a:lumOff val="60000"/>
              </a:schemeClr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  <a:p>
          <a:pPr algn="ctr"/>
          <a:r>
            <a:rPr lang="en-US" sz="72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00B0F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7200" b="1" u="sng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00B0F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72 " x 1 " - 5 Pipes </a:t>
          </a:r>
        </a:p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</xdr:txBody>
    </xdr:sp>
    <xdr:clientData/>
  </xdr:oneCellAnchor>
  <xdr:twoCellAnchor>
    <xdr:from>
      <xdr:col>0</xdr:col>
      <xdr:colOff>58137</xdr:colOff>
      <xdr:row>35</xdr:row>
      <xdr:rowOff>513113</xdr:rowOff>
    </xdr:from>
    <xdr:to>
      <xdr:col>13</xdr:col>
      <xdr:colOff>86591</xdr:colOff>
      <xdr:row>41</xdr:row>
      <xdr:rowOff>611085</xdr:rowOff>
    </xdr:to>
    <xdr:sp macro="" textlink="AY50">
      <xdr:nvSpPr>
        <xdr:cNvPr id="5" name="Flowchart: Data 4">
          <a:extLst>
            <a:ext uri="{FF2B5EF4-FFF2-40B4-BE49-F238E27FC236}">
              <a16:creationId xmlns:a16="http://schemas.microsoft.com/office/drawing/2014/main" id="{6B4AD72B-4D03-4596-BD3F-8B19472D7AA2}"/>
            </a:ext>
          </a:extLst>
        </xdr:cNvPr>
        <xdr:cNvSpPr/>
      </xdr:nvSpPr>
      <xdr:spPr>
        <a:xfrm flipH="1">
          <a:off x="58137" y="11250386"/>
          <a:ext cx="5310499" cy="3042063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75DBFF"/>
          </a:solidFill>
        </a:ln>
        <a:effectLst>
          <a:glow rad="101600">
            <a:schemeClr val="accent1">
              <a:satMod val="175000"/>
              <a:alpha val="40000"/>
            </a:scheme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 b="1" i="0" u="none" strike="noStrike" baseline="0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 Rate:                                  </a:t>
          </a:r>
          <a:fld id="{1C764D19-38F7-447E-9222-CE6CDD96F3D6}" type="TxLink">
            <a:rPr lang="en-US" sz="8000" b="1" i="0" u="none" strike="noStrike" baseline="0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1.69%</a:t>
          </a:fld>
          <a:endParaRPr lang="en-US" sz="277800" b="1" i="1" cap="none" spc="50">
            <a:ln w="3175" cmpd="sng">
              <a:solidFill>
                <a:schemeClr val="bg1"/>
              </a:solidFill>
              <a:prstDash val="solid"/>
            </a:ln>
            <a:solidFill>
              <a:schemeClr val="bg1"/>
            </a:solidFill>
            <a:effectLst>
              <a:glow rad="228600">
                <a:srgbClr val="75FFF2">
                  <a:alpha val="40000"/>
                </a:srgbClr>
              </a:glow>
            </a:effectLst>
            <a:latin typeface="Trade Gothic Inline" panose="020B0504030203020204" pitchFamily="34" charset="0"/>
          </a:endParaRPr>
        </a:p>
      </xdr:txBody>
    </xdr:sp>
    <xdr:clientData/>
  </xdr:twoCellAnchor>
  <xdr:twoCellAnchor>
    <xdr:from>
      <xdr:col>34</xdr:col>
      <xdr:colOff>143837</xdr:colOff>
      <xdr:row>31</xdr:row>
      <xdr:rowOff>176895</xdr:rowOff>
    </xdr:from>
    <xdr:to>
      <xdr:col>34</xdr:col>
      <xdr:colOff>143837</xdr:colOff>
      <xdr:row>41</xdr:row>
      <xdr:rowOff>489859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7CB8BB97-DB92-4915-83CC-A6307A672307}"/>
            </a:ext>
          </a:extLst>
        </xdr:cNvPr>
        <xdr:cNvCxnSpPr/>
      </xdr:nvCxnSpPr>
      <xdr:spPr>
        <a:xfrm>
          <a:off x="13897937" y="9235170"/>
          <a:ext cx="0" cy="4170589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136066</xdr:colOff>
      <xdr:row>31</xdr:row>
      <xdr:rowOff>54428</xdr:rowOff>
    </xdr:from>
    <xdr:to>
      <xdr:col>49</xdr:col>
      <xdr:colOff>163278</xdr:colOff>
      <xdr:row>41</xdr:row>
      <xdr:rowOff>683559</xdr:rowOff>
    </xdr:to>
    <xdr:sp macro="" textlink="">
      <xdr:nvSpPr>
        <xdr:cNvPr id="7" name="Left Bracket 6">
          <a:extLst>
            <a:ext uri="{FF2B5EF4-FFF2-40B4-BE49-F238E27FC236}">
              <a16:creationId xmlns:a16="http://schemas.microsoft.com/office/drawing/2014/main" id="{278E8DA1-6A49-445D-B1EF-0016E2D802DC}"/>
            </a:ext>
          </a:extLst>
        </xdr:cNvPr>
        <xdr:cNvSpPr/>
      </xdr:nvSpPr>
      <xdr:spPr>
        <a:xfrm flipH="1">
          <a:off x="19576591" y="9112703"/>
          <a:ext cx="398687" cy="4486756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14</xdr:col>
      <xdr:colOff>225137</xdr:colOff>
      <xdr:row>31</xdr:row>
      <xdr:rowOff>103909</xdr:rowOff>
    </xdr:from>
    <xdr:to>
      <xdr:col>16</xdr:col>
      <xdr:colOff>163287</xdr:colOff>
      <xdr:row>41</xdr:row>
      <xdr:rowOff>721177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8C2821D0-2275-475A-AECC-1ACF928BD2DD}"/>
            </a:ext>
          </a:extLst>
        </xdr:cNvPr>
        <xdr:cNvSpPr/>
      </xdr:nvSpPr>
      <xdr:spPr>
        <a:xfrm rot="10800000" flipH="1">
          <a:off x="5870864" y="9161318"/>
          <a:ext cx="578923" cy="5241223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122465</xdr:colOff>
      <xdr:row>35</xdr:row>
      <xdr:rowOff>190499</xdr:rowOff>
    </xdr:from>
    <xdr:to>
      <xdr:col>9</xdr:col>
      <xdr:colOff>122465</xdr:colOff>
      <xdr:row>35</xdr:row>
      <xdr:rowOff>217714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D2BF72D9-E467-4C16-A453-D509F4022A2C}"/>
            </a:ext>
          </a:extLst>
        </xdr:cNvPr>
        <xdr:cNvCxnSpPr/>
      </xdr:nvCxnSpPr>
      <xdr:spPr>
        <a:xfrm flipH="1" flipV="1">
          <a:off x="122465" y="10944224"/>
          <a:ext cx="3657600" cy="27215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27214</xdr:colOff>
      <xdr:row>35</xdr:row>
      <xdr:rowOff>802821</xdr:rowOff>
    </xdr:from>
    <xdr:to>
      <xdr:col>34</xdr:col>
      <xdr:colOff>27214</xdr:colOff>
      <xdr:row>35</xdr:row>
      <xdr:rowOff>802821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DDA9608D-6F46-44A4-AE79-935DAFE8E42D}"/>
            </a:ext>
          </a:extLst>
        </xdr:cNvPr>
        <xdr:cNvCxnSpPr/>
      </xdr:nvCxnSpPr>
      <xdr:spPr>
        <a:xfrm>
          <a:off x="9371239" y="11146971"/>
          <a:ext cx="4410075" cy="0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122464</xdr:colOff>
      <xdr:row>31</xdr:row>
      <xdr:rowOff>272143</xdr:rowOff>
    </xdr:from>
    <xdr:to>
      <xdr:col>22</xdr:col>
      <xdr:colOff>122464</xdr:colOff>
      <xdr:row>41</xdr:row>
      <xdr:rowOff>585107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19BB1CBE-7F65-447E-8447-411F34D9F231}"/>
            </a:ext>
          </a:extLst>
        </xdr:cNvPr>
        <xdr:cNvCxnSpPr/>
      </xdr:nvCxnSpPr>
      <xdr:spPr>
        <a:xfrm>
          <a:off x="9180739" y="9330418"/>
          <a:ext cx="0" cy="4170589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0</xdr:col>
      <xdr:colOff>121227</xdr:colOff>
      <xdr:row>29</xdr:row>
      <xdr:rowOff>121227</xdr:rowOff>
    </xdr:from>
    <xdr:ext cx="5576454" cy="658089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FBF1CB4-21D3-4421-B6E0-490E39CA0179}"/>
            </a:ext>
          </a:extLst>
        </xdr:cNvPr>
        <xdr:cNvSpPr/>
      </xdr:nvSpPr>
      <xdr:spPr>
        <a:xfrm>
          <a:off x="121227" y="7706591"/>
          <a:ext cx="5576454" cy="658089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3600" b="1" i="1" cap="none" spc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Tnemec 90-97 Zinc: 6 pcs.</a:t>
          </a:r>
        </a:p>
      </xdr:txBody>
    </xdr:sp>
    <xdr:clientData/>
  </xdr:oneCellAnchor>
  <xdr:oneCellAnchor>
    <xdr:from>
      <xdr:col>0</xdr:col>
      <xdr:colOff>103909</xdr:colOff>
      <xdr:row>30</xdr:row>
      <xdr:rowOff>86591</xdr:rowOff>
    </xdr:from>
    <xdr:ext cx="5576454" cy="658089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F30BE947-836F-48BB-9AD0-F7EC842DC755}"/>
            </a:ext>
          </a:extLst>
        </xdr:cNvPr>
        <xdr:cNvSpPr/>
      </xdr:nvSpPr>
      <xdr:spPr>
        <a:xfrm>
          <a:off x="103909" y="8451273"/>
          <a:ext cx="5576454" cy="658089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3600" b="1" i="1" cap="none" spc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228600">
                  <a:schemeClr val="accent6">
                    <a:satMod val="175000"/>
                    <a:alpha val="40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Tnemec Epoxoline : 6 pcs.</a:t>
          </a:r>
        </a:p>
      </xdr:txBody>
    </xdr:sp>
    <xdr:clientData/>
  </xdr:oneCellAnchor>
  <xdr:oneCellAnchor>
    <xdr:from>
      <xdr:col>0</xdr:col>
      <xdr:colOff>207819</xdr:colOff>
      <xdr:row>7</xdr:row>
      <xdr:rowOff>1229591</xdr:rowOff>
    </xdr:from>
    <xdr:ext cx="18703636" cy="1134555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4CE6EB81-41C2-41C1-A85F-47A6B62D23A8}"/>
            </a:ext>
          </a:extLst>
        </xdr:cNvPr>
        <xdr:cNvSpPr/>
      </xdr:nvSpPr>
      <xdr:spPr>
        <a:xfrm>
          <a:off x="207819" y="6528955"/>
          <a:ext cx="18703636" cy="1134555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72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00B0F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7200" b="1" u="sng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FFD966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30 " x .625 " - 1 Pipe </a:t>
          </a:r>
        </a:p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</xdr:txBody>
    </xdr:sp>
    <xdr:clientData/>
  </xdr:oneCellAnchor>
  <xdr:oneCellAnchor>
    <xdr:from>
      <xdr:col>34</xdr:col>
      <xdr:colOff>340178</xdr:colOff>
      <xdr:row>29</xdr:row>
      <xdr:rowOff>489857</xdr:rowOff>
    </xdr:from>
    <xdr:ext cx="5576454" cy="658089"/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BD26282E-CD4B-442D-8AC8-ED025E4EE8C6}"/>
            </a:ext>
          </a:extLst>
        </xdr:cNvPr>
        <xdr:cNvSpPr/>
      </xdr:nvSpPr>
      <xdr:spPr>
        <a:xfrm>
          <a:off x="14069785" y="9511393"/>
          <a:ext cx="5576454" cy="658089"/>
        </a:xfrm>
        <a:prstGeom prst="rect">
          <a:avLst/>
        </a:prstGeom>
        <a:solidFill>
          <a:srgbClr val="FFFF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3600" b="1" i="1" cap="none" spc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CUSTOMER: 6 pcs.</a:t>
          </a:r>
        </a:p>
      </xdr:txBody>
    </xdr:sp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41</xdr:row>
      <xdr:rowOff>257941</xdr:rowOff>
    </xdr:from>
    <xdr:ext cx="2026227" cy="613655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C00365D-45C8-4789-AE60-4F9BB8F85B01}"/>
            </a:ext>
          </a:extLst>
        </xdr:cNvPr>
        <xdr:cNvSpPr/>
      </xdr:nvSpPr>
      <xdr:spPr>
        <a:xfrm>
          <a:off x="0" y="8001766"/>
          <a:ext cx="2026227" cy="613655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32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32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0</xdr:colOff>
      <xdr:row>42</xdr:row>
      <xdr:rowOff>168238</xdr:rowOff>
    </xdr:from>
    <xdr:ext cx="2130136" cy="541808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33EA40C-85EF-49C9-A991-D96F78C2E490}"/>
            </a:ext>
          </a:extLst>
        </xdr:cNvPr>
        <xdr:cNvSpPr/>
      </xdr:nvSpPr>
      <xdr:spPr>
        <a:xfrm>
          <a:off x="0" y="8169238"/>
          <a:ext cx="2130136" cy="541808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32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twoCellAnchor>
    <xdr:from>
      <xdr:col>6</xdr:col>
      <xdr:colOff>484908</xdr:colOff>
      <xdr:row>36</xdr:row>
      <xdr:rowOff>80821</xdr:rowOff>
    </xdr:from>
    <xdr:to>
      <xdr:col>20</xdr:col>
      <xdr:colOff>69271</xdr:colOff>
      <xdr:row>43</xdr:row>
      <xdr:rowOff>288639</xdr:rowOff>
    </xdr:to>
    <xdr:sp macro="" textlink="$AY$80">
      <xdr:nvSpPr>
        <xdr:cNvPr id="4" name="Flowchart: Data 3">
          <a:extLst>
            <a:ext uri="{FF2B5EF4-FFF2-40B4-BE49-F238E27FC236}">
              <a16:creationId xmlns:a16="http://schemas.microsoft.com/office/drawing/2014/main" id="{0372F456-33CA-4FC3-911B-8A32083C4037}"/>
            </a:ext>
          </a:extLst>
        </xdr:cNvPr>
        <xdr:cNvSpPr/>
      </xdr:nvSpPr>
      <xdr:spPr>
        <a:xfrm flipH="1">
          <a:off x="2753590" y="13415821"/>
          <a:ext cx="5333999" cy="2632363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FF8181"/>
          </a:solidFill>
        </a:ln>
        <a:effectLst>
          <a:glow rad="139700">
            <a:srgbClr val="FF8181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800" b="0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 RATE: </a:t>
          </a:r>
          <a:fld id="{FE8F97F5-7BF5-4950-9134-6C0FD80AE420}" type="TxLink">
            <a:rPr lang="en-US" sz="4800" b="0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2.38%</a:t>
          </a:fld>
          <a:endParaRPr lang="en-US" sz="400000" b="0" i="0" u="none" strike="noStrike">
            <a:solidFill>
              <a:schemeClr val="bg1"/>
            </a:solidFill>
            <a:effectLst>
              <a:glow rad="139700">
                <a:schemeClr val="accent2">
                  <a:alpha val="40000"/>
                </a:schemeClr>
              </a:glow>
            </a:effectLst>
            <a:latin typeface="Trade Gothic Inline" panose="020B0504030203020204" pitchFamily="34" charset="0"/>
            <a:ea typeface="Calibri"/>
            <a:cs typeface="Calibri"/>
          </a:endParaRPr>
        </a:p>
      </xdr:txBody>
    </xdr:sp>
    <xdr:clientData/>
  </xdr:twoCellAnchor>
  <xdr:oneCellAnchor>
    <xdr:from>
      <xdr:col>5</xdr:col>
      <xdr:colOff>207817</xdr:colOff>
      <xdr:row>0</xdr:row>
      <xdr:rowOff>608608</xdr:rowOff>
    </xdr:from>
    <xdr:ext cx="24228137" cy="536864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167B056E-3083-4483-B6DD-1348646CDE1C}"/>
            </a:ext>
          </a:extLst>
        </xdr:cNvPr>
        <xdr:cNvSpPr/>
      </xdr:nvSpPr>
      <xdr:spPr>
        <a:xfrm>
          <a:off x="2199408" y="608608"/>
          <a:ext cx="24228137" cy="536864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6600" b="1" i="1" u="sng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2025Q-06-097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44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(Tampa</a:t>
          </a:r>
          <a:r>
            <a:rPr lang="en-US" sz="44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Port Red Wing</a:t>
          </a:r>
          <a:r>
            <a:rPr lang="en-US" sz="44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) </a:t>
          </a:r>
          <a:r>
            <a:rPr lang="en-US" sz="44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- </a:t>
          </a:r>
          <a:r>
            <a:rPr lang="en-US" sz="6600" b="1" i="1" u="sng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60 " x 0.688 " 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- 57 Pipes </a:t>
          </a:r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twoCellAnchor>
    <xdr:from>
      <xdr:col>21</xdr:col>
      <xdr:colOff>75465</xdr:colOff>
      <xdr:row>33</xdr:row>
      <xdr:rowOff>259772</xdr:rowOff>
    </xdr:from>
    <xdr:to>
      <xdr:col>22</xdr:col>
      <xdr:colOff>197927</xdr:colOff>
      <xdr:row>46</xdr:row>
      <xdr:rowOff>51955</xdr:rowOff>
    </xdr:to>
    <xdr:sp macro="" textlink="">
      <xdr:nvSpPr>
        <xdr:cNvPr id="6" name="Left Bracket 5">
          <a:extLst>
            <a:ext uri="{FF2B5EF4-FFF2-40B4-BE49-F238E27FC236}">
              <a16:creationId xmlns:a16="http://schemas.microsoft.com/office/drawing/2014/main" id="{2BADE904-0E75-4A3B-88D6-0292D5069425}"/>
            </a:ext>
          </a:extLst>
        </xdr:cNvPr>
        <xdr:cNvSpPr/>
      </xdr:nvSpPr>
      <xdr:spPr>
        <a:xfrm rot="10800000" flipH="1">
          <a:off x="12877065" y="6479597"/>
          <a:ext cx="732062" cy="2335358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56</xdr:col>
      <xdr:colOff>51954</xdr:colOff>
      <xdr:row>35</xdr:row>
      <xdr:rowOff>86591</xdr:rowOff>
    </xdr:from>
    <xdr:to>
      <xdr:col>56</xdr:col>
      <xdr:colOff>51954</xdr:colOff>
      <xdr:row>45</xdr:row>
      <xdr:rowOff>259773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2E4B528F-9C3A-4294-BEC7-C7EC032E4EA3}"/>
            </a:ext>
          </a:extLst>
        </xdr:cNvPr>
        <xdr:cNvCxnSpPr/>
      </xdr:nvCxnSpPr>
      <xdr:spPr>
        <a:xfrm>
          <a:off x="22409727" y="13317682"/>
          <a:ext cx="0" cy="3411682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66</xdr:col>
      <xdr:colOff>404504</xdr:colOff>
      <xdr:row>34</xdr:row>
      <xdr:rowOff>9895</xdr:rowOff>
    </xdr:from>
    <xdr:to>
      <xdr:col>68</xdr:col>
      <xdr:colOff>160932</xdr:colOff>
      <xdr:row>46</xdr:row>
      <xdr:rowOff>155863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62B7BE25-1F86-4EA1-86A8-7B0C4884400D}"/>
            </a:ext>
          </a:extLst>
        </xdr:cNvPr>
        <xdr:cNvSpPr/>
      </xdr:nvSpPr>
      <xdr:spPr>
        <a:xfrm flipH="1">
          <a:off x="26780095" y="13171713"/>
          <a:ext cx="760882" cy="3730832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44</xdr:col>
      <xdr:colOff>34635</xdr:colOff>
      <xdr:row>35</xdr:row>
      <xdr:rowOff>86591</xdr:rowOff>
    </xdr:from>
    <xdr:to>
      <xdr:col>44</xdr:col>
      <xdr:colOff>59691</xdr:colOff>
      <xdr:row>46</xdr:row>
      <xdr:rowOff>31792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A83EDEA7-076E-4E36-AA58-5B8E494C2849}"/>
            </a:ext>
          </a:extLst>
        </xdr:cNvPr>
        <xdr:cNvCxnSpPr/>
      </xdr:nvCxnSpPr>
      <xdr:spPr>
        <a:xfrm flipH="1">
          <a:off x="26857035" y="6754091"/>
          <a:ext cx="25056" cy="2040701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277091</xdr:colOff>
      <xdr:row>35</xdr:row>
      <xdr:rowOff>-1</xdr:rowOff>
    </xdr:from>
    <xdr:to>
      <xdr:col>33</xdr:col>
      <xdr:colOff>8352</xdr:colOff>
      <xdr:row>45</xdr:row>
      <xdr:rowOff>239610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5EB335AD-863A-4501-A320-19E9AA035FBC}"/>
            </a:ext>
          </a:extLst>
        </xdr:cNvPr>
        <xdr:cNvCxnSpPr/>
      </xdr:nvCxnSpPr>
      <xdr:spPr>
        <a:xfrm flipH="1">
          <a:off x="19784291" y="6667499"/>
          <a:ext cx="340861" cy="2096986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207818</xdr:colOff>
      <xdr:row>26</xdr:row>
      <xdr:rowOff>173182</xdr:rowOff>
    </xdr:from>
    <xdr:ext cx="6684819" cy="658089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4A1E88D-E3A6-4F1E-9154-893441219D62}"/>
            </a:ext>
          </a:extLst>
        </xdr:cNvPr>
        <xdr:cNvSpPr/>
      </xdr:nvSpPr>
      <xdr:spPr>
        <a:xfrm>
          <a:off x="2199409" y="11256818"/>
          <a:ext cx="6684819" cy="658089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3600" b="1" i="1" cap="none" spc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Outside</a:t>
          </a:r>
          <a:r>
            <a:rPr lang="en-US" sz="36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Ring Mounted: 57 pcs. </a:t>
          </a:r>
          <a:endParaRPr lang="en-US" sz="36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5</xdr:col>
      <xdr:colOff>215437</xdr:colOff>
      <xdr:row>29</xdr:row>
      <xdr:rowOff>535429</xdr:rowOff>
    </xdr:from>
    <xdr:ext cx="6694517" cy="691344"/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869D3000-A4C9-4723-B509-F02B6FF06BC7}"/>
            </a:ext>
          </a:extLst>
        </xdr:cNvPr>
        <xdr:cNvSpPr/>
      </xdr:nvSpPr>
      <xdr:spPr>
        <a:xfrm>
          <a:off x="2207028" y="12242520"/>
          <a:ext cx="6694517" cy="691344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36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Outside Ring Weld Out: 57 pcs.</a:t>
          </a:r>
        </a:p>
      </xdr:txBody>
    </xdr:sp>
    <xdr:clientData/>
  </xdr:oneCellAnchor>
  <xdr:oneCellAnchor>
    <xdr:from>
      <xdr:col>23</xdr:col>
      <xdr:colOff>207818</xdr:colOff>
      <xdr:row>26</xdr:row>
      <xdr:rowOff>173182</xdr:rowOff>
    </xdr:from>
    <xdr:ext cx="6684819" cy="658089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CB4019CA-9551-4EE0-9B1F-A598A66D9BA4}"/>
            </a:ext>
          </a:extLst>
        </xdr:cNvPr>
        <xdr:cNvSpPr/>
      </xdr:nvSpPr>
      <xdr:spPr>
        <a:xfrm>
          <a:off x="9507682" y="11256818"/>
          <a:ext cx="6684819" cy="658089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3600" b="1" i="1" cap="none" spc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Clutch </a:t>
          </a:r>
          <a:r>
            <a:rPr lang="en-US" sz="36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Mounted: 57 pcs. </a:t>
          </a:r>
          <a:endParaRPr lang="en-US" sz="36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23</xdr:col>
      <xdr:colOff>173181</xdr:colOff>
      <xdr:row>29</xdr:row>
      <xdr:rowOff>519546</xdr:rowOff>
    </xdr:from>
    <xdr:ext cx="6694517" cy="691344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8B0629F8-6F23-4B09-9641-ABC8380BBF61}"/>
            </a:ext>
          </a:extLst>
        </xdr:cNvPr>
        <xdr:cNvSpPr/>
      </xdr:nvSpPr>
      <xdr:spPr>
        <a:xfrm>
          <a:off x="9473045" y="12226637"/>
          <a:ext cx="6694517" cy="691344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36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Clutch Weld Out: 57 pcs.</a:t>
          </a:r>
        </a:p>
      </xdr:txBody>
    </xdr:sp>
    <xdr:clientData/>
  </xdr:oneCellAnchor>
  <xdr:oneCellAnchor>
    <xdr:from>
      <xdr:col>42</xdr:col>
      <xdr:colOff>277092</xdr:colOff>
      <xdr:row>26</xdr:row>
      <xdr:rowOff>121228</xdr:rowOff>
    </xdr:from>
    <xdr:ext cx="5576454" cy="658089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D84685AD-634F-4C14-A499-8B7C141CA42B}"/>
            </a:ext>
          </a:extLst>
        </xdr:cNvPr>
        <xdr:cNvSpPr/>
      </xdr:nvSpPr>
      <xdr:spPr>
        <a:xfrm>
          <a:off x="17318183" y="11204864"/>
          <a:ext cx="5576454" cy="658089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3600" b="1" i="1" cap="none" spc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Zinc Clad 4100: 57 pcs.</a:t>
          </a:r>
        </a:p>
      </xdr:txBody>
    </xdr:sp>
    <xdr:clientData/>
  </xdr:oneCellAnchor>
  <xdr:oneCellAnchor>
    <xdr:from>
      <xdr:col>42</xdr:col>
      <xdr:colOff>259773</xdr:colOff>
      <xdr:row>29</xdr:row>
      <xdr:rowOff>190500</xdr:rowOff>
    </xdr:from>
    <xdr:ext cx="5593772" cy="1160318"/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26A4E1FD-1FD8-49B1-96E7-0C2F549A473E}"/>
            </a:ext>
          </a:extLst>
        </xdr:cNvPr>
        <xdr:cNvSpPr/>
      </xdr:nvSpPr>
      <xdr:spPr>
        <a:xfrm>
          <a:off x="17300864" y="11897591"/>
          <a:ext cx="5593772" cy="1160318"/>
        </a:xfrm>
        <a:prstGeom prst="rect">
          <a:avLst/>
        </a:prstGeom>
        <a:solidFill>
          <a:srgbClr val="FFC0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3600" b="1" i="1" cap="none" spc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Targuard Red/Black (Intermediate)</a:t>
          </a:r>
          <a:r>
            <a:rPr lang="en-US" sz="36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3600" b="1" i="1" cap="none" spc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: 57 pcs.</a:t>
          </a:r>
        </a:p>
      </xdr:txBody>
    </xdr:sp>
    <xdr:clientData/>
  </xdr:oneCellAnchor>
  <xdr:oneCellAnchor>
    <xdr:from>
      <xdr:col>56</xdr:col>
      <xdr:colOff>675409</xdr:colOff>
      <xdr:row>26</xdr:row>
      <xdr:rowOff>155864</xdr:rowOff>
    </xdr:from>
    <xdr:ext cx="4883728" cy="1818409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E88B2897-9930-462A-9813-C0D7FA7FF49C}"/>
            </a:ext>
          </a:extLst>
        </xdr:cNvPr>
        <xdr:cNvSpPr/>
      </xdr:nvSpPr>
      <xdr:spPr>
        <a:xfrm>
          <a:off x="23033182" y="11239500"/>
          <a:ext cx="4883728" cy="1818409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36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Targuard</a:t>
          </a:r>
          <a:r>
            <a:rPr lang="en-US" sz="36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Black</a:t>
          </a:r>
        </a:p>
        <a:p>
          <a:pPr algn="ctr"/>
          <a:r>
            <a:rPr lang="en-US" sz="36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(Top Layer): 57 pcs</a:t>
          </a:r>
          <a:endParaRPr lang="en-US" sz="36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6</xdr:col>
      <xdr:colOff>190499</xdr:colOff>
      <xdr:row>31</xdr:row>
      <xdr:rowOff>242455</xdr:rowOff>
    </xdr:from>
    <xdr:ext cx="4883728" cy="554181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860DF73-5A03-402A-99D8-BC3C370C838C}"/>
            </a:ext>
          </a:extLst>
        </xdr:cNvPr>
        <xdr:cNvSpPr/>
      </xdr:nvSpPr>
      <xdr:spPr>
        <a:xfrm>
          <a:off x="2459181" y="13317682"/>
          <a:ext cx="4883728" cy="554181"/>
        </a:xfrm>
        <a:prstGeom prst="rect">
          <a:avLst/>
        </a:prstGeom>
        <a:solidFill>
          <a:srgbClr val="FFFF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36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CUSTOMER </a:t>
          </a:r>
          <a:r>
            <a:rPr lang="en-US" sz="36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: 57 pcs</a:t>
          </a:r>
          <a:endParaRPr lang="en-US" sz="36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228600">
                <a:schemeClr val="accent2">
                  <a:satMod val="175000"/>
                  <a:alpha val="40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31</xdr:row>
      <xdr:rowOff>136713</xdr:rowOff>
    </xdr:from>
    <xdr:ext cx="3498273" cy="937014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FE04999-6D85-49BA-B71F-68F09BD225D6}"/>
            </a:ext>
          </a:extLst>
        </xdr:cNvPr>
        <xdr:cNvSpPr/>
      </xdr:nvSpPr>
      <xdr:spPr>
        <a:xfrm>
          <a:off x="190500" y="12633513"/>
          <a:ext cx="3498273" cy="937014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8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8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14</xdr:col>
      <xdr:colOff>69272</xdr:colOff>
      <xdr:row>31</xdr:row>
      <xdr:rowOff>116284</xdr:rowOff>
    </xdr:from>
    <xdr:ext cx="3671455" cy="836216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9BB977C-6537-4DC4-81B4-EA11446151C2}"/>
            </a:ext>
          </a:extLst>
        </xdr:cNvPr>
        <xdr:cNvSpPr/>
      </xdr:nvSpPr>
      <xdr:spPr>
        <a:xfrm>
          <a:off x="5746172" y="12613084"/>
          <a:ext cx="3671455" cy="836216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8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twoCellAnchor>
    <xdr:from>
      <xdr:col>0</xdr:col>
      <xdr:colOff>0</xdr:colOff>
      <xdr:row>36</xdr:row>
      <xdr:rowOff>202049</xdr:rowOff>
    </xdr:from>
    <xdr:to>
      <xdr:col>21</xdr:col>
      <xdr:colOff>138545</xdr:colOff>
      <xdr:row>48</xdr:row>
      <xdr:rowOff>103909</xdr:rowOff>
    </xdr:to>
    <xdr:sp macro="" textlink="$AY$81">
      <xdr:nvSpPr>
        <xdr:cNvPr id="4" name="Flowchart: Data 3">
          <a:extLst>
            <a:ext uri="{FF2B5EF4-FFF2-40B4-BE49-F238E27FC236}">
              <a16:creationId xmlns:a16="http://schemas.microsoft.com/office/drawing/2014/main" id="{870F5A5F-A5A5-475F-B6C9-4EA1EAAA9969}"/>
            </a:ext>
          </a:extLst>
        </xdr:cNvPr>
        <xdr:cNvSpPr/>
      </xdr:nvSpPr>
      <xdr:spPr>
        <a:xfrm flipH="1">
          <a:off x="0" y="14160504"/>
          <a:ext cx="8433954" cy="4092860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FF8181"/>
          </a:solidFill>
        </a:ln>
        <a:effectLst>
          <a:glow rad="139700">
            <a:srgbClr val="FF8181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60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 Rate:                                                              </a:t>
          </a:r>
          <a:fld id="{98EA8220-E904-4AB8-A61E-69613FF52D63}" type="TxLink">
            <a:rPr lang="en-US" sz="115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2.30%</a:t>
          </a:fld>
          <a:endParaRPr lang="en-US" sz="333300" b="1" i="0" u="none" strike="noStrike">
            <a:solidFill>
              <a:schemeClr val="bg1"/>
            </a:solidFill>
            <a:effectLst>
              <a:glow rad="139700">
                <a:schemeClr val="accent2">
                  <a:alpha val="40000"/>
                </a:schemeClr>
              </a:glow>
            </a:effectLst>
            <a:latin typeface="Trade Gothic Inline" panose="020B0504030203020204" pitchFamily="34" charset="0"/>
            <a:ea typeface="Calibri"/>
            <a:cs typeface="Calibri"/>
          </a:endParaRPr>
        </a:p>
      </xdr:txBody>
    </xdr:sp>
    <xdr:clientData/>
  </xdr:twoCellAnchor>
  <xdr:oneCellAnchor>
    <xdr:from>
      <xdr:col>3</xdr:col>
      <xdr:colOff>0</xdr:colOff>
      <xdr:row>1</xdr:row>
      <xdr:rowOff>348835</xdr:rowOff>
    </xdr:from>
    <xdr:ext cx="24661091" cy="863437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5B05E3E-6DFD-4CEF-BB15-B070897000CD}"/>
            </a:ext>
          </a:extLst>
        </xdr:cNvPr>
        <xdr:cNvSpPr/>
      </xdr:nvSpPr>
      <xdr:spPr>
        <a:xfrm>
          <a:off x="1264227" y="1301335"/>
          <a:ext cx="24661091" cy="863437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88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99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2026Q-02-120SN</a:t>
          </a:r>
          <a:r>
            <a:rPr lang="en-US" sz="88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99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PROJECT</a:t>
          </a:r>
          <a:r>
            <a:rPr lang="en-US" sz="88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99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88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88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75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-</a:t>
          </a:r>
          <a:r>
            <a:rPr lang="en-US" sz="88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88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36" x .5" - 24 Pipes </a:t>
          </a:r>
          <a:endParaRPr lang="en-US" sz="96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chemeClr val="accent1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twoCellAnchor>
    <xdr:from>
      <xdr:col>21</xdr:col>
      <xdr:colOff>75465</xdr:colOff>
      <xdr:row>34</xdr:row>
      <xdr:rowOff>259772</xdr:rowOff>
    </xdr:from>
    <xdr:to>
      <xdr:col>22</xdr:col>
      <xdr:colOff>197927</xdr:colOff>
      <xdr:row>47</xdr:row>
      <xdr:rowOff>51955</xdr:rowOff>
    </xdr:to>
    <xdr:sp macro="" textlink="">
      <xdr:nvSpPr>
        <xdr:cNvPr id="6" name="Left Bracket 5">
          <a:extLst>
            <a:ext uri="{FF2B5EF4-FFF2-40B4-BE49-F238E27FC236}">
              <a16:creationId xmlns:a16="http://schemas.microsoft.com/office/drawing/2014/main" id="{9F4FD973-3620-44CE-BC37-EE67C317B23A}"/>
            </a:ext>
          </a:extLst>
        </xdr:cNvPr>
        <xdr:cNvSpPr/>
      </xdr:nvSpPr>
      <xdr:spPr>
        <a:xfrm rot="10800000" flipH="1">
          <a:off x="8419365" y="13499522"/>
          <a:ext cx="836837" cy="4278458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56</xdr:col>
      <xdr:colOff>31883</xdr:colOff>
      <xdr:row>36</xdr:row>
      <xdr:rowOff>86591</xdr:rowOff>
    </xdr:from>
    <xdr:to>
      <xdr:col>56</xdr:col>
      <xdr:colOff>51954</xdr:colOff>
      <xdr:row>48</xdr:row>
      <xdr:rowOff>17318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2EDB939D-217E-4394-BE70-83663E471026}"/>
            </a:ext>
          </a:extLst>
        </xdr:cNvPr>
        <xdr:cNvCxnSpPr/>
      </xdr:nvCxnSpPr>
      <xdr:spPr>
        <a:xfrm flipH="1">
          <a:off x="22510883" y="13678766"/>
          <a:ext cx="20071" cy="4140777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66</xdr:col>
      <xdr:colOff>404504</xdr:colOff>
      <xdr:row>35</xdr:row>
      <xdr:rowOff>9895</xdr:rowOff>
    </xdr:from>
    <xdr:to>
      <xdr:col>68</xdr:col>
      <xdr:colOff>160932</xdr:colOff>
      <xdr:row>48</xdr:row>
      <xdr:rowOff>51954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3C6E31B3-3137-43C9-BA40-9FB93686857F}"/>
            </a:ext>
          </a:extLst>
        </xdr:cNvPr>
        <xdr:cNvSpPr/>
      </xdr:nvSpPr>
      <xdr:spPr>
        <a:xfrm flipH="1">
          <a:off x="26922104" y="13525870"/>
          <a:ext cx="756553" cy="4328309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44</xdr:col>
      <xdr:colOff>34635</xdr:colOff>
      <xdr:row>36</xdr:row>
      <xdr:rowOff>86591</xdr:rowOff>
    </xdr:from>
    <xdr:to>
      <xdr:col>44</xdr:col>
      <xdr:colOff>59691</xdr:colOff>
      <xdr:row>47</xdr:row>
      <xdr:rowOff>31792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E33B04AB-09D3-4857-ADEB-FD99532BDC50}"/>
            </a:ext>
          </a:extLst>
        </xdr:cNvPr>
        <xdr:cNvCxnSpPr/>
      </xdr:nvCxnSpPr>
      <xdr:spPr>
        <a:xfrm flipH="1">
          <a:off x="17827335" y="13678766"/>
          <a:ext cx="25056" cy="4079051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277091</xdr:colOff>
      <xdr:row>36</xdr:row>
      <xdr:rowOff>-1</xdr:rowOff>
    </xdr:from>
    <xdr:to>
      <xdr:col>33</xdr:col>
      <xdr:colOff>8352</xdr:colOff>
      <xdr:row>46</xdr:row>
      <xdr:rowOff>239610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64A18C4-A711-4C1C-9B06-EB3D46DB886E}"/>
            </a:ext>
          </a:extLst>
        </xdr:cNvPr>
        <xdr:cNvCxnSpPr/>
      </xdr:nvCxnSpPr>
      <xdr:spPr>
        <a:xfrm flipH="1">
          <a:off x="13373966" y="13592174"/>
          <a:ext cx="17011" cy="4097236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31</xdr:col>
      <xdr:colOff>381000</xdr:colOff>
      <xdr:row>31</xdr:row>
      <xdr:rowOff>119063</xdr:rowOff>
    </xdr:from>
    <xdr:ext cx="3671455" cy="836216"/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879BAAF-C501-40E4-B868-561A3A22AAC9}"/>
            </a:ext>
          </a:extLst>
        </xdr:cNvPr>
        <xdr:cNvSpPr/>
      </xdr:nvSpPr>
      <xdr:spPr>
        <a:xfrm>
          <a:off x="12930188" y="12954001"/>
          <a:ext cx="3671455" cy="836216"/>
        </a:xfrm>
        <a:prstGeom prst="rect">
          <a:avLst/>
        </a:prstGeom>
        <a:solidFill>
          <a:srgbClr val="FFFF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8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WATCO</a:t>
          </a:r>
        </a:p>
      </xdr:txBody>
    </xdr:sp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192355</xdr:colOff>
      <xdr:row>31</xdr:row>
      <xdr:rowOff>246662</xdr:rowOff>
    </xdr:from>
    <xdr:ext cx="2651538" cy="73428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9D6751F-5229-4B6F-8A94-85113F4F6FC3}"/>
            </a:ext>
          </a:extLst>
        </xdr:cNvPr>
        <xdr:cNvSpPr/>
      </xdr:nvSpPr>
      <xdr:spPr>
        <a:xfrm>
          <a:off x="192355" y="10743212"/>
          <a:ext cx="2651538" cy="734288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4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251517</xdr:colOff>
      <xdr:row>34</xdr:row>
      <xdr:rowOff>28330</xdr:rowOff>
    </xdr:from>
    <xdr:ext cx="2592377" cy="680357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F411B12-1AEC-4D15-B8E1-921006946BD2}"/>
            </a:ext>
          </a:extLst>
        </xdr:cNvPr>
        <xdr:cNvSpPr/>
      </xdr:nvSpPr>
      <xdr:spPr>
        <a:xfrm>
          <a:off x="251517" y="11525005"/>
          <a:ext cx="2592377" cy="680357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oneCellAnchor>
    <xdr:from>
      <xdr:col>1</xdr:col>
      <xdr:colOff>228846</xdr:colOff>
      <xdr:row>0</xdr:row>
      <xdr:rowOff>2400826</xdr:rowOff>
    </xdr:from>
    <xdr:ext cx="18703636" cy="1134555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9B56349-8536-499F-A2A5-2ECBB76D55DC}"/>
            </a:ext>
          </a:extLst>
        </xdr:cNvPr>
        <xdr:cNvSpPr/>
      </xdr:nvSpPr>
      <xdr:spPr>
        <a:xfrm>
          <a:off x="500989" y="2400826"/>
          <a:ext cx="18703636" cy="1134555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72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tx2">
                  <a:lumMod val="40000"/>
                  <a:lumOff val="6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2026Q-02-122JT PROJECT</a:t>
          </a:r>
          <a:r>
            <a:rPr lang="en-US" sz="72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tx2">
                  <a:lumMod val="40000"/>
                  <a:lumOff val="6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chemeClr val="tx2">
                <a:lumMod val="40000"/>
                <a:lumOff val="60000"/>
              </a:schemeClr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  <a:p>
          <a:pPr algn="ctr"/>
          <a:r>
            <a:rPr lang="en-US" sz="72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00B0F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7200" b="1" u="sng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00B0F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72 " x 1 " - 2 Pipes </a:t>
          </a:r>
        </a:p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</xdr:txBody>
    </xdr:sp>
    <xdr:clientData/>
  </xdr:oneCellAnchor>
  <xdr:twoCellAnchor>
    <xdr:from>
      <xdr:col>0</xdr:col>
      <xdr:colOff>58137</xdr:colOff>
      <xdr:row>35</xdr:row>
      <xdr:rowOff>513113</xdr:rowOff>
    </xdr:from>
    <xdr:to>
      <xdr:col>13</xdr:col>
      <xdr:colOff>86591</xdr:colOff>
      <xdr:row>41</xdr:row>
      <xdr:rowOff>611085</xdr:rowOff>
    </xdr:to>
    <xdr:sp macro="" textlink="AY50">
      <xdr:nvSpPr>
        <xdr:cNvPr id="5" name="Flowchart: Data 4">
          <a:extLst>
            <a:ext uri="{FF2B5EF4-FFF2-40B4-BE49-F238E27FC236}">
              <a16:creationId xmlns:a16="http://schemas.microsoft.com/office/drawing/2014/main" id="{87792988-7776-49E3-A4FF-1ED4BEC47509}"/>
            </a:ext>
          </a:extLst>
        </xdr:cNvPr>
        <xdr:cNvSpPr/>
      </xdr:nvSpPr>
      <xdr:spPr>
        <a:xfrm flipH="1">
          <a:off x="58137" y="12705113"/>
          <a:ext cx="5333879" cy="3050722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75DBFF"/>
          </a:solidFill>
        </a:ln>
        <a:effectLst>
          <a:glow rad="101600">
            <a:schemeClr val="accent1">
              <a:satMod val="175000"/>
              <a:alpha val="40000"/>
            </a:scheme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5400" b="1" i="0" u="none" strike="noStrike" baseline="0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 Rate:                              </a:t>
          </a:r>
          <a:fld id="{B6F0BA52-E46E-4A49-A14F-85BBCC02FBA9}" type="TxLink">
            <a:rPr lang="en-US" sz="5400" b="1" i="0" u="none" strike="noStrike" baseline="0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4.31%</a:t>
          </a:fld>
          <a:endParaRPr lang="en-US" sz="400000" b="1" i="1" cap="none" spc="50">
            <a:ln w="3175" cmpd="sng">
              <a:solidFill>
                <a:schemeClr val="bg1"/>
              </a:solidFill>
              <a:prstDash val="solid"/>
            </a:ln>
            <a:solidFill>
              <a:schemeClr val="bg1"/>
            </a:solidFill>
            <a:effectLst>
              <a:glow rad="228600">
                <a:srgbClr val="75FFF2">
                  <a:alpha val="40000"/>
                </a:srgbClr>
              </a:glow>
            </a:effectLst>
            <a:latin typeface="Trade Gothic Inline" panose="020B0504030203020204" pitchFamily="34" charset="0"/>
          </a:endParaRPr>
        </a:p>
      </xdr:txBody>
    </xdr:sp>
    <xdr:clientData/>
  </xdr:twoCellAnchor>
  <xdr:twoCellAnchor>
    <xdr:from>
      <xdr:col>34</xdr:col>
      <xdr:colOff>143837</xdr:colOff>
      <xdr:row>31</xdr:row>
      <xdr:rowOff>176895</xdr:rowOff>
    </xdr:from>
    <xdr:to>
      <xdr:col>34</xdr:col>
      <xdr:colOff>143837</xdr:colOff>
      <xdr:row>41</xdr:row>
      <xdr:rowOff>489859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52559E94-0A3D-474B-80F5-7896102B7019}"/>
            </a:ext>
          </a:extLst>
        </xdr:cNvPr>
        <xdr:cNvCxnSpPr/>
      </xdr:nvCxnSpPr>
      <xdr:spPr>
        <a:xfrm>
          <a:off x="13897937" y="10673445"/>
          <a:ext cx="0" cy="4961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136066</xdr:colOff>
      <xdr:row>31</xdr:row>
      <xdr:rowOff>54428</xdr:rowOff>
    </xdr:from>
    <xdr:to>
      <xdr:col>49</xdr:col>
      <xdr:colOff>163278</xdr:colOff>
      <xdr:row>41</xdr:row>
      <xdr:rowOff>683559</xdr:rowOff>
    </xdr:to>
    <xdr:sp macro="" textlink="">
      <xdr:nvSpPr>
        <xdr:cNvPr id="7" name="Left Bracket 6">
          <a:extLst>
            <a:ext uri="{FF2B5EF4-FFF2-40B4-BE49-F238E27FC236}">
              <a16:creationId xmlns:a16="http://schemas.microsoft.com/office/drawing/2014/main" id="{36EBCF65-837E-4A2C-9E8D-4929522EBD08}"/>
            </a:ext>
          </a:extLst>
        </xdr:cNvPr>
        <xdr:cNvSpPr/>
      </xdr:nvSpPr>
      <xdr:spPr>
        <a:xfrm flipH="1">
          <a:off x="19576591" y="10550978"/>
          <a:ext cx="398687" cy="5277331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14</xdr:col>
      <xdr:colOff>225137</xdr:colOff>
      <xdr:row>31</xdr:row>
      <xdr:rowOff>103909</xdr:rowOff>
    </xdr:from>
    <xdr:to>
      <xdr:col>16</xdr:col>
      <xdr:colOff>163287</xdr:colOff>
      <xdr:row>41</xdr:row>
      <xdr:rowOff>721177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93BD0D6C-181C-48F5-9C23-F60C11320B3D}"/>
            </a:ext>
          </a:extLst>
        </xdr:cNvPr>
        <xdr:cNvSpPr/>
      </xdr:nvSpPr>
      <xdr:spPr>
        <a:xfrm rot="10800000" flipH="1">
          <a:off x="5902037" y="10600459"/>
          <a:ext cx="585850" cy="5265468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122465</xdr:colOff>
      <xdr:row>35</xdr:row>
      <xdr:rowOff>190499</xdr:rowOff>
    </xdr:from>
    <xdr:to>
      <xdr:col>9</xdr:col>
      <xdr:colOff>122465</xdr:colOff>
      <xdr:row>35</xdr:row>
      <xdr:rowOff>217714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72A891A6-3BBB-44DE-8E46-7F66C22AD935}"/>
            </a:ext>
          </a:extLst>
        </xdr:cNvPr>
        <xdr:cNvCxnSpPr/>
      </xdr:nvCxnSpPr>
      <xdr:spPr>
        <a:xfrm flipH="1" flipV="1">
          <a:off x="122465" y="12382499"/>
          <a:ext cx="3657600" cy="27215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27214</xdr:colOff>
      <xdr:row>35</xdr:row>
      <xdr:rowOff>802821</xdr:rowOff>
    </xdr:from>
    <xdr:to>
      <xdr:col>34</xdr:col>
      <xdr:colOff>27214</xdr:colOff>
      <xdr:row>35</xdr:row>
      <xdr:rowOff>802821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6D800ACD-4B1E-44ED-A00F-CF6761D899B3}"/>
            </a:ext>
          </a:extLst>
        </xdr:cNvPr>
        <xdr:cNvCxnSpPr/>
      </xdr:nvCxnSpPr>
      <xdr:spPr>
        <a:xfrm>
          <a:off x="9371239" y="12994821"/>
          <a:ext cx="4410075" cy="0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122464</xdr:colOff>
      <xdr:row>31</xdr:row>
      <xdr:rowOff>272143</xdr:rowOff>
    </xdr:from>
    <xdr:to>
      <xdr:col>22</xdr:col>
      <xdr:colOff>122464</xdr:colOff>
      <xdr:row>41</xdr:row>
      <xdr:rowOff>585107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D793C9A-C8CA-496A-B511-366A2ACC0540}"/>
            </a:ext>
          </a:extLst>
        </xdr:cNvPr>
        <xdr:cNvCxnSpPr/>
      </xdr:nvCxnSpPr>
      <xdr:spPr>
        <a:xfrm>
          <a:off x="9180739" y="10768693"/>
          <a:ext cx="0" cy="4961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19</xdr:col>
      <xdr:colOff>0</xdr:colOff>
      <xdr:row>29</xdr:row>
      <xdr:rowOff>68036</xdr:rowOff>
    </xdr:from>
    <xdr:ext cx="4831773" cy="969818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3DB260F2-A5E0-4671-981C-ACB8DA51DBA2}"/>
            </a:ext>
          </a:extLst>
        </xdr:cNvPr>
        <xdr:cNvSpPr/>
      </xdr:nvSpPr>
      <xdr:spPr>
        <a:xfrm>
          <a:off x="7688036" y="9089572"/>
          <a:ext cx="4831773" cy="969818"/>
        </a:xfrm>
        <a:prstGeom prst="rect">
          <a:avLst/>
        </a:prstGeom>
        <a:solidFill>
          <a:srgbClr val="FFFF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48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CUSTOMER : 2</a:t>
          </a:r>
          <a:endParaRPr lang="en-US" sz="48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138546</xdr:colOff>
      <xdr:row>31</xdr:row>
      <xdr:rowOff>67440</xdr:rowOff>
    </xdr:from>
    <xdr:ext cx="3498273" cy="937014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79B27A1-393C-417E-8446-76834C1DC521}"/>
            </a:ext>
          </a:extLst>
        </xdr:cNvPr>
        <xdr:cNvSpPr/>
      </xdr:nvSpPr>
      <xdr:spPr>
        <a:xfrm>
          <a:off x="138546" y="12536531"/>
          <a:ext cx="3498273" cy="937014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8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8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14</xdr:col>
      <xdr:colOff>17318</xdr:colOff>
      <xdr:row>31</xdr:row>
      <xdr:rowOff>47011</xdr:rowOff>
    </xdr:from>
    <xdr:ext cx="3671455" cy="836216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E02EA96-6553-4D80-822C-5037621DE898}"/>
            </a:ext>
          </a:extLst>
        </xdr:cNvPr>
        <xdr:cNvSpPr/>
      </xdr:nvSpPr>
      <xdr:spPr>
        <a:xfrm>
          <a:off x="5663045" y="12516102"/>
          <a:ext cx="3671455" cy="836216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8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twoCellAnchor>
    <xdr:from>
      <xdr:col>0</xdr:col>
      <xdr:colOff>51954</xdr:colOff>
      <xdr:row>36</xdr:row>
      <xdr:rowOff>202050</xdr:rowOff>
    </xdr:from>
    <xdr:to>
      <xdr:col>19</xdr:col>
      <xdr:colOff>69272</xdr:colOff>
      <xdr:row>44</xdr:row>
      <xdr:rowOff>277092</xdr:rowOff>
    </xdr:to>
    <xdr:sp macro="" textlink="$AY$81">
      <xdr:nvSpPr>
        <xdr:cNvPr id="4" name="Flowchart: Data 3">
          <a:extLst>
            <a:ext uri="{FF2B5EF4-FFF2-40B4-BE49-F238E27FC236}">
              <a16:creationId xmlns:a16="http://schemas.microsoft.com/office/drawing/2014/main" id="{7402EBA0-282D-4758-B514-D629A8B5BF13}"/>
            </a:ext>
          </a:extLst>
        </xdr:cNvPr>
        <xdr:cNvSpPr/>
      </xdr:nvSpPr>
      <xdr:spPr>
        <a:xfrm flipH="1">
          <a:off x="51954" y="14004641"/>
          <a:ext cx="7671954" cy="3504042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FF8181"/>
          </a:solidFill>
        </a:ln>
        <a:effectLst>
          <a:glow rad="139700">
            <a:srgbClr val="FF8181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54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 Rate:                                                             </a:t>
          </a:r>
          <a:fld id="{86B4B70A-D5B9-447E-814B-968D0F42BEA7}" type="TxLink">
            <a:rPr lang="en-US" sz="115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0.40%</a:t>
          </a:fld>
          <a:endParaRPr lang="en-US" sz="333300" b="1" i="0" u="none" strike="noStrike">
            <a:solidFill>
              <a:schemeClr val="bg1"/>
            </a:solidFill>
            <a:effectLst>
              <a:glow rad="139700">
                <a:schemeClr val="accent2">
                  <a:alpha val="40000"/>
                </a:schemeClr>
              </a:glow>
            </a:effectLst>
            <a:latin typeface="Trade Gothic Inline" panose="020B0504030203020204" pitchFamily="34" charset="0"/>
            <a:ea typeface="Calibri"/>
            <a:cs typeface="Calibri"/>
          </a:endParaRPr>
        </a:p>
      </xdr:txBody>
    </xdr:sp>
    <xdr:clientData/>
  </xdr:twoCellAnchor>
  <xdr:oneCellAnchor>
    <xdr:from>
      <xdr:col>3</xdr:col>
      <xdr:colOff>103908</xdr:colOff>
      <xdr:row>0</xdr:row>
      <xdr:rowOff>816427</xdr:rowOff>
    </xdr:from>
    <xdr:ext cx="24228137" cy="536864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12BEC20D-F3F2-40F3-B746-E12DA049D4EC}"/>
            </a:ext>
          </a:extLst>
        </xdr:cNvPr>
        <xdr:cNvSpPr/>
      </xdr:nvSpPr>
      <xdr:spPr>
        <a:xfrm>
          <a:off x="1370733" y="816427"/>
          <a:ext cx="24228137" cy="536864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66FF33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2026Q-02-121WZ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75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-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30 " x .625" - 39 Pipes </a:t>
          </a:r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chemeClr val="accent1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twoCellAnchor>
    <xdr:from>
      <xdr:col>21</xdr:col>
      <xdr:colOff>75465</xdr:colOff>
      <xdr:row>34</xdr:row>
      <xdr:rowOff>259772</xdr:rowOff>
    </xdr:from>
    <xdr:to>
      <xdr:col>22</xdr:col>
      <xdr:colOff>197927</xdr:colOff>
      <xdr:row>47</xdr:row>
      <xdr:rowOff>51955</xdr:rowOff>
    </xdr:to>
    <xdr:sp macro="" textlink="">
      <xdr:nvSpPr>
        <xdr:cNvPr id="6" name="Left Bracket 5">
          <a:extLst>
            <a:ext uri="{FF2B5EF4-FFF2-40B4-BE49-F238E27FC236}">
              <a16:creationId xmlns:a16="http://schemas.microsoft.com/office/drawing/2014/main" id="{79A802DD-3843-4878-9D50-03A17DEFDE4C}"/>
            </a:ext>
          </a:extLst>
        </xdr:cNvPr>
        <xdr:cNvSpPr/>
      </xdr:nvSpPr>
      <xdr:spPr>
        <a:xfrm rot="10800000" flipH="1">
          <a:off x="8419365" y="13499522"/>
          <a:ext cx="836837" cy="4278458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56</xdr:col>
      <xdr:colOff>31883</xdr:colOff>
      <xdr:row>36</xdr:row>
      <xdr:rowOff>86591</xdr:rowOff>
    </xdr:from>
    <xdr:to>
      <xdr:col>56</xdr:col>
      <xdr:colOff>51954</xdr:colOff>
      <xdr:row>48</xdr:row>
      <xdr:rowOff>17318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EC1A1411-A291-40EA-AEBF-87A56B719F67}"/>
            </a:ext>
          </a:extLst>
        </xdr:cNvPr>
        <xdr:cNvCxnSpPr/>
      </xdr:nvCxnSpPr>
      <xdr:spPr>
        <a:xfrm flipH="1">
          <a:off x="22510883" y="13678766"/>
          <a:ext cx="20071" cy="4140777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66</xdr:col>
      <xdr:colOff>404504</xdr:colOff>
      <xdr:row>35</xdr:row>
      <xdr:rowOff>9895</xdr:rowOff>
    </xdr:from>
    <xdr:to>
      <xdr:col>68</xdr:col>
      <xdr:colOff>160932</xdr:colOff>
      <xdr:row>48</xdr:row>
      <xdr:rowOff>51954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C063FC88-CB17-438F-848C-19F67F153558}"/>
            </a:ext>
          </a:extLst>
        </xdr:cNvPr>
        <xdr:cNvSpPr/>
      </xdr:nvSpPr>
      <xdr:spPr>
        <a:xfrm flipH="1">
          <a:off x="26922104" y="13525870"/>
          <a:ext cx="756553" cy="4328309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44</xdr:col>
      <xdr:colOff>34635</xdr:colOff>
      <xdr:row>36</xdr:row>
      <xdr:rowOff>86591</xdr:rowOff>
    </xdr:from>
    <xdr:to>
      <xdr:col>44</xdr:col>
      <xdr:colOff>59691</xdr:colOff>
      <xdr:row>47</xdr:row>
      <xdr:rowOff>31792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1D7D050E-CC34-4D4F-B8F8-DF97C04B599E}"/>
            </a:ext>
          </a:extLst>
        </xdr:cNvPr>
        <xdr:cNvCxnSpPr/>
      </xdr:nvCxnSpPr>
      <xdr:spPr>
        <a:xfrm flipH="1">
          <a:off x="17827335" y="13678766"/>
          <a:ext cx="25056" cy="4079051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277091</xdr:colOff>
      <xdr:row>36</xdr:row>
      <xdr:rowOff>-1</xdr:rowOff>
    </xdr:from>
    <xdr:to>
      <xdr:col>33</xdr:col>
      <xdr:colOff>8352</xdr:colOff>
      <xdr:row>46</xdr:row>
      <xdr:rowOff>239610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D719B749-169D-479F-8F61-63C4EAB1261E}"/>
            </a:ext>
          </a:extLst>
        </xdr:cNvPr>
        <xdr:cNvCxnSpPr/>
      </xdr:nvCxnSpPr>
      <xdr:spPr>
        <a:xfrm flipH="1">
          <a:off x="13373966" y="13592174"/>
          <a:ext cx="17011" cy="4097236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29</xdr:col>
      <xdr:colOff>242456</xdr:colOff>
      <xdr:row>31</xdr:row>
      <xdr:rowOff>1</xdr:rowOff>
    </xdr:from>
    <xdr:ext cx="4831773" cy="969818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A7849BBD-A465-4AEA-B462-DE8798ACFA28}"/>
            </a:ext>
          </a:extLst>
        </xdr:cNvPr>
        <xdr:cNvSpPr/>
      </xdr:nvSpPr>
      <xdr:spPr>
        <a:xfrm>
          <a:off x="11914911" y="12469092"/>
          <a:ext cx="4831773" cy="969818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48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CTE COATED:</a:t>
          </a:r>
          <a:endParaRPr lang="en-US" sz="48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46</xdr:col>
      <xdr:colOff>329045</xdr:colOff>
      <xdr:row>31</xdr:row>
      <xdr:rowOff>51954</xdr:rowOff>
    </xdr:from>
    <xdr:ext cx="4831773" cy="969818"/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929D6FAC-C2BA-4C06-8DA4-54348ACA1634}"/>
            </a:ext>
          </a:extLst>
        </xdr:cNvPr>
        <xdr:cNvSpPr/>
      </xdr:nvSpPr>
      <xdr:spPr>
        <a:xfrm>
          <a:off x="18669000" y="12521045"/>
          <a:ext cx="4831773" cy="969818"/>
        </a:xfrm>
        <a:prstGeom prst="rect">
          <a:avLst/>
        </a:prstGeom>
        <a:solidFill>
          <a:srgbClr val="FFFF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48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WATCO : 39</a:t>
          </a:r>
          <a:endParaRPr lang="en-US" sz="48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31</xdr:row>
      <xdr:rowOff>136713</xdr:rowOff>
    </xdr:from>
    <xdr:ext cx="3498273" cy="937014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6C87074-C07B-403C-9680-D82291C641B2}"/>
            </a:ext>
          </a:extLst>
        </xdr:cNvPr>
        <xdr:cNvSpPr/>
      </xdr:nvSpPr>
      <xdr:spPr>
        <a:xfrm>
          <a:off x="190500" y="12633513"/>
          <a:ext cx="3498273" cy="937014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8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8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14</xdr:col>
      <xdr:colOff>69272</xdr:colOff>
      <xdr:row>31</xdr:row>
      <xdr:rowOff>116284</xdr:rowOff>
    </xdr:from>
    <xdr:ext cx="3671455" cy="836216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3933134-AE99-4736-A49A-C376DEA40A0A}"/>
            </a:ext>
          </a:extLst>
        </xdr:cNvPr>
        <xdr:cNvSpPr/>
      </xdr:nvSpPr>
      <xdr:spPr>
        <a:xfrm>
          <a:off x="5746172" y="12613084"/>
          <a:ext cx="3671455" cy="836216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8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twoCellAnchor>
    <xdr:from>
      <xdr:col>0</xdr:col>
      <xdr:colOff>0</xdr:colOff>
      <xdr:row>36</xdr:row>
      <xdr:rowOff>427186</xdr:rowOff>
    </xdr:from>
    <xdr:to>
      <xdr:col>19</xdr:col>
      <xdr:colOff>17318</xdr:colOff>
      <xdr:row>46</xdr:row>
      <xdr:rowOff>86591</xdr:rowOff>
    </xdr:to>
    <xdr:sp macro="" textlink="$AY$81">
      <xdr:nvSpPr>
        <xdr:cNvPr id="4" name="Flowchart: Data 3">
          <a:extLst>
            <a:ext uri="{FF2B5EF4-FFF2-40B4-BE49-F238E27FC236}">
              <a16:creationId xmlns:a16="http://schemas.microsoft.com/office/drawing/2014/main" id="{66B0DB04-C87A-4FE8-AF72-F3A037E0AE4E}"/>
            </a:ext>
          </a:extLst>
        </xdr:cNvPr>
        <xdr:cNvSpPr/>
      </xdr:nvSpPr>
      <xdr:spPr>
        <a:xfrm flipH="1">
          <a:off x="0" y="17381686"/>
          <a:ext cx="7671954" cy="3504041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FF8181"/>
          </a:solidFill>
        </a:ln>
        <a:effectLst>
          <a:glow rad="139700">
            <a:srgbClr val="FF8181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54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 Rate:</a:t>
          </a:r>
          <a:r>
            <a:rPr lang="en-US" sz="5400" b="1" i="0" u="none" strike="noStrike" baseline="0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                                                      </a:t>
          </a:r>
          <a:fld id="{02528CD7-B15A-4194-AB55-A8CA70BC8411}" type="TxLink">
            <a:rPr lang="en-US" sz="115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3.18%</a:t>
          </a:fld>
          <a:endParaRPr lang="en-US" sz="400000" b="1" i="0" u="none" strike="noStrike">
            <a:solidFill>
              <a:schemeClr val="bg1"/>
            </a:solidFill>
            <a:effectLst>
              <a:glow rad="139700">
                <a:schemeClr val="accent2">
                  <a:alpha val="40000"/>
                </a:schemeClr>
              </a:glow>
            </a:effectLst>
            <a:latin typeface="Trade Gothic Inline" panose="020B0504030203020204" pitchFamily="34" charset="0"/>
            <a:ea typeface="Calibri"/>
            <a:cs typeface="Raavi" panose="020B0502040204020203" pitchFamily="34" charset="0"/>
          </a:endParaRPr>
        </a:p>
      </xdr:txBody>
    </xdr:sp>
    <xdr:clientData/>
  </xdr:twoCellAnchor>
  <xdr:oneCellAnchor>
    <xdr:from>
      <xdr:col>3</xdr:col>
      <xdr:colOff>138544</xdr:colOff>
      <xdr:row>1</xdr:row>
      <xdr:rowOff>1076200</xdr:rowOff>
    </xdr:from>
    <xdr:ext cx="24228137" cy="536864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99BB823D-4674-4DC8-8887-794D79E3C629}"/>
            </a:ext>
          </a:extLst>
        </xdr:cNvPr>
        <xdr:cNvSpPr/>
      </xdr:nvSpPr>
      <xdr:spPr>
        <a:xfrm>
          <a:off x="1402771" y="2028700"/>
          <a:ext cx="24228137" cy="536864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>
                  <a:lumMod val="20000"/>
                  <a:lumOff val="8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P-1044 Pier 31 Extension - 2025Q-10-106 (NAVFAC) </a:t>
          </a:r>
          <a:r>
            <a:rPr lang="en-US" sz="66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>
                  <a:lumMod val="20000"/>
                  <a:lumOff val="8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  <a:p>
          <a:pPr algn="ctr"/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99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36 " x .875" - 30 Pipes </a:t>
          </a:r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rgbClr val="CCFF99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twoCellAnchor>
    <xdr:from>
      <xdr:col>21</xdr:col>
      <xdr:colOff>75465</xdr:colOff>
      <xdr:row>34</xdr:row>
      <xdr:rowOff>259772</xdr:rowOff>
    </xdr:from>
    <xdr:to>
      <xdr:col>22</xdr:col>
      <xdr:colOff>197927</xdr:colOff>
      <xdr:row>47</xdr:row>
      <xdr:rowOff>51955</xdr:rowOff>
    </xdr:to>
    <xdr:sp macro="" textlink="">
      <xdr:nvSpPr>
        <xdr:cNvPr id="6" name="Left Bracket 5">
          <a:extLst>
            <a:ext uri="{FF2B5EF4-FFF2-40B4-BE49-F238E27FC236}">
              <a16:creationId xmlns:a16="http://schemas.microsoft.com/office/drawing/2014/main" id="{EB1FC7A0-2106-45F2-A46B-885CE64DF0CB}"/>
            </a:ext>
          </a:extLst>
        </xdr:cNvPr>
        <xdr:cNvSpPr/>
      </xdr:nvSpPr>
      <xdr:spPr>
        <a:xfrm rot="10800000" flipH="1">
          <a:off x="8419365" y="13499522"/>
          <a:ext cx="836837" cy="4278458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56</xdr:col>
      <xdr:colOff>31883</xdr:colOff>
      <xdr:row>36</xdr:row>
      <xdr:rowOff>86591</xdr:rowOff>
    </xdr:from>
    <xdr:to>
      <xdr:col>56</xdr:col>
      <xdr:colOff>51954</xdr:colOff>
      <xdr:row>48</xdr:row>
      <xdr:rowOff>17318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12209CCB-531C-434A-B94A-25D15EBA7E7A}"/>
            </a:ext>
          </a:extLst>
        </xdr:cNvPr>
        <xdr:cNvCxnSpPr/>
      </xdr:nvCxnSpPr>
      <xdr:spPr>
        <a:xfrm flipH="1">
          <a:off x="22510883" y="13678766"/>
          <a:ext cx="20071" cy="4140777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66</xdr:col>
      <xdr:colOff>404504</xdr:colOff>
      <xdr:row>35</xdr:row>
      <xdr:rowOff>9895</xdr:rowOff>
    </xdr:from>
    <xdr:to>
      <xdr:col>68</xdr:col>
      <xdr:colOff>160932</xdr:colOff>
      <xdr:row>48</xdr:row>
      <xdr:rowOff>51954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5FFE6F7D-0169-43A9-BD8C-BFBC9A9EF8CB}"/>
            </a:ext>
          </a:extLst>
        </xdr:cNvPr>
        <xdr:cNvSpPr/>
      </xdr:nvSpPr>
      <xdr:spPr>
        <a:xfrm flipH="1">
          <a:off x="26922104" y="13525870"/>
          <a:ext cx="756553" cy="4328309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44</xdr:col>
      <xdr:colOff>34635</xdr:colOff>
      <xdr:row>36</xdr:row>
      <xdr:rowOff>86591</xdr:rowOff>
    </xdr:from>
    <xdr:to>
      <xdr:col>44</xdr:col>
      <xdr:colOff>59691</xdr:colOff>
      <xdr:row>47</xdr:row>
      <xdr:rowOff>31792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7A120576-7540-4569-84E3-C987825A5BC0}"/>
            </a:ext>
          </a:extLst>
        </xdr:cNvPr>
        <xdr:cNvCxnSpPr/>
      </xdr:nvCxnSpPr>
      <xdr:spPr>
        <a:xfrm flipH="1">
          <a:off x="17827335" y="13678766"/>
          <a:ext cx="25056" cy="4079051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277091</xdr:colOff>
      <xdr:row>36</xdr:row>
      <xdr:rowOff>-1</xdr:rowOff>
    </xdr:from>
    <xdr:to>
      <xdr:col>33</xdr:col>
      <xdr:colOff>8352</xdr:colOff>
      <xdr:row>46</xdr:row>
      <xdr:rowOff>239610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B84334DD-E624-412C-83B3-427045DD52E9}"/>
            </a:ext>
          </a:extLst>
        </xdr:cNvPr>
        <xdr:cNvCxnSpPr/>
      </xdr:nvCxnSpPr>
      <xdr:spPr>
        <a:xfrm flipH="1">
          <a:off x="13373966" y="13592174"/>
          <a:ext cx="17011" cy="4097236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27</xdr:col>
      <xdr:colOff>242454</xdr:colOff>
      <xdr:row>31</xdr:row>
      <xdr:rowOff>17317</xdr:rowOff>
    </xdr:from>
    <xdr:ext cx="5178137" cy="969818"/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509BB5D-3C61-46C4-B6B2-E58ECD0A78E5}"/>
            </a:ext>
          </a:extLst>
        </xdr:cNvPr>
        <xdr:cNvSpPr/>
      </xdr:nvSpPr>
      <xdr:spPr>
        <a:xfrm>
          <a:off x="11256818" y="15880772"/>
          <a:ext cx="5178137" cy="969818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48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Conical Mounted:</a:t>
          </a:r>
          <a:endParaRPr lang="en-US" sz="48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45</xdr:col>
      <xdr:colOff>121228</xdr:colOff>
      <xdr:row>31</xdr:row>
      <xdr:rowOff>0</xdr:rowOff>
    </xdr:from>
    <xdr:ext cx="5178137" cy="969818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EEECB494-716E-4AA1-830B-5BA3105FE05F}"/>
            </a:ext>
          </a:extLst>
        </xdr:cNvPr>
        <xdr:cNvSpPr/>
      </xdr:nvSpPr>
      <xdr:spPr>
        <a:xfrm>
          <a:off x="18184092" y="15863455"/>
          <a:ext cx="5178137" cy="969818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48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Conical Weld-out:</a:t>
          </a:r>
          <a:endParaRPr lang="en-US" sz="48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41</xdr:col>
      <xdr:colOff>536864</xdr:colOff>
      <xdr:row>25</xdr:row>
      <xdr:rowOff>86590</xdr:rowOff>
    </xdr:from>
    <xdr:ext cx="6494319" cy="969818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AA52279A-042E-41DE-9633-67412C0B4F00}"/>
            </a:ext>
          </a:extLst>
        </xdr:cNvPr>
        <xdr:cNvSpPr/>
      </xdr:nvSpPr>
      <xdr:spPr>
        <a:xfrm>
          <a:off x="16867909" y="14529954"/>
          <a:ext cx="6494319" cy="969818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48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Int.zone 954 Coated</a:t>
          </a:r>
          <a:endParaRPr lang="en-US" sz="48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62</xdr:col>
      <xdr:colOff>17318</xdr:colOff>
      <xdr:row>27</xdr:row>
      <xdr:rowOff>0</xdr:rowOff>
    </xdr:from>
    <xdr:ext cx="2892137" cy="969818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69056076-2769-4FBC-9DED-20EC56F54507}"/>
            </a:ext>
          </a:extLst>
        </xdr:cNvPr>
        <xdr:cNvSpPr/>
      </xdr:nvSpPr>
      <xdr:spPr>
        <a:xfrm>
          <a:off x="25094045" y="15118773"/>
          <a:ext cx="2892137" cy="969818"/>
        </a:xfrm>
        <a:prstGeom prst="rect">
          <a:avLst/>
        </a:prstGeom>
        <a:solidFill>
          <a:srgbClr val="FFFF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48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Watco: 30</a:t>
          </a:r>
          <a:endParaRPr lang="en-US" sz="48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34636</xdr:colOff>
      <xdr:row>26</xdr:row>
      <xdr:rowOff>51954</xdr:rowOff>
    </xdr:from>
    <xdr:ext cx="5818909" cy="1575955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483697B-BCCC-4A60-B78D-7A26D149E935}"/>
            </a:ext>
          </a:extLst>
        </xdr:cNvPr>
        <xdr:cNvSpPr/>
      </xdr:nvSpPr>
      <xdr:spPr>
        <a:xfrm>
          <a:off x="294409" y="12001499"/>
          <a:ext cx="5818909" cy="1575955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60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60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1</xdr:col>
      <xdr:colOff>93084</xdr:colOff>
      <xdr:row>27</xdr:row>
      <xdr:rowOff>157412</xdr:rowOff>
    </xdr:from>
    <xdr:ext cx="5760461" cy="143586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80186CA-9AB8-4081-B4BF-6741F07FCF2D}"/>
            </a:ext>
          </a:extLst>
        </xdr:cNvPr>
        <xdr:cNvSpPr/>
      </xdr:nvSpPr>
      <xdr:spPr>
        <a:xfrm>
          <a:off x="352857" y="13734867"/>
          <a:ext cx="5760461" cy="1435860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66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twoCellAnchor>
    <xdr:from>
      <xdr:col>0</xdr:col>
      <xdr:colOff>190499</xdr:colOff>
      <xdr:row>28</xdr:row>
      <xdr:rowOff>398317</xdr:rowOff>
    </xdr:from>
    <xdr:to>
      <xdr:col>19</xdr:col>
      <xdr:colOff>162352</xdr:colOff>
      <xdr:row>35</xdr:row>
      <xdr:rowOff>522435</xdr:rowOff>
    </xdr:to>
    <xdr:sp macro="" textlink="$AY$92">
      <xdr:nvSpPr>
        <xdr:cNvPr id="4" name="Flowchart: Data 3">
          <a:extLst>
            <a:ext uri="{FF2B5EF4-FFF2-40B4-BE49-F238E27FC236}">
              <a16:creationId xmlns:a16="http://schemas.microsoft.com/office/drawing/2014/main" id="{BBEF38A0-17E6-47E2-B4F8-0D23B9293651}"/>
            </a:ext>
          </a:extLst>
        </xdr:cNvPr>
        <xdr:cNvSpPr/>
      </xdr:nvSpPr>
      <xdr:spPr>
        <a:xfrm flipH="1">
          <a:off x="190499" y="15603681"/>
          <a:ext cx="7626489" cy="3120163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FF8181"/>
          </a:solidFill>
        </a:ln>
        <a:effectLst>
          <a:glow rad="139700">
            <a:srgbClr val="FF8181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54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 Rate:</a:t>
          </a:r>
          <a:r>
            <a:rPr lang="en-US" sz="5400" b="1" i="0" u="none" strike="noStrike" baseline="0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                                                        </a:t>
          </a:r>
          <a:fld id="{9EC0B9FC-E7F9-4341-8B91-B3A3916E740B}" type="TxLink">
            <a:rPr lang="en-US" sz="115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3.58%</a:t>
          </a:fld>
          <a:endParaRPr lang="en-US" sz="277800" b="1" i="0" u="none" strike="noStrike">
            <a:solidFill>
              <a:schemeClr val="bg1"/>
            </a:solidFill>
            <a:effectLst>
              <a:glow rad="139700">
                <a:schemeClr val="accent2">
                  <a:alpha val="40000"/>
                </a:schemeClr>
              </a:glow>
            </a:effectLst>
            <a:latin typeface="Trade Gothic Inline" panose="020B0504030203020204" pitchFamily="34" charset="0"/>
            <a:ea typeface="Calibri"/>
            <a:cs typeface="Calibri"/>
          </a:endParaRPr>
        </a:p>
      </xdr:txBody>
    </xdr:sp>
    <xdr:clientData/>
  </xdr:twoCellAnchor>
  <xdr:oneCellAnchor>
    <xdr:from>
      <xdr:col>4</xdr:col>
      <xdr:colOff>190499</xdr:colOff>
      <xdr:row>0</xdr:row>
      <xdr:rowOff>833744</xdr:rowOff>
    </xdr:from>
    <xdr:ext cx="24228137" cy="536864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AE595F90-8037-4152-AF34-AF205498EB21}"/>
            </a:ext>
          </a:extLst>
        </xdr:cNvPr>
        <xdr:cNvSpPr/>
      </xdr:nvSpPr>
      <xdr:spPr>
        <a:xfrm>
          <a:off x="1818408" y="833744"/>
          <a:ext cx="24228137" cy="536864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88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2025Q-12-114 </a:t>
          </a:r>
          <a:r>
            <a:rPr lang="en-US" sz="88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- Ø 72 " x 1 " - 48 Pipes </a:t>
          </a:r>
          <a:endParaRPr lang="en-US" sz="96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rgbClr val="CCFFCC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twoCellAnchor>
    <xdr:from>
      <xdr:col>21</xdr:col>
      <xdr:colOff>23510</xdr:colOff>
      <xdr:row>30</xdr:row>
      <xdr:rowOff>34635</xdr:rowOff>
    </xdr:from>
    <xdr:to>
      <xdr:col>22</xdr:col>
      <xdr:colOff>145972</xdr:colOff>
      <xdr:row>39</xdr:row>
      <xdr:rowOff>259771</xdr:rowOff>
    </xdr:to>
    <xdr:sp macro="" textlink="">
      <xdr:nvSpPr>
        <xdr:cNvPr id="6" name="Left Bracket 5">
          <a:extLst>
            <a:ext uri="{FF2B5EF4-FFF2-40B4-BE49-F238E27FC236}">
              <a16:creationId xmlns:a16="http://schemas.microsoft.com/office/drawing/2014/main" id="{3B7971A2-EE76-4972-81DD-6B4B4BA1CD2A}"/>
            </a:ext>
          </a:extLst>
        </xdr:cNvPr>
        <xdr:cNvSpPr/>
      </xdr:nvSpPr>
      <xdr:spPr>
        <a:xfrm rot="10800000" flipH="1">
          <a:off x="8318919" y="6979226"/>
          <a:ext cx="832508" cy="2944090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56</xdr:col>
      <xdr:colOff>33399</xdr:colOff>
      <xdr:row>31</xdr:row>
      <xdr:rowOff>56036</xdr:rowOff>
    </xdr:from>
    <xdr:to>
      <xdr:col>56</xdr:col>
      <xdr:colOff>49599</xdr:colOff>
      <xdr:row>39</xdr:row>
      <xdr:rowOff>122464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4978B377-D2C4-4156-8910-7C5C714B9402}"/>
            </a:ext>
          </a:extLst>
        </xdr:cNvPr>
        <xdr:cNvCxnSpPr/>
      </xdr:nvCxnSpPr>
      <xdr:spPr>
        <a:xfrm flipH="1">
          <a:off x="34170999" y="3675536"/>
          <a:ext cx="16200" cy="1590428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66</xdr:col>
      <xdr:colOff>231322</xdr:colOff>
      <xdr:row>30</xdr:row>
      <xdr:rowOff>103908</xdr:rowOff>
    </xdr:from>
    <xdr:to>
      <xdr:col>67</xdr:col>
      <xdr:colOff>282159</xdr:colOff>
      <xdr:row>39</xdr:row>
      <xdr:rowOff>192972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8BE0F56D-24AC-4A73-BAD5-20A6383BC149}"/>
            </a:ext>
          </a:extLst>
        </xdr:cNvPr>
        <xdr:cNvSpPr/>
      </xdr:nvSpPr>
      <xdr:spPr>
        <a:xfrm flipH="1">
          <a:off x="26606913" y="12971317"/>
          <a:ext cx="760882" cy="2808019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44</xdr:col>
      <xdr:colOff>34635</xdr:colOff>
      <xdr:row>30</xdr:row>
      <xdr:rowOff>259773</xdr:rowOff>
    </xdr:from>
    <xdr:to>
      <xdr:col>44</xdr:col>
      <xdr:colOff>50835</xdr:colOff>
      <xdr:row>39</xdr:row>
      <xdr:rowOff>49110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885DD058-3E29-4927-AA20-0623DE1A3E11}"/>
            </a:ext>
          </a:extLst>
        </xdr:cNvPr>
        <xdr:cNvCxnSpPr/>
      </xdr:nvCxnSpPr>
      <xdr:spPr>
        <a:xfrm flipH="1">
          <a:off x="26857035" y="3622098"/>
          <a:ext cx="16200" cy="1570512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31</xdr:row>
      <xdr:rowOff>34637</xdr:rowOff>
    </xdr:from>
    <xdr:to>
      <xdr:col>33</xdr:col>
      <xdr:colOff>16200</xdr:colOff>
      <xdr:row>39</xdr:row>
      <xdr:rowOff>101065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29A91A2F-96BD-4BB0-A832-6BE27B4811C8}"/>
            </a:ext>
          </a:extLst>
        </xdr:cNvPr>
        <xdr:cNvCxnSpPr/>
      </xdr:nvCxnSpPr>
      <xdr:spPr>
        <a:xfrm flipH="1">
          <a:off x="20116800" y="3654137"/>
          <a:ext cx="16200" cy="1590428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</xdr:col>
      <xdr:colOff>69272</xdr:colOff>
      <xdr:row>36</xdr:row>
      <xdr:rowOff>51953</xdr:rowOff>
    </xdr:from>
    <xdr:ext cx="5760461" cy="1435860"/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C4C1B95-51BD-4C91-BE13-07932DB24CB2}"/>
            </a:ext>
          </a:extLst>
        </xdr:cNvPr>
        <xdr:cNvSpPr/>
      </xdr:nvSpPr>
      <xdr:spPr>
        <a:xfrm>
          <a:off x="329045" y="19257817"/>
          <a:ext cx="5760461" cy="1435860"/>
        </a:xfrm>
        <a:prstGeom prst="rect">
          <a:avLst/>
        </a:prstGeom>
        <a:solidFill>
          <a:srgbClr val="FFC0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66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139700">
                  <a:schemeClr val="accent2">
                    <a:satMod val="175000"/>
                    <a:alpha val="40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Customer </a:t>
          </a:r>
          <a:endParaRPr lang="en-US" sz="66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139700">
                <a:schemeClr val="accent2">
                  <a:satMod val="175000"/>
                  <a:alpha val="40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31</xdr:row>
      <xdr:rowOff>136713</xdr:rowOff>
    </xdr:from>
    <xdr:ext cx="3498273" cy="937014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C1BE5D1-9088-44C3-A28E-FF2257543F8F}"/>
            </a:ext>
          </a:extLst>
        </xdr:cNvPr>
        <xdr:cNvSpPr/>
      </xdr:nvSpPr>
      <xdr:spPr>
        <a:xfrm>
          <a:off x="190500" y="12605804"/>
          <a:ext cx="3498273" cy="937014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8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8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14</xdr:col>
      <xdr:colOff>69272</xdr:colOff>
      <xdr:row>31</xdr:row>
      <xdr:rowOff>116284</xdr:rowOff>
    </xdr:from>
    <xdr:ext cx="3671455" cy="836216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CF5B350-3095-459D-87A2-111B7626F93B}"/>
            </a:ext>
          </a:extLst>
        </xdr:cNvPr>
        <xdr:cNvSpPr/>
      </xdr:nvSpPr>
      <xdr:spPr>
        <a:xfrm>
          <a:off x="5714999" y="12585375"/>
          <a:ext cx="3671455" cy="836216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8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twoCellAnchor>
    <xdr:from>
      <xdr:col>0</xdr:col>
      <xdr:colOff>51954</xdr:colOff>
      <xdr:row>36</xdr:row>
      <xdr:rowOff>202050</xdr:rowOff>
    </xdr:from>
    <xdr:to>
      <xdr:col>19</xdr:col>
      <xdr:colOff>69272</xdr:colOff>
      <xdr:row>44</xdr:row>
      <xdr:rowOff>277092</xdr:rowOff>
    </xdr:to>
    <xdr:sp macro="" textlink="$AY$81">
      <xdr:nvSpPr>
        <xdr:cNvPr id="4" name="Flowchart: Data 3">
          <a:extLst>
            <a:ext uri="{FF2B5EF4-FFF2-40B4-BE49-F238E27FC236}">
              <a16:creationId xmlns:a16="http://schemas.microsoft.com/office/drawing/2014/main" id="{C3E71E76-E6EB-40A1-AB18-2C5197F6AEFE}"/>
            </a:ext>
          </a:extLst>
        </xdr:cNvPr>
        <xdr:cNvSpPr/>
      </xdr:nvSpPr>
      <xdr:spPr>
        <a:xfrm flipH="1">
          <a:off x="51954" y="13762186"/>
          <a:ext cx="7671954" cy="3504042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FF8181"/>
          </a:solidFill>
        </a:ln>
        <a:effectLst>
          <a:glow rad="139700">
            <a:srgbClr val="FF8181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54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 Rate:                                                       </a:t>
          </a:r>
          <a:fld id="{87F71B32-2DA1-4358-918B-64361F34D778}" type="TxLink">
            <a:rPr lang="en-US" sz="115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1.49%</a:t>
          </a:fld>
          <a:endParaRPr lang="en-US" sz="333300" b="1" i="0" u="none" strike="noStrike">
            <a:solidFill>
              <a:schemeClr val="bg1"/>
            </a:solidFill>
            <a:effectLst>
              <a:glow rad="139700">
                <a:schemeClr val="accent2">
                  <a:alpha val="40000"/>
                </a:schemeClr>
              </a:glow>
            </a:effectLst>
            <a:latin typeface="Trade Gothic Inline" panose="020B0504030203020204" pitchFamily="34" charset="0"/>
            <a:ea typeface="Calibri"/>
            <a:cs typeface="Calibri"/>
          </a:endParaRPr>
        </a:p>
      </xdr:txBody>
    </xdr:sp>
    <xdr:clientData/>
  </xdr:twoCellAnchor>
  <xdr:oneCellAnchor>
    <xdr:from>
      <xdr:col>3</xdr:col>
      <xdr:colOff>103908</xdr:colOff>
      <xdr:row>0</xdr:row>
      <xdr:rowOff>816427</xdr:rowOff>
    </xdr:from>
    <xdr:ext cx="24228137" cy="536864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ABBA3F0D-89E2-415B-8F36-63A0D895BF17}"/>
            </a:ext>
          </a:extLst>
        </xdr:cNvPr>
        <xdr:cNvSpPr/>
      </xdr:nvSpPr>
      <xdr:spPr>
        <a:xfrm>
          <a:off x="1370733" y="816427"/>
          <a:ext cx="24228137" cy="536864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2025Q-05-93 (MARINE ACCESSWAY) </a:t>
          </a:r>
          <a:r>
            <a:rPr lang="en-US" sz="66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75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-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42 " x 1" - 38 Pipes </a:t>
          </a:r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chemeClr val="accent1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twoCellAnchor>
    <xdr:from>
      <xdr:col>21</xdr:col>
      <xdr:colOff>75465</xdr:colOff>
      <xdr:row>34</xdr:row>
      <xdr:rowOff>259772</xdr:rowOff>
    </xdr:from>
    <xdr:to>
      <xdr:col>22</xdr:col>
      <xdr:colOff>197927</xdr:colOff>
      <xdr:row>47</xdr:row>
      <xdr:rowOff>51955</xdr:rowOff>
    </xdr:to>
    <xdr:sp macro="" textlink="">
      <xdr:nvSpPr>
        <xdr:cNvPr id="6" name="Left Bracket 5">
          <a:extLst>
            <a:ext uri="{FF2B5EF4-FFF2-40B4-BE49-F238E27FC236}">
              <a16:creationId xmlns:a16="http://schemas.microsoft.com/office/drawing/2014/main" id="{042E7356-5437-44FD-8210-6FBC5174BA88}"/>
            </a:ext>
          </a:extLst>
        </xdr:cNvPr>
        <xdr:cNvSpPr/>
      </xdr:nvSpPr>
      <xdr:spPr>
        <a:xfrm rot="10800000" flipH="1">
          <a:off x="8419365" y="13499522"/>
          <a:ext cx="836837" cy="4278458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56</xdr:col>
      <xdr:colOff>31883</xdr:colOff>
      <xdr:row>36</xdr:row>
      <xdr:rowOff>86591</xdr:rowOff>
    </xdr:from>
    <xdr:to>
      <xdr:col>56</xdr:col>
      <xdr:colOff>51954</xdr:colOff>
      <xdr:row>48</xdr:row>
      <xdr:rowOff>17318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D9D3AA62-A6D2-42DC-A90E-BEDF6CF6156A}"/>
            </a:ext>
          </a:extLst>
        </xdr:cNvPr>
        <xdr:cNvCxnSpPr/>
      </xdr:nvCxnSpPr>
      <xdr:spPr>
        <a:xfrm flipH="1">
          <a:off x="22510883" y="13678766"/>
          <a:ext cx="20071" cy="4140777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66</xdr:col>
      <xdr:colOff>404504</xdr:colOff>
      <xdr:row>35</xdr:row>
      <xdr:rowOff>9895</xdr:rowOff>
    </xdr:from>
    <xdr:to>
      <xdr:col>68</xdr:col>
      <xdr:colOff>160932</xdr:colOff>
      <xdr:row>48</xdr:row>
      <xdr:rowOff>51954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8ECA1959-23D1-4D46-B624-81F9834A61B7}"/>
            </a:ext>
          </a:extLst>
        </xdr:cNvPr>
        <xdr:cNvSpPr/>
      </xdr:nvSpPr>
      <xdr:spPr>
        <a:xfrm flipH="1">
          <a:off x="26922104" y="13525870"/>
          <a:ext cx="756553" cy="4328309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44</xdr:col>
      <xdr:colOff>34635</xdr:colOff>
      <xdr:row>36</xdr:row>
      <xdr:rowOff>86591</xdr:rowOff>
    </xdr:from>
    <xdr:to>
      <xdr:col>44</xdr:col>
      <xdr:colOff>59691</xdr:colOff>
      <xdr:row>47</xdr:row>
      <xdr:rowOff>31792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F8CDB704-0707-4423-8E65-60D17E4C9358}"/>
            </a:ext>
          </a:extLst>
        </xdr:cNvPr>
        <xdr:cNvCxnSpPr/>
      </xdr:nvCxnSpPr>
      <xdr:spPr>
        <a:xfrm flipH="1">
          <a:off x="17827335" y="13678766"/>
          <a:ext cx="25056" cy="4079051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277091</xdr:colOff>
      <xdr:row>36</xdr:row>
      <xdr:rowOff>-1</xdr:rowOff>
    </xdr:from>
    <xdr:to>
      <xdr:col>33</xdr:col>
      <xdr:colOff>8352</xdr:colOff>
      <xdr:row>46</xdr:row>
      <xdr:rowOff>239610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C2449E31-3569-4141-81DE-5983986D774E}"/>
            </a:ext>
          </a:extLst>
        </xdr:cNvPr>
        <xdr:cNvCxnSpPr/>
      </xdr:nvCxnSpPr>
      <xdr:spPr>
        <a:xfrm flipH="1">
          <a:off x="13373966" y="13592174"/>
          <a:ext cx="17011" cy="4097236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28</xdr:col>
      <xdr:colOff>277090</xdr:colOff>
      <xdr:row>31</xdr:row>
      <xdr:rowOff>17317</xdr:rowOff>
    </xdr:from>
    <xdr:ext cx="4831773" cy="969818"/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8FC1C89B-39BD-4119-8801-FCBBFE9089D0}"/>
            </a:ext>
          </a:extLst>
        </xdr:cNvPr>
        <xdr:cNvSpPr/>
      </xdr:nvSpPr>
      <xdr:spPr>
        <a:xfrm>
          <a:off x="11585863" y="12486408"/>
          <a:ext cx="4831773" cy="969818"/>
        </a:xfrm>
        <a:prstGeom prst="rect">
          <a:avLst/>
        </a:prstGeom>
        <a:solidFill>
          <a:srgbClr val="FFC0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48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PICKING</a:t>
          </a:r>
          <a:r>
            <a:rPr lang="en-US" sz="48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EYES:</a:t>
          </a:r>
          <a:endParaRPr lang="en-US" sz="48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45</xdr:col>
      <xdr:colOff>259773</xdr:colOff>
      <xdr:row>31</xdr:row>
      <xdr:rowOff>0</xdr:rowOff>
    </xdr:from>
    <xdr:ext cx="4831773" cy="969818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3D78866-F356-41A5-8DDE-3520DDFD1B90}"/>
            </a:ext>
          </a:extLst>
        </xdr:cNvPr>
        <xdr:cNvSpPr/>
      </xdr:nvSpPr>
      <xdr:spPr>
        <a:xfrm>
          <a:off x="18322637" y="12469091"/>
          <a:ext cx="4831773" cy="969818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48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CTE COATED:</a:t>
          </a:r>
          <a:endParaRPr lang="en-US" sz="48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4</xdr:col>
      <xdr:colOff>225136</xdr:colOff>
      <xdr:row>47</xdr:row>
      <xdr:rowOff>17318</xdr:rowOff>
    </xdr:from>
    <xdr:ext cx="4831773" cy="969818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A1EB6DC-1CEB-495D-8E83-67317EA8BEE2}"/>
            </a:ext>
          </a:extLst>
        </xdr:cNvPr>
        <xdr:cNvSpPr/>
      </xdr:nvSpPr>
      <xdr:spPr>
        <a:xfrm>
          <a:off x="1853045" y="17699182"/>
          <a:ext cx="4831773" cy="969818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48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WATCO: 38</a:t>
          </a:r>
          <a:endParaRPr lang="en-US" sz="48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44426</xdr:colOff>
      <xdr:row>32</xdr:row>
      <xdr:rowOff>285799</xdr:rowOff>
    </xdr:from>
    <xdr:ext cx="2944091" cy="1023604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498B11B-25EE-4A80-A7F3-2015A87B17A5}"/>
            </a:ext>
          </a:extLst>
        </xdr:cNvPr>
        <xdr:cNvSpPr/>
      </xdr:nvSpPr>
      <xdr:spPr>
        <a:xfrm>
          <a:off x="44426" y="14117756"/>
          <a:ext cx="2944091" cy="1023604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8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8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0</xdr:colOff>
      <xdr:row>35</xdr:row>
      <xdr:rowOff>22914</xdr:rowOff>
    </xdr:from>
    <xdr:ext cx="3030682" cy="940126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E0396C3-CFFD-4B8A-8CCA-2778C479B2D9}"/>
            </a:ext>
          </a:extLst>
        </xdr:cNvPr>
        <xdr:cNvSpPr/>
      </xdr:nvSpPr>
      <xdr:spPr>
        <a:xfrm>
          <a:off x="0" y="15320892"/>
          <a:ext cx="3030682" cy="940126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8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twoCellAnchor>
    <xdr:from>
      <xdr:col>21</xdr:col>
      <xdr:colOff>606136</xdr:colOff>
      <xdr:row>34</xdr:row>
      <xdr:rowOff>51954</xdr:rowOff>
    </xdr:from>
    <xdr:to>
      <xdr:col>42</xdr:col>
      <xdr:colOff>34636</xdr:colOff>
      <xdr:row>45</xdr:row>
      <xdr:rowOff>259773</xdr:rowOff>
    </xdr:to>
    <xdr:sp macro="" textlink="$AY$80">
      <xdr:nvSpPr>
        <xdr:cNvPr id="4" name="Flowchart: Data 3">
          <a:extLst>
            <a:ext uri="{FF2B5EF4-FFF2-40B4-BE49-F238E27FC236}">
              <a16:creationId xmlns:a16="http://schemas.microsoft.com/office/drawing/2014/main" id="{5A2B9D48-066E-4BE6-A2FB-FCEEE8F77452}"/>
            </a:ext>
          </a:extLst>
        </xdr:cNvPr>
        <xdr:cNvSpPr/>
      </xdr:nvSpPr>
      <xdr:spPr>
        <a:xfrm flipH="1">
          <a:off x="8901545" y="15257318"/>
          <a:ext cx="8174182" cy="3515591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FF8181"/>
          </a:solidFill>
        </a:ln>
        <a:effectLst>
          <a:glow rad="139700">
            <a:srgbClr val="FF8181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48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 Rate:  </a:t>
          </a:r>
          <a:r>
            <a:rPr lang="en-US" sz="44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                                  </a:t>
          </a:r>
          <a:r>
            <a:rPr lang="en-US" sz="96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 </a:t>
          </a:r>
          <a:fld id="{0968954D-D7D3-40BA-BF81-ADE1BB7F14C6}" type="TxLink">
            <a:rPr lang="en-US" sz="96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4.19%</a:t>
          </a:fld>
          <a:endParaRPr lang="en-US" sz="333300" b="1" i="0" u="none" strike="noStrike">
            <a:solidFill>
              <a:schemeClr val="bg1"/>
            </a:solidFill>
            <a:effectLst>
              <a:glow rad="139700">
                <a:schemeClr val="accent2">
                  <a:alpha val="40000"/>
                </a:schemeClr>
              </a:glow>
            </a:effectLst>
            <a:latin typeface="Trade Gothic Inline" panose="020B0504030203020204" pitchFamily="34" charset="0"/>
            <a:ea typeface="Calibri"/>
            <a:cs typeface="Calibri"/>
          </a:endParaRPr>
        </a:p>
      </xdr:txBody>
    </xdr:sp>
    <xdr:clientData/>
  </xdr:twoCellAnchor>
  <xdr:oneCellAnchor>
    <xdr:from>
      <xdr:col>5</xdr:col>
      <xdr:colOff>190499</xdr:colOff>
      <xdr:row>0</xdr:row>
      <xdr:rowOff>314199</xdr:rowOff>
    </xdr:from>
    <xdr:ext cx="24228137" cy="536864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D95860B-A119-48F3-BF60-1EA418B83CBD}"/>
            </a:ext>
          </a:extLst>
        </xdr:cNvPr>
        <xdr:cNvSpPr/>
      </xdr:nvSpPr>
      <xdr:spPr>
        <a:xfrm>
          <a:off x="2200274" y="314199"/>
          <a:ext cx="24228137" cy="536864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6600" b="1" i="1" u="sng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2025Q-05-092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44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(Marathon Docks 42-43) </a:t>
          </a:r>
          <a:r>
            <a:rPr lang="en-US" sz="44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- </a:t>
          </a:r>
          <a:r>
            <a:rPr lang="en-US" sz="6600" b="1" i="1" u="sng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60 " x 1.25 " 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- 68 Pipes </a:t>
          </a:r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twoCellAnchor>
    <xdr:from>
      <xdr:col>44</xdr:col>
      <xdr:colOff>40829</xdr:colOff>
      <xdr:row>33</xdr:row>
      <xdr:rowOff>606137</xdr:rowOff>
    </xdr:from>
    <xdr:to>
      <xdr:col>46</xdr:col>
      <xdr:colOff>232564</xdr:colOff>
      <xdr:row>45</xdr:row>
      <xdr:rowOff>190501</xdr:rowOff>
    </xdr:to>
    <xdr:sp macro="" textlink="">
      <xdr:nvSpPr>
        <xdr:cNvPr id="6" name="Left Bracket 5">
          <a:extLst>
            <a:ext uri="{FF2B5EF4-FFF2-40B4-BE49-F238E27FC236}">
              <a16:creationId xmlns:a16="http://schemas.microsoft.com/office/drawing/2014/main" id="{1297A132-C62A-4EB4-BF61-F3868331F3C2}"/>
            </a:ext>
          </a:extLst>
        </xdr:cNvPr>
        <xdr:cNvSpPr/>
      </xdr:nvSpPr>
      <xdr:spPr>
        <a:xfrm rot="10800000" flipH="1">
          <a:off x="17740011" y="13837228"/>
          <a:ext cx="832508" cy="3584864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56</xdr:col>
      <xdr:colOff>31883</xdr:colOff>
      <xdr:row>35</xdr:row>
      <xdr:rowOff>86591</xdr:rowOff>
    </xdr:from>
    <xdr:to>
      <xdr:col>56</xdr:col>
      <xdr:colOff>51954</xdr:colOff>
      <xdr:row>47</xdr:row>
      <xdr:rowOff>17318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F817BE5C-7FF6-4D56-973E-B46779BAEC3A}"/>
            </a:ext>
          </a:extLst>
        </xdr:cNvPr>
        <xdr:cNvCxnSpPr/>
      </xdr:nvCxnSpPr>
      <xdr:spPr>
        <a:xfrm flipH="1">
          <a:off x="22510883" y="12497666"/>
          <a:ext cx="20071" cy="4140777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66</xdr:col>
      <xdr:colOff>404504</xdr:colOff>
      <xdr:row>34</xdr:row>
      <xdr:rowOff>9895</xdr:rowOff>
    </xdr:from>
    <xdr:to>
      <xdr:col>68</xdr:col>
      <xdr:colOff>160932</xdr:colOff>
      <xdr:row>47</xdr:row>
      <xdr:rowOff>51954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6F2445E3-C92A-4279-BD32-29CC7B78340F}"/>
            </a:ext>
          </a:extLst>
        </xdr:cNvPr>
        <xdr:cNvSpPr/>
      </xdr:nvSpPr>
      <xdr:spPr>
        <a:xfrm flipH="1">
          <a:off x="26922104" y="12344770"/>
          <a:ext cx="756553" cy="4328309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oneCellAnchor>
    <xdr:from>
      <xdr:col>23</xdr:col>
      <xdr:colOff>121227</xdr:colOff>
      <xdr:row>47</xdr:row>
      <xdr:rowOff>554182</xdr:rowOff>
    </xdr:from>
    <xdr:ext cx="8402493" cy="677418"/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4CFCAB2F-69CC-4FBD-B868-1AB3CCC1FF27}"/>
            </a:ext>
          </a:extLst>
        </xdr:cNvPr>
        <xdr:cNvSpPr/>
      </xdr:nvSpPr>
      <xdr:spPr>
        <a:xfrm>
          <a:off x="9421091" y="19413682"/>
          <a:ext cx="8402493" cy="677418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CLUTCH MOUNTED: 68 PCS.</a:t>
          </a:r>
          <a:endParaRPr lang="en-US" sz="40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23</xdr:col>
      <xdr:colOff>103909</xdr:colOff>
      <xdr:row>48</xdr:row>
      <xdr:rowOff>450272</xdr:rowOff>
    </xdr:from>
    <xdr:ext cx="8455506" cy="727362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E5553453-EFC3-4A52-A7CC-93D5F7CD1C45}"/>
            </a:ext>
          </a:extLst>
        </xdr:cNvPr>
        <xdr:cNvSpPr/>
      </xdr:nvSpPr>
      <xdr:spPr>
        <a:xfrm>
          <a:off x="9403773" y="20314227"/>
          <a:ext cx="8455506" cy="727362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CLUTCH</a:t>
          </a:r>
          <a:r>
            <a:rPr lang="en-US" sz="40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WELD OUT: 68 PCS</a:t>
          </a:r>
          <a:endParaRPr lang="en-US" sz="40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44</xdr:col>
      <xdr:colOff>293389</xdr:colOff>
      <xdr:row>48</xdr:row>
      <xdr:rowOff>432955</xdr:rowOff>
    </xdr:from>
    <xdr:ext cx="8243455" cy="727362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EBD6325B-4414-40DA-AFE9-AA0AD308D121}"/>
            </a:ext>
          </a:extLst>
        </xdr:cNvPr>
        <xdr:cNvSpPr/>
      </xdr:nvSpPr>
      <xdr:spPr>
        <a:xfrm>
          <a:off x="18166771" y="20435455"/>
          <a:ext cx="8243455" cy="727362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Plate P.</a:t>
          </a:r>
          <a:r>
            <a:rPr lang="en-US" sz="40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WELD OUT: 22 PCS</a:t>
          </a:r>
          <a:endParaRPr lang="en-US" sz="40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44</xdr:col>
      <xdr:colOff>293388</xdr:colOff>
      <xdr:row>47</xdr:row>
      <xdr:rowOff>588818</xdr:rowOff>
    </xdr:from>
    <xdr:ext cx="8216949" cy="677418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578D058D-3502-419A-A796-4D777B6BEC85}"/>
            </a:ext>
          </a:extLst>
        </xdr:cNvPr>
        <xdr:cNvSpPr/>
      </xdr:nvSpPr>
      <xdr:spPr>
        <a:xfrm>
          <a:off x="18166770" y="19582789"/>
          <a:ext cx="8216949" cy="677418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Plate P.MOUNTED: 22 PCS.</a:t>
          </a:r>
          <a:endParaRPr lang="en-US" sz="40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138546</xdr:colOff>
      <xdr:row>39</xdr:row>
      <xdr:rowOff>190500</xdr:rowOff>
    </xdr:from>
    <xdr:ext cx="5916395" cy="813955"/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CE002A5E-9053-457A-948F-A2DC4994F7BC}"/>
            </a:ext>
          </a:extLst>
        </xdr:cNvPr>
        <xdr:cNvSpPr/>
      </xdr:nvSpPr>
      <xdr:spPr>
        <a:xfrm>
          <a:off x="138546" y="16608136"/>
          <a:ext cx="5916395" cy="813955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4400" b="1" i="1" cap="none" spc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Primer</a:t>
          </a:r>
          <a:r>
            <a:rPr lang="en-US" sz="44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Coated: 68 pcs.</a:t>
          </a:r>
          <a:endParaRPr lang="en-US" sz="44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180801</xdr:colOff>
      <xdr:row>45</xdr:row>
      <xdr:rowOff>56233</xdr:rowOff>
    </xdr:from>
    <xdr:ext cx="7885445" cy="691344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AB04E926-6812-4B08-B96D-529FDBD187E2}"/>
            </a:ext>
          </a:extLst>
        </xdr:cNvPr>
        <xdr:cNvSpPr/>
      </xdr:nvSpPr>
      <xdr:spPr>
        <a:xfrm>
          <a:off x="180801" y="18569369"/>
          <a:ext cx="7885445" cy="691344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44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To</a:t>
          </a:r>
          <a:r>
            <a:rPr lang="en-US" sz="44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 Layer Coated: 68 pcs.</a:t>
          </a:r>
          <a:endParaRPr lang="en-US" sz="44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148345</xdr:colOff>
      <xdr:row>41</xdr:row>
      <xdr:rowOff>798953</xdr:rowOff>
    </xdr:from>
    <xdr:ext cx="7818019" cy="725046"/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F0CCC6BB-8319-4564-89BC-B3DE31123D00}"/>
            </a:ext>
          </a:extLst>
        </xdr:cNvPr>
        <xdr:cNvSpPr/>
      </xdr:nvSpPr>
      <xdr:spPr>
        <a:xfrm>
          <a:off x="148345" y="17562953"/>
          <a:ext cx="7818019" cy="725046"/>
        </a:xfrm>
        <a:prstGeom prst="rect">
          <a:avLst/>
        </a:prstGeom>
        <a:solidFill>
          <a:srgbClr val="FFC000"/>
        </a:solidFill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4800" b="1" i="1" cap="none" spc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C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1st Layer</a:t>
          </a:r>
          <a:r>
            <a:rPr lang="en-US" sz="48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C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Coated: 68 pcs. </a:t>
          </a:r>
          <a:endParaRPr lang="en-US" sz="48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C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44426</xdr:colOff>
      <xdr:row>32</xdr:row>
      <xdr:rowOff>285799</xdr:rowOff>
    </xdr:from>
    <xdr:ext cx="2944091" cy="1023604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928B043-CB54-4FB3-8591-2CC7331321F8}"/>
            </a:ext>
          </a:extLst>
        </xdr:cNvPr>
        <xdr:cNvSpPr/>
      </xdr:nvSpPr>
      <xdr:spPr>
        <a:xfrm>
          <a:off x="44426" y="14144674"/>
          <a:ext cx="2944091" cy="1023604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8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8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0</xdr:colOff>
      <xdr:row>35</xdr:row>
      <xdr:rowOff>22914</xdr:rowOff>
    </xdr:from>
    <xdr:ext cx="3030682" cy="940126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1D79C26-59D8-46BD-8446-0677A7126DED}"/>
            </a:ext>
          </a:extLst>
        </xdr:cNvPr>
        <xdr:cNvSpPr/>
      </xdr:nvSpPr>
      <xdr:spPr>
        <a:xfrm>
          <a:off x="0" y="15348639"/>
          <a:ext cx="3030682" cy="940126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8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twoCellAnchor>
    <xdr:from>
      <xdr:col>0</xdr:col>
      <xdr:colOff>34632</xdr:colOff>
      <xdr:row>39</xdr:row>
      <xdr:rowOff>207817</xdr:rowOff>
    </xdr:from>
    <xdr:to>
      <xdr:col>19</xdr:col>
      <xdr:colOff>207818</xdr:colOff>
      <xdr:row>48</xdr:row>
      <xdr:rowOff>277090</xdr:rowOff>
    </xdr:to>
    <xdr:sp macro="" textlink="$AY$80">
      <xdr:nvSpPr>
        <xdr:cNvPr id="4" name="Flowchart: Data 3">
          <a:extLst>
            <a:ext uri="{FF2B5EF4-FFF2-40B4-BE49-F238E27FC236}">
              <a16:creationId xmlns:a16="http://schemas.microsoft.com/office/drawing/2014/main" id="{D23F4C46-CE50-4002-9CE2-62D70829DE6C}"/>
            </a:ext>
          </a:extLst>
        </xdr:cNvPr>
        <xdr:cNvSpPr/>
      </xdr:nvSpPr>
      <xdr:spPr>
        <a:xfrm flipH="1">
          <a:off x="34632" y="12469090"/>
          <a:ext cx="7827822" cy="3515591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FF8181"/>
          </a:solidFill>
        </a:ln>
        <a:effectLst>
          <a:glow rad="139700">
            <a:srgbClr val="FF8181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54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 Rate:                                                               </a:t>
          </a:r>
          <a:fld id="{22C95A89-0C5E-4A42-A844-A99DBDA4BBED}" type="TxLink">
            <a:rPr lang="en-US" sz="115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0.81%</a:t>
          </a:fld>
          <a:endParaRPr lang="en-US" sz="333300" b="1" i="0" u="none" strike="noStrike">
            <a:solidFill>
              <a:schemeClr val="bg1"/>
            </a:solidFill>
            <a:effectLst>
              <a:glow rad="139700">
                <a:schemeClr val="accent2">
                  <a:alpha val="40000"/>
                </a:schemeClr>
              </a:glow>
            </a:effectLst>
            <a:latin typeface="Trade Gothic Inline" panose="020B0504030203020204" pitchFamily="34" charset="0"/>
            <a:ea typeface="Calibri"/>
            <a:cs typeface="Calibri"/>
          </a:endParaRPr>
        </a:p>
      </xdr:txBody>
    </xdr:sp>
    <xdr:clientData/>
  </xdr:twoCellAnchor>
  <xdr:oneCellAnchor>
    <xdr:from>
      <xdr:col>5</xdr:col>
      <xdr:colOff>190499</xdr:colOff>
      <xdr:row>0</xdr:row>
      <xdr:rowOff>314199</xdr:rowOff>
    </xdr:from>
    <xdr:ext cx="24228137" cy="536864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3960F48-F588-435C-8171-FB4FAADA712B}"/>
            </a:ext>
          </a:extLst>
        </xdr:cNvPr>
        <xdr:cNvSpPr/>
      </xdr:nvSpPr>
      <xdr:spPr>
        <a:xfrm>
          <a:off x="2200274" y="314199"/>
          <a:ext cx="24228137" cy="536864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6600" b="1" i="1" u="sng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2025Q-05-092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44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(Marathon Docks 42-43) </a:t>
          </a:r>
          <a:r>
            <a:rPr lang="en-US" sz="44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- </a:t>
          </a:r>
          <a:r>
            <a:rPr lang="en-US" sz="6600" b="1" i="1" u="sng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60 " x 0.75 " 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- 42 Pipes </a:t>
          </a:r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twoCellAnchor>
    <xdr:from>
      <xdr:col>20</xdr:col>
      <xdr:colOff>179375</xdr:colOff>
      <xdr:row>34</xdr:row>
      <xdr:rowOff>32906</xdr:rowOff>
    </xdr:from>
    <xdr:to>
      <xdr:col>22</xdr:col>
      <xdr:colOff>24746</xdr:colOff>
      <xdr:row>45</xdr:row>
      <xdr:rowOff>225138</xdr:rowOff>
    </xdr:to>
    <xdr:sp macro="" textlink="">
      <xdr:nvSpPr>
        <xdr:cNvPr id="6" name="Left Bracket 5">
          <a:extLst>
            <a:ext uri="{FF2B5EF4-FFF2-40B4-BE49-F238E27FC236}">
              <a16:creationId xmlns:a16="http://schemas.microsoft.com/office/drawing/2014/main" id="{20F91211-A362-4FDE-ACE0-3BC0E040C7C1}"/>
            </a:ext>
          </a:extLst>
        </xdr:cNvPr>
        <xdr:cNvSpPr/>
      </xdr:nvSpPr>
      <xdr:spPr>
        <a:xfrm rot="10800000" flipH="1">
          <a:off x="8197693" y="11081906"/>
          <a:ext cx="832508" cy="3500005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56</xdr:col>
      <xdr:colOff>31883</xdr:colOff>
      <xdr:row>35</xdr:row>
      <xdr:rowOff>86591</xdr:rowOff>
    </xdr:from>
    <xdr:to>
      <xdr:col>56</xdr:col>
      <xdr:colOff>51954</xdr:colOff>
      <xdr:row>47</xdr:row>
      <xdr:rowOff>17318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DB763C8A-8D99-4A05-8E9C-75FB20B39899}"/>
            </a:ext>
          </a:extLst>
        </xdr:cNvPr>
        <xdr:cNvCxnSpPr/>
      </xdr:nvCxnSpPr>
      <xdr:spPr>
        <a:xfrm flipH="1">
          <a:off x="22510883" y="15412316"/>
          <a:ext cx="20071" cy="3521652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66</xdr:col>
      <xdr:colOff>404504</xdr:colOff>
      <xdr:row>34</xdr:row>
      <xdr:rowOff>9895</xdr:rowOff>
    </xdr:from>
    <xdr:to>
      <xdr:col>68</xdr:col>
      <xdr:colOff>160932</xdr:colOff>
      <xdr:row>47</xdr:row>
      <xdr:rowOff>51954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C9240D5D-D621-4FA7-AA17-C25DA7E11821}"/>
            </a:ext>
          </a:extLst>
        </xdr:cNvPr>
        <xdr:cNvSpPr/>
      </xdr:nvSpPr>
      <xdr:spPr>
        <a:xfrm flipH="1">
          <a:off x="26922104" y="15259420"/>
          <a:ext cx="756553" cy="3709184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oneCellAnchor>
    <xdr:from>
      <xdr:col>22</xdr:col>
      <xdr:colOff>190501</xdr:colOff>
      <xdr:row>47</xdr:row>
      <xdr:rowOff>415637</xdr:rowOff>
    </xdr:from>
    <xdr:ext cx="8402493" cy="677418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DCF136C3-5FCE-4762-A8FB-260D304EA3F8}"/>
            </a:ext>
          </a:extLst>
        </xdr:cNvPr>
        <xdr:cNvSpPr/>
      </xdr:nvSpPr>
      <xdr:spPr>
        <a:xfrm>
          <a:off x="9195956" y="15118773"/>
          <a:ext cx="8402493" cy="677418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CLUTCH MOUNTED: 42 PCS.</a:t>
          </a:r>
          <a:endParaRPr lang="en-US" sz="40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46</xdr:col>
      <xdr:colOff>311728</xdr:colOff>
      <xdr:row>47</xdr:row>
      <xdr:rowOff>380134</xdr:rowOff>
    </xdr:from>
    <xdr:ext cx="8455506" cy="727362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1748E103-57D5-492D-896A-87BD06B2E18A}"/>
            </a:ext>
          </a:extLst>
        </xdr:cNvPr>
        <xdr:cNvSpPr/>
      </xdr:nvSpPr>
      <xdr:spPr>
        <a:xfrm>
          <a:off x="18651683" y="15083270"/>
          <a:ext cx="8455506" cy="727362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CLUTCH</a:t>
          </a:r>
          <a:r>
            <a:rPr lang="en-US" sz="40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WELD OUT: 42 PCS</a:t>
          </a:r>
          <a:endParaRPr lang="en-US" sz="40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48</xdr:col>
      <xdr:colOff>173183</xdr:colOff>
      <xdr:row>30</xdr:row>
      <xdr:rowOff>242455</xdr:rowOff>
    </xdr:from>
    <xdr:ext cx="5916395" cy="813955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131C55D4-1569-4767-A8E0-9A4A5554CEBD}"/>
            </a:ext>
          </a:extLst>
        </xdr:cNvPr>
        <xdr:cNvSpPr/>
      </xdr:nvSpPr>
      <xdr:spPr>
        <a:xfrm>
          <a:off x="19517592" y="8174182"/>
          <a:ext cx="5916395" cy="813955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4400" b="1" i="1" cap="none" spc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Primer</a:t>
          </a:r>
          <a:r>
            <a:rPr lang="en-US" sz="44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Coated: 42 pcs.</a:t>
          </a:r>
          <a:endParaRPr lang="en-US" sz="44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48</xdr:col>
      <xdr:colOff>215438</xdr:colOff>
      <xdr:row>32</xdr:row>
      <xdr:rowOff>471870</xdr:rowOff>
    </xdr:from>
    <xdr:ext cx="7885445" cy="691344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6B7DCBDB-B151-4789-A89F-82C7730995D6}"/>
            </a:ext>
          </a:extLst>
        </xdr:cNvPr>
        <xdr:cNvSpPr/>
      </xdr:nvSpPr>
      <xdr:spPr>
        <a:xfrm>
          <a:off x="19559847" y="10135415"/>
          <a:ext cx="7885445" cy="691344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44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To</a:t>
          </a:r>
          <a:r>
            <a:rPr lang="en-US" sz="44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 Layer Coated: 42 pcs.</a:t>
          </a:r>
          <a:endParaRPr lang="en-US" sz="44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48</xdr:col>
      <xdr:colOff>182982</xdr:colOff>
      <xdr:row>31</xdr:row>
      <xdr:rowOff>885543</xdr:rowOff>
    </xdr:from>
    <xdr:ext cx="7818019" cy="725046"/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27613F0C-54C7-41F0-B9E3-6A78775BC124}"/>
            </a:ext>
          </a:extLst>
        </xdr:cNvPr>
        <xdr:cNvSpPr/>
      </xdr:nvSpPr>
      <xdr:spPr>
        <a:xfrm>
          <a:off x="19527391" y="9128998"/>
          <a:ext cx="7818019" cy="725046"/>
        </a:xfrm>
        <a:prstGeom prst="rect">
          <a:avLst/>
        </a:prstGeom>
        <a:solidFill>
          <a:srgbClr val="FFC000"/>
        </a:solidFill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4800" b="1" i="1" cap="none" spc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C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1st Layer</a:t>
          </a:r>
          <a:r>
            <a:rPr lang="en-US" sz="48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C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Coated: 42 pcs. </a:t>
          </a:r>
          <a:endParaRPr lang="en-US" sz="48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C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twoCellAnchor>
    <xdr:from>
      <xdr:col>43</xdr:col>
      <xdr:colOff>346364</xdr:colOff>
      <xdr:row>35</xdr:row>
      <xdr:rowOff>138545</xdr:rowOff>
    </xdr:from>
    <xdr:to>
      <xdr:col>44</xdr:col>
      <xdr:colOff>2753</xdr:colOff>
      <xdr:row>47</xdr:row>
      <xdr:rowOff>69272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FE92DC9D-1C9A-45B4-8588-142CBAFFA9A6}"/>
            </a:ext>
          </a:extLst>
        </xdr:cNvPr>
        <xdr:cNvCxnSpPr/>
      </xdr:nvCxnSpPr>
      <xdr:spPr>
        <a:xfrm flipH="1">
          <a:off x="17681864" y="11256818"/>
          <a:ext cx="20071" cy="3515590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277091</xdr:colOff>
      <xdr:row>35</xdr:row>
      <xdr:rowOff>173182</xdr:rowOff>
    </xdr:from>
    <xdr:to>
      <xdr:col>33</xdr:col>
      <xdr:colOff>2753</xdr:colOff>
      <xdr:row>47</xdr:row>
      <xdr:rowOff>103909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597398FE-9FA1-4030-94D9-F81BB34B4F8D}"/>
            </a:ext>
          </a:extLst>
        </xdr:cNvPr>
        <xdr:cNvCxnSpPr/>
      </xdr:nvCxnSpPr>
      <xdr:spPr>
        <a:xfrm flipH="1">
          <a:off x="13300364" y="11291455"/>
          <a:ext cx="20071" cy="3515590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0</xdr:col>
      <xdr:colOff>0</xdr:colOff>
      <xdr:row>31</xdr:row>
      <xdr:rowOff>242454</xdr:rowOff>
    </xdr:from>
    <xdr:ext cx="5940136" cy="1073728"/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E033DB91-18F5-4D7F-A63A-7C5CFE3C514C}"/>
            </a:ext>
          </a:extLst>
        </xdr:cNvPr>
        <xdr:cNvSpPr/>
      </xdr:nvSpPr>
      <xdr:spPr>
        <a:xfrm>
          <a:off x="0" y="8485909"/>
          <a:ext cx="5940136" cy="1073728"/>
        </a:xfrm>
        <a:prstGeom prst="rect">
          <a:avLst/>
        </a:prstGeom>
        <a:solidFill>
          <a:srgbClr val="FFFF00"/>
        </a:solidFill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4800" b="1" i="1" cap="none" spc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C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CUSTOMER:</a:t>
          </a:r>
          <a:r>
            <a:rPr lang="en-US" sz="48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C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42 PCS.</a:t>
          </a:r>
          <a:endParaRPr lang="en-US" sz="48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C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173181</xdr:colOff>
      <xdr:row>0</xdr:row>
      <xdr:rowOff>418108</xdr:rowOff>
    </xdr:from>
    <xdr:ext cx="24228137" cy="536864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6B90DF6-030B-40F4-8162-81A724790A4F}"/>
            </a:ext>
          </a:extLst>
        </xdr:cNvPr>
        <xdr:cNvSpPr/>
      </xdr:nvSpPr>
      <xdr:spPr>
        <a:xfrm>
          <a:off x="3221181" y="189508"/>
          <a:ext cx="24228137" cy="536864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CP2</a:t>
          </a:r>
          <a:r>
            <a:rPr lang="en-US" sz="66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LOADING PLATFORM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05-093</a:t>
          </a:r>
          <a:r>
            <a:rPr lang="en-US" sz="66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- Ø 54 " x 1 " - 104 Pipes </a:t>
          </a:r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rgbClr val="CCFFCC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85</xdr:col>
      <xdr:colOff>547687</xdr:colOff>
      <xdr:row>48</xdr:row>
      <xdr:rowOff>380999</xdr:rowOff>
    </xdr:from>
    <xdr:ext cx="7868949" cy="76074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B33D13C-F6B9-4293-AE05-8AF6B605D10C}"/>
            </a:ext>
          </a:extLst>
        </xdr:cNvPr>
        <xdr:cNvSpPr/>
      </xdr:nvSpPr>
      <xdr:spPr>
        <a:xfrm flipV="1">
          <a:off x="52363687" y="9334499"/>
          <a:ext cx="7868949" cy="76074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rgbClr val="CCFFCC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246784</xdr:colOff>
      <xdr:row>88</xdr:row>
      <xdr:rowOff>200087</xdr:rowOff>
    </xdr:from>
    <xdr:ext cx="2827486" cy="856321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63D176B-7B42-4F89-A9F6-7097A40803FE}"/>
            </a:ext>
          </a:extLst>
        </xdr:cNvPr>
        <xdr:cNvSpPr/>
      </xdr:nvSpPr>
      <xdr:spPr>
        <a:xfrm>
          <a:off x="246784" y="16954562"/>
          <a:ext cx="2827486" cy="856321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4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1</xdr:col>
      <xdr:colOff>49790</xdr:colOff>
      <xdr:row>88</xdr:row>
      <xdr:rowOff>1153207</xdr:rowOff>
    </xdr:from>
    <xdr:ext cx="2809873" cy="777379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ECCA545E-C5E4-499C-8F10-BF23994AFE59}"/>
            </a:ext>
          </a:extLst>
        </xdr:cNvPr>
        <xdr:cNvSpPr/>
      </xdr:nvSpPr>
      <xdr:spPr>
        <a:xfrm>
          <a:off x="659390" y="16955182"/>
          <a:ext cx="2809873" cy="777379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twoCellAnchor>
    <xdr:from>
      <xdr:col>72</xdr:col>
      <xdr:colOff>500063</xdr:colOff>
      <xdr:row>78</xdr:row>
      <xdr:rowOff>15876</xdr:rowOff>
    </xdr:from>
    <xdr:to>
      <xdr:col>79</xdr:col>
      <xdr:colOff>309564</xdr:colOff>
      <xdr:row>88</xdr:row>
      <xdr:rowOff>687593</xdr:rowOff>
    </xdr:to>
    <xdr:sp macro="" textlink="$BA$112">
      <xdr:nvSpPr>
        <xdr:cNvPr id="6" name="Flowchart: Data 5">
          <a:extLst>
            <a:ext uri="{FF2B5EF4-FFF2-40B4-BE49-F238E27FC236}">
              <a16:creationId xmlns:a16="http://schemas.microsoft.com/office/drawing/2014/main" id="{E11E2D19-9840-4B52-B2B5-F814F0182902}"/>
            </a:ext>
          </a:extLst>
        </xdr:cNvPr>
        <xdr:cNvSpPr/>
      </xdr:nvSpPr>
      <xdr:spPr>
        <a:xfrm flipH="1">
          <a:off x="44391263" y="14874876"/>
          <a:ext cx="4076701" cy="2081417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8FE6FB"/>
          </a:solidFill>
        </a:ln>
        <a:effectLst>
          <a:glow rad="139700">
            <a:srgbClr val="8FE6FB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E2C2A6C-249E-4B0B-B1F9-2F9941A8118F}" type="TxLink">
            <a:rPr lang="en-US" sz="2000" b="0" i="0" u="none" strike="noStrike">
              <a:solidFill>
                <a:srgbClr val="000000"/>
              </a:solidFill>
              <a:effectLst>
                <a:glow rad="139700">
                  <a:srgbClr val="00B0F0">
                    <a:alpha val="40000"/>
                  </a:srgbClr>
                </a:glow>
              </a:effectLst>
              <a:latin typeface="Calibri"/>
              <a:ea typeface="Calibri"/>
              <a:cs typeface="Calibri"/>
            </a:rPr>
            <a:pPr algn="ctr"/>
            <a:t>1.72%</a:t>
          </a:fld>
          <a:endParaRPr lang="en-US" sz="400000" b="1" i="1" cap="none" spc="50">
            <a:ln w="3175" cmpd="sng">
              <a:solidFill>
                <a:schemeClr val="bg1"/>
              </a:solidFill>
              <a:prstDash val="solid"/>
            </a:ln>
            <a:solidFill>
              <a:schemeClr val="bg1"/>
            </a:solidFill>
            <a:effectLst>
              <a:glow rad="139700">
                <a:srgbClr val="00B0F0">
                  <a:alpha val="40000"/>
                </a:srgbClr>
              </a:glow>
            </a:effectLst>
            <a:latin typeface="Trade Gothic Inline" panose="020B0504030203020204" pitchFamily="34" charset="0"/>
          </a:endParaRPr>
        </a:p>
      </xdr:txBody>
    </xdr:sp>
    <xdr:clientData/>
  </xdr:twoCellAnchor>
  <xdr:twoCellAnchor>
    <xdr:from>
      <xdr:col>11</xdr:col>
      <xdr:colOff>17318</xdr:colOff>
      <xdr:row>76</xdr:row>
      <xdr:rowOff>11204</xdr:rowOff>
    </xdr:from>
    <xdr:to>
      <xdr:col>19</xdr:col>
      <xdr:colOff>346364</xdr:colOff>
      <xdr:row>83</xdr:row>
      <xdr:rowOff>428623</xdr:rowOff>
    </xdr:to>
    <xdr:sp macro="" textlink="$BA$112">
      <xdr:nvSpPr>
        <xdr:cNvPr id="7" name="Rectangle 6">
          <a:extLst>
            <a:ext uri="{FF2B5EF4-FFF2-40B4-BE49-F238E27FC236}">
              <a16:creationId xmlns:a16="http://schemas.microsoft.com/office/drawing/2014/main" id="{8F67DCAC-117B-4163-B70F-DE6355E914E3}"/>
            </a:ext>
          </a:extLst>
        </xdr:cNvPr>
        <xdr:cNvSpPr/>
      </xdr:nvSpPr>
      <xdr:spPr>
        <a:xfrm>
          <a:off x="4294909" y="20654477"/>
          <a:ext cx="3706091" cy="31190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578B9A86-7CC4-4EE1-AA4C-C26CBE14D6EF}" type="TxLink">
            <a:rPr lang="en-US" sz="8000" b="0" i="0" u="none" strike="noStrike">
              <a:solidFill>
                <a:srgbClr val="0070C0"/>
              </a:solidFill>
              <a:latin typeface="Trade Gothic Inline" panose="020B0504030203020204" pitchFamily="34" charset="0"/>
              <a:ea typeface="Calibri"/>
              <a:cs typeface="Calibri"/>
            </a:rPr>
            <a:pPr algn="ctr"/>
            <a:t>1.72%</a:t>
          </a:fld>
          <a:endParaRPr lang="en-US" sz="28700">
            <a:solidFill>
              <a:srgbClr val="0070C0"/>
            </a:solidFill>
            <a:latin typeface="Trade Gothic Inline" panose="020B0504030203020204" pitchFamily="34" charset="0"/>
          </a:endParaRPr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104</xdr:row>
      <xdr:rowOff>155864</xdr:rowOff>
    </xdr:from>
    <xdr:ext cx="3388178" cy="73428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9E9A37F-FE80-40F9-8F88-7CD19133D2B7}"/>
            </a:ext>
          </a:extLst>
        </xdr:cNvPr>
        <xdr:cNvSpPr/>
      </xdr:nvSpPr>
      <xdr:spPr>
        <a:xfrm>
          <a:off x="272143" y="21206114"/>
          <a:ext cx="3388178" cy="734288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54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54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1</xdr:col>
      <xdr:colOff>0</xdr:colOff>
      <xdr:row>108</xdr:row>
      <xdr:rowOff>48246</xdr:rowOff>
    </xdr:from>
    <xdr:ext cx="3388178" cy="740968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27F37FB-F0F5-49B8-828C-55097DD53BC8}"/>
            </a:ext>
          </a:extLst>
        </xdr:cNvPr>
        <xdr:cNvSpPr/>
      </xdr:nvSpPr>
      <xdr:spPr>
        <a:xfrm>
          <a:off x="272143" y="21969353"/>
          <a:ext cx="3388178" cy="740968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54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twoCellAnchor>
    <xdr:from>
      <xdr:col>10</xdr:col>
      <xdr:colOff>166686</xdr:colOff>
      <xdr:row>104</xdr:row>
      <xdr:rowOff>34636</xdr:rowOff>
    </xdr:from>
    <xdr:to>
      <xdr:col>23</xdr:col>
      <xdr:colOff>155863</xdr:colOff>
      <xdr:row>114</xdr:row>
      <xdr:rowOff>207818</xdr:rowOff>
    </xdr:to>
    <xdr:sp macro="" textlink="$CI$143">
      <xdr:nvSpPr>
        <xdr:cNvPr id="4" name="Flowchart: Data 3">
          <a:extLst>
            <a:ext uri="{FF2B5EF4-FFF2-40B4-BE49-F238E27FC236}">
              <a16:creationId xmlns:a16="http://schemas.microsoft.com/office/drawing/2014/main" id="{7FB93BF9-36AB-4717-AA92-DB853AD482C9}"/>
            </a:ext>
          </a:extLst>
        </xdr:cNvPr>
        <xdr:cNvSpPr/>
      </xdr:nvSpPr>
      <xdr:spPr>
        <a:xfrm flipH="1">
          <a:off x="5095874" y="21180136"/>
          <a:ext cx="6561427" cy="3768870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FF8181"/>
          </a:solidFill>
        </a:ln>
        <a:effectLst>
          <a:glow rad="139700">
            <a:srgbClr val="FF8181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4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 Rate:                                           </a:t>
          </a:r>
          <a:fld id="{3229608D-A2AE-41C4-AD78-1609FEF4B6A7}" type="TxLink">
            <a:rPr lang="en-US" sz="88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0.54%</a:t>
          </a:fld>
          <a:endParaRPr lang="en-US" sz="333300" b="1" i="0" u="none" strike="noStrike">
            <a:solidFill>
              <a:schemeClr val="bg1"/>
            </a:solidFill>
            <a:effectLst>
              <a:glow rad="139700">
                <a:schemeClr val="accent2">
                  <a:alpha val="40000"/>
                </a:schemeClr>
              </a:glow>
            </a:effectLst>
            <a:latin typeface="Trade Gothic Inline" panose="020B0504030203020204" pitchFamily="34" charset="0"/>
            <a:ea typeface="Calibri"/>
            <a:cs typeface="Calibri"/>
          </a:endParaRPr>
        </a:p>
      </xdr:txBody>
    </xdr:sp>
    <xdr:clientData/>
  </xdr:twoCellAnchor>
  <xdr:oneCellAnchor>
    <xdr:from>
      <xdr:col>5</xdr:col>
      <xdr:colOff>28140</xdr:colOff>
      <xdr:row>0</xdr:row>
      <xdr:rowOff>556654</xdr:rowOff>
    </xdr:from>
    <xdr:ext cx="29594609" cy="967346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AD9DF64-FAF2-4051-ACD4-3CE100FCE6CD}"/>
            </a:ext>
          </a:extLst>
        </xdr:cNvPr>
        <xdr:cNvSpPr/>
      </xdr:nvSpPr>
      <xdr:spPr>
        <a:xfrm>
          <a:off x="2480828" y="556654"/>
          <a:ext cx="29594609" cy="967346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72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00B05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MARINE OFFLOADING</a:t>
          </a:r>
          <a:r>
            <a:rPr lang="en-US" sz="72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00B05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F. - </a:t>
          </a:r>
          <a:r>
            <a:rPr lang="en-US" sz="8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2025Q-11-110 </a:t>
          </a:r>
          <a:r>
            <a:rPr lang="en-US" sz="80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FFFF0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8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- Ø 36 " x 0.75 " - 80 Pipes </a:t>
          </a:r>
          <a:endParaRPr lang="en-US" sz="88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rgbClr val="CCFFCC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twoCellAnchor>
    <xdr:from>
      <xdr:col>24</xdr:col>
      <xdr:colOff>23510</xdr:colOff>
      <xdr:row>105</xdr:row>
      <xdr:rowOff>3710</xdr:rowOff>
    </xdr:from>
    <xdr:to>
      <xdr:col>25</xdr:col>
      <xdr:colOff>145972</xdr:colOff>
      <xdr:row>114</xdr:row>
      <xdr:rowOff>259772</xdr:rowOff>
    </xdr:to>
    <xdr:sp macro="" textlink="">
      <xdr:nvSpPr>
        <xdr:cNvPr id="6" name="Left Bracket 5">
          <a:extLst>
            <a:ext uri="{FF2B5EF4-FFF2-40B4-BE49-F238E27FC236}">
              <a16:creationId xmlns:a16="http://schemas.microsoft.com/office/drawing/2014/main" id="{77787764-231D-44C5-ACDB-DDE18D029B37}"/>
            </a:ext>
          </a:extLst>
        </xdr:cNvPr>
        <xdr:cNvSpPr/>
      </xdr:nvSpPr>
      <xdr:spPr>
        <a:xfrm rot="10800000" flipH="1">
          <a:off x="9739010" y="32541110"/>
          <a:ext cx="493937" cy="3656487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59</xdr:col>
      <xdr:colOff>33399</xdr:colOff>
      <xdr:row>106</xdr:row>
      <xdr:rowOff>56036</xdr:rowOff>
    </xdr:from>
    <xdr:to>
      <xdr:col>59</xdr:col>
      <xdr:colOff>49599</xdr:colOff>
      <xdr:row>114</xdr:row>
      <xdr:rowOff>122464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5999C52A-89E0-47FA-9E88-A7823636712B}"/>
            </a:ext>
          </a:extLst>
        </xdr:cNvPr>
        <xdr:cNvCxnSpPr/>
      </xdr:nvCxnSpPr>
      <xdr:spPr>
        <a:xfrm flipH="1">
          <a:off x="23883999" y="32783936"/>
          <a:ext cx="16200" cy="3276353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69</xdr:col>
      <xdr:colOff>155122</xdr:colOff>
      <xdr:row>105</xdr:row>
      <xdr:rowOff>151039</xdr:rowOff>
    </xdr:from>
    <xdr:to>
      <xdr:col>69</xdr:col>
      <xdr:colOff>358359</xdr:colOff>
      <xdr:row>114</xdr:row>
      <xdr:rowOff>316798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E0C0766B-CA2F-4D0A-A76F-365E6D415963}"/>
            </a:ext>
          </a:extLst>
        </xdr:cNvPr>
        <xdr:cNvSpPr/>
      </xdr:nvSpPr>
      <xdr:spPr>
        <a:xfrm flipH="1">
          <a:off x="28044322" y="32688439"/>
          <a:ext cx="203237" cy="3566184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47</xdr:col>
      <xdr:colOff>34635</xdr:colOff>
      <xdr:row>105</xdr:row>
      <xdr:rowOff>259773</xdr:rowOff>
    </xdr:from>
    <xdr:to>
      <xdr:col>47</xdr:col>
      <xdr:colOff>50835</xdr:colOff>
      <xdr:row>114</xdr:row>
      <xdr:rowOff>49110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2C6A1DD3-0CE8-4CDF-A7C9-93F8E1FFA001}"/>
            </a:ext>
          </a:extLst>
        </xdr:cNvPr>
        <xdr:cNvCxnSpPr/>
      </xdr:nvCxnSpPr>
      <xdr:spPr>
        <a:xfrm flipH="1">
          <a:off x="19189410" y="32730498"/>
          <a:ext cx="16200" cy="3256437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0</xdr:colOff>
      <xdr:row>106</xdr:row>
      <xdr:rowOff>34637</xdr:rowOff>
    </xdr:from>
    <xdr:to>
      <xdr:col>36</xdr:col>
      <xdr:colOff>16200</xdr:colOff>
      <xdr:row>114</xdr:row>
      <xdr:rowOff>101065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D67EDFF2-A882-468B-9030-DF128F2B8112}"/>
            </a:ext>
          </a:extLst>
        </xdr:cNvPr>
        <xdr:cNvCxnSpPr/>
      </xdr:nvCxnSpPr>
      <xdr:spPr>
        <a:xfrm flipH="1">
          <a:off x="14401800" y="32762537"/>
          <a:ext cx="16200" cy="3276353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-1</xdr:colOff>
      <xdr:row>110</xdr:row>
      <xdr:rowOff>744681</xdr:rowOff>
    </xdr:from>
    <xdr:to>
      <xdr:col>11</xdr:col>
      <xdr:colOff>428624</xdr:colOff>
      <xdr:row>114</xdr:row>
      <xdr:rowOff>47623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D072779-1777-4AA9-8585-31023FA7CE57}"/>
            </a:ext>
          </a:extLst>
        </xdr:cNvPr>
        <xdr:cNvSpPr txBox="1"/>
      </xdr:nvSpPr>
      <xdr:spPr>
        <a:xfrm>
          <a:off x="261937" y="23437994"/>
          <a:ext cx="5381625" cy="1350817"/>
        </a:xfrm>
        <a:prstGeom prst="rect">
          <a:avLst/>
        </a:prstGeom>
        <a:solidFill>
          <a:srgbClr val="66FF33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54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chemeClr val="bg1">
                  <a:lumMod val="75000"/>
                </a:schemeClr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CTE COATED:</a:t>
          </a:r>
          <a:r>
            <a:rPr kumimoji="0" lang="en-US" sz="54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 80</a:t>
          </a:r>
        </a:p>
      </xdr:txBody>
    </xdr:sp>
    <xdr:clientData/>
  </xdr:twoCellAnchor>
  <xdr:twoCellAnchor>
    <xdr:from>
      <xdr:col>21</xdr:col>
      <xdr:colOff>660256</xdr:colOff>
      <xdr:row>115</xdr:row>
      <xdr:rowOff>138544</xdr:rowOff>
    </xdr:from>
    <xdr:to>
      <xdr:col>46</xdr:col>
      <xdr:colOff>238124</xdr:colOff>
      <xdr:row>119</xdr:row>
      <xdr:rowOff>104341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A96DA8AB-1797-43CD-A12C-967E7C1B1915}"/>
            </a:ext>
          </a:extLst>
        </xdr:cNvPr>
        <xdr:cNvSpPr txBox="1"/>
      </xdr:nvSpPr>
      <xdr:spPr>
        <a:xfrm>
          <a:off x="10828194" y="25236919"/>
          <a:ext cx="11960368" cy="727797"/>
        </a:xfrm>
        <a:prstGeom prst="rect">
          <a:avLst/>
        </a:prstGeom>
        <a:solidFill>
          <a:srgbClr val="66FF33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48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chemeClr val="bg1">
                  <a:lumMod val="75000"/>
                </a:schemeClr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ANGLE  </a:t>
          </a:r>
          <a:r>
            <a:rPr kumimoji="0" lang="en-US" sz="48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rgbClr val="FF0000"/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TACK WELDING  </a:t>
          </a:r>
          <a:r>
            <a:rPr kumimoji="0" lang="en-US" sz="48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80  </a:t>
          </a:r>
          <a:r>
            <a:rPr kumimoji="0" lang="en-US" sz="48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rgbClr val="66FF33"/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WELD OUT </a:t>
          </a:r>
          <a:r>
            <a:rPr kumimoji="0" lang="en-US" sz="48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chemeClr val="bg1"/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80</a:t>
          </a:r>
        </a:p>
      </xdr:txBody>
    </xdr:sp>
    <xdr:clientData/>
  </xdr:twoCellAnchor>
  <xdr:twoCellAnchor>
    <xdr:from>
      <xdr:col>1</xdr:col>
      <xdr:colOff>0</xdr:colOff>
      <xdr:row>115</xdr:row>
      <xdr:rowOff>119062</xdr:rowOff>
    </xdr:from>
    <xdr:to>
      <xdr:col>21</xdr:col>
      <xdr:colOff>577994</xdr:colOff>
      <xdr:row>119</xdr:row>
      <xdr:rowOff>84859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8118742-2AF3-4D4D-95C4-4981EB1D646C}"/>
            </a:ext>
          </a:extLst>
        </xdr:cNvPr>
        <xdr:cNvSpPr txBox="1"/>
      </xdr:nvSpPr>
      <xdr:spPr>
        <a:xfrm>
          <a:off x="261938" y="25217437"/>
          <a:ext cx="10483994" cy="727797"/>
        </a:xfrm>
        <a:prstGeom prst="rect">
          <a:avLst/>
        </a:prstGeom>
        <a:solidFill>
          <a:srgbClr val="66FF33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44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chemeClr val="bg1">
                  <a:lumMod val="75000"/>
                </a:schemeClr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RING  </a:t>
          </a:r>
          <a:r>
            <a:rPr kumimoji="0" lang="en-US" sz="44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rgbClr val="FF0000"/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TACK WELDING  </a:t>
          </a:r>
          <a:r>
            <a:rPr kumimoji="0" lang="en-US" sz="44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80  </a:t>
          </a:r>
          <a:r>
            <a:rPr kumimoji="0" lang="en-US" sz="44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rgbClr val="66FF33"/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WELD OUT </a:t>
          </a:r>
          <a:r>
            <a:rPr kumimoji="0" lang="en-US" sz="44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chemeClr val="bg1"/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80</a:t>
          </a:r>
        </a:p>
      </xdr:txBody>
    </xdr:sp>
    <xdr:clientData/>
  </xdr:twoCellAnchor>
  <xdr:twoCellAnchor>
    <xdr:from>
      <xdr:col>46</xdr:col>
      <xdr:colOff>785813</xdr:colOff>
      <xdr:row>115</xdr:row>
      <xdr:rowOff>119062</xdr:rowOff>
    </xdr:from>
    <xdr:to>
      <xdr:col>57</xdr:col>
      <xdr:colOff>309563</xdr:colOff>
      <xdr:row>119</xdr:row>
      <xdr:rowOff>160192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186B4C7-41F4-4554-B643-931BAD07F0F2}"/>
            </a:ext>
          </a:extLst>
        </xdr:cNvPr>
        <xdr:cNvSpPr txBox="1"/>
      </xdr:nvSpPr>
      <xdr:spPr>
        <a:xfrm>
          <a:off x="23336251" y="25217437"/>
          <a:ext cx="5381625" cy="80313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54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chemeClr val="bg1">
                  <a:lumMod val="75000"/>
                </a:schemeClr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WATCO:</a:t>
          </a:r>
          <a:r>
            <a:rPr kumimoji="0" lang="en-US" sz="54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 80</a:t>
          </a:r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192355</xdr:colOff>
      <xdr:row>31</xdr:row>
      <xdr:rowOff>246662</xdr:rowOff>
    </xdr:from>
    <xdr:ext cx="2651538" cy="73428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7C4C438-3508-4143-8F89-B3F4ADA9722B}"/>
            </a:ext>
          </a:extLst>
        </xdr:cNvPr>
        <xdr:cNvSpPr/>
      </xdr:nvSpPr>
      <xdr:spPr>
        <a:xfrm>
          <a:off x="192355" y="6095012"/>
          <a:ext cx="2651538" cy="734288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4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251517</xdr:colOff>
      <xdr:row>34</xdr:row>
      <xdr:rowOff>28330</xdr:rowOff>
    </xdr:from>
    <xdr:ext cx="2592377" cy="680357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2E80AED-D832-4385-83C1-921B826A7B62}"/>
            </a:ext>
          </a:extLst>
        </xdr:cNvPr>
        <xdr:cNvSpPr/>
      </xdr:nvSpPr>
      <xdr:spPr>
        <a:xfrm>
          <a:off x="251517" y="6505330"/>
          <a:ext cx="2592377" cy="680357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oneCellAnchor>
    <xdr:from>
      <xdr:col>1</xdr:col>
      <xdr:colOff>357355</xdr:colOff>
      <xdr:row>0</xdr:row>
      <xdr:rowOff>1128308</xdr:rowOff>
    </xdr:from>
    <xdr:ext cx="18860735" cy="1134555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9C690C8-C5E3-4643-9464-AC0466B74C7C}"/>
            </a:ext>
          </a:extLst>
        </xdr:cNvPr>
        <xdr:cNvSpPr/>
      </xdr:nvSpPr>
      <xdr:spPr>
        <a:xfrm>
          <a:off x="629498" y="1128308"/>
          <a:ext cx="18860735" cy="1134555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92D05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2025Q-</a:t>
          </a:r>
          <a:r>
            <a:rPr lang="en-US" sz="6000" b="1" u="sng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92D05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05-093</a:t>
          </a:r>
          <a:r>
            <a:rPr lang="en-US" sz="6000" b="1" u="none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75FFF2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4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00B05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(</a:t>
          </a:r>
          <a:r>
            <a:rPr lang="en-US" sz="40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00B05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Land Accessway)</a:t>
          </a:r>
          <a:r>
            <a:rPr lang="en-US" sz="4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00B05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- </a:t>
          </a:r>
          <a:r>
            <a:rPr lang="en-US" sz="6000" b="1" u="sng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92D05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36 " x 0.75 " </a:t>
          </a:r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92D05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- 19 Pipes </a:t>
          </a:r>
        </a:p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</xdr:txBody>
    </xdr:sp>
    <xdr:clientData/>
  </xdr:oneCellAnchor>
  <xdr:twoCellAnchor>
    <xdr:from>
      <xdr:col>1</xdr:col>
      <xdr:colOff>40820</xdr:colOff>
      <xdr:row>35</xdr:row>
      <xdr:rowOff>734786</xdr:rowOff>
    </xdr:from>
    <xdr:to>
      <xdr:col>11</xdr:col>
      <xdr:colOff>68035</xdr:colOff>
      <xdr:row>41</xdr:row>
      <xdr:rowOff>489858</xdr:rowOff>
    </xdr:to>
    <xdr:sp macro="" textlink="AY50">
      <xdr:nvSpPr>
        <xdr:cNvPr id="5" name="Flowchart: Data 4">
          <a:extLst>
            <a:ext uri="{FF2B5EF4-FFF2-40B4-BE49-F238E27FC236}">
              <a16:creationId xmlns:a16="http://schemas.microsoft.com/office/drawing/2014/main" id="{4A89DD2F-9130-4BFB-93E7-598B2C203971}"/>
            </a:ext>
          </a:extLst>
        </xdr:cNvPr>
        <xdr:cNvSpPr/>
      </xdr:nvSpPr>
      <xdr:spPr>
        <a:xfrm flipH="1">
          <a:off x="650420" y="6859361"/>
          <a:ext cx="6123215" cy="1145722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75DBFF"/>
          </a:solidFill>
        </a:ln>
        <a:effectLst>
          <a:glow rad="101600">
            <a:schemeClr val="accent1">
              <a:satMod val="175000"/>
              <a:alpha val="40000"/>
            </a:scheme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400" b="0" i="0" u="none" strike="noStrike" baseline="0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 RATE: </a:t>
          </a:r>
          <a:fld id="{C222293E-EFA7-4236-A3C8-F0282C5B1E9C}" type="TxLink">
            <a:rPr lang="en-US" sz="4400" b="0" i="0" u="none" strike="noStrike" baseline="0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3.70%</a:t>
          </a:fld>
          <a:endParaRPr lang="en-US" sz="400000" b="1" i="1" cap="none" spc="50">
            <a:ln w="3175" cmpd="sng">
              <a:solidFill>
                <a:schemeClr val="bg1"/>
              </a:solidFill>
              <a:prstDash val="solid"/>
            </a:ln>
            <a:solidFill>
              <a:schemeClr val="bg1"/>
            </a:solidFill>
            <a:effectLst>
              <a:glow rad="228600">
                <a:srgbClr val="75FFF2">
                  <a:alpha val="40000"/>
                </a:srgbClr>
              </a:glow>
            </a:effectLst>
            <a:latin typeface="Trade Gothic Inline" panose="020B0504030203020204" pitchFamily="34" charset="0"/>
          </a:endParaRPr>
        </a:p>
      </xdr:txBody>
    </xdr:sp>
    <xdr:clientData/>
  </xdr:twoCellAnchor>
  <xdr:twoCellAnchor>
    <xdr:from>
      <xdr:col>34</xdr:col>
      <xdr:colOff>143837</xdr:colOff>
      <xdr:row>31</xdr:row>
      <xdr:rowOff>176895</xdr:rowOff>
    </xdr:from>
    <xdr:to>
      <xdr:col>34</xdr:col>
      <xdr:colOff>143837</xdr:colOff>
      <xdr:row>41</xdr:row>
      <xdr:rowOff>489859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BF1ECA3A-FA82-4D66-8410-24138A4AD9D5}"/>
            </a:ext>
          </a:extLst>
        </xdr:cNvPr>
        <xdr:cNvCxnSpPr/>
      </xdr:nvCxnSpPr>
      <xdr:spPr>
        <a:xfrm>
          <a:off x="20870237" y="6082395"/>
          <a:ext cx="0" cy="1922689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136066</xdr:colOff>
      <xdr:row>31</xdr:row>
      <xdr:rowOff>54428</xdr:rowOff>
    </xdr:from>
    <xdr:to>
      <xdr:col>49</xdr:col>
      <xdr:colOff>163278</xdr:colOff>
      <xdr:row>41</xdr:row>
      <xdr:rowOff>683559</xdr:rowOff>
    </xdr:to>
    <xdr:sp macro="" textlink="">
      <xdr:nvSpPr>
        <xdr:cNvPr id="7" name="Left Bracket 6">
          <a:extLst>
            <a:ext uri="{FF2B5EF4-FFF2-40B4-BE49-F238E27FC236}">
              <a16:creationId xmlns:a16="http://schemas.microsoft.com/office/drawing/2014/main" id="{6E6F0593-9A10-4387-B0DA-A1661BB4F19E}"/>
            </a:ext>
          </a:extLst>
        </xdr:cNvPr>
        <xdr:cNvSpPr/>
      </xdr:nvSpPr>
      <xdr:spPr>
        <a:xfrm flipH="1">
          <a:off x="29396866" y="5959928"/>
          <a:ext cx="636812" cy="2038831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15</xdr:col>
      <xdr:colOff>40825</xdr:colOff>
      <xdr:row>31</xdr:row>
      <xdr:rowOff>176890</xdr:rowOff>
    </xdr:from>
    <xdr:to>
      <xdr:col>16</xdr:col>
      <xdr:colOff>163287</xdr:colOff>
      <xdr:row>41</xdr:row>
      <xdr:rowOff>721177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CB1FBC50-B682-4E15-BCF5-8D9F0AA13FD5}"/>
            </a:ext>
          </a:extLst>
        </xdr:cNvPr>
        <xdr:cNvSpPr/>
      </xdr:nvSpPr>
      <xdr:spPr>
        <a:xfrm rot="10800000" flipH="1">
          <a:off x="9184825" y="6082390"/>
          <a:ext cx="732062" cy="1915887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122465</xdr:colOff>
      <xdr:row>35</xdr:row>
      <xdr:rowOff>190499</xdr:rowOff>
    </xdr:from>
    <xdr:to>
      <xdr:col>9</xdr:col>
      <xdr:colOff>122465</xdr:colOff>
      <xdr:row>35</xdr:row>
      <xdr:rowOff>217714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2404307D-F5E3-4F13-8139-79B0F868CE28}"/>
            </a:ext>
          </a:extLst>
        </xdr:cNvPr>
        <xdr:cNvCxnSpPr/>
      </xdr:nvCxnSpPr>
      <xdr:spPr>
        <a:xfrm flipH="1" flipV="1">
          <a:off x="122465" y="6857999"/>
          <a:ext cx="5486400" cy="0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27214</xdr:colOff>
      <xdr:row>35</xdr:row>
      <xdr:rowOff>802821</xdr:rowOff>
    </xdr:from>
    <xdr:to>
      <xdr:col>34</xdr:col>
      <xdr:colOff>27214</xdr:colOff>
      <xdr:row>35</xdr:row>
      <xdr:rowOff>802821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8FD9736B-10A7-4EFA-A257-F584CDEDF416}"/>
            </a:ext>
          </a:extLst>
        </xdr:cNvPr>
        <xdr:cNvCxnSpPr/>
      </xdr:nvCxnSpPr>
      <xdr:spPr>
        <a:xfrm>
          <a:off x="14048014" y="6860721"/>
          <a:ext cx="6705600" cy="0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122464</xdr:colOff>
      <xdr:row>31</xdr:row>
      <xdr:rowOff>272143</xdr:rowOff>
    </xdr:from>
    <xdr:to>
      <xdr:col>22</xdr:col>
      <xdr:colOff>122464</xdr:colOff>
      <xdr:row>41</xdr:row>
      <xdr:rowOff>585107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A74B66ED-0BEF-49CC-AC1A-0DACC5AC3BBE}"/>
            </a:ext>
          </a:extLst>
        </xdr:cNvPr>
        <xdr:cNvCxnSpPr/>
      </xdr:nvCxnSpPr>
      <xdr:spPr>
        <a:xfrm>
          <a:off x="13533664" y="6091918"/>
          <a:ext cx="0" cy="1913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11</xdr:col>
      <xdr:colOff>435429</xdr:colOff>
      <xdr:row>29</xdr:row>
      <xdr:rowOff>476250</xdr:rowOff>
    </xdr:from>
    <xdr:ext cx="4245428" cy="588818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66D6ADA-0FE0-4D3A-9BE0-1BF85191D3E3}"/>
            </a:ext>
          </a:extLst>
        </xdr:cNvPr>
        <xdr:cNvSpPr/>
      </xdr:nvSpPr>
      <xdr:spPr>
        <a:xfrm>
          <a:off x="4735286" y="5783036"/>
          <a:ext cx="4245428" cy="588818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36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CTE Coated: 19 Pcs.</a:t>
          </a:r>
        </a:p>
      </xdr:txBody>
    </xdr:sp>
    <xdr:clientData/>
  </xdr:oneCellAnchor>
  <xdr:oneCellAnchor>
    <xdr:from>
      <xdr:col>0</xdr:col>
      <xdr:colOff>122464</xdr:colOff>
      <xdr:row>29</xdr:row>
      <xdr:rowOff>476250</xdr:rowOff>
    </xdr:from>
    <xdr:ext cx="3913910" cy="588818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14F3E85E-C7EA-40F0-9961-413C0C1C5A2F}"/>
            </a:ext>
          </a:extLst>
        </xdr:cNvPr>
        <xdr:cNvSpPr/>
      </xdr:nvSpPr>
      <xdr:spPr>
        <a:xfrm>
          <a:off x="122464" y="5783036"/>
          <a:ext cx="3913910" cy="588818"/>
        </a:xfrm>
        <a:prstGeom prst="rect">
          <a:avLst/>
        </a:prstGeom>
        <a:solidFill>
          <a:srgbClr val="FFFF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36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tx1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Watco: 30</a:t>
          </a:r>
          <a:r>
            <a:rPr lang="en-US" sz="36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tx1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PCS.</a:t>
          </a:r>
          <a:r>
            <a:rPr lang="en-US" sz="36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tx1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</xdr:txBody>
    </xdr:sp>
    <xdr:clientData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192355</xdr:colOff>
      <xdr:row>31</xdr:row>
      <xdr:rowOff>246662</xdr:rowOff>
    </xdr:from>
    <xdr:ext cx="2651538" cy="73428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9A00E89-10AB-4BDB-AF0C-AB9E98B1F8A3}"/>
            </a:ext>
          </a:extLst>
        </xdr:cNvPr>
        <xdr:cNvSpPr/>
      </xdr:nvSpPr>
      <xdr:spPr>
        <a:xfrm>
          <a:off x="192355" y="9066812"/>
          <a:ext cx="2651538" cy="734288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4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251517</xdr:colOff>
      <xdr:row>34</xdr:row>
      <xdr:rowOff>28330</xdr:rowOff>
    </xdr:from>
    <xdr:ext cx="2592377" cy="680357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ADA12FC-61ED-4E40-849C-B3EB7C8177CB}"/>
            </a:ext>
          </a:extLst>
        </xdr:cNvPr>
        <xdr:cNvSpPr/>
      </xdr:nvSpPr>
      <xdr:spPr>
        <a:xfrm>
          <a:off x="251517" y="10201030"/>
          <a:ext cx="2592377" cy="680357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oneCellAnchor>
    <xdr:from>
      <xdr:col>0</xdr:col>
      <xdr:colOff>139641</xdr:colOff>
      <xdr:row>0</xdr:row>
      <xdr:rowOff>661585</xdr:rowOff>
    </xdr:from>
    <xdr:ext cx="19876467" cy="1134555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F80AC4E-7157-46F1-9D6B-B6CB79155251}"/>
            </a:ext>
          </a:extLst>
        </xdr:cNvPr>
        <xdr:cNvSpPr/>
      </xdr:nvSpPr>
      <xdr:spPr>
        <a:xfrm>
          <a:off x="139641" y="661585"/>
          <a:ext cx="19876467" cy="1134555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tx2">
                  <a:lumMod val="40000"/>
                  <a:lumOff val="6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2025Q-05-093-</a:t>
          </a:r>
          <a:r>
            <a:rPr lang="en-US" sz="4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tx2">
                  <a:lumMod val="40000"/>
                  <a:lumOff val="6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(CP2 LANDSIDE</a:t>
          </a:r>
          <a:r>
            <a:rPr lang="en-US" sz="40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tx2">
                  <a:lumMod val="40000"/>
                  <a:lumOff val="6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ACCESSWAY)</a:t>
          </a:r>
          <a:r>
            <a:rPr lang="en-US" sz="4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tx2">
                  <a:lumMod val="40000"/>
                  <a:lumOff val="6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-</a:t>
          </a:r>
          <a:r>
            <a:rPr lang="en-US" sz="4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75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6000" b="1" u="sng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54 " x 1 "</a:t>
          </a:r>
          <a:r>
            <a:rPr lang="en-US" sz="6000" b="1" u="sng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6000" b="1" u="sng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- 6 Pipes </a:t>
          </a:r>
        </a:p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</xdr:txBody>
    </xdr:sp>
    <xdr:clientData/>
  </xdr:oneCellAnchor>
  <xdr:twoCellAnchor>
    <xdr:from>
      <xdr:col>1</xdr:col>
      <xdr:colOff>40820</xdr:colOff>
      <xdr:row>35</xdr:row>
      <xdr:rowOff>734786</xdr:rowOff>
    </xdr:from>
    <xdr:to>
      <xdr:col>11</xdr:col>
      <xdr:colOff>68035</xdr:colOff>
      <xdr:row>41</xdr:row>
      <xdr:rowOff>489858</xdr:rowOff>
    </xdr:to>
    <xdr:sp macro="" textlink="AY50">
      <xdr:nvSpPr>
        <xdr:cNvPr id="5" name="Flowchart: Data 4">
          <a:extLst>
            <a:ext uri="{FF2B5EF4-FFF2-40B4-BE49-F238E27FC236}">
              <a16:creationId xmlns:a16="http://schemas.microsoft.com/office/drawing/2014/main" id="{B5A3F44C-B4F4-4426-8C6D-B0D6623F11D6}"/>
            </a:ext>
          </a:extLst>
        </xdr:cNvPr>
        <xdr:cNvSpPr/>
      </xdr:nvSpPr>
      <xdr:spPr>
        <a:xfrm flipH="1">
          <a:off x="307520" y="11602811"/>
          <a:ext cx="4065815" cy="2355397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75DBFF"/>
          </a:solidFill>
        </a:ln>
        <a:effectLst>
          <a:glow rad="101600">
            <a:schemeClr val="accent1">
              <a:satMod val="175000"/>
              <a:alpha val="40000"/>
            </a:scheme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400" b="0" i="0" u="none" strike="noStrike" baseline="0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 RATE: </a:t>
          </a:r>
          <a:fld id="{8F299679-1909-4B6B-BFFB-0C416E254B9F}" type="TxLink">
            <a:rPr lang="en-US" sz="4400" b="0" i="0" u="none" strike="noStrike" baseline="0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10.01%</a:t>
          </a:fld>
          <a:endParaRPr lang="en-US" sz="400000" b="1" i="1" cap="none" spc="50">
            <a:ln w="3175" cmpd="sng">
              <a:solidFill>
                <a:schemeClr val="bg1"/>
              </a:solidFill>
              <a:prstDash val="solid"/>
            </a:ln>
            <a:solidFill>
              <a:schemeClr val="bg1"/>
            </a:solidFill>
            <a:effectLst>
              <a:glow rad="228600">
                <a:srgbClr val="75FFF2">
                  <a:alpha val="40000"/>
                </a:srgbClr>
              </a:glow>
            </a:effectLst>
            <a:latin typeface="Trade Gothic Inline" panose="020B0504030203020204" pitchFamily="34" charset="0"/>
          </a:endParaRPr>
        </a:p>
      </xdr:txBody>
    </xdr:sp>
    <xdr:clientData/>
  </xdr:twoCellAnchor>
  <xdr:twoCellAnchor>
    <xdr:from>
      <xdr:col>34</xdr:col>
      <xdr:colOff>143837</xdr:colOff>
      <xdr:row>31</xdr:row>
      <xdr:rowOff>176895</xdr:rowOff>
    </xdr:from>
    <xdr:to>
      <xdr:col>34</xdr:col>
      <xdr:colOff>143837</xdr:colOff>
      <xdr:row>41</xdr:row>
      <xdr:rowOff>489859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DDB12F58-221C-4E54-B721-E5E233857E10}"/>
            </a:ext>
          </a:extLst>
        </xdr:cNvPr>
        <xdr:cNvCxnSpPr/>
      </xdr:nvCxnSpPr>
      <xdr:spPr>
        <a:xfrm>
          <a:off x="13897937" y="8997045"/>
          <a:ext cx="0" cy="4961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136066</xdr:colOff>
      <xdr:row>31</xdr:row>
      <xdr:rowOff>54428</xdr:rowOff>
    </xdr:from>
    <xdr:to>
      <xdr:col>49</xdr:col>
      <xdr:colOff>163278</xdr:colOff>
      <xdr:row>41</xdr:row>
      <xdr:rowOff>683559</xdr:rowOff>
    </xdr:to>
    <xdr:sp macro="" textlink="">
      <xdr:nvSpPr>
        <xdr:cNvPr id="7" name="Left Bracket 6">
          <a:extLst>
            <a:ext uri="{FF2B5EF4-FFF2-40B4-BE49-F238E27FC236}">
              <a16:creationId xmlns:a16="http://schemas.microsoft.com/office/drawing/2014/main" id="{51E3DBED-AEC9-4892-B2B7-21B24D82791D}"/>
            </a:ext>
          </a:extLst>
        </xdr:cNvPr>
        <xdr:cNvSpPr/>
      </xdr:nvSpPr>
      <xdr:spPr>
        <a:xfrm flipH="1">
          <a:off x="19576591" y="8874578"/>
          <a:ext cx="398687" cy="5277331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15</xdr:col>
      <xdr:colOff>40825</xdr:colOff>
      <xdr:row>31</xdr:row>
      <xdr:rowOff>176890</xdr:rowOff>
    </xdr:from>
    <xdr:to>
      <xdr:col>16</xdr:col>
      <xdr:colOff>163287</xdr:colOff>
      <xdr:row>41</xdr:row>
      <xdr:rowOff>721177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8BE9AA24-0F6C-4990-BD3A-BD7D255172FE}"/>
            </a:ext>
          </a:extLst>
        </xdr:cNvPr>
        <xdr:cNvSpPr/>
      </xdr:nvSpPr>
      <xdr:spPr>
        <a:xfrm rot="10800000" flipH="1">
          <a:off x="6089200" y="8997040"/>
          <a:ext cx="398687" cy="5192487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122465</xdr:colOff>
      <xdr:row>35</xdr:row>
      <xdr:rowOff>190499</xdr:rowOff>
    </xdr:from>
    <xdr:to>
      <xdr:col>9</xdr:col>
      <xdr:colOff>122465</xdr:colOff>
      <xdr:row>35</xdr:row>
      <xdr:rowOff>217714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4C98059E-6222-4BD7-A149-B1E6ABC4981B}"/>
            </a:ext>
          </a:extLst>
        </xdr:cNvPr>
        <xdr:cNvCxnSpPr/>
      </xdr:nvCxnSpPr>
      <xdr:spPr>
        <a:xfrm flipH="1" flipV="1">
          <a:off x="122465" y="11058524"/>
          <a:ext cx="3657600" cy="27215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27214</xdr:colOff>
      <xdr:row>35</xdr:row>
      <xdr:rowOff>802821</xdr:rowOff>
    </xdr:from>
    <xdr:to>
      <xdr:col>34</xdr:col>
      <xdr:colOff>27214</xdr:colOff>
      <xdr:row>35</xdr:row>
      <xdr:rowOff>802821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9081767B-8469-4F69-A6CA-FB8D2D7A37BF}"/>
            </a:ext>
          </a:extLst>
        </xdr:cNvPr>
        <xdr:cNvCxnSpPr/>
      </xdr:nvCxnSpPr>
      <xdr:spPr>
        <a:xfrm>
          <a:off x="9371239" y="11670846"/>
          <a:ext cx="4410075" cy="0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122464</xdr:colOff>
      <xdr:row>31</xdr:row>
      <xdr:rowOff>272143</xdr:rowOff>
    </xdr:from>
    <xdr:to>
      <xdr:col>22</xdr:col>
      <xdr:colOff>122464</xdr:colOff>
      <xdr:row>41</xdr:row>
      <xdr:rowOff>585107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40B0C148-6E99-4468-BF13-BAC53A9D191D}"/>
            </a:ext>
          </a:extLst>
        </xdr:cNvPr>
        <xdr:cNvCxnSpPr/>
      </xdr:nvCxnSpPr>
      <xdr:spPr>
        <a:xfrm>
          <a:off x="9180739" y="9092293"/>
          <a:ext cx="0" cy="4961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0</xdr:col>
      <xdr:colOff>163286</xdr:colOff>
      <xdr:row>30</xdr:row>
      <xdr:rowOff>68035</xdr:rowOff>
    </xdr:from>
    <xdr:ext cx="4231822" cy="680357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372DACE-7E3F-47DA-9EB1-C8C336895761}"/>
            </a:ext>
          </a:extLst>
        </xdr:cNvPr>
        <xdr:cNvSpPr/>
      </xdr:nvSpPr>
      <xdr:spPr>
        <a:xfrm>
          <a:off x="163286" y="7238999"/>
          <a:ext cx="4231822" cy="680357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chemeClr val="tx1"/>
              </a:solidFill>
              <a:effectLst>
                <a:glow rad="38100">
                  <a:srgbClr val="FFFF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WATCO: 12 PCS.</a:t>
          </a:r>
          <a:endParaRPr lang="en-US" sz="44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36</xdr:row>
      <xdr:rowOff>33400</xdr:rowOff>
    </xdr:from>
    <xdr:ext cx="2424545" cy="73428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3F5EC32-A736-4BCD-A27D-64C4EE4E9341}"/>
            </a:ext>
          </a:extLst>
        </xdr:cNvPr>
        <xdr:cNvSpPr/>
      </xdr:nvSpPr>
      <xdr:spPr>
        <a:xfrm>
          <a:off x="0" y="6891400"/>
          <a:ext cx="2424545" cy="734288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0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0</xdr:colOff>
      <xdr:row>39</xdr:row>
      <xdr:rowOff>116282</xdr:rowOff>
    </xdr:from>
    <xdr:ext cx="2459182" cy="680357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3BFEBDB-1AD9-4070-849B-679CCD4F35C4}"/>
            </a:ext>
          </a:extLst>
        </xdr:cNvPr>
        <xdr:cNvSpPr/>
      </xdr:nvSpPr>
      <xdr:spPr>
        <a:xfrm>
          <a:off x="0" y="7545782"/>
          <a:ext cx="2459182" cy="680357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oneCellAnchor>
    <xdr:from>
      <xdr:col>5</xdr:col>
      <xdr:colOff>190499</xdr:colOff>
      <xdr:row>0</xdr:row>
      <xdr:rowOff>314199</xdr:rowOff>
    </xdr:from>
    <xdr:ext cx="24228137" cy="536864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5E4A2B9C-76F1-471C-9B10-EE5F4CF33FE3}"/>
            </a:ext>
          </a:extLst>
        </xdr:cNvPr>
        <xdr:cNvSpPr/>
      </xdr:nvSpPr>
      <xdr:spPr>
        <a:xfrm>
          <a:off x="3238499" y="190374"/>
          <a:ext cx="24228137" cy="536864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kumimoji="0" lang="en-US" sz="6600" b="1" i="0" u="none" strike="noStrike" kern="0" cap="none" spc="0" normalizeH="0" baseline="0" noProof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FFC00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EQUIPMENT PLATFORM-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2025Q-05-093 </a:t>
          </a:r>
          <a:r>
            <a:rPr lang="en-US" sz="66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FFFF0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- Ø 36 " x 0.75 " - 70 Pipes </a:t>
          </a:r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rgbClr val="CCFFCC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twoCellAnchor>
    <xdr:from>
      <xdr:col>10</xdr:col>
      <xdr:colOff>265965</xdr:colOff>
      <xdr:row>36</xdr:row>
      <xdr:rowOff>3710</xdr:rowOff>
    </xdr:from>
    <xdr:to>
      <xdr:col>11</xdr:col>
      <xdr:colOff>475017</xdr:colOff>
      <xdr:row>45</xdr:row>
      <xdr:rowOff>259772</xdr:rowOff>
    </xdr:to>
    <xdr:sp macro="" textlink="">
      <xdr:nvSpPr>
        <xdr:cNvPr id="6" name="Left Bracket 5">
          <a:extLst>
            <a:ext uri="{FF2B5EF4-FFF2-40B4-BE49-F238E27FC236}">
              <a16:creationId xmlns:a16="http://schemas.microsoft.com/office/drawing/2014/main" id="{8F9E857D-C6C2-4018-AF48-F1DE28DCA9B5}"/>
            </a:ext>
          </a:extLst>
        </xdr:cNvPr>
        <xdr:cNvSpPr/>
      </xdr:nvSpPr>
      <xdr:spPr>
        <a:xfrm rot="10800000" flipH="1">
          <a:off x="18328829" y="13390665"/>
          <a:ext cx="486143" cy="3130880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23</xdr:col>
      <xdr:colOff>33399</xdr:colOff>
      <xdr:row>37</xdr:row>
      <xdr:rowOff>56036</xdr:rowOff>
    </xdr:from>
    <xdr:to>
      <xdr:col>23</xdr:col>
      <xdr:colOff>49599</xdr:colOff>
      <xdr:row>45</xdr:row>
      <xdr:rowOff>122464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70430F18-783B-4FD5-9C49-241411A18618}"/>
            </a:ext>
          </a:extLst>
        </xdr:cNvPr>
        <xdr:cNvCxnSpPr/>
      </xdr:nvCxnSpPr>
      <xdr:spPr>
        <a:xfrm flipH="1">
          <a:off x="35390199" y="7104536"/>
          <a:ext cx="16200" cy="1590428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231322</xdr:colOff>
      <xdr:row>36</xdr:row>
      <xdr:rowOff>27214</xdr:rowOff>
    </xdr:from>
    <xdr:to>
      <xdr:col>34</xdr:col>
      <xdr:colOff>348834</xdr:colOff>
      <xdr:row>45</xdr:row>
      <xdr:rowOff>192973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AF7A8169-05F3-42E4-98BC-6A83093CF763}"/>
            </a:ext>
          </a:extLst>
        </xdr:cNvPr>
        <xdr:cNvSpPr/>
      </xdr:nvSpPr>
      <xdr:spPr>
        <a:xfrm flipH="1">
          <a:off x="41684122" y="6885214"/>
          <a:ext cx="727112" cy="1880259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105</xdr:row>
      <xdr:rowOff>33400</xdr:rowOff>
    </xdr:from>
    <xdr:ext cx="2424545" cy="73428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AED87B8-09B7-481B-91A8-56512A3891D8}"/>
            </a:ext>
          </a:extLst>
        </xdr:cNvPr>
        <xdr:cNvSpPr/>
      </xdr:nvSpPr>
      <xdr:spPr>
        <a:xfrm>
          <a:off x="609600" y="20035900"/>
          <a:ext cx="2424545" cy="734288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0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1</xdr:col>
      <xdr:colOff>0</xdr:colOff>
      <xdr:row>108</xdr:row>
      <xdr:rowOff>116282</xdr:rowOff>
    </xdr:from>
    <xdr:ext cx="2459182" cy="680357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C633AF1-9C96-455F-971D-18042C286B69}"/>
            </a:ext>
          </a:extLst>
        </xdr:cNvPr>
        <xdr:cNvSpPr/>
      </xdr:nvSpPr>
      <xdr:spPr>
        <a:xfrm>
          <a:off x="609600" y="20690282"/>
          <a:ext cx="2459182" cy="680357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twoCellAnchor>
    <xdr:from>
      <xdr:col>10</xdr:col>
      <xdr:colOff>103910</xdr:colOff>
      <xdr:row>99</xdr:row>
      <xdr:rowOff>80820</xdr:rowOff>
    </xdr:from>
    <xdr:to>
      <xdr:col>23</xdr:col>
      <xdr:colOff>69272</xdr:colOff>
      <xdr:row>110</xdr:row>
      <xdr:rowOff>548411</xdr:rowOff>
    </xdr:to>
    <xdr:sp macro="" textlink="$CI$143">
      <xdr:nvSpPr>
        <xdr:cNvPr id="4" name="Flowchart: Data 3">
          <a:extLst>
            <a:ext uri="{FF2B5EF4-FFF2-40B4-BE49-F238E27FC236}">
              <a16:creationId xmlns:a16="http://schemas.microsoft.com/office/drawing/2014/main" id="{F05146C5-43AF-4454-9B6D-81D507AD7934}"/>
            </a:ext>
          </a:extLst>
        </xdr:cNvPr>
        <xdr:cNvSpPr/>
      </xdr:nvSpPr>
      <xdr:spPr>
        <a:xfrm flipH="1">
          <a:off x="4104410" y="30266411"/>
          <a:ext cx="5264726" cy="2961409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FF8181"/>
          </a:solidFill>
        </a:ln>
        <a:effectLst>
          <a:glow rad="139700">
            <a:srgbClr val="FF8181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800" b="0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 RATE: </a:t>
          </a:r>
          <a:fld id="{0AF522FE-0F7C-452E-9683-8EE204CB516C}" type="TxLink">
            <a:rPr lang="en-US" sz="4800" b="0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1.86%</a:t>
          </a:fld>
          <a:endParaRPr lang="en-US" sz="400000" b="1" i="0" u="none" strike="noStrike">
            <a:solidFill>
              <a:schemeClr val="bg1"/>
            </a:solidFill>
            <a:effectLst>
              <a:glow rad="139700">
                <a:schemeClr val="accent2">
                  <a:alpha val="40000"/>
                </a:schemeClr>
              </a:glow>
            </a:effectLst>
            <a:latin typeface="Trade Gothic Inline" panose="020B0504030203020204" pitchFamily="34" charset="0"/>
            <a:ea typeface="Calibri"/>
            <a:cs typeface="Calibri"/>
          </a:endParaRPr>
        </a:p>
      </xdr:txBody>
    </xdr:sp>
    <xdr:clientData/>
  </xdr:twoCellAnchor>
  <xdr:oneCellAnchor>
    <xdr:from>
      <xdr:col>3</xdr:col>
      <xdr:colOff>329044</xdr:colOff>
      <xdr:row>0</xdr:row>
      <xdr:rowOff>400791</xdr:rowOff>
    </xdr:from>
    <xdr:ext cx="24228137" cy="536864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38849A7D-D3DB-4535-AC6C-C9491DCAE4E2}"/>
            </a:ext>
          </a:extLst>
        </xdr:cNvPr>
        <xdr:cNvSpPr/>
      </xdr:nvSpPr>
      <xdr:spPr>
        <a:xfrm>
          <a:off x="1593271" y="400791"/>
          <a:ext cx="24228137" cy="536864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64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EQUIPMENT PLATFORM 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2025Q-05-093 </a:t>
          </a:r>
          <a:r>
            <a:rPr lang="en-US" sz="66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FFFF0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- Ø 36 " x 0.75 " - 195 Pipes </a:t>
          </a:r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rgbClr val="CCFFCC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twoCellAnchor>
    <xdr:from>
      <xdr:col>24</xdr:col>
      <xdr:colOff>23510</xdr:colOff>
      <xdr:row>105</xdr:row>
      <xdr:rowOff>3710</xdr:rowOff>
    </xdr:from>
    <xdr:to>
      <xdr:col>25</xdr:col>
      <xdr:colOff>145972</xdr:colOff>
      <xdr:row>114</xdr:row>
      <xdr:rowOff>259772</xdr:rowOff>
    </xdr:to>
    <xdr:sp macro="" textlink="">
      <xdr:nvSpPr>
        <xdr:cNvPr id="6" name="Left Bracket 5">
          <a:extLst>
            <a:ext uri="{FF2B5EF4-FFF2-40B4-BE49-F238E27FC236}">
              <a16:creationId xmlns:a16="http://schemas.microsoft.com/office/drawing/2014/main" id="{54AA25DC-0216-42DB-9964-20087E78BBDC}"/>
            </a:ext>
          </a:extLst>
        </xdr:cNvPr>
        <xdr:cNvSpPr/>
      </xdr:nvSpPr>
      <xdr:spPr>
        <a:xfrm rot="10800000" flipH="1">
          <a:off x="14653910" y="20006210"/>
          <a:ext cx="732062" cy="1903887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59</xdr:col>
      <xdr:colOff>33399</xdr:colOff>
      <xdr:row>106</xdr:row>
      <xdr:rowOff>56036</xdr:rowOff>
    </xdr:from>
    <xdr:to>
      <xdr:col>59</xdr:col>
      <xdr:colOff>49599</xdr:colOff>
      <xdr:row>114</xdr:row>
      <xdr:rowOff>122464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25B891C2-5260-4110-AE5F-B76DDDE04317}"/>
            </a:ext>
          </a:extLst>
        </xdr:cNvPr>
        <xdr:cNvCxnSpPr/>
      </xdr:nvCxnSpPr>
      <xdr:spPr>
        <a:xfrm flipH="1">
          <a:off x="35999799" y="20249036"/>
          <a:ext cx="16200" cy="1590428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69</xdr:col>
      <xdr:colOff>155122</xdr:colOff>
      <xdr:row>105</xdr:row>
      <xdr:rowOff>151039</xdr:rowOff>
    </xdr:from>
    <xdr:to>
      <xdr:col>69</xdr:col>
      <xdr:colOff>358359</xdr:colOff>
      <xdr:row>114</xdr:row>
      <xdr:rowOff>316798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4E29225A-35E3-4002-BC67-5FDDB766B168}"/>
            </a:ext>
          </a:extLst>
        </xdr:cNvPr>
        <xdr:cNvSpPr/>
      </xdr:nvSpPr>
      <xdr:spPr>
        <a:xfrm flipH="1">
          <a:off x="42217522" y="20153539"/>
          <a:ext cx="203237" cy="1756434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47</xdr:col>
      <xdr:colOff>34635</xdr:colOff>
      <xdr:row>105</xdr:row>
      <xdr:rowOff>259773</xdr:rowOff>
    </xdr:from>
    <xdr:to>
      <xdr:col>47</xdr:col>
      <xdr:colOff>50835</xdr:colOff>
      <xdr:row>114</xdr:row>
      <xdr:rowOff>49110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7BC1FEA0-4D09-4444-B0A4-2CC30134D189}"/>
            </a:ext>
          </a:extLst>
        </xdr:cNvPr>
        <xdr:cNvCxnSpPr/>
      </xdr:nvCxnSpPr>
      <xdr:spPr>
        <a:xfrm flipH="1">
          <a:off x="28685835" y="20195598"/>
          <a:ext cx="16200" cy="1570512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0</xdr:colOff>
      <xdr:row>106</xdr:row>
      <xdr:rowOff>34637</xdr:rowOff>
    </xdr:from>
    <xdr:to>
      <xdr:col>36</xdr:col>
      <xdr:colOff>16200</xdr:colOff>
      <xdr:row>114</xdr:row>
      <xdr:rowOff>101065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1049CC53-63E2-476D-B618-08F7BC631C28}"/>
            </a:ext>
          </a:extLst>
        </xdr:cNvPr>
        <xdr:cNvCxnSpPr/>
      </xdr:nvCxnSpPr>
      <xdr:spPr>
        <a:xfrm flipH="1">
          <a:off x="21945600" y="20227637"/>
          <a:ext cx="16200" cy="1590428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155862</xdr:colOff>
      <xdr:row>115</xdr:row>
      <xdr:rowOff>121228</xdr:rowOff>
    </xdr:from>
    <xdr:to>
      <xdr:col>11</xdr:col>
      <xdr:colOff>640771</xdr:colOff>
      <xdr:row>119</xdr:row>
      <xdr:rowOff>76201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46AC9C8-2F6E-4C43-AD57-1668F515719C}"/>
            </a:ext>
          </a:extLst>
        </xdr:cNvPr>
        <xdr:cNvSpPr txBox="1"/>
      </xdr:nvSpPr>
      <xdr:spPr>
        <a:xfrm>
          <a:off x="415635" y="35207864"/>
          <a:ext cx="4502727" cy="716973"/>
        </a:xfrm>
        <a:prstGeom prst="rect">
          <a:avLst/>
        </a:prstGeom>
        <a:solidFill>
          <a:srgbClr val="66FF33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54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CTE</a:t>
          </a:r>
          <a:r>
            <a:rPr kumimoji="0" lang="en-US" sz="40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kumimoji="0" lang="en-US" sz="54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COATED</a:t>
          </a:r>
          <a:r>
            <a:rPr kumimoji="0" lang="en-US" sz="40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:</a:t>
          </a:r>
        </a:p>
      </xdr:txBody>
    </xdr:sp>
    <xdr:clientData/>
  </xdr:twoCellAnchor>
  <xdr:twoCellAnchor>
    <xdr:from>
      <xdr:col>16</xdr:col>
      <xdr:colOff>394607</xdr:colOff>
      <xdr:row>115</xdr:row>
      <xdr:rowOff>149679</xdr:rowOff>
    </xdr:from>
    <xdr:to>
      <xdr:col>54</xdr:col>
      <xdr:colOff>51954</xdr:colOff>
      <xdr:row>119</xdr:row>
      <xdr:rowOff>104652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C5FA2CB-2C28-41C8-BD0C-DA037D165979}"/>
            </a:ext>
          </a:extLst>
        </xdr:cNvPr>
        <xdr:cNvSpPr txBox="1"/>
      </xdr:nvSpPr>
      <xdr:spPr>
        <a:xfrm>
          <a:off x="6681107" y="35253634"/>
          <a:ext cx="15087847" cy="716973"/>
        </a:xfrm>
        <a:prstGeom prst="rect">
          <a:avLst/>
        </a:prstGeom>
        <a:solidFill>
          <a:srgbClr val="66FF33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54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Intergard251+Bitumastic 300M</a:t>
          </a:r>
          <a:r>
            <a:rPr kumimoji="0" lang="en-US" sz="40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kumimoji="0" lang="en-US" sz="54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Coated</a:t>
          </a:r>
          <a:r>
            <a:rPr kumimoji="0" lang="en-US" sz="40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: </a:t>
          </a:r>
          <a:r>
            <a:rPr kumimoji="0" lang="en-US" sz="4400" b="1" i="1" u="sng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53 PCS</a:t>
          </a:r>
          <a:r>
            <a:rPr kumimoji="0" lang="en-US" sz="4000" b="1" i="1" u="sng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62</xdr:col>
      <xdr:colOff>34637</xdr:colOff>
      <xdr:row>124</xdr:row>
      <xdr:rowOff>1</xdr:rowOff>
    </xdr:from>
    <xdr:to>
      <xdr:col>71</xdr:col>
      <xdr:colOff>1454728</xdr:colOff>
      <xdr:row>127</xdr:row>
      <xdr:rowOff>110838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95A9CB0-87E0-489A-B463-5E8EB1D6C527}"/>
            </a:ext>
          </a:extLst>
        </xdr:cNvPr>
        <xdr:cNvSpPr txBox="1"/>
      </xdr:nvSpPr>
      <xdr:spPr>
        <a:xfrm>
          <a:off x="25111364" y="36818456"/>
          <a:ext cx="4520046" cy="716973"/>
        </a:xfrm>
        <a:prstGeom prst="rect">
          <a:avLst/>
        </a:prstGeom>
        <a:solidFill>
          <a:srgbClr val="66FF33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800" b="1" i="1" u="none" strike="noStrike" kern="0" cap="none" spc="0" normalizeH="0" baseline="0" noProof="0">
              <a:ln w="3175">
                <a:solidFill>
                  <a:prstClr val="black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70AD47">
                    <a:satMod val="175000"/>
                  </a:srgb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uLnTx/>
              <a:uFillTx/>
              <a:latin typeface="Aptos" panose="020B0004020202020204" pitchFamily="34" charset="0"/>
              <a:ea typeface="+mn-ea"/>
              <a:cs typeface="+mn-cs"/>
            </a:rPr>
            <a:t>Intergad251 Coated : 11 pcs</a:t>
          </a:r>
          <a:endParaRPr kumimoji="0" lang="en-US" sz="1800" b="1" i="1" u="none" strike="noStrike" kern="0" cap="none" spc="0" normalizeH="0" baseline="0" noProof="0">
            <a:ln w="3175">
              <a:solidFill>
                <a:prstClr val="black"/>
              </a:solidFill>
              <a:prstDash val="solid"/>
            </a:ln>
            <a:solidFill>
              <a:srgbClr val="FFFFFF"/>
            </a:solidFill>
            <a:effectLst>
              <a:glow rad="38100">
                <a:srgbClr val="70AD47">
                  <a:satMod val="175000"/>
                </a:srgb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uLnTx/>
            <a:uFillTx/>
            <a:latin typeface="Aptos" panose="020B0004020202020204" pitchFamily="34" charset="0"/>
            <a:ea typeface="+mn-ea"/>
            <a:cs typeface="+mn-cs"/>
          </a:endParaRPr>
        </a:p>
      </xdr:txBody>
    </xdr: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190499</xdr:colOff>
      <xdr:row>0</xdr:row>
      <xdr:rowOff>314199</xdr:rowOff>
    </xdr:from>
    <xdr:ext cx="24228137" cy="536864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737CDDB-7093-41C1-B1A7-C724C0613FCB}"/>
            </a:ext>
          </a:extLst>
        </xdr:cNvPr>
        <xdr:cNvSpPr/>
      </xdr:nvSpPr>
      <xdr:spPr>
        <a:xfrm>
          <a:off x="3238499" y="190374"/>
          <a:ext cx="24228137" cy="536864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SPILLMAN BULKHEAD WALL 07-063b</a:t>
          </a:r>
          <a:r>
            <a:rPr lang="en-US" sz="66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- Ø 30 " x 0.75 " - 131 Pipes </a:t>
          </a:r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rgbClr val="CCFFCC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85</xdr:col>
      <xdr:colOff>547687</xdr:colOff>
      <xdr:row>48</xdr:row>
      <xdr:rowOff>380999</xdr:rowOff>
    </xdr:from>
    <xdr:ext cx="7868949" cy="76074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2F3E42B-9BFE-4356-B75F-B78909AC0B39}"/>
            </a:ext>
          </a:extLst>
        </xdr:cNvPr>
        <xdr:cNvSpPr/>
      </xdr:nvSpPr>
      <xdr:spPr>
        <a:xfrm flipV="1">
          <a:off x="52363687" y="9334499"/>
          <a:ext cx="7868949" cy="76074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rgbClr val="CCFFCC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1</xdr:col>
      <xdr:colOff>0</xdr:colOff>
      <xdr:row>89</xdr:row>
      <xdr:rowOff>119991</xdr:rowOff>
    </xdr:from>
    <xdr:ext cx="2424545" cy="734288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F2AB9002-EE8B-4BB7-9291-42F64C3A8467}"/>
            </a:ext>
          </a:extLst>
        </xdr:cNvPr>
        <xdr:cNvSpPr/>
      </xdr:nvSpPr>
      <xdr:spPr>
        <a:xfrm>
          <a:off x="609600" y="17074491"/>
          <a:ext cx="2424545" cy="734288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0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1</xdr:col>
      <xdr:colOff>0</xdr:colOff>
      <xdr:row>92</xdr:row>
      <xdr:rowOff>64328</xdr:rowOff>
    </xdr:from>
    <xdr:ext cx="2459182" cy="680357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7314990-90F2-453D-8B48-4D1FCB8F8BA5}"/>
            </a:ext>
          </a:extLst>
        </xdr:cNvPr>
        <xdr:cNvSpPr/>
      </xdr:nvSpPr>
      <xdr:spPr>
        <a:xfrm>
          <a:off x="609600" y="17590328"/>
          <a:ext cx="2459182" cy="680357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twoCellAnchor>
    <xdr:from>
      <xdr:col>9</xdr:col>
      <xdr:colOff>141016</xdr:colOff>
      <xdr:row>88</xdr:row>
      <xdr:rowOff>254002</xdr:rowOff>
    </xdr:from>
    <xdr:to>
      <xdr:col>23</xdr:col>
      <xdr:colOff>106380</xdr:colOff>
      <xdr:row>96</xdr:row>
      <xdr:rowOff>139906</xdr:rowOff>
    </xdr:to>
    <xdr:sp macro="" textlink="$BA$112">
      <xdr:nvSpPr>
        <xdr:cNvPr id="6" name="Flowchart: Data 5">
          <a:extLst>
            <a:ext uri="{FF2B5EF4-FFF2-40B4-BE49-F238E27FC236}">
              <a16:creationId xmlns:a16="http://schemas.microsoft.com/office/drawing/2014/main" id="{1714560E-4D20-45C8-B933-55A28FC55F62}"/>
            </a:ext>
          </a:extLst>
        </xdr:cNvPr>
        <xdr:cNvSpPr/>
      </xdr:nvSpPr>
      <xdr:spPr>
        <a:xfrm flipH="1">
          <a:off x="3801337" y="24420288"/>
          <a:ext cx="5639543" cy="3573439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8FE6FB"/>
          </a:solidFill>
        </a:ln>
        <a:effectLst>
          <a:glow rad="139700">
            <a:srgbClr val="8FE6FB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5400" b="0" i="0" u="none" strike="noStrike">
              <a:solidFill>
                <a:schemeClr val="bg1"/>
              </a:solidFill>
              <a:effectLst>
                <a:glow rad="139700">
                  <a:srgbClr val="00B0F0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</a:t>
          </a:r>
          <a:r>
            <a:rPr lang="en-US" sz="5400" b="0" i="0" u="none" strike="noStrike" baseline="0">
              <a:solidFill>
                <a:schemeClr val="bg1"/>
              </a:solidFill>
              <a:effectLst>
                <a:glow rad="139700">
                  <a:srgbClr val="00B0F0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 RATE: </a:t>
          </a:r>
          <a:fld id="{3606EE9D-8417-4611-A1EB-6A23F1A4C101}" type="TxLink">
            <a:rPr lang="en-US" sz="5400" b="0" i="0" u="none" strike="noStrike">
              <a:solidFill>
                <a:schemeClr val="bg1"/>
              </a:solidFill>
              <a:effectLst>
                <a:glow rad="139700">
                  <a:srgbClr val="00B0F0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1.94%</a:t>
          </a:fld>
          <a:endParaRPr lang="en-US" sz="400000" b="1" i="1" cap="none" spc="50">
            <a:ln w="3175" cmpd="sng">
              <a:solidFill>
                <a:schemeClr val="bg1"/>
              </a:solidFill>
              <a:prstDash val="solid"/>
            </a:ln>
            <a:solidFill>
              <a:schemeClr val="bg1"/>
            </a:solidFill>
            <a:effectLst>
              <a:glow rad="139700">
                <a:srgbClr val="00B0F0">
                  <a:alpha val="40000"/>
                </a:srgbClr>
              </a:glow>
            </a:effectLst>
            <a:latin typeface="Trade Gothic Inline" panose="020B0504030203020204" pitchFamily="34" charset="0"/>
          </a:endParaRPr>
        </a:p>
      </xdr:txBody>
    </xdr:sp>
    <xdr:clientData/>
  </xdr:twoCellAnchor>
  <xdr:twoCellAnchor>
    <xdr:from>
      <xdr:col>23</xdr:col>
      <xdr:colOff>277091</xdr:colOff>
      <xdr:row>84</xdr:row>
      <xdr:rowOff>346364</xdr:rowOff>
    </xdr:from>
    <xdr:to>
      <xdr:col>25</xdr:col>
      <xdr:colOff>39582</xdr:colOff>
      <xdr:row>100</xdr:row>
      <xdr:rowOff>190500</xdr:rowOff>
    </xdr:to>
    <xdr:sp macro="" textlink="">
      <xdr:nvSpPr>
        <xdr:cNvPr id="7" name="Left Bracket 6">
          <a:extLst>
            <a:ext uri="{FF2B5EF4-FFF2-40B4-BE49-F238E27FC236}">
              <a16:creationId xmlns:a16="http://schemas.microsoft.com/office/drawing/2014/main" id="{77D85344-2F78-488A-96E6-C2B7FD469599}"/>
            </a:ext>
          </a:extLst>
        </xdr:cNvPr>
        <xdr:cNvSpPr/>
      </xdr:nvSpPr>
      <xdr:spPr>
        <a:xfrm rot="10800000" flipH="1">
          <a:off x="14297891" y="16195964"/>
          <a:ext cx="981691" cy="3044536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8FE6FB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68</xdr:col>
      <xdr:colOff>221416</xdr:colOff>
      <xdr:row>84</xdr:row>
      <xdr:rowOff>534388</xdr:rowOff>
    </xdr:from>
    <xdr:to>
      <xdr:col>69</xdr:col>
      <xdr:colOff>343876</xdr:colOff>
      <xdr:row>100</xdr:row>
      <xdr:rowOff>277089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888F99E7-6B54-4295-8731-6C0B361E436D}"/>
            </a:ext>
          </a:extLst>
        </xdr:cNvPr>
        <xdr:cNvSpPr/>
      </xdr:nvSpPr>
      <xdr:spPr>
        <a:xfrm flipH="1">
          <a:off x="41674216" y="16193488"/>
          <a:ext cx="732060" cy="3047876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8FE6FB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58</xdr:col>
      <xdr:colOff>348834</xdr:colOff>
      <xdr:row>88</xdr:row>
      <xdr:rowOff>519545</xdr:rowOff>
    </xdr:from>
    <xdr:to>
      <xdr:col>59</xdr:col>
      <xdr:colOff>34213</xdr:colOff>
      <xdr:row>100</xdr:row>
      <xdr:rowOff>43006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E6FE109-4D00-4FA2-9E10-8A912E0A7C29}"/>
            </a:ext>
          </a:extLst>
        </xdr:cNvPr>
        <xdr:cNvCxnSpPr/>
      </xdr:nvCxnSpPr>
      <xdr:spPr>
        <a:xfrm flipH="1">
          <a:off x="35705634" y="16950170"/>
          <a:ext cx="294979" cy="2142836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8FE6FB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47</xdr:col>
      <xdr:colOff>3708</xdr:colOff>
      <xdr:row>88</xdr:row>
      <xdr:rowOff>502226</xdr:rowOff>
    </xdr:from>
    <xdr:to>
      <xdr:col>47</xdr:col>
      <xdr:colOff>52769</xdr:colOff>
      <xdr:row>100</xdr:row>
      <xdr:rowOff>25687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7FA2293B-A25D-4A5C-9FEC-B7C308FC13C1}"/>
            </a:ext>
          </a:extLst>
        </xdr:cNvPr>
        <xdr:cNvCxnSpPr/>
      </xdr:nvCxnSpPr>
      <xdr:spPr>
        <a:xfrm flipH="1">
          <a:off x="28654908" y="16951901"/>
          <a:ext cx="49061" cy="2123786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8FE6FB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246163</xdr:colOff>
      <xdr:row>88</xdr:row>
      <xdr:rowOff>519543</xdr:rowOff>
    </xdr:from>
    <xdr:to>
      <xdr:col>36</xdr:col>
      <xdr:colOff>18133</xdr:colOff>
      <xdr:row>100</xdr:row>
      <xdr:rowOff>43004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31FCC356-8B11-4298-B685-361FE5C4E78E}"/>
            </a:ext>
          </a:extLst>
        </xdr:cNvPr>
        <xdr:cNvCxnSpPr/>
      </xdr:nvCxnSpPr>
      <xdr:spPr>
        <a:xfrm flipH="1">
          <a:off x="21582163" y="16950168"/>
          <a:ext cx="381570" cy="2142836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8FE6FB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25</xdr:col>
      <xdr:colOff>259773</xdr:colOff>
      <xdr:row>82</xdr:row>
      <xdr:rowOff>103909</xdr:rowOff>
    </xdr:from>
    <xdr:ext cx="3896591" cy="796636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1D67FD73-3F73-4B34-9E86-99883D78361E}"/>
            </a:ext>
          </a:extLst>
        </xdr:cNvPr>
        <xdr:cNvSpPr/>
      </xdr:nvSpPr>
      <xdr:spPr>
        <a:xfrm>
          <a:off x="10287000" y="22132636"/>
          <a:ext cx="3896591" cy="796636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36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Clutch Tack Weld:    </a:t>
          </a:r>
          <a:endParaRPr lang="en-US" sz="36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40</xdr:col>
      <xdr:colOff>173182</xdr:colOff>
      <xdr:row>82</xdr:row>
      <xdr:rowOff>34636</xdr:rowOff>
    </xdr:from>
    <xdr:ext cx="3913910" cy="883227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CCE0A8B4-4B7A-419B-B3D6-B2050AD63795}"/>
            </a:ext>
          </a:extLst>
        </xdr:cNvPr>
        <xdr:cNvSpPr/>
      </xdr:nvSpPr>
      <xdr:spPr>
        <a:xfrm>
          <a:off x="16279091" y="22063363"/>
          <a:ext cx="3913910" cy="883227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36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Clutch Weld</a:t>
          </a:r>
          <a:r>
            <a:rPr lang="en-US" sz="36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Out</a:t>
          </a:r>
          <a:r>
            <a:rPr lang="en-US" sz="36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:</a:t>
          </a:r>
        </a:p>
      </xdr:txBody>
    </xdr:sp>
    <xdr:clientData/>
  </xdr:oneCellAnchor>
  <xdr:oneCellAnchor>
    <xdr:from>
      <xdr:col>26</xdr:col>
      <xdr:colOff>86590</xdr:colOff>
      <xdr:row>83</xdr:row>
      <xdr:rowOff>242454</xdr:rowOff>
    </xdr:from>
    <xdr:ext cx="3896591" cy="658089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FB7EC860-3116-430A-A5FA-E0EEC7E95F14}"/>
            </a:ext>
          </a:extLst>
        </xdr:cNvPr>
        <xdr:cNvSpPr/>
      </xdr:nvSpPr>
      <xdr:spPr>
        <a:xfrm>
          <a:off x="10390908" y="23292954"/>
          <a:ext cx="3896591" cy="658089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3600" b="1" i="1" cap="none" spc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Primer</a:t>
          </a:r>
          <a:r>
            <a:rPr lang="en-US" sz="36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Coated:</a:t>
          </a:r>
          <a:endParaRPr lang="en-US" sz="36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40</xdr:col>
      <xdr:colOff>207819</xdr:colOff>
      <xdr:row>83</xdr:row>
      <xdr:rowOff>259773</xdr:rowOff>
    </xdr:from>
    <xdr:ext cx="3913910" cy="588818"/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5DD8051A-1491-4ABD-979D-A08FFA318E3C}"/>
            </a:ext>
          </a:extLst>
        </xdr:cNvPr>
        <xdr:cNvSpPr/>
      </xdr:nvSpPr>
      <xdr:spPr>
        <a:xfrm>
          <a:off x="16313728" y="23310273"/>
          <a:ext cx="3913910" cy="588818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36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CTE Coated:</a:t>
          </a:r>
        </a:p>
      </xdr:txBody>
    </xdr:sp>
    <xdr:clientData/>
  </xdr:oneCellAnchor>
</xdr:wsDr>
</file>

<file path=xl/drawings/drawing5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41</xdr:row>
      <xdr:rowOff>257941</xdr:rowOff>
    </xdr:from>
    <xdr:ext cx="2026227" cy="613655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F075B49-0435-4680-97A9-E0642161C192}"/>
            </a:ext>
          </a:extLst>
        </xdr:cNvPr>
        <xdr:cNvSpPr/>
      </xdr:nvSpPr>
      <xdr:spPr>
        <a:xfrm>
          <a:off x="0" y="8001766"/>
          <a:ext cx="2026227" cy="613655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32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32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0</xdr:colOff>
      <xdr:row>42</xdr:row>
      <xdr:rowOff>168238</xdr:rowOff>
    </xdr:from>
    <xdr:ext cx="2130136" cy="541808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F5452AC-3CF4-473F-B8DF-6B663037EEC2}"/>
            </a:ext>
          </a:extLst>
        </xdr:cNvPr>
        <xdr:cNvSpPr/>
      </xdr:nvSpPr>
      <xdr:spPr>
        <a:xfrm>
          <a:off x="0" y="8169238"/>
          <a:ext cx="2130136" cy="541808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32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twoCellAnchor>
    <xdr:from>
      <xdr:col>6</xdr:col>
      <xdr:colOff>380999</xdr:colOff>
      <xdr:row>36</xdr:row>
      <xdr:rowOff>132775</xdr:rowOff>
    </xdr:from>
    <xdr:to>
      <xdr:col>19</xdr:col>
      <xdr:colOff>329044</xdr:colOff>
      <xdr:row>44</xdr:row>
      <xdr:rowOff>11547</xdr:rowOff>
    </xdr:to>
    <xdr:sp macro="" textlink="$AY$80">
      <xdr:nvSpPr>
        <xdr:cNvPr id="4" name="Flowchart: Data 3">
          <a:extLst>
            <a:ext uri="{FF2B5EF4-FFF2-40B4-BE49-F238E27FC236}">
              <a16:creationId xmlns:a16="http://schemas.microsoft.com/office/drawing/2014/main" id="{C37DF5D0-9BC3-4846-863F-E85C4A0090B4}"/>
            </a:ext>
          </a:extLst>
        </xdr:cNvPr>
        <xdr:cNvSpPr/>
      </xdr:nvSpPr>
      <xdr:spPr>
        <a:xfrm flipH="1">
          <a:off x="4038599" y="6990775"/>
          <a:ext cx="7872845" cy="1402772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FF8181"/>
          </a:solidFill>
        </a:ln>
        <a:effectLst>
          <a:glow rad="139700">
            <a:srgbClr val="FF8181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 Rate:                                </a:t>
          </a:r>
          <a:fld id="{9A5BED49-F9C5-4CA1-AF00-255AEE7260EF}" type="TxLink">
            <a:rPr lang="en-US" sz="7200" b="1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0.66%</a:t>
          </a:fld>
          <a:endParaRPr lang="en-US" sz="277800" b="1" i="0" u="none" strike="noStrike">
            <a:solidFill>
              <a:schemeClr val="bg1"/>
            </a:solidFill>
            <a:effectLst>
              <a:glow rad="139700">
                <a:schemeClr val="accent2">
                  <a:alpha val="40000"/>
                </a:schemeClr>
              </a:glow>
            </a:effectLst>
            <a:latin typeface="Trade Gothic Inline" panose="020B0504030203020204" pitchFamily="34" charset="0"/>
            <a:ea typeface="Calibri"/>
            <a:cs typeface="Calibri"/>
          </a:endParaRPr>
        </a:p>
      </xdr:txBody>
    </xdr:sp>
    <xdr:clientData/>
  </xdr:twoCellAnchor>
  <xdr:oneCellAnchor>
    <xdr:from>
      <xdr:col>5</xdr:col>
      <xdr:colOff>190499</xdr:colOff>
      <xdr:row>0</xdr:row>
      <xdr:rowOff>314199</xdr:rowOff>
    </xdr:from>
    <xdr:ext cx="24228137" cy="536864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5FF2A529-3535-4D6A-BCC1-E52B3033EC75}"/>
            </a:ext>
          </a:extLst>
        </xdr:cNvPr>
        <xdr:cNvSpPr/>
      </xdr:nvSpPr>
      <xdr:spPr>
        <a:xfrm>
          <a:off x="3238499" y="190374"/>
          <a:ext cx="24228137" cy="536864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2025Q-09-104 </a:t>
          </a:r>
          <a:r>
            <a:rPr lang="en-US" sz="66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FFFF0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- Ø 36 " x 0.75 " - 70 Pipes </a:t>
          </a:r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rgbClr val="CCFFCC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twoCellAnchor>
    <xdr:from>
      <xdr:col>21</xdr:col>
      <xdr:colOff>75465</xdr:colOff>
      <xdr:row>33</xdr:row>
      <xdr:rowOff>259772</xdr:rowOff>
    </xdr:from>
    <xdr:to>
      <xdr:col>22</xdr:col>
      <xdr:colOff>197927</xdr:colOff>
      <xdr:row>46</xdr:row>
      <xdr:rowOff>51955</xdr:rowOff>
    </xdr:to>
    <xdr:sp macro="" textlink="">
      <xdr:nvSpPr>
        <xdr:cNvPr id="6" name="Left Bracket 5">
          <a:extLst>
            <a:ext uri="{FF2B5EF4-FFF2-40B4-BE49-F238E27FC236}">
              <a16:creationId xmlns:a16="http://schemas.microsoft.com/office/drawing/2014/main" id="{BC5B59C6-6980-449F-9CA5-AAFEB05A71AC}"/>
            </a:ext>
          </a:extLst>
        </xdr:cNvPr>
        <xdr:cNvSpPr/>
      </xdr:nvSpPr>
      <xdr:spPr>
        <a:xfrm rot="10800000" flipH="1">
          <a:off x="12877065" y="6479597"/>
          <a:ext cx="732062" cy="2335358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56</xdr:col>
      <xdr:colOff>31883</xdr:colOff>
      <xdr:row>35</xdr:row>
      <xdr:rowOff>86591</xdr:rowOff>
    </xdr:from>
    <xdr:to>
      <xdr:col>56</xdr:col>
      <xdr:colOff>51954</xdr:colOff>
      <xdr:row>47</xdr:row>
      <xdr:rowOff>17318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63F75B68-FCA8-442C-B1EF-0254E7AA111A}"/>
            </a:ext>
          </a:extLst>
        </xdr:cNvPr>
        <xdr:cNvCxnSpPr/>
      </xdr:nvCxnSpPr>
      <xdr:spPr>
        <a:xfrm flipH="1">
          <a:off x="34169483" y="6754091"/>
          <a:ext cx="20071" cy="2216727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66</xdr:col>
      <xdr:colOff>404504</xdr:colOff>
      <xdr:row>34</xdr:row>
      <xdr:rowOff>9895</xdr:rowOff>
    </xdr:from>
    <xdr:to>
      <xdr:col>68</xdr:col>
      <xdr:colOff>160932</xdr:colOff>
      <xdr:row>47</xdr:row>
      <xdr:rowOff>51954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9878FC50-48FB-4AB4-8919-4B2876FB1721}"/>
            </a:ext>
          </a:extLst>
        </xdr:cNvPr>
        <xdr:cNvSpPr/>
      </xdr:nvSpPr>
      <xdr:spPr>
        <a:xfrm flipH="1">
          <a:off x="40638104" y="6486895"/>
          <a:ext cx="975628" cy="2518559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44</xdr:col>
      <xdr:colOff>34635</xdr:colOff>
      <xdr:row>35</xdr:row>
      <xdr:rowOff>86591</xdr:rowOff>
    </xdr:from>
    <xdr:to>
      <xdr:col>44</xdr:col>
      <xdr:colOff>59691</xdr:colOff>
      <xdr:row>46</xdr:row>
      <xdr:rowOff>31792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45F6698-E103-42C3-B944-427F22D9FC14}"/>
            </a:ext>
          </a:extLst>
        </xdr:cNvPr>
        <xdr:cNvCxnSpPr/>
      </xdr:nvCxnSpPr>
      <xdr:spPr>
        <a:xfrm flipH="1">
          <a:off x="26857035" y="6754091"/>
          <a:ext cx="25056" cy="2040701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277091</xdr:colOff>
      <xdr:row>35</xdr:row>
      <xdr:rowOff>-1</xdr:rowOff>
    </xdr:from>
    <xdr:to>
      <xdr:col>33</xdr:col>
      <xdr:colOff>8352</xdr:colOff>
      <xdr:row>45</xdr:row>
      <xdr:rowOff>239610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DC1BDAE3-1287-4FAB-B56F-382C6C183F0E}"/>
            </a:ext>
          </a:extLst>
        </xdr:cNvPr>
        <xdr:cNvCxnSpPr/>
      </xdr:nvCxnSpPr>
      <xdr:spPr>
        <a:xfrm flipH="1">
          <a:off x="19784291" y="6667499"/>
          <a:ext cx="340861" cy="2096986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</xdr:col>
      <xdr:colOff>138545</xdr:colOff>
      <xdr:row>32</xdr:row>
      <xdr:rowOff>51955</xdr:rowOff>
    </xdr:from>
    <xdr:ext cx="4139046" cy="541808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437F7D1-58E2-4806-99EF-DCC4E0F2ADC5}"/>
            </a:ext>
          </a:extLst>
        </xdr:cNvPr>
        <xdr:cNvSpPr/>
      </xdr:nvSpPr>
      <xdr:spPr>
        <a:xfrm>
          <a:off x="398318" y="11949546"/>
          <a:ext cx="4139046" cy="541808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32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ME Coated: 58 pcs.</a:t>
          </a:r>
        </a:p>
      </xdr:txBody>
    </xdr:sp>
    <xdr:clientData/>
  </xdr:oneCellAnchor>
</xdr:wsDr>
</file>

<file path=xl/drawings/drawing5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192355</xdr:colOff>
      <xdr:row>31</xdr:row>
      <xdr:rowOff>246662</xdr:rowOff>
    </xdr:from>
    <xdr:ext cx="2651538" cy="73428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1C0234F-90DD-494E-A150-39FD0EF8B8F2}"/>
            </a:ext>
          </a:extLst>
        </xdr:cNvPr>
        <xdr:cNvSpPr/>
      </xdr:nvSpPr>
      <xdr:spPr>
        <a:xfrm>
          <a:off x="192355" y="9066812"/>
          <a:ext cx="2651538" cy="734288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4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251517</xdr:colOff>
      <xdr:row>34</xdr:row>
      <xdr:rowOff>28330</xdr:rowOff>
    </xdr:from>
    <xdr:ext cx="2592377" cy="680357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90FD5FC-4A97-402E-98DE-92675C1A2756}"/>
            </a:ext>
          </a:extLst>
        </xdr:cNvPr>
        <xdr:cNvSpPr/>
      </xdr:nvSpPr>
      <xdr:spPr>
        <a:xfrm>
          <a:off x="251517" y="10201030"/>
          <a:ext cx="2592377" cy="680357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oneCellAnchor>
    <xdr:from>
      <xdr:col>0</xdr:col>
      <xdr:colOff>71605</xdr:colOff>
      <xdr:row>0</xdr:row>
      <xdr:rowOff>1409978</xdr:rowOff>
    </xdr:from>
    <xdr:ext cx="19876467" cy="1134555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0F801F4-8EBD-41C0-9F45-FC11E85EDD9E}"/>
            </a:ext>
          </a:extLst>
        </xdr:cNvPr>
        <xdr:cNvSpPr/>
      </xdr:nvSpPr>
      <xdr:spPr>
        <a:xfrm>
          <a:off x="71605" y="1409978"/>
          <a:ext cx="19876467" cy="1134555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75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2025Q-06-99b</a:t>
          </a:r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-</a:t>
          </a:r>
          <a:r>
            <a:rPr lang="en-US" sz="4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75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(ORION </a:t>
          </a:r>
          <a:r>
            <a:rPr lang="en-US" sz="40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75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Targa Bulkhead)</a:t>
          </a:r>
          <a:r>
            <a:rPr lang="en-US" sz="4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75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- </a:t>
          </a:r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60 " x 0.75 "</a:t>
          </a:r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- 18 Pipes </a:t>
          </a:r>
        </a:p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</xdr:txBody>
    </xdr:sp>
    <xdr:clientData/>
  </xdr:oneCellAnchor>
  <xdr:twoCellAnchor>
    <xdr:from>
      <xdr:col>1</xdr:col>
      <xdr:colOff>40820</xdr:colOff>
      <xdr:row>35</xdr:row>
      <xdr:rowOff>734786</xdr:rowOff>
    </xdr:from>
    <xdr:to>
      <xdr:col>11</xdr:col>
      <xdr:colOff>68035</xdr:colOff>
      <xdr:row>41</xdr:row>
      <xdr:rowOff>489858</xdr:rowOff>
    </xdr:to>
    <xdr:sp macro="" textlink="$AY$50">
      <xdr:nvSpPr>
        <xdr:cNvPr id="5" name="Flowchart: Data 4">
          <a:extLst>
            <a:ext uri="{FF2B5EF4-FFF2-40B4-BE49-F238E27FC236}">
              <a16:creationId xmlns:a16="http://schemas.microsoft.com/office/drawing/2014/main" id="{0D3D7B7B-C5E0-4385-858D-F1871C811112}"/>
            </a:ext>
          </a:extLst>
        </xdr:cNvPr>
        <xdr:cNvSpPr/>
      </xdr:nvSpPr>
      <xdr:spPr>
        <a:xfrm flipH="1">
          <a:off x="307520" y="11602811"/>
          <a:ext cx="4065815" cy="2355397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75DBFF"/>
          </a:solidFill>
        </a:ln>
        <a:effectLst>
          <a:glow rad="101600">
            <a:schemeClr val="accent1">
              <a:satMod val="175000"/>
              <a:alpha val="40000"/>
            </a:scheme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000" b="0" i="0" u="none" strike="noStrike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 RATE: </a:t>
          </a:r>
          <a:fld id="{1666CB92-85ED-4290-AD84-E47A51679CB1}" type="TxLink">
            <a:rPr lang="en-US" sz="4000" b="0" i="0" u="none" strike="noStrike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4.73%</a:t>
          </a:fld>
          <a:endParaRPr lang="en-US" sz="23900" b="1">
            <a:solidFill>
              <a:schemeClr val="bg1"/>
            </a:solidFill>
            <a:effectLst>
              <a:glow rad="228600">
                <a:srgbClr val="75FFF2">
                  <a:alpha val="40000"/>
                </a:srgbClr>
              </a:glow>
            </a:effectLst>
            <a:latin typeface="Trade Gothic Inline" panose="020B0504030203020204" pitchFamily="34" charset="0"/>
          </a:endParaRPr>
        </a:p>
      </xdr:txBody>
    </xdr:sp>
    <xdr:clientData/>
  </xdr:twoCellAnchor>
  <xdr:twoCellAnchor>
    <xdr:from>
      <xdr:col>34</xdr:col>
      <xdr:colOff>143837</xdr:colOff>
      <xdr:row>31</xdr:row>
      <xdr:rowOff>176895</xdr:rowOff>
    </xdr:from>
    <xdr:to>
      <xdr:col>34</xdr:col>
      <xdr:colOff>143837</xdr:colOff>
      <xdr:row>41</xdr:row>
      <xdr:rowOff>489859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EE63DA46-4538-476A-AA7A-8F1DD0C19DD7}"/>
            </a:ext>
          </a:extLst>
        </xdr:cNvPr>
        <xdr:cNvCxnSpPr/>
      </xdr:nvCxnSpPr>
      <xdr:spPr>
        <a:xfrm>
          <a:off x="13897937" y="8997045"/>
          <a:ext cx="0" cy="4961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136066</xdr:colOff>
      <xdr:row>31</xdr:row>
      <xdr:rowOff>54428</xdr:rowOff>
    </xdr:from>
    <xdr:to>
      <xdr:col>49</xdr:col>
      <xdr:colOff>163278</xdr:colOff>
      <xdr:row>41</xdr:row>
      <xdr:rowOff>683559</xdr:rowOff>
    </xdr:to>
    <xdr:sp macro="" textlink="">
      <xdr:nvSpPr>
        <xdr:cNvPr id="7" name="Left Bracket 6">
          <a:extLst>
            <a:ext uri="{FF2B5EF4-FFF2-40B4-BE49-F238E27FC236}">
              <a16:creationId xmlns:a16="http://schemas.microsoft.com/office/drawing/2014/main" id="{39706503-60E0-4405-A2E4-1DAB4D786DE5}"/>
            </a:ext>
          </a:extLst>
        </xdr:cNvPr>
        <xdr:cNvSpPr/>
      </xdr:nvSpPr>
      <xdr:spPr>
        <a:xfrm flipH="1">
          <a:off x="19576591" y="8874578"/>
          <a:ext cx="398687" cy="5277331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15</xdr:col>
      <xdr:colOff>40825</xdr:colOff>
      <xdr:row>31</xdr:row>
      <xdr:rowOff>176890</xdr:rowOff>
    </xdr:from>
    <xdr:to>
      <xdr:col>16</xdr:col>
      <xdr:colOff>163287</xdr:colOff>
      <xdr:row>41</xdr:row>
      <xdr:rowOff>721177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989D3EC1-DE86-473A-A415-AD928E16BCAF}"/>
            </a:ext>
          </a:extLst>
        </xdr:cNvPr>
        <xdr:cNvSpPr/>
      </xdr:nvSpPr>
      <xdr:spPr>
        <a:xfrm rot="10800000" flipH="1">
          <a:off x="6089200" y="8997040"/>
          <a:ext cx="398687" cy="5192487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122465</xdr:colOff>
      <xdr:row>35</xdr:row>
      <xdr:rowOff>190499</xdr:rowOff>
    </xdr:from>
    <xdr:to>
      <xdr:col>9</xdr:col>
      <xdr:colOff>122465</xdr:colOff>
      <xdr:row>35</xdr:row>
      <xdr:rowOff>217714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DCB78626-BBA6-4F91-B6FD-4339BAFCE82A}"/>
            </a:ext>
          </a:extLst>
        </xdr:cNvPr>
        <xdr:cNvCxnSpPr/>
      </xdr:nvCxnSpPr>
      <xdr:spPr>
        <a:xfrm flipH="1" flipV="1">
          <a:off x="122465" y="11058524"/>
          <a:ext cx="3657600" cy="27215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27214</xdr:colOff>
      <xdr:row>35</xdr:row>
      <xdr:rowOff>802821</xdr:rowOff>
    </xdr:from>
    <xdr:to>
      <xdr:col>34</xdr:col>
      <xdr:colOff>27214</xdr:colOff>
      <xdr:row>35</xdr:row>
      <xdr:rowOff>802821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3CF44DF7-0647-4B6D-B47B-A9510B537BBA}"/>
            </a:ext>
          </a:extLst>
        </xdr:cNvPr>
        <xdr:cNvCxnSpPr/>
      </xdr:nvCxnSpPr>
      <xdr:spPr>
        <a:xfrm>
          <a:off x="9371239" y="11670846"/>
          <a:ext cx="4410075" cy="0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122464</xdr:colOff>
      <xdr:row>31</xdr:row>
      <xdr:rowOff>272143</xdr:rowOff>
    </xdr:from>
    <xdr:to>
      <xdr:col>22</xdr:col>
      <xdr:colOff>122464</xdr:colOff>
      <xdr:row>41</xdr:row>
      <xdr:rowOff>585107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CF0A31E3-2035-4B68-855F-F36F3A3CA782}"/>
            </a:ext>
          </a:extLst>
        </xdr:cNvPr>
        <xdr:cNvCxnSpPr/>
      </xdr:nvCxnSpPr>
      <xdr:spPr>
        <a:xfrm>
          <a:off x="9180739" y="9092293"/>
          <a:ext cx="0" cy="4961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38</xdr:col>
      <xdr:colOff>149679</xdr:colOff>
      <xdr:row>30</xdr:row>
      <xdr:rowOff>176893</xdr:rowOff>
    </xdr:from>
    <xdr:ext cx="4395106" cy="449036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AD70AE4-5E40-4DF7-891E-A6F18BA16FDE}"/>
            </a:ext>
          </a:extLst>
        </xdr:cNvPr>
        <xdr:cNvSpPr/>
      </xdr:nvSpPr>
      <xdr:spPr>
        <a:xfrm>
          <a:off x="15525750" y="7225393"/>
          <a:ext cx="4395106" cy="449036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28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Clutch Mounted: 18 pcs.</a:t>
          </a:r>
          <a:endParaRPr lang="en-US" sz="28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38</xdr:col>
      <xdr:colOff>258536</xdr:colOff>
      <xdr:row>30</xdr:row>
      <xdr:rowOff>598714</xdr:rowOff>
    </xdr:from>
    <xdr:ext cx="4245428" cy="476250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74113A93-298D-4950-A43F-8340FDDA2C39}"/>
            </a:ext>
          </a:extLst>
        </xdr:cNvPr>
        <xdr:cNvSpPr/>
      </xdr:nvSpPr>
      <xdr:spPr>
        <a:xfrm>
          <a:off x="15634607" y="7647214"/>
          <a:ext cx="4245428" cy="476250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28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Clutch Weld Out: 18 pcs.</a:t>
          </a:r>
        </a:p>
      </xdr:txBody>
    </xdr:sp>
    <xdr:clientData/>
  </xdr:oneCellAnchor>
  <xdr:oneCellAnchor>
    <xdr:from>
      <xdr:col>1</xdr:col>
      <xdr:colOff>353786</xdr:colOff>
      <xdr:row>30</xdr:row>
      <xdr:rowOff>870857</xdr:rowOff>
    </xdr:from>
    <xdr:ext cx="4139046" cy="541808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3CF4AD8-002B-4D42-B31A-BAD467F874B2}"/>
            </a:ext>
          </a:extLst>
        </xdr:cNvPr>
        <xdr:cNvSpPr/>
      </xdr:nvSpPr>
      <xdr:spPr>
        <a:xfrm>
          <a:off x="625929" y="7919357"/>
          <a:ext cx="4139046" cy="541808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32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CTE Coated:</a:t>
          </a:r>
          <a:r>
            <a:rPr lang="en-US" sz="32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18 pcs.</a:t>
          </a:r>
          <a:endParaRPr lang="en-US" sz="32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13</xdr:col>
      <xdr:colOff>272142</xdr:colOff>
      <xdr:row>30</xdr:row>
      <xdr:rowOff>884464</xdr:rowOff>
    </xdr:from>
    <xdr:ext cx="4139046" cy="541808"/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29558548-B958-4F39-AFC4-4064925EF342}"/>
            </a:ext>
          </a:extLst>
        </xdr:cNvPr>
        <xdr:cNvSpPr/>
      </xdr:nvSpPr>
      <xdr:spPr>
        <a:xfrm>
          <a:off x="5578928" y="7932964"/>
          <a:ext cx="4139046" cy="541808"/>
        </a:xfrm>
        <a:prstGeom prst="rect">
          <a:avLst/>
        </a:prstGeom>
        <a:solidFill>
          <a:srgbClr val="FFFF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32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tx1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WATCO: 18 PCS</a:t>
          </a:r>
        </a:p>
      </xdr:txBody>
    </xdr:sp>
    <xdr:clientData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42</xdr:row>
      <xdr:rowOff>257941</xdr:rowOff>
    </xdr:from>
    <xdr:ext cx="2026227" cy="613655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D626F69-6543-44C1-A2EC-B25AF084E606}"/>
            </a:ext>
          </a:extLst>
        </xdr:cNvPr>
        <xdr:cNvSpPr/>
      </xdr:nvSpPr>
      <xdr:spPr>
        <a:xfrm>
          <a:off x="0" y="8192266"/>
          <a:ext cx="2026227" cy="613655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32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32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0</xdr:colOff>
      <xdr:row>43</xdr:row>
      <xdr:rowOff>168238</xdr:rowOff>
    </xdr:from>
    <xdr:ext cx="2130136" cy="541808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6041529-E34C-4990-B720-38820F944B68}"/>
            </a:ext>
          </a:extLst>
        </xdr:cNvPr>
        <xdr:cNvSpPr/>
      </xdr:nvSpPr>
      <xdr:spPr>
        <a:xfrm>
          <a:off x="0" y="8359738"/>
          <a:ext cx="2130136" cy="541808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32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twoCellAnchor>
    <xdr:from>
      <xdr:col>6</xdr:col>
      <xdr:colOff>450272</xdr:colOff>
      <xdr:row>37</xdr:row>
      <xdr:rowOff>202048</xdr:rowOff>
    </xdr:from>
    <xdr:to>
      <xdr:col>20</xdr:col>
      <xdr:colOff>34635</xdr:colOff>
      <xdr:row>45</xdr:row>
      <xdr:rowOff>80820</xdr:rowOff>
    </xdr:to>
    <xdr:sp macro="" textlink="$AY$81">
      <xdr:nvSpPr>
        <xdr:cNvPr id="4" name="Flowchart: Data 3">
          <a:extLst>
            <a:ext uri="{FF2B5EF4-FFF2-40B4-BE49-F238E27FC236}">
              <a16:creationId xmlns:a16="http://schemas.microsoft.com/office/drawing/2014/main" id="{6A03ACD4-35B0-4C01-8CB8-BFE2B1443C5F}"/>
            </a:ext>
          </a:extLst>
        </xdr:cNvPr>
        <xdr:cNvSpPr/>
      </xdr:nvSpPr>
      <xdr:spPr>
        <a:xfrm flipH="1">
          <a:off x="2718954" y="14766639"/>
          <a:ext cx="5333999" cy="2632363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FF8181"/>
          </a:solidFill>
        </a:ln>
        <a:effectLst>
          <a:glow rad="139700">
            <a:srgbClr val="FF8181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800" b="0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</a:t>
          </a:r>
          <a:r>
            <a:rPr lang="en-US" sz="4800" b="0" i="0" u="none" strike="noStrike" baseline="0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 RATE: </a:t>
          </a:r>
          <a:fld id="{3086D39A-54DC-4D06-97CA-1D87F6872518}" type="TxLink">
            <a:rPr lang="en-US" sz="4800" b="0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5.45%</a:t>
          </a:fld>
          <a:endParaRPr lang="en-US" sz="400000" b="1" i="0" u="none" strike="noStrike">
            <a:solidFill>
              <a:schemeClr val="bg1"/>
            </a:solidFill>
            <a:effectLst>
              <a:glow rad="139700">
                <a:schemeClr val="accent2">
                  <a:alpha val="40000"/>
                </a:schemeClr>
              </a:glow>
            </a:effectLst>
            <a:latin typeface="Trade Gothic Inline" panose="020B0504030203020204" pitchFamily="34" charset="0"/>
            <a:ea typeface="Calibri"/>
            <a:cs typeface="Calibri"/>
          </a:endParaRPr>
        </a:p>
      </xdr:txBody>
    </xdr:sp>
    <xdr:clientData/>
  </xdr:twoCellAnchor>
  <xdr:oneCellAnchor>
    <xdr:from>
      <xdr:col>3</xdr:col>
      <xdr:colOff>103908</xdr:colOff>
      <xdr:row>0</xdr:row>
      <xdr:rowOff>816427</xdr:rowOff>
    </xdr:from>
    <xdr:ext cx="24228137" cy="536864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5DEC6BF7-DCB5-4E35-B938-24F1ECF7B4FD}"/>
            </a:ext>
          </a:extLst>
        </xdr:cNvPr>
        <xdr:cNvSpPr/>
      </xdr:nvSpPr>
      <xdr:spPr>
        <a:xfrm>
          <a:off x="1368135" y="816427"/>
          <a:ext cx="24228137" cy="536864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ORION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54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TARGA BULKHEAD 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2025Q-06-99a </a:t>
          </a:r>
          <a:r>
            <a:rPr lang="en-US" sz="66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2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>
                  <a:lumMod val="75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-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36 " x 0.75 " - 38 Pipes </a:t>
          </a:r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chemeClr val="accent1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twoCellAnchor>
    <xdr:from>
      <xdr:col>21</xdr:col>
      <xdr:colOff>75465</xdr:colOff>
      <xdr:row>34</xdr:row>
      <xdr:rowOff>259772</xdr:rowOff>
    </xdr:from>
    <xdr:to>
      <xdr:col>22</xdr:col>
      <xdr:colOff>197927</xdr:colOff>
      <xdr:row>47</xdr:row>
      <xdr:rowOff>51955</xdr:rowOff>
    </xdr:to>
    <xdr:sp macro="" textlink="">
      <xdr:nvSpPr>
        <xdr:cNvPr id="6" name="Left Bracket 5">
          <a:extLst>
            <a:ext uri="{FF2B5EF4-FFF2-40B4-BE49-F238E27FC236}">
              <a16:creationId xmlns:a16="http://schemas.microsoft.com/office/drawing/2014/main" id="{BD6CB5D2-F46A-474D-B99C-2B25E629F00A}"/>
            </a:ext>
          </a:extLst>
        </xdr:cNvPr>
        <xdr:cNvSpPr/>
      </xdr:nvSpPr>
      <xdr:spPr>
        <a:xfrm rot="10800000" flipH="1">
          <a:off x="12877065" y="6670097"/>
          <a:ext cx="732062" cy="2335358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56</xdr:col>
      <xdr:colOff>31883</xdr:colOff>
      <xdr:row>36</xdr:row>
      <xdr:rowOff>86591</xdr:rowOff>
    </xdr:from>
    <xdr:to>
      <xdr:col>56</xdr:col>
      <xdr:colOff>51954</xdr:colOff>
      <xdr:row>48</xdr:row>
      <xdr:rowOff>17318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89119C3C-727F-49CE-AE7D-FB355821307A}"/>
            </a:ext>
          </a:extLst>
        </xdr:cNvPr>
        <xdr:cNvCxnSpPr/>
      </xdr:nvCxnSpPr>
      <xdr:spPr>
        <a:xfrm flipH="1">
          <a:off x="34169483" y="6944591"/>
          <a:ext cx="20071" cy="2216727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66</xdr:col>
      <xdr:colOff>404504</xdr:colOff>
      <xdr:row>35</xdr:row>
      <xdr:rowOff>9895</xdr:rowOff>
    </xdr:from>
    <xdr:to>
      <xdr:col>68</xdr:col>
      <xdr:colOff>160932</xdr:colOff>
      <xdr:row>48</xdr:row>
      <xdr:rowOff>51954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E640AFFD-1C90-4B56-AF8F-CE44DE380B63}"/>
            </a:ext>
          </a:extLst>
        </xdr:cNvPr>
        <xdr:cNvSpPr/>
      </xdr:nvSpPr>
      <xdr:spPr>
        <a:xfrm flipH="1">
          <a:off x="40638104" y="6677395"/>
          <a:ext cx="975628" cy="2518559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44</xdr:col>
      <xdr:colOff>34635</xdr:colOff>
      <xdr:row>36</xdr:row>
      <xdr:rowOff>86591</xdr:rowOff>
    </xdr:from>
    <xdr:to>
      <xdr:col>44</xdr:col>
      <xdr:colOff>59691</xdr:colOff>
      <xdr:row>47</xdr:row>
      <xdr:rowOff>31792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1CA58263-0002-40DE-A3FD-71859A873AC9}"/>
            </a:ext>
          </a:extLst>
        </xdr:cNvPr>
        <xdr:cNvCxnSpPr/>
      </xdr:nvCxnSpPr>
      <xdr:spPr>
        <a:xfrm flipH="1">
          <a:off x="26857035" y="6944591"/>
          <a:ext cx="25056" cy="2040701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277091</xdr:colOff>
      <xdr:row>36</xdr:row>
      <xdr:rowOff>-1</xdr:rowOff>
    </xdr:from>
    <xdr:to>
      <xdr:col>33</xdr:col>
      <xdr:colOff>8352</xdr:colOff>
      <xdr:row>46</xdr:row>
      <xdr:rowOff>239610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94D18E88-6CD4-4082-B095-B5FF027ED87F}"/>
            </a:ext>
          </a:extLst>
        </xdr:cNvPr>
        <xdr:cNvCxnSpPr/>
      </xdr:nvCxnSpPr>
      <xdr:spPr>
        <a:xfrm flipH="1">
          <a:off x="19784291" y="6857999"/>
          <a:ext cx="340861" cy="2096986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0</xdr:col>
      <xdr:colOff>173181</xdr:colOff>
      <xdr:row>30</xdr:row>
      <xdr:rowOff>0</xdr:rowOff>
    </xdr:from>
    <xdr:ext cx="3268173" cy="969818"/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EC6809C-9DE7-45D3-B17A-D89590C1C263}"/>
            </a:ext>
          </a:extLst>
        </xdr:cNvPr>
        <xdr:cNvSpPr/>
      </xdr:nvSpPr>
      <xdr:spPr>
        <a:xfrm>
          <a:off x="173181" y="11464636"/>
          <a:ext cx="3268173" cy="969818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32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Clutch Weld</a:t>
          </a:r>
        </a:p>
        <a:p>
          <a:pPr algn="ctr"/>
          <a:r>
            <a:rPr lang="en-US" sz="32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Out:</a:t>
          </a:r>
        </a:p>
      </xdr:txBody>
    </xdr:sp>
    <xdr:clientData/>
  </xdr:oneCellAnchor>
  <xdr:oneCellAnchor>
    <xdr:from>
      <xdr:col>0</xdr:col>
      <xdr:colOff>242454</xdr:colOff>
      <xdr:row>31</xdr:row>
      <xdr:rowOff>207818</xdr:rowOff>
    </xdr:from>
    <xdr:ext cx="3273137" cy="640774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510B117B-C62E-4DC2-AF8C-3A52747022E9}"/>
            </a:ext>
          </a:extLst>
        </xdr:cNvPr>
        <xdr:cNvSpPr/>
      </xdr:nvSpPr>
      <xdr:spPr>
        <a:xfrm>
          <a:off x="242454" y="12676909"/>
          <a:ext cx="3273137" cy="640774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32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Clutch Mounting:</a:t>
          </a:r>
          <a:endParaRPr lang="en-US" sz="32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</xdr:wsDr>
</file>

<file path=xl/drawings/drawing5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192355</xdr:colOff>
      <xdr:row>31</xdr:row>
      <xdr:rowOff>246662</xdr:rowOff>
    </xdr:from>
    <xdr:ext cx="2651538" cy="73428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975FE28-8806-48E7-AD83-A1B274384AF8}"/>
            </a:ext>
          </a:extLst>
        </xdr:cNvPr>
        <xdr:cNvSpPr/>
      </xdr:nvSpPr>
      <xdr:spPr>
        <a:xfrm>
          <a:off x="192355" y="9066812"/>
          <a:ext cx="2651538" cy="734288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4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251517</xdr:colOff>
      <xdr:row>34</xdr:row>
      <xdr:rowOff>28330</xdr:rowOff>
    </xdr:from>
    <xdr:ext cx="2592377" cy="680357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805F44A-A8B5-419E-BA6B-01504A5A78BB}"/>
            </a:ext>
          </a:extLst>
        </xdr:cNvPr>
        <xdr:cNvSpPr/>
      </xdr:nvSpPr>
      <xdr:spPr>
        <a:xfrm>
          <a:off x="251517" y="10201030"/>
          <a:ext cx="2592377" cy="680357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44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oneCellAnchor>
    <xdr:from>
      <xdr:col>1</xdr:col>
      <xdr:colOff>411783</xdr:colOff>
      <xdr:row>0</xdr:row>
      <xdr:rowOff>1491620</xdr:rowOff>
    </xdr:from>
    <xdr:ext cx="18860735" cy="1134555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541000B-9096-445A-9BBF-B3139AFDEA8A}"/>
            </a:ext>
          </a:extLst>
        </xdr:cNvPr>
        <xdr:cNvSpPr/>
      </xdr:nvSpPr>
      <xdr:spPr>
        <a:xfrm>
          <a:off x="678483" y="1491620"/>
          <a:ext cx="18860735" cy="1134555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75FFF2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2025Q-05-092-</a:t>
          </a:r>
          <a:r>
            <a:rPr lang="en-US" sz="4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75FFF2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(</a:t>
          </a:r>
          <a:r>
            <a:rPr lang="en-US" sz="40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75FFF2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Marathon Docks 42-43)</a:t>
          </a:r>
          <a:r>
            <a:rPr lang="en-US" sz="4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75FFF2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- </a:t>
          </a:r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75FFF2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60 " x 0.75 " - 20 Pipes </a:t>
          </a:r>
        </a:p>
        <a:p>
          <a:pPr algn="ctr"/>
          <a:r>
            <a:rPr lang="en-US" sz="60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</a:p>
      </xdr:txBody>
    </xdr:sp>
    <xdr:clientData/>
  </xdr:oneCellAnchor>
  <xdr:twoCellAnchor>
    <xdr:from>
      <xdr:col>0</xdr:col>
      <xdr:colOff>272142</xdr:colOff>
      <xdr:row>35</xdr:row>
      <xdr:rowOff>693965</xdr:rowOff>
    </xdr:from>
    <xdr:to>
      <xdr:col>11</xdr:col>
      <xdr:colOff>27214</xdr:colOff>
      <xdr:row>41</xdr:row>
      <xdr:rowOff>449037</xdr:rowOff>
    </xdr:to>
    <xdr:sp macro="" textlink="AY50">
      <xdr:nvSpPr>
        <xdr:cNvPr id="5" name="Flowchart: Data 4">
          <a:extLst>
            <a:ext uri="{FF2B5EF4-FFF2-40B4-BE49-F238E27FC236}">
              <a16:creationId xmlns:a16="http://schemas.microsoft.com/office/drawing/2014/main" id="{DA8A9E24-1E1E-4D29-B4C3-26377A5100D9}"/>
            </a:ext>
          </a:extLst>
        </xdr:cNvPr>
        <xdr:cNvSpPr/>
      </xdr:nvSpPr>
      <xdr:spPr>
        <a:xfrm flipH="1">
          <a:off x="272142" y="11552465"/>
          <a:ext cx="4054929" cy="2367643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75DBFF"/>
          </a:solidFill>
        </a:ln>
        <a:effectLst>
          <a:glow rad="101600">
            <a:schemeClr val="accent1">
              <a:satMod val="175000"/>
              <a:alpha val="40000"/>
            </a:scheme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400" b="0" i="0" u="none" strike="noStrike" baseline="0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 RATE: </a:t>
          </a:r>
          <a:fld id="{B3B0EA34-BE15-49FE-9661-CC1D58D9ACED}" type="TxLink">
            <a:rPr lang="en-US" sz="4400" b="0" i="0" u="none" strike="noStrike" baseline="0">
              <a:solidFill>
                <a:schemeClr val="bg1"/>
              </a:solidFill>
              <a:effectLst>
                <a:glow rad="228600">
                  <a:srgbClr val="75FFF2">
                    <a:alpha val="40000"/>
                  </a:srgb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5.06%</a:t>
          </a:fld>
          <a:endParaRPr lang="en-US" sz="400000" b="1" i="1" cap="none" spc="50">
            <a:ln w="3175" cmpd="sng">
              <a:solidFill>
                <a:schemeClr val="bg1"/>
              </a:solidFill>
              <a:prstDash val="solid"/>
            </a:ln>
            <a:solidFill>
              <a:schemeClr val="bg1"/>
            </a:solidFill>
            <a:effectLst>
              <a:glow rad="228600">
                <a:srgbClr val="75FFF2">
                  <a:alpha val="40000"/>
                </a:srgbClr>
              </a:glow>
            </a:effectLst>
            <a:latin typeface="Trade Gothic Inline" panose="020B0504030203020204" pitchFamily="34" charset="0"/>
          </a:endParaRPr>
        </a:p>
      </xdr:txBody>
    </xdr:sp>
    <xdr:clientData/>
  </xdr:twoCellAnchor>
  <xdr:twoCellAnchor>
    <xdr:from>
      <xdr:col>34</xdr:col>
      <xdr:colOff>143837</xdr:colOff>
      <xdr:row>31</xdr:row>
      <xdr:rowOff>176895</xdr:rowOff>
    </xdr:from>
    <xdr:to>
      <xdr:col>34</xdr:col>
      <xdr:colOff>143837</xdr:colOff>
      <xdr:row>41</xdr:row>
      <xdr:rowOff>489859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292034AA-E94D-4DB9-B38C-4866EBF4A383}"/>
            </a:ext>
          </a:extLst>
        </xdr:cNvPr>
        <xdr:cNvCxnSpPr/>
      </xdr:nvCxnSpPr>
      <xdr:spPr>
        <a:xfrm>
          <a:off x="13897937" y="8997045"/>
          <a:ext cx="0" cy="4961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136066</xdr:colOff>
      <xdr:row>31</xdr:row>
      <xdr:rowOff>54428</xdr:rowOff>
    </xdr:from>
    <xdr:to>
      <xdr:col>49</xdr:col>
      <xdr:colOff>163278</xdr:colOff>
      <xdr:row>41</xdr:row>
      <xdr:rowOff>683559</xdr:rowOff>
    </xdr:to>
    <xdr:sp macro="" textlink="">
      <xdr:nvSpPr>
        <xdr:cNvPr id="7" name="Left Bracket 6">
          <a:extLst>
            <a:ext uri="{FF2B5EF4-FFF2-40B4-BE49-F238E27FC236}">
              <a16:creationId xmlns:a16="http://schemas.microsoft.com/office/drawing/2014/main" id="{817D7300-505A-43D0-A519-6DC648D0535B}"/>
            </a:ext>
          </a:extLst>
        </xdr:cNvPr>
        <xdr:cNvSpPr/>
      </xdr:nvSpPr>
      <xdr:spPr>
        <a:xfrm flipH="1">
          <a:off x="19576591" y="8874578"/>
          <a:ext cx="398687" cy="5277331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15</xdr:col>
      <xdr:colOff>40825</xdr:colOff>
      <xdr:row>31</xdr:row>
      <xdr:rowOff>176890</xdr:rowOff>
    </xdr:from>
    <xdr:to>
      <xdr:col>16</xdr:col>
      <xdr:colOff>163287</xdr:colOff>
      <xdr:row>41</xdr:row>
      <xdr:rowOff>721177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A40EF442-2BD7-4CC8-8E5A-22F9522C72AC}"/>
            </a:ext>
          </a:extLst>
        </xdr:cNvPr>
        <xdr:cNvSpPr/>
      </xdr:nvSpPr>
      <xdr:spPr>
        <a:xfrm rot="10800000" flipH="1">
          <a:off x="6089200" y="8997040"/>
          <a:ext cx="398687" cy="5192487"/>
        </a:xfrm>
        <a:prstGeom prst="leftBracket">
          <a:avLst/>
        </a:prstGeom>
        <a:noFill/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228600">
                <a:schemeClr val="accent5">
                  <a:satMod val="175000"/>
                  <a:alpha val="4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122465</xdr:colOff>
      <xdr:row>35</xdr:row>
      <xdr:rowOff>190499</xdr:rowOff>
    </xdr:from>
    <xdr:to>
      <xdr:col>9</xdr:col>
      <xdr:colOff>122465</xdr:colOff>
      <xdr:row>35</xdr:row>
      <xdr:rowOff>217714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91D7164A-63EB-4DC3-80CD-5B223B8D3DDE}"/>
            </a:ext>
          </a:extLst>
        </xdr:cNvPr>
        <xdr:cNvCxnSpPr/>
      </xdr:nvCxnSpPr>
      <xdr:spPr>
        <a:xfrm flipH="1" flipV="1">
          <a:off x="122465" y="11058524"/>
          <a:ext cx="3657600" cy="27215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27214</xdr:colOff>
      <xdr:row>35</xdr:row>
      <xdr:rowOff>802821</xdr:rowOff>
    </xdr:from>
    <xdr:to>
      <xdr:col>34</xdr:col>
      <xdr:colOff>27214</xdr:colOff>
      <xdr:row>35</xdr:row>
      <xdr:rowOff>802821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22CB0D35-8421-40E2-8BE3-496ED33D96D9}"/>
            </a:ext>
          </a:extLst>
        </xdr:cNvPr>
        <xdr:cNvCxnSpPr/>
      </xdr:nvCxnSpPr>
      <xdr:spPr>
        <a:xfrm>
          <a:off x="9371239" y="11670846"/>
          <a:ext cx="4410075" cy="0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122464</xdr:colOff>
      <xdr:row>31</xdr:row>
      <xdr:rowOff>272143</xdr:rowOff>
    </xdr:from>
    <xdr:to>
      <xdr:col>22</xdr:col>
      <xdr:colOff>122464</xdr:colOff>
      <xdr:row>41</xdr:row>
      <xdr:rowOff>585107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F257E210-F9C9-4D6A-AF64-A8A250F4150D}"/>
            </a:ext>
          </a:extLst>
        </xdr:cNvPr>
        <xdr:cNvCxnSpPr/>
      </xdr:nvCxnSpPr>
      <xdr:spPr>
        <a:xfrm>
          <a:off x="9180739" y="9092293"/>
          <a:ext cx="0" cy="4961164"/>
        </a:xfrm>
        <a:prstGeom prst="line">
          <a:avLst/>
        </a:prstGeom>
        <a:ln w="38100">
          <a:solidFill>
            <a:srgbClr val="75DBFF"/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28</xdr:col>
      <xdr:colOff>268332</xdr:colOff>
      <xdr:row>30</xdr:row>
      <xdr:rowOff>600621</xdr:rowOff>
    </xdr:from>
    <xdr:ext cx="4395106" cy="449036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D04C7B8B-80F0-4DBE-BCE1-E465E882A9CF}"/>
            </a:ext>
          </a:extLst>
        </xdr:cNvPr>
        <xdr:cNvSpPr/>
      </xdr:nvSpPr>
      <xdr:spPr>
        <a:xfrm>
          <a:off x="11984082" y="7649121"/>
          <a:ext cx="4395106" cy="449036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28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Plate P. Mounted: 20 pcs.</a:t>
          </a:r>
          <a:endParaRPr lang="en-US" sz="28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28</xdr:col>
      <xdr:colOff>190500</xdr:colOff>
      <xdr:row>30</xdr:row>
      <xdr:rowOff>97157</xdr:rowOff>
    </xdr:from>
    <xdr:ext cx="4381500" cy="476250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1F0386E9-35D3-49BD-8336-E02C0350640B}"/>
            </a:ext>
          </a:extLst>
        </xdr:cNvPr>
        <xdr:cNvSpPr/>
      </xdr:nvSpPr>
      <xdr:spPr>
        <a:xfrm>
          <a:off x="11538857" y="7145657"/>
          <a:ext cx="4381500" cy="476250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28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Plate P.</a:t>
          </a:r>
          <a:r>
            <a:rPr lang="en-US" sz="28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32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Weld</a:t>
          </a:r>
          <a:r>
            <a:rPr lang="en-US" sz="28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Out: 20 pcs.</a:t>
          </a:r>
          <a:endParaRPr lang="en-US" sz="28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39</xdr:col>
      <xdr:colOff>0</xdr:colOff>
      <xdr:row>30</xdr:row>
      <xdr:rowOff>608512</xdr:rowOff>
    </xdr:from>
    <xdr:ext cx="4395106" cy="449036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61EE76B9-723D-4B3D-B82F-C78BA7415889}"/>
            </a:ext>
          </a:extLst>
        </xdr:cNvPr>
        <xdr:cNvSpPr/>
      </xdr:nvSpPr>
      <xdr:spPr>
        <a:xfrm>
          <a:off x="16260536" y="7657012"/>
          <a:ext cx="4395106" cy="449036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28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Clutch Mounted: 20 pcs.</a:t>
          </a:r>
          <a:endParaRPr lang="en-US" sz="28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39</xdr:col>
      <xdr:colOff>9797</xdr:colOff>
      <xdr:row>30</xdr:row>
      <xdr:rowOff>132261</xdr:rowOff>
    </xdr:from>
    <xdr:ext cx="4245428" cy="476250"/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2EE4496F-E1D4-4301-A3A3-D337BD53A3D8}"/>
            </a:ext>
          </a:extLst>
        </xdr:cNvPr>
        <xdr:cNvSpPr/>
      </xdr:nvSpPr>
      <xdr:spPr>
        <a:xfrm>
          <a:off x="16270333" y="7180761"/>
          <a:ext cx="4245428" cy="476250"/>
        </a:xfrm>
        <a:prstGeom prst="rect">
          <a:avLst/>
        </a:prstGeom>
        <a:noFill/>
      </xdr:spPr>
      <xdr:txBody>
        <a:bodyPr wrap="square" lIns="0" tIns="0" rIns="0" bIns="0">
          <a:noAutofit/>
        </a:bodyPr>
        <a:lstStyle/>
        <a:p>
          <a:pPr algn="ctr"/>
          <a:r>
            <a:rPr lang="en-US" sz="28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Clutch Weld Out: 20 pcs.</a:t>
          </a:r>
        </a:p>
      </xdr:txBody>
    </xdr:sp>
    <xdr:clientData/>
  </xdr:oneCellAnchor>
  <xdr:oneCellAnchor>
    <xdr:from>
      <xdr:col>0</xdr:col>
      <xdr:colOff>159475</xdr:colOff>
      <xdr:row>30</xdr:row>
      <xdr:rowOff>223429</xdr:rowOff>
    </xdr:from>
    <xdr:ext cx="4749981" cy="658089"/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405F887C-FAD5-4C12-9E9B-34253897BE28}"/>
            </a:ext>
          </a:extLst>
        </xdr:cNvPr>
        <xdr:cNvSpPr/>
      </xdr:nvSpPr>
      <xdr:spPr>
        <a:xfrm>
          <a:off x="159475" y="7288258"/>
          <a:ext cx="4749981" cy="658089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3600" b="1" i="1" cap="none" spc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Primer</a:t>
          </a:r>
          <a:r>
            <a:rPr lang="en-US" sz="36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Coated: 20 pcs.</a:t>
          </a:r>
          <a:endParaRPr lang="en-US" sz="36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167095</xdr:colOff>
      <xdr:row>30</xdr:row>
      <xdr:rowOff>1018631</xdr:rowOff>
    </xdr:from>
    <xdr:ext cx="5343798" cy="691344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6C97A9A2-498B-4668-9A98-7A06F3BD8F66}"/>
            </a:ext>
          </a:extLst>
        </xdr:cNvPr>
        <xdr:cNvSpPr/>
      </xdr:nvSpPr>
      <xdr:spPr>
        <a:xfrm>
          <a:off x="167095" y="8067131"/>
          <a:ext cx="5343798" cy="691344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 anchor="ctr">
          <a:noAutofit/>
        </a:bodyPr>
        <a:lstStyle/>
        <a:p>
          <a:pPr algn="ctr"/>
          <a:r>
            <a:rPr lang="en-US" sz="36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To</a:t>
          </a:r>
          <a:r>
            <a:rPr lang="en-US" sz="36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 Layer Coated:20 pcs.</a:t>
          </a:r>
          <a:endParaRPr lang="en-US" sz="36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12</xdr:col>
      <xdr:colOff>101236</xdr:colOff>
      <xdr:row>30</xdr:row>
      <xdr:rowOff>217716</xdr:rowOff>
    </xdr:from>
    <xdr:ext cx="5298893" cy="653142"/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E9ED7D3A-F73F-4BAD-A2C0-5E0C1604147F}"/>
            </a:ext>
          </a:extLst>
        </xdr:cNvPr>
        <xdr:cNvSpPr/>
      </xdr:nvSpPr>
      <xdr:spPr>
        <a:xfrm>
          <a:off x="5122272" y="7266216"/>
          <a:ext cx="5298893" cy="653142"/>
        </a:xfrm>
        <a:prstGeom prst="rect">
          <a:avLst/>
        </a:prstGeom>
        <a:solidFill>
          <a:srgbClr val="FFC000"/>
        </a:solidFill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3600" b="1" i="1" cap="none" spc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C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1st Layer</a:t>
          </a:r>
          <a:r>
            <a:rPr lang="en-US" sz="36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C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Coated:20 pcs. </a:t>
          </a:r>
          <a:endParaRPr lang="en-US" sz="36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C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21</xdr:col>
      <xdr:colOff>204108</xdr:colOff>
      <xdr:row>30</xdr:row>
      <xdr:rowOff>1102178</xdr:rowOff>
    </xdr:from>
    <xdr:ext cx="5298893" cy="653142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447C78BA-EF0B-4DF1-B891-8AC256853872}"/>
            </a:ext>
          </a:extLst>
        </xdr:cNvPr>
        <xdr:cNvSpPr/>
      </xdr:nvSpPr>
      <xdr:spPr>
        <a:xfrm>
          <a:off x="8531679" y="8150678"/>
          <a:ext cx="5298893" cy="653142"/>
        </a:xfrm>
        <a:prstGeom prst="rect">
          <a:avLst/>
        </a:prstGeom>
        <a:solidFill>
          <a:srgbClr val="FFFF00"/>
        </a:solidFill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3600" b="1" i="1" cap="none" spc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C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Customer: 20 pcs.</a:t>
          </a:r>
        </a:p>
      </xdr:txBody>
    </xdr:sp>
    <xdr:clientData/>
  </xdr:one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1209674</xdr:colOff>
      <xdr:row>17</xdr:row>
      <xdr:rowOff>67238</xdr:rowOff>
    </xdr:from>
    <xdr:to>
      <xdr:col>18</xdr:col>
      <xdr:colOff>352424</xdr:colOff>
      <xdr:row>33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575528-7671-4791-982A-445233DA18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1209673</xdr:colOff>
      <xdr:row>38</xdr:row>
      <xdr:rowOff>138391</xdr:rowOff>
    </xdr:from>
    <xdr:to>
      <xdr:col>19</xdr:col>
      <xdr:colOff>38099</xdr:colOff>
      <xdr:row>61</xdr:row>
      <xdr:rowOff>142874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60CC5D-05C5-4FEB-BE9E-3F6314F400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62</xdr:row>
      <xdr:rowOff>119991</xdr:rowOff>
    </xdr:from>
    <xdr:ext cx="2424545" cy="73428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2E2C4F7-7146-477A-9185-61A5C1F44011}"/>
            </a:ext>
          </a:extLst>
        </xdr:cNvPr>
        <xdr:cNvSpPr/>
      </xdr:nvSpPr>
      <xdr:spPr>
        <a:xfrm>
          <a:off x="0" y="18369891"/>
          <a:ext cx="2424545" cy="734288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0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0</xdr:colOff>
      <xdr:row>65</xdr:row>
      <xdr:rowOff>64328</xdr:rowOff>
    </xdr:from>
    <xdr:ext cx="2459182" cy="680357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2976331-52CF-4411-8B33-5DE8C88B0287}"/>
            </a:ext>
          </a:extLst>
        </xdr:cNvPr>
        <xdr:cNvSpPr/>
      </xdr:nvSpPr>
      <xdr:spPr>
        <a:xfrm>
          <a:off x="0" y="19152428"/>
          <a:ext cx="2459182" cy="680357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twoCellAnchor>
    <xdr:from>
      <xdr:col>23</xdr:col>
      <xdr:colOff>23510</xdr:colOff>
      <xdr:row>62</xdr:row>
      <xdr:rowOff>3710</xdr:rowOff>
    </xdr:from>
    <xdr:to>
      <xdr:col>24</xdr:col>
      <xdr:colOff>145972</xdr:colOff>
      <xdr:row>71</xdr:row>
      <xdr:rowOff>259772</xdr:rowOff>
    </xdr:to>
    <xdr:sp macro="" textlink="">
      <xdr:nvSpPr>
        <xdr:cNvPr id="4" name="Left Bracket 3">
          <a:extLst>
            <a:ext uri="{FF2B5EF4-FFF2-40B4-BE49-F238E27FC236}">
              <a16:creationId xmlns:a16="http://schemas.microsoft.com/office/drawing/2014/main" id="{54A56575-2686-47D3-AE58-91B6A8B8E569}"/>
            </a:ext>
          </a:extLst>
        </xdr:cNvPr>
        <xdr:cNvSpPr/>
      </xdr:nvSpPr>
      <xdr:spPr>
        <a:xfrm rot="10800000" flipH="1">
          <a:off x="9367535" y="18253610"/>
          <a:ext cx="493937" cy="2561112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58</xdr:col>
      <xdr:colOff>33399</xdr:colOff>
      <xdr:row>63</xdr:row>
      <xdr:rowOff>56036</xdr:rowOff>
    </xdr:from>
    <xdr:to>
      <xdr:col>58</xdr:col>
      <xdr:colOff>49599</xdr:colOff>
      <xdr:row>71</xdr:row>
      <xdr:rowOff>122464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3DF14109-A025-4929-AF7E-CFC4D7FDB839}"/>
            </a:ext>
          </a:extLst>
        </xdr:cNvPr>
        <xdr:cNvCxnSpPr/>
      </xdr:nvCxnSpPr>
      <xdr:spPr>
        <a:xfrm flipH="1">
          <a:off x="23512524" y="18582161"/>
          <a:ext cx="16200" cy="2095253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61</xdr:row>
      <xdr:rowOff>305956</xdr:rowOff>
    </xdr:from>
    <xdr:to>
      <xdr:col>21</xdr:col>
      <xdr:colOff>675408</xdr:colOff>
      <xdr:row>71</xdr:row>
      <xdr:rowOff>254001</xdr:rowOff>
    </xdr:to>
    <xdr:sp macro="" textlink="AY80">
      <xdr:nvSpPr>
        <xdr:cNvPr id="6" name="Flowchart: Data 5">
          <a:extLst>
            <a:ext uri="{FF2B5EF4-FFF2-40B4-BE49-F238E27FC236}">
              <a16:creationId xmlns:a16="http://schemas.microsoft.com/office/drawing/2014/main" id="{84F94C98-21DE-4DD3-90B0-5491CECA5F0B}"/>
            </a:ext>
          </a:extLst>
        </xdr:cNvPr>
        <xdr:cNvSpPr/>
      </xdr:nvSpPr>
      <xdr:spPr>
        <a:xfrm flipH="1">
          <a:off x="3636818" y="18161001"/>
          <a:ext cx="5333999" cy="2632364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FF8181"/>
          </a:solidFill>
        </a:ln>
        <a:effectLst>
          <a:glow rad="139700">
            <a:srgbClr val="FF8181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800" b="0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 RATE:</a:t>
          </a:r>
          <a:r>
            <a:rPr lang="en-US" sz="4800" b="0" i="0" u="none" strike="noStrike" baseline="0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 </a:t>
          </a:r>
          <a:fld id="{2A4F2AD4-79AB-468D-88A3-78A8B127E0CB}" type="TxLink">
            <a:rPr lang="en-US" sz="4800" b="0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3.49%</a:t>
          </a:fld>
          <a:endParaRPr lang="en-US" sz="400000" b="0" i="0" u="none" strike="noStrike">
            <a:solidFill>
              <a:schemeClr val="bg1"/>
            </a:solidFill>
            <a:effectLst>
              <a:glow rad="139700">
                <a:schemeClr val="accent2">
                  <a:alpha val="40000"/>
                </a:schemeClr>
              </a:glow>
            </a:effectLst>
            <a:latin typeface="Trade Gothic Inline" panose="020B0504030203020204" pitchFamily="34" charset="0"/>
            <a:ea typeface="Calibri"/>
            <a:cs typeface="Calibri"/>
          </a:endParaRPr>
        </a:p>
      </xdr:txBody>
    </xdr:sp>
    <xdr:clientData/>
  </xdr:twoCellAnchor>
  <xdr:oneCellAnchor>
    <xdr:from>
      <xdr:col>5</xdr:col>
      <xdr:colOff>190499</xdr:colOff>
      <xdr:row>0</xdr:row>
      <xdr:rowOff>314199</xdr:rowOff>
    </xdr:from>
    <xdr:ext cx="24228137" cy="536864"/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A9607590-367D-45D7-BC91-1DEBE29A90D3}"/>
            </a:ext>
          </a:extLst>
        </xdr:cNvPr>
        <xdr:cNvSpPr/>
      </xdr:nvSpPr>
      <xdr:spPr>
        <a:xfrm>
          <a:off x="2200274" y="314199"/>
          <a:ext cx="24228137" cy="536864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05-095 Priority #1</a:t>
          </a:r>
          <a:r>
            <a:rPr lang="en-US" sz="66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FFFF0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rgbClr val="CCFFCC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- Ø 72 " x 1 " - 102 Pipes </a:t>
          </a:r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rgbClr val="CCFFCC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twoCellAnchor>
    <xdr:from>
      <xdr:col>68</xdr:col>
      <xdr:colOff>231322</xdr:colOff>
      <xdr:row>62</xdr:row>
      <xdr:rowOff>27214</xdr:rowOff>
    </xdr:from>
    <xdr:to>
      <xdr:col>69</xdr:col>
      <xdr:colOff>348834</xdr:colOff>
      <xdr:row>71</xdr:row>
      <xdr:rowOff>192973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F1EE1575-949B-4707-9589-BBB659EDE30A}"/>
            </a:ext>
          </a:extLst>
        </xdr:cNvPr>
        <xdr:cNvSpPr/>
      </xdr:nvSpPr>
      <xdr:spPr>
        <a:xfrm flipH="1">
          <a:off x="27749047" y="18277114"/>
          <a:ext cx="488987" cy="2470809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46</xdr:col>
      <xdr:colOff>34635</xdr:colOff>
      <xdr:row>62</xdr:row>
      <xdr:rowOff>259773</xdr:rowOff>
    </xdr:from>
    <xdr:to>
      <xdr:col>46</xdr:col>
      <xdr:colOff>50835</xdr:colOff>
      <xdr:row>71</xdr:row>
      <xdr:rowOff>49110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31053587-E2D9-4C88-B3EC-5381A6D9A2A5}"/>
            </a:ext>
          </a:extLst>
        </xdr:cNvPr>
        <xdr:cNvCxnSpPr/>
      </xdr:nvCxnSpPr>
      <xdr:spPr>
        <a:xfrm flipH="1">
          <a:off x="18475035" y="18509673"/>
          <a:ext cx="16200" cy="2094387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63</xdr:row>
      <xdr:rowOff>34637</xdr:rowOff>
    </xdr:from>
    <xdr:to>
      <xdr:col>35</xdr:col>
      <xdr:colOff>16200</xdr:colOff>
      <xdr:row>71</xdr:row>
      <xdr:rowOff>101065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3BF419A9-4BB5-4FC1-BDA0-DB29A9EFA57A}"/>
            </a:ext>
          </a:extLst>
        </xdr:cNvPr>
        <xdr:cNvCxnSpPr/>
      </xdr:nvCxnSpPr>
      <xdr:spPr>
        <a:xfrm flipH="1">
          <a:off x="14125575" y="18560762"/>
          <a:ext cx="16200" cy="2095253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34636</xdr:colOff>
      <xdr:row>67</xdr:row>
      <xdr:rowOff>171946</xdr:rowOff>
    </xdr:from>
    <xdr:ext cx="2424545" cy="73428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7342BEC-585F-423A-AF72-33DC20C5C129}"/>
            </a:ext>
          </a:extLst>
        </xdr:cNvPr>
        <xdr:cNvSpPr/>
      </xdr:nvSpPr>
      <xdr:spPr>
        <a:xfrm>
          <a:off x="34636" y="12935446"/>
          <a:ext cx="2424545" cy="734288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0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51954</xdr:colOff>
      <xdr:row>71</xdr:row>
      <xdr:rowOff>185555</xdr:rowOff>
    </xdr:from>
    <xdr:ext cx="2459182" cy="680357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612D61A-50F8-4A47-9ADD-5FCBFC746223}"/>
            </a:ext>
          </a:extLst>
        </xdr:cNvPr>
        <xdr:cNvSpPr/>
      </xdr:nvSpPr>
      <xdr:spPr>
        <a:xfrm>
          <a:off x="51954" y="20690282"/>
          <a:ext cx="2459182" cy="680357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twoCellAnchor>
    <xdr:from>
      <xdr:col>10</xdr:col>
      <xdr:colOff>34636</xdr:colOff>
      <xdr:row>61</xdr:row>
      <xdr:rowOff>277091</xdr:rowOff>
    </xdr:from>
    <xdr:to>
      <xdr:col>23</xdr:col>
      <xdr:colOff>69271</xdr:colOff>
      <xdr:row>73</xdr:row>
      <xdr:rowOff>27134</xdr:rowOff>
    </xdr:to>
    <xdr:sp macro="" textlink="$AY$108">
      <xdr:nvSpPr>
        <xdr:cNvPr id="4" name="Flowchart: Data 3">
          <a:extLst>
            <a:ext uri="{FF2B5EF4-FFF2-40B4-BE49-F238E27FC236}">
              <a16:creationId xmlns:a16="http://schemas.microsoft.com/office/drawing/2014/main" id="{1F0F37B1-31BA-465C-9C83-60B0AD83B0C5}"/>
            </a:ext>
          </a:extLst>
        </xdr:cNvPr>
        <xdr:cNvSpPr/>
      </xdr:nvSpPr>
      <xdr:spPr>
        <a:xfrm flipH="1">
          <a:off x="4035136" y="18097500"/>
          <a:ext cx="5333999" cy="3023179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FF8181"/>
          </a:solidFill>
        </a:ln>
        <a:effectLst>
          <a:glow rad="139700">
            <a:srgbClr val="FF8181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5400" b="0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</a:t>
          </a:r>
          <a:r>
            <a:rPr lang="en-US" sz="5400" b="0" i="0" u="none" strike="noStrike" baseline="0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 RATE: </a:t>
          </a:r>
          <a:fld id="{A459B9F5-129C-40D8-847A-F7BEE234BC4B}" type="TxLink">
            <a:rPr lang="en-US" sz="5400" b="0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2.01%</a:t>
          </a:fld>
          <a:endParaRPr lang="en-US" sz="400000" b="0" i="0" u="none" strike="noStrike">
            <a:solidFill>
              <a:schemeClr val="bg1"/>
            </a:solidFill>
            <a:effectLst>
              <a:glow rad="139700">
                <a:schemeClr val="accent2">
                  <a:alpha val="40000"/>
                </a:schemeClr>
              </a:glow>
            </a:effectLst>
            <a:latin typeface="Trade Gothic Inline" panose="020B0504030203020204" pitchFamily="34" charset="0"/>
            <a:ea typeface="Calibri"/>
            <a:cs typeface="Calibri"/>
          </a:endParaRPr>
        </a:p>
      </xdr:txBody>
    </xdr:sp>
    <xdr:clientData/>
  </xdr:twoCellAnchor>
  <xdr:oneCellAnchor>
    <xdr:from>
      <xdr:col>5</xdr:col>
      <xdr:colOff>190499</xdr:colOff>
      <xdr:row>0</xdr:row>
      <xdr:rowOff>314199</xdr:rowOff>
    </xdr:from>
    <xdr:ext cx="24228137" cy="536864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ACFF7176-D462-49C4-8D7F-CF9FBAF8D128}"/>
            </a:ext>
          </a:extLst>
        </xdr:cNvPr>
        <xdr:cNvSpPr/>
      </xdr:nvSpPr>
      <xdr:spPr>
        <a:xfrm>
          <a:off x="3238499" y="190374"/>
          <a:ext cx="24228137" cy="536864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2025Q-06-101 </a:t>
          </a:r>
          <a:r>
            <a:rPr lang="en-US" sz="6600" b="1" cap="none" spc="0" baseline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1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- </a:t>
          </a:r>
          <a:r>
            <a:rPr lang="en-US" sz="66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>
                  <a:lumMod val="60000"/>
                  <a:lumOff val="40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Ø 36 " x 0.5 " - 89 Pipes </a:t>
          </a:r>
          <a:endParaRPr lang="en-US" sz="72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chemeClr val="accent4">
                <a:lumMod val="60000"/>
                <a:lumOff val="40000"/>
              </a:schemeClr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twoCellAnchor>
    <xdr:from>
      <xdr:col>24</xdr:col>
      <xdr:colOff>23510</xdr:colOff>
      <xdr:row>48</xdr:row>
      <xdr:rowOff>51953</xdr:rowOff>
    </xdr:from>
    <xdr:to>
      <xdr:col>25</xdr:col>
      <xdr:colOff>145972</xdr:colOff>
      <xdr:row>73</xdr:row>
      <xdr:rowOff>259770</xdr:rowOff>
    </xdr:to>
    <xdr:sp macro="" textlink="">
      <xdr:nvSpPr>
        <xdr:cNvPr id="6" name="Left Bracket 5">
          <a:extLst>
            <a:ext uri="{FF2B5EF4-FFF2-40B4-BE49-F238E27FC236}">
              <a16:creationId xmlns:a16="http://schemas.microsoft.com/office/drawing/2014/main" id="{7DE3E506-4FBF-4228-A93E-452DB74E8385}"/>
            </a:ext>
          </a:extLst>
        </xdr:cNvPr>
        <xdr:cNvSpPr/>
      </xdr:nvSpPr>
      <xdr:spPr>
        <a:xfrm rot="10800000" flipH="1">
          <a:off x="14653910" y="9195953"/>
          <a:ext cx="732062" cy="4903642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59</xdr:col>
      <xdr:colOff>17318</xdr:colOff>
      <xdr:row>48</xdr:row>
      <xdr:rowOff>17318</xdr:rowOff>
    </xdr:from>
    <xdr:to>
      <xdr:col>59</xdr:col>
      <xdr:colOff>41624</xdr:colOff>
      <xdr:row>73</xdr:row>
      <xdr:rowOff>429603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E3186924-5E97-4476-B227-E52231DA9F43}"/>
            </a:ext>
          </a:extLst>
        </xdr:cNvPr>
        <xdr:cNvCxnSpPr/>
      </xdr:nvCxnSpPr>
      <xdr:spPr>
        <a:xfrm flipV="1">
          <a:off x="35983718" y="9161318"/>
          <a:ext cx="24306" cy="4936660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69</xdr:col>
      <xdr:colOff>179367</xdr:colOff>
      <xdr:row>48</xdr:row>
      <xdr:rowOff>34636</xdr:rowOff>
    </xdr:from>
    <xdr:to>
      <xdr:col>69</xdr:col>
      <xdr:colOff>311728</xdr:colOff>
      <xdr:row>73</xdr:row>
      <xdr:rowOff>418110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26264318-2C2D-4D82-A2C3-F5A8CFDFB30C}"/>
            </a:ext>
          </a:extLst>
        </xdr:cNvPr>
        <xdr:cNvSpPr/>
      </xdr:nvSpPr>
      <xdr:spPr>
        <a:xfrm flipH="1">
          <a:off x="42241767" y="9178636"/>
          <a:ext cx="132361" cy="4917374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47</xdr:col>
      <xdr:colOff>17318</xdr:colOff>
      <xdr:row>48</xdr:row>
      <xdr:rowOff>51954</xdr:rowOff>
    </xdr:from>
    <xdr:to>
      <xdr:col>47</xdr:col>
      <xdr:colOff>41261</xdr:colOff>
      <xdr:row>73</xdr:row>
      <xdr:rowOff>378001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E037A9E7-3189-44DE-834A-D3B974AAF5EB}"/>
            </a:ext>
          </a:extLst>
        </xdr:cNvPr>
        <xdr:cNvCxnSpPr/>
      </xdr:nvCxnSpPr>
      <xdr:spPr>
        <a:xfrm flipV="1">
          <a:off x="28668518" y="9195954"/>
          <a:ext cx="23943" cy="4898047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0</xdr:colOff>
      <xdr:row>48</xdr:row>
      <xdr:rowOff>17318</xdr:rowOff>
    </xdr:from>
    <xdr:to>
      <xdr:col>36</xdr:col>
      <xdr:colOff>22255</xdr:colOff>
      <xdr:row>73</xdr:row>
      <xdr:rowOff>101065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FAAB60F9-9F93-42F3-8CF4-14102A1A5E8F}"/>
            </a:ext>
          </a:extLst>
        </xdr:cNvPr>
        <xdr:cNvCxnSpPr/>
      </xdr:nvCxnSpPr>
      <xdr:spPr>
        <a:xfrm flipH="1">
          <a:off x="21945600" y="9161318"/>
          <a:ext cx="22255" cy="4846247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26</xdr:col>
      <xdr:colOff>380999</xdr:colOff>
      <xdr:row>41</xdr:row>
      <xdr:rowOff>155863</xdr:rowOff>
    </xdr:from>
    <xdr:ext cx="5403272" cy="734288"/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FC0749E-B179-4A26-96C8-1F796F6B7F17}"/>
            </a:ext>
          </a:extLst>
        </xdr:cNvPr>
        <xdr:cNvSpPr/>
      </xdr:nvSpPr>
      <xdr:spPr>
        <a:xfrm>
          <a:off x="10685317" y="14668499"/>
          <a:ext cx="5403272" cy="734288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Clutch Mounting Done</a:t>
          </a:r>
          <a:endParaRPr lang="en-US" sz="40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43</xdr:col>
      <xdr:colOff>17317</xdr:colOff>
      <xdr:row>41</xdr:row>
      <xdr:rowOff>173182</xdr:rowOff>
    </xdr:from>
    <xdr:ext cx="5749637" cy="680357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9414264E-2E30-4DF9-894A-9364D1AE4F90}"/>
            </a:ext>
          </a:extLst>
        </xdr:cNvPr>
        <xdr:cNvSpPr/>
      </xdr:nvSpPr>
      <xdr:spPr>
        <a:xfrm>
          <a:off x="17352817" y="14685818"/>
          <a:ext cx="5749637" cy="680357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Clutch Welding</a:t>
          </a:r>
          <a:r>
            <a:rPr lang="en-US" sz="4000" b="1" i="1" cap="none" spc="0" baseline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 Done</a:t>
          </a:r>
          <a:endParaRPr lang="en-US" sz="4000" b="1" i="1" cap="none" spc="0">
            <a:ln w="3175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glow rad="38100">
                <a:schemeClr val="accent6">
                  <a:satMod val="175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51955</xdr:colOff>
      <xdr:row>74</xdr:row>
      <xdr:rowOff>121228</xdr:rowOff>
    </xdr:from>
    <xdr:ext cx="2459182" cy="680357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864B04C-940B-4772-8146-B94E408ADEF0}"/>
            </a:ext>
          </a:extLst>
        </xdr:cNvPr>
        <xdr:cNvSpPr/>
      </xdr:nvSpPr>
      <xdr:spPr>
        <a:xfrm>
          <a:off x="51955" y="21647728"/>
          <a:ext cx="2459182" cy="680357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Coated:</a:t>
          </a:r>
        </a:p>
      </xdr:txBody>
    </xdr:sp>
    <xdr:clientData/>
  </xdr:oneCellAnchor>
</xdr:wsDr>
</file>

<file path=xl/drawings/drawing6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17317</xdr:colOff>
      <xdr:row>11</xdr:row>
      <xdr:rowOff>189263</xdr:rowOff>
    </xdr:from>
    <xdr:ext cx="2424545" cy="73428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DDDD520-ADD5-4EE7-97BA-F8062B8ED88B}"/>
            </a:ext>
          </a:extLst>
        </xdr:cNvPr>
        <xdr:cNvSpPr/>
      </xdr:nvSpPr>
      <xdr:spPr>
        <a:xfrm>
          <a:off x="626917" y="2284763"/>
          <a:ext cx="2424545" cy="734288"/>
        </a:xfrm>
        <a:prstGeom prst="rect">
          <a:avLst/>
        </a:prstGeom>
        <a:solidFill>
          <a:srgbClr val="FF0000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 baseline="0">
              <a:ln w="3175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rgbClr val="FF0000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Produced:    </a:t>
          </a:r>
          <a:endParaRPr lang="en-US" sz="4000" b="1" i="1" cap="none" spc="0">
            <a:ln w="3175">
              <a:solidFill>
                <a:schemeClr val="tx1">
                  <a:lumMod val="85000"/>
                  <a:lumOff val="15000"/>
                </a:schemeClr>
              </a:solidFill>
              <a:prstDash val="solid"/>
            </a:ln>
            <a:solidFill>
              <a:srgbClr val="FFFFFF"/>
            </a:solidFill>
            <a:effectLst>
              <a:glow rad="38100">
                <a:srgbClr val="FF0000"/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oneCellAnchor>
    <xdr:from>
      <xdr:col>0</xdr:col>
      <xdr:colOff>259611</xdr:colOff>
      <xdr:row>13</xdr:row>
      <xdr:rowOff>35177</xdr:rowOff>
    </xdr:from>
    <xdr:ext cx="2459182" cy="680357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78E84D3-6162-49E2-94AE-CFB5408C97E8}"/>
            </a:ext>
          </a:extLst>
        </xdr:cNvPr>
        <xdr:cNvSpPr/>
      </xdr:nvSpPr>
      <xdr:spPr>
        <a:xfrm>
          <a:off x="259611" y="2511677"/>
          <a:ext cx="2459182" cy="680357"/>
        </a:xfrm>
        <a:prstGeom prst="rect">
          <a:avLst/>
        </a:prstGeom>
        <a:solidFill>
          <a:srgbClr val="66FF33"/>
        </a:solidFill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6">
                    <a:satMod val="175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Repaired:</a:t>
          </a:r>
        </a:p>
      </xdr:txBody>
    </xdr:sp>
    <xdr:clientData/>
  </xdr:oneCellAnchor>
  <xdr:twoCellAnchor>
    <xdr:from>
      <xdr:col>0</xdr:col>
      <xdr:colOff>75465</xdr:colOff>
      <xdr:row>17</xdr:row>
      <xdr:rowOff>969818</xdr:rowOff>
    </xdr:from>
    <xdr:to>
      <xdr:col>1</xdr:col>
      <xdr:colOff>301835</xdr:colOff>
      <xdr:row>29</xdr:row>
      <xdr:rowOff>536861</xdr:rowOff>
    </xdr:to>
    <xdr:sp macro="" textlink="">
      <xdr:nvSpPr>
        <xdr:cNvPr id="4" name="Left Bracket 3">
          <a:extLst>
            <a:ext uri="{FF2B5EF4-FFF2-40B4-BE49-F238E27FC236}">
              <a16:creationId xmlns:a16="http://schemas.microsoft.com/office/drawing/2014/main" id="{8318482D-2AB9-4DD1-A478-5CD2F7258063}"/>
            </a:ext>
          </a:extLst>
        </xdr:cNvPr>
        <xdr:cNvSpPr/>
      </xdr:nvSpPr>
      <xdr:spPr>
        <a:xfrm rot="10800000" flipH="1">
          <a:off x="75465" y="3427268"/>
          <a:ext cx="835970" cy="2291193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30</xdr:col>
      <xdr:colOff>17319</xdr:colOff>
      <xdr:row>19</xdr:row>
      <xdr:rowOff>398318</xdr:rowOff>
    </xdr:from>
    <xdr:to>
      <xdr:col>30</xdr:col>
      <xdr:colOff>34638</xdr:colOff>
      <xdr:row>29</xdr:row>
      <xdr:rowOff>34635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44184D3A-1EAE-42F9-8309-5F91975C1CC8}"/>
            </a:ext>
          </a:extLst>
        </xdr:cNvPr>
        <xdr:cNvCxnSpPr/>
      </xdr:nvCxnSpPr>
      <xdr:spPr>
        <a:xfrm flipH="1">
          <a:off x="18305319" y="3808268"/>
          <a:ext cx="17319" cy="1750867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658090</xdr:colOff>
      <xdr:row>11</xdr:row>
      <xdr:rowOff>432734</xdr:rowOff>
    </xdr:from>
    <xdr:to>
      <xdr:col>32</xdr:col>
      <xdr:colOff>173182</xdr:colOff>
      <xdr:row>17</xdr:row>
      <xdr:rowOff>554179</xdr:rowOff>
    </xdr:to>
    <xdr:sp macro="" textlink="X80">
      <xdr:nvSpPr>
        <xdr:cNvPr id="6" name="Flowchart: Data 5">
          <a:extLst>
            <a:ext uri="{FF2B5EF4-FFF2-40B4-BE49-F238E27FC236}">
              <a16:creationId xmlns:a16="http://schemas.microsoft.com/office/drawing/2014/main" id="{7A808BA8-6512-43AD-AA24-A03BB4F5E655}"/>
            </a:ext>
          </a:extLst>
        </xdr:cNvPr>
        <xdr:cNvSpPr/>
      </xdr:nvSpPr>
      <xdr:spPr>
        <a:xfrm flipH="1">
          <a:off x="13412065" y="2290109"/>
          <a:ext cx="6268317" cy="1140620"/>
        </a:xfrm>
        <a:prstGeom prst="flowChartInputOutput">
          <a:avLst/>
        </a:prstGeom>
        <a:blipFill dpi="0" rotWithShape="1">
          <a:blip xmlns:r="http://schemas.openxmlformats.org/officeDocument/2006/relationships" r:embed="rId1" cstate="print">
            <a:alphaModFix amt="33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  <a14:imgEffect>
                      <a14:brightnessContrast bright="-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911" t="739" r="-911" b="-20739"/>
          </a:stretch>
        </a:blipFill>
        <a:ln>
          <a:solidFill>
            <a:srgbClr val="FF8181"/>
          </a:solidFill>
        </a:ln>
        <a:effectLst>
          <a:glow rad="139700">
            <a:srgbClr val="FF8181">
              <a:alpha val="40000"/>
            </a:srgbClr>
          </a:glow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000" b="0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REPAIR RATE:</a:t>
          </a:r>
          <a:r>
            <a:rPr lang="en-US" sz="4000" b="0" i="0" u="none" strike="noStrike" baseline="0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t> </a:t>
          </a:r>
          <a:fld id="{C4A458A8-3CC4-4C2F-87E3-331D34BB8A2B}" type="TxLink">
            <a:rPr lang="en-US" sz="4000" b="0" i="0" u="none" strike="noStrike">
              <a:solidFill>
                <a:schemeClr val="bg1"/>
              </a:solidFill>
              <a:effectLst>
                <a:glow rad="139700">
                  <a:schemeClr val="accent2">
                    <a:alpha val="40000"/>
                  </a:schemeClr>
                </a:glow>
              </a:effectLst>
              <a:latin typeface="Trade Gothic Inline" panose="020B0504030203020204" pitchFamily="34" charset="0"/>
              <a:ea typeface="Calibri"/>
              <a:cs typeface="Calibri"/>
            </a:rPr>
            <a:pPr algn="ctr"/>
            <a:t>6.39%</a:t>
          </a:fld>
          <a:endParaRPr lang="en-US" sz="400000" b="1" i="0" cap="none" spc="50">
            <a:ln w="3175" cmpd="sng">
              <a:solidFill>
                <a:schemeClr val="bg1"/>
              </a:solidFill>
              <a:prstDash val="solid"/>
            </a:ln>
            <a:solidFill>
              <a:schemeClr val="bg1"/>
            </a:solidFill>
            <a:effectLst>
              <a:glow rad="139700">
                <a:schemeClr val="accent2">
                  <a:alpha val="40000"/>
                </a:schemeClr>
              </a:glow>
            </a:effectLst>
            <a:latin typeface="Trade Gothic Inline" panose="020B0504030203020204" pitchFamily="34" charset="0"/>
          </a:endParaRPr>
        </a:p>
      </xdr:txBody>
    </xdr:sp>
    <xdr:clientData/>
  </xdr:twoCellAnchor>
  <xdr:oneCellAnchor>
    <xdr:from>
      <xdr:col>1</xdr:col>
      <xdr:colOff>0</xdr:colOff>
      <xdr:row>0</xdr:row>
      <xdr:rowOff>467591</xdr:rowOff>
    </xdr:from>
    <xdr:ext cx="12479145" cy="363682"/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48D488CD-E634-4824-AD96-51EA1DEA8054}"/>
            </a:ext>
          </a:extLst>
        </xdr:cNvPr>
        <xdr:cNvSpPr/>
      </xdr:nvSpPr>
      <xdr:spPr>
        <a:xfrm>
          <a:off x="609600" y="191366"/>
          <a:ext cx="12479145" cy="363682"/>
        </a:xfrm>
        <a:prstGeom prst="rect">
          <a:avLst/>
        </a:prstGeom>
        <a:noFill/>
      </xdr:spPr>
      <xdr:txBody>
        <a:bodyPr wrap="square" lIns="0" tIns="0" rIns="0" bIns="0" anchor="b" anchorCtr="0">
          <a:noAutofit/>
        </a:bodyPr>
        <a:lstStyle/>
        <a:p>
          <a:pPr algn="ctr"/>
          <a:r>
            <a:rPr lang="en-US" sz="5400" b="1" cap="none" spc="0">
              <a:ln w="3175">
                <a:solidFill>
                  <a:sysClr val="windowText" lastClr="000000"/>
                </a:solidFill>
                <a:prstDash val="solid"/>
              </a:ln>
              <a:solidFill>
                <a:schemeClr val="accent4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06-101 - Ø 36 " x 1 " - 4 Pipes </a:t>
          </a:r>
          <a:endParaRPr lang="en-US" sz="6000" b="1" cap="none" spc="0">
            <a:ln w="3175">
              <a:solidFill>
                <a:sysClr val="windowText" lastClr="000000"/>
              </a:solidFill>
              <a:prstDash val="solid"/>
            </a:ln>
            <a:solidFill>
              <a:srgbClr val="FFFF00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ptos" panose="020B0004020202020204" pitchFamily="34" charset="0"/>
          </a:endParaRPr>
        </a:p>
      </xdr:txBody>
    </xdr:sp>
    <xdr:clientData/>
  </xdr:oneCellAnchor>
  <xdr:twoCellAnchor>
    <xdr:from>
      <xdr:col>33</xdr:col>
      <xdr:colOff>248641</xdr:colOff>
      <xdr:row>17</xdr:row>
      <xdr:rowOff>987136</xdr:rowOff>
    </xdr:from>
    <xdr:to>
      <xdr:col>35</xdr:col>
      <xdr:colOff>2472</xdr:colOff>
      <xdr:row>29</xdr:row>
      <xdr:rowOff>467590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5B0D46D8-8576-4602-B617-76691C68ABD9}"/>
            </a:ext>
          </a:extLst>
        </xdr:cNvPr>
        <xdr:cNvSpPr/>
      </xdr:nvSpPr>
      <xdr:spPr>
        <a:xfrm flipH="1">
          <a:off x="20365441" y="3425536"/>
          <a:ext cx="973031" cy="2290329"/>
        </a:xfrm>
        <a:prstGeom prst="leftBracket">
          <a:avLst/>
        </a:prstGeom>
        <a:noFill/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sz="10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2">
                <a:lumMod val="60000"/>
                <a:lumOff val="40000"/>
              </a:schemeClr>
            </a:solidFill>
            <a:effectLst>
              <a:glow rad="101600">
                <a:schemeClr val="accent2">
                  <a:alpha val="60000"/>
                </a:schemeClr>
              </a:glow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twoCellAnchor>
  <xdr:twoCellAnchor>
    <xdr:from>
      <xdr:col>19</xdr:col>
      <xdr:colOff>346363</xdr:colOff>
      <xdr:row>20</xdr:row>
      <xdr:rowOff>1</xdr:rowOff>
    </xdr:from>
    <xdr:to>
      <xdr:col>20</xdr:col>
      <xdr:colOff>33516</xdr:colOff>
      <xdr:row>29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4A154F66-E76A-4198-B348-EF8F08B94F3B}"/>
            </a:ext>
          </a:extLst>
        </xdr:cNvPr>
        <xdr:cNvCxnSpPr/>
      </xdr:nvCxnSpPr>
      <xdr:spPr>
        <a:xfrm flipH="1">
          <a:off x="11928763" y="3810001"/>
          <a:ext cx="296753" cy="1714499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20</xdr:row>
      <xdr:rowOff>34636</xdr:rowOff>
    </xdr:from>
    <xdr:to>
      <xdr:col>10</xdr:col>
      <xdr:colOff>16200</xdr:colOff>
      <xdr:row>28</xdr:row>
      <xdr:rowOff>51952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146AEAD1-7D3D-4BE0-8F64-0D825AADE723}"/>
            </a:ext>
          </a:extLst>
        </xdr:cNvPr>
        <xdr:cNvCxnSpPr/>
      </xdr:nvCxnSpPr>
      <xdr:spPr>
        <a:xfrm flipH="1">
          <a:off x="6096000" y="3844636"/>
          <a:ext cx="16200" cy="1541316"/>
        </a:xfrm>
        <a:prstGeom prst="line">
          <a:avLst/>
        </a:prstGeom>
        <a:ln w="38100">
          <a:solidFill>
            <a:schemeClr val="bg1"/>
          </a:solidFill>
        </a:ln>
        <a:effectLst>
          <a:glow rad="101600">
            <a:srgbClr val="FF8181">
              <a:alpha val="60000"/>
            </a:srgbClr>
          </a:glow>
        </a:effectLst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0</xdr:col>
      <xdr:colOff>157862</xdr:colOff>
      <xdr:row>17</xdr:row>
      <xdr:rowOff>135691</xdr:rowOff>
    </xdr:from>
    <xdr:ext cx="2961409" cy="680357"/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ECBE7D7A-9EA9-46D9-B7EA-BC4B12A43C67}"/>
            </a:ext>
          </a:extLst>
        </xdr:cNvPr>
        <xdr:cNvSpPr/>
      </xdr:nvSpPr>
      <xdr:spPr>
        <a:xfrm>
          <a:off x="157862" y="3374191"/>
          <a:ext cx="2961409" cy="680357"/>
        </a:xfrm>
        <a:prstGeom prst="rect">
          <a:avLst/>
        </a:prstGeom>
        <a:solidFill>
          <a:srgbClr val="00FF00"/>
        </a:solidFill>
        <a:effectLst>
          <a:glow rad="101600">
            <a:schemeClr val="accent2">
              <a:alpha val="60000"/>
            </a:schemeClr>
          </a:glow>
        </a:effectLst>
      </xdr:spPr>
      <xdr:txBody>
        <a:bodyPr wrap="square" lIns="0" tIns="0" rIns="0" bIns="0">
          <a:noAutofit/>
        </a:bodyPr>
        <a:lstStyle/>
        <a:p>
          <a:pPr algn="ctr"/>
          <a:r>
            <a:rPr lang="en-US" sz="4000" b="1" i="1" cap="none" spc="0">
              <a:ln w="3175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glow rad="38100">
                  <a:schemeClr val="accent2"/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ptos" panose="020B0004020202020204" pitchFamily="34" charset="0"/>
            </a:rPr>
            <a:t>CTE Coated:</a:t>
          </a:r>
        </a:p>
      </xdr:txBody>
    </xdr:sp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  <v>cid:image001.jpg@01D853D0.40179560</v>
  </rv>
  <rv s="1">
    <v>1</v>
    <v>5</v>
  </rv>
  <rv s="1">
    <v>2</v>
    <v>5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  <k n="Text" t="s"/>
  </s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2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21D61-5191-46A8-A8D7-E93A825774E5}">
  <sheetPr>
    <tabColor rgb="FFFFFF00"/>
    <pageSetUpPr fitToPage="1"/>
  </sheetPr>
  <dimension ref="A1:AJ156"/>
  <sheetViews>
    <sheetView tabSelected="1" view="pageBreakPreview" zoomScale="85" zoomScaleNormal="70" zoomScaleSheetLayoutView="85" workbookViewId="0">
      <selection activeCell="U15" sqref="U15:Y17"/>
    </sheetView>
  </sheetViews>
  <sheetFormatPr defaultRowHeight="15" x14ac:dyDescent="0.25"/>
  <cols>
    <col min="1" max="1" width="5.42578125" customWidth="1"/>
    <col min="2" max="2" width="15.85546875" customWidth="1"/>
    <col min="3" max="3" width="11.140625" customWidth="1"/>
    <col min="4" max="5" width="7.28515625" customWidth="1"/>
    <col min="6" max="6" width="10.140625" customWidth="1"/>
    <col min="7" max="7" width="20.5703125" customWidth="1"/>
    <col min="8" max="8" width="11.7109375" customWidth="1"/>
    <col min="9" max="9" width="22.28515625" customWidth="1"/>
    <col min="10" max="10" width="10.85546875" customWidth="1"/>
    <col min="11" max="11" width="12" customWidth="1"/>
    <col min="12" max="12" width="17.85546875" customWidth="1"/>
    <col min="13" max="13" width="15.140625" customWidth="1"/>
    <col min="14" max="14" width="7.85546875" customWidth="1"/>
    <col min="15" max="15" width="6.7109375" customWidth="1"/>
    <col min="16" max="16" width="3" customWidth="1"/>
    <col min="17" max="17" width="19.28515625" customWidth="1"/>
    <col min="18" max="18" width="17.42578125" customWidth="1"/>
    <col min="19" max="19" width="20.7109375" customWidth="1"/>
    <col min="20" max="20" width="15" customWidth="1"/>
    <col min="21" max="21" width="17.140625" customWidth="1"/>
    <col min="22" max="22" width="21.7109375" customWidth="1"/>
    <col min="23" max="23" width="15.28515625" customWidth="1"/>
    <col min="24" max="24" width="5.5703125" customWidth="1"/>
    <col min="25" max="25" width="12.140625" customWidth="1"/>
  </cols>
  <sheetData>
    <row r="1" spans="1:30" ht="31.5" customHeight="1" thickBot="1" x14ac:dyDescent="0.3">
      <c r="A1" s="1007" t="e" vm="1">
        <v>#VALUE!</v>
      </c>
      <c r="B1" s="1008"/>
      <c r="C1" s="1008"/>
      <c r="D1" s="1008"/>
      <c r="E1" s="1008"/>
      <c r="F1" s="1008"/>
      <c r="G1" s="980" t="s">
        <v>0</v>
      </c>
      <c r="H1" s="981"/>
      <c r="I1" s="981"/>
      <c r="J1" s="981"/>
      <c r="K1" s="981"/>
      <c r="L1" s="981"/>
      <c r="M1" s="981"/>
      <c r="N1" s="981"/>
      <c r="O1" s="981"/>
      <c r="P1" s="981"/>
      <c r="Q1" s="981"/>
      <c r="R1" s="981"/>
      <c r="S1" s="981"/>
      <c r="T1" s="982"/>
      <c r="U1" s="1" t="s">
        <v>1</v>
      </c>
      <c r="V1" s="966">
        <v>46262</v>
      </c>
      <c r="W1" s="967"/>
      <c r="Y1" s="181"/>
      <c r="Z1" s="182"/>
      <c r="AA1" s="182"/>
    </row>
    <row r="2" spans="1:30" ht="31.5" customHeight="1" thickBot="1" x14ac:dyDescent="0.3">
      <c r="A2" s="1009"/>
      <c r="B2" s="1010"/>
      <c r="C2" s="1010"/>
      <c r="D2" s="1010"/>
      <c r="E2" s="1010"/>
      <c r="F2" s="1010"/>
      <c r="G2" s="983"/>
      <c r="H2" s="984"/>
      <c r="I2" s="984"/>
      <c r="J2" s="984"/>
      <c r="K2" s="984"/>
      <c r="L2" s="984"/>
      <c r="M2" s="984"/>
      <c r="N2" s="984"/>
      <c r="O2" s="984"/>
      <c r="P2" s="984"/>
      <c r="Q2" s="984"/>
      <c r="R2" s="984"/>
      <c r="S2" s="984"/>
      <c r="T2" s="985"/>
      <c r="U2" s="1" t="s">
        <v>2</v>
      </c>
      <c r="V2" s="966" t="s">
        <v>3</v>
      </c>
      <c r="W2" s="967"/>
      <c r="Y2" s="181"/>
      <c r="Z2" s="182"/>
      <c r="AA2" s="182"/>
    </row>
    <row r="3" spans="1:30" ht="27.75" customHeight="1" x14ac:dyDescent="0.25">
      <c r="A3" s="1012" t="s">
        <v>37</v>
      </c>
      <c r="B3" s="1013"/>
      <c r="C3" s="1013"/>
      <c r="D3" s="1013"/>
      <c r="E3" s="1013"/>
      <c r="F3" s="316">
        <v>2</v>
      </c>
      <c r="G3" s="990" t="s">
        <v>363</v>
      </c>
      <c r="H3" s="991"/>
      <c r="I3" s="992"/>
      <c r="J3" s="974" t="s">
        <v>362</v>
      </c>
      <c r="K3" s="974"/>
      <c r="L3" s="974"/>
      <c r="M3" s="974"/>
      <c r="N3" s="974"/>
      <c r="O3" s="974"/>
      <c r="P3" s="974"/>
      <c r="Q3" s="975"/>
      <c r="R3" s="968" t="s">
        <v>4</v>
      </c>
      <c r="S3" s="969"/>
      <c r="T3" s="969"/>
      <c r="U3" s="969"/>
      <c r="V3" s="969"/>
      <c r="W3" s="970"/>
      <c r="Y3" s="182"/>
      <c r="Z3" s="182"/>
      <c r="AA3" s="182"/>
    </row>
    <row r="4" spans="1:30" ht="27.75" customHeight="1" x14ac:dyDescent="0.25">
      <c r="A4" s="1023" t="s">
        <v>796</v>
      </c>
      <c r="B4" s="1024"/>
      <c r="C4" s="1024"/>
      <c r="D4" s="1024"/>
      <c r="E4" s="1024"/>
      <c r="F4" s="284" t="s">
        <v>438</v>
      </c>
      <c r="G4" s="993"/>
      <c r="H4" s="994"/>
      <c r="I4" s="995"/>
      <c r="J4" s="976"/>
      <c r="K4" s="976"/>
      <c r="L4" s="976"/>
      <c r="M4" s="976"/>
      <c r="N4" s="976"/>
      <c r="O4" s="976"/>
      <c r="P4" s="976"/>
      <c r="Q4" s="977"/>
      <c r="R4" s="971"/>
      <c r="S4" s="972"/>
      <c r="T4" s="972"/>
      <c r="U4" s="972"/>
      <c r="V4" s="972"/>
      <c r="W4" s="973"/>
      <c r="Y4" s="182"/>
      <c r="Z4" s="182"/>
      <c r="AA4" s="182"/>
    </row>
    <row r="5" spans="1:30" ht="27.75" customHeight="1" x14ac:dyDescent="0.25">
      <c r="A5" s="1023" t="s">
        <v>779</v>
      </c>
      <c r="B5" s="1024"/>
      <c r="C5" s="1024"/>
      <c r="D5" s="1024"/>
      <c r="E5" s="1024"/>
      <c r="F5" s="284" t="s">
        <v>439</v>
      </c>
      <c r="G5" s="996" t="s">
        <v>5</v>
      </c>
      <c r="H5" s="1001" t="s">
        <v>6</v>
      </c>
      <c r="I5" s="1003" t="s">
        <v>7</v>
      </c>
      <c r="J5" s="978" t="s">
        <v>8</v>
      </c>
      <c r="K5" s="979"/>
      <c r="L5" s="979"/>
      <c r="M5" s="998" t="s">
        <v>9</v>
      </c>
      <c r="N5" s="999"/>
      <c r="O5" s="999"/>
      <c r="P5" s="999"/>
      <c r="Q5" s="1000"/>
      <c r="R5" s="1005" t="s">
        <v>10</v>
      </c>
      <c r="S5" s="986" t="s">
        <v>5</v>
      </c>
      <c r="T5" s="986" t="s">
        <v>573</v>
      </c>
      <c r="U5" s="986" t="s">
        <v>10</v>
      </c>
      <c r="V5" s="986" t="s">
        <v>5</v>
      </c>
      <c r="W5" s="988" t="s">
        <v>573</v>
      </c>
      <c r="Y5" s="182"/>
      <c r="Z5" s="182"/>
      <c r="AA5" s="182"/>
    </row>
    <row r="6" spans="1:30" ht="27.75" customHeight="1" x14ac:dyDescent="0.25">
      <c r="A6" s="1023" t="s">
        <v>503</v>
      </c>
      <c r="B6" s="1024"/>
      <c r="C6" s="1024"/>
      <c r="D6" s="1024"/>
      <c r="E6" s="1024"/>
      <c r="F6" s="284" t="s">
        <v>417</v>
      </c>
      <c r="G6" s="997"/>
      <c r="H6" s="1002"/>
      <c r="I6" s="1004"/>
      <c r="J6" s="978" t="s">
        <v>5</v>
      </c>
      <c r="K6" s="1011"/>
      <c r="L6" s="331" t="s">
        <v>11</v>
      </c>
      <c r="M6" s="998" t="s">
        <v>5</v>
      </c>
      <c r="N6" s="999"/>
      <c r="O6" s="999"/>
      <c r="P6" s="999"/>
      <c r="Q6" s="332" t="s">
        <v>11</v>
      </c>
      <c r="R6" s="1006"/>
      <c r="S6" s="987"/>
      <c r="T6" s="987"/>
      <c r="U6" s="987"/>
      <c r="V6" s="987"/>
      <c r="W6" s="989"/>
      <c r="Y6" s="182"/>
      <c r="Z6" s="182"/>
      <c r="AA6" s="182"/>
    </row>
    <row r="7" spans="1:30" ht="27.75" customHeight="1" x14ac:dyDescent="0.25">
      <c r="A7" s="1023" t="s">
        <v>742</v>
      </c>
      <c r="B7" s="1024"/>
      <c r="C7" s="1024"/>
      <c r="D7" s="1024"/>
      <c r="E7" s="1024"/>
      <c r="F7" s="284" t="s">
        <v>445</v>
      </c>
      <c r="G7" s="289"/>
      <c r="H7" s="270" t="s">
        <v>13</v>
      </c>
      <c r="I7" s="271"/>
      <c r="J7" s="1055" t="s">
        <v>703</v>
      </c>
      <c r="K7" s="1056"/>
      <c r="L7" s="923" t="s">
        <v>818</v>
      </c>
      <c r="M7" s="937" t="s">
        <v>787</v>
      </c>
      <c r="N7" s="938"/>
      <c r="O7" s="938"/>
      <c r="P7" s="938"/>
      <c r="Q7" s="947" t="s">
        <v>816</v>
      </c>
      <c r="R7" s="926" t="s">
        <v>734</v>
      </c>
      <c r="S7" s="933" t="s">
        <v>735</v>
      </c>
      <c r="T7" s="944" t="s">
        <v>830</v>
      </c>
      <c r="U7" s="930" t="s">
        <v>832</v>
      </c>
      <c r="V7" s="933" t="s">
        <v>834</v>
      </c>
      <c r="W7" s="928" t="s">
        <v>833</v>
      </c>
      <c r="Y7" s="182"/>
      <c r="Z7" s="182" t="s">
        <v>16</v>
      </c>
      <c r="AA7" s="182"/>
    </row>
    <row r="8" spans="1:30" ht="27.75" customHeight="1" x14ac:dyDescent="0.25">
      <c r="A8" s="1023" t="s">
        <v>664</v>
      </c>
      <c r="B8" s="1024"/>
      <c r="C8" s="1024"/>
      <c r="D8" s="1024"/>
      <c r="E8" s="1024"/>
      <c r="F8" s="284" t="s">
        <v>449</v>
      </c>
      <c r="G8" s="289"/>
      <c r="H8" s="270"/>
      <c r="I8" s="271"/>
      <c r="J8" s="1057"/>
      <c r="K8" s="1058"/>
      <c r="L8" s="924"/>
      <c r="M8" s="939"/>
      <c r="N8" s="940"/>
      <c r="O8" s="940"/>
      <c r="P8" s="940"/>
      <c r="Q8" s="948"/>
      <c r="R8" s="927"/>
      <c r="S8" s="934"/>
      <c r="T8" s="945"/>
      <c r="U8" s="931"/>
      <c r="V8" s="934"/>
      <c r="W8" s="929"/>
      <c r="Y8" s="182"/>
      <c r="Z8" s="182"/>
      <c r="AA8" s="182"/>
    </row>
    <row r="9" spans="1:30" ht="27.75" customHeight="1" x14ac:dyDescent="0.25">
      <c r="A9" s="1023" t="s">
        <v>669</v>
      </c>
      <c r="B9" s="1024"/>
      <c r="C9" s="1024"/>
      <c r="D9" s="1024"/>
      <c r="E9" s="1024"/>
      <c r="F9" s="284" t="s">
        <v>468</v>
      </c>
      <c r="G9" s="289"/>
      <c r="H9" s="270"/>
      <c r="I9" s="271"/>
      <c r="J9" s="1057"/>
      <c r="K9" s="1058"/>
      <c r="L9" s="924"/>
      <c r="M9" s="939"/>
      <c r="N9" s="940"/>
      <c r="O9" s="940"/>
      <c r="P9" s="940"/>
      <c r="Q9" s="948"/>
      <c r="R9" s="927"/>
      <c r="S9" s="943"/>
      <c r="T9" s="946"/>
      <c r="U9" s="931"/>
      <c r="V9" s="934"/>
      <c r="W9" s="929"/>
      <c r="Y9" s="182"/>
      <c r="Z9" s="182"/>
      <c r="AA9" s="182"/>
    </row>
    <row r="10" spans="1:30" ht="27.75" customHeight="1" x14ac:dyDescent="0.25">
      <c r="A10" s="1023" t="s">
        <v>688</v>
      </c>
      <c r="B10" s="1024"/>
      <c r="C10" s="1024"/>
      <c r="D10" s="1024"/>
      <c r="E10" s="1024"/>
      <c r="F10" s="284" t="s">
        <v>481</v>
      </c>
      <c r="G10" s="289"/>
      <c r="H10" s="270"/>
      <c r="I10" s="271"/>
      <c r="J10" s="1057"/>
      <c r="K10" s="1058"/>
      <c r="L10" s="924"/>
      <c r="M10" s="939"/>
      <c r="N10" s="940"/>
      <c r="O10" s="940"/>
      <c r="P10" s="940"/>
      <c r="Q10" s="948"/>
      <c r="R10" s="926" t="s">
        <v>803</v>
      </c>
      <c r="S10" s="933" t="s">
        <v>828</v>
      </c>
      <c r="T10" s="944" t="s">
        <v>484</v>
      </c>
      <c r="U10" s="930" t="s">
        <v>739</v>
      </c>
      <c r="V10" s="933" t="s">
        <v>786</v>
      </c>
      <c r="W10" s="928" t="s">
        <v>821</v>
      </c>
      <c r="Y10" s="182"/>
      <c r="Z10" s="182"/>
      <c r="AA10" s="182"/>
    </row>
    <row r="11" spans="1:30" ht="27.75" customHeight="1" x14ac:dyDescent="0.25">
      <c r="A11" s="1023" t="s">
        <v>665</v>
      </c>
      <c r="B11" s="1024"/>
      <c r="C11" s="1024"/>
      <c r="D11" s="1024"/>
      <c r="E11" s="1024"/>
      <c r="F11" s="284" t="s">
        <v>484</v>
      </c>
      <c r="G11" s="289"/>
      <c r="H11" s="270"/>
      <c r="I11" s="271"/>
      <c r="J11" s="1057"/>
      <c r="K11" s="1058"/>
      <c r="L11" s="924"/>
      <c r="M11" s="939"/>
      <c r="N11" s="940"/>
      <c r="O11" s="940"/>
      <c r="P11" s="940"/>
      <c r="Q11" s="948"/>
      <c r="R11" s="1066"/>
      <c r="S11" s="943"/>
      <c r="T11" s="946"/>
      <c r="U11" s="931"/>
      <c r="V11" s="934"/>
      <c r="W11" s="929"/>
      <c r="Y11" s="182" t="s">
        <v>15</v>
      </c>
      <c r="Z11" s="182"/>
      <c r="AA11" s="182"/>
    </row>
    <row r="12" spans="1:30" ht="27.75" customHeight="1" x14ac:dyDescent="0.25">
      <c r="A12" s="1023" t="s">
        <v>686</v>
      </c>
      <c r="B12" s="1024"/>
      <c r="C12" s="1024"/>
      <c r="D12" s="1024"/>
      <c r="E12" s="1024"/>
      <c r="F12" s="284" t="s">
        <v>485</v>
      </c>
      <c r="G12" s="289"/>
      <c r="H12" s="270"/>
      <c r="I12" s="271"/>
      <c r="J12" s="1057"/>
      <c r="K12" s="1058"/>
      <c r="L12" s="924"/>
      <c r="M12" s="939"/>
      <c r="N12" s="940"/>
      <c r="O12" s="940"/>
      <c r="P12" s="940"/>
      <c r="Q12" s="948"/>
      <c r="R12" s="926" t="s">
        <v>798</v>
      </c>
      <c r="S12" s="933" t="s">
        <v>812</v>
      </c>
      <c r="T12" s="944" t="s">
        <v>836</v>
      </c>
      <c r="U12" s="931"/>
      <c r="V12" s="934"/>
      <c r="W12" s="929"/>
      <c r="Y12" s="182" t="s">
        <v>16</v>
      </c>
      <c r="Z12" s="874"/>
      <c r="AA12" s="874"/>
      <c r="AB12" s="874"/>
      <c r="AC12" s="874"/>
      <c r="AD12" s="874"/>
    </row>
    <row r="13" spans="1:30" ht="27.75" customHeight="1" thickBot="1" x14ac:dyDescent="0.3">
      <c r="A13" s="1023" t="s">
        <v>689</v>
      </c>
      <c r="B13" s="1024"/>
      <c r="C13" s="1024"/>
      <c r="D13" s="1024"/>
      <c r="E13" s="1024"/>
      <c r="F13" s="284" t="s">
        <v>560</v>
      </c>
      <c r="G13" s="265"/>
      <c r="H13" s="257"/>
      <c r="I13" s="258"/>
      <c r="J13" s="1059"/>
      <c r="K13" s="1060"/>
      <c r="L13" s="925"/>
      <c r="M13" s="941"/>
      <c r="N13" s="942"/>
      <c r="O13" s="942"/>
      <c r="P13" s="942"/>
      <c r="Q13" s="949"/>
      <c r="R13" s="1061"/>
      <c r="S13" s="935"/>
      <c r="T13" s="1062"/>
      <c r="U13" s="932"/>
      <c r="V13" s="935"/>
      <c r="W13" s="936"/>
      <c r="Y13" s="182"/>
      <c r="Z13" s="182"/>
      <c r="AA13" s="182" t="s">
        <v>460</v>
      </c>
    </row>
    <row r="14" spans="1:30" ht="27" customHeight="1" thickTop="1" thickBot="1" x14ac:dyDescent="0.3">
      <c r="A14" s="1023" t="s">
        <v>694</v>
      </c>
      <c r="B14" s="1024"/>
      <c r="C14" s="1024"/>
      <c r="D14" s="1024"/>
      <c r="E14" s="1024"/>
      <c r="F14" s="284" t="s">
        <v>670</v>
      </c>
      <c r="G14" s="1036" t="s">
        <v>800</v>
      </c>
      <c r="H14" s="1037"/>
      <c r="I14" s="1038"/>
      <c r="J14" s="1028" t="s">
        <v>743</v>
      </c>
      <c r="K14" s="914"/>
      <c r="L14" s="1029"/>
      <c r="M14" s="913" t="s">
        <v>788</v>
      </c>
      <c r="N14" s="914"/>
      <c r="O14" s="914"/>
      <c r="P14" s="914"/>
      <c r="Q14" s="915"/>
      <c r="R14" s="847" t="s">
        <v>19</v>
      </c>
      <c r="S14" s="895"/>
      <c r="T14" s="895"/>
      <c r="U14" s="848"/>
      <c r="V14" s="848"/>
      <c r="W14" s="849"/>
      <c r="Y14" s="182"/>
      <c r="Z14" s="182"/>
      <c r="AA14" s="182"/>
    </row>
    <row r="15" spans="1:30" ht="33" customHeight="1" thickTop="1" thickBot="1" x14ac:dyDescent="0.3">
      <c r="A15" s="1023" t="s">
        <v>736</v>
      </c>
      <c r="B15" s="1024"/>
      <c r="C15" s="1024"/>
      <c r="D15" s="1024"/>
      <c r="E15" s="1024"/>
      <c r="F15" s="284" t="s">
        <v>682</v>
      </c>
      <c r="G15" s="1039"/>
      <c r="H15" s="1040"/>
      <c r="I15" s="1041"/>
      <c r="J15" s="1025" t="s">
        <v>819</v>
      </c>
      <c r="K15" s="1026"/>
      <c r="L15" s="1027"/>
      <c r="M15" s="1030" t="s">
        <v>817</v>
      </c>
      <c r="N15" s="1031"/>
      <c r="O15" s="1031"/>
      <c r="P15" s="1031"/>
      <c r="Q15" s="1032"/>
      <c r="R15" s="884" t="s">
        <v>831</v>
      </c>
      <c r="S15" s="876"/>
      <c r="T15" s="876"/>
      <c r="U15" s="875" t="s">
        <v>837</v>
      </c>
      <c r="V15" s="876"/>
      <c r="W15" s="877"/>
      <c r="Y15" s="182"/>
      <c r="Z15" s="182" t="s">
        <v>16</v>
      </c>
      <c r="AA15" s="182"/>
    </row>
    <row r="16" spans="1:30" ht="30" customHeight="1" thickTop="1" thickBot="1" x14ac:dyDescent="0.3">
      <c r="A16" s="1023" t="s">
        <v>737</v>
      </c>
      <c r="B16" s="1024"/>
      <c r="C16" s="1024"/>
      <c r="D16" s="1024"/>
      <c r="E16" s="1024"/>
      <c r="F16" s="284" t="s">
        <v>780</v>
      </c>
      <c r="G16" s="1042" t="s">
        <v>785</v>
      </c>
      <c r="H16" s="1043"/>
      <c r="I16" s="1044"/>
      <c r="J16" s="1028" t="s">
        <v>700</v>
      </c>
      <c r="K16" s="914"/>
      <c r="L16" s="1029"/>
      <c r="M16" s="913" t="s">
        <v>746</v>
      </c>
      <c r="N16" s="914"/>
      <c r="O16" s="914"/>
      <c r="P16" s="914"/>
      <c r="Q16" s="915"/>
      <c r="R16" s="885"/>
      <c r="S16" s="879"/>
      <c r="T16" s="879"/>
      <c r="U16" s="878"/>
      <c r="V16" s="879"/>
      <c r="W16" s="880"/>
      <c r="Y16" s="182"/>
      <c r="Z16" s="182"/>
      <c r="AA16" s="182"/>
    </row>
    <row r="17" spans="1:27" ht="33" customHeight="1" thickTop="1" thickBot="1" x14ac:dyDescent="0.3">
      <c r="A17" s="1023" t="s">
        <v>738</v>
      </c>
      <c r="B17" s="1024"/>
      <c r="C17" s="1024"/>
      <c r="D17" s="1024"/>
      <c r="E17" s="1024"/>
      <c r="F17" s="284" t="s">
        <v>781</v>
      </c>
      <c r="G17" s="1045"/>
      <c r="H17" s="1046"/>
      <c r="I17" s="1047"/>
      <c r="J17" s="1014" t="s">
        <v>701</v>
      </c>
      <c r="K17" s="1015"/>
      <c r="L17" s="1016"/>
      <c r="M17" s="1033" t="s">
        <v>784</v>
      </c>
      <c r="N17" s="1034"/>
      <c r="O17" s="1034"/>
      <c r="P17" s="1034"/>
      <c r="Q17" s="1035"/>
      <c r="R17" s="885"/>
      <c r="S17" s="879"/>
      <c r="T17" s="879"/>
      <c r="U17" s="878"/>
      <c r="V17" s="879"/>
      <c r="W17" s="880"/>
      <c r="Y17" s="182"/>
      <c r="Z17" s="182"/>
      <c r="AA17" s="182"/>
    </row>
    <row r="18" spans="1:27" ht="21.95" customHeight="1" x14ac:dyDescent="0.25">
      <c r="A18" s="1048" t="s">
        <v>21</v>
      </c>
      <c r="B18" s="1049"/>
      <c r="C18" s="1049"/>
      <c r="D18" s="1049"/>
      <c r="E18" s="1049"/>
      <c r="F18" s="1049"/>
      <c r="G18" s="1049"/>
      <c r="H18" s="1049"/>
      <c r="I18" s="1049"/>
      <c r="J18" s="1050"/>
      <c r="K18" s="1051"/>
      <c r="L18" s="1017" t="s">
        <v>22</v>
      </c>
      <c r="M18" s="1018"/>
      <c r="N18" s="1018"/>
      <c r="O18" s="1018"/>
      <c r="P18" s="1018"/>
      <c r="Q18" s="1018"/>
      <c r="R18" s="1019"/>
      <c r="S18" s="896" t="s">
        <v>23</v>
      </c>
      <c r="T18" s="897"/>
      <c r="U18" s="898"/>
      <c r="V18" s="898"/>
      <c r="W18" s="899"/>
      <c r="Y18" s="182"/>
      <c r="Z18" s="182"/>
      <c r="AA18" s="182"/>
    </row>
    <row r="19" spans="1:27" ht="21" customHeight="1" x14ac:dyDescent="0.25">
      <c r="A19" s="1052"/>
      <c r="B19" s="1053"/>
      <c r="C19" s="1053"/>
      <c r="D19" s="1053"/>
      <c r="E19" s="1053"/>
      <c r="F19" s="1053"/>
      <c r="G19" s="1053"/>
      <c r="H19" s="1053"/>
      <c r="I19" s="1053"/>
      <c r="J19" s="1053"/>
      <c r="K19" s="1054"/>
      <c r="L19" s="1020"/>
      <c r="M19" s="1021"/>
      <c r="N19" s="1021"/>
      <c r="O19" s="1021"/>
      <c r="P19" s="1021"/>
      <c r="Q19" s="1021"/>
      <c r="R19" s="1022"/>
      <c r="S19" s="900"/>
      <c r="T19" s="901"/>
      <c r="U19" s="902"/>
      <c r="V19" s="902"/>
      <c r="W19" s="903"/>
      <c r="Y19" s="182"/>
      <c r="Z19" s="182"/>
      <c r="AA19" s="182"/>
    </row>
    <row r="20" spans="1:27" ht="21" customHeight="1" x14ac:dyDescent="0.25">
      <c r="A20" s="1071" t="s">
        <v>797</v>
      </c>
      <c r="B20" s="1068"/>
      <c r="C20" s="1069"/>
      <c r="D20" s="1069"/>
      <c r="E20" s="1069"/>
      <c r="F20" s="1070"/>
      <c r="G20" s="1067" t="s">
        <v>25</v>
      </c>
      <c r="H20" s="1068"/>
      <c r="I20" s="1069"/>
      <c r="J20" s="1070"/>
      <c r="K20" s="1070"/>
      <c r="L20" s="916" t="s">
        <v>10</v>
      </c>
      <c r="M20" s="917"/>
      <c r="N20" s="907" t="s">
        <v>6</v>
      </c>
      <c r="O20" s="917"/>
      <c r="P20" s="907" t="s">
        <v>26</v>
      </c>
      <c r="Q20" s="908"/>
      <c r="R20" s="909"/>
      <c r="S20" s="904" t="s">
        <v>10</v>
      </c>
      <c r="T20" s="886" t="s">
        <v>480</v>
      </c>
      <c r="U20" s="887"/>
      <c r="V20" s="888"/>
      <c r="W20" s="881" t="s">
        <v>699</v>
      </c>
      <c r="Y20" s="182"/>
      <c r="Z20" s="182"/>
      <c r="AA20" s="182"/>
    </row>
    <row r="21" spans="1:27" ht="15" customHeight="1" x14ac:dyDescent="0.25">
      <c r="A21" s="836" t="s">
        <v>10</v>
      </c>
      <c r="B21" s="837"/>
      <c r="C21" s="846" t="s">
        <v>6</v>
      </c>
      <c r="D21" s="834" t="s">
        <v>29</v>
      </c>
      <c r="E21" s="842"/>
      <c r="F21" s="842"/>
      <c r="G21" s="840" t="s">
        <v>10</v>
      </c>
      <c r="H21" s="837"/>
      <c r="I21" s="834" t="s">
        <v>6</v>
      </c>
      <c r="J21" s="834" t="s">
        <v>29</v>
      </c>
      <c r="K21" s="842"/>
      <c r="L21" s="918"/>
      <c r="M21" s="919"/>
      <c r="N21" s="910"/>
      <c r="O21" s="919"/>
      <c r="P21" s="910"/>
      <c r="Q21" s="911"/>
      <c r="R21" s="912"/>
      <c r="S21" s="905"/>
      <c r="T21" s="889"/>
      <c r="U21" s="890"/>
      <c r="V21" s="891"/>
      <c r="W21" s="882"/>
      <c r="Y21" s="182"/>
      <c r="Z21" s="182"/>
      <c r="AA21" s="182"/>
    </row>
    <row r="22" spans="1:27" ht="15.75" customHeight="1" x14ac:dyDescent="0.25">
      <c r="A22" s="838"/>
      <c r="B22" s="839"/>
      <c r="C22" s="846"/>
      <c r="D22" s="835"/>
      <c r="E22" s="843"/>
      <c r="F22" s="843"/>
      <c r="G22" s="841"/>
      <c r="H22" s="839"/>
      <c r="I22" s="835"/>
      <c r="J22" s="835"/>
      <c r="K22" s="843"/>
      <c r="L22" s="920"/>
      <c r="M22" s="921"/>
      <c r="N22" s="922"/>
      <c r="O22" s="921"/>
      <c r="P22" s="910"/>
      <c r="Q22" s="911"/>
      <c r="R22" s="912"/>
      <c r="S22" s="906"/>
      <c r="T22" s="892"/>
      <c r="U22" s="893"/>
      <c r="V22" s="894"/>
      <c r="W22" s="883"/>
      <c r="Y22" s="182"/>
      <c r="Z22" s="182"/>
      <c r="AA22" s="182"/>
    </row>
    <row r="23" spans="1:27" ht="30" customHeight="1" x14ac:dyDescent="0.25">
      <c r="A23" s="808" t="s">
        <v>739</v>
      </c>
      <c r="B23" s="809"/>
      <c r="C23" s="9" t="s">
        <v>821</v>
      </c>
      <c r="D23" s="805" t="s">
        <v>452</v>
      </c>
      <c r="E23" s="826"/>
      <c r="F23" s="827"/>
      <c r="G23" s="830" t="s">
        <v>666</v>
      </c>
      <c r="H23" s="831"/>
      <c r="I23" s="9" t="s">
        <v>799</v>
      </c>
      <c r="J23" s="844" t="s">
        <v>452</v>
      </c>
      <c r="K23" s="845"/>
      <c r="L23" s="784" t="s">
        <v>666</v>
      </c>
      <c r="M23" s="785"/>
      <c r="N23" s="790" t="s">
        <v>799</v>
      </c>
      <c r="O23" s="791"/>
      <c r="P23" s="810" t="s">
        <v>790</v>
      </c>
      <c r="Q23" s="811"/>
      <c r="R23" s="812"/>
      <c r="S23" s="571" t="s">
        <v>734</v>
      </c>
      <c r="T23" s="1063" t="s">
        <v>824</v>
      </c>
      <c r="U23" s="1064"/>
      <c r="V23" s="1065"/>
      <c r="W23" s="819" t="s">
        <v>801</v>
      </c>
      <c r="Y23" s="182"/>
      <c r="Z23" s="182"/>
      <c r="AA23" s="182"/>
    </row>
    <row r="24" spans="1:27" ht="30" customHeight="1" x14ac:dyDescent="0.25">
      <c r="A24" s="808"/>
      <c r="B24" s="809"/>
      <c r="C24" s="9"/>
      <c r="D24" s="805"/>
      <c r="E24" s="826"/>
      <c r="F24" s="827"/>
      <c r="G24" s="830" t="s">
        <v>739</v>
      </c>
      <c r="H24" s="831"/>
      <c r="I24" s="9" t="s">
        <v>809</v>
      </c>
      <c r="J24" s="844" t="s">
        <v>789</v>
      </c>
      <c r="K24" s="845"/>
      <c r="L24" s="786"/>
      <c r="M24" s="787"/>
      <c r="N24" s="792"/>
      <c r="O24" s="793"/>
      <c r="P24" s="813"/>
      <c r="Q24" s="814"/>
      <c r="R24" s="815"/>
      <c r="S24" s="571" t="s">
        <v>666</v>
      </c>
      <c r="T24" s="796" t="s">
        <v>823</v>
      </c>
      <c r="U24" s="797"/>
      <c r="V24" s="798"/>
      <c r="W24" s="820"/>
      <c r="Y24" s="182"/>
      <c r="Z24" s="182"/>
    </row>
    <row r="25" spans="1:27" ht="30" customHeight="1" x14ac:dyDescent="0.25">
      <c r="A25" s="808"/>
      <c r="B25" s="809"/>
      <c r="C25" s="9"/>
      <c r="D25" s="805"/>
      <c r="E25" s="806"/>
      <c r="F25" s="807"/>
      <c r="G25" s="830"/>
      <c r="H25" s="831"/>
      <c r="I25" s="9"/>
      <c r="J25" s="844"/>
      <c r="K25" s="845"/>
      <c r="L25" s="1072"/>
      <c r="M25" s="1073"/>
      <c r="N25" s="1074"/>
      <c r="O25" s="1075"/>
      <c r="P25" s="1076"/>
      <c r="Q25" s="1077"/>
      <c r="R25" s="1078"/>
      <c r="S25" s="821" t="s">
        <v>798</v>
      </c>
      <c r="T25" s="796" t="s">
        <v>827</v>
      </c>
      <c r="U25" s="797"/>
      <c r="V25" s="798"/>
      <c r="W25" s="824" t="s">
        <v>802</v>
      </c>
      <c r="Y25" s="182"/>
      <c r="Z25" s="182"/>
    </row>
    <row r="26" spans="1:27" ht="30" customHeight="1" x14ac:dyDescent="0.25">
      <c r="A26" s="808"/>
      <c r="B26" s="809"/>
      <c r="C26" s="9"/>
      <c r="D26" s="805"/>
      <c r="E26" s="826"/>
      <c r="F26" s="827"/>
      <c r="G26" s="830"/>
      <c r="H26" s="831"/>
      <c r="I26" s="9"/>
      <c r="J26" s="844"/>
      <c r="K26" s="845"/>
      <c r="L26" s="784" t="s">
        <v>814</v>
      </c>
      <c r="M26" s="785"/>
      <c r="N26" s="790" t="s">
        <v>810</v>
      </c>
      <c r="O26" s="791"/>
      <c r="P26" s="810" t="s">
        <v>806</v>
      </c>
      <c r="Q26" s="811"/>
      <c r="R26" s="812"/>
      <c r="S26" s="822"/>
      <c r="T26" s="799"/>
      <c r="U26" s="800"/>
      <c r="V26" s="801"/>
      <c r="W26" s="824"/>
      <c r="Y26" s="182"/>
      <c r="Z26" s="182"/>
      <c r="AA26" s="182"/>
    </row>
    <row r="27" spans="1:27" ht="30" customHeight="1" x14ac:dyDescent="0.25">
      <c r="A27" s="808"/>
      <c r="B27" s="809"/>
      <c r="C27" s="9"/>
      <c r="D27" s="805"/>
      <c r="E27" s="806"/>
      <c r="F27" s="807"/>
      <c r="G27" s="830"/>
      <c r="H27" s="831"/>
      <c r="I27" s="8"/>
      <c r="J27" s="832"/>
      <c r="K27" s="833"/>
      <c r="L27" s="786"/>
      <c r="M27" s="787"/>
      <c r="N27" s="792"/>
      <c r="O27" s="793"/>
      <c r="P27" s="813"/>
      <c r="Q27" s="814"/>
      <c r="R27" s="815"/>
      <c r="S27" s="822"/>
      <c r="T27" s="799"/>
      <c r="U27" s="800"/>
      <c r="V27" s="801"/>
      <c r="W27" s="824"/>
      <c r="Y27" s="182"/>
      <c r="Z27" s="182" t="s">
        <v>15</v>
      </c>
      <c r="AA27" s="182"/>
    </row>
    <row r="28" spans="1:27" ht="30" customHeight="1" x14ac:dyDescent="0.25">
      <c r="A28" s="808"/>
      <c r="B28" s="809"/>
      <c r="C28" s="9"/>
      <c r="D28" s="805"/>
      <c r="E28" s="826"/>
      <c r="F28" s="827"/>
      <c r="G28" s="830"/>
      <c r="H28" s="831"/>
      <c r="I28" s="9"/>
      <c r="J28" s="964"/>
      <c r="K28" s="965"/>
      <c r="L28" s="786"/>
      <c r="M28" s="787"/>
      <c r="N28" s="792"/>
      <c r="O28" s="793"/>
      <c r="P28" s="813"/>
      <c r="Q28" s="814"/>
      <c r="R28" s="815"/>
      <c r="S28" s="822"/>
      <c r="T28" s="799"/>
      <c r="U28" s="800"/>
      <c r="V28" s="801"/>
      <c r="W28" s="824"/>
      <c r="Y28" s="182"/>
      <c r="Z28" s="182" t="s">
        <v>16</v>
      </c>
      <c r="AA28" s="182"/>
    </row>
    <row r="29" spans="1:27" ht="30" customHeight="1" x14ac:dyDescent="0.25">
      <c r="A29" s="808"/>
      <c r="B29" s="809"/>
      <c r="C29" s="7"/>
      <c r="D29" s="805"/>
      <c r="E29" s="826"/>
      <c r="F29" s="827"/>
      <c r="G29" s="830"/>
      <c r="H29" s="831"/>
      <c r="I29" s="9"/>
      <c r="J29" s="832"/>
      <c r="K29" s="806"/>
      <c r="L29" s="786"/>
      <c r="M29" s="787"/>
      <c r="N29" s="792"/>
      <c r="O29" s="793"/>
      <c r="P29" s="813"/>
      <c r="Q29" s="814"/>
      <c r="R29" s="815"/>
      <c r="S29" s="822"/>
      <c r="T29" s="799"/>
      <c r="U29" s="800"/>
      <c r="V29" s="801"/>
      <c r="W29" s="824"/>
      <c r="Y29" s="182"/>
      <c r="Z29" s="182"/>
      <c r="AA29" s="182"/>
    </row>
    <row r="30" spans="1:27" ht="30" customHeight="1" thickBot="1" x14ac:dyDescent="0.3">
      <c r="A30" s="808"/>
      <c r="B30" s="809"/>
      <c r="C30" s="7"/>
      <c r="D30" s="805"/>
      <c r="E30" s="826"/>
      <c r="F30" s="827"/>
      <c r="G30" s="828"/>
      <c r="H30" s="829"/>
      <c r="I30" s="9"/>
      <c r="J30" s="832"/>
      <c r="K30" s="806"/>
      <c r="L30" s="788"/>
      <c r="M30" s="789"/>
      <c r="N30" s="794"/>
      <c r="O30" s="795"/>
      <c r="P30" s="816"/>
      <c r="Q30" s="817"/>
      <c r="R30" s="818"/>
      <c r="S30" s="823"/>
      <c r="T30" s="802"/>
      <c r="U30" s="803"/>
      <c r="V30" s="804"/>
      <c r="W30" s="825"/>
      <c r="Y30" s="182"/>
      <c r="Z30" s="182"/>
      <c r="AA30" s="182"/>
    </row>
    <row r="31" spans="1:27" ht="60.75" customHeight="1" thickTop="1" thickBot="1" x14ac:dyDescent="0.3">
      <c r="A31" s="961" t="s">
        <v>683</v>
      </c>
      <c r="B31" s="962"/>
      <c r="C31" s="962"/>
      <c r="D31" s="962"/>
      <c r="E31" s="962"/>
      <c r="F31" s="962"/>
      <c r="G31" s="962"/>
      <c r="H31" s="962"/>
      <c r="I31" s="962"/>
      <c r="J31" s="962"/>
      <c r="K31" s="963"/>
      <c r="L31" s="859" t="s">
        <v>684</v>
      </c>
      <c r="M31" s="860"/>
      <c r="N31" s="860"/>
      <c r="O31" s="860"/>
      <c r="P31" s="860"/>
      <c r="Q31" s="860"/>
      <c r="R31" s="861"/>
      <c r="S31" s="847" t="s">
        <v>666</v>
      </c>
      <c r="T31" s="848"/>
      <c r="U31" s="848"/>
      <c r="V31" s="848"/>
      <c r="W31" s="849"/>
      <c r="Y31" s="182"/>
      <c r="Z31" s="182"/>
      <c r="AA31" s="182"/>
    </row>
    <row r="32" spans="1:27" ht="54.75" customHeight="1" thickTop="1" thickBot="1" x14ac:dyDescent="0.3">
      <c r="A32" s="951" t="s">
        <v>820</v>
      </c>
      <c r="B32" s="952"/>
      <c r="C32" s="952"/>
      <c r="D32" s="952"/>
      <c r="E32" s="952"/>
      <c r="F32" s="952"/>
      <c r="G32" s="952"/>
      <c r="H32" s="952"/>
      <c r="I32" s="952"/>
      <c r="J32" s="952"/>
      <c r="K32" s="953"/>
      <c r="L32" s="862" t="s">
        <v>822</v>
      </c>
      <c r="M32" s="863"/>
      <c r="N32" s="863"/>
      <c r="O32" s="863"/>
      <c r="P32" s="863"/>
      <c r="Q32" s="863"/>
      <c r="R32" s="864"/>
      <c r="S32" s="850" t="s">
        <v>825</v>
      </c>
      <c r="T32" s="851"/>
      <c r="U32" s="851"/>
      <c r="V32" s="851"/>
      <c r="W32" s="852"/>
      <c r="Y32" s="182"/>
      <c r="Z32" s="182" t="s">
        <v>16</v>
      </c>
      <c r="AA32" s="182"/>
    </row>
    <row r="33" spans="1:27" ht="49.5" customHeight="1" thickTop="1" thickBot="1" x14ac:dyDescent="0.3">
      <c r="A33" s="954"/>
      <c r="B33" s="955"/>
      <c r="C33" s="955"/>
      <c r="D33" s="955"/>
      <c r="E33" s="955"/>
      <c r="F33" s="955"/>
      <c r="G33" s="955"/>
      <c r="H33" s="955"/>
      <c r="I33" s="955"/>
      <c r="J33" s="955"/>
      <c r="K33" s="956"/>
      <c r="L33" s="859" t="s">
        <v>495</v>
      </c>
      <c r="M33" s="860"/>
      <c r="N33" s="860"/>
      <c r="O33" s="860"/>
      <c r="P33" s="860"/>
      <c r="Q33" s="860"/>
      <c r="R33" s="861"/>
      <c r="S33" s="847" t="s">
        <v>734</v>
      </c>
      <c r="T33" s="848"/>
      <c r="U33" s="848"/>
      <c r="V33" s="848"/>
      <c r="W33" s="849"/>
      <c r="Y33" s="182"/>
      <c r="Z33" s="182"/>
      <c r="AA33" s="182"/>
    </row>
    <row r="34" spans="1:27" ht="69" customHeight="1" thickTop="1" thickBot="1" x14ac:dyDescent="0.3">
      <c r="A34" s="954"/>
      <c r="B34" s="955"/>
      <c r="C34" s="955"/>
      <c r="D34" s="955"/>
      <c r="E34" s="955"/>
      <c r="F34" s="955"/>
      <c r="G34" s="955"/>
      <c r="H34" s="955"/>
      <c r="I34" s="955"/>
      <c r="J34" s="955"/>
      <c r="K34" s="956"/>
      <c r="L34" s="865" t="s">
        <v>811</v>
      </c>
      <c r="M34" s="866"/>
      <c r="N34" s="866"/>
      <c r="O34" s="866" t="s">
        <v>815</v>
      </c>
      <c r="P34" s="866"/>
      <c r="Q34" s="866"/>
      <c r="R34" s="871"/>
      <c r="S34" s="850" t="s">
        <v>826</v>
      </c>
      <c r="T34" s="851"/>
      <c r="U34" s="851"/>
      <c r="V34" s="851"/>
      <c r="W34" s="852"/>
      <c r="Y34" s="182" t="s">
        <v>16</v>
      </c>
      <c r="Z34" s="182"/>
      <c r="AA34" s="182"/>
    </row>
    <row r="35" spans="1:27" ht="54.75" customHeight="1" thickTop="1" thickBot="1" x14ac:dyDescent="0.3">
      <c r="A35" s="954"/>
      <c r="B35" s="955"/>
      <c r="C35" s="955"/>
      <c r="D35" s="955"/>
      <c r="E35" s="955"/>
      <c r="F35" s="955"/>
      <c r="G35" s="955"/>
      <c r="H35" s="955"/>
      <c r="I35" s="955"/>
      <c r="J35" s="955"/>
      <c r="K35" s="956"/>
      <c r="L35" s="867"/>
      <c r="M35" s="868"/>
      <c r="N35" s="868"/>
      <c r="O35" s="868"/>
      <c r="P35" s="868"/>
      <c r="Q35" s="868"/>
      <c r="R35" s="872"/>
      <c r="S35" s="856" t="s">
        <v>783</v>
      </c>
      <c r="T35" s="857"/>
      <c r="U35" s="857"/>
      <c r="V35" s="857"/>
      <c r="W35" s="858"/>
      <c r="Y35" s="182"/>
      <c r="Z35" s="182"/>
      <c r="AA35" s="182"/>
    </row>
    <row r="36" spans="1:27" ht="39" customHeight="1" thickTop="1" x14ac:dyDescent="0.25">
      <c r="A36" s="954"/>
      <c r="B36" s="955"/>
      <c r="C36" s="955"/>
      <c r="D36" s="955"/>
      <c r="E36" s="955"/>
      <c r="F36" s="955"/>
      <c r="G36" s="955"/>
      <c r="H36" s="955"/>
      <c r="I36" s="955"/>
      <c r="J36" s="955"/>
      <c r="K36" s="956"/>
      <c r="L36" s="867"/>
      <c r="M36" s="868"/>
      <c r="N36" s="868"/>
      <c r="O36" s="868"/>
      <c r="P36" s="868"/>
      <c r="Q36" s="868"/>
      <c r="R36" s="872"/>
      <c r="S36" s="850" t="s">
        <v>791</v>
      </c>
      <c r="T36" s="851"/>
      <c r="U36" s="851"/>
      <c r="V36" s="851"/>
      <c r="W36" s="852"/>
      <c r="Y36" s="182"/>
      <c r="Z36" s="182"/>
      <c r="AA36" s="182"/>
    </row>
    <row r="37" spans="1:27" ht="30.75" customHeight="1" thickBot="1" x14ac:dyDescent="0.3">
      <c r="A37" s="957"/>
      <c r="B37" s="958"/>
      <c r="C37" s="958"/>
      <c r="D37" s="958"/>
      <c r="E37" s="958"/>
      <c r="F37" s="958"/>
      <c r="G37" s="958"/>
      <c r="H37" s="958"/>
      <c r="I37" s="958"/>
      <c r="J37" s="958"/>
      <c r="K37" s="959"/>
      <c r="L37" s="869"/>
      <c r="M37" s="870"/>
      <c r="N37" s="870"/>
      <c r="O37" s="870"/>
      <c r="P37" s="870"/>
      <c r="Q37" s="870"/>
      <c r="R37" s="873"/>
      <c r="S37" s="853"/>
      <c r="T37" s="854"/>
      <c r="U37" s="854"/>
      <c r="V37" s="854"/>
      <c r="W37" s="855"/>
      <c r="Y37" s="182"/>
      <c r="Z37" s="182"/>
      <c r="AA37" s="182"/>
    </row>
    <row r="38" spans="1:27" ht="15" customHeight="1" x14ac:dyDescent="0.25">
      <c r="A38" s="960" t="s">
        <v>36</v>
      </c>
      <c r="B38" s="960"/>
      <c r="C38" s="960"/>
      <c r="D38" s="960"/>
      <c r="E38" s="960"/>
      <c r="F38" s="960"/>
      <c r="G38" s="10"/>
      <c r="H38" s="10"/>
      <c r="I38" s="10"/>
      <c r="J38" s="10"/>
      <c r="L38" s="11"/>
      <c r="M38" s="11"/>
      <c r="N38" s="11"/>
      <c r="O38" s="11"/>
      <c r="P38" s="11"/>
      <c r="Q38" s="11"/>
      <c r="R38" s="11"/>
      <c r="S38" s="10"/>
    </row>
    <row r="39" spans="1:27" x14ac:dyDescent="0.25">
      <c r="C39" s="950"/>
      <c r="D39" s="950"/>
      <c r="E39" s="950"/>
      <c r="F39" s="950"/>
      <c r="G39" s="10"/>
      <c r="H39" s="10"/>
      <c r="I39" s="10"/>
      <c r="J39" s="10"/>
    </row>
    <row r="40" spans="1:27" x14ac:dyDescent="0.25">
      <c r="C40" s="950"/>
      <c r="D40" s="950"/>
      <c r="E40" s="950"/>
      <c r="F40" s="950"/>
      <c r="G40" s="10"/>
      <c r="H40" s="10"/>
      <c r="I40" s="10"/>
      <c r="J40" s="10"/>
    </row>
    <row r="41" spans="1:27" x14ac:dyDescent="0.25">
      <c r="C41" s="950"/>
      <c r="D41" s="950"/>
      <c r="E41" s="950"/>
      <c r="F41" s="950"/>
      <c r="G41" s="10"/>
      <c r="H41" s="10"/>
      <c r="I41" s="10"/>
      <c r="J41" s="10"/>
    </row>
    <row r="42" spans="1:27" x14ac:dyDescent="0.25">
      <c r="C42" s="950"/>
      <c r="D42" s="950"/>
      <c r="E42" s="950"/>
      <c r="F42" s="950"/>
      <c r="G42" s="10"/>
      <c r="H42" s="10"/>
      <c r="I42" s="10"/>
      <c r="J42" s="10"/>
    </row>
    <row r="43" spans="1:27" x14ac:dyDescent="0.25">
      <c r="C43" s="950"/>
      <c r="D43" s="950"/>
      <c r="E43" s="950"/>
      <c r="F43" s="950"/>
      <c r="G43" s="10"/>
      <c r="H43" s="10"/>
      <c r="I43" s="10"/>
      <c r="J43" s="10"/>
    </row>
    <row r="44" spans="1:27" x14ac:dyDescent="0.25">
      <c r="C44" s="950"/>
      <c r="D44" s="950"/>
      <c r="E44" s="950"/>
      <c r="F44" s="950"/>
      <c r="G44" s="10"/>
      <c r="H44" s="10"/>
      <c r="I44" s="10"/>
      <c r="J44" s="10"/>
    </row>
    <row r="45" spans="1:27" x14ac:dyDescent="0.25">
      <c r="C45" s="950"/>
      <c r="D45" s="950"/>
      <c r="E45" s="950"/>
      <c r="F45" s="950"/>
      <c r="G45" s="10"/>
      <c r="H45" s="10"/>
      <c r="I45" s="10"/>
      <c r="J45" s="10"/>
    </row>
    <row r="46" spans="1:27" x14ac:dyDescent="0.25">
      <c r="C46" s="950"/>
      <c r="D46" s="950"/>
      <c r="E46" s="950"/>
      <c r="F46" s="950"/>
      <c r="G46" s="10"/>
      <c r="H46" s="10"/>
      <c r="I46" s="10"/>
      <c r="J46" s="10"/>
    </row>
    <row r="47" spans="1:27" x14ac:dyDescent="0.25">
      <c r="C47" s="950"/>
      <c r="D47" s="950"/>
      <c r="E47" s="950"/>
      <c r="F47" s="950"/>
      <c r="G47" s="10"/>
      <c r="H47" s="10"/>
      <c r="I47" s="10"/>
      <c r="J47" s="10"/>
    </row>
    <row r="48" spans="1:27" x14ac:dyDescent="0.25">
      <c r="C48" s="950"/>
      <c r="D48" s="950"/>
      <c r="E48" s="950"/>
      <c r="F48" s="950"/>
      <c r="G48" s="10"/>
      <c r="H48" s="10"/>
      <c r="I48" s="10"/>
      <c r="J48" s="10"/>
    </row>
    <row r="49" spans="3:10" x14ac:dyDescent="0.25">
      <c r="C49" s="950"/>
      <c r="D49" s="950"/>
      <c r="E49" s="950"/>
      <c r="F49" s="950"/>
      <c r="G49" s="10"/>
      <c r="H49" s="10"/>
      <c r="I49" s="10"/>
      <c r="J49" s="10"/>
    </row>
    <row r="50" spans="3:10" x14ac:dyDescent="0.25">
      <c r="C50" s="950"/>
      <c r="D50" s="950"/>
      <c r="E50" s="950"/>
      <c r="F50" s="950"/>
      <c r="G50" s="10"/>
      <c r="H50" s="10"/>
      <c r="I50" s="10"/>
      <c r="J50" s="10"/>
    </row>
    <row r="51" spans="3:10" x14ac:dyDescent="0.25">
      <c r="C51" s="950"/>
      <c r="D51" s="950"/>
      <c r="E51" s="950"/>
      <c r="F51" s="950"/>
      <c r="G51" s="10"/>
      <c r="H51" s="10"/>
      <c r="I51" s="10"/>
      <c r="J51" s="10"/>
    </row>
    <row r="52" spans="3:10" x14ac:dyDescent="0.25">
      <c r="C52" s="950"/>
      <c r="D52" s="950"/>
      <c r="E52" s="950"/>
      <c r="F52" s="950"/>
      <c r="G52" s="10"/>
      <c r="H52" s="10"/>
      <c r="I52" s="10"/>
      <c r="J52" s="10"/>
    </row>
    <row r="53" spans="3:10" x14ac:dyDescent="0.25">
      <c r="C53" s="950"/>
      <c r="D53" s="950"/>
      <c r="E53" s="950"/>
      <c r="F53" s="950"/>
      <c r="G53" s="10"/>
      <c r="H53" s="10"/>
      <c r="I53" s="10"/>
      <c r="J53" s="10"/>
    </row>
    <row r="54" spans="3:10" x14ac:dyDescent="0.25">
      <c r="C54" s="950"/>
      <c r="D54" s="950"/>
      <c r="E54" s="950"/>
      <c r="F54" s="950"/>
      <c r="G54" s="10"/>
      <c r="H54" s="10"/>
      <c r="I54" s="10"/>
      <c r="J54" s="10"/>
    </row>
    <row r="55" spans="3:10" x14ac:dyDescent="0.25">
      <c r="C55" s="950"/>
      <c r="D55" s="950"/>
      <c r="E55" s="950"/>
      <c r="F55" s="950"/>
      <c r="G55" s="10"/>
      <c r="H55" s="10"/>
      <c r="I55" s="10"/>
      <c r="J55" s="10"/>
    </row>
    <row r="56" spans="3:10" x14ac:dyDescent="0.25">
      <c r="C56" s="950"/>
      <c r="D56" s="950"/>
      <c r="E56" s="950"/>
      <c r="F56" s="950"/>
      <c r="G56" s="10"/>
      <c r="H56" s="10"/>
      <c r="I56" s="10"/>
      <c r="J56" s="10"/>
    </row>
    <row r="57" spans="3:10" x14ac:dyDescent="0.25">
      <c r="C57" s="950"/>
      <c r="D57" s="950"/>
      <c r="E57" s="950"/>
      <c r="F57" s="950"/>
      <c r="G57" s="10"/>
      <c r="H57" s="10"/>
      <c r="I57" s="10"/>
      <c r="J57" s="10"/>
    </row>
    <row r="58" spans="3:10" x14ac:dyDescent="0.25">
      <c r="C58" s="950"/>
      <c r="D58" s="950"/>
      <c r="E58" s="950"/>
      <c r="F58" s="950"/>
      <c r="G58" s="10"/>
      <c r="H58" s="10"/>
      <c r="I58" s="10"/>
      <c r="J58" s="10"/>
    </row>
    <row r="59" spans="3:10" x14ac:dyDescent="0.25">
      <c r="C59" s="950"/>
      <c r="D59" s="950"/>
      <c r="E59" s="950"/>
      <c r="F59" s="950"/>
      <c r="G59" s="10"/>
      <c r="H59" s="10"/>
      <c r="I59" s="10"/>
      <c r="J59" s="10"/>
    </row>
    <row r="60" spans="3:10" x14ac:dyDescent="0.25">
      <c r="C60" s="950"/>
      <c r="D60" s="950"/>
      <c r="E60" s="950"/>
      <c r="F60" s="950"/>
      <c r="G60" s="10"/>
      <c r="H60" s="10"/>
      <c r="I60" s="10"/>
      <c r="J60" s="10"/>
    </row>
    <row r="61" spans="3:10" x14ac:dyDescent="0.25">
      <c r="C61" s="950"/>
      <c r="D61" s="950"/>
      <c r="E61" s="950"/>
      <c r="F61" s="950"/>
      <c r="G61" s="10"/>
      <c r="H61" s="10"/>
      <c r="I61" s="10"/>
      <c r="J61" s="10"/>
    </row>
    <row r="62" spans="3:10" x14ac:dyDescent="0.25">
      <c r="C62" s="950"/>
      <c r="D62" s="950"/>
      <c r="E62" s="950"/>
      <c r="F62" s="950"/>
      <c r="G62" s="10"/>
      <c r="H62" s="10"/>
      <c r="I62" s="10"/>
      <c r="J62" s="10"/>
    </row>
    <row r="63" spans="3:10" x14ac:dyDescent="0.25">
      <c r="C63" s="950"/>
      <c r="D63" s="950"/>
      <c r="E63" s="950"/>
      <c r="F63" s="950"/>
      <c r="G63" s="10"/>
      <c r="H63" s="10"/>
      <c r="I63" s="10"/>
      <c r="J63" s="10"/>
    </row>
    <row r="64" spans="3:10" x14ac:dyDescent="0.25">
      <c r="C64" s="950"/>
      <c r="D64" s="950"/>
      <c r="E64" s="950"/>
      <c r="F64" s="950"/>
      <c r="G64" s="10"/>
      <c r="H64" s="10"/>
      <c r="I64" s="10"/>
      <c r="J64" s="10"/>
    </row>
    <row r="65" spans="3:10" x14ac:dyDescent="0.25">
      <c r="C65" s="950"/>
      <c r="D65" s="950"/>
      <c r="E65" s="950"/>
      <c r="F65" s="950"/>
      <c r="G65" s="10"/>
      <c r="H65" s="10"/>
      <c r="I65" s="10"/>
      <c r="J65" s="10"/>
    </row>
    <row r="66" spans="3:10" x14ac:dyDescent="0.25">
      <c r="C66" s="950"/>
      <c r="D66" s="950"/>
      <c r="E66" s="950"/>
      <c r="F66" s="950"/>
      <c r="G66" s="10"/>
      <c r="H66" s="10"/>
      <c r="I66" s="10"/>
      <c r="J66" s="10"/>
    </row>
    <row r="67" spans="3:10" x14ac:dyDescent="0.25">
      <c r="C67" s="950"/>
      <c r="D67" s="950"/>
      <c r="E67" s="950"/>
      <c r="F67" s="950"/>
      <c r="G67" s="10"/>
      <c r="H67" s="10"/>
      <c r="I67" s="10"/>
      <c r="J67" s="10"/>
    </row>
    <row r="68" spans="3:10" x14ac:dyDescent="0.25">
      <c r="C68" s="950"/>
      <c r="D68" s="950"/>
      <c r="E68" s="950"/>
      <c r="F68" s="950"/>
      <c r="G68" s="10"/>
      <c r="H68" s="10"/>
      <c r="I68" s="10"/>
      <c r="J68" s="10"/>
    </row>
    <row r="69" spans="3:10" x14ac:dyDescent="0.25">
      <c r="C69" s="950"/>
      <c r="D69" s="950"/>
      <c r="E69" s="950"/>
      <c r="F69" s="950"/>
      <c r="G69" s="10"/>
      <c r="H69" s="10"/>
      <c r="I69" s="10"/>
      <c r="J69" s="10"/>
    </row>
    <row r="156" spans="36:36" x14ac:dyDescent="0.25">
      <c r="AJ156" t="s">
        <v>16</v>
      </c>
    </row>
  </sheetData>
  <mergeCells count="174">
    <mergeCell ref="A10:E10"/>
    <mergeCell ref="A17:E17"/>
    <mergeCell ref="A15:E15"/>
    <mergeCell ref="J7:K13"/>
    <mergeCell ref="T24:V24"/>
    <mergeCell ref="R12:R13"/>
    <mergeCell ref="S12:S13"/>
    <mergeCell ref="T12:T13"/>
    <mergeCell ref="T23:V23"/>
    <mergeCell ref="R10:R11"/>
    <mergeCell ref="S10:S11"/>
    <mergeCell ref="T10:T11"/>
    <mergeCell ref="A24:B24"/>
    <mergeCell ref="G20:K20"/>
    <mergeCell ref="A16:E16"/>
    <mergeCell ref="A20:F20"/>
    <mergeCell ref="L23:M25"/>
    <mergeCell ref="N23:O25"/>
    <mergeCell ref="P23:R25"/>
    <mergeCell ref="J25:K25"/>
    <mergeCell ref="G25:H25"/>
    <mergeCell ref="G23:H23"/>
    <mergeCell ref="D24:F24"/>
    <mergeCell ref="A1:F2"/>
    <mergeCell ref="J6:K6"/>
    <mergeCell ref="A3:E3"/>
    <mergeCell ref="J17:L17"/>
    <mergeCell ref="L18:R19"/>
    <mergeCell ref="A4:E4"/>
    <mergeCell ref="J15:L15"/>
    <mergeCell ref="J16:L16"/>
    <mergeCell ref="J14:L14"/>
    <mergeCell ref="A7:E7"/>
    <mergeCell ref="A8:E8"/>
    <mergeCell ref="A11:E11"/>
    <mergeCell ref="M15:Q15"/>
    <mergeCell ref="M16:Q16"/>
    <mergeCell ref="M17:Q17"/>
    <mergeCell ref="A5:E5"/>
    <mergeCell ref="A6:E6"/>
    <mergeCell ref="A14:E14"/>
    <mergeCell ref="A9:E9"/>
    <mergeCell ref="A13:E13"/>
    <mergeCell ref="A12:E12"/>
    <mergeCell ref="G14:I15"/>
    <mergeCell ref="G16:I17"/>
    <mergeCell ref="A18:K19"/>
    <mergeCell ref="G26:H26"/>
    <mergeCell ref="J26:K26"/>
    <mergeCell ref="G28:H28"/>
    <mergeCell ref="J28:K28"/>
    <mergeCell ref="V1:W1"/>
    <mergeCell ref="V2:W2"/>
    <mergeCell ref="R3:W4"/>
    <mergeCell ref="J3:Q4"/>
    <mergeCell ref="J5:L5"/>
    <mergeCell ref="G1:T2"/>
    <mergeCell ref="U5:U6"/>
    <mergeCell ref="V5:V6"/>
    <mergeCell ref="W5:W6"/>
    <mergeCell ref="G3:I4"/>
    <mergeCell ref="S5:S6"/>
    <mergeCell ref="T5:T6"/>
    <mergeCell ref="G5:G6"/>
    <mergeCell ref="M5:Q5"/>
    <mergeCell ref="H5:H6"/>
    <mergeCell ref="I5:I6"/>
    <mergeCell ref="M6:P6"/>
    <mergeCell ref="R5:R6"/>
    <mergeCell ref="C69:F69"/>
    <mergeCell ref="C58:F58"/>
    <mergeCell ref="C59:F59"/>
    <mergeCell ref="C60:F60"/>
    <mergeCell ref="C61:F61"/>
    <mergeCell ref="C62:F62"/>
    <mergeCell ref="C63:F63"/>
    <mergeCell ref="C64:F64"/>
    <mergeCell ref="C65:F65"/>
    <mergeCell ref="C66:F66"/>
    <mergeCell ref="C67:F67"/>
    <mergeCell ref="C68:F68"/>
    <mergeCell ref="C57:F57"/>
    <mergeCell ref="C46:F46"/>
    <mergeCell ref="C47:F47"/>
    <mergeCell ref="C48:F48"/>
    <mergeCell ref="C49:F49"/>
    <mergeCell ref="C40:F40"/>
    <mergeCell ref="D30:F30"/>
    <mergeCell ref="C54:F54"/>
    <mergeCell ref="C56:F56"/>
    <mergeCell ref="C55:F55"/>
    <mergeCell ref="C42:F42"/>
    <mergeCell ref="C41:F41"/>
    <mergeCell ref="C50:F50"/>
    <mergeCell ref="C52:F52"/>
    <mergeCell ref="C53:F53"/>
    <mergeCell ref="C45:F45"/>
    <mergeCell ref="C51:F51"/>
    <mergeCell ref="C43:F43"/>
    <mergeCell ref="C44:F44"/>
    <mergeCell ref="C39:F39"/>
    <mergeCell ref="A32:K37"/>
    <mergeCell ref="A38:F38"/>
    <mergeCell ref="A31:K31"/>
    <mergeCell ref="A30:B30"/>
    <mergeCell ref="Z12:AD12"/>
    <mergeCell ref="U15:W17"/>
    <mergeCell ref="W20:W22"/>
    <mergeCell ref="R15:T17"/>
    <mergeCell ref="T20:V22"/>
    <mergeCell ref="R14:W14"/>
    <mergeCell ref="S18:W19"/>
    <mergeCell ref="S20:S22"/>
    <mergeCell ref="P20:R22"/>
    <mergeCell ref="M14:Q14"/>
    <mergeCell ref="L20:M22"/>
    <mergeCell ref="N20:O22"/>
    <mergeCell ref="L7:L13"/>
    <mergeCell ref="R7:R9"/>
    <mergeCell ref="W7:W9"/>
    <mergeCell ref="U10:U13"/>
    <mergeCell ref="V10:V13"/>
    <mergeCell ref="W10:W13"/>
    <mergeCell ref="M7:P13"/>
    <mergeCell ref="V7:V9"/>
    <mergeCell ref="U7:U9"/>
    <mergeCell ref="S7:S9"/>
    <mergeCell ref="T7:T9"/>
    <mergeCell ref="Q7:Q13"/>
    <mergeCell ref="S33:W33"/>
    <mergeCell ref="S36:W37"/>
    <mergeCell ref="S31:W31"/>
    <mergeCell ref="S32:W32"/>
    <mergeCell ref="S34:W34"/>
    <mergeCell ref="S35:W35"/>
    <mergeCell ref="L33:R33"/>
    <mergeCell ref="L31:R31"/>
    <mergeCell ref="L32:R32"/>
    <mergeCell ref="L34:N37"/>
    <mergeCell ref="O34:R37"/>
    <mergeCell ref="I21:I22"/>
    <mergeCell ref="A21:B22"/>
    <mergeCell ref="G24:H24"/>
    <mergeCell ref="G21:H22"/>
    <mergeCell ref="J21:K22"/>
    <mergeCell ref="J23:K23"/>
    <mergeCell ref="J24:K24"/>
    <mergeCell ref="C21:C22"/>
    <mergeCell ref="D21:F22"/>
    <mergeCell ref="A23:B23"/>
    <mergeCell ref="L26:M30"/>
    <mergeCell ref="N26:O30"/>
    <mergeCell ref="T25:V30"/>
    <mergeCell ref="D25:F25"/>
    <mergeCell ref="A25:B25"/>
    <mergeCell ref="P26:R30"/>
    <mergeCell ref="W23:W24"/>
    <mergeCell ref="S25:S30"/>
    <mergeCell ref="W25:W30"/>
    <mergeCell ref="D23:F23"/>
    <mergeCell ref="D29:F29"/>
    <mergeCell ref="D28:F28"/>
    <mergeCell ref="A28:B28"/>
    <mergeCell ref="G30:H30"/>
    <mergeCell ref="G27:H27"/>
    <mergeCell ref="J27:K27"/>
    <mergeCell ref="A26:B26"/>
    <mergeCell ref="D26:F26"/>
    <mergeCell ref="A27:B27"/>
    <mergeCell ref="D27:F27"/>
    <mergeCell ref="A29:B29"/>
    <mergeCell ref="G29:H29"/>
    <mergeCell ref="J29:K29"/>
    <mergeCell ref="J30:K30"/>
  </mergeCells>
  <phoneticPr fontId="137" type="noConversion"/>
  <pageMargins left="0.25" right="0" top="0.7" bottom="0" header="0.3" footer="0.3"/>
  <pageSetup paperSize="8" scale="65" orientation="landscape" r:id="rId1"/>
  <headerFooter>
    <oddFooter>&amp;C&amp;"-,Bold Italic"&amp;16Prepared by Emir Cebecioglu&amp;RQuality Control Department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F49B7-6A71-4A6A-9294-87F2DD427253}">
  <sheetPr>
    <tabColor rgb="FFEE0000"/>
    <pageSetUpPr fitToPage="1"/>
  </sheetPr>
  <dimension ref="A1:W227"/>
  <sheetViews>
    <sheetView view="pageBreakPreview" topLeftCell="A16" zoomScale="40" zoomScaleNormal="85" zoomScaleSheetLayoutView="40" zoomScalePageLayoutView="70" workbookViewId="0">
      <selection activeCell="G151" sqref="G151"/>
    </sheetView>
  </sheetViews>
  <sheetFormatPr defaultRowHeight="15" x14ac:dyDescent="0.25"/>
  <cols>
    <col min="1" max="7" width="12.7109375" customWidth="1"/>
    <col min="8" max="8" width="27.5703125" customWidth="1"/>
    <col min="9" max="13" width="38.28515625" customWidth="1"/>
    <col min="14" max="14" width="36.140625" customWidth="1"/>
    <col min="15" max="15" width="43.85546875" customWidth="1"/>
    <col min="16" max="16" width="49" customWidth="1"/>
    <col min="17" max="17" width="9.140625" customWidth="1"/>
  </cols>
  <sheetData>
    <row r="1" spans="1:16" ht="34.5" customHeight="1" thickTop="1" x14ac:dyDescent="0.25">
      <c r="A1" s="1117"/>
      <c r="B1" s="1118"/>
      <c r="C1" s="1118"/>
      <c r="D1" s="1118"/>
      <c r="E1" s="1119"/>
      <c r="F1" s="1086" t="s">
        <v>37</v>
      </c>
      <c r="G1" s="1087"/>
      <c r="H1" s="1087"/>
      <c r="I1" s="1087"/>
      <c r="J1" s="1087"/>
      <c r="K1" s="1087"/>
      <c r="L1" s="1087"/>
      <c r="M1" s="1087"/>
      <c r="N1" s="1087"/>
      <c r="O1" s="1084" t="s">
        <v>1</v>
      </c>
      <c r="P1" s="1123">
        <v>46182</v>
      </c>
    </row>
    <row r="2" spans="1:16" ht="55.5" customHeight="1" thickBot="1" x14ac:dyDescent="0.3">
      <c r="A2" s="1120"/>
      <c r="B2" s="1121"/>
      <c r="C2" s="1121"/>
      <c r="D2" s="1121"/>
      <c r="E2" s="1122"/>
      <c r="F2" s="1088"/>
      <c r="G2" s="1089"/>
      <c r="H2" s="1089"/>
      <c r="I2" s="1089"/>
      <c r="J2" s="1089"/>
      <c r="K2" s="1089"/>
      <c r="L2" s="1089"/>
      <c r="M2" s="1089"/>
      <c r="N2" s="1089"/>
      <c r="O2" s="1085"/>
      <c r="P2" s="1124"/>
    </row>
    <row r="3" spans="1:16" ht="123" customHeight="1" thickTop="1" thickBot="1" x14ac:dyDescent="0.3">
      <c r="A3" s="418" t="s">
        <v>575</v>
      </c>
      <c r="B3" s="1125" t="s">
        <v>10</v>
      </c>
      <c r="C3" s="1125"/>
      <c r="D3" s="1125"/>
      <c r="E3" s="1125" t="s">
        <v>5</v>
      </c>
      <c r="F3" s="1125"/>
      <c r="G3" s="1125"/>
      <c r="H3" s="466" t="s">
        <v>6</v>
      </c>
      <c r="I3" s="419" t="s">
        <v>38</v>
      </c>
      <c r="J3" s="419" t="s">
        <v>39</v>
      </c>
      <c r="K3" s="458" t="s">
        <v>577</v>
      </c>
      <c r="L3" s="458" t="s">
        <v>41</v>
      </c>
      <c r="M3" s="458" t="s">
        <v>576</v>
      </c>
      <c r="N3" s="467" t="s">
        <v>581</v>
      </c>
      <c r="O3" s="467" t="s">
        <v>44</v>
      </c>
      <c r="P3" s="425" t="s">
        <v>617</v>
      </c>
    </row>
    <row r="4" spans="1:16" ht="71.25" customHeight="1" thickBot="1" x14ac:dyDescent="0.3">
      <c r="A4" s="420">
        <v>1</v>
      </c>
      <c r="B4" s="1114" t="s">
        <v>631</v>
      </c>
      <c r="C4" s="1115"/>
      <c r="D4" s="1116"/>
      <c r="E4" s="1114" t="s">
        <v>579</v>
      </c>
      <c r="F4" s="1115"/>
      <c r="G4" s="1116"/>
      <c r="H4" s="426">
        <v>190</v>
      </c>
      <c r="I4" s="429">
        <v>9180</v>
      </c>
      <c r="J4" s="429">
        <v>7980</v>
      </c>
      <c r="K4" s="430">
        <f>(72*3.1415/59)*(J4)</f>
        <v>30592.885423728818</v>
      </c>
      <c r="L4" s="429">
        <v>406.92</v>
      </c>
      <c r="M4" s="429">
        <v>555.41999999999996</v>
      </c>
      <c r="N4" s="459" t="s">
        <v>582</v>
      </c>
      <c r="O4" s="431">
        <v>4.36E-2</v>
      </c>
      <c r="P4" s="460">
        <v>5.96E-2</v>
      </c>
    </row>
    <row r="5" spans="1:16" ht="71.25" customHeight="1" thickTop="1" thickBot="1" x14ac:dyDescent="0.3">
      <c r="A5" s="420">
        <v>2</v>
      </c>
      <c r="B5" s="1114" t="s">
        <v>497</v>
      </c>
      <c r="C5" s="1115"/>
      <c r="D5" s="1116"/>
      <c r="E5" s="1114" t="s">
        <v>601</v>
      </c>
      <c r="F5" s="1115"/>
      <c r="G5" s="1116"/>
      <c r="H5" s="426">
        <v>22</v>
      </c>
      <c r="I5" s="429">
        <v>1220</v>
      </c>
      <c r="J5" s="429">
        <v>290</v>
      </c>
      <c r="K5" s="448">
        <f>(60*3.1415/64)*(J5)</f>
        <v>854.09531250000009</v>
      </c>
      <c r="L5" s="447">
        <v>14.35</v>
      </c>
      <c r="M5" s="447">
        <v>15.85</v>
      </c>
      <c r="N5" s="459" t="s">
        <v>582</v>
      </c>
      <c r="O5" s="431">
        <v>5.5100000000000003E-2</v>
      </c>
      <c r="P5" s="460">
        <v>6.0900000000000003E-2</v>
      </c>
    </row>
    <row r="6" spans="1:16" ht="71.25" customHeight="1" thickTop="1" thickBot="1" x14ac:dyDescent="0.3">
      <c r="A6" s="420">
        <v>3</v>
      </c>
      <c r="B6" s="1114" t="s">
        <v>497</v>
      </c>
      <c r="C6" s="1115"/>
      <c r="D6" s="1116"/>
      <c r="E6" s="1114" t="s">
        <v>580</v>
      </c>
      <c r="F6" s="1115"/>
      <c r="G6" s="1116"/>
      <c r="H6" s="426">
        <v>204</v>
      </c>
      <c r="I6" s="429">
        <v>10240</v>
      </c>
      <c r="J6" s="429">
        <v>5055</v>
      </c>
      <c r="K6" s="448">
        <f>(66*3.1415/64)*(J6)</f>
        <v>16376.541328125</v>
      </c>
      <c r="L6" s="447">
        <v>58.05</v>
      </c>
      <c r="M6" s="447">
        <v>91.05</v>
      </c>
      <c r="N6" s="459" t="s">
        <v>582</v>
      </c>
      <c r="O6" s="431">
        <v>1.1599999999999999E-2</v>
      </c>
      <c r="P6" s="460">
        <v>1.8200000000000001E-2</v>
      </c>
    </row>
    <row r="7" spans="1:16" ht="71.25" customHeight="1" thickTop="1" thickBot="1" x14ac:dyDescent="0.3">
      <c r="A7" s="420">
        <v>4</v>
      </c>
      <c r="B7" s="1114" t="s">
        <v>518</v>
      </c>
      <c r="C7" s="1115"/>
      <c r="D7" s="1116"/>
      <c r="E7" s="1114" t="s">
        <v>603</v>
      </c>
      <c r="F7" s="1115"/>
      <c r="G7" s="1116"/>
      <c r="H7" s="426">
        <v>108</v>
      </c>
      <c r="I7" s="429">
        <v>5270</v>
      </c>
      <c r="J7" s="429">
        <v>3285</v>
      </c>
      <c r="K7" s="448">
        <f>(68*3.1415/64)*(J7)</f>
        <v>10964.81671875</v>
      </c>
      <c r="L7" s="447">
        <v>18.97</v>
      </c>
      <c r="M7" s="447">
        <v>42.97</v>
      </c>
      <c r="N7" s="459" t="s">
        <v>582</v>
      </c>
      <c r="O7" s="431">
        <v>5.7000000000000002E-3</v>
      </c>
      <c r="P7" s="460">
        <v>1.29E-2</v>
      </c>
    </row>
    <row r="8" spans="1:16" ht="71.25" customHeight="1" thickTop="1" thickBot="1" x14ac:dyDescent="0.3">
      <c r="A8" s="420">
        <v>5</v>
      </c>
      <c r="B8" s="1114" t="s">
        <v>518</v>
      </c>
      <c r="C8" s="1115"/>
      <c r="D8" s="1116"/>
      <c r="E8" s="1114" t="s">
        <v>600</v>
      </c>
      <c r="F8" s="1115"/>
      <c r="G8" s="1116"/>
      <c r="H8" s="426">
        <v>16</v>
      </c>
      <c r="I8" s="429">
        <v>970</v>
      </c>
      <c r="J8" s="429">
        <v>210</v>
      </c>
      <c r="K8" s="448">
        <f>(78*3.1415/44)*(J8)</f>
        <v>1169.4947727272729</v>
      </c>
      <c r="L8" s="447">
        <v>2.46</v>
      </c>
      <c r="M8" s="447">
        <v>5.46</v>
      </c>
      <c r="N8" s="459" t="s">
        <v>582</v>
      </c>
      <c r="O8" s="431">
        <v>6.8999999999999999E-3</v>
      </c>
      <c r="P8" s="460">
        <v>1.5299999999999999E-2</v>
      </c>
    </row>
    <row r="9" spans="1:16" ht="71.25" customHeight="1" thickTop="1" thickBot="1" x14ac:dyDescent="0.3">
      <c r="A9" s="420">
        <v>6</v>
      </c>
      <c r="B9" s="1114" t="s">
        <v>518</v>
      </c>
      <c r="C9" s="1115"/>
      <c r="D9" s="1116"/>
      <c r="E9" s="1114" t="s">
        <v>599</v>
      </c>
      <c r="F9" s="1115"/>
      <c r="G9" s="1116"/>
      <c r="H9" s="426">
        <v>16</v>
      </c>
      <c r="I9" s="429">
        <v>875</v>
      </c>
      <c r="J9" s="429">
        <v>875</v>
      </c>
      <c r="K9" s="448">
        <f>(84*3.1415/59)*(J9)</f>
        <v>3913.5635593220345</v>
      </c>
      <c r="L9" s="447">
        <v>6.1</v>
      </c>
      <c r="M9" s="447">
        <v>15.1</v>
      </c>
      <c r="N9" s="459" t="s">
        <v>583</v>
      </c>
      <c r="O9" s="431">
        <v>5.1000000000000004E-3</v>
      </c>
      <c r="P9" s="460">
        <v>9.4000000000000004E-3</v>
      </c>
    </row>
    <row r="10" spans="1:16" ht="71.25" customHeight="1" thickTop="1" thickBot="1" x14ac:dyDescent="0.3">
      <c r="A10" s="420">
        <v>7</v>
      </c>
      <c r="B10" s="1114" t="s">
        <v>518</v>
      </c>
      <c r="C10" s="1115"/>
      <c r="D10" s="1116"/>
      <c r="E10" s="1114" t="s">
        <v>602</v>
      </c>
      <c r="F10" s="1115"/>
      <c r="G10" s="1116"/>
      <c r="H10" s="426">
        <v>8</v>
      </c>
      <c r="I10" s="429">
        <v>440</v>
      </c>
      <c r="J10" s="429">
        <v>440</v>
      </c>
      <c r="K10" s="448">
        <f>(72*3.1415/44)*(J10)</f>
        <v>2261.88</v>
      </c>
      <c r="L10" s="447">
        <v>7.21</v>
      </c>
      <c r="M10" s="447">
        <v>10.210000000000001</v>
      </c>
      <c r="N10" s="459" t="s">
        <v>583</v>
      </c>
      <c r="O10" s="431">
        <v>1.0500000000000001E-2</v>
      </c>
      <c r="P10" s="460">
        <v>1.4800000000000001E-2</v>
      </c>
    </row>
    <row r="11" spans="1:16" ht="71.25" customHeight="1" thickTop="1" thickBot="1" x14ac:dyDescent="0.3">
      <c r="A11" s="420">
        <v>8</v>
      </c>
      <c r="B11" s="1114" t="s">
        <v>518</v>
      </c>
      <c r="C11" s="1115"/>
      <c r="D11" s="1116"/>
      <c r="E11" s="1114" t="s">
        <v>588</v>
      </c>
      <c r="F11" s="1115"/>
      <c r="G11" s="1116"/>
      <c r="H11" s="426">
        <v>6</v>
      </c>
      <c r="I11" s="429">
        <v>235</v>
      </c>
      <c r="J11" s="429">
        <v>235</v>
      </c>
      <c r="K11" s="448">
        <f>(84*3.1415/59)*(J11)</f>
        <v>1051.0713559322035</v>
      </c>
      <c r="L11" s="447">
        <v>2.46</v>
      </c>
      <c r="M11" s="447">
        <v>3.96</v>
      </c>
      <c r="N11" s="459" t="s">
        <v>583</v>
      </c>
      <c r="O11" s="431">
        <v>7.7000000000000002E-3</v>
      </c>
      <c r="P11" s="460">
        <v>1.24E-2</v>
      </c>
    </row>
    <row r="12" spans="1:16" ht="71.25" customHeight="1" thickTop="1" thickBot="1" x14ac:dyDescent="0.3">
      <c r="A12" s="420">
        <v>9</v>
      </c>
      <c r="B12" s="1114" t="s">
        <v>518</v>
      </c>
      <c r="C12" s="1115"/>
      <c r="D12" s="1116"/>
      <c r="E12" s="1114" t="s">
        <v>589</v>
      </c>
      <c r="F12" s="1115"/>
      <c r="G12" s="1116"/>
      <c r="H12" s="426">
        <v>12</v>
      </c>
      <c r="I12" s="429">
        <v>500</v>
      </c>
      <c r="J12" s="429">
        <v>500</v>
      </c>
      <c r="K12" s="448">
        <f>(90*3.1415/59)*(J12)</f>
        <v>2396.0593220338983</v>
      </c>
      <c r="L12" s="447">
        <v>39.85</v>
      </c>
      <c r="M12" s="447">
        <v>47.35</v>
      </c>
      <c r="N12" s="459" t="s">
        <v>583</v>
      </c>
      <c r="O12" s="431">
        <v>5.4600000000000003E-2</v>
      </c>
      <c r="P12" s="460">
        <v>6.4799999999999996E-2</v>
      </c>
    </row>
    <row r="13" spans="1:16" ht="71.25" customHeight="1" thickTop="1" thickBot="1" x14ac:dyDescent="0.3">
      <c r="A13" s="420">
        <v>10</v>
      </c>
      <c r="B13" s="1114" t="s">
        <v>590</v>
      </c>
      <c r="C13" s="1115"/>
      <c r="D13" s="1116"/>
      <c r="E13" s="1114" t="s">
        <v>599</v>
      </c>
      <c r="F13" s="1115"/>
      <c r="G13" s="1116"/>
      <c r="H13" s="426">
        <v>39</v>
      </c>
      <c r="I13" s="429">
        <v>2085</v>
      </c>
      <c r="J13" s="429">
        <v>2085</v>
      </c>
      <c r="K13" s="448">
        <f>(84*3.1415/59)*(J13)</f>
        <v>9325.4628813559339</v>
      </c>
      <c r="L13" s="447">
        <v>16.38</v>
      </c>
      <c r="M13" s="447">
        <v>40.380000000000003</v>
      </c>
      <c r="N13" s="459" t="s">
        <v>583</v>
      </c>
      <c r="O13" s="431">
        <v>5.7999999999999996E-3</v>
      </c>
      <c r="P13" s="460">
        <v>1.4200000000000001E-2</v>
      </c>
    </row>
    <row r="14" spans="1:16" ht="71.25" customHeight="1" thickTop="1" thickBot="1" x14ac:dyDescent="0.3">
      <c r="A14" s="420">
        <v>11</v>
      </c>
      <c r="B14" s="1114" t="s">
        <v>590</v>
      </c>
      <c r="C14" s="1115"/>
      <c r="D14" s="1116"/>
      <c r="E14" s="1114" t="s">
        <v>589</v>
      </c>
      <c r="F14" s="1115"/>
      <c r="G14" s="1116"/>
      <c r="H14" s="426">
        <v>54</v>
      </c>
      <c r="I14" s="429">
        <v>2760</v>
      </c>
      <c r="J14" s="429">
        <v>2760</v>
      </c>
      <c r="K14" s="448">
        <f>(90*3.1415/59)*(J14)</f>
        <v>13226.24745762712</v>
      </c>
      <c r="L14" s="447">
        <v>74.069999999999993</v>
      </c>
      <c r="M14" s="447">
        <v>113.07</v>
      </c>
      <c r="N14" s="459" t="s">
        <v>583</v>
      </c>
      <c r="O14" s="431">
        <v>1.84E-2</v>
      </c>
      <c r="P14" s="460">
        <v>2.8000000000000001E-2</v>
      </c>
    </row>
    <row r="15" spans="1:16" ht="71.25" customHeight="1" thickTop="1" thickBot="1" x14ac:dyDescent="0.3">
      <c r="A15" s="420">
        <v>12</v>
      </c>
      <c r="B15" s="1114" t="s">
        <v>524</v>
      </c>
      <c r="C15" s="1115"/>
      <c r="D15" s="1116"/>
      <c r="E15" s="1114" t="s">
        <v>584</v>
      </c>
      <c r="F15" s="1115"/>
      <c r="G15" s="1116"/>
      <c r="H15" s="426">
        <v>30</v>
      </c>
      <c r="I15" s="429">
        <v>2940</v>
      </c>
      <c r="J15" s="429">
        <v>1274</v>
      </c>
      <c r="K15" s="448">
        <f>(60*3.1415/59)*(J15)</f>
        <v>4070.1061016949152</v>
      </c>
      <c r="L15" s="447">
        <v>125.64</v>
      </c>
      <c r="M15" s="447">
        <v>145.13999999999999</v>
      </c>
      <c r="N15" s="459" t="s">
        <v>582</v>
      </c>
      <c r="O15" s="431">
        <v>0.1013</v>
      </c>
      <c r="P15" s="460">
        <v>0.11700000000000001</v>
      </c>
    </row>
    <row r="16" spans="1:16" ht="71.25" customHeight="1" thickTop="1" thickBot="1" x14ac:dyDescent="0.3">
      <c r="A16" s="420">
        <v>13</v>
      </c>
      <c r="B16" s="1174" t="s">
        <v>585</v>
      </c>
      <c r="C16" s="1175"/>
      <c r="D16" s="1176"/>
      <c r="E16" s="1114" t="s">
        <v>579</v>
      </c>
      <c r="F16" s="1115"/>
      <c r="G16" s="1116"/>
      <c r="H16" s="426">
        <v>226</v>
      </c>
      <c r="I16" s="429">
        <v>29305.4</v>
      </c>
      <c r="J16" s="429">
        <v>6353.83</v>
      </c>
      <c r="K16" s="448">
        <f>(72*3.1415/59)*(J16)</f>
        <v>24358.645763389832</v>
      </c>
      <c r="L16" s="447">
        <v>148.76</v>
      </c>
      <c r="M16" s="447">
        <v>274.76</v>
      </c>
      <c r="N16" s="459" t="s">
        <v>582</v>
      </c>
      <c r="O16" s="431">
        <v>0.02</v>
      </c>
      <c r="P16" s="460">
        <v>3.6999999999999998E-2</v>
      </c>
    </row>
    <row r="17" spans="1:23" ht="71.25" customHeight="1" thickTop="1" thickBot="1" x14ac:dyDescent="0.3">
      <c r="A17" s="420">
        <v>14</v>
      </c>
      <c r="B17" s="1114" t="s">
        <v>543</v>
      </c>
      <c r="C17" s="1115"/>
      <c r="D17" s="1116"/>
      <c r="E17" s="1114" t="s">
        <v>586</v>
      </c>
      <c r="F17" s="1115"/>
      <c r="G17" s="1116"/>
      <c r="H17" s="426">
        <v>25</v>
      </c>
      <c r="I17" s="429">
        <v>3125</v>
      </c>
      <c r="J17" s="429">
        <v>3125</v>
      </c>
      <c r="K17" s="448">
        <f>(66*3.1415/59)*(J17)</f>
        <v>10981.938559322034</v>
      </c>
      <c r="L17" s="447">
        <v>52.99</v>
      </c>
      <c r="M17" s="447">
        <v>90.49</v>
      </c>
      <c r="N17" s="459" t="s">
        <v>583</v>
      </c>
      <c r="O17" s="431">
        <v>1.5800000000000002E-2</v>
      </c>
      <c r="P17" s="460">
        <v>2.7E-2</v>
      </c>
    </row>
    <row r="18" spans="1:23" ht="71.25" customHeight="1" thickTop="1" thickBot="1" x14ac:dyDescent="0.3">
      <c r="A18" s="420">
        <v>15</v>
      </c>
      <c r="B18" s="1114" t="s">
        <v>625</v>
      </c>
      <c r="C18" s="1115"/>
      <c r="D18" s="1116"/>
      <c r="E18" s="1114" t="s">
        <v>587</v>
      </c>
      <c r="F18" s="1115"/>
      <c r="G18" s="1116"/>
      <c r="H18" s="426">
        <v>47</v>
      </c>
      <c r="I18" s="429">
        <v>8041</v>
      </c>
      <c r="J18" s="429">
        <v>3772</v>
      </c>
      <c r="K18" s="448">
        <v>12704.1</v>
      </c>
      <c r="L18" s="447">
        <v>344.39</v>
      </c>
      <c r="M18" s="447">
        <v>619.79</v>
      </c>
      <c r="N18" s="459" t="s">
        <v>582</v>
      </c>
      <c r="O18" s="431">
        <v>8.8900000000000007E-2</v>
      </c>
      <c r="P18" s="460">
        <v>0.16009999999999999</v>
      </c>
    </row>
    <row r="19" spans="1:23" ht="71.25" customHeight="1" thickTop="1" thickBot="1" x14ac:dyDescent="0.3">
      <c r="A19" s="420">
        <v>16</v>
      </c>
      <c r="B19" s="1114" t="s">
        <v>595</v>
      </c>
      <c r="C19" s="1115"/>
      <c r="D19" s="1116"/>
      <c r="E19" s="1114" t="s">
        <v>593</v>
      </c>
      <c r="F19" s="1115"/>
      <c r="G19" s="1116"/>
      <c r="H19" s="426">
        <v>8</v>
      </c>
      <c r="I19" s="429">
        <v>480</v>
      </c>
      <c r="J19" s="429">
        <v>480</v>
      </c>
      <c r="K19" s="448">
        <f>(42*3.1415/59)*(J19)</f>
        <v>1073.4345762711866</v>
      </c>
      <c r="L19" s="447">
        <v>12.42</v>
      </c>
      <c r="M19" s="447">
        <v>16.920000000000002</v>
      </c>
      <c r="N19" s="459" t="s">
        <v>583</v>
      </c>
      <c r="O19" s="431">
        <v>3.7999999999999999E-2</v>
      </c>
      <c r="P19" s="460">
        <v>5.1700000000000003E-2</v>
      </c>
    </row>
    <row r="20" spans="1:23" ht="71.25" customHeight="1" thickTop="1" thickBot="1" x14ac:dyDescent="0.3">
      <c r="A20" s="420">
        <v>17</v>
      </c>
      <c r="B20" s="1114" t="s">
        <v>596</v>
      </c>
      <c r="C20" s="1115"/>
      <c r="D20" s="1116"/>
      <c r="E20" s="1114" t="s">
        <v>597</v>
      </c>
      <c r="F20" s="1115"/>
      <c r="G20" s="1116"/>
      <c r="H20" s="426">
        <v>14</v>
      </c>
      <c r="I20" s="429">
        <v>1624</v>
      </c>
      <c r="J20" s="429">
        <v>1624</v>
      </c>
      <c r="K20" s="448">
        <f>(36*3.1415/59)*(J20)</f>
        <v>3112.9602711864409</v>
      </c>
      <c r="L20" s="447">
        <v>20.7</v>
      </c>
      <c r="M20" s="447">
        <v>26.7</v>
      </c>
      <c r="N20" s="459" t="s">
        <v>583</v>
      </c>
      <c r="O20" s="431">
        <v>2.18E-2</v>
      </c>
      <c r="P20" s="460">
        <v>2.81E-2</v>
      </c>
    </row>
    <row r="21" spans="1:23" ht="71.25" customHeight="1" thickTop="1" thickBot="1" x14ac:dyDescent="0.3">
      <c r="A21" s="420">
        <v>18</v>
      </c>
      <c r="B21" s="1114" t="s">
        <v>598</v>
      </c>
      <c r="C21" s="1115"/>
      <c r="D21" s="1116"/>
      <c r="E21" s="1114" t="s">
        <v>597</v>
      </c>
      <c r="F21" s="1115"/>
      <c r="G21" s="1116"/>
      <c r="H21" s="426">
        <v>89</v>
      </c>
      <c r="I21" s="429">
        <v>5843</v>
      </c>
      <c r="J21" s="429">
        <v>5843</v>
      </c>
      <c r="K21" s="448">
        <f>(36*3.1415/59)*(J21)</f>
        <v>11200.139694915255</v>
      </c>
      <c r="L21" s="447">
        <v>72.38</v>
      </c>
      <c r="M21" s="447">
        <v>108.38</v>
      </c>
      <c r="N21" s="459" t="s">
        <v>583</v>
      </c>
      <c r="O21" s="431">
        <v>2.12E-2</v>
      </c>
      <c r="P21" s="460">
        <v>3.1699999999999999E-2</v>
      </c>
    </row>
    <row r="22" spans="1:23" ht="71.25" customHeight="1" thickTop="1" thickBot="1" x14ac:dyDescent="0.3">
      <c r="A22" s="420">
        <v>19</v>
      </c>
      <c r="B22" s="1114" t="s">
        <v>591</v>
      </c>
      <c r="C22" s="1115"/>
      <c r="D22" s="1116"/>
      <c r="E22" s="1114" t="s">
        <v>584</v>
      </c>
      <c r="F22" s="1115"/>
      <c r="G22" s="1116"/>
      <c r="H22" s="426">
        <v>27</v>
      </c>
      <c r="I22" s="429">
        <v>3807</v>
      </c>
      <c r="J22" s="429">
        <v>3807</v>
      </c>
      <c r="K22" s="448">
        <f>(60*3.1415/59)*(J22)</f>
        <v>12162.397118644069</v>
      </c>
      <c r="L22" s="447">
        <v>75.69</v>
      </c>
      <c r="M22" s="447">
        <v>131.19</v>
      </c>
      <c r="N22" s="459" t="s">
        <v>583</v>
      </c>
      <c r="O22" s="431">
        <v>2.0400000000000001E-2</v>
      </c>
      <c r="P22" s="460">
        <v>3.5400000000000001E-2</v>
      </c>
    </row>
    <row r="23" spans="1:23" ht="71.25" customHeight="1" thickTop="1" thickBot="1" x14ac:dyDescent="0.3">
      <c r="A23" s="420">
        <v>20</v>
      </c>
      <c r="B23" s="1114" t="s">
        <v>592</v>
      </c>
      <c r="C23" s="1115"/>
      <c r="D23" s="1116"/>
      <c r="E23" s="1114" t="s">
        <v>593</v>
      </c>
      <c r="F23" s="1115"/>
      <c r="G23" s="1116"/>
      <c r="H23" s="426">
        <v>48</v>
      </c>
      <c r="I23" s="429">
        <v>6255.84</v>
      </c>
      <c r="J23" s="429">
        <v>3127.92</v>
      </c>
      <c r="K23" s="448">
        <f>(42*3.1415/59)*(J23)</f>
        <v>6995.0364162711876</v>
      </c>
      <c r="L23" s="447">
        <v>55.62</v>
      </c>
      <c r="M23" s="447">
        <v>91.62</v>
      </c>
      <c r="N23" s="459" t="s">
        <v>582</v>
      </c>
      <c r="O23" s="431">
        <v>2.6100000000000002E-2</v>
      </c>
      <c r="P23" s="460">
        <v>4.2999999999999997E-2</v>
      </c>
    </row>
    <row r="24" spans="1:23" ht="71.25" customHeight="1" thickTop="1" thickBot="1" x14ac:dyDescent="0.3">
      <c r="A24" s="420">
        <v>21</v>
      </c>
      <c r="B24" s="1114" t="s">
        <v>592</v>
      </c>
      <c r="C24" s="1115"/>
      <c r="D24" s="1116"/>
      <c r="E24" s="1114" t="s">
        <v>594</v>
      </c>
      <c r="F24" s="1115"/>
      <c r="G24" s="1116"/>
      <c r="H24" s="426">
        <v>53</v>
      </c>
      <c r="I24" s="429">
        <v>6332</v>
      </c>
      <c r="J24" s="429">
        <v>2851.5</v>
      </c>
      <c r="K24" s="448">
        <f>(36*3.1415/59)*(J24)</f>
        <v>5465.8905254237297</v>
      </c>
      <c r="L24" s="447">
        <v>49</v>
      </c>
      <c r="M24" s="447">
        <v>77.5</v>
      </c>
      <c r="N24" s="459" t="s">
        <v>582</v>
      </c>
      <c r="O24" s="431">
        <v>2.9399999999999999E-2</v>
      </c>
      <c r="P24" s="460">
        <v>4.65E-2</v>
      </c>
    </row>
    <row r="25" spans="1:23" ht="71.25" customHeight="1" thickTop="1" thickBot="1" x14ac:dyDescent="0.3">
      <c r="A25" s="420">
        <v>22</v>
      </c>
      <c r="B25" s="1114" t="s">
        <v>628</v>
      </c>
      <c r="C25" s="1115"/>
      <c r="D25" s="1116"/>
      <c r="E25" s="1114" t="s">
        <v>629</v>
      </c>
      <c r="F25" s="1115"/>
      <c r="G25" s="1116"/>
      <c r="H25" s="426">
        <v>18</v>
      </c>
      <c r="I25" s="429">
        <v>990</v>
      </c>
      <c r="J25" s="429">
        <v>420</v>
      </c>
      <c r="K25" s="448">
        <f>(36*3.1415/59)*(J25)</f>
        <v>805.07593220338993</v>
      </c>
      <c r="L25" s="447">
        <v>5.79</v>
      </c>
      <c r="M25" s="447">
        <v>7.29</v>
      </c>
      <c r="N25" s="459" t="s">
        <v>582</v>
      </c>
      <c r="O25" s="431">
        <v>2.3599999999999999E-2</v>
      </c>
      <c r="P25" s="460">
        <v>2.9700000000000001E-2</v>
      </c>
    </row>
    <row r="26" spans="1:23" ht="71.25" customHeight="1" thickTop="1" thickBot="1" x14ac:dyDescent="0.3">
      <c r="A26" s="420">
        <v>23</v>
      </c>
      <c r="B26" s="426"/>
      <c r="C26" s="427"/>
      <c r="D26" s="428"/>
      <c r="E26" s="426"/>
      <c r="F26" s="427"/>
      <c r="G26" s="428"/>
      <c r="H26" s="426"/>
      <c r="I26" s="429"/>
      <c r="J26" s="429"/>
      <c r="K26" s="430"/>
      <c r="L26" s="429"/>
      <c r="M26" s="429"/>
      <c r="N26" s="459"/>
      <c r="O26" s="431"/>
      <c r="P26" s="460"/>
    </row>
    <row r="27" spans="1:23" ht="71.25" customHeight="1" thickTop="1" thickBot="1" x14ac:dyDescent="0.3">
      <c r="A27" s="420">
        <v>24</v>
      </c>
      <c r="B27" s="1114"/>
      <c r="C27" s="1115"/>
      <c r="D27" s="1116"/>
      <c r="E27" s="1114"/>
      <c r="F27" s="1115"/>
      <c r="G27" s="1116"/>
      <c r="H27" s="426"/>
      <c r="I27" s="429"/>
      <c r="J27" s="429"/>
      <c r="K27" s="448"/>
      <c r="L27" s="447"/>
      <c r="M27" s="447"/>
      <c r="N27" s="459"/>
      <c r="O27" s="431"/>
      <c r="P27" s="460"/>
    </row>
    <row r="28" spans="1:23" ht="71.25" customHeight="1" thickTop="1" thickBot="1" x14ac:dyDescent="0.3">
      <c r="A28" s="420">
        <v>25</v>
      </c>
      <c r="B28" s="1114"/>
      <c r="C28" s="1115"/>
      <c r="D28" s="1116"/>
      <c r="E28" s="1114"/>
      <c r="F28" s="1115"/>
      <c r="G28" s="1116"/>
      <c r="H28" s="426"/>
      <c r="I28" s="429"/>
      <c r="J28" s="429"/>
      <c r="K28" s="448"/>
      <c r="L28" s="447"/>
      <c r="M28" s="447"/>
      <c r="N28" s="459"/>
      <c r="O28" s="431"/>
      <c r="P28" s="460"/>
    </row>
    <row r="29" spans="1:23" ht="121.5" customHeight="1" thickTop="1" thickBot="1" x14ac:dyDescent="0.3">
      <c r="A29" s="1177" t="s">
        <v>578</v>
      </c>
      <c r="B29" s="1178"/>
      <c r="C29" s="1178"/>
      <c r="D29" s="1179"/>
      <c r="E29" s="421"/>
      <c r="F29" s="421"/>
      <c r="G29" s="421"/>
      <c r="H29" s="421"/>
      <c r="I29" s="421"/>
      <c r="J29" s="421"/>
      <c r="K29" s="421"/>
      <c r="L29" s="421"/>
      <c r="M29" s="421"/>
      <c r="N29" s="421"/>
      <c r="O29" s="421"/>
      <c r="P29" s="446"/>
      <c r="U29" s="21"/>
      <c r="V29" s="17"/>
      <c r="W29" s="17"/>
    </row>
    <row r="30" spans="1:23" ht="29.25" customHeight="1" thickTop="1" x14ac:dyDescent="0.25">
      <c r="A30" s="1180" t="s">
        <v>626</v>
      </c>
      <c r="B30" s="1181"/>
      <c r="C30" s="1181"/>
      <c r="D30" s="1181"/>
      <c r="E30" s="1181"/>
      <c r="F30" s="1181"/>
      <c r="G30" s="1181"/>
      <c r="H30" s="1181"/>
      <c r="I30" s="1181"/>
      <c r="J30" s="1096">
        <f>C44</f>
        <v>2.3934200697074606E-2</v>
      </c>
      <c r="K30" s="1102"/>
      <c r="L30" s="1103"/>
      <c r="M30" s="1090" t="s">
        <v>623</v>
      </c>
      <c r="N30" s="1091"/>
      <c r="O30" s="1096">
        <f>F44</f>
        <v>4.3971823622690732E-2</v>
      </c>
      <c r="P30" s="1097"/>
      <c r="U30" s="21"/>
      <c r="V30" s="17"/>
      <c r="W30" s="17"/>
    </row>
    <row r="31" spans="1:23" ht="29.25" customHeight="1" x14ac:dyDescent="0.25">
      <c r="A31" s="1182"/>
      <c r="B31" s="1183"/>
      <c r="C31" s="1183"/>
      <c r="D31" s="1183"/>
      <c r="E31" s="1183"/>
      <c r="F31" s="1183"/>
      <c r="G31" s="1183"/>
      <c r="H31" s="1183"/>
      <c r="I31" s="1183"/>
      <c r="J31" s="1104"/>
      <c r="K31" s="1105"/>
      <c r="L31" s="1106"/>
      <c r="M31" s="1092"/>
      <c r="N31" s="1093"/>
      <c r="O31" s="1098"/>
      <c r="P31" s="1099"/>
      <c r="U31" s="21"/>
      <c r="V31" s="17"/>
      <c r="W31" s="17"/>
    </row>
    <row r="32" spans="1:23" ht="29.25" customHeight="1" x14ac:dyDescent="0.25">
      <c r="A32" s="1182"/>
      <c r="B32" s="1183"/>
      <c r="C32" s="1183"/>
      <c r="D32" s="1183"/>
      <c r="E32" s="1183"/>
      <c r="F32" s="1183"/>
      <c r="G32" s="1183"/>
      <c r="H32" s="1183"/>
      <c r="I32" s="1183"/>
      <c r="J32" s="1104"/>
      <c r="K32" s="1105"/>
      <c r="L32" s="1106"/>
      <c r="M32" s="1092"/>
      <c r="N32" s="1093"/>
      <c r="O32" s="1098"/>
      <c r="P32" s="1099"/>
      <c r="U32" s="21"/>
      <c r="V32" s="17"/>
      <c r="W32" s="17"/>
    </row>
    <row r="33" spans="1:23" ht="29.25" customHeight="1" thickBot="1" x14ac:dyDescent="0.3">
      <c r="A33" s="1184"/>
      <c r="B33" s="1185"/>
      <c r="C33" s="1185"/>
      <c r="D33" s="1185"/>
      <c r="E33" s="1185"/>
      <c r="F33" s="1185"/>
      <c r="G33" s="1185"/>
      <c r="H33" s="1185"/>
      <c r="I33" s="1185"/>
      <c r="J33" s="1107"/>
      <c r="K33" s="1108"/>
      <c r="L33" s="1109"/>
      <c r="M33" s="1094"/>
      <c r="N33" s="1095"/>
      <c r="O33" s="1100"/>
      <c r="P33" s="1101"/>
      <c r="U33" s="21"/>
      <c r="V33" s="17"/>
      <c r="W33" s="17"/>
    </row>
    <row r="34" spans="1:23" ht="267" customHeight="1" thickTop="1" x14ac:dyDescent="0.25">
      <c r="A34" s="1126"/>
      <c r="B34" s="1127"/>
      <c r="C34" s="1127"/>
      <c r="D34" s="1127"/>
      <c r="E34" s="1127"/>
      <c r="F34" s="1127"/>
      <c r="G34" s="1127"/>
      <c r="H34" s="1127"/>
      <c r="I34" s="1127"/>
      <c r="J34" s="1127"/>
      <c r="K34" s="1127"/>
      <c r="L34" s="1127"/>
      <c r="M34" s="1127"/>
      <c r="N34" s="1127"/>
      <c r="O34" s="1127"/>
      <c r="P34" s="1128"/>
      <c r="U34" s="21"/>
      <c r="V34" s="17"/>
      <c r="W34" s="17"/>
    </row>
    <row r="35" spans="1:23" ht="267" customHeight="1" thickBot="1" x14ac:dyDescent="0.3">
      <c r="A35" s="1129"/>
      <c r="B35" s="1130"/>
      <c r="C35" s="1130"/>
      <c r="D35" s="1130"/>
      <c r="E35" s="1130"/>
      <c r="F35" s="1130"/>
      <c r="G35" s="1130"/>
      <c r="H35" s="1130"/>
      <c r="I35" s="1130"/>
      <c r="J35" s="1130"/>
      <c r="K35" s="1130"/>
      <c r="L35" s="1130"/>
      <c r="M35" s="1130"/>
      <c r="N35" s="1130"/>
      <c r="O35" s="1130"/>
      <c r="P35" s="1131"/>
      <c r="U35" s="21"/>
      <c r="V35" s="17"/>
      <c r="W35" s="17"/>
    </row>
    <row r="36" spans="1:23" ht="267" customHeight="1" thickTop="1" x14ac:dyDescent="0.25">
      <c r="A36" s="1126"/>
      <c r="B36" s="1127"/>
      <c r="C36" s="1127"/>
      <c r="D36" s="1127"/>
      <c r="E36" s="1127"/>
      <c r="F36" s="1127"/>
      <c r="G36" s="1127"/>
      <c r="H36" s="1127"/>
      <c r="I36" s="1127"/>
      <c r="J36" s="1127"/>
      <c r="K36" s="1127"/>
      <c r="L36" s="1127"/>
      <c r="M36" s="1127"/>
      <c r="N36" s="1127"/>
      <c r="O36" s="1127"/>
      <c r="P36" s="1128"/>
      <c r="U36" s="21"/>
      <c r="V36" s="17"/>
      <c r="W36" s="17"/>
    </row>
    <row r="37" spans="1:23" ht="393" customHeight="1" thickBot="1" x14ac:dyDescent="0.3">
      <c r="A37" s="1159"/>
      <c r="B37" s="1160"/>
      <c r="C37" s="1160"/>
      <c r="D37" s="1160"/>
      <c r="E37" s="1160"/>
      <c r="F37" s="1160"/>
      <c r="G37" s="1160"/>
      <c r="H37" s="1160"/>
      <c r="I37" s="1160"/>
      <c r="J37" s="1160"/>
      <c r="K37" s="1160"/>
      <c r="L37" s="1160"/>
      <c r="M37" s="1160"/>
      <c r="N37" s="1160"/>
      <c r="O37" s="1160"/>
      <c r="P37" s="1161"/>
      <c r="U37" s="21"/>
      <c r="V37" s="17"/>
      <c r="W37" s="17"/>
    </row>
    <row r="38" spans="1:23" ht="16.5" thickTop="1" thickBot="1" x14ac:dyDescent="0.3">
      <c r="U38" s="21"/>
      <c r="V38" s="17"/>
      <c r="W38" s="17"/>
    </row>
    <row r="39" spans="1:23" ht="27" customHeight="1" thickTop="1" thickBot="1" x14ac:dyDescent="0.3">
      <c r="A39" s="1153" t="s">
        <v>606</v>
      </c>
      <c r="B39" s="1153"/>
      <c r="C39" s="1153"/>
      <c r="D39" s="1153"/>
      <c r="E39" s="1153"/>
      <c r="F39" s="1153"/>
      <c r="G39" s="1153"/>
      <c r="H39" s="1153"/>
      <c r="J39" s="461" t="s">
        <v>616</v>
      </c>
      <c r="K39" s="463">
        <v>46176</v>
      </c>
      <c r="L39" s="463">
        <v>46177</v>
      </c>
      <c r="M39" s="463">
        <v>46178</v>
      </c>
      <c r="N39" s="463">
        <v>46179</v>
      </c>
      <c r="O39" s="463">
        <v>46181</v>
      </c>
      <c r="P39" s="463">
        <v>46182</v>
      </c>
    </row>
    <row r="40" spans="1:23" ht="27" customHeight="1" thickTop="1" thickBot="1" x14ac:dyDescent="0.3">
      <c r="A40" s="1154" t="s">
        <v>607</v>
      </c>
      <c r="B40" s="1154"/>
      <c r="C40" s="1154" t="s">
        <v>609</v>
      </c>
      <c r="D40" s="1154"/>
      <c r="E40" s="1154"/>
      <c r="F40" s="1154" t="s">
        <v>610</v>
      </c>
      <c r="G40" s="1154"/>
      <c r="H40" s="1154"/>
      <c r="J40" s="462" t="s">
        <v>14</v>
      </c>
      <c r="K40" s="462">
        <v>4.36E-2</v>
      </c>
      <c r="L40" s="462">
        <v>4.36E-2</v>
      </c>
      <c r="M40" s="462">
        <v>4.36E-2</v>
      </c>
      <c r="N40" s="462">
        <v>4.36E-2</v>
      </c>
      <c r="O40" s="462">
        <v>4.36E-2</v>
      </c>
      <c r="P40" s="462">
        <v>4.36E-2</v>
      </c>
    </row>
    <row r="41" spans="1:23" ht="27" customHeight="1" thickTop="1" thickBot="1" x14ac:dyDescent="0.3">
      <c r="A41" s="1154" t="s">
        <v>608</v>
      </c>
      <c r="B41" s="1154"/>
      <c r="C41" s="1158">
        <f>((SUM(G49:G177)*3.281+SUM(L4:L28)*3.281))/((SUM(F49:F177)+SUM(K4:K28)))</f>
        <v>2.7902691572990607E-2</v>
      </c>
      <c r="D41" s="1158"/>
      <c r="E41" s="1158"/>
      <c r="F41" s="1158">
        <f>((SUM(H49:H177)*3.281+SUM(M4:M28)*3.281))/((SUM(F49:F177)+SUM(K4:K28)))</f>
        <v>5.0105277474631303E-2</v>
      </c>
      <c r="G41" s="1158"/>
      <c r="H41" s="1158"/>
      <c r="J41" s="461" t="s">
        <v>618</v>
      </c>
      <c r="K41" s="462">
        <v>8.5999999999999993E-2</v>
      </c>
      <c r="L41" s="462">
        <v>8.4699999999999998E-2</v>
      </c>
      <c r="M41" s="462">
        <v>8.4699999999999998E-2</v>
      </c>
      <c r="N41" s="462">
        <v>8.4699999999999998E-2</v>
      </c>
      <c r="O41" s="462">
        <v>8.8900000000000007E-2</v>
      </c>
      <c r="P41" s="462">
        <v>8.8900000000000007E-2</v>
      </c>
    </row>
    <row r="42" spans="1:23" ht="27" customHeight="1" thickTop="1" thickBot="1" x14ac:dyDescent="0.3">
      <c r="A42" s="1154" t="s">
        <v>525</v>
      </c>
      <c r="B42" s="1154"/>
      <c r="C42" s="1158">
        <f>((SUM(G49:G79)*3.281))/((SUM(F49:F79)))</f>
        <v>3.4274571905300436E-2</v>
      </c>
      <c r="D42" s="1158"/>
      <c r="E42" s="1158"/>
      <c r="F42" s="1158">
        <f>((SUM(H49:H79)*3.281))/((SUM(F49:F79)))</f>
        <v>6.4430827743486546E-2</v>
      </c>
      <c r="G42" s="1158"/>
      <c r="H42" s="1158"/>
      <c r="J42" s="461" t="s">
        <v>619</v>
      </c>
      <c r="K42" s="462">
        <v>0.02</v>
      </c>
      <c r="L42" s="462">
        <v>0.02</v>
      </c>
      <c r="M42" s="462">
        <v>0.02</v>
      </c>
      <c r="N42" s="462">
        <v>0.02</v>
      </c>
      <c r="O42" s="462">
        <v>0.02</v>
      </c>
      <c r="P42" s="462">
        <v>0.02</v>
      </c>
    </row>
    <row r="43" spans="1:23" ht="27" customHeight="1" thickTop="1" thickBot="1" x14ac:dyDescent="0.3">
      <c r="A43" s="1154">
        <v>2025</v>
      </c>
      <c r="B43" s="1154"/>
      <c r="C43" s="1158">
        <f>((SUM(G80:G131)*3.281))/((SUM(F80:F131)))</f>
        <v>2.3084083365159942E-2</v>
      </c>
      <c r="D43" s="1158"/>
      <c r="E43" s="1158"/>
      <c r="F43" s="1158">
        <f>((SUM(H80:H131)*3.281))/((SUM(F80:F131)))</f>
        <v>3.7130419802507655E-2</v>
      </c>
      <c r="G43" s="1158"/>
      <c r="H43" s="1158"/>
      <c r="J43" s="461" t="s">
        <v>620</v>
      </c>
      <c r="K43" s="462">
        <v>2.6100000000000002E-2</v>
      </c>
      <c r="L43" s="462">
        <v>2.6100000000000002E-2</v>
      </c>
      <c r="M43" s="462">
        <v>2.6100000000000002E-2</v>
      </c>
      <c r="N43" s="462">
        <v>2.6100000000000002E-2</v>
      </c>
      <c r="O43" s="462">
        <v>2.6100000000000002E-2</v>
      </c>
      <c r="P43" s="462">
        <v>2.6100000000000002E-2</v>
      </c>
    </row>
    <row r="44" spans="1:23" ht="27" customHeight="1" thickTop="1" thickBot="1" x14ac:dyDescent="0.3">
      <c r="A44" s="1154">
        <v>2026</v>
      </c>
      <c r="B44" s="1154"/>
      <c r="C44" s="1158">
        <f>((SUM(G132:G177)*3.281)+(SUM(L4:L28)*3.281))/((SUM(F132:F177)+SUM(K4:K28)))</f>
        <v>2.3934200697074606E-2</v>
      </c>
      <c r="D44" s="1158"/>
      <c r="E44" s="1158"/>
      <c r="F44" s="1158">
        <f>((SUM(H132:H177)*3.281+SUM(M4:M28)*3.281))/((SUM(F132:F177)+SUM(K4:K28)))</f>
        <v>4.3971823622690732E-2</v>
      </c>
      <c r="G44" s="1158"/>
      <c r="H44" s="1158"/>
      <c r="J44" s="461" t="s">
        <v>621</v>
      </c>
      <c r="K44" s="462">
        <v>2.9399999999999999E-2</v>
      </c>
      <c r="L44" s="462">
        <v>2.9399999999999999E-2</v>
      </c>
      <c r="M44" s="462">
        <v>2.9399999999999999E-2</v>
      </c>
      <c r="N44" s="462">
        <v>2.9399999999999999E-2</v>
      </c>
      <c r="O44" s="462">
        <v>2.9399999999999999E-2</v>
      </c>
      <c r="P44" s="462">
        <v>2.9399999999999999E-2</v>
      </c>
    </row>
    <row r="45" spans="1:23" ht="27" customHeight="1" thickTop="1" thickBot="1" x14ac:dyDescent="0.3">
      <c r="J45" s="461" t="s">
        <v>622</v>
      </c>
      <c r="K45" s="462">
        <v>0.10829999999999999</v>
      </c>
      <c r="L45" s="462">
        <v>0.10299999999999999</v>
      </c>
      <c r="M45" s="462">
        <v>0.10299999999999999</v>
      </c>
      <c r="N45" s="462">
        <v>0.10299999999999999</v>
      </c>
      <c r="O45" s="462">
        <v>0.1013</v>
      </c>
      <c r="P45" s="462">
        <v>0.1013</v>
      </c>
    </row>
    <row r="46" spans="1:23" ht="27" customHeight="1" thickTop="1" thickBot="1" x14ac:dyDescent="0.3">
      <c r="A46" s="1110" t="s">
        <v>607</v>
      </c>
      <c r="B46" s="1134" t="s">
        <v>46</v>
      </c>
      <c r="C46" s="1135"/>
      <c r="D46" s="1135"/>
      <c r="E46" s="1135"/>
      <c r="F46" s="1135"/>
      <c r="G46" s="1135"/>
      <c r="H46" s="1136"/>
      <c r="J46" s="461" t="s">
        <v>630</v>
      </c>
      <c r="K46" s="462"/>
      <c r="L46" s="462"/>
      <c r="M46" s="462"/>
      <c r="N46" s="462"/>
      <c r="O46" s="462">
        <v>5.1000000000000004E-3</v>
      </c>
      <c r="P46" s="462">
        <v>2.3599999999999999E-2</v>
      </c>
    </row>
    <row r="47" spans="1:23" ht="27" customHeight="1" thickTop="1" thickBot="1" x14ac:dyDescent="0.3">
      <c r="A47" s="1111"/>
      <c r="B47" s="1137" t="s">
        <v>47</v>
      </c>
      <c r="C47" s="1138"/>
      <c r="D47" s="1138"/>
      <c r="E47" s="1139"/>
      <c r="F47" s="1143" t="s">
        <v>40</v>
      </c>
      <c r="G47" s="1145" t="s">
        <v>41</v>
      </c>
      <c r="H47" s="1147" t="s">
        <v>42</v>
      </c>
      <c r="J47" s="461" t="s">
        <v>627</v>
      </c>
      <c r="K47" s="462">
        <v>2.3900000000000001E-2</v>
      </c>
      <c r="L47" s="462">
        <v>2.3900000000000001E-2</v>
      </c>
      <c r="M47" s="462">
        <v>2.3900000000000001E-2</v>
      </c>
      <c r="N47" s="462">
        <v>2.3900000000000001E-2</v>
      </c>
      <c r="O47" s="462">
        <v>2.3900000000000001E-2</v>
      </c>
      <c r="P47" s="462">
        <v>2.3900000000000001E-2</v>
      </c>
    </row>
    <row r="48" spans="1:23" ht="27" customHeight="1" thickTop="1" thickBot="1" x14ac:dyDescent="0.3">
      <c r="A48" s="1112"/>
      <c r="B48" s="1140"/>
      <c r="C48" s="1141"/>
      <c r="D48" s="1141"/>
      <c r="E48" s="1142"/>
      <c r="F48" s="1144"/>
      <c r="G48" s="1146"/>
      <c r="H48" s="1148"/>
      <c r="J48" s="461"/>
      <c r="K48" s="462"/>
      <c r="L48" s="462"/>
      <c r="M48" s="462"/>
      <c r="N48" s="462"/>
      <c r="O48" s="462"/>
      <c r="P48" s="462"/>
    </row>
    <row r="49" spans="1:16" ht="27" customHeight="1" thickTop="1" thickBot="1" x14ac:dyDescent="0.3">
      <c r="A49" s="1110" t="s">
        <v>525</v>
      </c>
      <c r="B49" s="1134" t="s">
        <v>611</v>
      </c>
      <c r="C49" s="1135"/>
      <c r="D49" s="1135"/>
      <c r="E49" s="1152"/>
      <c r="F49" s="435">
        <v>52315.137708333335</v>
      </c>
      <c r="G49" s="435">
        <v>751.35</v>
      </c>
      <c r="H49" s="436">
        <v>2086.35</v>
      </c>
      <c r="J49" s="461"/>
      <c r="K49" s="462"/>
      <c r="L49" s="462"/>
      <c r="M49" s="462"/>
      <c r="N49" s="462"/>
      <c r="O49" s="462"/>
      <c r="P49" s="462"/>
    </row>
    <row r="50" spans="1:16" ht="27" customHeight="1" thickTop="1" x14ac:dyDescent="0.35">
      <c r="A50" s="1111"/>
      <c r="B50" s="1149" t="s">
        <v>612</v>
      </c>
      <c r="C50" s="1150"/>
      <c r="D50" s="1150"/>
      <c r="E50" s="1151"/>
      <c r="F50" s="432">
        <v>37762.138958333337</v>
      </c>
      <c r="G50" s="432">
        <v>587.08000000000004</v>
      </c>
      <c r="H50" s="437">
        <v>1544.08</v>
      </c>
      <c r="J50" s="322"/>
      <c r="K50" s="322"/>
      <c r="L50" s="322"/>
      <c r="M50" s="322"/>
      <c r="N50" s="322"/>
      <c r="O50" s="322"/>
      <c r="P50" s="322"/>
    </row>
    <row r="51" spans="1:16" ht="27" customHeight="1" thickBot="1" x14ac:dyDescent="0.3">
      <c r="A51" s="1111"/>
      <c r="B51" s="1155" t="s">
        <v>604</v>
      </c>
      <c r="C51" s="1156"/>
      <c r="D51" s="1156"/>
      <c r="E51" s="1157"/>
      <c r="F51" s="432">
        <v>45507.822245762713</v>
      </c>
      <c r="G51" s="432">
        <v>415.26</v>
      </c>
      <c r="H51" s="437">
        <v>1549.26</v>
      </c>
    </row>
    <row r="52" spans="1:16" ht="27" customHeight="1" thickTop="1" thickBot="1" x14ac:dyDescent="0.4">
      <c r="A52" s="1111"/>
      <c r="B52" s="1137" t="s">
        <v>48</v>
      </c>
      <c r="C52" s="1138"/>
      <c r="D52" s="1138"/>
      <c r="E52" s="1139"/>
      <c r="F52" s="432">
        <v>45388.392</v>
      </c>
      <c r="G52" s="432">
        <v>355.18</v>
      </c>
      <c r="H52" s="438">
        <v>586.17999999999995</v>
      </c>
      <c r="J52" s="1132" t="s">
        <v>615</v>
      </c>
      <c r="K52" s="1132"/>
      <c r="L52" s="1133"/>
      <c r="M52" s="464" t="s">
        <v>142</v>
      </c>
      <c r="N52" s="465" t="s">
        <v>614</v>
      </c>
    </row>
    <row r="53" spans="1:16" ht="27" customHeight="1" thickTop="1" thickBot="1" x14ac:dyDescent="0.35">
      <c r="A53" s="1111"/>
      <c r="B53" s="1137" t="s">
        <v>49</v>
      </c>
      <c r="C53" s="1138"/>
      <c r="D53" s="1138"/>
      <c r="E53" s="1139"/>
      <c r="F53" s="432">
        <v>26366.609500000002</v>
      </c>
      <c r="G53" s="432">
        <v>277.97000000000003</v>
      </c>
      <c r="H53" s="438">
        <v>414.47</v>
      </c>
      <c r="J53" s="1079" t="s">
        <v>526</v>
      </c>
      <c r="K53" s="1080"/>
      <c r="L53" s="1080"/>
      <c r="M53" s="455">
        <v>3.4299999999999997E-2</v>
      </c>
      <c r="N53" s="456">
        <v>6.4399999999999999E-2</v>
      </c>
    </row>
    <row r="54" spans="1:16" ht="27" customHeight="1" thickTop="1" thickBot="1" x14ac:dyDescent="0.35">
      <c r="A54" s="1111"/>
      <c r="B54" s="1155" t="s">
        <v>605</v>
      </c>
      <c r="C54" s="1156"/>
      <c r="D54" s="1156"/>
      <c r="E54" s="1157"/>
      <c r="F54" s="432">
        <v>4991.8434999999999</v>
      </c>
      <c r="G54" s="432">
        <v>93</v>
      </c>
      <c r="H54" s="437">
        <v>117</v>
      </c>
      <c r="J54" s="1079" t="s">
        <v>527</v>
      </c>
      <c r="K54" s="1080"/>
      <c r="L54" s="1080"/>
      <c r="M54" s="455">
        <v>2.3099999999999999E-2</v>
      </c>
      <c r="N54" s="456">
        <v>3.7100000000000001E-2</v>
      </c>
    </row>
    <row r="55" spans="1:16" ht="27" customHeight="1" thickTop="1" thickBot="1" x14ac:dyDescent="0.35">
      <c r="A55" s="1111"/>
      <c r="B55" s="1162" t="s">
        <v>51</v>
      </c>
      <c r="C55" s="1162"/>
      <c r="D55" s="1162"/>
      <c r="E55" s="1162"/>
      <c r="F55" s="432">
        <v>3904.6997058823536</v>
      </c>
      <c r="G55" s="432">
        <v>21.24</v>
      </c>
      <c r="H55" s="438">
        <v>27.74</v>
      </c>
      <c r="J55" s="1079" t="s">
        <v>467</v>
      </c>
      <c r="K55" s="1080"/>
      <c r="L55" s="1080"/>
      <c r="M55" s="455">
        <v>1.5900000000000001E-2</v>
      </c>
      <c r="N55" s="456">
        <v>3.2099999999999997E-2</v>
      </c>
    </row>
    <row r="56" spans="1:16" ht="27" customHeight="1" thickTop="1" thickBot="1" x14ac:dyDescent="0.35">
      <c r="A56" s="1111"/>
      <c r="B56" s="1162" t="s">
        <v>52</v>
      </c>
      <c r="C56" s="1162"/>
      <c r="D56" s="1162"/>
      <c r="E56" s="1162"/>
      <c r="F56" s="423">
        <v>5027.8908813559328</v>
      </c>
      <c r="G56" s="423">
        <v>19.617999999999999</v>
      </c>
      <c r="H56" s="439">
        <v>33.118000000000002</v>
      </c>
      <c r="J56" s="1079" t="s">
        <v>260</v>
      </c>
      <c r="K56" s="1080"/>
      <c r="L56" s="1080"/>
      <c r="M56" s="455">
        <v>4.1900000000000007E-2</v>
      </c>
      <c r="N56" s="456">
        <v>0.1217</v>
      </c>
    </row>
    <row r="57" spans="1:16" ht="27" customHeight="1" thickTop="1" thickBot="1" x14ac:dyDescent="0.35">
      <c r="A57" s="1111"/>
      <c r="B57" s="1162" t="s">
        <v>53</v>
      </c>
      <c r="C57" s="1162"/>
      <c r="D57" s="1162"/>
      <c r="E57" s="1162"/>
      <c r="F57" s="423">
        <v>7596.1470000000008</v>
      </c>
      <c r="G57" s="424">
        <v>40.44</v>
      </c>
      <c r="H57" s="440">
        <v>70.44</v>
      </c>
      <c r="J57" s="1079" t="s">
        <v>462</v>
      </c>
      <c r="K57" s="1080"/>
      <c r="L57" s="1080"/>
      <c r="M57" s="455">
        <v>5.4000000000000003E-3</v>
      </c>
      <c r="N57" s="456">
        <v>1.83E-2</v>
      </c>
    </row>
    <row r="58" spans="1:16" ht="27" customHeight="1" thickTop="1" thickBot="1" x14ac:dyDescent="0.35">
      <c r="A58" s="1111"/>
      <c r="B58" s="1162" t="s">
        <v>54</v>
      </c>
      <c r="C58" s="1162"/>
      <c r="D58" s="1162"/>
      <c r="E58" s="1162"/>
      <c r="F58" s="423">
        <v>11561.034150000001</v>
      </c>
      <c r="G58" s="423">
        <v>158.19999999999999</v>
      </c>
      <c r="H58" s="439">
        <v>216.7</v>
      </c>
      <c r="J58" s="1079" t="s">
        <v>463</v>
      </c>
      <c r="K58" s="1080"/>
      <c r="L58" s="1080"/>
      <c r="M58" s="455">
        <v>3.5200000000000002E-2</v>
      </c>
      <c r="N58" s="456">
        <v>5.0700000000000002E-2</v>
      </c>
    </row>
    <row r="59" spans="1:16" ht="27" customHeight="1" thickTop="1" thickBot="1" x14ac:dyDescent="0.35">
      <c r="A59" s="1111"/>
      <c r="B59" s="1162" t="s">
        <v>55</v>
      </c>
      <c r="C59" s="1162"/>
      <c r="D59" s="1162"/>
      <c r="E59" s="1162"/>
      <c r="F59" s="423">
        <v>19403.382352941178</v>
      </c>
      <c r="G59" s="423">
        <v>108.59</v>
      </c>
      <c r="H59" s="439">
        <v>177.59</v>
      </c>
      <c r="J59" s="1079" t="s">
        <v>499</v>
      </c>
      <c r="K59" s="1080"/>
      <c r="L59" s="1080"/>
      <c r="M59" s="455">
        <v>1.72E-2</v>
      </c>
      <c r="N59" s="457">
        <v>3.38</v>
      </c>
    </row>
    <row r="60" spans="1:16" ht="27" customHeight="1" thickTop="1" thickBot="1" x14ac:dyDescent="0.35">
      <c r="A60" s="1111"/>
      <c r="B60" s="1162" t="s">
        <v>56</v>
      </c>
      <c r="C60" s="1162"/>
      <c r="D60" s="1162"/>
      <c r="E60" s="1162"/>
      <c r="F60" s="423">
        <v>18409.190000000002</v>
      </c>
      <c r="G60" s="423">
        <v>139.81</v>
      </c>
      <c r="H60" s="439">
        <v>187.81</v>
      </c>
      <c r="J60" s="1079" t="s">
        <v>502</v>
      </c>
      <c r="K60" s="1080"/>
      <c r="L60" s="1080"/>
      <c r="M60" s="455">
        <v>1.49E-2</v>
      </c>
      <c r="N60" s="456">
        <v>3.1200000000000002E-2</v>
      </c>
    </row>
    <row r="61" spans="1:16" ht="27" customHeight="1" thickTop="1" thickBot="1" x14ac:dyDescent="0.35">
      <c r="A61" s="1111"/>
      <c r="B61" s="1162" t="s">
        <v>57</v>
      </c>
      <c r="C61" s="1162"/>
      <c r="D61" s="1162"/>
      <c r="E61" s="1162"/>
      <c r="F61" s="423">
        <v>10398.897457627119</v>
      </c>
      <c r="G61" s="423">
        <v>104.73</v>
      </c>
      <c r="H61" s="441">
        <v>142.22999999999999</v>
      </c>
      <c r="J61" s="1079" t="s">
        <v>528</v>
      </c>
      <c r="K61" s="1080"/>
      <c r="L61" s="1080"/>
      <c r="M61" s="455">
        <v>0.1024</v>
      </c>
      <c r="N61" s="456">
        <v>0.1895</v>
      </c>
    </row>
    <row r="62" spans="1:16" ht="27" customHeight="1" thickTop="1" thickBot="1" x14ac:dyDescent="0.35">
      <c r="A62" s="1111"/>
      <c r="B62" s="1162" t="s">
        <v>58</v>
      </c>
      <c r="C62" s="1162"/>
      <c r="D62" s="1162"/>
      <c r="E62" s="1162"/>
      <c r="F62" s="423">
        <v>11181.610169491525</v>
      </c>
      <c r="G62" s="423">
        <v>68.23</v>
      </c>
      <c r="H62" s="441">
        <v>105.73</v>
      </c>
      <c r="J62" s="1079" t="s">
        <v>493</v>
      </c>
      <c r="K62" s="1080"/>
      <c r="L62" s="1080"/>
      <c r="M62" s="455">
        <v>3.1800000000000002E-2</v>
      </c>
      <c r="N62" s="456">
        <v>4.8099999999999997E-2</v>
      </c>
    </row>
    <row r="63" spans="1:16" ht="27" customHeight="1" thickTop="1" thickBot="1" x14ac:dyDescent="0.35">
      <c r="A63" s="1111"/>
      <c r="B63" s="1113" t="s">
        <v>59</v>
      </c>
      <c r="C63" s="1113"/>
      <c r="D63" s="1113"/>
      <c r="E63" s="1113"/>
      <c r="F63" s="422">
        <v>12088.92</v>
      </c>
      <c r="G63" s="422">
        <v>68.19</v>
      </c>
      <c r="H63" s="439">
        <v>111.69</v>
      </c>
      <c r="J63" s="1079" t="s">
        <v>517</v>
      </c>
      <c r="K63" s="1080"/>
      <c r="L63" s="1080"/>
      <c r="M63" s="455">
        <v>2.3E-2</v>
      </c>
      <c r="N63" s="456">
        <v>2.9700000000000001E-2</v>
      </c>
    </row>
    <row r="64" spans="1:16" ht="27" customHeight="1" thickTop="1" thickBot="1" x14ac:dyDescent="0.35">
      <c r="A64" s="1111"/>
      <c r="B64" s="1113" t="s">
        <v>60</v>
      </c>
      <c r="C64" s="1113"/>
      <c r="D64" s="1113"/>
      <c r="E64" s="1113"/>
      <c r="F64" s="422">
        <v>1774.0235294117649</v>
      </c>
      <c r="G64" s="422">
        <v>17.600000000000001</v>
      </c>
      <c r="H64" s="439">
        <v>23.6</v>
      </c>
      <c r="J64" s="1079" t="s">
        <v>498</v>
      </c>
      <c r="K64" s="1080"/>
      <c r="L64" s="1080"/>
      <c r="M64" s="455">
        <v>4.0000000000000001E-3</v>
      </c>
      <c r="N64" s="456">
        <v>1.38E-2</v>
      </c>
    </row>
    <row r="65" spans="1:14" ht="27" customHeight="1" thickTop="1" thickBot="1" x14ac:dyDescent="0.35">
      <c r="A65" s="1111"/>
      <c r="B65" s="1113" t="s">
        <v>61</v>
      </c>
      <c r="C65" s="1113"/>
      <c r="D65" s="1113"/>
      <c r="E65" s="1113"/>
      <c r="F65" s="422">
        <v>6542.8393220338976</v>
      </c>
      <c r="G65" s="422">
        <v>89.57</v>
      </c>
      <c r="H65" s="439">
        <v>112.07</v>
      </c>
      <c r="J65" s="1079" t="s">
        <v>498</v>
      </c>
      <c r="K65" s="1080"/>
      <c r="L65" s="1080"/>
      <c r="M65" s="455">
        <v>4.0000000000000001E-3</v>
      </c>
      <c r="N65" s="456">
        <v>1.38E-2</v>
      </c>
    </row>
    <row r="66" spans="1:14" ht="27" customHeight="1" thickTop="1" thickBot="1" x14ac:dyDescent="0.35">
      <c r="A66" s="1111"/>
      <c r="B66" s="1113" t="s">
        <v>62</v>
      </c>
      <c r="C66" s="1113"/>
      <c r="D66" s="1113"/>
      <c r="E66" s="1113"/>
      <c r="F66" s="422">
        <v>102479.425882353</v>
      </c>
      <c r="G66" s="422">
        <v>817.92</v>
      </c>
      <c r="H66" s="439">
        <v>1092.42</v>
      </c>
      <c r="J66" s="1079" t="s">
        <v>511</v>
      </c>
      <c r="K66" s="1080"/>
      <c r="L66" s="1080"/>
      <c r="M66" s="455">
        <v>9.4999999999999998E-3</v>
      </c>
      <c r="N66" s="456">
        <v>2.2100000000000002E-2</v>
      </c>
    </row>
    <row r="67" spans="1:14" ht="27" customHeight="1" thickTop="1" thickBot="1" x14ac:dyDescent="0.35">
      <c r="A67" s="1111"/>
      <c r="B67" s="1113" t="s">
        <v>63</v>
      </c>
      <c r="C67" s="1113"/>
      <c r="D67" s="1113"/>
      <c r="E67" s="1113"/>
      <c r="F67" s="422">
        <v>2394.9317647058824</v>
      </c>
      <c r="G67" s="422">
        <v>25.49</v>
      </c>
      <c r="H67" s="439">
        <v>35.99</v>
      </c>
      <c r="J67" s="1079" t="s">
        <v>539</v>
      </c>
      <c r="K67" s="1080"/>
      <c r="L67" s="1080"/>
      <c r="M67" s="455">
        <v>1.2500000000000001E-2</v>
      </c>
      <c r="N67" s="456">
        <v>1.77E-2</v>
      </c>
    </row>
    <row r="68" spans="1:14" ht="27" customHeight="1" thickTop="1" thickBot="1" x14ac:dyDescent="0.35">
      <c r="A68" s="1111"/>
      <c r="B68" s="1113" t="s">
        <v>64</v>
      </c>
      <c r="C68" s="1113"/>
      <c r="D68" s="1113"/>
      <c r="E68" s="1113"/>
      <c r="F68" s="422">
        <v>3233.082711864407</v>
      </c>
      <c r="G68" s="422">
        <v>92.06</v>
      </c>
      <c r="H68" s="439">
        <v>113.06</v>
      </c>
      <c r="J68" s="1079" t="s">
        <v>542</v>
      </c>
      <c r="K68" s="1080"/>
      <c r="L68" s="1080"/>
      <c r="M68" s="455">
        <v>8.0999999999999996E-3</v>
      </c>
      <c r="N68" s="456">
        <v>1.9900000000000001E-2</v>
      </c>
    </row>
    <row r="69" spans="1:14" ht="27" customHeight="1" thickTop="1" x14ac:dyDescent="0.25">
      <c r="A69" s="1111"/>
      <c r="B69" s="1113" t="s">
        <v>65</v>
      </c>
      <c r="C69" s="1113"/>
      <c r="D69" s="1113"/>
      <c r="E69" s="1113"/>
      <c r="F69" s="422">
        <f>14903.8084576271+670.896610169492</f>
        <v>15574.705067796591</v>
      </c>
      <c r="G69" s="422">
        <f>291.64+3.81</f>
        <v>295.45</v>
      </c>
      <c r="H69" s="439">
        <f>666.64+5.81</f>
        <v>672.44999999999993</v>
      </c>
    </row>
    <row r="70" spans="1:14" ht="27" customHeight="1" x14ac:dyDescent="0.25">
      <c r="A70" s="1111"/>
      <c r="B70" s="1113" t="s">
        <v>66</v>
      </c>
      <c r="C70" s="1113"/>
      <c r="D70" s="1113"/>
      <c r="E70" s="1113"/>
      <c r="F70" s="422">
        <v>2561.2464705882358</v>
      </c>
      <c r="G70" s="422">
        <v>52.72</v>
      </c>
      <c r="H70" s="439">
        <v>64.72</v>
      </c>
    </row>
    <row r="71" spans="1:14" ht="27" customHeight="1" x14ac:dyDescent="0.25">
      <c r="A71" s="1111"/>
      <c r="B71" s="1113" t="s">
        <v>67</v>
      </c>
      <c r="C71" s="1113"/>
      <c r="D71" s="1113"/>
      <c r="E71" s="1113"/>
      <c r="F71" s="422">
        <v>4257.6564705882356</v>
      </c>
      <c r="G71" s="422">
        <v>14.88</v>
      </c>
      <c r="H71" s="439">
        <v>28.38</v>
      </c>
    </row>
    <row r="72" spans="1:14" ht="27" customHeight="1" x14ac:dyDescent="0.25">
      <c r="A72" s="1111"/>
      <c r="B72" s="1113" t="s">
        <v>68</v>
      </c>
      <c r="C72" s="1113"/>
      <c r="D72" s="1113"/>
      <c r="E72" s="1113"/>
      <c r="F72" s="422">
        <v>14357.18745762712</v>
      </c>
      <c r="G72" s="422">
        <v>301.98</v>
      </c>
      <c r="H72" s="439">
        <v>375.48</v>
      </c>
    </row>
    <row r="73" spans="1:14" ht="27" customHeight="1" x14ac:dyDescent="0.25">
      <c r="A73" s="1111"/>
      <c r="B73" s="1162" t="s">
        <v>69</v>
      </c>
      <c r="C73" s="1162"/>
      <c r="D73" s="1162"/>
      <c r="E73" s="1162"/>
      <c r="F73" s="422">
        <v>20460.404705882356</v>
      </c>
      <c r="G73" s="422">
        <v>115.3</v>
      </c>
      <c r="H73" s="439">
        <v>170.8</v>
      </c>
    </row>
    <row r="74" spans="1:14" ht="27" customHeight="1" x14ac:dyDescent="0.25">
      <c r="A74" s="1111"/>
      <c r="B74" s="1162" t="s">
        <v>70</v>
      </c>
      <c r="C74" s="1162"/>
      <c r="D74" s="1162"/>
      <c r="E74" s="1162"/>
      <c r="F74" s="422">
        <v>4523.76</v>
      </c>
      <c r="G74" s="422">
        <v>15.98</v>
      </c>
      <c r="H74" s="439">
        <v>24.92</v>
      </c>
    </row>
    <row r="75" spans="1:14" ht="27" customHeight="1" x14ac:dyDescent="0.25">
      <c r="A75" s="1111"/>
      <c r="B75" s="1162" t="s">
        <v>71</v>
      </c>
      <c r="C75" s="1162"/>
      <c r="D75" s="1162"/>
      <c r="E75" s="1162"/>
      <c r="F75" s="422">
        <v>35605.441525423732</v>
      </c>
      <c r="G75" s="422">
        <v>609.27</v>
      </c>
      <c r="H75" s="439">
        <v>766.77</v>
      </c>
    </row>
    <row r="76" spans="1:14" ht="27" customHeight="1" x14ac:dyDescent="0.25">
      <c r="A76" s="1111"/>
      <c r="B76" s="1162" t="s">
        <v>78</v>
      </c>
      <c r="C76" s="1162"/>
      <c r="D76" s="1162"/>
      <c r="E76" s="1162"/>
      <c r="F76" s="422">
        <v>19973.550508474575</v>
      </c>
      <c r="G76" s="422">
        <v>223.12</v>
      </c>
      <c r="H76" s="439">
        <v>290.62</v>
      </c>
    </row>
    <row r="77" spans="1:14" ht="27" customHeight="1" x14ac:dyDescent="0.25">
      <c r="A77" s="1111"/>
      <c r="B77" s="1162" t="s">
        <v>73</v>
      </c>
      <c r="C77" s="1162"/>
      <c r="D77" s="1162"/>
      <c r="E77" s="1162"/>
      <c r="F77" s="422">
        <v>10696.807500000001</v>
      </c>
      <c r="G77" s="422">
        <v>54.91</v>
      </c>
      <c r="H77" s="439">
        <v>90.91</v>
      </c>
    </row>
    <row r="78" spans="1:14" ht="27" customHeight="1" x14ac:dyDescent="0.25">
      <c r="A78" s="1111"/>
      <c r="B78" s="1162" t="s">
        <v>74</v>
      </c>
      <c r="C78" s="1162"/>
      <c r="D78" s="1162"/>
      <c r="E78" s="1162"/>
      <c r="F78" s="422">
        <v>6108.7895454545451</v>
      </c>
      <c r="G78" s="422">
        <v>78.47</v>
      </c>
      <c r="H78" s="439">
        <v>89.65</v>
      </c>
    </row>
    <row r="79" spans="1:14" ht="27" customHeight="1" thickBot="1" x14ac:dyDescent="0.3">
      <c r="A79" s="1112"/>
      <c r="B79" s="1168" t="s">
        <v>75</v>
      </c>
      <c r="C79" s="1168"/>
      <c r="D79" s="1168"/>
      <c r="E79" s="1168"/>
      <c r="F79" s="442">
        <v>18413.759454545452</v>
      </c>
      <c r="G79" s="442">
        <v>54.29</v>
      </c>
      <c r="H79" s="443">
        <v>84.47</v>
      </c>
    </row>
    <row r="80" spans="1:14" ht="27" customHeight="1" thickTop="1" x14ac:dyDescent="0.25">
      <c r="A80" s="1163">
        <v>2025</v>
      </c>
      <c r="B80" s="1167" t="s">
        <v>76</v>
      </c>
      <c r="C80" s="1167"/>
      <c r="D80" s="1167"/>
      <c r="E80" s="1167"/>
      <c r="F80" s="444">
        <v>3640.4441176470591</v>
      </c>
      <c r="G80" s="444">
        <v>34.85</v>
      </c>
      <c r="H80" s="445">
        <v>47.8</v>
      </c>
    </row>
    <row r="81" spans="1:8" ht="27" customHeight="1" x14ac:dyDescent="0.25">
      <c r="A81" s="1164"/>
      <c r="B81" s="1162" t="s">
        <v>76</v>
      </c>
      <c r="C81" s="1162"/>
      <c r="D81" s="1162"/>
      <c r="E81" s="1162"/>
      <c r="F81" s="422">
        <v>1840.1735593220342</v>
      </c>
      <c r="G81" s="422">
        <v>71.47</v>
      </c>
      <c r="H81" s="439">
        <v>78.97</v>
      </c>
    </row>
    <row r="82" spans="1:8" ht="27" customHeight="1" x14ac:dyDescent="0.25">
      <c r="A82" s="1164"/>
      <c r="B82" s="1162" t="s">
        <v>77</v>
      </c>
      <c r="C82" s="1162"/>
      <c r="D82" s="1162"/>
      <c r="E82" s="1162"/>
      <c r="F82" s="422">
        <v>3296.9776271186443</v>
      </c>
      <c r="G82" s="422">
        <v>81.47</v>
      </c>
      <c r="H82" s="439">
        <v>94.97</v>
      </c>
    </row>
    <row r="83" spans="1:8" ht="27" customHeight="1" x14ac:dyDescent="0.25">
      <c r="A83" s="1164"/>
      <c r="B83" s="1162" t="s">
        <v>72</v>
      </c>
      <c r="C83" s="1162"/>
      <c r="D83" s="1162"/>
      <c r="E83" s="1162"/>
      <c r="F83" s="422">
        <v>2012.6898305084749</v>
      </c>
      <c r="G83" s="422">
        <v>5.41</v>
      </c>
      <c r="H83" s="439">
        <v>12.91</v>
      </c>
    </row>
    <row r="84" spans="1:8" ht="27" customHeight="1" x14ac:dyDescent="0.25">
      <c r="A84" s="1164"/>
      <c r="B84" s="1162" t="s">
        <v>79</v>
      </c>
      <c r="C84" s="1162"/>
      <c r="D84" s="1162"/>
      <c r="E84" s="1162"/>
      <c r="F84" s="422">
        <v>1589.3134090909091</v>
      </c>
      <c r="G84" s="422">
        <v>6.3</v>
      </c>
      <c r="H84" s="439">
        <v>9.3000000000000007</v>
      </c>
    </row>
    <row r="85" spans="1:8" ht="27" customHeight="1" x14ac:dyDescent="0.25">
      <c r="A85" s="1164"/>
      <c r="B85" s="1162" t="s">
        <v>79</v>
      </c>
      <c r="C85" s="1162"/>
      <c r="D85" s="1162"/>
      <c r="E85" s="1162"/>
      <c r="F85" s="422">
        <v>1408.8828813559323</v>
      </c>
      <c r="G85" s="422">
        <v>4.54</v>
      </c>
      <c r="H85" s="439">
        <v>10.54</v>
      </c>
    </row>
    <row r="86" spans="1:8" ht="27" customHeight="1" x14ac:dyDescent="0.25">
      <c r="A86" s="1164"/>
      <c r="B86" s="1162" t="s">
        <v>80</v>
      </c>
      <c r="C86" s="1162"/>
      <c r="D86" s="1162"/>
      <c r="E86" s="1162"/>
      <c r="F86" s="422">
        <v>2284.2432203389831</v>
      </c>
      <c r="G86" s="422">
        <v>10.94</v>
      </c>
      <c r="H86" s="439">
        <v>19.940000000000001</v>
      </c>
    </row>
    <row r="87" spans="1:8" ht="27" customHeight="1" x14ac:dyDescent="0.25">
      <c r="A87" s="1164"/>
      <c r="B87" s="1162" t="s">
        <v>81</v>
      </c>
      <c r="C87" s="1162"/>
      <c r="D87" s="1162"/>
      <c r="E87" s="1162"/>
      <c r="F87" s="422">
        <v>10453.208135593219</v>
      </c>
      <c r="G87" s="422">
        <v>56.74</v>
      </c>
      <c r="H87" s="439">
        <v>104.74</v>
      </c>
    </row>
    <row r="88" spans="1:8" ht="27" customHeight="1" x14ac:dyDescent="0.25">
      <c r="A88" s="1164"/>
      <c r="B88" s="1162" t="s">
        <v>82</v>
      </c>
      <c r="C88" s="1162"/>
      <c r="D88" s="1162"/>
      <c r="E88" s="1162"/>
      <c r="F88" s="422">
        <v>1878.5105084745765</v>
      </c>
      <c r="G88" s="422">
        <v>6.17</v>
      </c>
      <c r="H88" s="439">
        <v>12.17</v>
      </c>
    </row>
    <row r="89" spans="1:8" ht="27" customHeight="1" x14ac:dyDescent="0.25">
      <c r="A89" s="1164"/>
      <c r="B89" s="1113" t="s">
        <v>83</v>
      </c>
      <c r="C89" s="1113"/>
      <c r="D89" s="1113"/>
      <c r="E89" s="1113"/>
      <c r="F89" s="422">
        <v>57393.357058823538</v>
      </c>
      <c r="G89" s="422">
        <v>260.33</v>
      </c>
      <c r="H89" s="439">
        <v>416.33</v>
      </c>
    </row>
    <row r="90" spans="1:8" ht="27" customHeight="1" x14ac:dyDescent="0.25">
      <c r="A90" s="1164"/>
      <c r="B90" s="1162" t="s">
        <v>84</v>
      </c>
      <c r="C90" s="1162"/>
      <c r="D90" s="1162"/>
      <c r="E90" s="1162"/>
      <c r="F90" s="422">
        <v>15104.757966101695</v>
      </c>
      <c r="G90" s="422">
        <v>34.6</v>
      </c>
      <c r="H90" s="439">
        <v>72.099999999999994</v>
      </c>
    </row>
    <row r="91" spans="1:8" ht="27" customHeight="1" x14ac:dyDescent="0.25">
      <c r="A91" s="1164"/>
      <c r="B91" s="1162" t="s">
        <v>85</v>
      </c>
      <c r="C91" s="1162"/>
      <c r="D91" s="1162"/>
      <c r="E91" s="1162"/>
      <c r="F91" s="422">
        <v>4018.8760714285718</v>
      </c>
      <c r="G91" s="422">
        <v>112.05</v>
      </c>
      <c r="H91" s="439">
        <v>121.05</v>
      </c>
    </row>
    <row r="92" spans="1:8" ht="27" customHeight="1" x14ac:dyDescent="0.25">
      <c r="A92" s="1164"/>
      <c r="B92" s="1162" t="s">
        <v>86</v>
      </c>
      <c r="C92" s="1162"/>
      <c r="D92" s="1162"/>
      <c r="E92" s="1162"/>
      <c r="F92" s="422">
        <v>3833.6949152542375</v>
      </c>
      <c r="G92" s="422">
        <v>49.06</v>
      </c>
      <c r="H92" s="439">
        <v>64.06</v>
      </c>
    </row>
    <row r="93" spans="1:8" ht="27" customHeight="1" x14ac:dyDescent="0.25">
      <c r="A93" s="1164"/>
      <c r="B93" s="1162" t="s">
        <v>87</v>
      </c>
      <c r="C93" s="1162"/>
      <c r="D93" s="1162"/>
      <c r="E93" s="1162"/>
      <c r="F93" s="422">
        <v>13037.75745762712</v>
      </c>
      <c r="G93" s="422">
        <v>75.010000000000005</v>
      </c>
      <c r="H93" s="439">
        <v>121.51</v>
      </c>
    </row>
    <row r="94" spans="1:8" ht="27" customHeight="1" x14ac:dyDescent="0.25">
      <c r="A94" s="1164"/>
      <c r="B94" s="1162" t="s">
        <v>88</v>
      </c>
      <c r="C94" s="1162"/>
      <c r="D94" s="1162"/>
      <c r="E94" s="1162"/>
      <c r="F94" s="422">
        <v>19920.805882352943</v>
      </c>
      <c r="G94" s="422">
        <v>210.07</v>
      </c>
      <c r="H94" s="439">
        <v>261.88</v>
      </c>
    </row>
    <row r="95" spans="1:8" ht="27" customHeight="1" x14ac:dyDescent="0.25">
      <c r="A95" s="1164"/>
      <c r="B95" s="1162" t="s">
        <v>89</v>
      </c>
      <c r="C95" s="1162"/>
      <c r="D95" s="1162"/>
      <c r="E95" s="1162"/>
      <c r="F95" s="422">
        <v>3735.5290909090909</v>
      </c>
      <c r="G95" s="422">
        <v>17.77</v>
      </c>
      <c r="H95" s="439">
        <v>28.27</v>
      </c>
    </row>
    <row r="96" spans="1:8" ht="27" customHeight="1" x14ac:dyDescent="0.25">
      <c r="A96" s="1164"/>
      <c r="B96" s="1162" t="s">
        <v>90</v>
      </c>
      <c r="C96" s="1162"/>
      <c r="D96" s="1162"/>
      <c r="E96" s="1162"/>
      <c r="F96" s="422">
        <v>891.04363636363632</v>
      </c>
      <c r="G96" s="422">
        <v>6.12</v>
      </c>
      <c r="H96" s="439">
        <v>7.24</v>
      </c>
    </row>
    <row r="97" spans="1:8" ht="27" customHeight="1" x14ac:dyDescent="0.25">
      <c r="A97" s="1164"/>
      <c r="B97" s="1162" t="s">
        <v>91</v>
      </c>
      <c r="C97" s="1162"/>
      <c r="D97" s="1162"/>
      <c r="E97" s="1162"/>
      <c r="F97" s="422">
        <v>920.08677966101709</v>
      </c>
      <c r="G97" s="422">
        <v>21.13</v>
      </c>
      <c r="H97" s="439">
        <v>25.63</v>
      </c>
    </row>
    <row r="98" spans="1:8" ht="27" customHeight="1" x14ac:dyDescent="0.25">
      <c r="A98" s="1164"/>
      <c r="B98" s="1162" t="s">
        <v>92</v>
      </c>
      <c r="C98" s="1162"/>
      <c r="D98" s="1162"/>
      <c r="E98" s="1162"/>
      <c r="F98" s="422">
        <v>760.81418181818174</v>
      </c>
      <c r="G98" s="422">
        <v>1.37</v>
      </c>
      <c r="H98" s="439">
        <v>2.87</v>
      </c>
    </row>
    <row r="99" spans="1:8" ht="27" customHeight="1" x14ac:dyDescent="0.25">
      <c r="A99" s="1164"/>
      <c r="B99" s="1162" t="s">
        <v>93</v>
      </c>
      <c r="C99" s="1162"/>
      <c r="D99" s="1162"/>
      <c r="E99" s="1162"/>
      <c r="F99" s="422">
        <v>692.19491525423734</v>
      </c>
      <c r="G99" s="422">
        <v>9.1999999999999993</v>
      </c>
      <c r="H99" s="439">
        <v>10.7</v>
      </c>
    </row>
    <row r="100" spans="1:8" ht="27" customHeight="1" x14ac:dyDescent="0.25">
      <c r="A100" s="1164"/>
      <c r="B100" s="1162" t="s">
        <v>94</v>
      </c>
      <c r="C100" s="1162"/>
      <c r="D100" s="1162"/>
      <c r="E100" s="1162"/>
      <c r="F100" s="422">
        <v>1686.8257627118646</v>
      </c>
      <c r="G100" s="422">
        <v>51.28</v>
      </c>
      <c r="H100" s="439">
        <v>93.28</v>
      </c>
    </row>
    <row r="101" spans="1:8" ht="27" customHeight="1" x14ac:dyDescent="0.25">
      <c r="A101" s="1164"/>
      <c r="B101" s="1162" t="s">
        <v>95</v>
      </c>
      <c r="C101" s="1162"/>
      <c r="D101" s="1162"/>
      <c r="E101" s="1162"/>
      <c r="F101" s="422">
        <v>2930.1627272727274</v>
      </c>
      <c r="G101" s="422">
        <v>20.67</v>
      </c>
      <c r="H101" s="439">
        <v>28.17</v>
      </c>
    </row>
    <row r="102" spans="1:8" ht="27" customHeight="1" x14ac:dyDescent="0.25">
      <c r="A102" s="1164"/>
      <c r="B102" s="1162" t="s">
        <v>96</v>
      </c>
      <c r="C102" s="1162"/>
      <c r="D102" s="1162"/>
      <c r="E102" s="1162"/>
      <c r="F102" s="422">
        <v>5277.72</v>
      </c>
      <c r="G102" s="422">
        <v>21.55</v>
      </c>
      <c r="H102" s="439">
        <v>33.549999999999997</v>
      </c>
    </row>
    <row r="103" spans="1:8" ht="27" customHeight="1" x14ac:dyDescent="0.25">
      <c r="A103" s="1164"/>
      <c r="B103" s="1162" t="s">
        <v>97</v>
      </c>
      <c r="C103" s="1162"/>
      <c r="D103" s="1162"/>
      <c r="E103" s="1162"/>
      <c r="F103" s="422">
        <v>952.03423728813561</v>
      </c>
      <c r="G103" s="422">
        <v>50.42</v>
      </c>
      <c r="H103" s="439">
        <v>54.92</v>
      </c>
    </row>
    <row r="104" spans="1:8" ht="27" customHeight="1" x14ac:dyDescent="0.25">
      <c r="A104" s="1164"/>
      <c r="B104" s="1162" t="s">
        <v>98</v>
      </c>
      <c r="C104" s="1162"/>
      <c r="D104" s="1162"/>
      <c r="E104" s="1162"/>
      <c r="F104" s="422">
        <v>2484.0289285714289</v>
      </c>
      <c r="G104" s="422">
        <v>64.989999999999995</v>
      </c>
      <c r="H104" s="439">
        <v>72.489999999999995</v>
      </c>
    </row>
    <row r="105" spans="1:8" ht="27" customHeight="1" x14ac:dyDescent="0.25">
      <c r="A105" s="1164"/>
      <c r="B105" s="1162" t="s">
        <v>99</v>
      </c>
      <c r="C105" s="1162"/>
      <c r="D105" s="1162"/>
      <c r="E105" s="1162"/>
      <c r="F105" s="422">
        <v>10828.935294117648</v>
      </c>
      <c r="G105" s="422">
        <v>36.81</v>
      </c>
      <c r="H105" s="439">
        <v>63.81</v>
      </c>
    </row>
    <row r="106" spans="1:8" ht="27" customHeight="1" x14ac:dyDescent="0.25">
      <c r="A106" s="1164"/>
      <c r="B106" s="1169" t="s">
        <v>100</v>
      </c>
      <c r="C106" s="1169"/>
      <c r="D106" s="1169"/>
      <c r="E106" s="1169"/>
      <c r="F106" s="422">
        <v>5088</v>
      </c>
      <c r="G106" s="422">
        <v>37.94</v>
      </c>
      <c r="H106" s="439">
        <v>60.44</v>
      </c>
    </row>
    <row r="107" spans="1:8" ht="27" customHeight="1" x14ac:dyDescent="0.25">
      <c r="A107" s="1164"/>
      <c r="B107" s="1169" t="s">
        <v>101</v>
      </c>
      <c r="C107" s="1169"/>
      <c r="D107" s="1169"/>
      <c r="E107" s="1169"/>
      <c r="F107" s="422">
        <v>72684</v>
      </c>
      <c r="G107" s="422">
        <v>254.88</v>
      </c>
      <c r="H107" s="439">
        <v>520.38</v>
      </c>
    </row>
    <row r="108" spans="1:8" ht="27" customHeight="1" x14ac:dyDescent="0.25">
      <c r="A108" s="1164"/>
      <c r="B108" s="1169" t="s">
        <v>102</v>
      </c>
      <c r="C108" s="1169"/>
      <c r="D108" s="1169"/>
      <c r="E108" s="1169"/>
      <c r="F108" s="433">
        <v>4611</v>
      </c>
      <c r="G108" s="433">
        <v>48.05</v>
      </c>
      <c r="H108" s="438">
        <v>61.55</v>
      </c>
    </row>
    <row r="109" spans="1:8" ht="27" customHeight="1" x14ac:dyDescent="0.25">
      <c r="A109" s="1164"/>
      <c r="B109" s="1169" t="s">
        <v>45</v>
      </c>
      <c r="C109" s="1169"/>
      <c r="D109" s="1169"/>
      <c r="E109" s="1169"/>
      <c r="F109" s="433">
        <v>15695</v>
      </c>
      <c r="G109" s="433">
        <v>150.54</v>
      </c>
      <c r="H109" s="438">
        <v>534.54</v>
      </c>
    </row>
    <row r="110" spans="1:8" ht="27" customHeight="1" x14ac:dyDescent="0.25">
      <c r="A110" s="1164"/>
      <c r="B110" s="1169" t="s">
        <v>103</v>
      </c>
      <c r="C110" s="1169"/>
      <c r="D110" s="1169"/>
      <c r="E110" s="1169"/>
      <c r="F110" s="433">
        <v>1054</v>
      </c>
      <c r="G110" s="433">
        <v>17.18</v>
      </c>
      <c r="H110" s="438">
        <v>41.18</v>
      </c>
    </row>
    <row r="111" spans="1:8" ht="27" customHeight="1" x14ac:dyDescent="0.25">
      <c r="A111" s="1164"/>
      <c r="B111" s="1169" t="s">
        <v>104</v>
      </c>
      <c r="C111" s="1169"/>
      <c r="D111" s="1169"/>
      <c r="E111" s="1169"/>
      <c r="F111" s="433">
        <v>363</v>
      </c>
      <c r="G111" s="433">
        <v>9.17</v>
      </c>
      <c r="H111" s="438">
        <v>21.17</v>
      </c>
    </row>
    <row r="112" spans="1:8" ht="27" customHeight="1" x14ac:dyDescent="0.25">
      <c r="A112" s="1164"/>
      <c r="B112" s="1169" t="s">
        <v>31</v>
      </c>
      <c r="C112" s="1169"/>
      <c r="D112" s="1169"/>
      <c r="E112" s="1169"/>
      <c r="F112" s="433">
        <v>1574</v>
      </c>
      <c r="G112" s="433">
        <v>2.4900000000000002</v>
      </c>
      <c r="H112" s="438">
        <v>5.49</v>
      </c>
    </row>
    <row r="113" spans="1:8" ht="27" customHeight="1" x14ac:dyDescent="0.25">
      <c r="A113" s="1164"/>
      <c r="B113" s="1169" t="s">
        <v>105</v>
      </c>
      <c r="C113" s="1169"/>
      <c r="D113" s="1169"/>
      <c r="E113" s="1169"/>
      <c r="F113" s="433">
        <v>316</v>
      </c>
      <c r="G113" s="433">
        <v>24.28</v>
      </c>
      <c r="H113" s="438">
        <v>27.28</v>
      </c>
    </row>
    <row r="114" spans="1:8" ht="27" customHeight="1" x14ac:dyDescent="0.25">
      <c r="A114" s="1164"/>
      <c r="B114" s="1169" t="s">
        <v>106</v>
      </c>
      <c r="C114" s="1169"/>
      <c r="D114" s="1169"/>
      <c r="E114" s="1169"/>
      <c r="F114" s="433">
        <v>466</v>
      </c>
      <c r="G114" s="433">
        <v>4.22</v>
      </c>
      <c r="H114" s="438">
        <v>10.220000000000001</v>
      </c>
    </row>
    <row r="115" spans="1:8" ht="27" customHeight="1" x14ac:dyDescent="0.25">
      <c r="A115" s="1164"/>
      <c r="B115" s="1169" t="s">
        <v>107</v>
      </c>
      <c r="C115" s="1169"/>
      <c r="D115" s="1169"/>
      <c r="E115" s="1169"/>
      <c r="F115" s="433">
        <v>3680</v>
      </c>
      <c r="G115" s="433">
        <v>43.23</v>
      </c>
      <c r="H115" s="438">
        <v>56.73</v>
      </c>
    </row>
    <row r="116" spans="1:8" ht="27" customHeight="1" x14ac:dyDescent="0.25">
      <c r="A116" s="1164"/>
      <c r="B116" s="1169" t="s">
        <v>108</v>
      </c>
      <c r="C116" s="1169"/>
      <c r="D116" s="1169"/>
      <c r="E116" s="1169"/>
      <c r="F116" s="433">
        <v>383</v>
      </c>
      <c r="G116" s="433">
        <v>7.47</v>
      </c>
      <c r="H116" s="438">
        <v>7.47</v>
      </c>
    </row>
    <row r="117" spans="1:8" ht="27" customHeight="1" x14ac:dyDescent="0.25">
      <c r="A117" s="1164"/>
      <c r="B117" s="1169" t="s">
        <v>109</v>
      </c>
      <c r="C117" s="1169"/>
      <c r="D117" s="1169"/>
      <c r="E117" s="1169"/>
      <c r="F117" s="422">
        <v>1361</v>
      </c>
      <c r="G117" s="422">
        <v>32.96</v>
      </c>
      <c r="H117" s="439">
        <v>37.46</v>
      </c>
    </row>
    <row r="118" spans="1:8" ht="27" customHeight="1" x14ac:dyDescent="0.25">
      <c r="A118" s="1164"/>
      <c r="B118" s="1169" t="s">
        <v>20</v>
      </c>
      <c r="C118" s="1169"/>
      <c r="D118" s="1169"/>
      <c r="E118" s="1169"/>
      <c r="F118" s="422">
        <v>22238</v>
      </c>
      <c r="G118" s="422">
        <v>76.48</v>
      </c>
      <c r="H118" s="439">
        <v>133.47999999999999</v>
      </c>
    </row>
    <row r="119" spans="1:8" ht="27" customHeight="1" x14ac:dyDescent="0.25">
      <c r="A119" s="1164"/>
      <c r="B119" s="1169" t="s">
        <v>227</v>
      </c>
      <c r="C119" s="1169"/>
      <c r="D119" s="1169"/>
      <c r="E119" s="1169"/>
      <c r="F119" s="433">
        <v>1866</v>
      </c>
      <c r="G119" s="433">
        <v>43.17</v>
      </c>
      <c r="H119" s="438">
        <v>91.17</v>
      </c>
    </row>
    <row r="120" spans="1:8" ht="27" customHeight="1" x14ac:dyDescent="0.25">
      <c r="A120" s="1164"/>
      <c r="B120" s="1169" t="s">
        <v>17</v>
      </c>
      <c r="C120" s="1169"/>
      <c r="D120" s="1169"/>
      <c r="E120" s="1169"/>
      <c r="F120" s="433">
        <v>18897</v>
      </c>
      <c r="G120" s="433">
        <v>129.47999999999999</v>
      </c>
      <c r="H120" s="438">
        <v>204.48</v>
      </c>
    </row>
    <row r="121" spans="1:8" ht="27" customHeight="1" x14ac:dyDescent="0.25">
      <c r="A121" s="1164"/>
      <c r="B121" s="1169" t="s">
        <v>45</v>
      </c>
      <c r="C121" s="1169"/>
      <c r="D121" s="1169"/>
      <c r="E121" s="1169"/>
      <c r="F121" s="433">
        <v>8026</v>
      </c>
      <c r="G121" s="433">
        <v>71.19</v>
      </c>
      <c r="H121" s="438">
        <v>104.19</v>
      </c>
    </row>
    <row r="122" spans="1:8" ht="27" customHeight="1" x14ac:dyDescent="0.25">
      <c r="A122" s="1164"/>
      <c r="B122" s="1169" t="s">
        <v>222</v>
      </c>
      <c r="C122" s="1169"/>
      <c r="D122" s="1169"/>
      <c r="E122" s="1169"/>
      <c r="F122" s="433">
        <v>9393</v>
      </c>
      <c r="G122" s="433">
        <v>18.77</v>
      </c>
      <c r="H122" s="438">
        <v>53.27</v>
      </c>
    </row>
    <row r="123" spans="1:8" ht="27" customHeight="1" x14ac:dyDescent="0.25">
      <c r="A123" s="1164"/>
      <c r="B123" s="1169" t="s">
        <v>263</v>
      </c>
      <c r="C123" s="1169"/>
      <c r="D123" s="1169"/>
      <c r="E123" s="1169"/>
      <c r="F123" s="433">
        <v>4025</v>
      </c>
      <c r="G123" s="433">
        <v>58.08</v>
      </c>
      <c r="H123" s="438">
        <v>73.08</v>
      </c>
    </row>
    <row r="124" spans="1:8" ht="27" customHeight="1" x14ac:dyDescent="0.25">
      <c r="A124" s="1164"/>
      <c r="B124" s="1169" t="s">
        <v>238</v>
      </c>
      <c r="C124" s="1169"/>
      <c r="D124" s="1169"/>
      <c r="E124" s="1169"/>
      <c r="F124" s="433">
        <v>4735</v>
      </c>
      <c r="G124" s="433">
        <v>85.99</v>
      </c>
      <c r="H124" s="438">
        <v>103.99</v>
      </c>
    </row>
    <row r="125" spans="1:8" ht="27" customHeight="1" x14ac:dyDescent="0.25">
      <c r="A125" s="1164"/>
      <c r="B125" s="1169" t="s">
        <v>259</v>
      </c>
      <c r="C125" s="1169"/>
      <c r="D125" s="1169"/>
      <c r="E125" s="1169"/>
      <c r="F125" s="433">
        <v>3578</v>
      </c>
      <c r="G125" s="433">
        <v>55.14</v>
      </c>
      <c r="H125" s="438">
        <v>68.64</v>
      </c>
    </row>
    <row r="126" spans="1:8" ht="27" customHeight="1" x14ac:dyDescent="0.25">
      <c r="A126" s="1164"/>
      <c r="B126" s="1169" t="s">
        <v>108</v>
      </c>
      <c r="C126" s="1169"/>
      <c r="D126" s="1169"/>
      <c r="E126" s="1169"/>
      <c r="F126" s="433">
        <v>8740.8244067796604</v>
      </c>
      <c r="G126" s="433">
        <v>54.35</v>
      </c>
      <c r="H126" s="438">
        <v>78.349999999999994</v>
      </c>
    </row>
    <row r="127" spans="1:8" ht="27" customHeight="1" x14ac:dyDescent="0.25">
      <c r="A127" s="1164"/>
      <c r="B127" s="1169" t="s">
        <v>398</v>
      </c>
      <c r="C127" s="1169"/>
      <c r="D127" s="1169"/>
      <c r="E127" s="1169"/>
      <c r="F127" s="433">
        <v>610</v>
      </c>
      <c r="G127" s="433">
        <v>4.5</v>
      </c>
      <c r="H127" s="438">
        <v>6</v>
      </c>
    </row>
    <row r="128" spans="1:8" ht="27" customHeight="1" x14ac:dyDescent="0.25">
      <c r="A128" s="1164"/>
      <c r="B128" s="1169" t="s">
        <v>287</v>
      </c>
      <c r="C128" s="1169"/>
      <c r="D128" s="1169"/>
      <c r="E128" s="1169"/>
      <c r="F128" s="433">
        <v>13298</v>
      </c>
      <c r="G128" s="433">
        <v>96.41</v>
      </c>
      <c r="H128" s="438">
        <v>139.91</v>
      </c>
    </row>
    <row r="129" spans="1:8" ht="27" customHeight="1" x14ac:dyDescent="0.25">
      <c r="A129" s="1164"/>
      <c r="B129" s="1169" t="s">
        <v>448</v>
      </c>
      <c r="C129" s="1169"/>
      <c r="D129" s="1169"/>
      <c r="E129" s="1169"/>
      <c r="F129" s="433">
        <v>5857.885830508475</v>
      </c>
      <c r="G129" s="433">
        <v>65.98</v>
      </c>
      <c r="H129" s="438">
        <v>89.98</v>
      </c>
    </row>
    <row r="130" spans="1:8" ht="27" customHeight="1" x14ac:dyDescent="0.25">
      <c r="A130" s="1165"/>
      <c r="B130" s="1173" t="s">
        <v>459</v>
      </c>
      <c r="C130" s="1173"/>
      <c r="D130" s="1173"/>
      <c r="E130" s="1173"/>
      <c r="F130" s="433">
        <v>70194.953898305088</v>
      </c>
      <c r="G130" s="433">
        <v>398.16</v>
      </c>
      <c r="H130" s="438">
        <v>639.66</v>
      </c>
    </row>
    <row r="131" spans="1:8" ht="27" customHeight="1" thickBot="1" x14ac:dyDescent="0.3">
      <c r="A131" s="1166"/>
      <c r="B131" s="1171" t="s">
        <v>632</v>
      </c>
      <c r="C131" s="1171"/>
      <c r="D131" s="1171"/>
      <c r="E131" s="1171"/>
      <c r="F131" s="442">
        <v>18919.28441</v>
      </c>
      <c r="G131" s="442">
        <v>200.05</v>
      </c>
      <c r="H131" s="443">
        <v>285.55</v>
      </c>
    </row>
    <row r="132" spans="1:8" ht="27" customHeight="1" thickTop="1" x14ac:dyDescent="0.25">
      <c r="A132" s="1170">
        <v>2026</v>
      </c>
      <c r="B132" s="1172" t="s">
        <v>467</v>
      </c>
      <c r="C132" s="1172"/>
      <c r="D132" s="1172"/>
      <c r="E132" s="1172"/>
      <c r="F132" s="434">
        <v>1821.0050847457628</v>
      </c>
      <c r="G132" s="434">
        <v>8.84</v>
      </c>
      <c r="H132" s="434">
        <v>17.84</v>
      </c>
    </row>
    <row r="133" spans="1:8" ht="27" customHeight="1" x14ac:dyDescent="0.25">
      <c r="A133" s="1170"/>
      <c r="B133" s="1169" t="s">
        <v>260</v>
      </c>
      <c r="C133" s="1169"/>
      <c r="D133" s="1169"/>
      <c r="E133" s="1169"/>
      <c r="F133" s="422">
        <v>26035.181250000001</v>
      </c>
      <c r="G133" s="422">
        <v>332.55</v>
      </c>
      <c r="H133" s="422">
        <v>965.55</v>
      </c>
    </row>
    <row r="134" spans="1:8" ht="27" customHeight="1" x14ac:dyDescent="0.25">
      <c r="A134" s="1170"/>
      <c r="B134" s="1169" t="s">
        <v>462</v>
      </c>
      <c r="C134" s="1169"/>
      <c r="D134" s="1169"/>
      <c r="E134" s="1169"/>
      <c r="F134" s="422">
        <v>25135.620711864409</v>
      </c>
      <c r="G134" s="422">
        <v>41.06</v>
      </c>
      <c r="H134" s="422">
        <v>140.06</v>
      </c>
    </row>
    <row r="135" spans="1:8" ht="27" customHeight="1" x14ac:dyDescent="0.25">
      <c r="A135" s="1170"/>
      <c r="B135" s="1169" t="s">
        <v>463</v>
      </c>
      <c r="C135" s="1169"/>
      <c r="D135" s="1169"/>
      <c r="E135" s="1169"/>
      <c r="F135" s="422">
        <v>9200.8677966101695</v>
      </c>
      <c r="G135" s="422">
        <v>98.81</v>
      </c>
      <c r="H135" s="422">
        <v>142.31</v>
      </c>
    </row>
    <row r="136" spans="1:8" ht="27" customHeight="1" x14ac:dyDescent="0.25">
      <c r="A136" s="1170"/>
      <c r="B136" s="1169" t="s">
        <v>494</v>
      </c>
      <c r="C136" s="1169"/>
      <c r="D136" s="1169"/>
      <c r="E136" s="1169"/>
      <c r="F136" s="422">
        <v>46200</v>
      </c>
      <c r="G136" s="422">
        <v>242.57</v>
      </c>
      <c r="H136" s="422">
        <v>476.57</v>
      </c>
    </row>
    <row r="137" spans="1:8" ht="27" customHeight="1" x14ac:dyDescent="0.25">
      <c r="A137" s="1170"/>
      <c r="B137" s="1169" t="s">
        <v>501</v>
      </c>
      <c r="C137" s="1169"/>
      <c r="D137" s="1169"/>
      <c r="E137" s="1169"/>
      <c r="F137" s="422">
        <v>12322.134406779664</v>
      </c>
      <c r="G137" s="422">
        <v>55.79</v>
      </c>
      <c r="H137" s="422">
        <v>117.29</v>
      </c>
    </row>
    <row r="138" spans="1:8" ht="27" customHeight="1" x14ac:dyDescent="0.25">
      <c r="A138" s="1170"/>
      <c r="B138" s="1169" t="s">
        <v>505</v>
      </c>
      <c r="C138" s="1169"/>
      <c r="D138" s="1169"/>
      <c r="E138" s="1169"/>
      <c r="F138" s="422">
        <v>230.02169491525427</v>
      </c>
      <c r="G138" s="422">
        <v>3.02</v>
      </c>
      <c r="H138" s="422">
        <v>3.02</v>
      </c>
    </row>
    <row r="139" spans="1:8" ht="27" customHeight="1" x14ac:dyDescent="0.25">
      <c r="A139" s="1170"/>
      <c r="B139" s="1169" t="s">
        <v>493</v>
      </c>
      <c r="C139" s="1169"/>
      <c r="D139" s="1169"/>
      <c r="E139" s="1169"/>
      <c r="F139" s="422">
        <v>8434.1288135593222</v>
      </c>
      <c r="G139" s="422">
        <v>81.680000000000007</v>
      </c>
      <c r="H139" s="422">
        <v>123.68</v>
      </c>
    </row>
    <row r="140" spans="1:8" ht="27" customHeight="1" x14ac:dyDescent="0.25">
      <c r="A140" s="1170"/>
      <c r="B140" s="1169" t="s">
        <v>517</v>
      </c>
      <c r="C140" s="1169"/>
      <c r="D140" s="1169"/>
      <c r="E140" s="1169"/>
      <c r="F140" s="422">
        <v>6662.2647272727281</v>
      </c>
      <c r="G140" s="422">
        <v>46.73</v>
      </c>
      <c r="H140" s="422">
        <v>60.23</v>
      </c>
    </row>
    <row r="141" spans="1:8" ht="27" customHeight="1" x14ac:dyDescent="0.25">
      <c r="A141" s="1170"/>
      <c r="B141" s="1169" t="s">
        <v>639</v>
      </c>
      <c r="C141" s="1169"/>
      <c r="D141" s="1169"/>
      <c r="E141" s="1169"/>
      <c r="F141" s="422">
        <v>452.37600000000009</v>
      </c>
      <c r="G141" s="422">
        <v>14.12</v>
      </c>
      <c r="H141" s="422">
        <v>26.12</v>
      </c>
    </row>
    <row r="142" spans="1:8" ht="27" customHeight="1" x14ac:dyDescent="0.25">
      <c r="A142" s="1170"/>
      <c r="B142" s="1169" t="s">
        <v>523</v>
      </c>
      <c r="C142" s="1169"/>
      <c r="D142" s="1169"/>
      <c r="E142" s="1169"/>
      <c r="F142" s="422">
        <v>8098.6805084745765</v>
      </c>
      <c r="G142" s="422">
        <v>9.98</v>
      </c>
      <c r="H142" s="422">
        <v>33.979999999999997</v>
      </c>
    </row>
    <row r="143" spans="1:8" ht="27" customHeight="1" x14ac:dyDescent="0.25">
      <c r="A143" s="1170"/>
      <c r="B143" s="1169" t="s">
        <v>536</v>
      </c>
      <c r="C143" s="1169"/>
      <c r="D143" s="1169"/>
      <c r="E143" s="1169"/>
      <c r="F143" s="422">
        <v>21797.430864406782</v>
      </c>
      <c r="G143" s="422">
        <v>62.87</v>
      </c>
      <c r="H143" s="422">
        <v>146.87</v>
      </c>
    </row>
    <row r="144" spans="1:8" ht="27" customHeight="1" x14ac:dyDescent="0.25">
      <c r="A144" s="1170"/>
      <c r="B144" s="1113" t="s">
        <v>613</v>
      </c>
      <c r="C144" s="1113"/>
      <c r="D144" s="1113"/>
      <c r="E144" s="1113"/>
      <c r="F144" s="422">
        <v>2354</v>
      </c>
      <c r="G144" s="422">
        <v>8.94</v>
      </c>
      <c r="H144" s="422">
        <v>12.68</v>
      </c>
    </row>
    <row r="145" spans="1:8" ht="27" customHeight="1" x14ac:dyDescent="0.25">
      <c r="A145" s="1170"/>
      <c r="B145" s="1113" t="s">
        <v>542</v>
      </c>
      <c r="C145" s="1113"/>
      <c r="D145" s="1113"/>
      <c r="E145" s="1113"/>
      <c r="F145" s="422">
        <v>7514.0420338983004</v>
      </c>
      <c r="G145" s="422">
        <v>18.59</v>
      </c>
      <c r="H145" s="422">
        <v>45.59</v>
      </c>
    </row>
    <row r="146" spans="1:8" ht="27" customHeight="1" x14ac:dyDescent="0.25">
      <c r="A146" s="1170"/>
      <c r="B146" s="1113"/>
      <c r="C146" s="1113"/>
      <c r="D146" s="1113"/>
      <c r="E146" s="1113"/>
      <c r="F146" s="422"/>
      <c r="G146" s="422"/>
      <c r="H146" s="422"/>
    </row>
    <row r="147" spans="1:8" ht="27" customHeight="1" x14ac:dyDescent="0.25">
      <c r="A147" s="1170"/>
    </row>
    <row r="148" spans="1:8" ht="27" customHeight="1" x14ac:dyDescent="0.25">
      <c r="A148" s="1170"/>
    </row>
    <row r="149" spans="1:8" ht="27" customHeight="1" x14ac:dyDescent="0.25">
      <c r="A149" s="1170"/>
    </row>
    <row r="150" spans="1:8" ht="27" customHeight="1" x14ac:dyDescent="0.25">
      <c r="A150" s="1170"/>
    </row>
    <row r="151" spans="1:8" ht="27" customHeight="1" x14ac:dyDescent="0.25">
      <c r="A151" s="1170"/>
    </row>
    <row r="152" spans="1:8" ht="27" customHeight="1" x14ac:dyDescent="0.25">
      <c r="A152" s="1170"/>
    </row>
    <row r="153" spans="1:8" ht="27" customHeight="1" x14ac:dyDescent="0.25"/>
    <row r="154" spans="1:8" ht="27" customHeight="1" x14ac:dyDescent="0.25"/>
    <row r="155" spans="1:8" ht="27" customHeight="1" x14ac:dyDescent="0.25"/>
    <row r="156" spans="1:8" ht="27" customHeight="1" x14ac:dyDescent="0.25"/>
    <row r="157" spans="1:8" ht="27" customHeight="1" x14ac:dyDescent="0.25"/>
    <row r="158" spans="1:8" ht="27" customHeight="1" x14ac:dyDescent="0.25"/>
    <row r="159" spans="1:8" ht="27" customHeight="1" x14ac:dyDescent="0.25"/>
    <row r="160" spans="1:8" ht="27" customHeight="1" x14ac:dyDescent="0.25"/>
    <row r="161" ht="27" customHeight="1" x14ac:dyDescent="0.25"/>
    <row r="162" ht="27" customHeight="1" x14ac:dyDescent="0.25"/>
    <row r="163" ht="27" customHeight="1" x14ac:dyDescent="0.25"/>
    <row r="164" ht="27" customHeight="1" x14ac:dyDescent="0.25"/>
    <row r="165" ht="27" customHeight="1" x14ac:dyDescent="0.25"/>
    <row r="170" ht="33.75" customHeight="1" x14ac:dyDescent="0.25"/>
    <row r="215" spans="1:4" ht="15.75" thickBot="1" x14ac:dyDescent="0.3"/>
    <row r="216" spans="1:4" ht="27.75" thickTop="1" thickBot="1" x14ac:dyDescent="0.3">
      <c r="A216" s="1081"/>
      <c r="B216" s="1082"/>
      <c r="C216" s="1083"/>
      <c r="D216" s="450"/>
    </row>
    <row r="217" spans="1:4" ht="16.5" thickTop="1" thickBot="1" x14ac:dyDescent="0.3">
      <c r="A217" s="452"/>
      <c r="B217" s="451"/>
      <c r="C217" s="451"/>
      <c r="D217" s="453"/>
    </row>
    <row r="218" spans="1:4" ht="16.5" thickTop="1" thickBot="1" x14ac:dyDescent="0.3"/>
    <row r="219" spans="1:4" ht="16.5" thickTop="1" thickBot="1" x14ac:dyDescent="0.3">
      <c r="A219" s="452"/>
      <c r="B219" s="451"/>
      <c r="C219" s="451"/>
      <c r="D219" s="449"/>
    </row>
    <row r="220" spans="1:4" ht="16.5" thickTop="1" thickBot="1" x14ac:dyDescent="0.3"/>
    <row r="221" spans="1:4" ht="16.5" thickTop="1" thickBot="1" x14ac:dyDescent="0.3">
      <c r="A221" s="452"/>
      <c r="B221" s="451"/>
      <c r="C221" s="451"/>
      <c r="D221" s="453"/>
    </row>
    <row r="222" spans="1:4" ht="16.5" thickTop="1" thickBot="1" x14ac:dyDescent="0.3">
      <c r="A222" s="452"/>
      <c r="B222" s="451"/>
      <c r="C222" s="451"/>
      <c r="D222" s="453"/>
    </row>
    <row r="223" spans="1:4" ht="16.5" thickTop="1" thickBot="1" x14ac:dyDescent="0.3">
      <c r="A223" s="452"/>
      <c r="B223" s="451"/>
      <c r="C223" s="451"/>
      <c r="D223" s="453"/>
    </row>
    <row r="224" spans="1:4" ht="16.5" thickTop="1" thickBot="1" x14ac:dyDescent="0.3">
      <c r="A224" s="452"/>
      <c r="B224" s="451"/>
      <c r="C224" s="451"/>
      <c r="D224" s="453"/>
    </row>
    <row r="225" spans="1:4" ht="16.5" thickTop="1" thickBot="1" x14ac:dyDescent="0.3">
      <c r="A225" s="452"/>
      <c r="B225" s="451"/>
      <c r="C225" s="451"/>
      <c r="D225" s="453"/>
    </row>
    <row r="226" spans="1:4" ht="16.5" thickTop="1" thickBot="1" x14ac:dyDescent="0.3">
      <c r="A226" s="454"/>
      <c r="B226" s="451"/>
      <c r="C226" s="451"/>
      <c r="D226" s="453"/>
    </row>
    <row r="227" spans="1:4" ht="15.75" thickTop="1" x14ac:dyDescent="0.25"/>
  </sheetData>
  <mergeCells count="202">
    <mergeCell ref="A29:D29"/>
    <mergeCell ref="A30:I33"/>
    <mergeCell ref="B22:D22"/>
    <mergeCell ref="E22:G22"/>
    <mergeCell ref="B19:D19"/>
    <mergeCell ref="E19:G19"/>
    <mergeCell ref="B24:D24"/>
    <mergeCell ref="E24:G24"/>
    <mergeCell ref="B23:D23"/>
    <mergeCell ref="E23:G23"/>
    <mergeCell ref="B25:D25"/>
    <mergeCell ref="E25:G25"/>
    <mergeCell ref="B145:E145"/>
    <mergeCell ref="B136:E136"/>
    <mergeCell ref="B129:E129"/>
    <mergeCell ref="B125:E125"/>
    <mergeCell ref="B121:E121"/>
    <mergeCell ref="B122:E122"/>
    <mergeCell ref="B116:E116"/>
    <mergeCell ref="B112:E112"/>
    <mergeCell ref="B7:D7"/>
    <mergeCell ref="E7:G7"/>
    <mergeCell ref="B11:D11"/>
    <mergeCell ref="E11:G11"/>
    <mergeCell ref="B9:D9"/>
    <mergeCell ref="E9:G9"/>
    <mergeCell ref="B12:D12"/>
    <mergeCell ref="E12:G12"/>
    <mergeCell ref="B14:D14"/>
    <mergeCell ref="E14:G14"/>
    <mergeCell ref="B13:D13"/>
    <mergeCell ref="E13:G13"/>
    <mergeCell ref="B16:D16"/>
    <mergeCell ref="E16:G16"/>
    <mergeCell ref="B15:D15"/>
    <mergeCell ref="E15:G15"/>
    <mergeCell ref="B142:E142"/>
    <mergeCell ref="B137:E137"/>
    <mergeCell ref="B134:E134"/>
    <mergeCell ref="B135:E135"/>
    <mergeCell ref="B138:E138"/>
    <mergeCell ref="B141:E141"/>
    <mergeCell ref="B140:E140"/>
    <mergeCell ref="B139:E139"/>
    <mergeCell ref="B144:E144"/>
    <mergeCell ref="B143:E143"/>
    <mergeCell ref="B120:E120"/>
    <mergeCell ref="B126:E126"/>
    <mergeCell ref="B123:E123"/>
    <mergeCell ref="B124:E124"/>
    <mergeCell ref="B131:E131"/>
    <mergeCell ref="B127:E127"/>
    <mergeCell ref="B128:E128"/>
    <mergeCell ref="B133:E133"/>
    <mergeCell ref="B132:E132"/>
    <mergeCell ref="B130:E130"/>
    <mergeCell ref="A132:A152"/>
    <mergeCell ref="B82:E82"/>
    <mergeCell ref="B83:E83"/>
    <mergeCell ref="B88:E88"/>
    <mergeCell ref="B89:E89"/>
    <mergeCell ref="B86:E86"/>
    <mergeCell ref="B87:E87"/>
    <mergeCell ref="B92:E92"/>
    <mergeCell ref="B93:E93"/>
    <mergeCell ref="B90:E90"/>
    <mergeCell ref="B91:E91"/>
    <mergeCell ref="B96:E96"/>
    <mergeCell ref="B97:E97"/>
    <mergeCell ref="B94:E94"/>
    <mergeCell ref="B95:E95"/>
    <mergeCell ref="B100:E100"/>
    <mergeCell ref="B101:E101"/>
    <mergeCell ref="B98:E98"/>
    <mergeCell ref="B99:E99"/>
    <mergeCell ref="B104:E104"/>
    <mergeCell ref="B105:E105"/>
    <mergeCell ref="B102:E102"/>
    <mergeCell ref="B103:E103"/>
    <mergeCell ref="B108:E108"/>
    <mergeCell ref="B72:E72"/>
    <mergeCell ref="B73:E73"/>
    <mergeCell ref="B75:E75"/>
    <mergeCell ref="B76:E76"/>
    <mergeCell ref="B74:E74"/>
    <mergeCell ref="A80:A131"/>
    <mergeCell ref="B80:E80"/>
    <mergeCell ref="B77:E77"/>
    <mergeCell ref="B78:E78"/>
    <mergeCell ref="B84:E84"/>
    <mergeCell ref="B85:E85"/>
    <mergeCell ref="B81:E81"/>
    <mergeCell ref="B79:E79"/>
    <mergeCell ref="B109:E109"/>
    <mergeCell ref="B106:E106"/>
    <mergeCell ref="B107:E107"/>
    <mergeCell ref="B113:E113"/>
    <mergeCell ref="B110:E110"/>
    <mergeCell ref="B111:E111"/>
    <mergeCell ref="B115:E115"/>
    <mergeCell ref="B114:E114"/>
    <mergeCell ref="B118:E118"/>
    <mergeCell ref="B117:E117"/>
    <mergeCell ref="B119:E119"/>
    <mergeCell ref="B65:E65"/>
    <mergeCell ref="B66:E66"/>
    <mergeCell ref="B63:E63"/>
    <mergeCell ref="B64:E64"/>
    <mergeCell ref="B69:E69"/>
    <mergeCell ref="B70:E70"/>
    <mergeCell ref="B67:E67"/>
    <mergeCell ref="B68:E68"/>
    <mergeCell ref="B71:E71"/>
    <mergeCell ref="J59:L59"/>
    <mergeCell ref="J60:L60"/>
    <mergeCell ref="J61:L61"/>
    <mergeCell ref="J62:L62"/>
    <mergeCell ref="B57:E57"/>
    <mergeCell ref="B58:E58"/>
    <mergeCell ref="B55:E55"/>
    <mergeCell ref="B56:E56"/>
    <mergeCell ref="B61:E61"/>
    <mergeCell ref="B62:E62"/>
    <mergeCell ref="B59:E59"/>
    <mergeCell ref="B60:E60"/>
    <mergeCell ref="F41:H41"/>
    <mergeCell ref="C42:E42"/>
    <mergeCell ref="F42:H42"/>
    <mergeCell ref="C43:E43"/>
    <mergeCell ref="F43:H43"/>
    <mergeCell ref="C44:E44"/>
    <mergeCell ref="F44:H44"/>
    <mergeCell ref="A36:P37"/>
    <mergeCell ref="J58:L58"/>
    <mergeCell ref="B54:E54"/>
    <mergeCell ref="B52:E52"/>
    <mergeCell ref="B53:E53"/>
    <mergeCell ref="A34:P35"/>
    <mergeCell ref="J52:L52"/>
    <mergeCell ref="J53:L53"/>
    <mergeCell ref="J54:L54"/>
    <mergeCell ref="J55:L55"/>
    <mergeCell ref="J56:L56"/>
    <mergeCell ref="J57:L57"/>
    <mergeCell ref="B46:H46"/>
    <mergeCell ref="B47:E48"/>
    <mergeCell ref="F47:F48"/>
    <mergeCell ref="G47:G48"/>
    <mergeCell ref="H47:H48"/>
    <mergeCell ref="B50:E50"/>
    <mergeCell ref="B49:E49"/>
    <mergeCell ref="A39:H39"/>
    <mergeCell ref="A40:B40"/>
    <mergeCell ref="C40:E40"/>
    <mergeCell ref="B51:E51"/>
    <mergeCell ref="F40:H40"/>
    <mergeCell ref="A41:B41"/>
    <mergeCell ref="A42:B42"/>
    <mergeCell ref="A43:B43"/>
    <mergeCell ref="A44:B44"/>
    <mergeCell ref="C41:E41"/>
    <mergeCell ref="E8:G8"/>
    <mergeCell ref="B21:D21"/>
    <mergeCell ref="E21:G21"/>
    <mergeCell ref="B20:D20"/>
    <mergeCell ref="E20:G20"/>
    <mergeCell ref="A1:E2"/>
    <mergeCell ref="P1:P2"/>
    <mergeCell ref="B4:D4"/>
    <mergeCell ref="E4:G4"/>
    <mergeCell ref="B3:D3"/>
    <mergeCell ref="E3:G3"/>
    <mergeCell ref="B6:D6"/>
    <mergeCell ref="E6:G6"/>
    <mergeCell ref="B18:D18"/>
    <mergeCell ref="E18:G18"/>
    <mergeCell ref="B17:D17"/>
    <mergeCell ref="E17:G17"/>
    <mergeCell ref="J63:L63"/>
    <mergeCell ref="J64:L64"/>
    <mergeCell ref="J65:L65"/>
    <mergeCell ref="J66:L66"/>
    <mergeCell ref="J67:L67"/>
    <mergeCell ref="J68:L68"/>
    <mergeCell ref="A216:C216"/>
    <mergeCell ref="O1:O2"/>
    <mergeCell ref="F1:N2"/>
    <mergeCell ref="M30:N33"/>
    <mergeCell ref="O30:P33"/>
    <mergeCell ref="J30:L33"/>
    <mergeCell ref="A49:A79"/>
    <mergeCell ref="A46:A48"/>
    <mergeCell ref="B146:E146"/>
    <mergeCell ref="B28:D28"/>
    <mergeCell ref="E28:G28"/>
    <mergeCell ref="B27:D27"/>
    <mergeCell ref="E27:G27"/>
    <mergeCell ref="B10:D10"/>
    <mergeCell ref="E10:G10"/>
    <mergeCell ref="B5:D5"/>
    <mergeCell ref="E5:G5"/>
    <mergeCell ref="B8:D8"/>
  </mergeCells>
  <conditionalFormatting sqref="B4:N25 B26:P28 P4:P25">
    <cfRule type="expression" dxfId="26" priority="6">
      <formula>MOD(ROW(),2)=0</formula>
    </cfRule>
  </conditionalFormatting>
  <conditionalFormatting sqref="N4:N28">
    <cfRule type="containsText" dxfId="25" priority="4" operator="containsText" text="COMPLETED">
      <formula>NOT(ISERROR(SEARCH("COMPLETED",N4)))</formula>
    </cfRule>
    <cfRule type="containsText" dxfId="24" priority="5" operator="containsText" text="IN PROGRESS">
      <formula>NOT(ISERROR(SEARCH("IN PROGRESS",N4)))</formula>
    </cfRule>
    <cfRule type="containsText" dxfId="23" priority="8" operator="containsText" text="COMPLETED">
      <formula>NOT(ISERROR(SEARCH("COMPLETED",N4)))</formula>
    </cfRule>
    <cfRule type="containsText" dxfId="22" priority="9" operator="containsText" text="IN PROGRESS">
      <formula>NOT(ISERROR(SEARCH("IN PROGRESS",N4)))</formula>
    </cfRule>
  </conditionalFormatting>
  <conditionalFormatting sqref="O4:O28">
    <cfRule type="colorScale" priority="12">
      <colorScale>
        <cfvo type="min"/>
        <cfvo type="percentile" val="70"/>
        <cfvo type="max"/>
        <color rgb="FF63BE7B"/>
        <color rgb="FFFFEB84"/>
        <color rgb="FFF8696B"/>
      </colorScale>
    </cfRule>
  </conditionalFormatting>
  <pageMargins left="0.8" right="0" top="0.95" bottom="0" header="0.3" footer="0.3"/>
  <pageSetup paperSize="8" scale="31" orientation="portrait" r:id="rId1"/>
  <headerFooter>
    <oddFooter>&amp;C&amp;"-,Bold Italic"&amp;16Prepared by Emir Cebecioglu&amp;RQuality Control Department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11A66-0B42-46AD-91E3-6F4EF4D55A60}">
  <sheetPr>
    <tabColor rgb="FFEE0000"/>
    <pageSetUpPr fitToPage="1"/>
  </sheetPr>
  <dimension ref="A1:AJ218"/>
  <sheetViews>
    <sheetView view="pageBreakPreview" topLeftCell="A53" zoomScale="55" zoomScaleNormal="85" zoomScaleSheetLayoutView="55" zoomScalePageLayoutView="70" workbookViewId="0">
      <selection activeCell="U15" sqref="U15:Y17"/>
    </sheetView>
  </sheetViews>
  <sheetFormatPr defaultRowHeight="15" x14ac:dyDescent="0.25"/>
  <cols>
    <col min="1" max="3" width="12.7109375" customWidth="1"/>
    <col min="4" max="4" width="27.42578125" customWidth="1"/>
    <col min="5" max="7" width="12.7109375" customWidth="1"/>
    <col min="8" max="8" width="27.5703125" customWidth="1"/>
    <col min="9" max="9" width="48.28515625" customWidth="1"/>
    <col min="10" max="10" width="54.7109375" customWidth="1"/>
    <col min="11" max="11" width="54.42578125" customWidth="1"/>
    <col min="12" max="12" width="51.5703125" customWidth="1"/>
    <col min="13" max="13" width="58" customWidth="1"/>
    <col min="14" max="14" width="46.140625" customWidth="1"/>
    <col min="15" max="15" width="52.140625" customWidth="1"/>
    <col min="16" max="16" width="59" customWidth="1"/>
    <col min="17" max="18" width="41.28515625" customWidth="1"/>
  </cols>
  <sheetData>
    <row r="1" spans="1:16" ht="34.5" customHeight="1" thickTop="1" x14ac:dyDescent="0.25">
      <c r="A1" s="1117"/>
      <c r="B1" s="1118"/>
      <c r="C1" s="1118"/>
      <c r="D1" s="1118"/>
      <c r="E1" s="1119"/>
      <c r="F1" s="1086" t="s">
        <v>37</v>
      </c>
      <c r="G1" s="1087"/>
      <c r="H1" s="1087"/>
      <c r="I1" s="1087"/>
      <c r="J1" s="1087"/>
      <c r="K1" s="1087"/>
      <c r="L1" s="1087"/>
      <c r="M1" s="1087"/>
      <c r="N1" s="1087"/>
      <c r="O1" s="1084" t="s">
        <v>1</v>
      </c>
      <c r="P1" s="1123">
        <v>46262</v>
      </c>
    </row>
    <row r="2" spans="1:16" ht="55.5" customHeight="1" thickBot="1" x14ac:dyDescent="0.3">
      <c r="A2" s="1120"/>
      <c r="B2" s="1121"/>
      <c r="C2" s="1121"/>
      <c r="D2" s="1121"/>
      <c r="E2" s="1122"/>
      <c r="F2" s="1088"/>
      <c r="G2" s="1089"/>
      <c r="H2" s="1089"/>
      <c r="I2" s="1089"/>
      <c r="J2" s="1089"/>
      <c r="K2" s="1089"/>
      <c r="L2" s="1089"/>
      <c r="M2" s="1089"/>
      <c r="N2" s="1089"/>
      <c r="O2" s="1085"/>
      <c r="P2" s="1124"/>
    </row>
    <row r="3" spans="1:16" ht="81" customHeight="1" thickTop="1" thickBot="1" x14ac:dyDescent="0.3">
      <c r="A3" s="1251" t="s">
        <v>647</v>
      </c>
      <c r="B3" s="1252"/>
      <c r="C3" s="1252"/>
      <c r="D3" s="1252"/>
      <c r="E3" s="1252"/>
      <c r="F3" s="1252"/>
      <c r="G3" s="1252"/>
      <c r="H3" s="1252"/>
      <c r="I3" s="1252"/>
      <c r="J3" s="1252"/>
      <c r="K3" s="1252"/>
      <c r="L3" s="1252"/>
      <c r="M3" s="1252"/>
      <c r="N3" s="1252"/>
      <c r="O3" s="1252"/>
      <c r="P3" s="1253"/>
    </row>
    <row r="4" spans="1:16" ht="123" customHeight="1" thickTop="1" thickBot="1" x14ac:dyDescent="0.3">
      <c r="A4" s="474" t="s">
        <v>575</v>
      </c>
      <c r="B4" s="1250" t="s">
        <v>10</v>
      </c>
      <c r="C4" s="1250"/>
      <c r="D4" s="1250"/>
      <c r="E4" s="1250" t="s">
        <v>5</v>
      </c>
      <c r="F4" s="1250"/>
      <c r="G4" s="1250"/>
      <c r="H4" s="475" t="s">
        <v>6</v>
      </c>
      <c r="I4" s="476" t="s">
        <v>38</v>
      </c>
      <c r="J4" s="476" t="s">
        <v>39</v>
      </c>
      <c r="K4" s="477" t="s">
        <v>577</v>
      </c>
      <c r="L4" s="477" t="s">
        <v>41</v>
      </c>
      <c r="M4" s="477" t="s">
        <v>576</v>
      </c>
      <c r="N4" s="478" t="s">
        <v>581</v>
      </c>
      <c r="O4" s="478" t="s">
        <v>44</v>
      </c>
      <c r="P4" s="479" t="s">
        <v>617</v>
      </c>
    </row>
    <row r="5" spans="1:16" ht="71.25" customHeight="1" thickTop="1" thickBot="1" x14ac:dyDescent="0.3">
      <c r="A5" s="480">
        <v>1</v>
      </c>
      <c r="B5" s="1114" t="s">
        <v>639</v>
      </c>
      <c r="C5" s="1115"/>
      <c r="D5" s="1116"/>
      <c r="E5" s="1114" t="s">
        <v>640</v>
      </c>
      <c r="F5" s="1115"/>
      <c r="G5" s="1116"/>
      <c r="H5" s="426">
        <v>4</v>
      </c>
      <c r="I5" s="429">
        <v>160</v>
      </c>
      <c r="J5" s="429">
        <v>160</v>
      </c>
      <c r="K5" s="430">
        <f>(54*3.1415/60)*(J5)</f>
        <v>452.37600000000009</v>
      </c>
      <c r="L5" s="447">
        <v>14.12</v>
      </c>
      <c r="M5" s="447">
        <v>26.12</v>
      </c>
      <c r="N5" s="459" t="s">
        <v>583</v>
      </c>
      <c r="O5" s="431">
        <v>0.1024</v>
      </c>
      <c r="P5" s="460">
        <v>0.1895</v>
      </c>
    </row>
    <row r="6" spans="1:16" ht="71.25" customHeight="1" thickTop="1" thickBot="1" x14ac:dyDescent="0.3">
      <c r="A6" s="480">
        <v>2</v>
      </c>
      <c r="B6" s="1114" t="s">
        <v>625</v>
      </c>
      <c r="C6" s="1115"/>
      <c r="D6" s="1116"/>
      <c r="E6" s="1114" t="s">
        <v>587</v>
      </c>
      <c r="F6" s="1115"/>
      <c r="G6" s="1116"/>
      <c r="H6" s="426">
        <v>49</v>
      </c>
      <c r="I6" s="429">
        <v>8041</v>
      </c>
      <c r="J6" s="429">
        <v>8041</v>
      </c>
      <c r="K6" s="448">
        <v>33104</v>
      </c>
      <c r="L6" s="447">
        <v>739.53</v>
      </c>
      <c r="M6" s="447">
        <v>1308.33</v>
      </c>
      <c r="N6" s="459" t="s">
        <v>583</v>
      </c>
      <c r="O6" s="431">
        <v>7.3300000000000004E-2</v>
      </c>
      <c r="P6" s="460">
        <v>0.12970000000000001</v>
      </c>
    </row>
    <row r="7" spans="1:16" ht="71.25" customHeight="1" thickTop="1" thickBot="1" x14ac:dyDescent="0.3">
      <c r="A7" s="480">
        <v>3</v>
      </c>
      <c r="B7" s="1114" t="s">
        <v>804</v>
      </c>
      <c r="C7" s="1115"/>
      <c r="D7" s="1116"/>
      <c r="E7" s="1114" t="s">
        <v>805</v>
      </c>
      <c r="F7" s="1115"/>
      <c r="G7" s="1116"/>
      <c r="H7" s="426">
        <v>23</v>
      </c>
      <c r="I7" s="429">
        <v>1881</v>
      </c>
      <c r="J7" s="429">
        <v>331</v>
      </c>
      <c r="K7" s="430">
        <v>974.85</v>
      </c>
      <c r="L7" s="577">
        <v>10.87</v>
      </c>
      <c r="M7" s="577">
        <v>34.869999999999997</v>
      </c>
      <c r="N7" s="459" t="s">
        <v>582</v>
      </c>
      <c r="O7" s="431">
        <v>3.6600000000000001E-2</v>
      </c>
      <c r="P7" s="460">
        <v>0.1174</v>
      </c>
    </row>
    <row r="8" spans="1:16" ht="71.25" customHeight="1" thickTop="1" thickBot="1" x14ac:dyDescent="0.3">
      <c r="A8" s="480">
        <v>4</v>
      </c>
      <c r="B8" s="1114"/>
      <c r="C8" s="1115"/>
      <c r="D8" s="1116"/>
      <c r="E8" s="1114"/>
      <c r="F8" s="1115"/>
      <c r="G8" s="1116"/>
      <c r="H8" s="426"/>
      <c r="I8" s="429"/>
      <c r="J8" s="429"/>
      <c r="K8" s="448"/>
      <c r="L8" s="447"/>
      <c r="M8" s="447"/>
      <c r="N8" s="459"/>
      <c r="O8" s="431"/>
      <c r="P8" s="460"/>
    </row>
    <row r="9" spans="1:16" ht="71.25" customHeight="1" thickTop="1" thickBot="1" x14ac:dyDescent="0.3">
      <c r="A9" s="480">
        <v>5</v>
      </c>
      <c r="B9" s="1114"/>
      <c r="C9" s="1115"/>
      <c r="D9" s="1116"/>
      <c r="E9" s="1114"/>
      <c r="F9" s="1115"/>
      <c r="G9" s="1116"/>
      <c r="H9" s="426"/>
      <c r="I9" s="429"/>
      <c r="J9" s="429"/>
      <c r="K9" s="448"/>
      <c r="L9" s="447"/>
      <c r="M9" s="447"/>
      <c r="N9" s="459"/>
      <c r="O9" s="431"/>
      <c r="P9" s="460"/>
    </row>
    <row r="10" spans="1:16" ht="71.25" customHeight="1" thickTop="1" thickBot="1" x14ac:dyDescent="0.3">
      <c r="A10" s="480">
        <v>6</v>
      </c>
      <c r="B10" s="426"/>
      <c r="C10" s="427"/>
      <c r="D10" s="428"/>
      <c r="E10" s="426"/>
      <c r="F10" s="427"/>
      <c r="G10" s="428"/>
      <c r="H10" s="426"/>
      <c r="I10" s="429"/>
      <c r="J10" s="429"/>
      <c r="K10" s="430"/>
      <c r="L10" s="429"/>
      <c r="M10" s="429"/>
      <c r="N10" s="459"/>
      <c r="O10" s="431"/>
      <c r="P10" s="460"/>
    </row>
    <row r="11" spans="1:16" ht="71.25" customHeight="1" thickTop="1" thickBot="1" x14ac:dyDescent="0.3">
      <c r="A11" s="480">
        <v>7</v>
      </c>
      <c r="B11" s="1114"/>
      <c r="C11" s="1115"/>
      <c r="D11" s="1116"/>
      <c r="E11" s="1114"/>
      <c r="F11" s="1115"/>
      <c r="G11" s="1116"/>
      <c r="H11" s="426"/>
      <c r="I11" s="429"/>
      <c r="J11" s="429"/>
      <c r="K11" s="448"/>
      <c r="L11" s="447"/>
      <c r="M11" s="447"/>
      <c r="N11" s="459"/>
      <c r="O11" s="431"/>
      <c r="P11" s="460"/>
    </row>
    <row r="12" spans="1:16" ht="71.25" customHeight="1" thickTop="1" thickBot="1" x14ac:dyDescent="0.3">
      <c r="A12" s="480">
        <v>8</v>
      </c>
      <c r="B12" s="426"/>
      <c r="C12" s="427"/>
      <c r="D12" s="428"/>
      <c r="E12" s="426"/>
      <c r="F12" s="427"/>
      <c r="G12" s="428"/>
      <c r="H12" s="426"/>
      <c r="I12" s="429"/>
      <c r="J12" s="429"/>
      <c r="K12" s="430"/>
      <c r="L12" s="429"/>
      <c r="M12" s="429"/>
      <c r="N12" s="459"/>
      <c r="O12" s="431"/>
      <c r="P12" s="460"/>
    </row>
    <row r="13" spans="1:16" ht="71.25" customHeight="1" thickTop="1" thickBot="1" x14ac:dyDescent="0.3">
      <c r="A13" s="480">
        <v>9</v>
      </c>
      <c r="B13" s="1114"/>
      <c r="C13" s="1115"/>
      <c r="D13" s="1116"/>
      <c r="E13" s="1114"/>
      <c r="F13" s="1115"/>
      <c r="G13" s="1116"/>
      <c r="H13" s="426"/>
      <c r="I13" s="429"/>
      <c r="J13" s="429"/>
      <c r="K13" s="448"/>
      <c r="L13" s="447"/>
      <c r="M13" s="447"/>
      <c r="N13" s="459"/>
      <c r="O13" s="431"/>
      <c r="P13" s="460"/>
    </row>
    <row r="14" spans="1:16" ht="71.25" customHeight="1" thickTop="1" thickBot="1" x14ac:dyDescent="0.3">
      <c r="A14" s="480">
        <v>10</v>
      </c>
      <c r="B14" s="1114"/>
      <c r="C14" s="1115"/>
      <c r="D14" s="1116"/>
      <c r="E14" s="1114"/>
      <c r="F14" s="1115"/>
      <c r="G14" s="1116"/>
      <c r="H14" s="426"/>
      <c r="I14" s="429"/>
      <c r="J14" s="429"/>
      <c r="K14" s="448"/>
      <c r="L14" s="447"/>
      <c r="M14" s="447"/>
      <c r="N14" s="459"/>
      <c r="O14" s="431"/>
      <c r="P14" s="460"/>
    </row>
    <row r="15" spans="1:16" ht="92.25" customHeight="1" thickTop="1" thickBot="1" x14ac:dyDescent="0.3">
      <c r="A15" s="1196" t="s">
        <v>646</v>
      </c>
      <c r="B15" s="1197"/>
      <c r="C15" s="1197"/>
      <c r="D15" s="1197"/>
      <c r="E15" s="1197"/>
      <c r="F15" s="1197"/>
      <c r="G15" s="1197"/>
      <c r="H15" s="1197"/>
      <c r="I15" s="1197"/>
      <c r="J15" s="1197"/>
      <c r="K15" s="1197"/>
      <c r="L15" s="1197"/>
      <c r="M15" s="1197"/>
      <c r="N15" s="1197"/>
      <c r="O15" s="1197"/>
      <c r="P15" s="1198"/>
    </row>
    <row r="16" spans="1:16" ht="123" customHeight="1" thickTop="1" thickBot="1" x14ac:dyDescent="0.3">
      <c r="A16" s="482" t="s">
        <v>575</v>
      </c>
      <c r="B16" s="1199" t="s">
        <v>10</v>
      </c>
      <c r="C16" s="1199"/>
      <c r="D16" s="1199"/>
      <c r="E16" s="1199" t="s">
        <v>5</v>
      </c>
      <c r="F16" s="1199"/>
      <c r="G16" s="1199"/>
      <c r="H16" s="483" t="s">
        <v>6</v>
      </c>
      <c r="I16" s="484" t="s">
        <v>38</v>
      </c>
      <c r="J16" s="484" t="s">
        <v>39</v>
      </c>
      <c r="K16" s="485" t="s">
        <v>577</v>
      </c>
      <c r="L16" s="485" t="s">
        <v>41</v>
      </c>
      <c r="M16" s="485" t="s">
        <v>576</v>
      </c>
      <c r="N16" s="486" t="s">
        <v>581</v>
      </c>
      <c r="O16" s="486" t="s">
        <v>44</v>
      </c>
      <c r="P16" s="487" t="s">
        <v>617</v>
      </c>
    </row>
    <row r="17" spans="1:16" ht="71.25" customHeight="1" thickBot="1" x14ac:dyDescent="0.3">
      <c r="A17" s="420">
        <v>1</v>
      </c>
      <c r="B17" s="1114" t="s">
        <v>497</v>
      </c>
      <c r="C17" s="1115"/>
      <c r="D17" s="1116"/>
      <c r="E17" s="1114" t="s">
        <v>813</v>
      </c>
      <c r="F17" s="1115"/>
      <c r="G17" s="1116"/>
      <c r="H17" s="426">
        <v>6</v>
      </c>
      <c r="I17" s="429">
        <v>210</v>
      </c>
      <c r="J17" s="429">
        <v>210</v>
      </c>
      <c r="K17" s="430">
        <f>(54*3.1415/59)*(J17)</f>
        <v>603.80694915254242</v>
      </c>
      <c r="L17" s="578">
        <v>7.52</v>
      </c>
      <c r="M17" s="578">
        <v>7.52</v>
      </c>
      <c r="N17" s="459" t="s">
        <v>582</v>
      </c>
      <c r="O17" s="431">
        <v>4.0899999999999999E-2</v>
      </c>
      <c r="P17" s="460">
        <v>4.0899999999999999E-2</v>
      </c>
    </row>
    <row r="18" spans="1:16" ht="71.25" customHeight="1" thickTop="1" thickBot="1" x14ac:dyDescent="0.3">
      <c r="A18" s="420">
        <v>2</v>
      </c>
      <c r="B18" s="1114" t="s">
        <v>497</v>
      </c>
      <c r="C18" s="1115"/>
      <c r="D18" s="1116"/>
      <c r="E18" s="1114" t="s">
        <v>601</v>
      </c>
      <c r="F18" s="1115"/>
      <c r="G18" s="1116"/>
      <c r="H18" s="426">
        <v>22</v>
      </c>
      <c r="I18" s="429">
        <v>1220</v>
      </c>
      <c r="J18" s="429">
        <v>1220</v>
      </c>
      <c r="K18" s="448">
        <f>(60*3.1415/64)*(J18)</f>
        <v>3593.0906250000003</v>
      </c>
      <c r="L18" s="447">
        <v>25.93</v>
      </c>
      <c r="M18" s="447">
        <v>31.93</v>
      </c>
      <c r="N18" s="459" t="s">
        <v>582</v>
      </c>
      <c r="O18" s="431">
        <v>2.3599999999999999E-2</v>
      </c>
      <c r="P18" s="460">
        <v>2.9000000000000001E-2</v>
      </c>
    </row>
    <row r="19" spans="1:16" ht="71.25" customHeight="1" thickTop="1" thickBot="1" x14ac:dyDescent="0.3">
      <c r="A19" s="420">
        <v>3</v>
      </c>
      <c r="B19" s="1114" t="s">
        <v>497</v>
      </c>
      <c r="C19" s="1115"/>
      <c r="D19" s="1116"/>
      <c r="E19" s="1114" t="s">
        <v>580</v>
      </c>
      <c r="F19" s="1115"/>
      <c r="G19" s="1116"/>
      <c r="H19" s="426">
        <v>209</v>
      </c>
      <c r="I19" s="429">
        <v>10490</v>
      </c>
      <c r="J19" s="429">
        <v>10490</v>
      </c>
      <c r="K19" s="448">
        <f>(66*3.1415/64)*(J19)</f>
        <v>33984.157968749998</v>
      </c>
      <c r="L19" s="447">
        <v>111.06</v>
      </c>
      <c r="M19" s="447">
        <v>180.06</v>
      </c>
      <c r="N19" s="459" t="s">
        <v>583</v>
      </c>
      <c r="O19" s="431">
        <v>1.0699999999999999E-2</v>
      </c>
      <c r="P19" s="460">
        <v>1.7399999999999999E-2</v>
      </c>
    </row>
    <row r="20" spans="1:16" ht="71.25" customHeight="1" thickTop="1" thickBot="1" x14ac:dyDescent="0.3">
      <c r="A20" s="420">
        <v>4</v>
      </c>
      <c r="B20" s="1114" t="s">
        <v>518</v>
      </c>
      <c r="C20" s="1115"/>
      <c r="D20" s="1116"/>
      <c r="E20" s="1114" t="s">
        <v>603</v>
      </c>
      <c r="F20" s="1115"/>
      <c r="G20" s="1116"/>
      <c r="H20" s="426">
        <v>108</v>
      </c>
      <c r="I20" s="429">
        <v>5270</v>
      </c>
      <c r="J20" s="429">
        <v>5270</v>
      </c>
      <c r="K20" s="448">
        <f>(68*3.1415/64)*(J20)</f>
        <v>17590.436562500003</v>
      </c>
      <c r="L20" s="447">
        <v>53.32</v>
      </c>
      <c r="M20" s="447">
        <v>90.82</v>
      </c>
      <c r="N20" s="459" t="s">
        <v>582</v>
      </c>
      <c r="O20" s="431">
        <v>9.9000000000000008E-3</v>
      </c>
      <c r="P20" s="460">
        <v>1.6899999999999998E-2</v>
      </c>
    </row>
    <row r="21" spans="1:16" ht="71.25" customHeight="1" thickTop="1" thickBot="1" x14ac:dyDescent="0.3">
      <c r="A21" s="420">
        <v>5</v>
      </c>
      <c r="B21" s="1114" t="s">
        <v>518</v>
      </c>
      <c r="C21" s="1115"/>
      <c r="D21" s="1116"/>
      <c r="E21" s="1114" t="s">
        <v>600</v>
      </c>
      <c r="F21" s="1115"/>
      <c r="G21" s="1116"/>
      <c r="H21" s="426">
        <v>15</v>
      </c>
      <c r="I21" s="429">
        <v>905</v>
      </c>
      <c r="J21" s="429">
        <v>455</v>
      </c>
      <c r="K21" s="448">
        <f>(78*3.1415/44)*(J21)</f>
        <v>2533.9053409090911</v>
      </c>
      <c r="L21" s="548">
        <v>6.4</v>
      </c>
      <c r="M21" s="548">
        <v>10.9</v>
      </c>
      <c r="N21" s="459" t="s">
        <v>582</v>
      </c>
      <c r="O21" s="431">
        <v>8.3000000000000001E-3</v>
      </c>
      <c r="P21" s="460">
        <v>1.41E-2</v>
      </c>
    </row>
    <row r="22" spans="1:16" ht="71.25" customHeight="1" thickTop="1" thickBot="1" x14ac:dyDescent="0.3">
      <c r="A22" s="420">
        <v>6</v>
      </c>
      <c r="B22" s="1114" t="s">
        <v>518</v>
      </c>
      <c r="C22" s="1115"/>
      <c r="D22" s="1116"/>
      <c r="E22" s="1114" t="s">
        <v>599</v>
      </c>
      <c r="F22" s="1115"/>
      <c r="G22" s="1116"/>
      <c r="H22" s="426">
        <v>16</v>
      </c>
      <c r="I22" s="429">
        <v>875</v>
      </c>
      <c r="J22" s="429">
        <v>875</v>
      </c>
      <c r="K22" s="448">
        <f>(84*3.1415/59)*(J22)</f>
        <v>3913.5635593220345</v>
      </c>
      <c r="L22" s="447">
        <v>6.1</v>
      </c>
      <c r="M22" s="447">
        <v>15.1</v>
      </c>
      <c r="N22" s="459" t="s">
        <v>583</v>
      </c>
      <c r="O22" s="431">
        <v>5.1000000000000004E-3</v>
      </c>
      <c r="P22" s="460">
        <v>9.4000000000000004E-3</v>
      </c>
    </row>
    <row r="23" spans="1:16" ht="71.25" customHeight="1" thickTop="1" thickBot="1" x14ac:dyDescent="0.3">
      <c r="A23" s="420">
        <v>7</v>
      </c>
      <c r="B23" s="1114" t="s">
        <v>518</v>
      </c>
      <c r="C23" s="1115"/>
      <c r="D23" s="1116"/>
      <c r="E23" s="1114" t="s">
        <v>602</v>
      </c>
      <c r="F23" s="1115"/>
      <c r="G23" s="1116"/>
      <c r="H23" s="426">
        <v>8</v>
      </c>
      <c r="I23" s="429">
        <v>440</v>
      </c>
      <c r="J23" s="429">
        <v>440</v>
      </c>
      <c r="K23" s="448">
        <f>(72*3.1415/44)*(J23)</f>
        <v>2261.88</v>
      </c>
      <c r="L23" s="447">
        <v>7.21</v>
      </c>
      <c r="M23" s="447">
        <v>10.210000000000001</v>
      </c>
      <c r="N23" s="459" t="s">
        <v>583</v>
      </c>
      <c r="O23" s="431">
        <v>1.0500000000000001E-2</v>
      </c>
      <c r="P23" s="460">
        <v>1.4800000000000001E-2</v>
      </c>
    </row>
    <row r="24" spans="1:16" ht="71.25" customHeight="1" thickTop="1" thickBot="1" x14ac:dyDescent="0.3">
      <c r="A24" s="420">
        <v>8</v>
      </c>
      <c r="B24" s="1114" t="s">
        <v>518</v>
      </c>
      <c r="C24" s="1115"/>
      <c r="D24" s="1116"/>
      <c r="E24" s="1114" t="s">
        <v>588</v>
      </c>
      <c r="F24" s="1115"/>
      <c r="G24" s="1116"/>
      <c r="H24" s="426">
        <v>6</v>
      </c>
      <c r="I24" s="429">
        <v>235</v>
      </c>
      <c r="J24" s="429">
        <v>235</v>
      </c>
      <c r="K24" s="448">
        <f>(84*3.1415/59)*(J24)</f>
        <v>1051.0713559322035</v>
      </c>
      <c r="L24" s="447">
        <v>2.46</v>
      </c>
      <c r="M24" s="447">
        <v>3.96</v>
      </c>
      <c r="N24" s="459" t="s">
        <v>583</v>
      </c>
      <c r="O24" s="431">
        <v>7.7000000000000002E-3</v>
      </c>
      <c r="P24" s="460">
        <v>1.24E-2</v>
      </c>
    </row>
    <row r="25" spans="1:16" ht="71.25" customHeight="1" thickTop="1" thickBot="1" x14ac:dyDescent="0.3">
      <c r="A25" s="420">
        <v>9</v>
      </c>
      <c r="B25" s="1114" t="s">
        <v>518</v>
      </c>
      <c r="C25" s="1115"/>
      <c r="D25" s="1116"/>
      <c r="E25" s="1114" t="s">
        <v>589</v>
      </c>
      <c r="F25" s="1115"/>
      <c r="G25" s="1116"/>
      <c r="H25" s="426">
        <v>12</v>
      </c>
      <c r="I25" s="429">
        <v>500</v>
      </c>
      <c r="J25" s="429">
        <v>500</v>
      </c>
      <c r="K25" s="448">
        <f>(90*3.1415/59)*(J25)</f>
        <v>2396.0593220338983</v>
      </c>
      <c r="L25" s="447">
        <v>39.85</v>
      </c>
      <c r="M25" s="447">
        <v>47.35</v>
      </c>
      <c r="N25" s="459" t="s">
        <v>583</v>
      </c>
      <c r="O25" s="431">
        <v>5.4600000000000003E-2</v>
      </c>
      <c r="P25" s="460">
        <v>6.4799999999999996E-2</v>
      </c>
    </row>
    <row r="26" spans="1:16" ht="71.25" customHeight="1" thickTop="1" thickBot="1" x14ac:dyDescent="0.3">
      <c r="A26" s="420">
        <v>10</v>
      </c>
      <c r="B26" s="1114" t="s">
        <v>590</v>
      </c>
      <c r="C26" s="1115"/>
      <c r="D26" s="1116"/>
      <c r="E26" s="1114" t="s">
        <v>599</v>
      </c>
      <c r="F26" s="1115"/>
      <c r="G26" s="1116"/>
      <c r="H26" s="426">
        <v>39</v>
      </c>
      <c r="I26" s="429">
        <v>2085</v>
      </c>
      <c r="J26" s="429">
        <v>2085</v>
      </c>
      <c r="K26" s="448">
        <f>(84*3.1415/59)*(J26)</f>
        <v>9325.4628813559339</v>
      </c>
      <c r="L26" s="447">
        <v>16.38</v>
      </c>
      <c r="M26" s="447">
        <v>40.380000000000003</v>
      </c>
      <c r="N26" s="459" t="s">
        <v>583</v>
      </c>
      <c r="O26" s="431">
        <v>5.7999999999999996E-3</v>
      </c>
      <c r="P26" s="460">
        <v>1.4200000000000001E-2</v>
      </c>
    </row>
    <row r="27" spans="1:16" ht="71.25" customHeight="1" thickTop="1" thickBot="1" x14ac:dyDescent="0.3">
      <c r="A27" s="420">
        <v>10</v>
      </c>
      <c r="B27" s="1114" t="s">
        <v>590</v>
      </c>
      <c r="C27" s="1115"/>
      <c r="D27" s="1116"/>
      <c r="E27" s="1114" t="s">
        <v>671</v>
      </c>
      <c r="F27" s="1115"/>
      <c r="G27" s="1116"/>
      <c r="H27" s="426">
        <v>24</v>
      </c>
      <c r="I27" s="429">
        <v>1005</v>
      </c>
      <c r="J27" s="429">
        <v>542.5</v>
      </c>
      <c r="K27" s="448">
        <f>(84*3.1415/59)*(J27)</f>
        <v>2426.4094067796614</v>
      </c>
      <c r="L27" s="447">
        <v>17.649999999999999</v>
      </c>
      <c r="M27" s="447">
        <v>28.15</v>
      </c>
      <c r="N27" s="459" t="s">
        <v>582</v>
      </c>
      <c r="O27" s="431">
        <v>2.3900000000000001E-2</v>
      </c>
      <c r="P27" s="460">
        <v>3.8100000000000002E-2</v>
      </c>
    </row>
    <row r="28" spans="1:16" ht="71.25" customHeight="1" thickTop="1" thickBot="1" x14ac:dyDescent="0.3">
      <c r="A28" s="420">
        <v>11</v>
      </c>
      <c r="B28" s="1114" t="s">
        <v>590</v>
      </c>
      <c r="C28" s="1115"/>
      <c r="D28" s="1116"/>
      <c r="E28" s="1114" t="s">
        <v>589</v>
      </c>
      <c r="F28" s="1115"/>
      <c r="G28" s="1116"/>
      <c r="H28" s="426">
        <v>54</v>
      </c>
      <c r="I28" s="429">
        <v>2760</v>
      </c>
      <c r="J28" s="429">
        <v>2760</v>
      </c>
      <c r="K28" s="448">
        <f>(90*3.1415/59)*(J28)</f>
        <v>13226.24745762712</v>
      </c>
      <c r="L28" s="447">
        <v>74.069999999999993</v>
      </c>
      <c r="M28" s="447">
        <v>113.07</v>
      </c>
      <c r="N28" s="459" t="s">
        <v>583</v>
      </c>
      <c r="O28" s="431">
        <v>1.84E-2</v>
      </c>
      <c r="P28" s="460">
        <v>2.8000000000000001E-2</v>
      </c>
    </row>
    <row r="29" spans="1:16" ht="71.25" customHeight="1" thickTop="1" thickBot="1" x14ac:dyDescent="0.3">
      <c r="A29" s="420">
        <v>12</v>
      </c>
      <c r="B29" s="1114" t="s">
        <v>524</v>
      </c>
      <c r="C29" s="1115"/>
      <c r="D29" s="1116"/>
      <c r="E29" s="1114" t="s">
        <v>584</v>
      </c>
      <c r="F29" s="1115"/>
      <c r="G29" s="1116"/>
      <c r="H29" s="426">
        <v>30</v>
      </c>
      <c r="I29" s="429">
        <v>2940</v>
      </c>
      <c r="J29" s="429">
        <v>2940</v>
      </c>
      <c r="K29" s="448">
        <f>(60*3.1415/59)*(J29)</f>
        <v>9392.5525423728814</v>
      </c>
      <c r="L29" s="447">
        <v>244.25</v>
      </c>
      <c r="M29" s="447">
        <v>290.75</v>
      </c>
      <c r="N29" s="459" t="s">
        <v>583</v>
      </c>
      <c r="O29" s="431">
        <v>8.5300000000000001E-2</v>
      </c>
      <c r="P29" s="460">
        <v>0.1016</v>
      </c>
    </row>
    <row r="30" spans="1:16" ht="71.25" customHeight="1" thickTop="1" thickBot="1" x14ac:dyDescent="0.3">
      <c r="A30" s="420">
        <v>13</v>
      </c>
      <c r="B30" s="1174" t="s">
        <v>585</v>
      </c>
      <c r="C30" s="1175"/>
      <c r="D30" s="1176"/>
      <c r="E30" s="1114" t="s">
        <v>579</v>
      </c>
      <c r="F30" s="1115"/>
      <c r="G30" s="1116"/>
      <c r="H30" s="426">
        <v>108</v>
      </c>
      <c r="I30" s="429">
        <v>14004.36</v>
      </c>
      <c r="J30" s="429">
        <v>14004.36</v>
      </c>
      <c r="K30" s="448">
        <f>(72*3.1415/59)*(J30)</f>
        <v>53688.443723389835</v>
      </c>
      <c r="L30" s="447">
        <v>477.38</v>
      </c>
      <c r="M30" s="447">
        <v>751.88</v>
      </c>
      <c r="N30" s="459" t="s">
        <v>583</v>
      </c>
      <c r="O30" s="431">
        <v>2.92E-2</v>
      </c>
      <c r="P30" s="460">
        <v>4.5900000000000003E-2</v>
      </c>
    </row>
    <row r="31" spans="1:16" ht="71.25" customHeight="1" thickTop="1" thickBot="1" x14ac:dyDescent="0.3">
      <c r="A31" s="420">
        <v>14</v>
      </c>
      <c r="B31" s="1114" t="s">
        <v>543</v>
      </c>
      <c r="C31" s="1115"/>
      <c r="D31" s="1116"/>
      <c r="E31" s="1114" t="s">
        <v>586</v>
      </c>
      <c r="F31" s="1115"/>
      <c r="G31" s="1116"/>
      <c r="H31" s="426">
        <v>25</v>
      </c>
      <c r="I31" s="429">
        <v>3125</v>
      </c>
      <c r="J31" s="429">
        <v>3125</v>
      </c>
      <c r="K31" s="448">
        <f>(66*3.1415/59)*(J31)</f>
        <v>10981.938559322034</v>
      </c>
      <c r="L31" s="447">
        <v>52.99</v>
      </c>
      <c r="M31" s="447">
        <v>90.49</v>
      </c>
      <c r="N31" s="459" t="s">
        <v>583</v>
      </c>
      <c r="O31" s="431">
        <v>1.5800000000000002E-2</v>
      </c>
      <c r="P31" s="460">
        <v>2.7E-2</v>
      </c>
    </row>
    <row r="32" spans="1:16" ht="71.25" customHeight="1" thickTop="1" thickBot="1" x14ac:dyDescent="0.3">
      <c r="A32" s="420">
        <v>15</v>
      </c>
      <c r="B32" s="1114" t="s">
        <v>595</v>
      </c>
      <c r="C32" s="1115"/>
      <c r="D32" s="1116"/>
      <c r="E32" s="1114" t="s">
        <v>593</v>
      </c>
      <c r="F32" s="1115"/>
      <c r="G32" s="1116"/>
      <c r="H32" s="426">
        <v>8</v>
      </c>
      <c r="I32" s="429">
        <v>480</v>
      </c>
      <c r="J32" s="429">
        <v>480</v>
      </c>
      <c r="K32" s="448">
        <f>(42*3.1415/59)*(J32)</f>
        <v>1073.4345762711866</v>
      </c>
      <c r="L32" s="447">
        <v>12.42</v>
      </c>
      <c r="M32" s="447">
        <v>16.920000000000002</v>
      </c>
      <c r="N32" s="459" t="s">
        <v>583</v>
      </c>
      <c r="O32" s="431">
        <v>3.7999999999999999E-2</v>
      </c>
      <c r="P32" s="460">
        <v>5.1700000000000003E-2</v>
      </c>
    </row>
    <row r="33" spans="1:23" ht="71.25" customHeight="1" thickTop="1" thickBot="1" x14ac:dyDescent="0.3">
      <c r="A33" s="420">
        <v>16</v>
      </c>
      <c r="B33" s="1114" t="s">
        <v>596</v>
      </c>
      <c r="C33" s="1115"/>
      <c r="D33" s="1116"/>
      <c r="E33" s="1114" t="s">
        <v>597</v>
      </c>
      <c r="F33" s="1115"/>
      <c r="G33" s="1116"/>
      <c r="H33" s="426">
        <v>14</v>
      </c>
      <c r="I33" s="429">
        <v>1624</v>
      </c>
      <c r="J33" s="429">
        <v>1624</v>
      </c>
      <c r="K33" s="448">
        <f>(36*3.1415/59)*(J33)</f>
        <v>3112.9602711864409</v>
      </c>
      <c r="L33" s="447">
        <v>20.7</v>
      </c>
      <c r="M33" s="447">
        <v>26.7</v>
      </c>
      <c r="N33" s="459" t="s">
        <v>583</v>
      </c>
      <c r="O33" s="431">
        <v>2.18E-2</v>
      </c>
      <c r="P33" s="460">
        <v>2.81E-2</v>
      </c>
    </row>
    <row r="34" spans="1:23" ht="71.25" customHeight="1" thickTop="1" thickBot="1" x14ac:dyDescent="0.3">
      <c r="A34" s="420">
        <v>17</v>
      </c>
      <c r="B34" s="1114" t="s">
        <v>598</v>
      </c>
      <c r="C34" s="1115"/>
      <c r="D34" s="1116"/>
      <c r="E34" s="1114" t="s">
        <v>597</v>
      </c>
      <c r="F34" s="1115"/>
      <c r="G34" s="1116"/>
      <c r="H34" s="426">
        <v>89</v>
      </c>
      <c r="I34" s="429">
        <v>5843</v>
      </c>
      <c r="J34" s="429">
        <v>5843</v>
      </c>
      <c r="K34" s="448">
        <f>(36*3.1415/59)*(J34)</f>
        <v>11200.139694915255</v>
      </c>
      <c r="L34" s="447">
        <v>72.38</v>
      </c>
      <c r="M34" s="447">
        <v>108.38</v>
      </c>
      <c r="N34" s="459" t="s">
        <v>583</v>
      </c>
      <c r="O34" s="431">
        <v>2.12E-2</v>
      </c>
      <c r="P34" s="460">
        <v>3.1699999999999999E-2</v>
      </c>
    </row>
    <row r="35" spans="1:23" ht="71.25" customHeight="1" thickTop="1" thickBot="1" x14ac:dyDescent="0.3">
      <c r="A35" s="420">
        <v>18</v>
      </c>
      <c r="B35" s="1114" t="s">
        <v>778</v>
      </c>
      <c r="C35" s="1115"/>
      <c r="D35" s="1116"/>
      <c r="E35" s="1114" t="s">
        <v>593</v>
      </c>
      <c r="F35" s="1115"/>
      <c r="G35" s="1116"/>
      <c r="H35" s="426">
        <v>72</v>
      </c>
      <c r="I35" s="429">
        <v>4120</v>
      </c>
      <c r="J35" s="429">
        <v>1150</v>
      </c>
      <c r="K35" s="448">
        <f>(42*3.1415/59)*(J35)</f>
        <v>2571.7703389830513</v>
      </c>
      <c r="L35" s="447">
        <v>11.68</v>
      </c>
      <c r="M35" s="447">
        <v>20.68</v>
      </c>
      <c r="N35" s="459" t="s">
        <v>582</v>
      </c>
      <c r="O35" s="431">
        <v>1.49E-2</v>
      </c>
      <c r="P35" s="460">
        <v>2.64E-2</v>
      </c>
    </row>
    <row r="36" spans="1:23" ht="71.25" customHeight="1" thickTop="1" thickBot="1" x14ac:dyDescent="0.3">
      <c r="A36" s="420">
        <v>19</v>
      </c>
      <c r="B36" s="1114" t="s">
        <v>592</v>
      </c>
      <c r="C36" s="1115"/>
      <c r="D36" s="1116"/>
      <c r="E36" s="1114" t="s">
        <v>593</v>
      </c>
      <c r="F36" s="1115"/>
      <c r="G36" s="1116"/>
      <c r="H36" s="426">
        <v>48</v>
      </c>
      <c r="I36" s="429">
        <v>6279.84</v>
      </c>
      <c r="J36" s="429">
        <v>6279.84</v>
      </c>
      <c r="K36" s="448">
        <f>(42*3.1415/59)*(J36)</f>
        <v>14043.744561355934</v>
      </c>
      <c r="L36" s="447">
        <v>94.3</v>
      </c>
      <c r="M36" s="447">
        <v>166.3</v>
      </c>
      <c r="N36" s="459" t="s">
        <v>582</v>
      </c>
      <c r="O36" s="431">
        <v>2.1999999999999999E-2</v>
      </c>
      <c r="P36" s="460">
        <v>3.8899999999999997E-2</v>
      </c>
    </row>
    <row r="37" spans="1:23" ht="71.25" customHeight="1" thickTop="1" thickBot="1" x14ac:dyDescent="0.3">
      <c r="A37" s="420">
        <v>20</v>
      </c>
      <c r="B37" s="1114" t="s">
        <v>592</v>
      </c>
      <c r="C37" s="1115"/>
      <c r="D37" s="1116"/>
      <c r="E37" s="1114" t="s">
        <v>594</v>
      </c>
      <c r="F37" s="1115"/>
      <c r="G37" s="1116"/>
      <c r="H37" s="426">
        <v>54</v>
      </c>
      <c r="I37" s="429">
        <v>6529.45</v>
      </c>
      <c r="J37" s="429">
        <v>6529.45</v>
      </c>
      <c r="K37" s="448">
        <f>(36*3.1415/59)*(J37)</f>
        <v>12515.95963220339</v>
      </c>
      <c r="L37" s="447">
        <v>87.98</v>
      </c>
      <c r="M37" s="447">
        <v>152.47999999999999</v>
      </c>
      <c r="N37" s="459" t="s">
        <v>582</v>
      </c>
      <c r="O37" s="431">
        <v>2.3099999999999999E-2</v>
      </c>
      <c r="P37" s="460">
        <v>0.04</v>
      </c>
    </row>
    <row r="38" spans="1:23" ht="71.25" customHeight="1" thickTop="1" thickBot="1" x14ac:dyDescent="0.3">
      <c r="A38" s="420">
        <v>21</v>
      </c>
      <c r="B38" s="1114" t="s">
        <v>590</v>
      </c>
      <c r="C38" s="1115"/>
      <c r="D38" s="1116"/>
      <c r="E38" s="1114" t="s">
        <v>745</v>
      </c>
      <c r="F38" s="1115"/>
      <c r="G38" s="1116"/>
      <c r="H38" s="426">
        <v>3</v>
      </c>
      <c r="I38" s="429">
        <v>135</v>
      </c>
      <c r="J38" s="429">
        <v>90</v>
      </c>
      <c r="K38" s="448">
        <f>(78*3.1415/59)*(J38)</f>
        <v>373.78525423728814</v>
      </c>
      <c r="L38" s="447">
        <v>0.86</v>
      </c>
      <c r="M38" s="447">
        <v>2.36</v>
      </c>
      <c r="N38" s="459" t="s">
        <v>582</v>
      </c>
      <c r="O38" s="431">
        <v>7.6E-3</v>
      </c>
      <c r="P38" s="460">
        <v>2.07E-2</v>
      </c>
    </row>
    <row r="39" spans="1:23" ht="71.25" customHeight="1" thickTop="1" thickBot="1" x14ac:dyDescent="0.3">
      <c r="A39" s="420">
        <v>23</v>
      </c>
      <c r="B39" s="1114" t="s">
        <v>518</v>
      </c>
      <c r="C39" s="1115"/>
      <c r="D39" s="1116"/>
      <c r="E39" s="1114" t="s">
        <v>687</v>
      </c>
      <c r="F39" s="1115"/>
      <c r="G39" s="1116"/>
      <c r="H39" s="426">
        <v>4</v>
      </c>
      <c r="I39" s="429">
        <v>175</v>
      </c>
      <c r="J39" s="429">
        <v>135</v>
      </c>
      <c r="K39" s="448">
        <f>(96*3.1415/59)*(J39)</f>
        <v>690.06508474576265</v>
      </c>
      <c r="L39" s="447">
        <v>3.94</v>
      </c>
      <c r="M39" s="447">
        <v>6.94</v>
      </c>
      <c r="N39" s="459" t="s">
        <v>582</v>
      </c>
      <c r="O39" s="431">
        <v>1.8700000000000001E-2</v>
      </c>
      <c r="P39" s="460">
        <v>3.3000000000000002E-2</v>
      </c>
    </row>
    <row r="40" spans="1:23" ht="71.25" customHeight="1" thickTop="1" thickBot="1" x14ac:dyDescent="0.3">
      <c r="A40" s="420">
        <v>24</v>
      </c>
      <c r="B40" s="1114" t="s">
        <v>690</v>
      </c>
      <c r="C40" s="1115"/>
      <c r="D40" s="1116"/>
      <c r="E40" s="1114" t="s">
        <v>691</v>
      </c>
      <c r="F40" s="1115"/>
      <c r="G40" s="1116"/>
      <c r="H40" s="426">
        <v>120</v>
      </c>
      <c r="I40" s="429">
        <v>10540</v>
      </c>
      <c r="J40" s="429">
        <v>10377</v>
      </c>
      <c r="K40" s="448">
        <f>(42*3.1415/59)*(J40)</f>
        <v>23206.313745762716</v>
      </c>
      <c r="L40" s="447">
        <v>89.84</v>
      </c>
      <c r="M40" s="447">
        <v>202.34</v>
      </c>
      <c r="N40" s="459" t="s">
        <v>582</v>
      </c>
      <c r="O40" s="431">
        <v>1.2699999999999999E-2</v>
      </c>
      <c r="P40" s="460">
        <v>2.86E-2</v>
      </c>
    </row>
    <row r="41" spans="1:23" ht="71.25" customHeight="1" thickTop="1" thickBot="1" x14ac:dyDescent="0.3">
      <c r="A41" s="420">
        <v>25</v>
      </c>
      <c r="B41" s="1114" t="s">
        <v>740</v>
      </c>
      <c r="C41" s="1115"/>
      <c r="D41" s="1116"/>
      <c r="E41" s="1114" t="s">
        <v>741</v>
      </c>
      <c r="F41" s="1115"/>
      <c r="G41" s="1116"/>
      <c r="H41" s="426">
        <v>676</v>
      </c>
      <c r="I41" s="429">
        <v>44598.5</v>
      </c>
      <c r="J41" s="429">
        <v>6234</v>
      </c>
      <c r="K41" s="448">
        <f>(36*3.1415/59)*(J41)</f>
        <v>11949.627050847459</v>
      </c>
      <c r="L41" s="447">
        <v>24.54</v>
      </c>
      <c r="M41" s="447">
        <v>45.54</v>
      </c>
      <c r="N41" s="459" t="s">
        <v>582</v>
      </c>
      <c r="O41" s="431">
        <v>6.7000000000000002E-3</v>
      </c>
      <c r="P41" s="460">
        <v>1.2500000000000001E-2</v>
      </c>
    </row>
    <row r="42" spans="1:23" ht="121.5" customHeight="1" thickTop="1" thickBot="1" x14ac:dyDescent="0.3">
      <c r="A42" s="1177" t="s">
        <v>578</v>
      </c>
      <c r="B42" s="1178"/>
      <c r="C42" s="1178"/>
      <c r="D42" s="1179"/>
      <c r="E42" s="421"/>
      <c r="F42" s="421"/>
      <c r="G42" s="421"/>
      <c r="H42" s="421"/>
      <c r="I42" s="421"/>
      <c r="J42" s="421"/>
      <c r="K42" s="421"/>
      <c r="L42" s="421"/>
      <c r="M42" s="421"/>
      <c r="N42" s="421"/>
      <c r="O42" s="421"/>
      <c r="P42" s="446"/>
      <c r="U42" s="21"/>
      <c r="V42" s="17"/>
      <c r="W42" s="17"/>
    </row>
    <row r="43" spans="1:23" s="13" customFormat="1" ht="66" customHeight="1" thickTop="1" x14ac:dyDescent="0.25">
      <c r="A43" s="1229" t="s">
        <v>641</v>
      </c>
      <c r="B43" s="1230"/>
      <c r="C43" s="1230"/>
      <c r="D43" s="1230"/>
      <c r="E43" s="1230"/>
      <c r="F43" s="1230"/>
      <c r="G43" s="1230"/>
      <c r="H43" s="1230"/>
      <c r="I43" s="1230"/>
      <c r="J43" s="1230"/>
      <c r="K43" s="1230"/>
      <c r="L43" s="1230"/>
      <c r="M43" s="1230"/>
      <c r="N43" s="1230"/>
      <c r="O43" s="1230"/>
      <c r="P43" s="1231"/>
      <c r="U43" s="16"/>
      <c r="V43" s="492"/>
      <c r="W43" s="492"/>
    </row>
    <row r="44" spans="1:23" s="13" customFormat="1" ht="39" customHeight="1" x14ac:dyDescent="0.25">
      <c r="A44" s="1232" t="s">
        <v>648</v>
      </c>
      <c r="B44" s="1233"/>
      <c r="C44" s="1233"/>
      <c r="D44" s="1233"/>
      <c r="E44" s="1233"/>
      <c r="F44" s="1233"/>
      <c r="G44" s="1233"/>
      <c r="H44" s="1201">
        <f>C61</f>
        <v>2.4428524239994594E-2</v>
      </c>
      <c r="I44" s="1201"/>
      <c r="J44" s="1201"/>
      <c r="K44" s="1202"/>
      <c r="L44" s="1238" t="s">
        <v>650</v>
      </c>
      <c r="M44" s="1233"/>
      <c r="N44" s="1233"/>
      <c r="O44" s="1201">
        <f>F61</f>
        <v>4.0646791090438596E-2</v>
      </c>
      <c r="P44" s="1226"/>
      <c r="U44" s="16"/>
      <c r="V44" s="492"/>
      <c r="W44" s="492"/>
    </row>
    <row r="45" spans="1:23" s="13" customFormat="1" ht="33" customHeight="1" x14ac:dyDescent="0.25">
      <c r="A45" s="1234"/>
      <c r="B45" s="1235"/>
      <c r="C45" s="1235"/>
      <c r="D45" s="1235"/>
      <c r="E45" s="1235"/>
      <c r="F45" s="1235"/>
      <c r="G45" s="1235"/>
      <c r="H45" s="1203"/>
      <c r="I45" s="1203"/>
      <c r="J45" s="1203"/>
      <c r="K45" s="1204"/>
      <c r="L45" s="1239"/>
      <c r="M45" s="1235"/>
      <c r="N45" s="1235"/>
      <c r="O45" s="1203"/>
      <c r="P45" s="1227"/>
      <c r="U45" s="16"/>
      <c r="V45" s="492"/>
      <c r="W45" s="492"/>
    </row>
    <row r="46" spans="1:23" s="13" customFormat="1" ht="39" customHeight="1" thickBot="1" x14ac:dyDescent="0.3">
      <c r="A46" s="1236"/>
      <c r="B46" s="1237"/>
      <c r="C46" s="1237"/>
      <c r="D46" s="1237"/>
      <c r="E46" s="1237"/>
      <c r="F46" s="1237"/>
      <c r="G46" s="1237"/>
      <c r="H46" s="1205"/>
      <c r="I46" s="1205"/>
      <c r="J46" s="1205"/>
      <c r="K46" s="1206"/>
      <c r="L46" s="1240"/>
      <c r="M46" s="1237"/>
      <c r="N46" s="1237"/>
      <c r="O46" s="1205"/>
      <c r="P46" s="1228"/>
      <c r="U46" s="16"/>
      <c r="V46" s="492"/>
      <c r="W46" s="492"/>
    </row>
    <row r="47" spans="1:23" s="13" customFormat="1" ht="66" customHeight="1" x14ac:dyDescent="0.25">
      <c r="A47" s="1241" t="s">
        <v>645</v>
      </c>
      <c r="B47" s="1242"/>
      <c r="C47" s="1242"/>
      <c r="D47" s="1242"/>
      <c r="E47" s="1242"/>
      <c r="F47" s="1242"/>
      <c r="G47" s="1242"/>
      <c r="H47" s="1242"/>
      <c r="I47" s="1242"/>
      <c r="J47" s="1242"/>
      <c r="K47" s="1242"/>
      <c r="L47" s="1242"/>
      <c r="M47" s="1242"/>
      <c r="N47" s="1242"/>
      <c r="O47" s="1242"/>
      <c r="P47" s="1243"/>
      <c r="U47" s="16"/>
      <c r="V47" s="492"/>
      <c r="W47" s="492"/>
    </row>
    <row r="48" spans="1:23" s="13" customFormat="1" ht="39" customHeight="1" x14ac:dyDescent="0.25">
      <c r="A48" s="1244" t="s">
        <v>651</v>
      </c>
      <c r="B48" s="1245"/>
      <c r="C48" s="1245"/>
      <c r="D48" s="1245"/>
      <c r="E48" s="1245"/>
      <c r="F48" s="1245"/>
      <c r="G48" s="1245"/>
      <c r="H48" s="1201">
        <f>I61</f>
        <v>2.0703687871838732E-2</v>
      </c>
      <c r="I48" s="1201"/>
      <c r="J48" s="1201"/>
      <c r="K48" s="1202"/>
      <c r="L48" s="1207" t="s">
        <v>649</v>
      </c>
      <c r="M48" s="1208"/>
      <c r="N48" s="1208"/>
      <c r="O48" s="1201">
        <f>J61</f>
        <v>7.2641212333439897E-2</v>
      </c>
      <c r="P48" s="1226"/>
      <c r="U48" s="16"/>
      <c r="V48" s="492"/>
      <c r="W48" s="492"/>
    </row>
    <row r="49" spans="1:23" s="13" customFormat="1" ht="39" customHeight="1" x14ac:dyDescent="0.25">
      <c r="A49" s="1246"/>
      <c r="B49" s="1247"/>
      <c r="C49" s="1247"/>
      <c r="D49" s="1247"/>
      <c r="E49" s="1247"/>
      <c r="F49" s="1247"/>
      <c r="G49" s="1247"/>
      <c r="H49" s="1203"/>
      <c r="I49" s="1203"/>
      <c r="J49" s="1203"/>
      <c r="K49" s="1204"/>
      <c r="L49" s="1209"/>
      <c r="M49" s="1210"/>
      <c r="N49" s="1210"/>
      <c r="O49" s="1203"/>
      <c r="P49" s="1227"/>
      <c r="U49" s="16"/>
      <c r="V49" s="492"/>
      <c r="W49" s="492"/>
    </row>
    <row r="50" spans="1:23" s="13" customFormat="1" ht="39" customHeight="1" thickBot="1" x14ac:dyDescent="0.3">
      <c r="A50" s="1248"/>
      <c r="B50" s="1249"/>
      <c r="C50" s="1249"/>
      <c r="D50" s="1249"/>
      <c r="E50" s="1249"/>
      <c r="F50" s="1249"/>
      <c r="G50" s="1249"/>
      <c r="H50" s="1205"/>
      <c r="I50" s="1205"/>
      <c r="J50" s="1205"/>
      <c r="K50" s="1206"/>
      <c r="L50" s="1211"/>
      <c r="M50" s="1212"/>
      <c r="N50" s="1212"/>
      <c r="O50" s="1205"/>
      <c r="P50" s="1228"/>
      <c r="U50" s="16"/>
      <c r="V50" s="492"/>
      <c r="W50" s="492"/>
    </row>
    <row r="51" spans="1:23" ht="267" customHeight="1" thickTop="1" x14ac:dyDescent="0.25">
      <c r="A51" s="1126"/>
      <c r="B51" s="1127"/>
      <c r="C51" s="1127"/>
      <c r="D51" s="1127"/>
      <c r="E51" s="1127"/>
      <c r="F51" s="1127"/>
      <c r="G51" s="1127"/>
      <c r="H51" s="1127"/>
      <c r="I51" s="1127"/>
      <c r="J51" s="1127"/>
      <c r="K51" s="1127"/>
      <c r="L51" s="1127"/>
      <c r="M51" s="1127"/>
      <c r="N51" s="1127"/>
      <c r="O51" s="1127"/>
      <c r="P51" s="1128"/>
      <c r="U51" s="21"/>
      <c r="V51" s="17"/>
      <c r="W51" s="17"/>
    </row>
    <row r="52" spans="1:23" ht="267" customHeight="1" thickBot="1" x14ac:dyDescent="0.3">
      <c r="A52" s="1129"/>
      <c r="B52" s="1130"/>
      <c r="C52" s="1130"/>
      <c r="D52" s="1130"/>
      <c r="E52" s="1130"/>
      <c r="F52" s="1130"/>
      <c r="G52" s="1130"/>
      <c r="H52" s="1130"/>
      <c r="I52" s="1130"/>
      <c r="J52" s="1130"/>
      <c r="K52" s="1130"/>
      <c r="L52" s="1130"/>
      <c r="M52" s="1130"/>
      <c r="N52" s="1130"/>
      <c r="O52" s="1130"/>
      <c r="P52" s="1131"/>
      <c r="U52" s="21"/>
      <c r="V52" s="17"/>
      <c r="W52" s="17"/>
    </row>
    <row r="53" spans="1:23" ht="267" customHeight="1" thickTop="1" x14ac:dyDescent="0.25">
      <c r="A53" s="1126"/>
      <c r="B53" s="1127"/>
      <c r="C53" s="1127"/>
      <c r="D53" s="1127"/>
      <c r="E53" s="1127"/>
      <c r="F53" s="1127"/>
      <c r="G53" s="1127"/>
      <c r="H53" s="1127"/>
      <c r="I53" s="1127"/>
      <c r="J53" s="1127"/>
      <c r="K53" s="1127"/>
      <c r="L53" s="1127"/>
      <c r="M53" s="1127"/>
      <c r="N53" s="1127"/>
      <c r="O53" s="1127"/>
      <c r="P53" s="1128"/>
      <c r="U53" s="21"/>
      <c r="V53" s="17"/>
      <c r="W53" s="17"/>
    </row>
    <row r="54" spans="1:23" ht="393" customHeight="1" thickBot="1" x14ac:dyDescent="0.3">
      <c r="A54" s="1159"/>
      <c r="B54" s="1160"/>
      <c r="C54" s="1160"/>
      <c r="D54" s="1160"/>
      <c r="E54" s="1160"/>
      <c r="F54" s="1160"/>
      <c r="G54" s="1160"/>
      <c r="H54" s="1160"/>
      <c r="I54" s="1160"/>
      <c r="J54" s="1160"/>
      <c r="K54" s="1160"/>
      <c r="L54" s="1160"/>
      <c r="M54" s="1160"/>
      <c r="N54" s="1160"/>
      <c r="O54" s="1160"/>
      <c r="P54" s="1161"/>
      <c r="U54" s="21"/>
      <c r="V54" s="17"/>
      <c r="W54" s="17"/>
    </row>
    <row r="55" spans="1:23" ht="16.5" thickTop="1" thickBot="1" x14ac:dyDescent="0.3">
      <c r="U55" s="21"/>
      <c r="V55" s="17"/>
      <c r="W55" s="17"/>
    </row>
    <row r="56" spans="1:23" ht="27" customHeight="1" thickTop="1" thickBot="1" x14ac:dyDescent="0.3">
      <c r="A56" s="1153" t="s">
        <v>606</v>
      </c>
      <c r="B56" s="1153"/>
      <c r="C56" s="1153"/>
      <c r="D56" s="1153"/>
      <c r="E56" s="1153"/>
      <c r="F56" s="1153"/>
      <c r="G56" s="1153"/>
      <c r="H56" s="1153"/>
      <c r="I56" s="1224" t="s">
        <v>644</v>
      </c>
      <c r="J56" s="1225"/>
      <c r="K56" s="488"/>
    </row>
    <row r="57" spans="1:23" ht="27" customHeight="1" thickTop="1" thickBot="1" x14ac:dyDescent="0.3">
      <c r="A57" s="1154" t="s">
        <v>607</v>
      </c>
      <c r="B57" s="1154"/>
      <c r="C57" s="1154" t="s">
        <v>609</v>
      </c>
      <c r="D57" s="1154"/>
      <c r="E57" s="1154"/>
      <c r="F57" s="1154" t="s">
        <v>610</v>
      </c>
      <c r="G57" s="1154"/>
      <c r="H57" s="1154"/>
      <c r="I57" s="472" t="s">
        <v>642</v>
      </c>
      <c r="J57" s="472" t="s">
        <v>643</v>
      </c>
      <c r="K57" s="489"/>
    </row>
    <row r="58" spans="1:23" ht="27" customHeight="1" thickTop="1" thickBot="1" x14ac:dyDescent="0.3">
      <c r="A58" s="1154" t="s">
        <v>608</v>
      </c>
      <c r="B58" s="1154"/>
      <c r="C58" s="1158">
        <f>((SUM(G66:G199)*3.281+SUM(L17:L41)*3.281))/((SUM(F66:F199)+SUM(K17:K41)))</f>
        <v>2.7135406647365391E-2</v>
      </c>
      <c r="D58" s="1158"/>
      <c r="E58" s="1158"/>
      <c r="F58" s="1158">
        <f>((SUM(H66:H199)*3.281+SUM(M17:M41)*3.281))/((SUM(F66:F199)+SUM(K17:K41)))</f>
        <v>4.807667542859554E-2</v>
      </c>
      <c r="G58" s="1158"/>
      <c r="H58" s="1158"/>
      <c r="I58" s="491" t="s">
        <v>13</v>
      </c>
      <c r="J58" s="491" t="s">
        <v>13</v>
      </c>
      <c r="K58" s="490"/>
    </row>
    <row r="59" spans="1:23" ht="27" customHeight="1" thickTop="1" thickBot="1" x14ac:dyDescent="0.3">
      <c r="A59" s="1154" t="s">
        <v>525</v>
      </c>
      <c r="B59" s="1154"/>
      <c r="C59" s="1158">
        <f>((SUM(G66:G98)*3.281))/((SUM(F66:F98)))</f>
        <v>3.2553397234311568E-2</v>
      </c>
      <c r="D59" s="1158"/>
      <c r="E59" s="1158"/>
      <c r="F59" s="1158">
        <f>((SUM(H66:H98)*3.281))/((SUM(F66:F98)))</f>
        <v>6.0555560619710853E-2</v>
      </c>
      <c r="G59" s="1158"/>
      <c r="H59" s="1158"/>
      <c r="I59" s="491" t="s">
        <v>13</v>
      </c>
      <c r="J59" s="491" t="s">
        <v>13</v>
      </c>
      <c r="K59" s="490"/>
    </row>
    <row r="60" spans="1:23" ht="27" customHeight="1" thickTop="1" thickBot="1" x14ac:dyDescent="0.3">
      <c r="A60" s="1154">
        <v>2025</v>
      </c>
      <c r="B60" s="1154"/>
      <c r="C60" s="1158">
        <f>((SUM(G99:G153)*3.281))/((SUM(F99:F153)))</f>
        <v>2.5698277392164143E-2</v>
      </c>
      <c r="D60" s="1158"/>
      <c r="E60" s="1158"/>
      <c r="F60" s="1158">
        <f>((SUM(H99:H153)*3.281))/((SUM(F99:F153)))</f>
        <v>4.4289642999009823E-2</v>
      </c>
      <c r="G60" s="1158"/>
      <c r="H60" s="1158"/>
      <c r="I60" s="491" t="s">
        <v>13</v>
      </c>
      <c r="J60" s="491" t="s">
        <v>13</v>
      </c>
      <c r="K60" s="490"/>
    </row>
    <row r="61" spans="1:23" ht="27" customHeight="1" thickTop="1" thickBot="1" x14ac:dyDescent="0.3">
      <c r="A61" s="1154">
        <v>2026</v>
      </c>
      <c r="B61" s="1154"/>
      <c r="C61" s="1158">
        <f>((SUM(G154:G217)*3.281)+(SUM(L5:L41)*3.281))/((SUM(F154:F217)+SUM(K5:K41)))</f>
        <v>2.4428524239994594E-2</v>
      </c>
      <c r="D61" s="1158"/>
      <c r="E61" s="1158"/>
      <c r="F61" s="1158">
        <f>((SUM(H154:H217)*3.281+SUM(M5:M41)*3.281))/((SUM(F154:F217)+SUM(K5:K41)))</f>
        <v>4.0646791090438596E-2</v>
      </c>
      <c r="G61" s="1158"/>
      <c r="H61" s="1158"/>
      <c r="I61" s="473">
        <f>((SUM(G175:G217)*3.281)+(SUM(L17:L41)*3.281))/((SUM(F175:F217)+SUM(K17:K41)))</f>
        <v>2.0703687871838732E-2</v>
      </c>
      <c r="J61" s="473">
        <f>((SUM(G154:G174)*3.281)+(SUM(L5:L14)*3.281))/((SUM(F154:F174)+SUM(K5:K14)))</f>
        <v>7.2641212333439897E-2</v>
      </c>
      <c r="K61" s="490"/>
    </row>
    <row r="62" spans="1:23" ht="27" customHeight="1" thickTop="1" thickBot="1" x14ac:dyDescent="0.3"/>
    <row r="63" spans="1:23" ht="27" customHeight="1" thickTop="1" x14ac:dyDescent="0.25">
      <c r="A63" s="1110" t="s">
        <v>607</v>
      </c>
      <c r="B63" s="1134" t="s">
        <v>46</v>
      </c>
      <c r="C63" s="1135"/>
      <c r="D63" s="1135"/>
      <c r="E63" s="1135"/>
      <c r="F63" s="1135"/>
      <c r="G63" s="1135"/>
      <c r="H63" s="1136"/>
    </row>
    <row r="64" spans="1:23" ht="27" customHeight="1" x14ac:dyDescent="0.25">
      <c r="A64" s="1111"/>
      <c r="B64" s="1137" t="s">
        <v>47</v>
      </c>
      <c r="C64" s="1138"/>
      <c r="D64" s="1138"/>
      <c r="E64" s="1139"/>
      <c r="F64" s="1143" t="s">
        <v>40</v>
      </c>
      <c r="G64" s="1145" t="s">
        <v>41</v>
      </c>
      <c r="H64" s="1147" t="s">
        <v>42</v>
      </c>
    </row>
    <row r="65" spans="1:18" ht="27" customHeight="1" thickBot="1" x14ac:dyDescent="0.3">
      <c r="A65" s="1112"/>
      <c r="B65" s="1140"/>
      <c r="C65" s="1141"/>
      <c r="D65" s="1141"/>
      <c r="E65" s="1142"/>
      <c r="F65" s="1144"/>
      <c r="G65" s="1146"/>
      <c r="H65" s="1148"/>
    </row>
    <row r="66" spans="1:18" ht="27" customHeight="1" thickTop="1" thickBot="1" x14ac:dyDescent="0.3">
      <c r="A66" s="1222" t="s">
        <v>525</v>
      </c>
      <c r="B66" s="1134" t="s">
        <v>611</v>
      </c>
      <c r="C66" s="1135"/>
      <c r="D66" s="1135"/>
      <c r="E66" s="1152"/>
      <c r="F66" s="435">
        <v>52315.137708333335</v>
      </c>
      <c r="G66" s="435">
        <v>751.35</v>
      </c>
      <c r="H66" s="436">
        <v>2086.35</v>
      </c>
    </row>
    <row r="67" spans="1:18" ht="27" customHeight="1" thickTop="1" thickBot="1" x14ac:dyDescent="0.3">
      <c r="A67" s="1192"/>
      <c r="B67" s="1149" t="s">
        <v>612</v>
      </c>
      <c r="C67" s="1150"/>
      <c r="D67" s="1150"/>
      <c r="E67" s="1151"/>
      <c r="F67" s="432">
        <v>37762.138958333337</v>
      </c>
      <c r="G67" s="432">
        <v>587.08000000000004</v>
      </c>
      <c r="H67" s="437">
        <v>1544.08</v>
      </c>
      <c r="L67" s="493" t="s">
        <v>616</v>
      </c>
      <c r="M67" s="494">
        <v>46256</v>
      </c>
      <c r="N67" s="494">
        <v>46258</v>
      </c>
      <c r="O67" s="494">
        <v>46259</v>
      </c>
      <c r="P67" s="494">
        <v>46260</v>
      </c>
      <c r="Q67" s="494">
        <v>46261</v>
      </c>
      <c r="R67" s="494">
        <v>46262</v>
      </c>
    </row>
    <row r="68" spans="1:18" ht="27" customHeight="1" thickTop="1" thickBot="1" x14ac:dyDescent="0.3">
      <c r="A68" s="1192"/>
      <c r="B68" s="1155" t="s">
        <v>604</v>
      </c>
      <c r="C68" s="1156"/>
      <c r="D68" s="1156"/>
      <c r="E68" s="1157"/>
      <c r="F68" s="432">
        <v>45507.822245762713</v>
      </c>
      <c r="G68" s="432">
        <v>415.26</v>
      </c>
      <c r="H68" s="437">
        <v>1549.26</v>
      </c>
      <c r="L68" s="495" t="s">
        <v>14</v>
      </c>
      <c r="M68" s="495">
        <v>4.4900000000000002E-2</v>
      </c>
      <c r="N68" s="495">
        <v>4.4900000000000002E-2</v>
      </c>
      <c r="O68" s="495">
        <v>4.4900000000000002E-2</v>
      </c>
      <c r="P68" s="495">
        <v>4.4900000000000002E-2</v>
      </c>
      <c r="Q68" s="495">
        <v>4.4900000000000002E-2</v>
      </c>
      <c r="R68" s="495">
        <v>4.4900000000000002E-2</v>
      </c>
    </row>
    <row r="69" spans="1:18" ht="27" customHeight="1" thickTop="1" thickBot="1" x14ac:dyDescent="0.3">
      <c r="A69" s="1192"/>
      <c r="B69" s="1137" t="s">
        <v>48</v>
      </c>
      <c r="C69" s="1138"/>
      <c r="D69" s="1138"/>
      <c r="E69" s="1139"/>
      <c r="F69" s="432">
        <v>45388.392</v>
      </c>
      <c r="G69" s="432">
        <v>355.18</v>
      </c>
      <c r="H69" s="438">
        <v>586.17999999999995</v>
      </c>
      <c r="L69" s="493" t="s">
        <v>618</v>
      </c>
      <c r="M69" s="495">
        <v>7.3300000000000004E-2</v>
      </c>
      <c r="N69" s="495">
        <v>7.3300000000000004E-2</v>
      </c>
      <c r="O69" s="495">
        <v>7.3300000000000004E-2</v>
      </c>
      <c r="P69" s="495">
        <v>7.3300000000000004E-2</v>
      </c>
      <c r="Q69" s="495">
        <v>7.3300000000000004E-2</v>
      </c>
      <c r="R69" s="495">
        <v>7.3300000000000004E-2</v>
      </c>
    </row>
    <row r="70" spans="1:18" ht="27" customHeight="1" thickTop="1" thickBot="1" x14ac:dyDescent="0.3">
      <c r="A70" s="1192"/>
      <c r="B70" s="1137" t="s">
        <v>49</v>
      </c>
      <c r="C70" s="1138"/>
      <c r="D70" s="1138"/>
      <c r="E70" s="1139"/>
      <c r="F70" s="432">
        <v>26366.609500000002</v>
      </c>
      <c r="G70" s="432">
        <v>277.97000000000003</v>
      </c>
      <c r="H70" s="438">
        <v>414.47</v>
      </c>
      <c r="L70" s="493" t="s">
        <v>619</v>
      </c>
      <c r="M70" s="495">
        <v>2.9100000000000001E-2</v>
      </c>
      <c r="N70" s="495">
        <v>2.9100000000000001E-2</v>
      </c>
      <c r="O70" s="495">
        <v>2.9000000000000001E-2</v>
      </c>
      <c r="P70" s="495">
        <v>2.9000000000000001E-2</v>
      </c>
      <c r="Q70" s="495">
        <v>2.92E-2</v>
      </c>
      <c r="R70" s="495">
        <v>2.92E-2</v>
      </c>
    </row>
    <row r="71" spans="1:18" ht="27" customHeight="1" thickTop="1" thickBot="1" x14ac:dyDescent="0.3">
      <c r="A71" s="1192"/>
      <c r="B71" s="1155" t="s">
        <v>605</v>
      </c>
      <c r="C71" s="1156"/>
      <c r="D71" s="1156"/>
      <c r="E71" s="1157"/>
      <c r="F71" s="432">
        <v>4991.8434999999999</v>
      </c>
      <c r="G71" s="432">
        <v>93</v>
      </c>
      <c r="H71" s="437">
        <v>117</v>
      </c>
      <c r="L71" s="493" t="s">
        <v>620</v>
      </c>
      <c r="M71" s="495">
        <v>2.1999999999999999E-2</v>
      </c>
      <c r="N71" s="495">
        <v>2.1999999999999999E-2</v>
      </c>
      <c r="O71" s="495">
        <v>2.1999999999999999E-2</v>
      </c>
      <c r="P71" s="495">
        <v>2.1999999999999999E-2</v>
      </c>
      <c r="Q71" s="495">
        <v>2.1999999999999999E-2</v>
      </c>
      <c r="R71" s="495">
        <v>2.1999999999999999E-2</v>
      </c>
    </row>
    <row r="72" spans="1:18" ht="27" customHeight="1" thickTop="1" thickBot="1" x14ac:dyDescent="0.3">
      <c r="A72" s="1192"/>
      <c r="B72" s="1162" t="s">
        <v>51</v>
      </c>
      <c r="C72" s="1162"/>
      <c r="D72" s="1162"/>
      <c r="E72" s="1162"/>
      <c r="F72" s="432">
        <v>3904.6997058823536</v>
      </c>
      <c r="G72" s="432">
        <v>21.24</v>
      </c>
      <c r="H72" s="438">
        <v>27.74</v>
      </c>
      <c r="L72" s="493" t="s">
        <v>621</v>
      </c>
      <c r="M72" s="495">
        <v>2.3099999999999999E-2</v>
      </c>
      <c r="N72" s="495">
        <v>2.3099999999999999E-2</v>
      </c>
      <c r="O72" s="495">
        <v>2.3099999999999999E-2</v>
      </c>
      <c r="P72" s="495">
        <v>2.3099999999999999E-2</v>
      </c>
      <c r="Q72" s="495">
        <v>2.3099999999999999E-2</v>
      </c>
      <c r="R72" s="495">
        <v>2.3099999999999999E-2</v>
      </c>
    </row>
    <row r="73" spans="1:18" ht="27" customHeight="1" thickTop="1" thickBot="1" x14ac:dyDescent="0.3">
      <c r="A73" s="1192"/>
      <c r="B73" s="1162" t="s">
        <v>52</v>
      </c>
      <c r="C73" s="1162"/>
      <c r="D73" s="1162"/>
      <c r="E73" s="1162"/>
      <c r="F73" s="423">
        <v>5027.8908813559328</v>
      </c>
      <c r="G73" s="423">
        <v>19.617999999999999</v>
      </c>
      <c r="H73" s="439">
        <v>33.118000000000002</v>
      </c>
      <c r="L73" s="493" t="s">
        <v>692</v>
      </c>
      <c r="M73" s="495">
        <v>2.1899999999999999E-2</v>
      </c>
      <c r="N73" s="495">
        <v>2.3599999999999999E-2</v>
      </c>
      <c r="O73" s="495">
        <v>2.3599999999999999E-2</v>
      </c>
      <c r="P73" s="495">
        <v>2.3599999999999999E-2</v>
      </c>
      <c r="Q73" s="495">
        <v>2.3599999999999999E-2</v>
      </c>
      <c r="R73" s="495">
        <v>2.3599999999999999E-2</v>
      </c>
    </row>
    <row r="74" spans="1:18" ht="27" customHeight="1" thickTop="1" thickBot="1" x14ac:dyDescent="0.3">
      <c r="A74" s="1192"/>
      <c r="B74" s="1162" t="s">
        <v>53</v>
      </c>
      <c r="C74" s="1162"/>
      <c r="D74" s="1162"/>
      <c r="E74" s="1162"/>
      <c r="F74" s="423">
        <v>7596.1470000000008</v>
      </c>
      <c r="G74" s="424">
        <v>40.44</v>
      </c>
      <c r="H74" s="440">
        <v>70.44</v>
      </c>
      <c r="L74" s="493" t="s">
        <v>696</v>
      </c>
      <c r="M74" s="495">
        <v>1.0500000000000001E-2</v>
      </c>
      <c r="N74" s="495">
        <v>1.06E-2</v>
      </c>
      <c r="O74" s="495">
        <v>1.0699999999999999E-2</v>
      </c>
      <c r="P74" s="495">
        <v>1.06E-2</v>
      </c>
      <c r="Q74" s="495">
        <v>1.0699999999999999E-2</v>
      </c>
      <c r="R74" s="495">
        <v>1.0699999999999999E-2</v>
      </c>
    </row>
    <row r="75" spans="1:18" ht="27" customHeight="1" thickTop="1" thickBot="1" x14ac:dyDescent="0.3">
      <c r="A75" s="1192"/>
      <c r="B75" s="1162" t="s">
        <v>54</v>
      </c>
      <c r="C75" s="1162"/>
      <c r="D75" s="1162"/>
      <c r="E75" s="1162"/>
      <c r="F75" s="423">
        <v>11561.034150000001</v>
      </c>
      <c r="G75" s="423">
        <v>158.19999999999999</v>
      </c>
      <c r="H75" s="439">
        <v>216.7</v>
      </c>
      <c r="L75" s="493" t="s">
        <v>782</v>
      </c>
      <c r="M75" s="495">
        <v>1.38E-2</v>
      </c>
      <c r="N75" s="495">
        <v>1.38E-2</v>
      </c>
      <c r="O75" s="495">
        <v>1.38E-2</v>
      </c>
      <c r="P75" s="495">
        <v>1.38E-2</v>
      </c>
      <c r="Q75" s="495">
        <v>1.38E-2</v>
      </c>
      <c r="R75" s="495">
        <v>1.38E-2</v>
      </c>
    </row>
    <row r="76" spans="1:18" ht="27" customHeight="1" thickTop="1" thickBot="1" x14ac:dyDescent="0.3">
      <c r="A76" s="1192"/>
      <c r="B76" s="1162" t="s">
        <v>55</v>
      </c>
      <c r="C76" s="1162"/>
      <c r="D76" s="1162"/>
      <c r="E76" s="1162"/>
      <c r="F76" s="423">
        <v>19403.382352941178</v>
      </c>
      <c r="G76" s="423">
        <v>108.59</v>
      </c>
      <c r="H76" s="439">
        <v>177.59</v>
      </c>
      <c r="L76" s="493" t="s">
        <v>693</v>
      </c>
      <c r="M76" s="495">
        <v>1.1900000000000001E-2</v>
      </c>
      <c r="N76" s="495">
        <v>1.2E-2</v>
      </c>
      <c r="O76" s="495">
        <v>1.2E-2</v>
      </c>
      <c r="P76" s="495">
        <v>1.1900000000000001E-2</v>
      </c>
      <c r="Q76" s="495">
        <v>1.2200000000000001E-2</v>
      </c>
      <c r="R76" s="495">
        <v>1.2699999999999999E-2</v>
      </c>
    </row>
    <row r="77" spans="1:18" ht="27" customHeight="1" thickTop="1" thickBot="1" x14ac:dyDescent="0.3">
      <c r="A77" s="1192"/>
      <c r="B77" s="1162" t="s">
        <v>56</v>
      </c>
      <c r="C77" s="1162"/>
      <c r="D77" s="1162"/>
      <c r="E77" s="1162"/>
      <c r="F77" s="423">
        <v>18409.190000000002</v>
      </c>
      <c r="G77" s="423">
        <v>139.81</v>
      </c>
      <c r="H77" s="439">
        <v>187.81</v>
      </c>
      <c r="L77" s="493" t="s">
        <v>739</v>
      </c>
      <c r="M77" s="495">
        <v>4.7000000000000002E-3</v>
      </c>
      <c r="N77" s="495">
        <v>4.4999999999999997E-3</v>
      </c>
      <c r="O77" s="495">
        <v>5.1999999999999998E-3</v>
      </c>
      <c r="P77" s="495">
        <v>5.5999999999999999E-3</v>
      </c>
      <c r="Q77" s="495">
        <v>6.7999999999999996E-3</v>
      </c>
      <c r="R77" s="495">
        <v>6.7000000000000002E-3</v>
      </c>
    </row>
    <row r="78" spans="1:18" ht="27" customHeight="1" thickTop="1" thickBot="1" x14ac:dyDescent="0.3">
      <c r="A78" s="1192"/>
      <c r="B78" s="1162" t="s">
        <v>57</v>
      </c>
      <c r="C78" s="1162"/>
      <c r="D78" s="1162"/>
      <c r="E78" s="1162"/>
      <c r="F78" s="423">
        <v>10398.897457627119</v>
      </c>
      <c r="G78" s="423">
        <v>104.73</v>
      </c>
      <c r="H78" s="441">
        <v>142.22999999999999</v>
      </c>
      <c r="L78" s="493" t="s">
        <v>803</v>
      </c>
      <c r="M78" s="495"/>
      <c r="N78" s="495">
        <v>4.3799999999999999E-2</v>
      </c>
      <c r="O78" s="495">
        <v>3.6900000000000002E-2</v>
      </c>
      <c r="P78" s="495">
        <v>2.7400000000000001E-2</v>
      </c>
      <c r="Q78" s="495">
        <v>2.7400000000000001E-2</v>
      </c>
      <c r="R78" s="495">
        <v>3.6600000000000001E-2</v>
      </c>
    </row>
    <row r="79" spans="1:18" ht="27" customHeight="1" thickTop="1" thickBot="1" x14ac:dyDescent="0.3">
      <c r="A79" s="1192"/>
      <c r="B79" s="1162" t="s">
        <v>58</v>
      </c>
      <c r="C79" s="1162"/>
      <c r="D79" s="1162"/>
      <c r="E79" s="1162"/>
      <c r="F79" s="423">
        <v>11181.610169491525</v>
      </c>
      <c r="G79" s="423">
        <v>68.23</v>
      </c>
      <c r="H79" s="441">
        <v>105.73</v>
      </c>
    </row>
    <row r="80" spans="1:18" ht="27" customHeight="1" thickTop="1" thickBot="1" x14ac:dyDescent="0.4">
      <c r="A80" s="1192"/>
      <c r="B80" s="1113" t="s">
        <v>59</v>
      </c>
      <c r="C80" s="1113"/>
      <c r="D80" s="1113"/>
      <c r="E80" s="1113"/>
      <c r="F80" s="422">
        <v>12088.92</v>
      </c>
      <c r="G80" s="422">
        <v>68.19</v>
      </c>
      <c r="H80" s="439">
        <v>111.69</v>
      </c>
      <c r="L80" s="1132" t="s">
        <v>615</v>
      </c>
      <c r="M80" s="1132"/>
      <c r="N80" s="1133"/>
      <c r="O80" s="464" t="s">
        <v>142</v>
      </c>
      <c r="P80" s="465" t="s">
        <v>614</v>
      </c>
    </row>
    <row r="81" spans="1:16" ht="27" customHeight="1" thickTop="1" thickBot="1" x14ac:dyDescent="0.4">
      <c r="A81" s="1192"/>
      <c r="B81" s="1113" t="s">
        <v>60</v>
      </c>
      <c r="C81" s="1113"/>
      <c r="D81" s="1113"/>
      <c r="E81" s="1113"/>
      <c r="F81" s="422">
        <v>1774.0235294117649</v>
      </c>
      <c r="G81" s="422">
        <v>17.600000000000001</v>
      </c>
      <c r="H81" s="439">
        <v>23.6</v>
      </c>
      <c r="L81" s="1220" t="s">
        <v>526</v>
      </c>
      <c r="M81" s="1221"/>
      <c r="N81" s="1221"/>
      <c r="O81" s="455">
        <v>3.4299999999999997E-2</v>
      </c>
      <c r="P81" s="456">
        <v>6.4399999999999999E-2</v>
      </c>
    </row>
    <row r="82" spans="1:16" ht="27" customHeight="1" thickTop="1" thickBot="1" x14ac:dyDescent="0.4">
      <c r="A82" s="1192"/>
      <c r="B82" s="1113" t="s">
        <v>61</v>
      </c>
      <c r="C82" s="1113"/>
      <c r="D82" s="1113"/>
      <c r="E82" s="1113"/>
      <c r="F82" s="422">
        <v>6542.8393220338976</v>
      </c>
      <c r="G82" s="422">
        <v>89.57</v>
      </c>
      <c r="H82" s="439">
        <v>112.07</v>
      </c>
      <c r="L82" s="1220" t="s">
        <v>527</v>
      </c>
      <c r="M82" s="1221"/>
      <c r="N82" s="1221"/>
      <c r="O82" s="455">
        <v>2.3099999999999999E-2</v>
      </c>
      <c r="P82" s="456">
        <v>3.7100000000000001E-2</v>
      </c>
    </row>
    <row r="83" spans="1:16" ht="27" customHeight="1" thickTop="1" thickBot="1" x14ac:dyDescent="0.4">
      <c r="A83" s="1192"/>
      <c r="B83" s="1113" t="s">
        <v>62</v>
      </c>
      <c r="C83" s="1113"/>
      <c r="D83" s="1113"/>
      <c r="E83" s="1113"/>
      <c r="F83" s="422">
        <v>102479.425882353</v>
      </c>
      <c r="G83" s="422">
        <v>817.92</v>
      </c>
      <c r="H83" s="439">
        <v>1092.42</v>
      </c>
      <c r="L83" s="1220" t="s">
        <v>467</v>
      </c>
      <c r="M83" s="1221"/>
      <c r="N83" s="1221"/>
      <c r="O83" s="455">
        <v>1.5900000000000001E-2</v>
      </c>
      <c r="P83" s="456">
        <v>3.2099999999999997E-2</v>
      </c>
    </row>
    <row r="84" spans="1:16" ht="27" customHeight="1" thickTop="1" thickBot="1" x14ac:dyDescent="0.4">
      <c r="A84" s="1192"/>
      <c r="B84" s="1113" t="s">
        <v>63</v>
      </c>
      <c r="C84" s="1113"/>
      <c r="D84" s="1113"/>
      <c r="E84" s="1113"/>
      <c r="F84" s="422">
        <v>2394.9317647058824</v>
      </c>
      <c r="G84" s="422">
        <v>25.49</v>
      </c>
      <c r="H84" s="439">
        <v>35.99</v>
      </c>
      <c r="L84" s="1220" t="s">
        <v>260</v>
      </c>
      <c r="M84" s="1221"/>
      <c r="N84" s="1221"/>
      <c r="O84" s="455">
        <v>4.1900000000000007E-2</v>
      </c>
      <c r="P84" s="456">
        <v>0.1217</v>
      </c>
    </row>
    <row r="85" spans="1:16" ht="27" customHeight="1" thickTop="1" thickBot="1" x14ac:dyDescent="0.4">
      <c r="A85" s="1192"/>
      <c r="B85" s="1113" t="s">
        <v>64</v>
      </c>
      <c r="C85" s="1113"/>
      <c r="D85" s="1113"/>
      <c r="E85" s="1113"/>
      <c r="F85" s="422">
        <v>3233.082711864407</v>
      </c>
      <c r="G85" s="422">
        <v>92.06</v>
      </c>
      <c r="H85" s="439">
        <v>113.06</v>
      </c>
      <c r="L85" s="1220" t="s">
        <v>462</v>
      </c>
      <c r="M85" s="1221"/>
      <c r="N85" s="1221"/>
      <c r="O85" s="455">
        <v>5.4000000000000003E-3</v>
      </c>
      <c r="P85" s="456">
        <v>1.83E-2</v>
      </c>
    </row>
    <row r="86" spans="1:16" ht="27" customHeight="1" thickTop="1" thickBot="1" x14ac:dyDescent="0.4">
      <c r="A86" s="1192"/>
      <c r="B86" s="1113" t="s">
        <v>156</v>
      </c>
      <c r="C86" s="1113"/>
      <c r="D86" s="1113"/>
      <c r="E86" s="1113"/>
      <c r="F86" s="422">
        <v>14903.80846</v>
      </c>
      <c r="G86" s="422">
        <v>291.64</v>
      </c>
      <c r="H86" s="439">
        <v>666.64</v>
      </c>
      <c r="L86" s="1217" t="s">
        <v>463</v>
      </c>
      <c r="M86" s="1218"/>
      <c r="N86" s="1219"/>
      <c r="O86" s="455">
        <v>3.5200000000000002E-2</v>
      </c>
      <c r="P86" s="456">
        <v>5.0700000000000002E-2</v>
      </c>
    </row>
    <row r="87" spans="1:16" ht="27" customHeight="1" thickTop="1" thickBot="1" x14ac:dyDescent="0.4">
      <c r="A87" s="1192"/>
      <c r="B87" s="1113" t="s">
        <v>65</v>
      </c>
      <c r="C87" s="1113"/>
      <c r="D87" s="1113"/>
      <c r="E87" s="1113"/>
      <c r="F87" s="422">
        <v>10398.799999999999</v>
      </c>
      <c r="G87" s="422">
        <v>104.73</v>
      </c>
      <c r="H87" s="439">
        <v>142.22999999999999</v>
      </c>
      <c r="L87" s="1217" t="s">
        <v>499</v>
      </c>
      <c r="M87" s="1218"/>
      <c r="N87" s="1219"/>
      <c r="O87" s="455">
        <v>1.72E-2</v>
      </c>
      <c r="P87" s="457">
        <v>3.38</v>
      </c>
    </row>
    <row r="88" spans="1:16" ht="27" customHeight="1" thickTop="1" thickBot="1" x14ac:dyDescent="0.4">
      <c r="A88" s="1192"/>
      <c r="B88" s="1113" t="s">
        <v>66</v>
      </c>
      <c r="C88" s="1113"/>
      <c r="D88" s="1113"/>
      <c r="E88" s="1113"/>
      <c r="F88" s="422">
        <v>2561.2464705882358</v>
      </c>
      <c r="G88" s="422">
        <v>52.72</v>
      </c>
      <c r="H88" s="439">
        <v>64.72</v>
      </c>
      <c r="L88" s="1217" t="s">
        <v>502</v>
      </c>
      <c r="M88" s="1218"/>
      <c r="N88" s="1219"/>
      <c r="O88" s="455">
        <v>1.49E-2</v>
      </c>
      <c r="P88" s="456">
        <v>3.1200000000000002E-2</v>
      </c>
    </row>
    <row r="89" spans="1:16" ht="27" customHeight="1" thickTop="1" thickBot="1" x14ac:dyDescent="0.4">
      <c r="A89" s="1192"/>
      <c r="B89" s="1113" t="s">
        <v>67</v>
      </c>
      <c r="C89" s="1113"/>
      <c r="D89" s="1113"/>
      <c r="E89" s="1113"/>
      <c r="F89" s="422">
        <v>4257.6564705882356</v>
      </c>
      <c r="G89" s="422">
        <v>14.88</v>
      </c>
      <c r="H89" s="439">
        <v>28.38</v>
      </c>
      <c r="L89" s="1217" t="s">
        <v>528</v>
      </c>
      <c r="M89" s="1218"/>
      <c r="N89" s="1219"/>
      <c r="O89" s="455">
        <v>0.1024</v>
      </c>
      <c r="P89" s="456">
        <v>0.1895</v>
      </c>
    </row>
    <row r="90" spans="1:16" ht="27" customHeight="1" thickTop="1" thickBot="1" x14ac:dyDescent="0.4">
      <c r="A90" s="1192"/>
      <c r="B90" s="1113" t="s">
        <v>68</v>
      </c>
      <c r="C90" s="1113"/>
      <c r="D90" s="1113"/>
      <c r="E90" s="1113"/>
      <c r="F90" s="422">
        <v>14357.18745762712</v>
      </c>
      <c r="G90" s="422">
        <v>301.98</v>
      </c>
      <c r="H90" s="439">
        <v>375.48</v>
      </c>
      <c r="L90" s="1217" t="s">
        <v>493</v>
      </c>
      <c r="M90" s="1218"/>
      <c r="N90" s="1219"/>
      <c r="O90" s="455">
        <v>3.1800000000000002E-2</v>
      </c>
      <c r="P90" s="456">
        <v>4.8099999999999997E-2</v>
      </c>
    </row>
    <row r="91" spans="1:16" ht="27" customHeight="1" thickTop="1" thickBot="1" x14ac:dyDescent="0.4">
      <c r="A91" s="1192"/>
      <c r="B91" s="1162" t="s">
        <v>69</v>
      </c>
      <c r="C91" s="1162"/>
      <c r="D91" s="1162"/>
      <c r="E91" s="1162"/>
      <c r="F91" s="422">
        <v>20460.404705882356</v>
      </c>
      <c r="G91" s="422">
        <v>115.3</v>
      </c>
      <c r="H91" s="439">
        <v>170.8</v>
      </c>
      <c r="L91" s="1217" t="s">
        <v>517</v>
      </c>
      <c r="M91" s="1218"/>
      <c r="N91" s="1219"/>
      <c r="O91" s="455">
        <v>2.3E-2</v>
      </c>
      <c r="P91" s="456">
        <v>2.9700000000000001E-2</v>
      </c>
    </row>
    <row r="92" spans="1:16" ht="27" customHeight="1" thickTop="1" thickBot="1" x14ac:dyDescent="0.4">
      <c r="A92" s="1192"/>
      <c r="B92" s="1162" t="s">
        <v>70</v>
      </c>
      <c r="C92" s="1162"/>
      <c r="D92" s="1162"/>
      <c r="E92" s="1162"/>
      <c r="F92" s="422">
        <v>4523.76</v>
      </c>
      <c r="G92" s="422">
        <v>15.98</v>
      </c>
      <c r="H92" s="439">
        <v>24.92</v>
      </c>
      <c r="L92" s="1217" t="s">
        <v>498</v>
      </c>
      <c r="M92" s="1218"/>
      <c r="N92" s="1219"/>
      <c r="O92" s="455">
        <v>4.0000000000000001E-3</v>
      </c>
      <c r="P92" s="456">
        <v>1.38E-2</v>
      </c>
    </row>
    <row r="93" spans="1:16" ht="27" customHeight="1" thickTop="1" thickBot="1" x14ac:dyDescent="0.4">
      <c r="A93" s="1192"/>
      <c r="B93" s="1162" t="s">
        <v>71</v>
      </c>
      <c r="C93" s="1162"/>
      <c r="D93" s="1162"/>
      <c r="E93" s="1162"/>
      <c r="F93" s="422">
        <v>35605.441525423732</v>
      </c>
      <c r="G93" s="422">
        <v>609.27</v>
      </c>
      <c r="H93" s="439">
        <v>766.77</v>
      </c>
      <c r="L93" s="1217" t="s">
        <v>498</v>
      </c>
      <c r="M93" s="1218"/>
      <c r="N93" s="1219"/>
      <c r="O93" s="455">
        <v>4.0000000000000001E-3</v>
      </c>
      <c r="P93" s="456">
        <v>1.38E-2</v>
      </c>
    </row>
    <row r="94" spans="1:16" ht="27" customHeight="1" thickTop="1" thickBot="1" x14ac:dyDescent="0.4">
      <c r="A94" s="1192"/>
      <c r="B94" s="1162" t="s">
        <v>78</v>
      </c>
      <c r="C94" s="1162"/>
      <c r="D94" s="1162"/>
      <c r="E94" s="1162"/>
      <c r="F94" s="422">
        <v>19973.550508474575</v>
      </c>
      <c r="G94" s="422">
        <v>223.12</v>
      </c>
      <c r="H94" s="439">
        <v>290.62</v>
      </c>
      <c r="L94" s="1217" t="s">
        <v>511</v>
      </c>
      <c r="M94" s="1218"/>
      <c r="N94" s="1219"/>
      <c r="O94" s="455">
        <v>9.4999999999999998E-3</v>
      </c>
      <c r="P94" s="456">
        <v>2.2100000000000002E-2</v>
      </c>
    </row>
    <row r="95" spans="1:16" ht="27" customHeight="1" thickTop="1" thickBot="1" x14ac:dyDescent="0.4">
      <c r="A95" s="1192"/>
      <c r="B95" s="1162" t="s">
        <v>73</v>
      </c>
      <c r="C95" s="1162"/>
      <c r="D95" s="1162"/>
      <c r="E95" s="1162"/>
      <c r="F95" s="422">
        <v>10696.807500000001</v>
      </c>
      <c r="G95" s="422">
        <v>54.91</v>
      </c>
      <c r="H95" s="439">
        <v>90.91</v>
      </c>
      <c r="L95" s="1217" t="s">
        <v>539</v>
      </c>
      <c r="M95" s="1218"/>
      <c r="N95" s="1219"/>
      <c r="O95" s="455">
        <v>1.2500000000000001E-2</v>
      </c>
      <c r="P95" s="456">
        <v>1.77E-2</v>
      </c>
    </row>
    <row r="96" spans="1:16" ht="27" customHeight="1" thickTop="1" thickBot="1" x14ac:dyDescent="0.4">
      <c r="A96" s="1192"/>
      <c r="B96" s="1162" t="s">
        <v>74</v>
      </c>
      <c r="C96" s="1162"/>
      <c r="D96" s="1162"/>
      <c r="E96" s="1162"/>
      <c r="F96" s="422">
        <v>6108.7895454545451</v>
      </c>
      <c r="G96" s="422">
        <v>78.47</v>
      </c>
      <c r="H96" s="439">
        <v>89.65</v>
      </c>
      <c r="L96" s="1220" t="s">
        <v>542</v>
      </c>
      <c r="M96" s="1221"/>
      <c r="N96" s="1221"/>
      <c r="O96" s="455">
        <v>8.0999999999999996E-3</v>
      </c>
      <c r="P96" s="456">
        <v>1.9900000000000001E-2</v>
      </c>
    </row>
    <row r="97" spans="1:16" ht="27" customHeight="1" thickTop="1" thickBot="1" x14ac:dyDescent="0.4">
      <c r="A97" s="1192"/>
      <c r="B97" s="1113" t="s">
        <v>83</v>
      </c>
      <c r="C97" s="1113"/>
      <c r="D97" s="1113"/>
      <c r="E97" s="1113"/>
      <c r="F97" s="422">
        <v>57393.357058823538</v>
      </c>
      <c r="G97" s="422">
        <v>260.33</v>
      </c>
      <c r="H97" s="439">
        <v>416.33</v>
      </c>
      <c r="L97" s="1220"/>
      <c r="M97" s="1221"/>
      <c r="N97" s="1221"/>
      <c r="O97" s="455"/>
      <c r="P97" s="456"/>
    </row>
    <row r="98" spans="1:16" ht="27" customHeight="1" thickTop="1" thickBot="1" x14ac:dyDescent="0.3">
      <c r="A98" s="1193"/>
      <c r="B98" s="1168" t="s">
        <v>75</v>
      </c>
      <c r="C98" s="1168"/>
      <c r="D98" s="1168"/>
      <c r="E98" s="1168"/>
      <c r="F98" s="442">
        <v>18413.759454545452</v>
      </c>
      <c r="G98" s="442">
        <v>54.29</v>
      </c>
      <c r="H98" s="443">
        <v>84.47</v>
      </c>
    </row>
    <row r="99" spans="1:16" ht="27" customHeight="1" thickTop="1" x14ac:dyDescent="0.25">
      <c r="A99" s="1213">
        <v>2025</v>
      </c>
      <c r="B99" s="1167" t="s">
        <v>76</v>
      </c>
      <c r="C99" s="1167"/>
      <c r="D99" s="1167"/>
      <c r="E99" s="1167"/>
      <c r="F99" s="444">
        <v>3640.4441176470591</v>
      </c>
      <c r="G99" s="444">
        <v>34.85</v>
      </c>
      <c r="H99" s="445">
        <v>47.8</v>
      </c>
      <c r="I99" t="s">
        <v>652</v>
      </c>
    </row>
    <row r="100" spans="1:16" ht="27" customHeight="1" x14ac:dyDescent="0.25">
      <c r="A100" s="1214"/>
      <c r="B100" s="1162" t="s">
        <v>159</v>
      </c>
      <c r="C100" s="1162"/>
      <c r="D100" s="1162"/>
      <c r="E100" s="1162"/>
      <c r="F100" s="422">
        <v>1840.1735593220342</v>
      </c>
      <c r="G100" s="422">
        <v>71.47</v>
      </c>
      <c r="H100" s="439">
        <v>78.97</v>
      </c>
      <c r="I100" t="s">
        <v>652</v>
      </c>
    </row>
    <row r="101" spans="1:16" ht="27" customHeight="1" x14ac:dyDescent="0.25">
      <c r="A101" s="1214"/>
      <c r="B101" s="1162" t="s">
        <v>77</v>
      </c>
      <c r="C101" s="1162"/>
      <c r="D101" s="1162"/>
      <c r="E101" s="1162"/>
      <c r="F101" s="422">
        <v>3296.9776271186443</v>
      </c>
      <c r="G101" s="422">
        <v>81.47</v>
      </c>
      <c r="H101" s="439">
        <v>94.97</v>
      </c>
      <c r="I101" t="s">
        <v>652</v>
      </c>
    </row>
    <row r="102" spans="1:16" ht="27" customHeight="1" x14ac:dyDescent="0.25">
      <c r="A102" s="1214"/>
      <c r="B102" s="1162" t="s">
        <v>72</v>
      </c>
      <c r="C102" s="1162"/>
      <c r="D102" s="1162"/>
      <c r="E102" s="1162"/>
      <c r="F102" s="422">
        <v>2012.6898305084749</v>
      </c>
      <c r="G102" s="422">
        <v>5.41</v>
      </c>
      <c r="H102" s="439">
        <v>12.91</v>
      </c>
      <c r="I102" t="s">
        <v>652</v>
      </c>
    </row>
    <row r="103" spans="1:16" ht="27" customHeight="1" x14ac:dyDescent="0.25">
      <c r="A103" s="1214"/>
      <c r="B103" s="1162" t="s">
        <v>79</v>
      </c>
      <c r="C103" s="1162"/>
      <c r="D103" s="1162"/>
      <c r="E103" s="1162"/>
      <c r="F103" s="422">
        <v>1589.3134090909091</v>
      </c>
      <c r="G103" s="422">
        <v>6.3</v>
      </c>
      <c r="H103" s="439">
        <v>9.3000000000000007</v>
      </c>
      <c r="I103" t="s">
        <v>652</v>
      </c>
    </row>
    <row r="104" spans="1:16" ht="27" customHeight="1" x14ac:dyDescent="0.25">
      <c r="A104" s="1214"/>
      <c r="B104" s="1162" t="s">
        <v>654</v>
      </c>
      <c r="C104" s="1162"/>
      <c r="D104" s="1162"/>
      <c r="E104" s="1162"/>
      <c r="F104" s="422">
        <v>670.89660000000003</v>
      </c>
      <c r="G104" s="422">
        <v>3.81</v>
      </c>
      <c r="H104" s="439">
        <v>6.81</v>
      </c>
      <c r="I104" t="s">
        <v>655</v>
      </c>
    </row>
    <row r="105" spans="1:16" ht="27" customHeight="1" x14ac:dyDescent="0.25">
      <c r="A105" s="1214"/>
      <c r="B105" s="1162" t="s">
        <v>161</v>
      </c>
      <c r="C105" s="1162"/>
      <c r="D105" s="1162"/>
      <c r="E105" s="1162"/>
      <c r="F105" s="422">
        <v>1408.8828813559323</v>
      </c>
      <c r="G105" s="422">
        <v>4.54</v>
      </c>
      <c r="H105" s="439">
        <v>10.54</v>
      </c>
      <c r="I105" t="s">
        <v>652</v>
      </c>
    </row>
    <row r="106" spans="1:16" ht="27" customHeight="1" x14ac:dyDescent="0.25">
      <c r="A106" s="1214"/>
      <c r="B106" s="1162" t="s">
        <v>80</v>
      </c>
      <c r="C106" s="1162"/>
      <c r="D106" s="1162"/>
      <c r="E106" s="1162"/>
      <c r="F106" s="422">
        <v>2284.2432203389831</v>
      </c>
      <c r="G106" s="422">
        <v>10.94</v>
      </c>
      <c r="H106" s="439">
        <v>19.940000000000001</v>
      </c>
      <c r="I106" t="s">
        <v>652</v>
      </c>
    </row>
    <row r="107" spans="1:16" ht="27" customHeight="1" x14ac:dyDescent="0.25">
      <c r="A107" s="1214"/>
      <c r="B107" s="1162" t="s">
        <v>81</v>
      </c>
      <c r="C107" s="1162"/>
      <c r="D107" s="1162"/>
      <c r="E107" s="1162"/>
      <c r="F107" s="422">
        <v>10453.208135593219</v>
      </c>
      <c r="G107" s="422">
        <v>56.74</v>
      </c>
      <c r="H107" s="439">
        <v>104.74</v>
      </c>
      <c r="I107" t="s">
        <v>652</v>
      </c>
    </row>
    <row r="108" spans="1:16" ht="27" customHeight="1" x14ac:dyDescent="0.25">
      <c r="A108" s="1214"/>
      <c r="B108" s="1162" t="s">
        <v>82</v>
      </c>
      <c r="C108" s="1162"/>
      <c r="D108" s="1162"/>
      <c r="E108" s="1162"/>
      <c r="F108" s="422">
        <v>1878.5105084745765</v>
      </c>
      <c r="G108" s="422">
        <v>6.17</v>
      </c>
      <c r="H108" s="439">
        <v>12.17</v>
      </c>
      <c r="I108" t="s">
        <v>652</v>
      </c>
    </row>
    <row r="109" spans="1:16" ht="27" customHeight="1" x14ac:dyDescent="0.25">
      <c r="A109" s="1214"/>
      <c r="B109" s="1162" t="s">
        <v>84</v>
      </c>
      <c r="C109" s="1162"/>
      <c r="D109" s="1162"/>
      <c r="E109" s="1162"/>
      <c r="F109" s="422">
        <v>15104.757966101695</v>
      </c>
      <c r="G109" s="422">
        <v>34.6</v>
      </c>
      <c r="H109" s="439">
        <v>72.099999999999994</v>
      </c>
      <c r="I109" t="s">
        <v>652</v>
      </c>
    </row>
    <row r="110" spans="1:16" ht="27" customHeight="1" x14ac:dyDescent="0.25">
      <c r="A110" s="1214"/>
      <c r="B110" s="1162" t="s">
        <v>85</v>
      </c>
      <c r="C110" s="1162"/>
      <c r="D110" s="1162"/>
      <c r="E110" s="1162"/>
      <c r="F110" s="422">
        <v>4018.8760714285718</v>
      </c>
      <c r="G110" s="422">
        <v>112.05</v>
      </c>
      <c r="H110" s="439">
        <v>121.05</v>
      </c>
      <c r="I110" t="s">
        <v>652</v>
      </c>
    </row>
    <row r="111" spans="1:16" ht="27" customHeight="1" x14ac:dyDescent="0.25">
      <c r="A111" s="1214"/>
      <c r="B111" s="1162" t="s">
        <v>86</v>
      </c>
      <c r="C111" s="1162"/>
      <c r="D111" s="1162"/>
      <c r="E111" s="1162"/>
      <c r="F111" s="422">
        <v>3833.6949152542375</v>
      </c>
      <c r="G111" s="422">
        <v>49.06</v>
      </c>
      <c r="H111" s="439">
        <v>64.06</v>
      </c>
      <c r="I111" t="s">
        <v>652</v>
      </c>
    </row>
    <row r="112" spans="1:16" ht="27" customHeight="1" x14ac:dyDescent="0.25">
      <c r="A112" s="1214"/>
      <c r="B112" s="1162" t="s">
        <v>87</v>
      </c>
      <c r="C112" s="1162"/>
      <c r="D112" s="1162"/>
      <c r="E112" s="1162"/>
      <c r="F112" s="422">
        <v>13037.75745762712</v>
      </c>
      <c r="G112" s="422">
        <v>75.010000000000005</v>
      </c>
      <c r="H112" s="439">
        <v>121.51</v>
      </c>
      <c r="I112" t="s">
        <v>652</v>
      </c>
    </row>
    <row r="113" spans="1:9" ht="27" customHeight="1" x14ac:dyDescent="0.25">
      <c r="A113" s="1214"/>
      <c r="B113" s="1162" t="s">
        <v>88</v>
      </c>
      <c r="C113" s="1162"/>
      <c r="D113" s="1162"/>
      <c r="E113" s="1162"/>
      <c r="F113" s="422">
        <v>19920.805882352943</v>
      </c>
      <c r="G113" s="422">
        <v>210.07</v>
      </c>
      <c r="H113" s="439">
        <v>261.88</v>
      </c>
      <c r="I113" t="s">
        <v>652</v>
      </c>
    </row>
    <row r="114" spans="1:9" ht="27" customHeight="1" x14ac:dyDescent="0.25">
      <c r="A114" s="1214"/>
      <c r="B114" s="1162" t="s">
        <v>89</v>
      </c>
      <c r="C114" s="1162"/>
      <c r="D114" s="1162"/>
      <c r="E114" s="1162"/>
      <c r="F114" s="422">
        <v>3735.5290909090909</v>
      </c>
      <c r="G114" s="422">
        <v>17.77</v>
      </c>
      <c r="H114" s="439">
        <v>28.27</v>
      </c>
      <c r="I114" t="s">
        <v>652</v>
      </c>
    </row>
    <row r="115" spans="1:9" ht="27" customHeight="1" x14ac:dyDescent="0.25">
      <c r="A115" s="1214"/>
      <c r="B115" s="1162" t="s">
        <v>90</v>
      </c>
      <c r="C115" s="1162"/>
      <c r="D115" s="1162"/>
      <c r="E115" s="1162"/>
      <c r="F115" s="422">
        <v>891.04363636363632</v>
      </c>
      <c r="G115" s="422">
        <v>6.12</v>
      </c>
      <c r="H115" s="439">
        <v>7.24</v>
      </c>
      <c r="I115" t="s">
        <v>652</v>
      </c>
    </row>
    <row r="116" spans="1:9" ht="27" customHeight="1" x14ac:dyDescent="0.25">
      <c r="A116" s="1214"/>
      <c r="B116" s="1162" t="s">
        <v>91</v>
      </c>
      <c r="C116" s="1162"/>
      <c r="D116" s="1162"/>
      <c r="E116" s="1162"/>
      <c r="F116" s="422">
        <v>920.08677966101709</v>
      </c>
      <c r="G116" s="422">
        <v>21.13</v>
      </c>
      <c r="H116" s="439">
        <v>25.63</v>
      </c>
      <c r="I116" t="s">
        <v>652</v>
      </c>
    </row>
    <row r="117" spans="1:9" ht="27" customHeight="1" x14ac:dyDescent="0.25">
      <c r="A117" s="1214"/>
      <c r="B117" s="1162" t="s">
        <v>92</v>
      </c>
      <c r="C117" s="1162"/>
      <c r="D117" s="1162"/>
      <c r="E117" s="1162"/>
      <c r="F117" s="422">
        <v>760.81418181818174</v>
      </c>
      <c r="G117" s="422">
        <v>1.37</v>
      </c>
      <c r="H117" s="439">
        <v>2.87</v>
      </c>
      <c r="I117" t="s">
        <v>652</v>
      </c>
    </row>
    <row r="118" spans="1:9" ht="27" customHeight="1" x14ac:dyDescent="0.25">
      <c r="A118" s="1214"/>
      <c r="B118" s="1162" t="s">
        <v>93</v>
      </c>
      <c r="C118" s="1162"/>
      <c r="D118" s="1162"/>
      <c r="E118" s="1162"/>
      <c r="F118" s="422">
        <v>692.19491525423734</v>
      </c>
      <c r="G118" s="422">
        <v>9.1999999999999993</v>
      </c>
      <c r="H118" s="439">
        <v>10.7</v>
      </c>
      <c r="I118" t="s">
        <v>652</v>
      </c>
    </row>
    <row r="119" spans="1:9" ht="27" customHeight="1" x14ac:dyDescent="0.25">
      <c r="A119" s="1214"/>
      <c r="B119" s="1162" t="s">
        <v>94</v>
      </c>
      <c r="C119" s="1162"/>
      <c r="D119" s="1162"/>
      <c r="E119" s="1162"/>
      <c r="F119" s="422">
        <v>1686.8257627118646</v>
      </c>
      <c r="G119" s="422">
        <v>51.28</v>
      </c>
      <c r="H119" s="439">
        <v>93.28</v>
      </c>
      <c r="I119" t="s">
        <v>652</v>
      </c>
    </row>
    <row r="120" spans="1:9" ht="27" customHeight="1" x14ac:dyDescent="0.25">
      <c r="A120" s="1214"/>
      <c r="B120" s="1162" t="s">
        <v>95</v>
      </c>
      <c r="C120" s="1162"/>
      <c r="D120" s="1162"/>
      <c r="E120" s="1162"/>
      <c r="F120" s="422">
        <v>2930.1627272727274</v>
      </c>
      <c r="G120" s="422">
        <v>20.67</v>
      </c>
      <c r="H120" s="439">
        <v>28.17</v>
      </c>
      <c r="I120" t="s">
        <v>652</v>
      </c>
    </row>
    <row r="121" spans="1:9" ht="27" customHeight="1" x14ac:dyDescent="0.25">
      <c r="A121" s="1214"/>
      <c r="B121" s="1162" t="s">
        <v>96</v>
      </c>
      <c r="C121" s="1162"/>
      <c r="D121" s="1162"/>
      <c r="E121" s="1162"/>
      <c r="F121" s="422">
        <v>5277.72</v>
      </c>
      <c r="G121" s="422">
        <v>21.55</v>
      </c>
      <c r="H121" s="439">
        <v>33.549999999999997</v>
      </c>
      <c r="I121" t="s">
        <v>652</v>
      </c>
    </row>
    <row r="122" spans="1:9" ht="27" customHeight="1" x14ac:dyDescent="0.25">
      <c r="A122" s="1214"/>
      <c r="B122" s="1162" t="s">
        <v>97</v>
      </c>
      <c r="C122" s="1162"/>
      <c r="D122" s="1162"/>
      <c r="E122" s="1162"/>
      <c r="F122" s="422">
        <v>952.03423728813561</v>
      </c>
      <c r="G122" s="422">
        <v>50.42</v>
      </c>
      <c r="H122" s="439">
        <v>54.92</v>
      </c>
      <c r="I122" t="s">
        <v>652</v>
      </c>
    </row>
    <row r="123" spans="1:9" ht="27" customHeight="1" x14ac:dyDescent="0.25">
      <c r="A123" s="1214"/>
      <c r="B123" s="1162" t="s">
        <v>98</v>
      </c>
      <c r="C123" s="1162"/>
      <c r="D123" s="1162"/>
      <c r="E123" s="1162"/>
      <c r="F123" s="422">
        <v>2484.0289285714289</v>
      </c>
      <c r="G123" s="422">
        <v>64.989999999999995</v>
      </c>
      <c r="H123" s="439">
        <v>72.489999999999995</v>
      </c>
      <c r="I123" t="s">
        <v>652</v>
      </c>
    </row>
    <row r="124" spans="1:9" ht="27" customHeight="1" x14ac:dyDescent="0.25">
      <c r="A124" s="1214"/>
      <c r="B124" s="1162" t="s">
        <v>99</v>
      </c>
      <c r="C124" s="1162"/>
      <c r="D124" s="1162"/>
      <c r="E124" s="1162"/>
      <c r="F124" s="422">
        <v>10828.935294117648</v>
      </c>
      <c r="G124" s="422">
        <v>36.81</v>
      </c>
      <c r="H124" s="439">
        <v>63.81</v>
      </c>
      <c r="I124" t="s">
        <v>652</v>
      </c>
    </row>
    <row r="125" spans="1:9" ht="27" customHeight="1" x14ac:dyDescent="0.25">
      <c r="A125" s="1214"/>
      <c r="B125" s="1169" t="s">
        <v>100</v>
      </c>
      <c r="C125" s="1169"/>
      <c r="D125" s="1169"/>
      <c r="E125" s="1169"/>
      <c r="F125" s="422">
        <v>5088</v>
      </c>
      <c r="G125" s="422">
        <v>37.94</v>
      </c>
      <c r="H125" s="439">
        <v>60.44</v>
      </c>
      <c r="I125" t="s">
        <v>652</v>
      </c>
    </row>
    <row r="126" spans="1:9" ht="27" customHeight="1" x14ac:dyDescent="0.25">
      <c r="A126" s="1214"/>
      <c r="B126" s="1169" t="s">
        <v>101</v>
      </c>
      <c r="C126" s="1169"/>
      <c r="D126" s="1169"/>
      <c r="E126" s="1169"/>
      <c r="F126" s="422">
        <v>72684</v>
      </c>
      <c r="G126" s="422">
        <v>254.88</v>
      </c>
      <c r="H126" s="439">
        <v>520.38</v>
      </c>
      <c r="I126" t="s">
        <v>652</v>
      </c>
    </row>
    <row r="127" spans="1:9" ht="27" customHeight="1" x14ac:dyDescent="0.25">
      <c r="A127" s="1214"/>
      <c r="B127" s="1169" t="s">
        <v>102</v>
      </c>
      <c r="C127" s="1169"/>
      <c r="D127" s="1169"/>
      <c r="E127" s="1169"/>
      <c r="F127" s="433">
        <v>4611</v>
      </c>
      <c r="G127" s="433">
        <v>48.05</v>
      </c>
      <c r="H127" s="438">
        <v>61.55</v>
      </c>
      <c r="I127" t="s">
        <v>652</v>
      </c>
    </row>
    <row r="128" spans="1:9" ht="27" customHeight="1" x14ac:dyDescent="0.25">
      <c r="A128" s="1214"/>
      <c r="B128" s="1169" t="s">
        <v>45</v>
      </c>
      <c r="C128" s="1169"/>
      <c r="D128" s="1169"/>
      <c r="E128" s="1169"/>
      <c r="F128" s="433">
        <v>15695</v>
      </c>
      <c r="G128" s="433">
        <v>150.54</v>
      </c>
      <c r="H128" s="438">
        <v>534.54</v>
      </c>
      <c r="I128" t="s">
        <v>652</v>
      </c>
    </row>
    <row r="129" spans="1:9" ht="27" customHeight="1" x14ac:dyDescent="0.25">
      <c r="A129" s="1214"/>
      <c r="B129" s="1169" t="s">
        <v>103</v>
      </c>
      <c r="C129" s="1169"/>
      <c r="D129" s="1169"/>
      <c r="E129" s="1169"/>
      <c r="F129" s="433">
        <v>1054</v>
      </c>
      <c r="G129" s="433">
        <v>17.18</v>
      </c>
      <c r="H129" s="438">
        <v>41.18</v>
      </c>
      <c r="I129" t="s">
        <v>652</v>
      </c>
    </row>
    <row r="130" spans="1:9" ht="27" customHeight="1" x14ac:dyDescent="0.25">
      <c r="A130" s="1214"/>
      <c r="B130" s="1169" t="s">
        <v>104</v>
      </c>
      <c r="C130" s="1169"/>
      <c r="D130" s="1169"/>
      <c r="E130" s="1169"/>
      <c r="F130" s="433">
        <v>363</v>
      </c>
      <c r="G130" s="433">
        <v>9.17</v>
      </c>
      <c r="H130" s="438">
        <v>21.17</v>
      </c>
      <c r="I130" t="s">
        <v>652</v>
      </c>
    </row>
    <row r="131" spans="1:9" ht="27" customHeight="1" x14ac:dyDescent="0.25">
      <c r="A131" s="1214"/>
      <c r="B131" s="1169" t="s">
        <v>31</v>
      </c>
      <c r="C131" s="1169"/>
      <c r="D131" s="1169"/>
      <c r="E131" s="1169"/>
      <c r="F131" s="433">
        <v>1574</v>
      </c>
      <c r="G131" s="433">
        <v>2.4900000000000002</v>
      </c>
      <c r="H131" s="438">
        <v>5.49</v>
      </c>
      <c r="I131" t="s">
        <v>652</v>
      </c>
    </row>
    <row r="132" spans="1:9" ht="27" customHeight="1" x14ac:dyDescent="0.25">
      <c r="A132" s="1214"/>
      <c r="B132" s="1169" t="s">
        <v>105</v>
      </c>
      <c r="C132" s="1169"/>
      <c r="D132" s="1169"/>
      <c r="E132" s="1169"/>
      <c r="F132" s="433">
        <v>316</v>
      </c>
      <c r="G132" s="433">
        <v>24.28</v>
      </c>
      <c r="H132" s="438">
        <v>27.28</v>
      </c>
      <c r="I132" t="s">
        <v>652</v>
      </c>
    </row>
    <row r="133" spans="1:9" ht="27" customHeight="1" x14ac:dyDescent="0.25">
      <c r="A133" s="1214"/>
      <c r="B133" s="1169" t="s">
        <v>106</v>
      </c>
      <c r="C133" s="1169"/>
      <c r="D133" s="1169"/>
      <c r="E133" s="1169"/>
      <c r="F133" s="433">
        <v>466</v>
      </c>
      <c r="G133" s="433">
        <v>4.22</v>
      </c>
      <c r="H133" s="438">
        <v>10.220000000000001</v>
      </c>
      <c r="I133" t="s">
        <v>652</v>
      </c>
    </row>
    <row r="134" spans="1:9" ht="27" customHeight="1" x14ac:dyDescent="0.25">
      <c r="A134" s="1214"/>
      <c r="B134" s="1169" t="s">
        <v>107</v>
      </c>
      <c r="C134" s="1169"/>
      <c r="D134" s="1169"/>
      <c r="E134" s="1169"/>
      <c r="F134" s="433">
        <v>3680</v>
      </c>
      <c r="G134" s="433">
        <v>43.23</v>
      </c>
      <c r="H134" s="438">
        <v>56.73</v>
      </c>
      <c r="I134" t="s">
        <v>652</v>
      </c>
    </row>
    <row r="135" spans="1:9" ht="27" customHeight="1" x14ac:dyDescent="0.25">
      <c r="A135" s="1214"/>
      <c r="B135" s="1169" t="s">
        <v>108</v>
      </c>
      <c r="C135" s="1169"/>
      <c r="D135" s="1169"/>
      <c r="E135" s="1169"/>
      <c r="F135" s="433">
        <v>383</v>
      </c>
      <c r="G135" s="433">
        <v>7.47</v>
      </c>
      <c r="H135" s="438">
        <v>7.47</v>
      </c>
      <c r="I135" t="s">
        <v>652</v>
      </c>
    </row>
    <row r="136" spans="1:9" ht="27" customHeight="1" x14ac:dyDescent="0.25">
      <c r="A136" s="1214"/>
      <c r="B136" s="1169" t="s">
        <v>109</v>
      </c>
      <c r="C136" s="1169"/>
      <c r="D136" s="1169"/>
      <c r="E136" s="1169"/>
      <c r="F136" s="422">
        <v>1361</v>
      </c>
      <c r="G136" s="422">
        <v>32.96</v>
      </c>
      <c r="H136" s="439">
        <v>37.46</v>
      </c>
      <c r="I136" t="s">
        <v>652</v>
      </c>
    </row>
    <row r="137" spans="1:9" ht="27" customHeight="1" x14ac:dyDescent="0.25">
      <c r="A137" s="1214"/>
      <c r="B137" s="1169" t="s">
        <v>20</v>
      </c>
      <c r="C137" s="1169"/>
      <c r="D137" s="1169"/>
      <c r="E137" s="1169"/>
      <c r="F137" s="422">
        <v>22238</v>
      </c>
      <c r="G137" s="422">
        <v>76.48</v>
      </c>
      <c r="H137" s="439">
        <v>133.47999999999999</v>
      </c>
      <c r="I137" t="s">
        <v>652</v>
      </c>
    </row>
    <row r="138" spans="1:9" ht="27" customHeight="1" x14ac:dyDescent="0.25">
      <c r="A138" s="1214"/>
      <c r="B138" s="1169" t="s">
        <v>227</v>
      </c>
      <c r="C138" s="1169"/>
      <c r="D138" s="1169"/>
      <c r="E138" s="1169"/>
      <c r="F138" s="433">
        <v>1866</v>
      </c>
      <c r="G138" s="433">
        <v>43.17</v>
      </c>
      <c r="H138" s="438">
        <v>91.17</v>
      </c>
      <c r="I138" t="s">
        <v>652</v>
      </c>
    </row>
    <row r="139" spans="1:9" ht="27" customHeight="1" x14ac:dyDescent="0.25">
      <c r="A139" s="1214"/>
      <c r="B139" s="1169" t="s">
        <v>17</v>
      </c>
      <c r="C139" s="1169"/>
      <c r="D139" s="1169"/>
      <c r="E139" s="1169"/>
      <c r="F139" s="433">
        <v>18897</v>
      </c>
      <c r="G139" s="433">
        <v>129.47999999999999</v>
      </c>
      <c r="H139" s="438">
        <v>204.48</v>
      </c>
      <c r="I139" t="s">
        <v>652</v>
      </c>
    </row>
    <row r="140" spans="1:9" ht="27" customHeight="1" x14ac:dyDescent="0.25">
      <c r="A140" s="1214"/>
      <c r="B140" s="1169" t="s">
        <v>45</v>
      </c>
      <c r="C140" s="1169"/>
      <c r="D140" s="1169"/>
      <c r="E140" s="1169"/>
      <c r="F140" s="433">
        <v>8026</v>
      </c>
      <c r="G140" s="433">
        <v>71.19</v>
      </c>
      <c r="H140" s="438">
        <v>104.19</v>
      </c>
      <c r="I140" t="s">
        <v>652</v>
      </c>
    </row>
    <row r="141" spans="1:9" ht="27" customHeight="1" x14ac:dyDescent="0.25">
      <c r="A141" s="1214"/>
      <c r="B141" s="1169" t="s">
        <v>222</v>
      </c>
      <c r="C141" s="1169"/>
      <c r="D141" s="1169"/>
      <c r="E141" s="1169"/>
      <c r="F141" s="433">
        <v>9393</v>
      </c>
      <c r="G141" s="433">
        <v>18.77</v>
      </c>
      <c r="H141" s="438">
        <v>53.27</v>
      </c>
      <c r="I141" t="s">
        <v>652</v>
      </c>
    </row>
    <row r="142" spans="1:9" ht="27" customHeight="1" x14ac:dyDescent="0.25">
      <c r="A142" s="1214"/>
      <c r="B142" s="1169" t="s">
        <v>263</v>
      </c>
      <c r="C142" s="1169"/>
      <c r="D142" s="1169"/>
      <c r="E142" s="1169"/>
      <c r="F142" s="433">
        <v>4025</v>
      </c>
      <c r="G142" s="433">
        <v>58.08</v>
      </c>
      <c r="H142" s="438">
        <v>73.08</v>
      </c>
      <c r="I142" t="s">
        <v>652</v>
      </c>
    </row>
    <row r="143" spans="1:9" ht="27" customHeight="1" x14ac:dyDescent="0.25">
      <c r="A143" s="1214"/>
      <c r="B143" s="1169" t="s">
        <v>238</v>
      </c>
      <c r="C143" s="1169"/>
      <c r="D143" s="1169"/>
      <c r="E143" s="1169"/>
      <c r="F143" s="433">
        <v>4735</v>
      </c>
      <c r="G143" s="433">
        <v>85.99</v>
      </c>
      <c r="H143" s="438">
        <v>103.99</v>
      </c>
      <c r="I143" t="s">
        <v>652</v>
      </c>
    </row>
    <row r="144" spans="1:9" ht="27" customHeight="1" x14ac:dyDescent="0.25">
      <c r="A144" s="1214"/>
      <c r="B144" s="1169" t="s">
        <v>656</v>
      </c>
      <c r="C144" s="1169"/>
      <c r="D144" s="1169"/>
      <c r="E144" s="1169"/>
      <c r="F144" s="433">
        <v>171.238</v>
      </c>
      <c r="G144" s="433">
        <v>1.3460000000000001</v>
      </c>
      <c r="H144" s="438">
        <v>1.3460000000000001</v>
      </c>
      <c r="I144" t="s">
        <v>652</v>
      </c>
    </row>
    <row r="145" spans="1:36" ht="27" customHeight="1" x14ac:dyDescent="0.25">
      <c r="A145" s="1214"/>
      <c r="B145" s="1169" t="s">
        <v>636</v>
      </c>
      <c r="C145" s="1169"/>
      <c r="D145" s="1169"/>
      <c r="E145" s="1169"/>
      <c r="F145" s="433">
        <v>3578</v>
      </c>
      <c r="G145" s="433">
        <v>55.14</v>
      </c>
      <c r="H145" s="438">
        <v>68.64</v>
      </c>
      <c r="I145" t="s">
        <v>652</v>
      </c>
    </row>
    <row r="146" spans="1:36" ht="27" customHeight="1" x14ac:dyDescent="0.25">
      <c r="A146" s="1214"/>
      <c r="B146" s="1169" t="s">
        <v>634</v>
      </c>
      <c r="C146" s="1169"/>
      <c r="D146" s="1169"/>
      <c r="E146" s="1169"/>
      <c r="F146" s="422">
        <v>26035.181250000001</v>
      </c>
      <c r="G146" s="422">
        <v>332.55</v>
      </c>
      <c r="H146" s="439">
        <v>965.55</v>
      </c>
      <c r="I146" t="s">
        <v>652</v>
      </c>
    </row>
    <row r="147" spans="1:36" ht="27" customHeight="1" x14ac:dyDescent="0.25">
      <c r="A147" s="1214"/>
      <c r="B147" s="1169" t="s">
        <v>108</v>
      </c>
      <c r="C147" s="1169"/>
      <c r="D147" s="1169"/>
      <c r="E147" s="1169"/>
      <c r="F147" s="433">
        <v>8740.8244067796604</v>
      </c>
      <c r="G147" s="433">
        <v>54.35</v>
      </c>
      <c r="H147" s="438">
        <v>78.349999999999994</v>
      </c>
      <c r="I147" t="s">
        <v>652</v>
      </c>
    </row>
    <row r="148" spans="1:36" ht="27" customHeight="1" x14ac:dyDescent="0.25">
      <c r="A148" s="1214"/>
      <c r="B148" s="1169" t="s">
        <v>398</v>
      </c>
      <c r="C148" s="1169"/>
      <c r="D148" s="1169"/>
      <c r="E148" s="1169"/>
      <c r="F148" s="433">
        <v>610</v>
      </c>
      <c r="G148" s="433">
        <v>4.5</v>
      </c>
      <c r="H148" s="438">
        <v>6</v>
      </c>
      <c r="I148" t="s">
        <v>652</v>
      </c>
    </row>
    <row r="149" spans="1:36" ht="27" customHeight="1" x14ac:dyDescent="0.25">
      <c r="A149" s="1214"/>
      <c r="B149" s="1169" t="s">
        <v>287</v>
      </c>
      <c r="C149" s="1169"/>
      <c r="D149" s="1169"/>
      <c r="E149" s="1169"/>
      <c r="F149" s="433">
        <v>13298</v>
      </c>
      <c r="G149" s="433">
        <v>96.41</v>
      </c>
      <c r="H149" s="438">
        <v>139.91</v>
      </c>
      <c r="I149" t="s">
        <v>652</v>
      </c>
    </row>
    <row r="150" spans="1:36" ht="27" customHeight="1" x14ac:dyDescent="0.25">
      <c r="A150" s="1214"/>
      <c r="B150" s="1169" t="s">
        <v>448</v>
      </c>
      <c r="C150" s="1169"/>
      <c r="D150" s="1169"/>
      <c r="E150" s="1169"/>
      <c r="F150" s="433">
        <v>5857.885830508475</v>
      </c>
      <c r="G150" s="433">
        <v>65.98</v>
      </c>
      <c r="H150" s="438">
        <v>89.98</v>
      </c>
      <c r="I150" t="s">
        <v>652</v>
      </c>
    </row>
    <row r="151" spans="1:36" ht="27" customHeight="1" x14ac:dyDescent="0.25">
      <c r="A151" s="1215"/>
      <c r="B151" s="1173" t="s">
        <v>653</v>
      </c>
      <c r="C151" s="1173"/>
      <c r="D151" s="1173"/>
      <c r="E151" s="1173"/>
      <c r="F151" s="433">
        <v>2579.12</v>
      </c>
      <c r="G151" s="433">
        <v>78.709999999999994</v>
      </c>
      <c r="H151" s="438">
        <v>92.21</v>
      </c>
      <c r="I151" t="s">
        <v>652</v>
      </c>
    </row>
    <row r="152" spans="1:36" ht="27" customHeight="1" x14ac:dyDescent="0.25">
      <c r="A152" s="1215"/>
      <c r="B152" s="1173" t="s">
        <v>459</v>
      </c>
      <c r="C152" s="1173"/>
      <c r="D152" s="1173"/>
      <c r="E152" s="1173"/>
      <c r="F152" s="433">
        <v>70194.953898305088</v>
      </c>
      <c r="G152" s="433">
        <v>398.16</v>
      </c>
      <c r="H152" s="438">
        <v>639.66</v>
      </c>
      <c r="I152" t="s">
        <v>652</v>
      </c>
    </row>
    <row r="153" spans="1:36" ht="27" customHeight="1" thickBot="1" x14ac:dyDescent="0.3">
      <c r="A153" s="1216"/>
      <c r="B153" s="1173" t="s">
        <v>632</v>
      </c>
      <c r="C153" s="1173"/>
      <c r="D153" s="1173"/>
      <c r="E153" s="1173"/>
      <c r="F153" s="433">
        <v>18919.28441</v>
      </c>
      <c r="G153" s="433">
        <v>200.05</v>
      </c>
      <c r="H153" s="438">
        <v>285.55</v>
      </c>
      <c r="I153" t="s">
        <v>652</v>
      </c>
    </row>
    <row r="154" spans="1:36" ht="24" customHeight="1" thickTop="1" x14ac:dyDescent="0.25">
      <c r="A154" s="1190">
        <v>2026</v>
      </c>
      <c r="B154" s="1200"/>
      <c r="C154" s="1200"/>
      <c r="D154" s="1200"/>
      <c r="E154" s="1200"/>
      <c r="F154" s="444"/>
      <c r="G154" s="444"/>
      <c r="H154" s="444"/>
      <c r="I154" s="1187" t="s">
        <v>637</v>
      </c>
    </row>
    <row r="155" spans="1:36" ht="24" customHeight="1" x14ac:dyDescent="0.25">
      <c r="A155" s="1191"/>
      <c r="B155" s="1169"/>
      <c r="C155" s="1169"/>
      <c r="D155" s="1169"/>
      <c r="E155" s="1169"/>
      <c r="F155" s="422"/>
      <c r="G155" s="422"/>
      <c r="H155" s="422"/>
      <c r="I155" s="1188"/>
    </row>
    <row r="156" spans="1:36" ht="24" customHeight="1" x14ac:dyDescent="0.25">
      <c r="A156" s="1191"/>
      <c r="B156" s="1113"/>
      <c r="C156" s="1113"/>
      <c r="D156" s="1113"/>
      <c r="E156" s="1113"/>
      <c r="F156" s="422"/>
      <c r="G156" s="422"/>
      <c r="H156" s="422"/>
      <c r="I156" s="1188"/>
      <c r="AJ156" t="s">
        <v>16</v>
      </c>
    </row>
    <row r="157" spans="1:36" ht="24" customHeight="1" x14ac:dyDescent="0.25">
      <c r="A157" s="1191"/>
      <c r="B157" s="1169"/>
      <c r="C157" s="1169"/>
      <c r="D157" s="1169"/>
      <c r="E157" s="1169"/>
      <c r="F157" s="422"/>
      <c r="G157" s="422"/>
      <c r="H157" s="422"/>
      <c r="I157" s="1188"/>
    </row>
    <row r="158" spans="1:36" ht="24" customHeight="1" x14ac:dyDescent="0.25">
      <c r="A158" s="1191"/>
      <c r="B158" s="1169"/>
      <c r="C158" s="1169"/>
      <c r="D158" s="1169"/>
      <c r="E158" s="1169"/>
      <c r="F158" s="422"/>
      <c r="G158" s="422"/>
      <c r="H158" s="422"/>
      <c r="I158" s="1188"/>
    </row>
    <row r="159" spans="1:36" ht="24" customHeight="1" x14ac:dyDescent="0.25">
      <c r="A159" s="1191"/>
      <c r="B159" s="1169"/>
      <c r="C159" s="1169"/>
      <c r="D159" s="1169"/>
      <c r="E159" s="1169"/>
      <c r="F159" s="422"/>
      <c r="G159" s="422"/>
      <c r="H159" s="422"/>
      <c r="I159" s="1188"/>
    </row>
    <row r="160" spans="1:36" ht="24" customHeight="1" x14ac:dyDescent="0.25">
      <c r="A160" s="1191"/>
      <c r="B160" s="1169"/>
      <c r="C160" s="1169"/>
      <c r="D160" s="1169"/>
      <c r="E160" s="1169"/>
      <c r="F160" s="422"/>
      <c r="G160" s="422"/>
      <c r="H160" s="422"/>
      <c r="I160" s="1188"/>
    </row>
    <row r="161" spans="1:10" ht="24" customHeight="1" x14ac:dyDescent="0.25">
      <c r="A161" s="1191"/>
      <c r="B161" s="1169"/>
      <c r="C161" s="1169"/>
      <c r="D161" s="1169"/>
      <c r="E161" s="1169"/>
      <c r="F161" s="422"/>
      <c r="G161" s="422"/>
      <c r="H161" s="422"/>
      <c r="I161" s="1188"/>
    </row>
    <row r="162" spans="1:10" ht="24" customHeight="1" x14ac:dyDescent="0.25">
      <c r="A162" s="1191"/>
      <c r="B162" s="1169"/>
      <c r="C162" s="1169"/>
      <c r="D162" s="1169"/>
      <c r="E162" s="1169"/>
      <c r="F162" s="422"/>
      <c r="G162" s="422"/>
      <c r="H162" s="422"/>
      <c r="I162" s="1188"/>
    </row>
    <row r="163" spans="1:10" ht="24" customHeight="1" x14ac:dyDescent="0.25">
      <c r="A163" s="1191"/>
      <c r="B163" s="1169"/>
      <c r="C163" s="1169"/>
      <c r="D163" s="1169"/>
      <c r="E163" s="1169"/>
      <c r="F163" s="422"/>
      <c r="G163" s="422"/>
      <c r="H163" s="422"/>
      <c r="I163" s="1188"/>
    </row>
    <row r="164" spans="1:10" ht="24" customHeight="1" x14ac:dyDescent="0.25">
      <c r="A164" s="1191"/>
      <c r="B164" s="1169"/>
      <c r="C164" s="1169"/>
      <c r="D164" s="1169"/>
      <c r="E164" s="1169"/>
      <c r="F164" s="422"/>
      <c r="G164" s="422"/>
      <c r="H164" s="422"/>
      <c r="I164" s="1188"/>
    </row>
    <row r="165" spans="1:10" ht="24" customHeight="1" x14ac:dyDescent="0.25">
      <c r="A165" s="1191"/>
      <c r="B165" s="1169"/>
      <c r="C165" s="1169"/>
      <c r="D165" s="1169"/>
      <c r="E165" s="1169"/>
      <c r="F165" s="422"/>
      <c r="G165" s="422"/>
      <c r="H165" s="422"/>
      <c r="I165" s="1188"/>
    </row>
    <row r="166" spans="1:10" ht="24" customHeight="1" x14ac:dyDescent="0.25">
      <c r="A166" s="1191"/>
      <c r="B166" s="1113"/>
      <c r="C166" s="1113"/>
      <c r="D166" s="1113"/>
      <c r="E166" s="1113"/>
      <c r="F166" s="422"/>
      <c r="G166" s="422"/>
      <c r="H166" s="422"/>
      <c r="I166" s="1188"/>
    </row>
    <row r="167" spans="1:10" ht="24" customHeight="1" x14ac:dyDescent="0.25">
      <c r="A167" s="1191"/>
      <c r="B167" s="1113"/>
      <c r="C167" s="1113"/>
      <c r="D167" s="1113"/>
      <c r="E167" s="1113"/>
      <c r="F167" s="422"/>
      <c r="G167" s="422"/>
      <c r="H167" s="422"/>
      <c r="I167" s="1188"/>
    </row>
    <row r="168" spans="1:10" ht="24" customHeight="1" x14ac:dyDescent="0.25">
      <c r="A168" s="1191"/>
      <c r="B168" s="1113"/>
      <c r="C168" s="1113"/>
      <c r="D168" s="1113"/>
      <c r="E168" s="1113"/>
      <c r="F168" s="422"/>
      <c r="G168" s="422"/>
      <c r="H168" s="422"/>
      <c r="I168" s="1188"/>
    </row>
    <row r="169" spans="1:10" ht="24" customHeight="1" x14ac:dyDescent="0.25">
      <c r="A169" s="1191"/>
      <c r="B169" s="1113"/>
      <c r="C169" s="1113"/>
      <c r="D169" s="1113"/>
      <c r="E169" s="1113"/>
      <c r="F169" s="422"/>
      <c r="G169" s="422"/>
      <c r="H169" s="422"/>
      <c r="I169" s="1188"/>
    </row>
    <row r="170" spans="1:10" ht="24" customHeight="1" x14ac:dyDescent="0.25">
      <c r="A170" s="1191"/>
      <c r="B170" s="1113"/>
      <c r="C170" s="1113"/>
      <c r="D170" s="1113"/>
      <c r="E170" s="1113"/>
      <c r="F170" s="422"/>
      <c r="G170" s="422"/>
      <c r="H170" s="422"/>
      <c r="I170" s="1188"/>
    </row>
    <row r="171" spans="1:10" ht="24" customHeight="1" x14ac:dyDescent="0.25">
      <c r="A171" s="1191"/>
      <c r="B171" s="1113"/>
      <c r="C171" s="1113"/>
      <c r="D171" s="1113"/>
      <c r="E171" s="1113"/>
      <c r="F171" s="422"/>
      <c r="G171" s="422"/>
      <c r="H171" s="422"/>
      <c r="I171" s="1188"/>
    </row>
    <row r="172" spans="1:10" ht="24" customHeight="1" x14ac:dyDescent="0.25">
      <c r="A172" s="1191"/>
      <c r="B172" s="1113"/>
      <c r="C172" s="1113"/>
      <c r="D172" s="1113"/>
      <c r="E172" s="1113"/>
      <c r="F172" s="422"/>
      <c r="G172" s="422"/>
      <c r="H172" s="422"/>
      <c r="I172" s="1188"/>
    </row>
    <row r="173" spans="1:10" ht="24" customHeight="1" x14ac:dyDescent="0.25">
      <c r="A173" s="1191"/>
      <c r="B173" s="1113"/>
      <c r="C173" s="1113"/>
      <c r="D173" s="1113"/>
      <c r="E173" s="1113"/>
      <c r="F173" s="422"/>
      <c r="G173" s="422"/>
      <c r="H173" s="422"/>
      <c r="I173" s="1188"/>
    </row>
    <row r="174" spans="1:10" ht="24" customHeight="1" thickBot="1" x14ac:dyDescent="0.3">
      <c r="A174" s="1191"/>
      <c r="B174" s="1223"/>
      <c r="C174" s="1223"/>
      <c r="D174" s="1223"/>
      <c r="E174" s="1223"/>
      <c r="F174" s="481"/>
      <c r="G174" s="481"/>
      <c r="H174" s="481"/>
      <c r="I174" s="1189"/>
    </row>
    <row r="175" spans="1:10" ht="24" customHeight="1" x14ac:dyDescent="0.25">
      <c r="A175" s="1192"/>
      <c r="B175" s="1172" t="s">
        <v>467</v>
      </c>
      <c r="C175" s="1172"/>
      <c r="D175" s="1172"/>
      <c r="E175" s="1172"/>
      <c r="F175" s="434">
        <v>2048</v>
      </c>
      <c r="G175" s="434">
        <v>10.57</v>
      </c>
      <c r="H175" s="434">
        <v>19.57</v>
      </c>
      <c r="I175" s="1194" t="s">
        <v>638</v>
      </c>
      <c r="J175" t="s">
        <v>652</v>
      </c>
    </row>
    <row r="176" spans="1:10" ht="24" customHeight="1" x14ac:dyDescent="0.25">
      <c r="A176" s="1192"/>
      <c r="B176" s="1113" t="s">
        <v>635</v>
      </c>
      <c r="C176" s="1113"/>
      <c r="D176" s="1113"/>
      <c r="E176" s="1113"/>
      <c r="F176" s="422">
        <v>7514.0420338983004</v>
      </c>
      <c r="G176" s="422">
        <v>18.59</v>
      </c>
      <c r="H176" s="422">
        <v>45.59</v>
      </c>
      <c r="I176" s="1188"/>
      <c r="J176" t="s">
        <v>652</v>
      </c>
    </row>
    <row r="177" spans="1:10" ht="24" customHeight="1" x14ac:dyDescent="0.25">
      <c r="A177" s="1192"/>
      <c r="B177" s="1169" t="s">
        <v>462</v>
      </c>
      <c r="C177" s="1169"/>
      <c r="D177" s="1169"/>
      <c r="E177" s="1169"/>
      <c r="F177" s="422">
        <v>25135.620711864409</v>
      </c>
      <c r="G177" s="422">
        <v>41.06</v>
      </c>
      <c r="H177" s="422">
        <v>140.06</v>
      </c>
      <c r="I177" s="1188"/>
      <c r="J177" t="s">
        <v>652</v>
      </c>
    </row>
    <row r="178" spans="1:10" ht="24" customHeight="1" x14ac:dyDescent="0.25">
      <c r="A178" s="1192"/>
      <c r="B178" s="1169" t="s">
        <v>463</v>
      </c>
      <c r="C178" s="1169"/>
      <c r="D178" s="1169"/>
      <c r="E178" s="1169"/>
      <c r="F178" s="422">
        <v>9200.8677966101695</v>
      </c>
      <c r="G178" s="422">
        <v>98.81</v>
      </c>
      <c r="H178" s="422">
        <v>142.31</v>
      </c>
      <c r="I178" s="1188"/>
      <c r="J178" t="s">
        <v>652</v>
      </c>
    </row>
    <row r="179" spans="1:10" ht="24" customHeight="1" x14ac:dyDescent="0.25">
      <c r="A179" s="1192"/>
      <c r="B179" s="1169" t="s">
        <v>494</v>
      </c>
      <c r="C179" s="1169"/>
      <c r="D179" s="1169"/>
      <c r="E179" s="1169"/>
      <c r="F179" s="422">
        <v>46200</v>
      </c>
      <c r="G179" s="422">
        <v>242.57</v>
      </c>
      <c r="H179" s="422">
        <v>476.57</v>
      </c>
      <c r="I179" s="1188"/>
      <c r="J179" t="s">
        <v>652</v>
      </c>
    </row>
    <row r="180" spans="1:10" ht="24" customHeight="1" x14ac:dyDescent="0.25">
      <c r="A180" s="1192"/>
      <c r="B180" s="1169" t="s">
        <v>501</v>
      </c>
      <c r="C180" s="1169"/>
      <c r="D180" s="1169"/>
      <c r="E180" s="1169"/>
      <c r="F180" s="422">
        <v>12322.134406779664</v>
      </c>
      <c r="G180" s="422">
        <v>55.79</v>
      </c>
      <c r="H180" s="422">
        <v>117.29</v>
      </c>
      <c r="I180" s="1188"/>
      <c r="J180" t="s">
        <v>652</v>
      </c>
    </row>
    <row r="181" spans="1:10" ht="24" customHeight="1" x14ac:dyDescent="0.25">
      <c r="A181" s="1192"/>
      <c r="B181" s="1169" t="s">
        <v>505</v>
      </c>
      <c r="C181" s="1169"/>
      <c r="D181" s="1169"/>
      <c r="E181" s="1169"/>
      <c r="F181" s="422">
        <v>230.02169491525427</v>
      </c>
      <c r="G181" s="422">
        <v>3.02</v>
      </c>
      <c r="H181" s="422">
        <v>3.02</v>
      </c>
      <c r="I181" s="1188"/>
      <c r="J181" t="s">
        <v>652</v>
      </c>
    </row>
    <row r="182" spans="1:10" ht="24" customHeight="1" x14ac:dyDescent="0.25">
      <c r="A182" s="1192"/>
      <c r="B182" s="1169" t="s">
        <v>493</v>
      </c>
      <c r="C182" s="1169"/>
      <c r="D182" s="1169"/>
      <c r="E182" s="1169"/>
      <c r="F182" s="422">
        <v>8434.1288135593222</v>
      </c>
      <c r="G182" s="422">
        <v>81.680000000000007</v>
      </c>
      <c r="H182" s="422">
        <v>123.68</v>
      </c>
      <c r="I182" s="1188"/>
      <c r="J182" t="s">
        <v>652</v>
      </c>
    </row>
    <row r="183" spans="1:10" ht="24" customHeight="1" x14ac:dyDescent="0.25">
      <c r="A183" s="1192"/>
      <c r="B183" s="1169" t="s">
        <v>517</v>
      </c>
      <c r="C183" s="1169"/>
      <c r="D183" s="1169"/>
      <c r="E183" s="1169"/>
      <c r="F183" s="422">
        <v>6662.2647272727281</v>
      </c>
      <c r="G183" s="422">
        <v>46.73</v>
      </c>
      <c r="H183" s="422">
        <v>60.23</v>
      </c>
      <c r="I183" s="1188"/>
      <c r="J183" t="s">
        <v>652</v>
      </c>
    </row>
    <row r="184" spans="1:10" ht="24" customHeight="1" x14ac:dyDescent="0.25">
      <c r="A184" s="1192"/>
      <c r="B184" s="1169" t="s">
        <v>498</v>
      </c>
      <c r="C184" s="1169"/>
      <c r="D184" s="1169"/>
      <c r="E184" s="1169"/>
      <c r="F184" s="422">
        <v>8098.6805084745765</v>
      </c>
      <c r="G184" s="422">
        <v>9.98</v>
      </c>
      <c r="H184" s="422">
        <v>33.979999999999997</v>
      </c>
      <c r="I184" s="1188"/>
      <c r="J184" t="s">
        <v>652</v>
      </c>
    </row>
    <row r="185" spans="1:10" ht="24" customHeight="1" x14ac:dyDescent="0.25">
      <c r="A185" s="1192"/>
      <c r="B185" s="1169" t="s">
        <v>536</v>
      </c>
      <c r="C185" s="1169"/>
      <c r="D185" s="1169"/>
      <c r="E185" s="1169"/>
      <c r="F185" s="422">
        <v>21797.430864406782</v>
      </c>
      <c r="G185" s="422">
        <v>62.87</v>
      </c>
      <c r="H185" s="422">
        <v>146.87</v>
      </c>
      <c r="I185" s="1188"/>
      <c r="J185" t="s">
        <v>652</v>
      </c>
    </row>
    <row r="186" spans="1:10" ht="24" customHeight="1" x14ac:dyDescent="0.25">
      <c r="A186" s="1192"/>
      <c r="B186" s="1113" t="s">
        <v>613</v>
      </c>
      <c r="C186" s="1113"/>
      <c r="D186" s="1113"/>
      <c r="E186" s="1113"/>
      <c r="F186" s="422">
        <v>2354</v>
      </c>
      <c r="G186" s="422">
        <v>8.94</v>
      </c>
      <c r="H186" s="422">
        <v>12.68</v>
      </c>
      <c r="I186" s="1188"/>
      <c r="J186" t="s">
        <v>652</v>
      </c>
    </row>
    <row r="187" spans="1:10" ht="24" customHeight="1" x14ac:dyDescent="0.25">
      <c r="A187" s="1192"/>
      <c r="B187" s="1113" t="s">
        <v>628</v>
      </c>
      <c r="C187" s="1113"/>
      <c r="D187" s="1113"/>
      <c r="E187" s="1113"/>
      <c r="F187" s="422">
        <v>1897.6789830508476</v>
      </c>
      <c r="G187" s="422">
        <v>21.28</v>
      </c>
      <c r="H187" s="422">
        <v>27.28</v>
      </c>
      <c r="I187" s="1188"/>
    </row>
    <row r="188" spans="1:10" ht="24" customHeight="1" x14ac:dyDescent="0.25">
      <c r="A188" s="1192"/>
      <c r="B188" s="1113" t="s">
        <v>591</v>
      </c>
      <c r="C188" s="1113"/>
      <c r="D188" s="1113"/>
      <c r="E188" s="1113"/>
      <c r="F188" s="422">
        <v>12162.397118644069</v>
      </c>
      <c r="G188" s="422">
        <v>75.69</v>
      </c>
      <c r="H188" s="422">
        <v>131.19</v>
      </c>
      <c r="I188" s="1188"/>
    </row>
    <row r="189" spans="1:10" ht="24" customHeight="1" x14ac:dyDescent="0.25">
      <c r="A189" s="1192"/>
      <c r="B189" s="1113" t="s">
        <v>631</v>
      </c>
      <c r="C189" s="1113"/>
      <c r="D189" s="1113"/>
      <c r="E189" s="1113"/>
      <c r="F189" s="422">
        <v>35193.319322033902</v>
      </c>
      <c r="G189" s="422">
        <v>481.59</v>
      </c>
      <c r="H189" s="422">
        <v>654.09</v>
      </c>
      <c r="I189" s="1188"/>
    </row>
    <row r="190" spans="1:10" ht="24" customHeight="1" x14ac:dyDescent="0.25">
      <c r="A190" s="1192"/>
      <c r="B190" s="1113"/>
      <c r="C190" s="1113"/>
      <c r="D190" s="1113"/>
      <c r="E190" s="1113"/>
      <c r="F190" s="422"/>
      <c r="G190" s="422"/>
      <c r="H190" s="422"/>
      <c r="I190" s="1188"/>
    </row>
    <row r="191" spans="1:10" ht="24" customHeight="1" x14ac:dyDescent="0.25">
      <c r="A191" s="1192"/>
      <c r="B191" s="1113"/>
      <c r="C191" s="1113"/>
      <c r="D191" s="1113"/>
      <c r="E191" s="1113"/>
      <c r="F191" s="422"/>
      <c r="G191" s="422"/>
      <c r="H191" s="422"/>
      <c r="I191" s="1188"/>
    </row>
    <row r="192" spans="1:10" ht="24" customHeight="1" x14ac:dyDescent="0.25">
      <c r="A192" s="1192"/>
      <c r="B192" s="1113"/>
      <c r="C192" s="1113"/>
      <c r="D192" s="1113"/>
      <c r="E192" s="1113"/>
      <c r="F192" s="422"/>
      <c r="G192" s="422"/>
      <c r="H192" s="422"/>
      <c r="I192" s="1188"/>
    </row>
    <row r="193" spans="1:9" ht="24" customHeight="1" x14ac:dyDescent="0.25">
      <c r="A193" s="1192"/>
      <c r="B193" s="1113"/>
      <c r="C193" s="1113"/>
      <c r="D193" s="1113"/>
      <c r="E193" s="1113"/>
      <c r="F193" s="422"/>
      <c r="G193" s="422"/>
      <c r="H193" s="422"/>
      <c r="I193" s="1188"/>
    </row>
    <row r="194" spans="1:9" ht="24" customHeight="1" x14ac:dyDescent="0.25">
      <c r="A194" s="1192"/>
      <c r="B194" s="1113"/>
      <c r="C194" s="1113"/>
      <c r="D194" s="1113"/>
      <c r="E194" s="1113"/>
      <c r="F194" s="422"/>
      <c r="G194" s="422"/>
      <c r="H194" s="422"/>
      <c r="I194" s="1188"/>
    </row>
    <row r="195" spans="1:9" ht="24" customHeight="1" x14ac:dyDescent="0.25">
      <c r="A195" s="1192"/>
      <c r="B195" s="1113"/>
      <c r="C195" s="1113"/>
      <c r="D195" s="1113"/>
      <c r="E195" s="1113"/>
      <c r="F195" s="422"/>
      <c r="G195" s="422"/>
      <c r="H195" s="422"/>
      <c r="I195" s="1188"/>
    </row>
    <row r="196" spans="1:9" ht="24" customHeight="1" x14ac:dyDescent="0.25">
      <c r="A196" s="1192"/>
      <c r="B196" s="1113"/>
      <c r="C196" s="1113"/>
      <c r="D196" s="1113"/>
      <c r="E196" s="1113"/>
      <c r="F196" s="422"/>
      <c r="G196" s="422"/>
      <c r="H196" s="422"/>
      <c r="I196" s="1188"/>
    </row>
    <row r="197" spans="1:9" ht="24" customHeight="1" x14ac:dyDescent="0.25">
      <c r="A197" s="1192"/>
      <c r="B197" s="1113"/>
      <c r="C197" s="1113"/>
      <c r="D197" s="1113"/>
      <c r="E197" s="1113"/>
      <c r="F197" s="422"/>
      <c r="G197" s="422"/>
      <c r="H197" s="422"/>
      <c r="I197" s="1188"/>
    </row>
    <row r="198" spans="1:9" ht="24" customHeight="1" x14ac:dyDescent="0.25">
      <c r="A198" s="1192"/>
      <c r="B198" s="1113"/>
      <c r="C198" s="1113"/>
      <c r="D198" s="1113"/>
      <c r="E198" s="1113"/>
      <c r="F198" s="422"/>
      <c r="G198" s="422"/>
      <c r="H198" s="422"/>
      <c r="I198" s="1188"/>
    </row>
    <row r="199" spans="1:9" ht="24" customHeight="1" x14ac:dyDescent="0.25">
      <c r="A199" s="1192"/>
      <c r="B199" s="1113"/>
      <c r="C199" s="1113"/>
      <c r="D199" s="1113"/>
      <c r="E199" s="1113"/>
      <c r="F199" s="422"/>
      <c r="G199" s="422"/>
      <c r="H199" s="422"/>
      <c r="I199" s="1188"/>
    </row>
    <row r="200" spans="1:9" ht="24" customHeight="1" x14ac:dyDescent="0.25">
      <c r="A200" s="1192"/>
      <c r="B200" s="1113"/>
      <c r="C200" s="1113"/>
      <c r="D200" s="1113"/>
      <c r="E200" s="1113"/>
      <c r="F200" s="422"/>
      <c r="G200" s="422"/>
      <c r="H200" s="422"/>
      <c r="I200" s="1188"/>
    </row>
    <row r="201" spans="1:9" ht="24" customHeight="1" x14ac:dyDescent="0.25">
      <c r="A201" s="1192"/>
      <c r="B201" s="1113"/>
      <c r="C201" s="1113"/>
      <c r="D201" s="1113"/>
      <c r="E201" s="1113"/>
      <c r="F201" s="422"/>
      <c r="G201" s="422"/>
      <c r="H201" s="422"/>
      <c r="I201" s="1188"/>
    </row>
    <row r="202" spans="1:9" ht="24" customHeight="1" x14ac:dyDescent="0.25">
      <c r="A202" s="1192"/>
      <c r="B202" s="1113"/>
      <c r="C202" s="1113"/>
      <c r="D202" s="1113"/>
      <c r="E202" s="1113"/>
      <c r="F202" s="422"/>
      <c r="G202" s="422"/>
      <c r="H202" s="422"/>
      <c r="I202" s="1188"/>
    </row>
    <row r="203" spans="1:9" ht="24" customHeight="1" x14ac:dyDescent="0.25">
      <c r="A203" s="1192"/>
      <c r="B203" s="1113"/>
      <c r="C203" s="1113"/>
      <c r="D203" s="1113"/>
      <c r="E203" s="1113"/>
      <c r="F203" s="422"/>
      <c r="G203" s="422"/>
      <c r="H203" s="422"/>
      <c r="I203" s="1188"/>
    </row>
    <row r="204" spans="1:9" ht="24" customHeight="1" x14ac:dyDescent="0.25">
      <c r="A204" s="1192"/>
      <c r="B204" s="1113"/>
      <c r="C204" s="1113"/>
      <c r="D204" s="1113"/>
      <c r="E204" s="1113"/>
      <c r="F204" s="422"/>
      <c r="G204" s="422"/>
      <c r="H204" s="422"/>
      <c r="I204" s="1188"/>
    </row>
    <row r="205" spans="1:9" ht="24" customHeight="1" x14ac:dyDescent="0.25">
      <c r="A205" s="1192"/>
      <c r="B205" s="1113"/>
      <c r="C205" s="1113"/>
      <c r="D205" s="1113"/>
      <c r="E205" s="1113"/>
      <c r="F205" s="422"/>
      <c r="G205" s="422"/>
      <c r="H205" s="422"/>
      <c r="I205" s="1188"/>
    </row>
    <row r="206" spans="1:9" ht="24" customHeight="1" x14ac:dyDescent="0.25">
      <c r="A206" s="1192"/>
      <c r="B206" s="1113"/>
      <c r="C206" s="1113"/>
      <c r="D206" s="1113"/>
      <c r="E206" s="1113"/>
      <c r="F206" s="422"/>
      <c r="G206" s="422"/>
      <c r="H206" s="422"/>
      <c r="I206" s="1188"/>
    </row>
    <row r="207" spans="1:9" ht="24" customHeight="1" x14ac:dyDescent="0.25">
      <c r="A207" s="1192"/>
      <c r="B207" s="1113"/>
      <c r="C207" s="1113"/>
      <c r="D207" s="1113"/>
      <c r="E207" s="1113"/>
      <c r="F207" s="422"/>
      <c r="G207" s="422"/>
      <c r="H207" s="422"/>
      <c r="I207" s="1188"/>
    </row>
    <row r="208" spans="1:9" ht="24" customHeight="1" x14ac:dyDescent="0.25">
      <c r="A208" s="1192"/>
      <c r="B208" s="1113"/>
      <c r="C208" s="1113"/>
      <c r="D208" s="1113"/>
      <c r="E208" s="1113"/>
      <c r="F208" s="422"/>
      <c r="G208" s="422"/>
      <c r="H208" s="422"/>
      <c r="I208" s="1188"/>
    </row>
    <row r="209" spans="1:9" ht="24" customHeight="1" x14ac:dyDescent="0.25">
      <c r="A209" s="1192"/>
      <c r="B209" s="1113"/>
      <c r="C209" s="1113"/>
      <c r="D209" s="1113"/>
      <c r="E209" s="1113"/>
      <c r="F209" s="422"/>
      <c r="G209" s="422"/>
      <c r="H209" s="422"/>
      <c r="I209" s="1188"/>
    </row>
    <row r="210" spans="1:9" ht="24" customHeight="1" x14ac:dyDescent="0.25">
      <c r="A210" s="1192"/>
      <c r="B210" s="1113"/>
      <c r="C210" s="1113"/>
      <c r="D210" s="1113"/>
      <c r="E210" s="1113"/>
      <c r="F210" s="422"/>
      <c r="G210" s="422"/>
      <c r="H210" s="422"/>
      <c r="I210" s="1188"/>
    </row>
    <row r="211" spans="1:9" ht="24" customHeight="1" x14ac:dyDescent="0.25">
      <c r="A211" s="1192"/>
      <c r="B211" s="1113"/>
      <c r="C211" s="1113"/>
      <c r="D211" s="1113"/>
      <c r="E211" s="1113"/>
      <c r="F211" s="422"/>
      <c r="G211" s="422"/>
      <c r="H211" s="422"/>
      <c r="I211" s="1188"/>
    </row>
    <row r="212" spans="1:9" ht="24" customHeight="1" x14ac:dyDescent="0.25">
      <c r="A212" s="1192"/>
      <c r="B212" s="1113"/>
      <c r="C212" s="1113"/>
      <c r="D212" s="1113"/>
      <c r="E212" s="1113"/>
      <c r="F212" s="422"/>
      <c r="G212" s="422"/>
      <c r="H212" s="422"/>
      <c r="I212" s="1188"/>
    </row>
    <row r="213" spans="1:9" ht="24" customHeight="1" x14ac:dyDescent="0.25">
      <c r="A213" s="1192"/>
      <c r="B213" s="1113"/>
      <c r="C213" s="1113"/>
      <c r="D213" s="1113"/>
      <c r="E213" s="1113"/>
      <c r="F213" s="422"/>
      <c r="G213" s="422"/>
      <c r="H213" s="422"/>
      <c r="I213" s="1188"/>
    </row>
    <row r="214" spans="1:9" ht="24" customHeight="1" x14ac:dyDescent="0.25">
      <c r="A214" s="1192"/>
      <c r="B214" s="1113"/>
      <c r="C214" s="1113"/>
      <c r="D214" s="1113"/>
      <c r="E214" s="1113"/>
      <c r="F214" s="422"/>
      <c r="G214" s="422"/>
      <c r="H214" s="422"/>
      <c r="I214" s="1188"/>
    </row>
    <row r="215" spans="1:9" ht="24" customHeight="1" x14ac:dyDescent="0.25">
      <c r="A215" s="1192"/>
      <c r="B215" s="1113"/>
      <c r="C215" s="1113"/>
      <c r="D215" s="1113"/>
      <c r="E215" s="1113"/>
      <c r="F215" s="422"/>
      <c r="G215" s="422"/>
      <c r="H215" s="422"/>
      <c r="I215" s="1188"/>
    </row>
    <row r="216" spans="1:9" ht="24" customHeight="1" x14ac:dyDescent="0.25">
      <c r="A216" s="1192"/>
      <c r="B216" s="1113"/>
      <c r="C216" s="1113"/>
      <c r="D216" s="1113"/>
      <c r="E216" s="1113"/>
      <c r="F216" s="422"/>
      <c r="G216" s="422"/>
      <c r="H216" s="422"/>
      <c r="I216" s="1188"/>
    </row>
    <row r="217" spans="1:9" ht="24" customHeight="1" thickBot="1" x14ac:dyDescent="0.3">
      <c r="A217" s="1193"/>
      <c r="B217" s="1186"/>
      <c r="C217" s="1186"/>
      <c r="D217" s="1186"/>
      <c r="E217" s="1186"/>
      <c r="F217" s="442"/>
      <c r="G217" s="442"/>
      <c r="H217" s="442"/>
      <c r="I217" s="1195"/>
    </row>
    <row r="218" spans="1:9" ht="15.75" thickTop="1" x14ac:dyDescent="0.25"/>
  </sheetData>
  <mergeCells count="287">
    <mergeCell ref="B151:E151"/>
    <mergeCell ref="L86:N86"/>
    <mergeCell ref="B86:E86"/>
    <mergeCell ref="B104:E104"/>
    <mergeCell ref="B144:E144"/>
    <mergeCell ref="A1:E2"/>
    <mergeCell ref="F1:N2"/>
    <mergeCell ref="O1:O2"/>
    <mergeCell ref="P1:P2"/>
    <mergeCell ref="B4:D4"/>
    <mergeCell ref="E4:G4"/>
    <mergeCell ref="A3:P3"/>
    <mergeCell ref="B20:D20"/>
    <mergeCell ref="E20:G20"/>
    <mergeCell ref="B8:D8"/>
    <mergeCell ref="E8:G8"/>
    <mergeCell ref="B9:D9"/>
    <mergeCell ref="E9:G9"/>
    <mergeCell ref="B5:D5"/>
    <mergeCell ref="E5:G5"/>
    <mergeCell ref="B6:D6"/>
    <mergeCell ref="E6:G6"/>
    <mergeCell ref="B7:D7"/>
    <mergeCell ref="E7:G7"/>
    <mergeCell ref="B11:D11"/>
    <mergeCell ref="E11:G11"/>
    <mergeCell ref="B13:D13"/>
    <mergeCell ref="E13:G13"/>
    <mergeCell ref="B21:D21"/>
    <mergeCell ref="E21:G21"/>
    <mergeCell ref="B22:D22"/>
    <mergeCell ref="E22:G22"/>
    <mergeCell ref="B17:D17"/>
    <mergeCell ref="E17:G17"/>
    <mergeCell ref="B18:D18"/>
    <mergeCell ref="E18:G18"/>
    <mergeCell ref="B19:D19"/>
    <mergeCell ref="E19:G19"/>
    <mergeCell ref="B26:D26"/>
    <mergeCell ref="E26:G26"/>
    <mergeCell ref="B28:D28"/>
    <mergeCell ref="E28:G28"/>
    <mergeCell ref="B29:D29"/>
    <mergeCell ref="E29:G29"/>
    <mergeCell ref="B23:D23"/>
    <mergeCell ref="E23:G23"/>
    <mergeCell ref="B24:D24"/>
    <mergeCell ref="E24:G24"/>
    <mergeCell ref="B25:D25"/>
    <mergeCell ref="E25:G25"/>
    <mergeCell ref="B27:D27"/>
    <mergeCell ref="E27:G27"/>
    <mergeCell ref="B32:D32"/>
    <mergeCell ref="E32:G32"/>
    <mergeCell ref="B33:D33"/>
    <mergeCell ref="E33:G33"/>
    <mergeCell ref="B34:D34"/>
    <mergeCell ref="E34:G34"/>
    <mergeCell ref="B30:D30"/>
    <mergeCell ref="E30:G30"/>
    <mergeCell ref="B31:D31"/>
    <mergeCell ref="E31:G31"/>
    <mergeCell ref="A42:D42"/>
    <mergeCell ref="A51:P52"/>
    <mergeCell ref="B38:D38"/>
    <mergeCell ref="E38:G38"/>
    <mergeCell ref="B39:D39"/>
    <mergeCell ref="E39:G39"/>
    <mergeCell ref="B41:D41"/>
    <mergeCell ref="E41:G41"/>
    <mergeCell ref="B35:D35"/>
    <mergeCell ref="E35:G35"/>
    <mergeCell ref="B36:D36"/>
    <mergeCell ref="E36:G36"/>
    <mergeCell ref="B37:D37"/>
    <mergeCell ref="E37:G37"/>
    <mergeCell ref="B40:D40"/>
    <mergeCell ref="E40:G40"/>
    <mergeCell ref="O48:P50"/>
    <mergeCell ref="A43:P43"/>
    <mergeCell ref="A44:G46"/>
    <mergeCell ref="H44:K46"/>
    <mergeCell ref="L44:N46"/>
    <mergeCell ref="O44:P46"/>
    <mergeCell ref="A47:P47"/>
    <mergeCell ref="A48:G50"/>
    <mergeCell ref="A59:B59"/>
    <mergeCell ref="C59:E59"/>
    <mergeCell ref="F59:H59"/>
    <mergeCell ref="A60:B60"/>
    <mergeCell ref="C60:E60"/>
    <mergeCell ref="F60:H60"/>
    <mergeCell ref="A53:P54"/>
    <mergeCell ref="A56:H56"/>
    <mergeCell ref="A57:B57"/>
    <mergeCell ref="C57:E57"/>
    <mergeCell ref="F57:H57"/>
    <mergeCell ref="A58:B58"/>
    <mergeCell ref="C58:E58"/>
    <mergeCell ref="F58:H58"/>
    <mergeCell ref="I56:J56"/>
    <mergeCell ref="A61:B61"/>
    <mergeCell ref="C61:E61"/>
    <mergeCell ref="F61:H61"/>
    <mergeCell ref="A63:A65"/>
    <mergeCell ref="B63:H63"/>
    <mergeCell ref="B64:E65"/>
    <mergeCell ref="F64:F65"/>
    <mergeCell ref="G64:G65"/>
    <mergeCell ref="H64:H65"/>
    <mergeCell ref="B190:E190"/>
    <mergeCell ref="A66:A98"/>
    <mergeCell ref="B66:E66"/>
    <mergeCell ref="B67:E67"/>
    <mergeCell ref="B68:E68"/>
    <mergeCell ref="B69:E69"/>
    <mergeCell ref="L80:N80"/>
    <mergeCell ref="B70:E70"/>
    <mergeCell ref="L81:N81"/>
    <mergeCell ref="B71:E71"/>
    <mergeCell ref="L82:N82"/>
    <mergeCell ref="B189:E189"/>
    <mergeCell ref="B169:E169"/>
    <mergeCell ref="B170:E170"/>
    <mergeCell ref="B171:E171"/>
    <mergeCell ref="B72:E72"/>
    <mergeCell ref="L83:N83"/>
    <mergeCell ref="B73:E73"/>
    <mergeCell ref="L84:N84"/>
    <mergeCell ref="B74:E74"/>
    <mergeCell ref="L85:N85"/>
    <mergeCell ref="B172:E172"/>
    <mergeCell ref="B173:E173"/>
    <mergeCell ref="B174:E174"/>
    <mergeCell ref="B186:E186"/>
    <mergeCell ref="B187:E187"/>
    <mergeCell ref="B188:E188"/>
    <mergeCell ref="B75:E75"/>
    <mergeCell ref="L87:N87"/>
    <mergeCell ref="B76:E76"/>
    <mergeCell ref="L88:N88"/>
    <mergeCell ref="B77:E77"/>
    <mergeCell ref="L89:N89"/>
    <mergeCell ref="B183:E183"/>
    <mergeCell ref="B184:E184"/>
    <mergeCell ref="B78:E78"/>
    <mergeCell ref="L90:N90"/>
    <mergeCell ref="B79:E79"/>
    <mergeCell ref="L91:N91"/>
    <mergeCell ref="B80:E80"/>
    <mergeCell ref="L92:N92"/>
    <mergeCell ref="B185:E185"/>
    <mergeCell ref="B180:E180"/>
    <mergeCell ref="B81:E81"/>
    <mergeCell ref="L93:N93"/>
    <mergeCell ref="B82:E82"/>
    <mergeCell ref="L94:N94"/>
    <mergeCell ref="B83:E83"/>
    <mergeCell ref="L95:N95"/>
    <mergeCell ref="B181:E181"/>
    <mergeCell ref="B182:E182"/>
    <mergeCell ref="B84:E84"/>
    <mergeCell ref="L96:N96"/>
    <mergeCell ref="B85:E85"/>
    <mergeCell ref="L97:N97"/>
    <mergeCell ref="B87:E87"/>
    <mergeCell ref="B88:E88"/>
    <mergeCell ref="B177:E177"/>
    <mergeCell ref="B178:E178"/>
    <mergeCell ref="B179:E179"/>
    <mergeCell ref="B119:E119"/>
    <mergeCell ref="B120:E120"/>
    <mergeCell ref="B121:E121"/>
    <mergeCell ref="B122:E122"/>
    <mergeCell ref="B111:E111"/>
    <mergeCell ref="B112:E112"/>
    <mergeCell ref="B113:E113"/>
    <mergeCell ref="B114:E114"/>
    <mergeCell ref="B115:E115"/>
    <mergeCell ref="B116:E116"/>
    <mergeCell ref="B129:E129"/>
    <mergeCell ref="B130:E130"/>
    <mergeCell ref="A99:A153"/>
    <mergeCell ref="B99:E99"/>
    <mergeCell ref="B100:E100"/>
    <mergeCell ref="B101:E101"/>
    <mergeCell ref="B102:E102"/>
    <mergeCell ref="B103:E103"/>
    <mergeCell ref="B105:E105"/>
    <mergeCell ref="B89:E89"/>
    <mergeCell ref="B90:E90"/>
    <mergeCell ref="B91:E91"/>
    <mergeCell ref="B92:E92"/>
    <mergeCell ref="B93:E93"/>
    <mergeCell ref="B94:E94"/>
    <mergeCell ref="B106:E106"/>
    <mergeCell ref="B107:E107"/>
    <mergeCell ref="B108:E108"/>
    <mergeCell ref="B97:E97"/>
    <mergeCell ref="B109:E109"/>
    <mergeCell ref="B110:E110"/>
    <mergeCell ref="B95:E95"/>
    <mergeCell ref="B96:E96"/>
    <mergeCell ref="B98:E98"/>
    <mergeCell ref="B117:E117"/>
    <mergeCell ref="B118:E118"/>
    <mergeCell ref="B132:E132"/>
    <mergeCell ref="B133:E133"/>
    <mergeCell ref="B134:E134"/>
    <mergeCell ref="B123:E123"/>
    <mergeCell ref="B124:E124"/>
    <mergeCell ref="B125:E125"/>
    <mergeCell ref="B126:E126"/>
    <mergeCell ref="B127:E127"/>
    <mergeCell ref="B128:E128"/>
    <mergeCell ref="B167:E167"/>
    <mergeCell ref="B168:E168"/>
    <mergeCell ref="A15:P15"/>
    <mergeCell ref="B16:D16"/>
    <mergeCell ref="E16:G16"/>
    <mergeCell ref="B159:E159"/>
    <mergeCell ref="B160:E160"/>
    <mergeCell ref="B161:E161"/>
    <mergeCell ref="B162:E162"/>
    <mergeCell ref="B163:E163"/>
    <mergeCell ref="B164:E164"/>
    <mergeCell ref="B149:E149"/>
    <mergeCell ref="B150:E150"/>
    <mergeCell ref="B152:E152"/>
    <mergeCell ref="B153:E153"/>
    <mergeCell ref="B154:E154"/>
    <mergeCell ref="B155:E155"/>
    <mergeCell ref="B156:E156"/>
    <mergeCell ref="H48:K50"/>
    <mergeCell ref="L48:N50"/>
    <mergeCell ref="B138:E138"/>
    <mergeCell ref="B139:E139"/>
    <mergeCell ref="B140:E140"/>
    <mergeCell ref="B131:E131"/>
    <mergeCell ref="B191:E191"/>
    <mergeCell ref="B192:E192"/>
    <mergeCell ref="B193:E193"/>
    <mergeCell ref="B194:E194"/>
    <mergeCell ref="B195:E195"/>
    <mergeCell ref="B196:E196"/>
    <mergeCell ref="B14:D14"/>
    <mergeCell ref="E14:G14"/>
    <mergeCell ref="B175:E175"/>
    <mergeCell ref="B176:E176"/>
    <mergeCell ref="B157:E157"/>
    <mergeCell ref="B158:E158"/>
    <mergeCell ref="B141:E141"/>
    <mergeCell ref="B142:E142"/>
    <mergeCell ref="B143:E143"/>
    <mergeCell ref="B145:E145"/>
    <mergeCell ref="B147:E147"/>
    <mergeCell ref="B148:E148"/>
    <mergeCell ref="B146:E146"/>
    <mergeCell ref="B135:E135"/>
    <mergeCell ref="B136:E136"/>
    <mergeCell ref="B137:E137"/>
    <mergeCell ref="B165:E165"/>
    <mergeCell ref="B166:E166"/>
    <mergeCell ref="B215:E215"/>
    <mergeCell ref="B216:E216"/>
    <mergeCell ref="B217:E217"/>
    <mergeCell ref="I154:I174"/>
    <mergeCell ref="A154:A217"/>
    <mergeCell ref="I175:I217"/>
    <mergeCell ref="B209:E209"/>
    <mergeCell ref="B210:E210"/>
    <mergeCell ref="B211:E211"/>
    <mergeCell ref="B212:E212"/>
    <mergeCell ref="B213:E213"/>
    <mergeCell ref="B214:E214"/>
    <mergeCell ref="B203:E203"/>
    <mergeCell ref="B204:E204"/>
    <mergeCell ref="B205:E205"/>
    <mergeCell ref="B206:E206"/>
    <mergeCell ref="B207:E207"/>
    <mergeCell ref="B208:E208"/>
    <mergeCell ref="B197:E197"/>
    <mergeCell ref="B198:E198"/>
    <mergeCell ref="B199:E199"/>
    <mergeCell ref="B200:E200"/>
    <mergeCell ref="B201:E201"/>
    <mergeCell ref="B202:E202"/>
  </mergeCells>
  <conditionalFormatting sqref="B7:J7">
    <cfRule type="expression" dxfId="21" priority="5">
      <formula>MOD(ROW(),2)=0</formula>
    </cfRule>
  </conditionalFormatting>
  <conditionalFormatting sqref="B8:N8 L7:M7">
    <cfRule type="expression" dxfId="20" priority="24">
      <formula>MOD(ROW(),2)=0</formula>
    </cfRule>
  </conditionalFormatting>
  <conditionalFormatting sqref="B9:N9 L5:N5 B6:N6">
    <cfRule type="expression" dxfId="19" priority="35">
      <formula>MOD(ROW(),2)=0</formula>
    </cfRule>
  </conditionalFormatting>
  <conditionalFormatting sqref="B10:N11">
    <cfRule type="expression" dxfId="18" priority="18">
      <formula>MOD(ROW(),2)=0</formula>
    </cfRule>
  </conditionalFormatting>
  <conditionalFormatting sqref="B12:N14 P5:P14">
    <cfRule type="expression" dxfId="17" priority="12">
      <formula>MOD(ROW(),2)=0</formula>
    </cfRule>
  </conditionalFormatting>
  <conditionalFormatting sqref="N5:N6 N9">
    <cfRule type="containsText" dxfId="16" priority="36" operator="containsText" text="COMPLETED">
      <formula>NOT(ISERROR(SEARCH("COMPLETED",N5)))</formula>
    </cfRule>
    <cfRule type="containsText" dxfId="15" priority="37" operator="containsText" text="IN PROGRESS">
      <formula>NOT(ISERROR(SEARCH("IN PROGRESS",N5)))</formula>
    </cfRule>
  </conditionalFormatting>
  <conditionalFormatting sqref="N5:N8">
    <cfRule type="containsText" dxfId="14" priority="4" operator="containsText" text="IN PROGRESS">
      <formula>NOT(ISERROR(SEARCH("IN PROGRESS",N5)))</formula>
    </cfRule>
  </conditionalFormatting>
  <conditionalFormatting sqref="N5:N14">
    <cfRule type="containsText" dxfId="13" priority="1" operator="containsText" text="COMPLETED">
      <formula>NOT(ISERROR(SEARCH("COMPLETED",N5)))</formula>
    </cfRule>
  </conditionalFormatting>
  <conditionalFormatting sqref="N7">
    <cfRule type="containsText" dxfId="12" priority="2" operator="containsText" text="IN PROGRESS">
      <formula>NOT(ISERROR(SEARCH("IN PROGRESS",N7)))</formula>
    </cfRule>
    <cfRule type="containsText" dxfId="11" priority="3" operator="containsText" text="COMPLETED">
      <formula>NOT(ISERROR(SEARCH("COMPLETED",N7)))</formula>
    </cfRule>
  </conditionalFormatting>
  <conditionalFormatting sqref="N8">
    <cfRule type="containsText" dxfId="10" priority="25" operator="containsText" text="COMPLETED">
      <formula>NOT(ISERROR(SEARCH("COMPLETED",N8)))</formula>
    </cfRule>
  </conditionalFormatting>
  <conditionalFormatting sqref="N8:N9">
    <cfRule type="containsText" dxfId="9" priority="26" operator="containsText" text="IN PROGRESS">
      <formula>NOT(ISERROR(SEARCH("IN PROGRESS",N8)))</formula>
    </cfRule>
  </conditionalFormatting>
  <conditionalFormatting sqref="N10:N11">
    <cfRule type="containsText" dxfId="8" priority="19" operator="containsText" text="COMPLETED">
      <formula>NOT(ISERROR(SEARCH("COMPLETED",N10)))</formula>
    </cfRule>
    <cfRule type="containsText" dxfId="7" priority="20" operator="containsText" text="IN PROGRESS">
      <formula>NOT(ISERROR(SEARCH("IN PROGRESS",N10)))</formula>
    </cfRule>
  </conditionalFormatting>
  <conditionalFormatting sqref="N10:N14">
    <cfRule type="containsText" dxfId="6" priority="14" operator="containsText" text="IN PROGRESS">
      <formula>NOT(ISERROR(SEARCH("IN PROGRESS",N10)))</formula>
    </cfRule>
  </conditionalFormatting>
  <conditionalFormatting sqref="N12:N14">
    <cfRule type="containsText" dxfId="5" priority="11" operator="containsText" text="IN PROGRESS">
      <formula>NOT(ISERROR(SEARCH("IN PROGRESS",N12)))</formula>
    </cfRule>
    <cfRule type="containsText" dxfId="4" priority="13" operator="containsText" text="COMPLETED">
      <formula>NOT(ISERROR(SEARCH("COMPLETED",N12)))</formula>
    </cfRule>
  </conditionalFormatting>
  <conditionalFormatting sqref="N17:N41">
    <cfRule type="containsText" dxfId="3" priority="39" operator="containsText" text="COMPLETED">
      <formula>NOT(ISERROR(SEARCH("COMPLETED",N17)))</formula>
    </cfRule>
    <cfRule type="containsText" dxfId="2" priority="40" operator="containsText" text="IN PROGRESS">
      <formula>NOT(ISERROR(SEARCH("IN PROGRESS",N17)))</formula>
    </cfRule>
    <cfRule type="containsText" dxfId="1" priority="42" operator="containsText" text="COMPLETED">
      <formula>NOT(ISERROR(SEARCH("COMPLETED",N17)))</formula>
    </cfRule>
    <cfRule type="containsText" dxfId="0" priority="43" operator="containsText" text="IN PROGRESS">
      <formula>NOT(ISERROR(SEARCH("IN PROGRESS",N17)))</formula>
    </cfRule>
  </conditionalFormatting>
  <conditionalFormatting sqref="O17:O41 O5:O14">
    <cfRule type="colorScale" priority="56">
      <colorScale>
        <cfvo type="min"/>
        <cfvo type="percentile" val="70"/>
        <cfvo type="max"/>
        <color rgb="FF63BE7B"/>
        <color rgb="FFFFEB84"/>
        <color rgb="FFF8696B"/>
      </colorScale>
    </cfRule>
  </conditionalFormatting>
  <pageMargins left="0.9" right="0" top="0.45" bottom="0" header="0.3" footer="0.3"/>
  <pageSetup paperSize="8" scale="24" orientation="portrait" r:id="rId1"/>
  <headerFooter>
    <oddFooter>&amp;C&amp;"-,Bold Italic"&amp;16Prepared by Emir Cebecioglu&amp;RQuality Control Department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0EA05-95CE-4D09-A4D4-005A3726A9B8}">
  <sheetPr codeName="Sheet11">
    <tabColor rgb="FFFFC000"/>
    <pageSetUpPr fitToPage="1"/>
  </sheetPr>
  <dimension ref="A1:FP163"/>
  <sheetViews>
    <sheetView view="pageBreakPreview" topLeftCell="A85" zoomScale="40" zoomScaleNormal="55" zoomScaleSheetLayoutView="40" zoomScalePageLayoutView="25" workbookViewId="0">
      <selection activeCell="F14" sqref="F14:J17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4" width="5.5703125" customWidth="1"/>
    <col min="5" max="5" width="10.28515625" customWidth="1"/>
    <col min="6" max="6" width="4.140625" customWidth="1"/>
    <col min="7" max="7" width="10.7109375" customWidth="1"/>
    <col min="8" max="8" width="4.28515625" customWidth="1"/>
    <col min="9" max="9" width="9.140625" customWidth="1"/>
    <col min="10" max="10" width="7.7109375" customWidth="1"/>
    <col min="11" max="11" width="4.140625" customWidth="1"/>
    <col min="12" max="12" width="10.7109375" customWidth="1"/>
    <col min="13" max="13" width="4.28515625" customWidth="1"/>
    <col min="14" max="14" width="5.5703125" customWidth="1"/>
    <col min="15" max="15" width="9.85546875" customWidth="1"/>
    <col min="16" max="16" width="4.140625" customWidth="1"/>
    <col min="17" max="17" width="10.7109375" customWidth="1"/>
    <col min="18" max="18" width="5" customWidth="1"/>
    <col min="19" max="19" width="8.42578125" customWidth="1"/>
    <col min="20" max="20" width="7.42578125" customWidth="1"/>
    <col min="21" max="21" width="4.140625" customWidth="1"/>
    <col min="22" max="22" width="10.7109375" customWidth="1"/>
    <col min="23" max="23" width="4.28515625" customWidth="1"/>
    <col min="24" max="24" width="5.5703125" customWidth="1"/>
    <col min="25" max="25" width="10" customWidth="1"/>
    <col min="26" max="26" width="4.140625" customWidth="1"/>
    <col min="27" max="27" width="10.7109375" customWidth="1"/>
    <col min="28" max="28" width="4.28515625" customWidth="1"/>
    <col min="29" max="29" width="9.5703125" customWidth="1"/>
    <col min="30" max="30" width="5.5703125" customWidth="1"/>
    <col min="31" max="31" width="4.140625" customWidth="1"/>
    <col min="32" max="32" width="10.7109375" customWidth="1"/>
    <col min="33" max="33" width="4.28515625" customWidth="1"/>
    <col min="34" max="34" width="9.5703125" customWidth="1"/>
    <col min="35" max="35" width="5.5703125" customWidth="1"/>
    <col min="36" max="36" width="4.140625" customWidth="1"/>
    <col min="37" max="37" width="10.7109375" customWidth="1"/>
    <col min="38" max="38" width="8.5703125" customWidth="1"/>
    <col min="39" max="40" width="5.5703125" customWidth="1"/>
    <col min="41" max="41" width="4.140625" customWidth="1"/>
    <col min="42" max="42" width="10.7109375" customWidth="1"/>
    <col min="43" max="43" width="5.7109375" customWidth="1"/>
    <col min="44" max="44" width="5.5703125" customWidth="1"/>
    <col min="45" max="45" width="8.7109375" customWidth="1"/>
    <col min="46" max="46" width="4.140625" customWidth="1"/>
    <col min="47" max="47" width="12.85546875" customWidth="1"/>
    <col min="48" max="48" width="4.28515625" customWidth="1"/>
    <col min="49" max="49" width="5.5703125" customWidth="1"/>
    <col min="50" max="50" width="9.140625" customWidth="1"/>
    <col min="51" max="51" width="4.140625" customWidth="1"/>
    <col min="52" max="52" width="12.5703125" customWidth="1"/>
    <col min="53" max="53" width="5.42578125" customWidth="1"/>
    <col min="54" max="54" width="8.140625" customWidth="1"/>
    <col min="55" max="55" width="5.5703125" customWidth="1"/>
    <col min="56" max="56" width="4.140625" customWidth="1"/>
    <col min="57" max="57" width="10.7109375" customWidth="1"/>
    <col min="58" max="58" width="4.28515625" customWidth="1"/>
    <col min="59" max="59" width="5.5703125" customWidth="1"/>
    <col min="60" max="60" width="9.85546875" customWidth="1"/>
    <col min="61" max="61" width="4.140625" customWidth="1"/>
    <col min="62" max="62" width="10.7109375" customWidth="1"/>
    <col min="63" max="63" width="4.28515625" customWidth="1"/>
    <col min="64" max="64" width="5.5703125" customWidth="1"/>
    <col min="65" max="65" width="10.28515625" customWidth="1"/>
    <col min="66" max="66" width="4.140625" customWidth="1"/>
    <col min="67" max="67" width="14" customWidth="1"/>
    <col min="68" max="68" width="4.28515625" customWidth="1"/>
    <col min="69" max="70" width="5.5703125" customWidth="1"/>
    <col min="71" max="71" width="1" customWidth="1"/>
    <col min="72" max="72" width="56.7109375" customWidth="1"/>
    <col min="73" max="73" width="13" customWidth="1"/>
    <col min="74" max="74" width="7" customWidth="1"/>
  </cols>
  <sheetData>
    <row r="1" spans="1:83" ht="265.5" customHeight="1" thickBot="1" x14ac:dyDescent="0.3"/>
    <row r="2" spans="1:83" ht="36" customHeight="1" thickTop="1" x14ac:dyDescent="0.25">
      <c r="A2" s="645" t="s">
        <v>110</v>
      </c>
      <c r="B2" s="646"/>
      <c r="C2" s="1260">
        <f>B7/((72*3.1415/59)*(50/3.281))</f>
        <v>2.4339871080693937E-2</v>
      </c>
      <c r="D2" s="1260"/>
      <c r="E2" s="1261"/>
      <c r="F2" s="645" t="s">
        <v>110</v>
      </c>
      <c r="G2" s="646"/>
      <c r="H2" s="1260">
        <f t="shared" ref="H2" si="0">G7/((72*3.1415/59)*(50/3.281))</f>
        <v>9.5510886519178748E-3</v>
      </c>
      <c r="I2" s="1260"/>
      <c r="J2" s="1261"/>
      <c r="K2" s="645" t="s">
        <v>110</v>
      </c>
      <c r="L2" s="646"/>
      <c r="M2" s="1260">
        <f t="shared" ref="M2" si="1">L7/((72*3.1415/59)*(50/3.281))</f>
        <v>1.7116646329601926E-6</v>
      </c>
      <c r="N2" s="1260"/>
      <c r="O2" s="1261"/>
      <c r="P2" s="645" t="s">
        <v>110</v>
      </c>
      <c r="Q2" s="646"/>
      <c r="R2" s="1260">
        <f t="shared" ref="R2" si="2">Q7/((72*3.1415/59)*(50/3.281))</f>
        <v>2.3466922117884238E-2</v>
      </c>
      <c r="S2" s="1260"/>
      <c r="T2" s="1261"/>
      <c r="U2" s="645" t="s">
        <v>110</v>
      </c>
      <c r="V2" s="646"/>
      <c r="W2" s="1260">
        <f t="shared" ref="W2" si="3">V7/((72*3.1415/59)*(50/3.281))</f>
        <v>2.3039005959644192E-2</v>
      </c>
      <c r="X2" s="1260"/>
      <c r="Y2" s="1261"/>
      <c r="Z2" s="645" t="s">
        <v>110</v>
      </c>
      <c r="AA2" s="646"/>
      <c r="AB2" s="1260">
        <f t="shared" ref="AB2" si="4">AA7/((72*3.1415/59)*(50/3.281))</f>
        <v>1.6945479866305905E-2</v>
      </c>
      <c r="AC2" s="1260"/>
      <c r="AD2" s="1261"/>
      <c r="AE2" s="645" t="s">
        <v>110</v>
      </c>
      <c r="AF2" s="646"/>
      <c r="AG2" s="1260">
        <f t="shared" ref="AG2" si="5">AF7/((72*3.1415/59)*(50/3.281))</f>
        <v>4.2158299909809543E-2</v>
      </c>
      <c r="AH2" s="1260"/>
      <c r="AI2" s="1261"/>
      <c r="AJ2" s="645" t="s">
        <v>110</v>
      </c>
      <c r="AK2" s="646"/>
      <c r="AL2" s="1260">
        <f t="shared" ref="AL2" si="6">AK7/((72*3.1415/59)*(50/3.281))</f>
        <v>3.043339717403222E-2</v>
      </c>
      <c r="AM2" s="1260"/>
      <c r="AN2" s="1261"/>
      <c r="AO2" s="645" t="s">
        <v>110</v>
      </c>
      <c r="AP2" s="646"/>
      <c r="AQ2" s="1260">
        <f t="shared" ref="AQ2" si="7">AP7/((72*3.1415/59)*(50/3.281))</f>
        <v>3.2607211257891663E-2</v>
      </c>
      <c r="AR2" s="1260"/>
      <c r="AS2" s="1261"/>
      <c r="AT2" s="645" t="s">
        <v>110</v>
      </c>
      <c r="AU2" s="646"/>
      <c r="AV2" s="1260">
        <f t="shared" ref="AV2" si="8">AU7/((72*3.1415/59)*(50/3.281))</f>
        <v>2.8259583090172777E-2</v>
      </c>
      <c r="AW2" s="1260"/>
      <c r="AX2" s="1261"/>
      <c r="AY2" s="645" t="s">
        <v>110</v>
      </c>
      <c r="AZ2" s="646"/>
      <c r="BA2" s="1260">
        <f t="shared" ref="BA2" si="9">AZ7/((72*3.1415/59)*(50/3.281))</f>
        <v>3.5653974304560812E-2</v>
      </c>
      <c r="BB2" s="1260"/>
      <c r="BC2" s="1261"/>
      <c r="BD2" s="645" t="s">
        <v>110</v>
      </c>
      <c r="BE2" s="646"/>
      <c r="BF2" s="1260">
        <f t="shared" ref="BF2" si="10">BE7/((72*3.1415/59)*(50/3.281))</f>
        <v>0.10259717809963392</v>
      </c>
      <c r="BG2" s="1260"/>
      <c r="BH2" s="1261"/>
      <c r="BI2" s="645" t="s">
        <v>110</v>
      </c>
      <c r="BJ2" s="646"/>
      <c r="BK2" s="1260">
        <f t="shared" ref="BK2" si="11">BJ7/((72*3.1415/59)*(50/3.281))</f>
        <v>9.0427242559286969E-2</v>
      </c>
      <c r="BL2" s="1260"/>
      <c r="BM2" s="1261"/>
      <c r="BN2" s="645" t="s">
        <v>110</v>
      </c>
      <c r="BO2" s="646"/>
      <c r="BP2" s="1260">
        <f t="shared" ref="BP2" si="12">BO7/((72*3.1415/59)*(50/3.281))</f>
        <v>2.0420159071215097E-2</v>
      </c>
      <c r="BQ2" s="1260"/>
      <c r="BR2" s="1261"/>
    </row>
    <row r="3" spans="1:83" ht="6.75" customHeight="1" x14ac:dyDescent="0.25">
      <c r="A3" s="1256"/>
      <c r="B3" s="1257"/>
      <c r="C3" s="1262"/>
      <c r="D3" s="1262"/>
      <c r="E3" s="1263"/>
      <c r="F3" s="1256"/>
      <c r="G3" s="1257"/>
      <c r="H3" s="1262"/>
      <c r="I3" s="1262"/>
      <c r="J3" s="1263"/>
      <c r="K3" s="1256"/>
      <c r="L3" s="1257"/>
      <c r="M3" s="1262"/>
      <c r="N3" s="1262"/>
      <c r="O3" s="1263"/>
      <c r="P3" s="1256"/>
      <c r="Q3" s="1257"/>
      <c r="R3" s="1262"/>
      <c r="S3" s="1262"/>
      <c r="T3" s="1263"/>
      <c r="U3" s="1256"/>
      <c r="V3" s="1257"/>
      <c r="W3" s="1262"/>
      <c r="X3" s="1262"/>
      <c r="Y3" s="1263"/>
      <c r="Z3" s="1256"/>
      <c r="AA3" s="1257"/>
      <c r="AB3" s="1262"/>
      <c r="AC3" s="1262"/>
      <c r="AD3" s="1263"/>
      <c r="AE3" s="1256"/>
      <c r="AF3" s="1257"/>
      <c r="AG3" s="1262"/>
      <c r="AH3" s="1262"/>
      <c r="AI3" s="1263"/>
      <c r="AJ3" s="1256"/>
      <c r="AK3" s="1257"/>
      <c r="AL3" s="1262"/>
      <c r="AM3" s="1262"/>
      <c r="AN3" s="1263"/>
      <c r="AO3" s="1256"/>
      <c r="AP3" s="1257"/>
      <c r="AQ3" s="1262"/>
      <c r="AR3" s="1262"/>
      <c r="AS3" s="1263"/>
      <c r="AT3" s="1256"/>
      <c r="AU3" s="1257"/>
      <c r="AV3" s="1262"/>
      <c r="AW3" s="1262"/>
      <c r="AX3" s="1263"/>
      <c r="AY3" s="1256"/>
      <c r="AZ3" s="1257"/>
      <c r="BA3" s="1262"/>
      <c r="BB3" s="1262"/>
      <c r="BC3" s="1263"/>
      <c r="BD3" s="1256"/>
      <c r="BE3" s="1257"/>
      <c r="BF3" s="1262"/>
      <c r="BG3" s="1262"/>
      <c r="BH3" s="1263"/>
      <c r="BI3" s="1256"/>
      <c r="BJ3" s="1257"/>
      <c r="BK3" s="1262"/>
      <c r="BL3" s="1262"/>
      <c r="BM3" s="1263"/>
      <c r="BN3" s="1256"/>
      <c r="BO3" s="1257"/>
      <c r="BP3" s="1262"/>
      <c r="BQ3" s="1262"/>
      <c r="BR3" s="1263"/>
    </row>
    <row r="4" spans="1:83" ht="21.95" customHeight="1" x14ac:dyDescent="0.25">
      <c r="A4" s="1256"/>
      <c r="B4" s="1257"/>
      <c r="C4" s="1262"/>
      <c r="D4" s="1262"/>
      <c r="E4" s="1263"/>
      <c r="F4" s="1256"/>
      <c r="G4" s="1257"/>
      <c r="H4" s="1262"/>
      <c r="I4" s="1262"/>
      <c r="J4" s="1263"/>
      <c r="K4" s="1256"/>
      <c r="L4" s="1257"/>
      <c r="M4" s="1262"/>
      <c r="N4" s="1262"/>
      <c r="O4" s="1263"/>
      <c r="P4" s="1256"/>
      <c r="Q4" s="1257"/>
      <c r="R4" s="1262"/>
      <c r="S4" s="1262"/>
      <c r="T4" s="1263"/>
      <c r="U4" s="1256"/>
      <c r="V4" s="1257"/>
      <c r="W4" s="1262"/>
      <c r="X4" s="1262"/>
      <c r="Y4" s="1263"/>
      <c r="Z4" s="1256"/>
      <c r="AA4" s="1257"/>
      <c r="AB4" s="1262"/>
      <c r="AC4" s="1262"/>
      <c r="AD4" s="1263"/>
      <c r="AE4" s="1256"/>
      <c r="AF4" s="1257"/>
      <c r="AG4" s="1262"/>
      <c r="AH4" s="1262"/>
      <c r="AI4" s="1263"/>
      <c r="AJ4" s="1256"/>
      <c r="AK4" s="1257"/>
      <c r="AL4" s="1262"/>
      <c r="AM4" s="1262"/>
      <c r="AN4" s="1263"/>
      <c r="AO4" s="1256"/>
      <c r="AP4" s="1257"/>
      <c r="AQ4" s="1262"/>
      <c r="AR4" s="1262"/>
      <c r="AS4" s="1263"/>
      <c r="AT4" s="1256"/>
      <c r="AU4" s="1257"/>
      <c r="AV4" s="1262"/>
      <c r="AW4" s="1262"/>
      <c r="AX4" s="1263"/>
      <c r="AY4" s="1256"/>
      <c r="AZ4" s="1257"/>
      <c r="BA4" s="1262"/>
      <c r="BB4" s="1262"/>
      <c r="BC4" s="1263"/>
      <c r="BD4" s="1256"/>
      <c r="BE4" s="1257"/>
      <c r="BF4" s="1262"/>
      <c r="BG4" s="1262"/>
      <c r="BH4" s="1263"/>
      <c r="BI4" s="1256"/>
      <c r="BJ4" s="1257"/>
      <c r="BK4" s="1262"/>
      <c r="BL4" s="1262"/>
      <c r="BM4" s="1263"/>
      <c r="BN4" s="1256"/>
      <c r="BO4" s="1257"/>
      <c r="BP4" s="1262"/>
      <c r="BQ4" s="1262"/>
      <c r="BR4" s="1263"/>
    </row>
    <row r="5" spans="1:83" ht="6" customHeight="1" x14ac:dyDescent="0.25">
      <c r="A5" s="1258"/>
      <c r="B5" s="1259"/>
      <c r="C5" s="1264"/>
      <c r="D5" s="1264"/>
      <c r="E5" s="1265"/>
      <c r="F5" s="1258"/>
      <c r="G5" s="1259"/>
      <c r="H5" s="1264"/>
      <c r="I5" s="1264"/>
      <c r="J5" s="1265"/>
      <c r="K5" s="1258"/>
      <c r="L5" s="1259"/>
      <c r="M5" s="1264"/>
      <c r="N5" s="1264"/>
      <c r="O5" s="1265"/>
      <c r="P5" s="1258"/>
      <c r="Q5" s="1259"/>
      <c r="R5" s="1264"/>
      <c r="S5" s="1264"/>
      <c r="T5" s="1265"/>
      <c r="U5" s="1258"/>
      <c r="V5" s="1259"/>
      <c r="W5" s="1264"/>
      <c r="X5" s="1264"/>
      <c r="Y5" s="1265"/>
      <c r="Z5" s="1258"/>
      <c r="AA5" s="1259"/>
      <c r="AB5" s="1264"/>
      <c r="AC5" s="1264"/>
      <c r="AD5" s="1265"/>
      <c r="AE5" s="1258"/>
      <c r="AF5" s="1259"/>
      <c r="AG5" s="1264"/>
      <c r="AH5" s="1264"/>
      <c r="AI5" s="1265"/>
      <c r="AJ5" s="1258"/>
      <c r="AK5" s="1259"/>
      <c r="AL5" s="1264"/>
      <c r="AM5" s="1264"/>
      <c r="AN5" s="1265"/>
      <c r="AO5" s="1258"/>
      <c r="AP5" s="1259"/>
      <c r="AQ5" s="1264"/>
      <c r="AR5" s="1264"/>
      <c r="AS5" s="1265"/>
      <c r="AT5" s="1258"/>
      <c r="AU5" s="1259"/>
      <c r="AV5" s="1264"/>
      <c r="AW5" s="1264"/>
      <c r="AX5" s="1265"/>
      <c r="AY5" s="1258"/>
      <c r="AZ5" s="1259"/>
      <c r="BA5" s="1264"/>
      <c r="BB5" s="1264"/>
      <c r="BC5" s="1265"/>
      <c r="BD5" s="1258"/>
      <c r="BE5" s="1259"/>
      <c r="BF5" s="1264"/>
      <c r="BG5" s="1264"/>
      <c r="BH5" s="1265"/>
      <c r="BI5" s="1258"/>
      <c r="BJ5" s="1259"/>
      <c r="BK5" s="1264"/>
      <c r="BL5" s="1264"/>
      <c r="BM5" s="1265"/>
      <c r="BN5" s="1258"/>
      <c r="BO5" s="1259"/>
      <c r="BP5" s="1264"/>
      <c r="BQ5" s="1264"/>
      <c r="BR5" s="1265"/>
    </row>
    <row r="6" spans="1:83" s="22" customFormat="1" ht="111.75" customHeight="1" x14ac:dyDescent="1.35">
      <c r="A6" s="639" t="s">
        <v>131</v>
      </c>
      <c r="B6" s="1266">
        <v>105</v>
      </c>
      <c r="C6" s="1267"/>
      <c r="D6" s="1267"/>
      <c r="E6" s="1268"/>
      <c r="F6" s="639" t="s">
        <v>131</v>
      </c>
      <c r="G6" s="1266">
        <v>107</v>
      </c>
      <c r="H6" s="1267"/>
      <c r="I6" s="1267"/>
      <c r="J6" s="1268"/>
      <c r="K6" s="639" t="s">
        <v>131</v>
      </c>
      <c r="L6" s="1266">
        <v>109</v>
      </c>
      <c r="M6" s="1267"/>
      <c r="N6" s="1267"/>
      <c r="O6" s="1268"/>
      <c r="P6" s="639" t="s">
        <v>131</v>
      </c>
      <c r="Q6" s="1266">
        <v>111</v>
      </c>
      <c r="R6" s="1267"/>
      <c r="S6" s="1267"/>
      <c r="T6" s="1268"/>
      <c r="U6" s="639" t="s">
        <v>131</v>
      </c>
      <c r="V6" s="1266">
        <v>113</v>
      </c>
      <c r="W6" s="1267"/>
      <c r="X6" s="1267"/>
      <c r="Y6" s="1268"/>
      <c r="Z6" s="639" t="s">
        <v>131</v>
      </c>
      <c r="AA6" s="1266">
        <v>115</v>
      </c>
      <c r="AB6" s="1267"/>
      <c r="AC6" s="1267"/>
      <c r="AD6" s="1268"/>
      <c r="AE6" s="639" t="s">
        <v>131</v>
      </c>
      <c r="AF6" s="1266">
        <v>117</v>
      </c>
      <c r="AG6" s="1267"/>
      <c r="AH6" s="1267"/>
      <c r="AI6" s="1268"/>
      <c r="AJ6" s="639" t="s">
        <v>131</v>
      </c>
      <c r="AK6" s="1266">
        <v>119</v>
      </c>
      <c r="AL6" s="1267"/>
      <c r="AM6" s="1267"/>
      <c r="AN6" s="1268"/>
      <c r="AO6" s="639" t="s">
        <v>131</v>
      </c>
      <c r="AP6" s="588">
        <v>122</v>
      </c>
      <c r="AQ6" s="589"/>
      <c r="AR6" s="589"/>
      <c r="AS6" s="590"/>
      <c r="AT6" s="639" t="s">
        <v>131</v>
      </c>
      <c r="AU6" s="588">
        <v>123</v>
      </c>
      <c r="AV6" s="589"/>
      <c r="AW6" s="589"/>
      <c r="AX6" s="590"/>
      <c r="AY6" s="639" t="s">
        <v>131</v>
      </c>
      <c r="AZ6" s="588">
        <v>124</v>
      </c>
      <c r="BA6" s="589"/>
      <c r="BB6" s="589"/>
      <c r="BC6" s="590"/>
      <c r="BD6" s="639" t="s">
        <v>131</v>
      </c>
      <c r="BE6" s="588">
        <v>125</v>
      </c>
      <c r="BF6" s="589"/>
      <c r="BG6" s="589"/>
      <c r="BH6" s="590"/>
      <c r="BI6" s="639" t="s">
        <v>131</v>
      </c>
      <c r="BJ6" s="588">
        <v>126</v>
      </c>
      <c r="BK6" s="589"/>
      <c r="BL6" s="589"/>
      <c r="BM6" s="590"/>
      <c r="BN6" s="639" t="s">
        <v>131</v>
      </c>
      <c r="BO6" s="588">
        <v>127</v>
      </c>
      <c r="BP6" s="589"/>
      <c r="BQ6" s="589"/>
      <c r="BR6" s="590"/>
    </row>
    <row r="7" spans="1:83" ht="50.25" customHeight="1" thickBot="1" x14ac:dyDescent="0.3">
      <c r="A7" s="640"/>
      <c r="B7" s="61">
        <v>1.4219999999999999</v>
      </c>
      <c r="C7" s="62" t="s">
        <v>113</v>
      </c>
      <c r="D7" s="63">
        <v>1</v>
      </c>
      <c r="E7" s="64" t="s">
        <v>114</v>
      </c>
      <c r="F7" s="640"/>
      <c r="G7" s="61">
        <v>0.55800000000000005</v>
      </c>
      <c r="H7" s="62" t="s">
        <v>113</v>
      </c>
      <c r="I7" s="63">
        <v>1</v>
      </c>
      <c r="J7" s="64" t="s">
        <v>114</v>
      </c>
      <c r="K7" s="640"/>
      <c r="L7" s="61">
        <v>1E-4</v>
      </c>
      <c r="M7" s="62" t="s">
        <v>113</v>
      </c>
      <c r="N7" s="63">
        <v>1</v>
      </c>
      <c r="O7" s="64" t="s">
        <v>114</v>
      </c>
      <c r="P7" s="640"/>
      <c r="Q7" s="61">
        <v>1.371</v>
      </c>
      <c r="R7" s="62" t="s">
        <v>113</v>
      </c>
      <c r="S7" s="63"/>
      <c r="T7" s="64" t="s">
        <v>114</v>
      </c>
      <c r="U7" s="640"/>
      <c r="V7" s="61">
        <v>1.3460000000000001</v>
      </c>
      <c r="W7" s="62" t="s">
        <v>113</v>
      </c>
      <c r="X7" s="63">
        <v>1</v>
      </c>
      <c r="Y7" s="64" t="s">
        <v>114</v>
      </c>
      <c r="Z7" s="640"/>
      <c r="AA7" s="61">
        <v>0.99</v>
      </c>
      <c r="AB7" s="62" t="s">
        <v>113</v>
      </c>
      <c r="AC7" s="63">
        <v>1</v>
      </c>
      <c r="AD7" s="64" t="s">
        <v>114</v>
      </c>
      <c r="AE7" s="640"/>
      <c r="AF7" s="61">
        <v>2.4630000000000001</v>
      </c>
      <c r="AG7" s="62" t="s">
        <v>113</v>
      </c>
      <c r="AH7" s="63">
        <v>1</v>
      </c>
      <c r="AI7" s="64" t="s">
        <v>114</v>
      </c>
      <c r="AJ7" s="640"/>
      <c r="AK7" s="61">
        <v>1.778</v>
      </c>
      <c r="AL7" s="62" t="s">
        <v>113</v>
      </c>
      <c r="AM7" s="63"/>
      <c r="AN7" s="64" t="s">
        <v>114</v>
      </c>
      <c r="AO7" s="640"/>
      <c r="AP7" s="61">
        <v>1.905</v>
      </c>
      <c r="AQ7" s="62" t="s">
        <v>113</v>
      </c>
      <c r="AR7" s="63">
        <v>1</v>
      </c>
      <c r="AS7" s="64" t="s">
        <v>114</v>
      </c>
      <c r="AT7" s="640"/>
      <c r="AU7" s="61">
        <v>1.651</v>
      </c>
      <c r="AV7" s="62" t="s">
        <v>113</v>
      </c>
      <c r="AW7" s="63">
        <v>1</v>
      </c>
      <c r="AX7" s="64" t="s">
        <v>114</v>
      </c>
      <c r="AY7" s="640"/>
      <c r="AZ7" s="61">
        <v>2.0830000000000002</v>
      </c>
      <c r="BA7" s="62" t="s">
        <v>113</v>
      </c>
      <c r="BB7" s="63">
        <v>1</v>
      </c>
      <c r="BC7" s="64" t="s">
        <v>114</v>
      </c>
      <c r="BD7" s="640"/>
      <c r="BE7" s="61">
        <v>5.9939999999999998</v>
      </c>
      <c r="BF7" s="62" t="s">
        <v>113</v>
      </c>
      <c r="BG7" s="63"/>
      <c r="BH7" s="64" t="s">
        <v>114</v>
      </c>
      <c r="BI7" s="640"/>
      <c r="BJ7" s="61">
        <v>5.2830000000000004</v>
      </c>
      <c r="BK7" s="62" t="s">
        <v>113</v>
      </c>
      <c r="BL7" s="63">
        <v>1</v>
      </c>
      <c r="BM7" s="64" t="s">
        <v>114</v>
      </c>
      <c r="BN7" s="640"/>
      <c r="BO7" s="61">
        <v>1.1930000000000001</v>
      </c>
      <c r="BP7" s="62" t="s">
        <v>113</v>
      </c>
      <c r="BQ7" s="63">
        <v>1</v>
      </c>
      <c r="BR7" s="64" t="s">
        <v>114</v>
      </c>
      <c r="BW7" s="27"/>
      <c r="BX7" s="27"/>
      <c r="BY7" s="27"/>
      <c r="BZ7" s="27"/>
      <c r="CA7" s="27"/>
      <c r="CB7" s="27"/>
      <c r="CC7" s="27"/>
      <c r="CD7" s="27"/>
      <c r="CE7" s="27"/>
    </row>
    <row r="8" spans="1:83" ht="26.1" customHeight="1" thickTop="1" x14ac:dyDescent="0.25">
      <c r="A8" s="645" t="s">
        <v>110</v>
      </c>
      <c r="B8" s="646"/>
      <c r="C8" s="1260">
        <f t="shared" ref="C8" si="13">B13/((72*3.1415/59)*(50/3.281))</f>
        <v>1.7116646329601925E-7</v>
      </c>
      <c r="D8" s="1260"/>
      <c r="E8" s="1261"/>
      <c r="F8" s="645" t="s">
        <v>110</v>
      </c>
      <c r="G8" s="646"/>
      <c r="H8" s="1260">
        <f t="shared" ref="H8" si="14">G13/((72*3.1415/59)*(50/3.281))</f>
        <v>6.4735156418554485E-2</v>
      </c>
      <c r="I8" s="1260"/>
      <c r="J8" s="1261"/>
      <c r="K8" s="645" t="s">
        <v>110</v>
      </c>
      <c r="L8" s="646"/>
      <c r="M8" s="1260">
        <f t="shared" ref="M8" si="15">L13/((72*3.1415/59)*(50/3.281))</f>
        <v>5.9788445629299518E-2</v>
      </c>
      <c r="N8" s="1260"/>
      <c r="O8" s="1261"/>
      <c r="P8" s="645" t="s">
        <v>110</v>
      </c>
      <c r="Q8" s="646"/>
      <c r="R8" s="1260">
        <f t="shared" ref="R8" si="16">Q13/((72*3.1415/59)*(50/3.281))</f>
        <v>3.4781025341751114E-2</v>
      </c>
      <c r="S8" s="1260"/>
      <c r="T8" s="1261"/>
      <c r="U8" s="645" t="s">
        <v>110</v>
      </c>
      <c r="V8" s="646"/>
      <c r="W8" s="1260">
        <f t="shared" ref="W8" si="17">V13/((72*3.1415/59)*(50/3.281))</f>
        <v>4.2603332714379188E-2</v>
      </c>
      <c r="X8" s="1260"/>
      <c r="Y8" s="1261"/>
      <c r="Z8" s="645" t="s">
        <v>110</v>
      </c>
      <c r="AA8" s="646"/>
      <c r="AB8" s="1260">
        <f t="shared" ref="AB8" si="18">AA13/((72*3.1415/59)*(50/3.281))</f>
        <v>2.651368516455338E-2</v>
      </c>
      <c r="AC8" s="1260"/>
      <c r="AD8" s="1261"/>
      <c r="AE8" s="645" t="s">
        <v>110</v>
      </c>
      <c r="AF8" s="646"/>
      <c r="AG8" s="1260">
        <f t="shared" ref="AG8" si="19">AF13/((72*3.1415/59)*(50/3.281))</f>
        <v>3.086131333227227E-2</v>
      </c>
      <c r="AH8" s="1260"/>
      <c r="AI8" s="1261"/>
      <c r="AJ8" s="645" t="s">
        <v>110</v>
      </c>
      <c r="AK8" s="646"/>
      <c r="AL8" s="1260">
        <f t="shared" ref="AL8" si="20">AK13/((72*3.1415/59)*(50/3.281))</f>
        <v>1.7116646329601926E-6</v>
      </c>
      <c r="AM8" s="1260"/>
      <c r="AN8" s="1261"/>
      <c r="AO8" s="645" t="s">
        <v>110</v>
      </c>
      <c r="AP8" s="646"/>
      <c r="AQ8" s="1260">
        <f t="shared" ref="AQ8" si="21">AP13/((72*3.1415/59)*(50/3.281))</f>
        <v>4.3031248872619235E-2</v>
      </c>
      <c r="AR8" s="1260"/>
      <c r="AS8" s="1261"/>
      <c r="AT8" s="645" t="s">
        <v>110</v>
      </c>
      <c r="AU8" s="646"/>
      <c r="AV8" s="1260">
        <f t="shared" ref="AV8" si="22">AU13/((72*3.1415/59)*(50/3.281))</f>
        <v>2.6017302420994924E-3</v>
      </c>
      <c r="AW8" s="1260"/>
      <c r="AX8" s="1261"/>
      <c r="AY8" s="645" t="s">
        <v>110</v>
      </c>
      <c r="AZ8" s="646"/>
      <c r="BA8" s="1260">
        <f t="shared" ref="BA8" si="23">AZ13/((72*3.1415/59)*(50/3.281))</f>
        <v>3.902595363149239E-3</v>
      </c>
      <c r="BB8" s="1260"/>
      <c r="BC8" s="1261"/>
      <c r="BD8" s="645" t="s">
        <v>110</v>
      </c>
      <c r="BE8" s="646"/>
      <c r="BF8" s="1260">
        <f t="shared" ref="BF8" si="24">BE13/((72*3.1415/59)*(50/3.281))</f>
        <v>1.7116646329601926E-6</v>
      </c>
      <c r="BG8" s="1260"/>
      <c r="BH8" s="1261"/>
      <c r="BI8" s="645" t="s">
        <v>110</v>
      </c>
      <c r="BJ8" s="646"/>
      <c r="BK8" s="1260">
        <f t="shared" ref="BK8" si="25">BJ13/((72*3.1415/59)*(50/3.281))</f>
        <v>6.1294710506304487E-2</v>
      </c>
      <c r="BL8" s="1260"/>
      <c r="BM8" s="1261"/>
      <c r="BN8" s="645" t="s">
        <v>110</v>
      </c>
      <c r="BO8" s="646"/>
      <c r="BP8" s="1260">
        <f t="shared" ref="BP8" si="26">BO13/((72*3.1415/59)*(50/3.281))</f>
        <v>1.521669858701611E-2</v>
      </c>
      <c r="BQ8" s="1260"/>
      <c r="BR8" s="1261"/>
    </row>
    <row r="9" spans="1:83" ht="6.75" customHeight="1" x14ac:dyDescent="0.25">
      <c r="A9" s="1256"/>
      <c r="B9" s="1257"/>
      <c r="C9" s="1262"/>
      <c r="D9" s="1262"/>
      <c r="E9" s="1263"/>
      <c r="F9" s="1256"/>
      <c r="G9" s="1257"/>
      <c r="H9" s="1262"/>
      <c r="I9" s="1262"/>
      <c r="J9" s="1263"/>
      <c r="K9" s="1256"/>
      <c r="L9" s="1257"/>
      <c r="M9" s="1262"/>
      <c r="N9" s="1262"/>
      <c r="O9" s="1263"/>
      <c r="P9" s="1256"/>
      <c r="Q9" s="1257"/>
      <c r="R9" s="1262"/>
      <c r="S9" s="1262"/>
      <c r="T9" s="1263"/>
      <c r="U9" s="1256"/>
      <c r="V9" s="1257"/>
      <c r="W9" s="1262"/>
      <c r="X9" s="1262"/>
      <c r="Y9" s="1263"/>
      <c r="Z9" s="1256"/>
      <c r="AA9" s="1257"/>
      <c r="AB9" s="1262"/>
      <c r="AC9" s="1262"/>
      <c r="AD9" s="1263"/>
      <c r="AE9" s="1256"/>
      <c r="AF9" s="1257"/>
      <c r="AG9" s="1262"/>
      <c r="AH9" s="1262"/>
      <c r="AI9" s="1263"/>
      <c r="AJ9" s="1256"/>
      <c r="AK9" s="1257"/>
      <c r="AL9" s="1262"/>
      <c r="AM9" s="1262"/>
      <c r="AN9" s="1263"/>
      <c r="AO9" s="1256"/>
      <c r="AP9" s="1257"/>
      <c r="AQ9" s="1262"/>
      <c r="AR9" s="1262"/>
      <c r="AS9" s="1263"/>
      <c r="AT9" s="1256"/>
      <c r="AU9" s="1257"/>
      <c r="AV9" s="1262"/>
      <c r="AW9" s="1262"/>
      <c r="AX9" s="1263"/>
      <c r="AY9" s="1256"/>
      <c r="AZ9" s="1257"/>
      <c r="BA9" s="1262"/>
      <c r="BB9" s="1262"/>
      <c r="BC9" s="1263"/>
      <c r="BD9" s="1256"/>
      <c r="BE9" s="1257"/>
      <c r="BF9" s="1262"/>
      <c r="BG9" s="1262"/>
      <c r="BH9" s="1263"/>
      <c r="BI9" s="1256"/>
      <c r="BJ9" s="1257"/>
      <c r="BK9" s="1262"/>
      <c r="BL9" s="1262"/>
      <c r="BM9" s="1263"/>
      <c r="BN9" s="1256"/>
      <c r="BO9" s="1257"/>
      <c r="BP9" s="1262"/>
      <c r="BQ9" s="1262"/>
      <c r="BR9" s="1263"/>
    </row>
    <row r="10" spans="1:83" ht="21.95" customHeight="1" x14ac:dyDescent="0.25">
      <c r="A10" s="1256"/>
      <c r="B10" s="1257"/>
      <c r="C10" s="1262"/>
      <c r="D10" s="1262"/>
      <c r="E10" s="1263"/>
      <c r="F10" s="1256"/>
      <c r="G10" s="1257"/>
      <c r="H10" s="1262"/>
      <c r="I10" s="1262"/>
      <c r="J10" s="1263"/>
      <c r="K10" s="1256"/>
      <c r="L10" s="1257"/>
      <c r="M10" s="1262"/>
      <c r="N10" s="1262"/>
      <c r="O10" s="1263"/>
      <c r="P10" s="1256"/>
      <c r="Q10" s="1257"/>
      <c r="R10" s="1262"/>
      <c r="S10" s="1262"/>
      <c r="T10" s="1263"/>
      <c r="U10" s="1256"/>
      <c r="V10" s="1257"/>
      <c r="W10" s="1262"/>
      <c r="X10" s="1262"/>
      <c r="Y10" s="1263"/>
      <c r="Z10" s="1256"/>
      <c r="AA10" s="1257"/>
      <c r="AB10" s="1262"/>
      <c r="AC10" s="1262"/>
      <c r="AD10" s="1263"/>
      <c r="AE10" s="1256"/>
      <c r="AF10" s="1257"/>
      <c r="AG10" s="1262"/>
      <c r="AH10" s="1262"/>
      <c r="AI10" s="1263"/>
      <c r="AJ10" s="1256"/>
      <c r="AK10" s="1257"/>
      <c r="AL10" s="1262"/>
      <c r="AM10" s="1262"/>
      <c r="AN10" s="1263"/>
      <c r="AO10" s="1256"/>
      <c r="AP10" s="1257"/>
      <c r="AQ10" s="1262"/>
      <c r="AR10" s="1262"/>
      <c r="AS10" s="1263"/>
      <c r="AT10" s="1256"/>
      <c r="AU10" s="1257"/>
      <c r="AV10" s="1262"/>
      <c r="AW10" s="1262"/>
      <c r="AX10" s="1263"/>
      <c r="AY10" s="1256"/>
      <c r="AZ10" s="1257"/>
      <c r="BA10" s="1262"/>
      <c r="BB10" s="1262"/>
      <c r="BC10" s="1263"/>
      <c r="BD10" s="1256"/>
      <c r="BE10" s="1257"/>
      <c r="BF10" s="1262"/>
      <c r="BG10" s="1262"/>
      <c r="BH10" s="1263"/>
      <c r="BI10" s="1256"/>
      <c r="BJ10" s="1257"/>
      <c r="BK10" s="1262"/>
      <c r="BL10" s="1262"/>
      <c r="BM10" s="1263"/>
      <c r="BN10" s="1256"/>
      <c r="BO10" s="1257"/>
      <c r="BP10" s="1262"/>
      <c r="BQ10" s="1262"/>
      <c r="BR10" s="1263"/>
    </row>
    <row r="11" spans="1:83" ht="6" customHeight="1" x14ac:dyDescent="0.25">
      <c r="A11" s="1258"/>
      <c r="B11" s="1259"/>
      <c r="C11" s="1264"/>
      <c r="D11" s="1264"/>
      <c r="E11" s="1265"/>
      <c r="F11" s="1258"/>
      <c r="G11" s="1259"/>
      <c r="H11" s="1264"/>
      <c r="I11" s="1264"/>
      <c r="J11" s="1265"/>
      <c r="K11" s="1258"/>
      <c r="L11" s="1259"/>
      <c r="M11" s="1264"/>
      <c r="N11" s="1264"/>
      <c r="O11" s="1265"/>
      <c r="P11" s="1258"/>
      <c r="Q11" s="1259"/>
      <c r="R11" s="1264"/>
      <c r="S11" s="1264"/>
      <c r="T11" s="1265"/>
      <c r="U11" s="1258"/>
      <c r="V11" s="1259"/>
      <c r="W11" s="1264"/>
      <c r="X11" s="1264"/>
      <c r="Y11" s="1265"/>
      <c r="Z11" s="1258"/>
      <c r="AA11" s="1259"/>
      <c r="AB11" s="1264"/>
      <c r="AC11" s="1264"/>
      <c r="AD11" s="1265"/>
      <c r="AE11" s="1258"/>
      <c r="AF11" s="1259"/>
      <c r="AG11" s="1264"/>
      <c r="AH11" s="1264"/>
      <c r="AI11" s="1265"/>
      <c r="AJ11" s="1258"/>
      <c r="AK11" s="1259"/>
      <c r="AL11" s="1264"/>
      <c r="AM11" s="1264"/>
      <c r="AN11" s="1265"/>
      <c r="AO11" s="1258"/>
      <c r="AP11" s="1259"/>
      <c r="AQ11" s="1264"/>
      <c r="AR11" s="1264"/>
      <c r="AS11" s="1265"/>
      <c r="AT11" s="1258"/>
      <c r="AU11" s="1259"/>
      <c r="AV11" s="1264"/>
      <c r="AW11" s="1264"/>
      <c r="AX11" s="1265"/>
      <c r="AY11" s="1258"/>
      <c r="AZ11" s="1259"/>
      <c r="BA11" s="1264"/>
      <c r="BB11" s="1264"/>
      <c r="BC11" s="1265"/>
      <c r="BD11" s="1258"/>
      <c r="BE11" s="1259"/>
      <c r="BF11" s="1264"/>
      <c r="BG11" s="1264"/>
      <c r="BH11" s="1265"/>
      <c r="BI11" s="1258"/>
      <c r="BJ11" s="1259"/>
      <c r="BK11" s="1264"/>
      <c r="BL11" s="1264"/>
      <c r="BM11" s="1265"/>
      <c r="BN11" s="1258"/>
      <c r="BO11" s="1259"/>
      <c r="BP11" s="1264"/>
      <c r="BQ11" s="1264"/>
      <c r="BR11" s="1265"/>
    </row>
    <row r="12" spans="1:83" s="22" customFormat="1" ht="111.75" customHeight="1" x14ac:dyDescent="1.35">
      <c r="A12" s="639" t="s">
        <v>131</v>
      </c>
      <c r="B12" s="588">
        <v>128</v>
      </c>
      <c r="C12" s="589"/>
      <c r="D12" s="589"/>
      <c r="E12" s="590"/>
      <c r="F12" s="639" t="s">
        <v>131</v>
      </c>
      <c r="G12" s="588">
        <v>129</v>
      </c>
      <c r="H12" s="589"/>
      <c r="I12" s="589"/>
      <c r="J12" s="590"/>
      <c r="K12" s="639" t="s">
        <v>131</v>
      </c>
      <c r="L12" s="588">
        <v>131</v>
      </c>
      <c r="M12" s="589"/>
      <c r="N12" s="589"/>
      <c r="O12" s="590"/>
      <c r="P12" s="639" t="s">
        <v>131</v>
      </c>
      <c r="Q12" s="588">
        <v>132</v>
      </c>
      <c r="R12" s="589"/>
      <c r="S12" s="589"/>
      <c r="T12" s="590"/>
      <c r="U12" s="639" t="s">
        <v>131</v>
      </c>
      <c r="V12" s="588">
        <v>134</v>
      </c>
      <c r="W12" s="589"/>
      <c r="X12" s="589"/>
      <c r="Y12" s="590"/>
      <c r="Z12" s="639" t="s">
        <v>131</v>
      </c>
      <c r="AA12" s="588">
        <v>135</v>
      </c>
      <c r="AB12" s="589"/>
      <c r="AC12" s="589"/>
      <c r="AD12" s="590"/>
      <c r="AE12" s="639" t="s">
        <v>131</v>
      </c>
      <c r="AF12" s="588">
        <v>136</v>
      </c>
      <c r="AG12" s="589"/>
      <c r="AH12" s="589"/>
      <c r="AI12" s="590"/>
      <c r="AJ12" s="639" t="s">
        <v>131</v>
      </c>
      <c r="AK12" s="588">
        <v>137</v>
      </c>
      <c r="AL12" s="589"/>
      <c r="AM12" s="589"/>
      <c r="AN12" s="590"/>
      <c r="AO12" s="639" t="s">
        <v>131</v>
      </c>
      <c r="AP12" s="588">
        <v>138</v>
      </c>
      <c r="AQ12" s="589"/>
      <c r="AR12" s="589"/>
      <c r="AS12" s="590"/>
      <c r="AT12" s="639" t="s">
        <v>131</v>
      </c>
      <c r="AU12" s="588">
        <v>139</v>
      </c>
      <c r="AV12" s="589"/>
      <c r="AW12" s="589"/>
      <c r="AX12" s="590"/>
      <c r="AY12" s="639" t="s">
        <v>131</v>
      </c>
      <c r="AZ12" s="588">
        <v>140</v>
      </c>
      <c r="BA12" s="589"/>
      <c r="BB12" s="589"/>
      <c r="BC12" s="590"/>
      <c r="BD12" s="639" t="s">
        <v>131</v>
      </c>
      <c r="BE12" s="588">
        <v>142</v>
      </c>
      <c r="BF12" s="589"/>
      <c r="BG12" s="589"/>
      <c r="BH12" s="590"/>
      <c r="BI12" s="639" t="s">
        <v>131</v>
      </c>
      <c r="BJ12" s="588">
        <v>143</v>
      </c>
      <c r="BK12" s="589"/>
      <c r="BL12" s="589"/>
      <c r="BM12" s="590"/>
      <c r="BN12" s="639" t="s">
        <v>131</v>
      </c>
      <c r="BO12" s="588">
        <v>145</v>
      </c>
      <c r="BP12" s="589"/>
      <c r="BQ12" s="589"/>
      <c r="BR12" s="590"/>
    </row>
    <row r="13" spans="1:83" ht="50.25" customHeight="1" thickBot="1" x14ac:dyDescent="0.3">
      <c r="A13" s="640"/>
      <c r="B13" s="61">
        <v>1.0000000000000001E-5</v>
      </c>
      <c r="C13" s="62" t="s">
        <v>113</v>
      </c>
      <c r="D13" s="63"/>
      <c r="E13" s="64" t="s">
        <v>114</v>
      </c>
      <c r="F13" s="640"/>
      <c r="G13" s="61">
        <v>3.782</v>
      </c>
      <c r="H13" s="62" t="s">
        <v>113</v>
      </c>
      <c r="I13" s="63">
        <v>1</v>
      </c>
      <c r="J13" s="64" t="s">
        <v>114</v>
      </c>
      <c r="K13" s="640"/>
      <c r="L13" s="61">
        <v>3.4929999999999999</v>
      </c>
      <c r="M13" s="62" t="s">
        <v>113</v>
      </c>
      <c r="N13" s="63">
        <v>1</v>
      </c>
      <c r="O13" s="64" t="s">
        <v>114</v>
      </c>
      <c r="P13" s="640"/>
      <c r="Q13" s="61">
        <v>2.032</v>
      </c>
      <c r="R13" s="62" t="s">
        <v>113</v>
      </c>
      <c r="S13" s="63">
        <v>1</v>
      </c>
      <c r="T13" s="64" t="s">
        <v>114</v>
      </c>
      <c r="U13" s="640"/>
      <c r="V13" s="61">
        <v>2.4889999999999999</v>
      </c>
      <c r="W13" s="62" t="s">
        <v>113</v>
      </c>
      <c r="X13" s="63">
        <v>1</v>
      </c>
      <c r="Y13" s="64" t="s">
        <v>114</v>
      </c>
      <c r="Z13" s="640"/>
      <c r="AA13" s="61">
        <v>1.5489999999999999</v>
      </c>
      <c r="AB13" s="62" t="s">
        <v>113</v>
      </c>
      <c r="AC13" s="63">
        <v>1</v>
      </c>
      <c r="AD13" s="64" t="s">
        <v>114</v>
      </c>
      <c r="AE13" s="640"/>
      <c r="AF13" s="61">
        <v>1.8029999999999999</v>
      </c>
      <c r="AG13" s="62" t="s">
        <v>113</v>
      </c>
      <c r="AH13" s="63"/>
      <c r="AI13" s="64" t="s">
        <v>114</v>
      </c>
      <c r="AJ13" s="640"/>
      <c r="AK13" s="61">
        <v>1E-4</v>
      </c>
      <c r="AL13" s="62" t="s">
        <v>113</v>
      </c>
      <c r="AM13" s="63">
        <v>1</v>
      </c>
      <c r="AN13" s="64" t="s">
        <v>114</v>
      </c>
      <c r="AO13" s="640"/>
      <c r="AP13" s="61">
        <v>2.5139999999999998</v>
      </c>
      <c r="AQ13" s="62" t="s">
        <v>113</v>
      </c>
      <c r="AR13" s="63">
        <v>1</v>
      </c>
      <c r="AS13" s="64" t="s">
        <v>114</v>
      </c>
      <c r="AT13" s="640"/>
      <c r="AU13" s="61">
        <v>0.152</v>
      </c>
      <c r="AV13" s="62" t="s">
        <v>113</v>
      </c>
      <c r="AW13" s="63"/>
      <c r="AX13" s="64" t="s">
        <v>114</v>
      </c>
      <c r="AY13" s="640"/>
      <c r="AZ13" s="61">
        <v>0.22800000000000001</v>
      </c>
      <c r="BA13" s="62" t="s">
        <v>113</v>
      </c>
      <c r="BB13" s="63">
        <v>1</v>
      </c>
      <c r="BC13" s="64" t="s">
        <v>114</v>
      </c>
      <c r="BD13" s="640"/>
      <c r="BE13" s="61">
        <v>1E-4</v>
      </c>
      <c r="BF13" s="62" t="s">
        <v>113</v>
      </c>
      <c r="BG13" s="63">
        <v>1</v>
      </c>
      <c r="BH13" s="64" t="s">
        <v>114</v>
      </c>
      <c r="BI13" s="640"/>
      <c r="BJ13" s="61">
        <v>3.581</v>
      </c>
      <c r="BK13" s="62" t="s">
        <v>113</v>
      </c>
      <c r="BL13" s="63">
        <v>1</v>
      </c>
      <c r="BM13" s="64" t="s">
        <v>114</v>
      </c>
      <c r="BN13" s="640"/>
      <c r="BO13" s="61">
        <v>0.88900000000000001</v>
      </c>
      <c r="BP13" s="62" t="s">
        <v>113</v>
      </c>
      <c r="BQ13" s="63">
        <v>1</v>
      </c>
      <c r="BR13" s="64" t="s">
        <v>114</v>
      </c>
      <c r="BW13" s="27"/>
      <c r="BX13" s="27"/>
      <c r="BY13" s="27"/>
      <c r="BZ13" s="27"/>
      <c r="CA13" s="27"/>
      <c r="CB13" s="27"/>
      <c r="CC13" s="27"/>
      <c r="CD13" s="27"/>
      <c r="CE13" s="27"/>
    </row>
    <row r="14" spans="1:83" ht="26.1" customHeight="1" thickTop="1" x14ac:dyDescent="0.25">
      <c r="A14" s="645" t="s">
        <v>110</v>
      </c>
      <c r="B14" s="646"/>
      <c r="C14" s="1260">
        <f t="shared" ref="C14" si="27">B19/((72*3.1415/59)*(50/3.281))</f>
        <v>5.1726505208057015E-2</v>
      </c>
      <c r="D14" s="1260"/>
      <c r="E14" s="1261"/>
      <c r="F14" s="645" t="s">
        <v>110</v>
      </c>
      <c r="G14" s="646"/>
      <c r="H14" s="1260">
        <f t="shared" ref="H14" si="28">G19/((72*3.1415/59)*(50/3.281))</f>
        <v>2.216605699683449E-2</v>
      </c>
      <c r="I14" s="1260"/>
      <c r="J14" s="1261"/>
      <c r="K14" s="645" t="s">
        <v>110</v>
      </c>
      <c r="L14" s="646"/>
      <c r="M14" s="1260">
        <f t="shared" ref="M14" si="29">L19/((72*3.1415/59)*(50/3.281))</f>
        <v>7.3036729888411422E-2</v>
      </c>
      <c r="N14" s="1260"/>
      <c r="O14" s="1261"/>
      <c r="P14" s="645" t="s">
        <v>110</v>
      </c>
      <c r="Q14" s="646"/>
      <c r="R14" s="1260">
        <f t="shared" ref="R14" si="30">Q19/((72*3.1415/59)*(50/3.281))</f>
        <v>1.7116646329601926E-6</v>
      </c>
      <c r="S14" s="1260"/>
      <c r="T14" s="1261"/>
      <c r="U14" s="645" t="s">
        <v>110</v>
      </c>
      <c r="V14" s="646"/>
      <c r="W14" s="1260">
        <f t="shared" ref="W14" si="31">V19/((72*3.1415/59)*(50/3.281))</f>
        <v>9.3474005605956118E-2</v>
      </c>
      <c r="X14" s="1260"/>
      <c r="Y14" s="1261"/>
      <c r="Z14" s="645" t="s">
        <v>110</v>
      </c>
      <c r="AA14" s="646"/>
      <c r="AB14" s="1260">
        <f t="shared" ref="AB14" si="32">AA19/((72*3.1415/59)*(50/3.281))</f>
        <v>1.6072530903496206E-2</v>
      </c>
      <c r="AC14" s="1260"/>
      <c r="AD14" s="1261"/>
      <c r="AE14" s="645" t="s">
        <v>110</v>
      </c>
      <c r="AF14" s="646"/>
      <c r="AG14" s="1260">
        <f t="shared" ref="AG14" si="33">AF19/((72*3.1415/59)*(50/3.281))</f>
        <v>0.10259717809963392</v>
      </c>
      <c r="AH14" s="1260"/>
      <c r="AI14" s="1261"/>
      <c r="AJ14" s="645" t="s">
        <v>110</v>
      </c>
      <c r="AK14" s="646"/>
      <c r="AL14" s="1260">
        <f t="shared" ref="AL14" si="34">AK19/((72*3.1415/59)*(50/3.281))</f>
        <v>6.389644074840399E-2</v>
      </c>
      <c r="AM14" s="1260"/>
      <c r="AN14" s="1261"/>
      <c r="AO14" s="645" t="s">
        <v>110</v>
      </c>
      <c r="AP14" s="646"/>
      <c r="AQ14" s="1260">
        <f t="shared" ref="AQ14" si="35">AP19/((72*3.1415/59)*(50/3.281))</f>
        <v>4.6950960882098075E-2</v>
      </c>
      <c r="AR14" s="1260"/>
      <c r="AS14" s="1261"/>
      <c r="AT14" s="645" t="s">
        <v>110</v>
      </c>
      <c r="AU14" s="646"/>
      <c r="AV14" s="1260">
        <f t="shared" ref="AV14" si="36">AU19/((72*3.1415/59)*(50/3.281))</f>
        <v>1.7390512670875557E-2</v>
      </c>
      <c r="AW14" s="1260"/>
      <c r="AX14" s="1261"/>
      <c r="AY14" s="645" t="s">
        <v>110</v>
      </c>
      <c r="AZ14" s="646"/>
      <c r="BA14" s="1260">
        <f t="shared" ref="BA14" si="37">AZ19/((72*3.1415/59)*(50/3.281))</f>
        <v>1.7287812792897944E-3</v>
      </c>
      <c r="BB14" s="1260"/>
      <c r="BC14" s="1261"/>
      <c r="BD14" s="645" t="s">
        <v>110</v>
      </c>
      <c r="BE14" s="646"/>
      <c r="BF14" s="1260">
        <f t="shared" ref="BF14" si="38">BE19/((72*3.1415/59)*(50/3.281))</f>
        <v>1.7116646329601926E-6</v>
      </c>
      <c r="BG14" s="1260"/>
      <c r="BH14" s="1261"/>
      <c r="BI14" s="645" t="s">
        <v>110</v>
      </c>
      <c r="BJ14" s="646"/>
      <c r="BK14" s="1260">
        <f t="shared" ref="BK14" si="39">BJ19/((72*3.1415/59)*(50/3.281))</f>
        <v>0.19607118370559004</v>
      </c>
      <c r="BL14" s="1260"/>
      <c r="BM14" s="1261"/>
      <c r="BN14" s="645" t="s">
        <v>110</v>
      </c>
      <c r="BO14" s="646"/>
      <c r="BP14" s="1260">
        <f t="shared" ref="BP14" si="40">BO19/((72*3.1415/59)*(50/3.281))</f>
        <v>3.128922949051232E-2</v>
      </c>
      <c r="BQ14" s="1260"/>
      <c r="BR14" s="1261"/>
    </row>
    <row r="15" spans="1:83" ht="6.75" customHeight="1" x14ac:dyDescent="0.25">
      <c r="A15" s="1256"/>
      <c r="B15" s="1257"/>
      <c r="C15" s="1262"/>
      <c r="D15" s="1262"/>
      <c r="E15" s="1263"/>
      <c r="F15" s="1256"/>
      <c r="G15" s="1257"/>
      <c r="H15" s="1262"/>
      <c r="I15" s="1262"/>
      <c r="J15" s="1263"/>
      <c r="K15" s="1256"/>
      <c r="L15" s="1257"/>
      <c r="M15" s="1262"/>
      <c r="N15" s="1262"/>
      <c r="O15" s="1263"/>
      <c r="P15" s="1256"/>
      <c r="Q15" s="1257"/>
      <c r="R15" s="1262"/>
      <c r="S15" s="1262"/>
      <c r="T15" s="1263"/>
      <c r="U15" s="1256"/>
      <c r="V15" s="1257"/>
      <c r="W15" s="1262"/>
      <c r="X15" s="1262"/>
      <c r="Y15" s="1263"/>
      <c r="Z15" s="1256"/>
      <c r="AA15" s="1257"/>
      <c r="AB15" s="1262"/>
      <c r="AC15" s="1262"/>
      <c r="AD15" s="1263"/>
      <c r="AE15" s="1256"/>
      <c r="AF15" s="1257"/>
      <c r="AG15" s="1262"/>
      <c r="AH15" s="1262"/>
      <c r="AI15" s="1263"/>
      <c r="AJ15" s="1256"/>
      <c r="AK15" s="1257"/>
      <c r="AL15" s="1262"/>
      <c r="AM15" s="1262"/>
      <c r="AN15" s="1263"/>
      <c r="AO15" s="1256"/>
      <c r="AP15" s="1257"/>
      <c r="AQ15" s="1262"/>
      <c r="AR15" s="1262"/>
      <c r="AS15" s="1263"/>
      <c r="AT15" s="1256"/>
      <c r="AU15" s="1257"/>
      <c r="AV15" s="1262"/>
      <c r="AW15" s="1262"/>
      <c r="AX15" s="1263"/>
      <c r="AY15" s="1256"/>
      <c r="AZ15" s="1257"/>
      <c r="BA15" s="1262"/>
      <c r="BB15" s="1262"/>
      <c r="BC15" s="1263"/>
      <c r="BD15" s="1256"/>
      <c r="BE15" s="1257"/>
      <c r="BF15" s="1262"/>
      <c r="BG15" s="1262"/>
      <c r="BH15" s="1263"/>
      <c r="BI15" s="1256"/>
      <c r="BJ15" s="1257"/>
      <c r="BK15" s="1262"/>
      <c r="BL15" s="1262"/>
      <c r="BM15" s="1263"/>
      <c r="BN15" s="1256"/>
      <c r="BO15" s="1257"/>
      <c r="BP15" s="1262"/>
      <c r="BQ15" s="1262"/>
      <c r="BR15" s="1263"/>
    </row>
    <row r="16" spans="1:83" ht="21.95" customHeight="1" thickBot="1" x14ac:dyDescent="0.3">
      <c r="A16" s="1256"/>
      <c r="B16" s="1257"/>
      <c r="C16" s="1262"/>
      <c r="D16" s="1262"/>
      <c r="E16" s="1263"/>
      <c r="F16" s="1256"/>
      <c r="G16" s="1257"/>
      <c r="H16" s="1262"/>
      <c r="I16" s="1262"/>
      <c r="J16" s="1263"/>
      <c r="K16" s="1256"/>
      <c r="L16" s="1257"/>
      <c r="M16" s="1269"/>
      <c r="N16" s="1269"/>
      <c r="O16" s="1270"/>
      <c r="P16" s="1271"/>
      <c r="Q16" s="1272"/>
      <c r="R16" s="1262"/>
      <c r="S16" s="1262"/>
      <c r="T16" s="1263"/>
      <c r="U16" s="1256"/>
      <c r="V16" s="1257"/>
      <c r="W16" s="1262"/>
      <c r="X16" s="1262"/>
      <c r="Y16" s="1263"/>
      <c r="Z16" s="1256"/>
      <c r="AA16" s="1257"/>
      <c r="AB16" s="1262"/>
      <c r="AC16" s="1262"/>
      <c r="AD16" s="1263"/>
      <c r="AE16" s="1256"/>
      <c r="AF16" s="1257"/>
      <c r="AG16" s="1262"/>
      <c r="AH16" s="1262"/>
      <c r="AI16" s="1263"/>
      <c r="AJ16" s="1256"/>
      <c r="AK16" s="1257"/>
      <c r="AL16" s="1262"/>
      <c r="AM16" s="1262"/>
      <c r="AN16" s="1263"/>
      <c r="AO16" s="1256"/>
      <c r="AP16" s="1257"/>
      <c r="AQ16" s="1262"/>
      <c r="AR16" s="1262"/>
      <c r="AS16" s="1263"/>
      <c r="AT16" s="1256"/>
      <c r="AU16" s="1257"/>
      <c r="AV16" s="1262"/>
      <c r="AW16" s="1262"/>
      <c r="AX16" s="1263"/>
      <c r="AY16" s="1256"/>
      <c r="AZ16" s="1257"/>
      <c r="BA16" s="1262"/>
      <c r="BB16" s="1262"/>
      <c r="BC16" s="1263"/>
      <c r="BD16" s="1256"/>
      <c r="BE16" s="1257"/>
      <c r="BF16" s="1262"/>
      <c r="BG16" s="1262"/>
      <c r="BH16" s="1263"/>
      <c r="BI16" s="1256"/>
      <c r="BJ16" s="1257"/>
      <c r="BK16" s="1262"/>
      <c r="BL16" s="1262"/>
      <c r="BM16" s="1263"/>
      <c r="BN16" s="1256"/>
      <c r="BO16" s="1257"/>
      <c r="BP16" s="1262"/>
      <c r="BQ16" s="1262"/>
      <c r="BR16" s="1263"/>
    </row>
    <row r="17" spans="1:138" ht="6" customHeight="1" x14ac:dyDescent="0.25">
      <c r="A17" s="1258"/>
      <c r="B17" s="1259"/>
      <c r="C17" s="1264"/>
      <c r="D17" s="1264"/>
      <c r="E17" s="1265"/>
      <c r="F17" s="1258"/>
      <c r="G17" s="1259"/>
      <c r="H17" s="1264"/>
      <c r="I17" s="1264"/>
      <c r="J17" s="1265"/>
      <c r="K17" s="1258"/>
      <c r="L17" s="1259"/>
      <c r="M17" s="1264"/>
      <c r="N17" s="1264"/>
      <c r="O17" s="1265"/>
      <c r="P17" s="1258"/>
      <c r="Q17" s="1259"/>
      <c r="R17" s="1264"/>
      <c r="S17" s="1264"/>
      <c r="T17" s="1265"/>
      <c r="U17" s="1258"/>
      <c r="V17" s="1259"/>
      <c r="W17" s="1264"/>
      <c r="X17" s="1264"/>
      <c r="Y17" s="1265"/>
      <c r="Z17" s="1258"/>
      <c r="AA17" s="1259"/>
      <c r="AB17" s="1264"/>
      <c r="AC17" s="1264"/>
      <c r="AD17" s="1265"/>
      <c r="AE17" s="1258"/>
      <c r="AF17" s="1259"/>
      <c r="AG17" s="1264"/>
      <c r="AH17" s="1264"/>
      <c r="AI17" s="1265"/>
      <c r="AJ17" s="1258"/>
      <c r="AK17" s="1259"/>
      <c r="AL17" s="1264"/>
      <c r="AM17" s="1264"/>
      <c r="AN17" s="1265"/>
      <c r="AO17" s="1258"/>
      <c r="AP17" s="1259"/>
      <c r="AQ17" s="1264"/>
      <c r="AR17" s="1264"/>
      <c r="AS17" s="1265"/>
      <c r="AT17" s="1258"/>
      <c r="AU17" s="1259"/>
      <c r="AV17" s="1264"/>
      <c r="AW17" s="1264"/>
      <c r="AX17" s="1265"/>
      <c r="AY17" s="1258"/>
      <c r="AZ17" s="1259"/>
      <c r="BA17" s="1264"/>
      <c r="BB17" s="1264"/>
      <c r="BC17" s="1265"/>
      <c r="BD17" s="1258"/>
      <c r="BE17" s="1259"/>
      <c r="BF17" s="1264"/>
      <c r="BG17" s="1264"/>
      <c r="BH17" s="1265"/>
      <c r="BI17" s="1258"/>
      <c r="BJ17" s="1259"/>
      <c r="BK17" s="1264"/>
      <c r="BL17" s="1264"/>
      <c r="BM17" s="1265"/>
      <c r="BN17" s="1258"/>
      <c r="BO17" s="1259"/>
      <c r="BP17" s="1264"/>
      <c r="BQ17" s="1264"/>
      <c r="BR17" s="1265"/>
    </row>
    <row r="18" spans="1:138" s="22" customFormat="1" ht="111.75" customHeight="1" x14ac:dyDescent="1.35">
      <c r="A18" s="639" t="s">
        <v>131</v>
      </c>
      <c r="B18" s="588">
        <v>146</v>
      </c>
      <c r="C18" s="589"/>
      <c r="D18" s="589"/>
      <c r="E18" s="590"/>
      <c r="F18" s="639" t="s">
        <v>131</v>
      </c>
      <c r="G18" s="588">
        <v>147</v>
      </c>
      <c r="H18" s="589"/>
      <c r="I18" s="589"/>
      <c r="J18" s="590"/>
      <c r="K18" s="639" t="s">
        <v>131</v>
      </c>
      <c r="L18" s="588">
        <v>148</v>
      </c>
      <c r="M18" s="589"/>
      <c r="N18" s="589"/>
      <c r="O18" s="590"/>
      <c r="P18" s="639" t="s">
        <v>131</v>
      </c>
      <c r="Q18" s="588">
        <v>150</v>
      </c>
      <c r="R18" s="589"/>
      <c r="S18" s="589"/>
      <c r="T18" s="590"/>
      <c r="U18" s="639" t="s">
        <v>131</v>
      </c>
      <c r="V18" s="588">
        <v>151</v>
      </c>
      <c r="W18" s="589"/>
      <c r="X18" s="589"/>
      <c r="Y18" s="590"/>
      <c r="Z18" s="639" t="s">
        <v>131</v>
      </c>
      <c r="AA18" s="588">
        <v>152</v>
      </c>
      <c r="AB18" s="589"/>
      <c r="AC18" s="589"/>
      <c r="AD18" s="590"/>
      <c r="AE18" s="639" t="s">
        <v>131</v>
      </c>
      <c r="AF18" s="588">
        <v>153</v>
      </c>
      <c r="AG18" s="589"/>
      <c r="AH18" s="589"/>
      <c r="AI18" s="590"/>
      <c r="AJ18" s="639" t="s">
        <v>131</v>
      </c>
      <c r="AK18" s="588">
        <v>154</v>
      </c>
      <c r="AL18" s="589"/>
      <c r="AM18" s="589"/>
      <c r="AN18" s="590"/>
      <c r="AO18" s="639" t="s">
        <v>131</v>
      </c>
      <c r="AP18" s="588">
        <v>155</v>
      </c>
      <c r="AQ18" s="589"/>
      <c r="AR18" s="589"/>
      <c r="AS18" s="590"/>
      <c r="AT18" s="639" t="s">
        <v>131</v>
      </c>
      <c r="AU18" s="588">
        <v>156</v>
      </c>
      <c r="AV18" s="589"/>
      <c r="AW18" s="589"/>
      <c r="AX18" s="590"/>
      <c r="AY18" s="639" t="s">
        <v>131</v>
      </c>
      <c r="AZ18" s="588">
        <v>157</v>
      </c>
      <c r="BA18" s="589"/>
      <c r="BB18" s="589"/>
      <c r="BC18" s="590"/>
      <c r="BD18" s="639" t="s">
        <v>131</v>
      </c>
      <c r="BE18" s="588">
        <v>158</v>
      </c>
      <c r="BF18" s="589"/>
      <c r="BG18" s="589"/>
      <c r="BH18" s="590"/>
      <c r="BI18" s="639" t="s">
        <v>131</v>
      </c>
      <c r="BJ18" s="588">
        <v>159</v>
      </c>
      <c r="BK18" s="589"/>
      <c r="BL18" s="589"/>
      <c r="BM18" s="590"/>
      <c r="BN18" s="639" t="s">
        <v>131</v>
      </c>
      <c r="BO18" s="588">
        <v>161</v>
      </c>
      <c r="BP18" s="589"/>
      <c r="BQ18" s="589"/>
      <c r="BR18" s="590"/>
    </row>
    <row r="19" spans="1:138" ht="50.25" customHeight="1" thickBot="1" x14ac:dyDescent="0.3">
      <c r="A19" s="640"/>
      <c r="B19" s="61">
        <v>3.0219999999999998</v>
      </c>
      <c r="C19" s="62" t="s">
        <v>113</v>
      </c>
      <c r="D19" s="63">
        <v>1</v>
      </c>
      <c r="E19" s="64" t="s">
        <v>114</v>
      </c>
      <c r="F19" s="640"/>
      <c r="G19" s="61">
        <v>1.2949999999999999</v>
      </c>
      <c r="H19" s="62" t="s">
        <v>113</v>
      </c>
      <c r="I19" s="63"/>
      <c r="J19" s="64" t="s">
        <v>114</v>
      </c>
      <c r="K19" s="640"/>
      <c r="L19" s="61">
        <v>4.2670000000000003</v>
      </c>
      <c r="M19" s="62" t="s">
        <v>113</v>
      </c>
      <c r="N19" s="63">
        <v>1</v>
      </c>
      <c r="O19" s="64" t="s">
        <v>114</v>
      </c>
      <c r="P19" s="640"/>
      <c r="Q19" s="61">
        <v>1E-4</v>
      </c>
      <c r="R19" s="62" t="s">
        <v>113</v>
      </c>
      <c r="S19" s="63">
        <v>1</v>
      </c>
      <c r="T19" s="64" t="s">
        <v>114</v>
      </c>
      <c r="U19" s="640"/>
      <c r="V19" s="61">
        <v>5.4610000000000003</v>
      </c>
      <c r="W19" s="62" t="s">
        <v>113</v>
      </c>
      <c r="X19" s="63">
        <v>1</v>
      </c>
      <c r="Y19" s="64" t="s">
        <v>114</v>
      </c>
      <c r="Z19" s="640"/>
      <c r="AA19" s="61">
        <v>0.93899999999999995</v>
      </c>
      <c r="AB19" s="62" t="s">
        <v>113</v>
      </c>
      <c r="AC19" s="63"/>
      <c r="AD19" s="64" t="s">
        <v>114</v>
      </c>
      <c r="AE19" s="640"/>
      <c r="AF19" s="61">
        <v>5.9939999999999998</v>
      </c>
      <c r="AG19" s="62" t="s">
        <v>113</v>
      </c>
      <c r="AH19" s="63">
        <v>1</v>
      </c>
      <c r="AI19" s="64" t="s">
        <v>114</v>
      </c>
      <c r="AJ19" s="640"/>
      <c r="AK19" s="61">
        <v>3.7330000000000001</v>
      </c>
      <c r="AL19" s="62" t="s">
        <v>113</v>
      </c>
      <c r="AM19" s="63">
        <v>1</v>
      </c>
      <c r="AN19" s="64" t="s">
        <v>114</v>
      </c>
      <c r="AO19" s="640"/>
      <c r="AP19" s="61">
        <v>2.7429999999999999</v>
      </c>
      <c r="AQ19" s="62" t="s">
        <v>113</v>
      </c>
      <c r="AR19" s="63"/>
      <c r="AS19" s="64" t="s">
        <v>114</v>
      </c>
      <c r="AT19" s="640"/>
      <c r="AU19" s="61">
        <v>1.016</v>
      </c>
      <c r="AV19" s="62" t="s">
        <v>113</v>
      </c>
      <c r="AW19" s="63">
        <v>1</v>
      </c>
      <c r="AX19" s="64" t="s">
        <v>114</v>
      </c>
      <c r="AY19" s="640"/>
      <c r="AZ19" s="61">
        <v>0.10100000000000001</v>
      </c>
      <c r="BA19" s="62" t="s">
        <v>113</v>
      </c>
      <c r="BB19" s="63">
        <v>1</v>
      </c>
      <c r="BC19" s="64" t="s">
        <v>114</v>
      </c>
      <c r="BD19" s="640"/>
      <c r="BE19" s="61">
        <v>1E-4</v>
      </c>
      <c r="BF19" s="62" t="s">
        <v>113</v>
      </c>
      <c r="BG19" s="63"/>
      <c r="BH19" s="64" t="s">
        <v>114</v>
      </c>
      <c r="BI19" s="640"/>
      <c r="BJ19" s="120">
        <v>11.455</v>
      </c>
      <c r="BK19" s="62" t="s">
        <v>113</v>
      </c>
      <c r="BL19" s="63">
        <v>1</v>
      </c>
      <c r="BM19" s="64" t="s">
        <v>114</v>
      </c>
      <c r="BN19" s="640"/>
      <c r="BO19" s="61">
        <v>1.8280000000000001</v>
      </c>
      <c r="BP19" s="62" t="s">
        <v>113</v>
      </c>
      <c r="BQ19" s="63">
        <v>1</v>
      </c>
      <c r="BR19" s="64" t="s">
        <v>114</v>
      </c>
      <c r="BW19" s="27"/>
      <c r="BX19" s="27"/>
      <c r="BY19" s="27"/>
      <c r="BZ19" s="27"/>
      <c r="CA19" s="27"/>
      <c r="CB19" s="27"/>
      <c r="CC19" s="27"/>
      <c r="CD19" s="27"/>
      <c r="CE19" s="27"/>
    </row>
    <row r="20" spans="1:138" ht="26.1" customHeight="1" thickTop="1" x14ac:dyDescent="0.25">
      <c r="A20" s="645" t="s">
        <v>110</v>
      </c>
      <c r="B20" s="646"/>
      <c r="C20" s="1260">
        <f t="shared" ref="C20" si="41">B25/((72*3.1415/59)*(50/3.281))</f>
        <v>0.13352695801722461</v>
      </c>
      <c r="D20" s="1260"/>
      <c r="E20" s="1261"/>
      <c r="F20" s="645" t="s">
        <v>110</v>
      </c>
      <c r="G20" s="646"/>
      <c r="H20" s="1260">
        <f t="shared" ref="H20" si="42">G25/((72*3.1415/59)*(50/3.281))</f>
        <v>4.3904197835428933E-2</v>
      </c>
      <c r="I20" s="1260"/>
      <c r="J20" s="1261"/>
      <c r="K20" s="645" t="s">
        <v>110</v>
      </c>
      <c r="L20" s="646"/>
      <c r="M20" s="1260">
        <f t="shared" ref="M20" si="43">L25/((72*3.1415/59)*(50/3.281))</f>
        <v>3.4746792049091908E-3</v>
      </c>
      <c r="N20" s="1260"/>
      <c r="O20" s="1261"/>
      <c r="P20" s="645" t="s">
        <v>110</v>
      </c>
      <c r="Q20" s="646"/>
      <c r="R20" s="1260">
        <f t="shared" ref="R20" si="44">Q25/((72*3.1415/59)*(50/3.281))</f>
        <v>1.7818428829115603E-2</v>
      </c>
      <c r="S20" s="1260"/>
      <c r="T20" s="1261"/>
      <c r="U20" s="645" t="s">
        <v>110</v>
      </c>
      <c r="V20" s="646"/>
      <c r="W20" s="1260">
        <f t="shared" ref="W20" si="45">V25/((72*3.1415/59)*(50/3.281))</f>
        <v>1.6072530903496206E-2</v>
      </c>
      <c r="X20" s="1260"/>
      <c r="Y20" s="1261"/>
      <c r="Z20" s="645" t="s">
        <v>110</v>
      </c>
      <c r="AA20" s="646"/>
      <c r="AB20" s="1260">
        <f t="shared" ref="AB20" si="46">AA25/((72*3.1415/59)*(50/3.281))</f>
        <v>0.30955112554158493</v>
      </c>
      <c r="AC20" s="1260"/>
      <c r="AD20" s="1261"/>
      <c r="AE20" s="645" t="s">
        <v>110</v>
      </c>
      <c r="AF20" s="646"/>
      <c r="AG20" s="1260">
        <f t="shared" ref="AG20" si="47">AF25/((72*3.1415/59)*(50/3.281))</f>
        <v>0.26955294639857108</v>
      </c>
      <c r="AH20" s="1260"/>
      <c r="AI20" s="1261"/>
      <c r="AJ20" s="645" t="s">
        <v>110</v>
      </c>
      <c r="AK20" s="646"/>
      <c r="AL20" s="1260">
        <f t="shared" ref="AL20" si="48">AK25/((72*3.1415/59)*(50/3.281))</f>
        <v>7.041788299998232E-2</v>
      </c>
      <c r="AM20" s="1260"/>
      <c r="AN20" s="1261"/>
      <c r="AO20" s="645" t="s">
        <v>110</v>
      </c>
      <c r="AP20" s="646"/>
      <c r="AQ20" s="1260">
        <f t="shared" ref="AQ20" si="49">AP25/((72*3.1415/59)*(50/3.281))</f>
        <v>1.2169935540346968E-2</v>
      </c>
      <c r="AR20" s="1260"/>
      <c r="AS20" s="1261"/>
      <c r="AT20" s="645" t="s">
        <v>110</v>
      </c>
      <c r="AU20" s="646"/>
      <c r="AV20" s="1260">
        <f t="shared" ref="AV20" si="50">AU25/((72*3.1415/59)*(50/3.281))</f>
        <v>4.433211399366898E-2</v>
      </c>
      <c r="AW20" s="1260"/>
      <c r="AX20" s="1261"/>
      <c r="AY20" s="645" t="s">
        <v>110</v>
      </c>
      <c r="AZ20" s="646"/>
      <c r="BA20" s="1260">
        <f t="shared" ref="BA20" si="51">AZ25/((72*3.1415/59)*(50/3.281))</f>
        <v>0.20606730516207755</v>
      </c>
      <c r="BB20" s="1260"/>
      <c r="BC20" s="1261"/>
      <c r="BD20" s="645" t="s">
        <v>110</v>
      </c>
      <c r="BE20" s="646"/>
      <c r="BF20" s="1260">
        <f t="shared" ref="BF20" si="52">BE25/((72*3.1415/59)*(50/3.281))</f>
        <v>9.5510886519178748E-3</v>
      </c>
      <c r="BG20" s="1260"/>
      <c r="BH20" s="1261"/>
      <c r="BI20" s="645" t="s">
        <v>110</v>
      </c>
      <c r="BJ20" s="646"/>
      <c r="BK20" s="1260">
        <f t="shared" ref="BK20" si="53">BJ25/((72*3.1415/59)*(50/3.281))</f>
        <v>0.10607185730454313</v>
      </c>
      <c r="BL20" s="1260"/>
      <c r="BM20" s="1261"/>
      <c r="BN20" s="645" t="s">
        <v>110</v>
      </c>
      <c r="BO20" s="646"/>
      <c r="BP20" s="1260">
        <f t="shared" ref="BP20" si="54">BO25/((72*3.1415/59)*(50/3.281))</f>
        <v>6.781615275788283E-2</v>
      </c>
      <c r="BQ20" s="1260"/>
      <c r="BR20" s="1261"/>
    </row>
    <row r="21" spans="1:138" ht="6.75" customHeight="1" x14ac:dyDescent="0.25">
      <c r="A21" s="1256"/>
      <c r="B21" s="1257"/>
      <c r="C21" s="1262"/>
      <c r="D21" s="1262"/>
      <c r="E21" s="1263"/>
      <c r="F21" s="1256"/>
      <c r="G21" s="1257"/>
      <c r="H21" s="1262"/>
      <c r="I21" s="1262"/>
      <c r="J21" s="1263"/>
      <c r="K21" s="1256"/>
      <c r="L21" s="1257"/>
      <c r="M21" s="1262"/>
      <c r="N21" s="1262"/>
      <c r="O21" s="1263"/>
      <c r="P21" s="1256"/>
      <c r="Q21" s="1257"/>
      <c r="R21" s="1262"/>
      <c r="S21" s="1262"/>
      <c r="T21" s="1263"/>
      <c r="U21" s="1256"/>
      <c r="V21" s="1257"/>
      <c r="W21" s="1262"/>
      <c r="X21" s="1262"/>
      <c r="Y21" s="1263"/>
      <c r="Z21" s="1256"/>
      <c r="AA21" s="1257"/>
      <c r="AB21" s="1262"/>
      <c r="AC21" s="1262"/>
      <c r="AD21" s="1263"/>
      <c r="AE21" s="1256"/>
      <c r="AF21" s="1257"/>
      <c r="AG21" s="1262"/>
      <c r="AH21" s="1262"/>
      <c r="AI21" s="1263"/>
      <c r="AJ21" s="1256"/>
      <c r="AK21" s="1257"/>
      <c r="AL21" s="1262"/>
      <c r="AM21" s="1262"/>
      <c r="AN21" s="1263"/>
      <c r="AO21" s="1256"/>
      <c r="AP21" s="1257"/>
      <c r="AQ21" s="1262"/>
      <c r="AR21" s="1262"/>
      <c r="AS21" s="1263"/>
      <c r="AT21" s="1256"/>
      <c r="AU21" s="1257"/>
      <c r="AV21" s="1262"/>
      <c r="AW21" s="1262"/>
      <c r="AX21" s="1263"/>
      <c r="AY21" s="1256"/>
      <c r="AZ21" s="1257"/>
      <c r="BA21" s="1262"/>
      <c r="BB21" s="1262"/>
      <c r="BC21" s="1263"/>
      <c r="BD21" s="1256"/>
      <c r="BE21" s="1257"/>
      <c r="BF21" s="1262"/>
      <c r="BG21" s="1262"/>
      <c r="BH21" s="1263"/>
      <c r="BI21" s="1256"/>
      <c r="BJ21" s="1257"/>
      <c r="BK21" s="1262"/>
      <c r="BL21" s="1262"/>
      <c r="BM21" s="1263"/>
      <c r="BN21" s="1256"/>
      <c r="BO21" s="1257"/>
      <c r="BP21" s="1262"/>
      <c r="BQ21" s="1262"/>
      <c r="BR21" s="1263"/>
    </row>
    <row r="22" spans="1:138" ht="21.95" customHeight="1" x14ac:dyDescent="0.25">
      <c r="A22" s="1256"/>
      <c r="B22" s="1257"/>
      <c r="C22" s="1262"/>
      <c r="D22" s="1262"/>
      <c r="E22" s="1263"/>
      <c r="F22" s="1256"/>
      <c r="G22" s="1257"/>
      <c r="H22" s="1262"/>
      <c r="I22" s="1262"/>
      <c r="J22" s="1263"/>
      <c r="K22" s="1256"/>
      <c r="L22" s="1257"/>
      <c r="M22" s="1262"/>
      <c r="N22" s="1262"/>
      <c r="O22" s="1263"/>
      <c r="P22" s="1256"/>
      <c r="Q22" s="1257"/>
      <c r="R22" s="1262"/>
      <c r="S22" s="1262"/>
      <c r="T22" s="1263"/>
      <c r="U22" s="1256"/>
      <c r="V22" s="1257"/>
      <c r="W22" s="1262"/>
      <c r="X22" s="1262"/>
      <c r="Y22" s="1263"/>
      <c r="Z22" s="1256"/>
      <c r="AA22" s="1257"/>
      <c r="AB22" s="1262"/>
      <c r="AC22" s="1262"/>
      <c r="AD22" s="1263"/>
      <c r="AE22" s="1256"/>
      <c r="AF22" s="1257"/>
      <c r="AG22" s="1262"/>
      <c r="AH22" s="1262"/>
      <c r="AI22" s="1263"/>
      <c r="AJ22" s="1256"/>
      <c r="AK22" s="1257"/>
      <c r="AL22" s="1262"/>
      <c r="AM22" s="1262"/>
      <c r="AN22" s="1263"/>
      <c r="AO22" s="1256"/>
      <c r="AP22" s="1257"/>
      <c r="AQ22" s="1262"/>
      <c r="AR22" s="1262"/>
      <c r="AS22" s="1263"/>
      <c r="AT22" s="1256"/>
      <c r="AU22" s="1257"/>
      <c r="AV22" s="1262"/>
      <c r="AW22" s="1262"/>
      <c r="AX22" s="1263"/>
      <c r="AY22" s="1256"/>
      <c r="AZ22" s="1257"/>
      <c r="BA22" s="1262"/>
      <c r="BB22" s="1262"/>
      <c r="BC22" s="1263"/>
      <c r="BD22" s="1256"/>
      <c r="BE22" s="1257"/>
      <c r="BF22" s="1262"/>
      <c r="BG22" s="1262"/>
      <c r="BH22" s="1263"/>
      <c r="BI22" s="1256"/>
      <c r="BJ22" s="1257"/>
      <c r="BK22" s="1262"/>
      <c r="BL22" s="1262"/>
      <c r="BM22" s="1263"/>
      <c r="BN22" s="1256"/>
      <c r="BO22" s="1257"/>
      <c r="BP22" s="1262"/>
      <c r="BQ22" s="1262"/>
      <c r="BR22" s="1263"/>
    </row>
    <row r="23" spans="1:138" ht="6" customHeight="1" x14ac:dyDescent="0.25">
      <c r="A23" s="1258"/>
      <c r="B23" s="1259"/>
      <c r="C23" s="1264"/>
      <c r="D23" s="1264"/>
      <c r="E23" s="1265"/>
      <c r="F23" s="1258"/>
      <c r="G23" s="1259"/>
      <c r="H23" s="1264"/>
      <c r="I23" s="1264"/>
      <c r="J23" s="1265"/>
      <c r="K23" s="1258"/>
      <c r="L23" s="1259"/>
      <c r="M23" s="1264"/>
      <c r="N23" s="1264"/>
      <c r="O23" s="1265"/>
      <c r="P23" s="1258"/>
      <c r="Q23" s="1259"/>
      <c r="R23" s="1264"/>
      <c r="S23" s="1264"/>
      <c r="T23" s="1265"/>
      <c r="U23" s="1258"/>
      <c r="V23" s="1259"/>
      <c r="W23" s="1264"/>
      <c r="X23" s="1264"/>
      <c r="Y23" s="1265"/>
      <c r="Z23" s="1258"/>
      <c r="AA23" s="1259"/>
      <c r="AB23" s="1264"/>
      <c r="AC23" s="1264"/>
      <c r="AD23" s="1265"/>
      <c r="AE23" s="1258"/>
      <c r="AF23" s="1259"/>
      <c r="AG23" s="1264"/>
      <c r="AH23" s="1264"/>
      <c r="AI23" s="1265"/>
      <c r="AJ23" s="1258"/>
      <c r="AK23" s="1259"/>
      <c r="AL23" s="1264"/>
      <c r="AM23" s="1264"/>
      <c r="AN23" s="1265"/>
      <c r="AO23" s="1258"/>
      <c r="AP23" s="1259"/>
      <c r="AQ23" s="1264"/>
      <c r="AR23" s="1264"/>
      <c r="AS23" s="1265"/>
      <c r="AT23" s="1258"/>
      <c r="AU23" s="1259"/>
      <c r="AV23" s="1264"/>
      <c r="AW23" s="1264"/>
      <c r="AX23" s="1265"/>
      <c r="AY23" s="1258"/>
      <c r="AZ23" s="1259"/>
      <c r="BA23" s="1264"/>
      <c r="BB23" s="1264"/>
      <c r="BC23" s="1265"/>
      <c r="BD23" s="1258"/>
      <c r="BE23" s="1259"/>
      <c r="BF23" s="1264"/>
      <c r="BG23" s="1264"/>
      <c r="BH23" s="1265"/>
      <c r="BI23" s="1258"/>
      <c r="BJ23" s="1259"/>
      <c r="BK23" s="1264"/>
      <c r="BL23" s="1264"/>
      <c r="BM23" s="1265"/>
      <c r="BN23" s="1258"/>
      <c r="BO23" s="1259"/>
      <c r="BP23" s="1264"/>
      <c r="BQ23" s="1264"/>
      <c r="BR23" s="1265"/>
    </row>
    <row r="24" spans="1:138" s="22" customFormat="1" ht="111.75" customHeight="1" x14ac:dyDescent="1.35">
      <c r="A24" s="639" t="s">
        <v>131</v>
      </c>
      <c r="B24" s="588">
        <v>162</v>
      </c>
      <c r="C24" s="589"/>
      <c r="D24" s="589"/>
      <c r="E24" s="590"/>
      <c r="F24" s="639" t="s">
        <v>131</v>
      </c>
      <c r="G24" s="588">
        <v>163</v>
      </c>
      <c r="H24" s="589"/>
      <c r="I24" s="589"/>
      <c r="J24" s="590"/>
      <c r="K24" s="639" t="s">
        <v>131</v>
      </c>
      <c r="L24" s="588">
        <v>164</v>
      </c>
      <c r="M24" s="589"/>
      <c r="N24" s="589"/>
      <c r="O24" s="590"/>
      <c r="P24" s="639" t="s">
        <v>131</v>
      </c>
      <c r="Q24" s="588">
        <v>165</v>
      </c>
      <c r="R24" s="589"/>
      <c r="S24" s="589"/>
      <c r="T24" s="590"/>
      <c r="U24" s="639" t="s">
        <v>131</v>
      </c>
      <c r="V24" s="588">
        <v>166</v>
      </c>
      <c r="W24" s="589"/>
      <c r="X24" s="589"/>
      <c r="Y24" s="590"/>
      <c r="Z24" s="639" t="s">
        <v>131</v>
      </c>
      <c r="AA24" s="588">
        <v>167</v>
      </c>
      <c r="AB24" s="589"/>
      <c r="AC24" s="589"/>
      <c r="AD24" s="590"/>
      <c r="AE24" s="639" t="s">
        <v>131</v>
      </c>
      <c r="AF24" s="588">
        <v>168</v>
      </c>
      <c r="AG24" s="589"/>
      <c r="AH24" s="589"/>
      <c r="AI24" s="590"/>
      <c r="AJ24" s="639" t="s">
        <v>131</v>
      </c>
      <c r="AK24" s="588">
        <v>169</v>
      </c>
      <c r="AL24" s="589"/>
      <c r="AM24" s="589"/>
      <c r="AN24" s="590"/>
      <c r="AO24" s="639" t="s">
        <v>131</v>
      </c>
      <c r="AP24" s="588">
        <v>170</v>
      </c>
      <c r="AQ24" s="589"/>
      <c r="AR24" s="589"/>
      <c r="AS24" s="590"/>
      <c r="AT24" s="639" t="s">
        <v>131</v>
      </c>
      <c r="AU24" s="588">
        <v>171</v>
      </c>
      <c r="AV24" s="589"/>
      <c r="AW24" s="589"/>
      <c r="AX24" s="590"/>
      <c r="AY24" s="639" t="s">
        <v>131</v>
      </c>
      <c r="AZ24" s="588">
        <v>172</v>
      </c>
      <c r="BA24" s="589"/>
      <c r="BB24" s="589"/>
      <c r="BC24" s="590"/>
      <c r="BD24" s="639" t="s">
        <v>131</v>
      </c>
      <c r="BE24" s="588">
        <v>173</v>
      </c>
      <c r="BF24" s="589"/>
      <c r="BG24" s="589"/>
      <c r="BH24" s="590"/>
      <c r="BI24" s="639" t="s">
        <v>131</v>
      </c>
      <c r="BJ24" s="588">
        <v>174</v>
      </c>
      <c r="BK24" s="589"/>
      <c r="BL24" s="589"/>
      <c r="BM24" s="590"/>
      <c r="BN24" s="639" t="s">
        <v>131</v>
      </c>
      <c r="BO24" s="588">
        <v>175</v>
      </c>
      <c r="BP24" s="589"/>
      <c r="BQ24" s="589"/>
      <c r="BR24" s="590"/>
    </row>
    <row r="25" spans="1:138" ht="50.25" customHeight="1" thickBot="1" x14ac:dyDescent="0.3">
      <c r="A25" s="640"/>
      <c r="B25" s="61">
        <v>7.8010000000000002</v>
      </c>
      <c r="C25" s="62" t="s">
        <v>113</v>
      </c>
      <c r="D25" s="63">
        <v>1</v>
      </c>
      <c r="E25" s="64" t="s">
        <v>114</v>
      </c>
      <c r="F25" s="640"/>
      <c r="G25" s="61">
        <v>2.5649999999999999</v>
      </c>
      <c r="H25" s="62" t="s">
        <v>113</v>
      </c>
      <c r="I25" s="63"/>
      <c r="J25" s="64" t="s">
        <v>114</v>
      </c>
      <c r="K25" s="640"/>
      <c r="L25" s="61">
        <v>0.20300000000000001</v>
      </c>
      <c r="M25" s="62" t="s">
        <v>113</v>
      </c>
      <c r="N25" s="63">
        <v>1</v>
      </c>
      <c r="O25" s="64" t="s">
        <v>114</v>
      </c>
      <c r="P25" s="640"/>
      <c r="Q25" s="61">
        <v>1.0409999999999999</v>
      </c>
      <c r="R25" s="62" t="s">
        <v>113</v>
      </c>
      <c r="S25" s="63">
        <v>1</v>
      </c>
      <c r="T25" s="64" t="s">
        <v>114</v>
      </c>
      <c r="U25" s="640"/>
      <c r="V25" s="61">
        <v>0.93899999999999995</v>
      </c>
      <c r="W25" s="62" t="s">
        <v>113</v>
      </c>
      <c r="X25" s="63"/>
      <c r="Y25" s="64" t="s">
        <v>114</v>
      </c>
      <c r="Z25" s="640"/>
      <c r="AA25" s="286">
        <v>18.084800000000001</v>
      </c>
      <c r="AB25" s="62" t="s">
        <v>113</v>
      </c>
      <c r="AC25" s="63"/>
      <c r="AD25" s="64" t="s">
        <v>114</v>
      </c>
      <c r="AE25" s="640"/>
      <c r="AF25" s="286">
        <v>15.747999999999999</v>
      </c>
      <c r="AG25" s="62" t="s">
        <v>113</v>
      </c>
      <c r="AH25" s="63">
        <v>1</v>
      </c>
      <c r="AI25" s="64" t="s">
        <v>114</v>
      </c>
      <c r="AJ25" s="640"/>
      <c r="AK25" s="61">
        <v>4.1139999999999999</v>
      </c>
      <c r="AL25" s="62" t="s">
        <v>113</v>
      </c>
      <c r="AM25" s="63">
        <v>1</v>
      </c>
      <c r="AN25" s="64" t="s">
        <v>114</v>
      </c>
      <c r="AO25" s="640"/>
      <c r="AP25" s="61">
        <v>0.71099999999999997</v>
      </c>
      <c r="AQ25" s="62" t="s">
        <v>113</v>
      </c>
      <c r="AR25" s="63"/>
      <c r="AS25" s="64" t="s">
        <v>114</v>
      </c>
      <c r="AT25" s="640"/>
      <c r="AU25" s="61">
        <v>2.59</v>
      </c>
      <c r="AV25" s="62" t="s">
        <v>113</v>
      </c>
      <c r="AW25" s="63">
        <v>1</v>
      </c>
      <c r="AX25" s="64" t="s">
        <v>114</v>
      </c>
      <c r="AY25" s="640"/>
      <c r="AZ25" s="286">
        <v>12.039</v>
      </c>
      <c r="BA25" s="62" t="s">
        <v>113</v>
      </c>
      <c r="BB25" s="63"/>
      <c r="BC25" s="64" t="s">
        <v>114</v>
      </c>
      <c r="BD25" s="640"/>
      <c r="BE25" s="61">
        <v>0.55800000000000005</v>
      </c>
      <c r="BF25" s="62" t="s">
        <v>113</v>
      </c>
      <c r="BG25" s="63">
        <v>1</v>
      </c>
      <c r="BH25" s="64" t="s">
        <v>114</v>
      </c>
      <c r="BI25" s="640"/>
      <c r="BJ25" s="61">
        <v>6.1970000000000001</v>
      </c>
      <c r="BK25" s="62" t="s">
        <v>113</v>
      </c>
      <c r="BL25" s="63">
        <v>1</v>
      </c>
      <c r="BM25" s="64" t="s">
        <v>114</v>
      </c>
      <c r="BN25" s="640"/>
      <c r="BO25" s="61">
        <v>3.9620000000000002</v>
      </c>
      <c r="BP25" s="62" t="s">
        <v>113</v>
      </c>
      <c r="BQ25" s="63"/>
      <c r="BR25" s="64" t="s">
        <v>114</v>
      </c>
      <c r="BW25" s="27"/>
      <c r="BX25" s="27"/>
      <c r="BY25" s="27"/>
      <c r="BZ25" s="27"/>
      <c r="CA25" s="27"/>
      <c r="CB25" s="27"/>
      <c r="CC25" s="27"/>
      <c r="CD25" s="27"/>
      <c r="CE25" s="27"/>
    </row>
    <row r="26" spans="1:138" ht="26.1" customHeight="1" thickTop="1" x14ac:dyDescent="0.25">
      <c r="A26" s="645" t="s">
        <v>110</v>
      </c>
      <c r="B26" s="646"/>
      <c r="C26" s="1260">
        <f t="shared" ref="C26" si="55">B31/((72*3.1415/59)*(50/3.281))</f>
        <v>5.7374998496825647E-2</v>
      </c>
      <c r="D26" s="1260"/>
      <c r="E26" s="1261"/>
      <c r="F26" s="645" t="s">
        <v>110</v>
      </c>
      <c r="G26" s="646"/>
      <c r="H26" s="1260">
        <f t="shared" ref="H26" si="56">G31/((72*3.1415/59)*(50/3.281))</f>
        <v>0.10869070419297221</v>
      </c>
      <c r="I26" s="1260"/>
      <c r="J26" s="1261"/>
      <c r="K26" s="645" t="s">
        <v>110</v>
      </c>
      <c r="L26" s="646"/>
      <c r="M26" s="1260">
        <f t="shared" ref="M26" si="57">L31/((72*3.1415/59)*(50/3.281))</f>
        <v>6.9493584098183816E-3</v>
      </c>
      <c r="N26" s="1260"/>
      <c r="O26" s="1261"/>
      <c r="P26" s="645" t="s">
        <v>110</v>
      </c>
      <c r="Q26" s="646"/>
      <c r="R26" s="1260">
        <f t="shared" ref="R26" si="58">Q31/((72*3.1415/59)*(50/3.281))</f>
        <v>3.128922949051232E-2</v>
      </c>
      <c r="S26" s="1260"/>
      <c r="T26" s="1261"/>
      <c r="U26" s="645" t="s">
        <v>110</v>
      </c>
      <c r="V26" s="646"/>
      <c r="W26" s="1260">
        <f t="shared" ref="W26" si="59">V31/((72*3.1415/59)*(50/3.281))</f>
        <v>7.82230737262808E-3</v>
      </c>
      <c r="X26" s="1260"/>
      <c r="Y26" s="1261"/>
      <c r="Z26" s="645" t="s">
        <v>110</v>
      </c>
      <c r="AA26" s="646"/>
      <c r="AB26" s="1260">
        <f t="shared" ref="AB26" si="60">AA31/((72*3.1415/59)*(50/3.281))</f>
        <v>1.7116646329601925E-14</v>
      </c>
      <c r="AC26" s="1260"/>
      <c r="AD26" s="1261"/>
      <c r="AE26" s="645" t="s">
        <v>110</v>
      </c>
      <c r="AF26" s="646"/>
      <c r="AG26" s="1260">
        <f t="shared" ref="AG26" si="61">AF31/((72*3.1415/59)*(50/3.281))</f>
        <v>0.17910858719295455</v>
      </c>
      <c r="AH26" s="1260"/>
      <c r="AI26" s="1261"/>
      <c r="AJ26" s="645" t="s">
        <v>110</v>
      </c>
      <c r="AK26" s="646"/>
      <c r="AL26" s="1260">
        <f t="shared" ref="AL26" si="62">AK31/((72*3.1415/59)*(50/3.281))</f>
        <v>1.7116646329601926E-6</v>
      </c>
      <c r="AM26" s="1260"/>
      <c r="AN26" s="1261"/>
      <c r="AO26" s="645" t="s">
        <v>110</v>
      </c>
      <c r="AP26" s="646"/>
      <c r="AQ26" s="1260">
        <f t="shared" ref="AQ26" si="63">AP31/((72*3.1415/59)*(50/3.281))</f>
        <v>3.9984485825950093E-2</v>
      </c>
      <c r="AR26" s="1260"/>
      <c r="AS26" s="1261"/>
      <c r="AT26" s="645" t="s">
        <v>110</v>
      </c>
      <c r="AU26" s="646"/>
      <c r="AV26" s="1260">
        <f t="shared" ref="AV26" si="64">AU31/((72*3.1415/59)*(50/3.281))</f>
        <v>0.10954653650945233</v>
      </c>
      <c r="AW26" s="1260"/>
      <c r="AX26" s="1261"/>
      <c r="AY26" s="645" t="s">
        <v>110</v>
      </c>
      <c r="AZ26" s="646"/>
      <c r="BA26" s="1260">
        <f t="shared" ref="BA26" si="65">AZ31/((72*3.1415/59)*(50/3.281))</f>
        <v>5.042564008700727E-2</v>
      </c>
      <c r="BB26" s="1260"/>
      <c r="BC26" s="1261"/>
      <c r="BD26" s="645" t="s">
        <v>110</v>
      </c>
      <c r="BE26" s="646"/>
      <c r="BF26" s="1260">
        <f t="shared" ref="BF26" si="66">BE31/((72*3.1415/59)*(50/3.281))</f>
        <v>3.043339717403222E-2</v>
      </c>
      <c r="BG26" s="1260"/>
      <c r="BH26" s="1261"/>
      <c r="BI26" s="645" t="s">
        <v>110</v>
      </c>
      <c r="BJ26" s="646"/>
      <c r="BK26" s="1260">
        <f t="shared" ref="BK26" si="67">BJ31/((72*3.1415/59)*(50/3.281))</f>
        <v>1.0424037614727572E-2</v>
      </c>
      <c r="BL26" s="1260"/>
      <c r="BM26" s="1261"/>
      <c r="BN26" s="645" t="s">
        <v>110</v>
      </c>
      <c r="BO26" s="646"/>
      <c r="BP26" s="1260">
        <f t="shared" ref="BP26" si="68">BO31/((72*3.1415/59)*(50/3.281))</f>
        <v>1.3898716819636763E-2</v>
      </c>
      <c r="BQ26" s="1260"/>
      <c r="BR26" s="1261"/>
    </row>
    <row r="27" spans="1:138" ht="6.75" customHeight="1" x14ac:dyDescent="0.25">
      <c r="A27" s="1256"/>
      <c r="B27" s="1257"/>
      <c r="C27" s="1262"/>
      <c r="D27" s="1262"/>
      <c r="E27" s="1263"/>
      <c r="F27" s="1256"/>
      <c r="G27" s="1257"/>
      <c r="H27" s="1262"/>
      <c r="I27" s="1262"/>
      <c r="J27" s="1263"/>
      <c r="K27" s="1256"/>
      <c r="L27" s="1257"/>
      <c r="M27" s="1262"/>
      <c r="N27" s="1262"/>
      <c r="O27" s="1263"/>
      <c r="P27" s="1256"/>
      <c r="Q27" s="1257"/>
      <c r="R27" s="1262"/>
      <c r="S27" s="1262"/>
      <c r="T27" s="1263"/>
      <c r="U27" s="1256"/>
      <c r="V27" s="1257"/>
      <c r="W27" s="1262"/>
      <c r="X27" s="1262"/>
      <c r="Y27" s="1263"/>
      <c r="Z27" s="1256"/>
      <c r="AA27" s="1257"/>
      <c r="AB27" s="1262"/>
      <c r="AC27" s="1262"/>
      <c r="AD27" s="1263"/>
      <c r="AE27" s="1256"/>
      <c r="AF27" s="1257"/>
      <c r="AG27" s="1262"/>
      <c r="AH27" s="1262"/>
      <c r="AI27" s="1263"/>
      <c r="AJ27" s="1256"/>
      <c r="AK27" s="1257"/>
      <c r="AL27" s="1262"/>
      <c r="AM27" s="1262"/>
      <c r="AN27" s="1263"/>
      <c r="AO27" s="1256"/>
      <c r="AP27" s="1257"/>
      <c r="AQ27" s="1262"/>
      <c r="AR27" s="1262"/>
      <c r="AS27" s="1263"/>
      <c r="AT27" s="1256"/>
      <c r="AU27" s="1257"/>
      <c r="AV27" s="1262"/>
      <c r="AW27" s="1262"/>
      <c r="AX27" s="1263"/>
      <c r="AY27" s="1256"/>
      <c r="AZ27" s="1257"/>
      <c r="BA27" s="1262"/>
      <c r="BB27" s="1262"/>
      <c r="BC27" s="1263"/>
      <c r="BD27" s="1256"/>
      <c r="BE27" s="1257"/>
      <c r="BF27" s="1262"/>
      <c r="BG27" s="1262"/>
      <c r="BH27" s="1263"/>
      <c r="BI27" s="1256"/>
      <c r="BJ27" s="1257"/>
      <c r="BK27" s="1262"/>
      <c r="BL27" s="1262"/>
      <c r="BM27" s="1263"/>
      <c r="BN27" s="1256"/>
      <c r="BO27" s="1257"/>
      <c r="BP27" s="1262"/>
      <c r="BQ27" s="1262"/>
      <c r="BR27" s="1263"/>
    </row>
    <row r="28" spans="1:138" ht="21.95" customHeight="1" x14ac:dyDescent="0.25">
      <c r="A28" s="1256"/>
      <c r="B28" s="1257"/>
      <c r="C28" s="1262"/>
      <c r="D28" s="1262"/>
      <c r="E28" s="1263"/>
      <c r="F28" s="1256"/>
      <c r="G28" s="1257"/>
      <c r="H28" s="1262"/>
      <c r="I28" s="1262"/>
      <c r="J28" s="1263"/>
      <c r="K28" s="1256"/>
      <c r="L28" s="1257"/>
      <c r="M28" s="1262"/>
      <c r="N28" s="1262"/>
      <c r="O28" s="1263"/>
      <c r="P28" s="1256"/>
      <c r="Q28" s="1257"/>
      <c r="R28" s="1262"/>
      <c r="S28" s="1262"/>
      <c r="T28" s="1263"/>
      <c r="U28" s="1256"/>
      <c r="V28" s="1257"/>
      <c r="W28" s="1262"/>
      <c r="X28" s="1262"/>
      <c r="Y28" s="1263"/>
      <c r="Z28" s="1256"/>
      <c r="AA28" s="1257"/>
      <c r="AB28" s="1262"/>
      <c r="AC28" s="1262"/>
      <c r="AD28" s="1263"/>
      <c r="AE28" s="1256"/>
      <c r="AF28" s="1257"/>
      <c r="AG28" s="1262"/>
      <c r="AH28" s="1262"/>
      <c r="AI28" s="1263"/>
      <c r="AJ28" s="1256"/>
      <c r="AK28" s="1257"/>
      <c r="AL28" s="1262"/>
      <c r="AM28" s="1262"/>
      <c r="AN28" s="1263"/>
      <c r="AO28" s="1256"/>
      <c r="AP28" s="1257"/>
      <c r="AQ28" s="1262"/>
      <c r="AR28" s="1262"/>
      <c r="AS28" s="1263"/>
      <c r="AT28" s="1256"/>
      <c r="AU28" s="1257"/>
      <c r="AV28" s="1262"/>
      <c r="AW28" s="1262"/>
      <c r="AX28" s="1263"/>
      <c r="AY28" s="1256"/>
      <c r="AZ28" s="1257"/>
      <c r="BA28" s="1262"/>
      <c r="BB28" s="1262"/>
      <c r="BC28" s="1263"/>
      <c r="BD28" s="1256"/>
      <c r="BE28" s="1257"/>
      <c r="BF28" s="1262"/>
      <c r="BG28" s="1262"/>
      <c r="BH28" s="1263"/>
      <c r="BI28" s="1256"/>
      <c r="BJ28" s="1257"/>
      <c r="BK28" s="1262"/>
      <c r="BL28" s="1262"/>
      <c r="BM28" s="1263"/>
      <c r="BN28" s="1256"/>
      <c r="BO28" s="1257"/>
      <c r="BP28" s="1262"/>
      <c r="BQ28" s="1262"/>
      <c r="BR28" s="1263"/>
      <c r="ED28" s="13"/>
      <c r="EE28" s="13"/>
      <c r="EF28" s="13"/>
      <c r="EG28" s="13"/>
      <c r="EH28" s="13"/>
    </row>
    <row r="29" spans="1:138" ht="6" customHeight="1" x14ac:dyDescent="0.25">
      <c r="A29" s="1258"/>
      <c r="B29" s="1259"/>
      <c r="C29" s="1264"/>
      <c r="D29" s="1264"/>
      <c r="E29" s="1265"/>
      <c r="F29" s="1258"/>
      <c r="G29" s="1259"/>
      <c r="H29" s="1264"/>
      <c r="I29" s="1264"/>
      <c r="J29" s="1265"/>
      <c r="K29" s="1258"/>
      <c r="L29" s="1259"/>
      <c r="M29" s="1264"/>
      <c r="N29" s="1264"/>
      <c r="O29" s="1265"/>
      <c r="P29" s="1258"/>
      <c r="Q29" s="1259"/>
      <c r="R29" s="1264"/>
      <c r="S29" s="1264"/>
      <c r="T29" s="1265"/>
      <c r="U29" s="1258"/>
      <c r="V29" s="1259"/>
      <c r="W29" s="1264"/>
      <c r="X29" s="1264"/>
      <c r="Y29" s="1265"/>
      <c r="Z29" s="1258"/>
      <c r="AA29" s="1259"/>
      <c r="AB29" s="1264"/>
      <c r="AC29" s="1264"/>
      <c r="AD29" s="1265"/>
      <c r="AE29" s="1258"/>
      <c r="AF29" s="1259"/>
      <c r="AG29" s="1264"/>
      <c r="AH29" s="1264"/>
      <c r="AI29" s="1265"/>
      <c r="AJ29" s="1258"/>
      <c r="AK29" s="1259"/>
      <c r="AL29" s="1264"/>
      <c r="AM29" s="1264"/>
      <c r="AN29" s="1265"/>
      <c r="AO29" s="1258"/>
      <c r="AP29" s="1259"/>
      <c r="AQ29" s="1264"/>
      <c r="AR29" s="1264"/>
      <c r="AS29" s="1265"/>
      <c r="AT29" s="1258"/>
      <c r="AU29" s="1259"/>
      <c r="AV29" s="1264"/>
      <c r="AW29" s="1264"/>
      <c r="AX29" s="1265"/>
      <c r="AY29" s="1258"/>
      <c r="AZ29" s="1259"/>
      <c r="BA29" s="1264"/>
      <c r="BB29" s="1264"/>
      <c r="BC29" s="1265"/>
      <c r="BD29" s="1258"/>
      <c r="BE29" s="1259"/>
      <c r="BF29" s="1264"/>
      <c r="BG29" s="1264"/>
      <c r="BH29" s="1265"/>
      <c r="BI29" s="1258"/>
      <c r="BJ29" s="1259"/>
      <c r="BK29" s="1264"/>
      <c r="BL29" s="1264"/>
      <c r="BM29" s="1265"/>
      <c r="BN29" s="1258"/>
      <c r="BO29" s="1259"/>
      <c r="BP29" s="1264"/>
      <c r="BQ29" s="1264"/>
      <c r="BR29" s="1265"/>
      <c r="ED29" s="13"/>
      <c r="EE29" s="13"/>
      <c r="EF29" s="13"/>
      <c r="EG29" s="13"/>
      <c r="EH29" s="13"/>
    </row>
    <row r="30" spans="1:138" s="22" customFormat="1" ht="111.75" customHeight="1" x14ac:dyDescent="1.35">
      <c r="A30" s="639" t="s">
        <v>131</v>
      </c>
      <c r="B30" s="588">
        <v>176</v>
      </c>
      <c r="C30" s="589"/>
      <c r="D30" s="589"/>
      <c r="E30" s="590"/>
      <c r="F30" s="639" t="s">
        <v>131</v>
      </c>
      <c r="G30" s="588">
        <v>177</v>
      </c>
      <c r="H30" s="589"/>
      <c r="I30" s="589"/>
      <c r="J30" s="590"/>
      <c r="K30" s="639" t="s">
        <v>131</v>
      </c>
      <c r="L30" s="588">
        <v>178</v>
      </c>
      <c r="M30" s="589"/>
      <c r="N30" s="589"/>
      <c r="O30" s="590"/>
      <c r="P30" s="639" t="s">
        <v>131</v>
      </c>
      <c r="Q30" s="588">
        <v>179</v>
      </c>
      <c r="R30" s="589"/>
      <c r="S30" s="589"/>
      <c r="T30" s="590"/>
      <c r="U30" s="639" t="s">
        <v>131</v>
      </c>
      <c r="V30" s="588">
        <v>180</v>
      </c>
      <c r="W30" s="589"/>
      <c r="X30" s="589"/>
      <c r="Y30" s="590"/>
      <c r="Z30" s="639" t="s">
        <v>131</v>
      </c>
      <c r="AA30" s="588">
        <v>181</v>
      </c>
      <c r="AB30" s="589"/>
      <c r="AC30" s="589"/>
      <c r="AD30" s="590"/>
      <c r="AE30" s="639" t="s">
        <v>131</v>
      </c>
      <c r="AF30" s="588">
        <v>182</v>
      </c>
      <c r="AG30" s="589"/>
      <c r="AH30" s="589"/>
      <c r="AI30" s="590"/>
      <c r="AJ30" s="639" t="s">
        <v>131</v>
      </c>
      <c r="AK30" s="588">
        <v>184</v>
      </c>
      <c r="AL30" s="589"/>
      <c r="AM30" s="589"/>
      <c r="AN30" s="590"/>
      <c r="AO30" s="639" t="s">
        <v>131</v>
      </c>
      <c r="AP30" s="588">
        <v>185</v>
      </c>
      <c r="AQ30" s="589"/>
      <c r="AR30" s="589"/>
      <c r="AS30" s="590"/>
      <c r="AT30" s="639" t="s">
        <v>131</v>
      </c>
      <c r="AU30" s="588">
        <v>186</v>
      </c>
      <c r="AV30" s="589"/>
      <c r="AW30" s="589"/>
      <c r="AX30" s="590"/>
      <c r="AY30" s="639" t="s">
        <v>131</v>
      </c>
      <c r="AZ30" s="588">
        <v>187</v>
      </c>
      <c r="BA30" s="589"/>
      <c r="BB30" s="589"/>
      <c r="BC30" s="590"/>
      <c r="BD30" s="639" t="s">
        <v>131</v>
      </c>
      <c r="BE30" s="588">
        <v>188</v>
      </c>
      <c r="BF30" s="589"/>
      <c r="BG30" s="589"/>
      <c r="BH30" s="590"/>
      <c r="BI30" s="639" t="s">
        <v>131</v>
      </c>
      <c r="BJ30" s="588">
        <v>189</v>
      </c>
      <c r="BK30" s="589"/>
      <c r="BL30" s="589"/>
      <c r="BM30" s="590"/>
      <c r="BN30" s="639" t="s">
        <v>131</v>
      </c>
      <c r="BO30" s="1273">
        <v>190</v>
      </c>
      <c r="BP30" s="1274"/>
      <c r="BQ30" s="1274"/>
      <c r="BR30" s="1275"/>
      <c r="CU30" s="56"/>
      <c r="ED30" s="13"/>
      <c r="EE30" s="13"/>
      <c r="EF30" s="13"/>
      <c r="EG30" s="13"/>
      <c r="EH30" s="13"/>
    </row>
    <row r="31" spans="1:138" ht="50.25" customHeight="1" thickBot="1" x14ac:dyDescent="0.3">
      <c r="A31" s="640"/>
      <c r="B31" s="61">
        <v>3.3519999999999999</v>
      </c>
      <c r="C31" s="62" t="s">
        <v>113</v>
      </c>
      <c r="D31" s="63">
        <v>1</v>
      </c>
      <c r="E31" s="64" t="s">
        <v>114</v>
      </c>
      <c r="F31" s="640"/>
      <c r="G31" s="61">
        <v>6.35</v>
      </c>
      <c r="H31" s="62" t="s">
        <v>113</v>
      </c>
      <c r="I31" s="63">
        <v>1</v>
      </c>
      <c r="J31" s="64" t="s">
        <v>114</v>
      </c>
      <c r="K31" s="640"/>
      <c r="L31" s="61">
        <v>0.40600000000000003</v>
      </c>
      <c r="M31" s="62" t="s">
        <v>113</v>
      </c>
      <c r="N31" s="63"/>
      <c r="O31" s="64" t="s">
        <v>114</v>
      </c>
      <c r="P31" s="640"/>
      <c r="Q31" s="61">
        <v>1.8280000000000001</v>
      </c>
      <c r="R31" s="62" t="s">
        <v>113</v>
      </c>
      <c r="S31" s="63">
        <v>1</v>
      </c>
      <c r="T31" s="64" t="s">
        <v>114</v>
      </c>
      <c r="U31" s="640"/>
      <c r="V31" s="61">
        <v>0.45700000000000002</v>
      </c>
      <c r="W31" s="62" t="s">
        <v>113</v>
      </c>
      <c r="X31" s="63">
        <v>1</v>
      </c>
      <c r="Y31" s="64" t="s">
        <v>114</v>
      </c>
      <c r="Z31" s="640"/>
      <c r="AA31" s="61">
        <v>9.9999999999999998E-13</v>
      </c>
      <c r="AB31" s="62" t="s">
        <v>113</v>
      </c>
      <c r="AC31" s="63"/>
      <c r="AD31" s="64" t="s">
        <v>114</v>
      </c>
      <c r="AE31" s="640"/>
      <c r="AF31" s="290">
        <v>10.464</v>
      </c>
      <c r="AG31" s="62" t="s">
        <v>113</v>
      </c>
      <c r="AH31" s="63">
        <v>1</v>
      </c>
      <c r="AI31" s="64" t="s">
        <v>114</v>
      </c>
      <c r="AJ31" s="640"/>
      <c r="AK31" s="61">
        <v>1E-4</v>
      </c>
      <c r="AL31" s="62" t="s">
        <v>113</v>
      </c>
      <c r="AM31" s="63">
        <v>1</v>
      </c>
      <c r="AN31" s="64" t="s">
        <v>114</v>
      </c>
      <c r="AO31" s="640"/>
      <c r="AP31" s="61">
        <v>2.3359999999999999</v>
      </c>
      <c r="AQ31" s="62" t="s">
        <v>113</v>
      </c>
      <c r="AR31" s="63">
        <v>1</v>
      </c>
      <c r="AS31" s="64" t="s">
        <v>114</v>
      </c>
      <c r="AT31" s="640"/>
      <c r="AU31" s="61">
        <v>6.4</v>
      </c>
      <c r="AV31" s="62" t="s">
        <v>113</v>
      </c>
      <c r="AW31" s="63"/>
      <c r="AX31" s="64" t="s">
        <v>114</v>
      </c>
      <c r="AY31" s="640"/>
      <c r="AZ31" s="61">
        <v>2.9460000000000002</v>
      </c>
      <c r="BA31" s="62" t="s">
        <v>113</v>
      </c>
      <c r="BB31" s="63">
        <v>1</v>
      </c>
      <c r="BC31" s="64" t="s">
        <v>114</v>
      </c>
      <c r="BD31" s="640"/>
      <c r="BE31" s="61">
        <v>1.778</v>
      </c>
      <c r="BF31" s="62" t="s">
        <v>113</v>
      </c>
      <c r="BG31" s="63">
        <v>1</v>
      </c>
      <c r="BH31" s="64" t="s">
        <v>114</v>
      </c>
      <c r="BI31" s="640"/>
      <c r="BJ31" s="61">
        <v>0.60899999999999999</v>
      </c>
      <c r="BK31" s="62" t="s">
        <v>113</v>
      </c>
      <c r="BL31" s="63"/>
      <c r="BM31" s="64" t="s">
        <v>114</v>
      </c>
      <c r="BN31" s="640"/>
      <c r="BO31" s="61">
        <v>0.81200000000000006</v>
      </c>
      <c r="BP31" s="62" t="s">
        <v>113</v>
      </c>
      <c r="BQ31" s="63">
        <v>1</v>
      </c>
      <c r="BR31" s="64" t="s">
        <v>114</v>
      </c>
      <c r="BW31" s="27"/>
      <c r="BX31" s="27"/>
      <c r="BY31" s="27"/>
      <c r="BZ31" s="27"/>
      <c r="CA31" s="27"/>
      <c r="CB31" s="27"/>
      <c r="CC31" s="27"/>
      <c r="CD31" s="27"/>
      <c r="CE31" s="27"/>
      <c r="ED31" s="13"/>
      <c r="EE31" s="13"/>
      <c r="EF31" s="13"/>
      <c r="EG31" s="13"/>
      <c r="EH31" s="13"/>
    </row>
    <row r="32" spans="1:138" ht="22.5" customHeight="1" thickTop="1" x14ac:dyDescent="0.25">
      <c r="A32" s="645" t="s">
        <v>110</v>
      </c>
      <c r="B32" s="646"/>
      <c r="C32" s="1260">
        <f t="shared" ref="C32" si="69">B37/((72*3.1415/59)*(50/3.281))</f>
        <v>1.477166578244646E-2</v>
      </c>
      <c r="D32" s="1260"/>
      <c r="E32" s="1261"/>
      <c r="F32" s="645" t="s">
        <v>110</v>
      </c>
      <c r="G32" s="646"/>
      <c r="H32" s="1260">
        <f t="shared" ref="H32" si="70">G37/((72*3.1415/59)*(50/3.281))</f>
        <v>7.3772745680584289E-3</v>
      </c>
      <c r="I32" s="1260"/>
      <c r="J32" s="1261"/>
      <c r="K32" s="645" t="s">
        <v>110</v>
      </c>
      <c r="L32" s="646"/>
      <c r="M32" s="1260">
        <f t="shared" ref="M32" si="71">L37/((72*3.1415/59)*(50/3.281))</f>
        <v>3.086131333227227E-2</v>
      </c>
      <c r="N32" s="1260"/>
      <c r="O32" s="1261"/>
      <c r="P32" s="645" t="s">
        <v>110</v>
      </c>
      <c r="Q32" s="646"/>
      <c r="R32" s="1260">
        <f t="shared" ref="R32" si="72">Q37/((72*3.1415/59)*(50/3.281))</f>
        <v>8.8691614621465339E-2</v>
      </c>
      <c r="S32" s="1260"/>
      <c r="T32" s="1261"/>
      <c r="U32" s="645" t="s">
        <v>110</v>
      </c>
      <c r="V32" s="646"/>
      <c r="W32" s="1260">
        <f t="shared" ref="W32" si="73">V37/((72*3.1415/59)*(50/3.281))</f>
        <v>1.2597851698587017E-2</v>
      </c>
      <c r="X32" s="1260"/>
      <c r="Y32" s="1261"/>
      <c r="Z32" s="645" t="s">
        <v>110</v>
      </c>
      <c r="AA32" s="646"/>
      <c r="AB32" s="1260">
        <f t="shared" ref="AB32" si="74">AA37/((72*3.1415/59)*(50/3.281))</f>
        <v>0.13825115240419475</v>
      </c>
      <c r="AC32" s="1260"/>
      <c r="AD32" s="1261"/>
      <c r="AE32" s="645" t="s">
        <v>110</v>
      </c>
      <c r="AF32" s="646"/>
      <c r="AG32" s="1260">
        <f t="shared" ref="AG32" si="75">AF37/((72*3.1415/59)*(50/3.281))</f>
        <v>9.4774870727005855E-2</v>
      </c>
      <c r="AH32" s="1260"/>
      <c r="AI32" s="1261"/>
      <c r="AJ32" s="645" t="s">
        <v>110</v>
      </c>
      <c r="AK32" s="646"/>
      <c r="AL32" s="1260">
        <f t="shared" ref="AL32" si="76">AK37/((72*3.1415/59)*(50/3.281))</f>
        <v>6.8689101720692522E-2</v>
      </c>
      <c r="AM32" s="1260"/>
      <c r="AN32" s="1261"/>
      <c r="AO32" s="645" t="s">
        <v>110</v>
      </c>
      <c r="AP32" s="646"/>
      <c r="AQ32" s="1260">
        <f t="shared" ref="AQ32" si="77">AP37/((72*3.1415/59)*(50/3.281))</f>
        <v>1.9564326754735E-2</v>
      </c>
      <c r="AR32" s="1260"/>
      <c r="AS32" s="1261"/>
      <c r="AT32" s="645" t="s">
        <v>110</v>
      </c>
      <c r="AU32" s="646"/>
      <c r="AV32" s="1260">
        <f t="shared" ref="AV32" si="78">AU37/((72*3.1415/59)*(50/3.281))</f>
        <v>1.3042884503156667E-2</v>
      </c>
      <c r="AW32" s="1260"/>
      <c r="AX32" s="1261"/>
      <c r="AY32" s="645" t="s">
        <v>110</v>
      </c>
      <c r="AZ32" s="646"/>
      <c r="BA32" s="1260">
        <f t="shared" ref="BA32" si="79">AZ37/((72*3.1415/59)*(50/3.281))</f>
        <v>9.8677466090155083E-2</v>
      </c>
      <c r="BB32" s="1260"/>
      <c r="BC32" s="1261"/>
      <c r="BD32" s="645" t="s">
        <v>110</v>
      </c>
      <c r="BE32" s="646"/>
      <c r="BF32" s="1260">
        <f t="shared" ref="BF32" si="80">BE37/((72*3.1415/59)*(50/3.281))</f>
        <v>9.2601056643146412E-2</v>
      </c>
      <c r="BG32" s="1260"/>
      <c r="BH32" s="1261"/>
      <c r="BI32" s="645" t="s">
        <v>110</v>
      </c>
      <c r="BJ32" s="646"/>
      <c r="BK32" s="1260">
        <f t="shared" ref="BK32" si="81">BJ37/((72*3.1415/59)*(50/3.281))</f>
        <v>1.0424037614727572E-2</v>
      </c>
      <c r="BL32" s="1260"/>
      <c r="BM32" s="1261"/>
      <c r="BN32" s="645" t="s">
        <v>110</v>
      </c>
      <c r="BO32" s="646"/>
      <c r="BP32" s="1260">
        <f t="shared" ref="BP32" si="82">BO37/((72*3.1415/59)*(50/3.281))</f>
        <v>5.2171538012626667E-2</v>
      </c>
      <c r="BQ32" s="1260"/>
      <c r="BR32" s="1261"/>
      <c r="ED32" s="13"/>
      <c r="EE32" s="13"/>
      <c r="EF32" s="13"/>
      <c r="EG32" s="13"/>
      <c r="EH32" s="13"/>
    </row>
    <row r="33" spans="1:138" ht="6.75" customHeight="1" x14ac:dyDescent="0.25">
      <c r="A33" s="1256"/>
      <c r="B33" s="1257"/>
      <c r="C33" s="1262"/>
      <c r="D33" s="1262"/>
      <c r="E33" s="1263"/>
      <c r="F33" s="1256"/>
      <c r="G33" s="1257"/>
      <c r="H33" s="1262"/>
      <c r="I33" s="1262"/>
      <c r="J33" s="1263"/>
      <c r="K33" s="1256"/>
      <c r="L33" s="1257"/>
      <c r="M33" s="1262"/>
      <c r="N33" s="1262"/>
      <c r="O33" s="1263"/>
      <c r="P33" s="1256"/>
      <c r="Q33" s="1257"/>
      <c r="R33" s="1262"/>
      <c r="S33" s="1262"/>
      <c r="T33" s="1263"/>
      <c r="U33" s="1256"/>
      <c r="V33" s="1257"/>
      <c r="W33" s="1262"/>
      <c r="X33" s="1262"/>
      <c r="Y33" s="1263"/>
      <c r="Z33" s="1256"/>
      <c r="AA33" s="1257"/>
      <c r="AB33" s="1262"/>
      <c r="AC33" s="1262"/>
      <c r="AD33" s="1263"/>
      <c r="AE33" s="1256"/>
      <c r="AF33" s="1257"/>
      <c r="AG33" s="1262"/>
      <c r="AH33" s="1262"/>
      <c r="AI33" s="1263"/>
      <c r="AJ33" s="1256"/>
      <c r="AK33" s="1257"/>
      <c r="AL33" s="1262"/>
      <c r="AM33" s="1262"/>
      <c r="AN33" s="1263"/>
      <c r="AO33" s="1256"/>
      <c r="AP33" s="1257"/>
      <c r="AQ33" s="1262"/>
      <c r="AR33" s="1262"/>
      <c r="AS33" s="1263"/>
      <c r="AT33" s="1256"/>
      <c r="AU33" s="1257"/>
      <c r="AV33" s="1262"/>
      <c r="AW33" s="1262"/>
      <c r="AX33" s="1263"/>
      <c r="AY33" s="1256"/>
      <c r="AZ33" s="1257"/>
      <c r="BA33" s="1262"/>
      <c r="BB33" s="1262"/>
      <c r="BC33" s="1263"/>
      <c r="BD33" s="1256"/>
      <c r="BE33" s="1257"/>
      <c r="BF33" s="1262"/>
      <c r="BG33" s="1262"/>
      <c r="BH33" s="1263"/>
      <c r="BI33" s="1256"/>
      <c r="BJ33" s="1257"/>
      <c r="BK33" s="1262"/>
      <c r="BL33" s="1262"/>
      <c r="BM33" s="1263"/>
      <c r="BN33" s="1256"/>
      <c r="BO33" s="1257"/>
      <c r="BP33" s="1262"/>
      <c r="BQ33" s="1262"/>
      <c r="BR33" s="1263"/>
      <c r="ED33" s="57"/>
      <c r="EE33" s="57"/>
      <c r="EF33" s="57"/>
      <c r="EG33" s="57"/>
      <c r="EH33" s="57"/>
    </row>
    <row r="34" spans="1:138" ht="18.75" customHeight="1" x14ac:dyDescent="0.25">
      <c r="A34" s="1256"/>
      <c r="B34" s="1257"/>
      <c r="C34" s="1262"/>
      <c r="D34" s="1262"/>
      <c r="E34" s="1263"/>
      <c r="F34" s="1256"/>
      <c r="G34" s="1257"/>
      <c r="H34" s="1262"/>
      <c r="I34" s="1262"/>
      <c r="J34" s="1263"/>
      <c r="K34" s="1256"/>
      <c r="L34" s="1257"/>
      <c r="M34" s="1262"/>
      <c r="N34" s="1262"/>
      <c r="O34" s="1263"/>
      <c r="P34" s="1256"/>
      <c r="Q34" s="1257"/>
      <c r="R34" s="1262"/>
      <c r="S34" s="1262"/>
      <c r="T34" s="1263"/>
      <c r="U34" s="1256"/>
      <c r="V34" s="1257"/>
      <c r="W34" s="1262"/>
      <c r="X34" s="1262"/>
      <c r="Y34" s="1263"/>
      <c r="Z34" s="1256"/>
      <c r="AA34" s="1257"/>
      <c r="AB34" s="1262"/>
      <c r="AC34" s="1262"/>
      <c r="AD34" s="1263"/>
      <c r="AE34" s="1256"/>
      <c r="AF34" s="1257"/>
      <c r="AG34" s="1262"/>
      <c r="AH34" s="1262"/>
      <c r="AI34" s="1263"/>
      <c r="AJ34" s="1256"/>
      <c r="AK34" s="1257"/>
      <c r="AL34" s="1262"/>
      <c r="AM34" s="1262"/>
      <c r="AN34" s="1263"/>
      <c r="AO34" s="1256"/>
      <c r="AP34" s="1257"/>
      <c r="AQ34" s="1262"/>
      <c r="AR34" s="1262"/>
      <c r="AS34" s="1263"/>
      <c r="AT34" s="1256"/>
      <c r="AU34" s="1257"/>
      <c r="AV34" s="1262"/>
      <c r="AW34" s="1262"/>
      <c r="AX34" s="1263"/>
      <c r="AY34" s="1256"/>
      <c r="AZ34" s="1257"/>
      <c r="BA34" s="1262"/>
      <c r="BB34" s="1262"/>
      <c r="BC34" s="1263"/>
      <c r="BD34" s="1256"/>
      <c r="BE34" s="1257"/>
      <c r="BF34" s="1262"/>
      <c r="BG34" s="1262"/>
      <c r="BH34" s="1263"/>
      <c r="BI34" s="1256"/>
      <c r="BJ34" s="1257"/>
      <c r="BK34" s="1262"/>
      <c r="BL34" s="1262"/>
      <c r="BM34" s="1263"/>
      <c r="BN34" s="1256"/>
      <c r="BO34" s="1257"/>
      <c r="BP34" s="1262"/>
      <c r="BQ34" s="1262"/>
      <c r="BR34" s="1263"/>
      <c r="ED34" s="57"/>
      <c r="EE34" s="57"/>
      <c r="EF34" s="57"/>
      <c r="EG34" s="57"/>
      <c r="EH34" s="57"/>
    </row>
    <row r="35" spans="1:138" ht="6" hidden="1" customHeight="1" x14ac:dyDescent="0.25">
      <c r="A35" s="1258"/>
      <c r="B35" s="1259"/>
      <c r="C35" s="1264"/>
      <c r="D35" s="1264"/>
      <c r="E35" s="1265"/>
      <c r="F35" s="1258"/>
      <c r="G35" s="1259"/>
      <c r="H35" s="1264"/>
      <c r="I35" s="1264"/>
      <c r="J35" s="1265"/>
      <c r="K35" s="1258"/>
      <c r="L35" s="1259"/>
      <c r="M35" s="1264"/>
      <c r="N35" s="1264"/>
      <c r="O35" s="1265"/>
      <c r="P35" s="1258"/>
      <c r="Q35" s="1259"/>
      <c r="R35" s="1264"/>
      <c r="S35" s="1264"/>
      <c r="T35" s="1265"/>
      <c r="U35" s="1258"/>
      <c r="V35" s="1259"/>
      <c r="W35" s="1264"/>
      <c r="X35" s="1264"/>
      <c r="Y35" s="1265"/>
      <c r="Z35" s="1258"/>
      <c r="AA35" s="1259"/>
      <c r="AB35" s="1264"/>
      <c r="AC35" s="1264"/>
      <c r="AD35" s="1265"/>
      <c r="AE35" s="1258"/>
      <c r="AF35" s="1259"/>
      <c r="AG35" s="1264"/>
      <c r="AH35" s="1264"/>
      <c r="AI35" s="1265"/>
      <c r="AJ35" s="1258"/>
      <c r="AK35" s="1259"/>
      <c r="AL35" s="1264"/>
      <c r="AM35" s="1264"/>
      <c r="AN35" s="1265"/>
      <c r="AO35" s="1258"/>
      <c r="AP35" s="1259"/>
      <c r="AQ35" s="1264"/>
      <c r="AR35" s="1264"/>
      <c r="AS35" s="1265"/>
      <c r="AT35" s="1258"/>
      <c r="AU35" s="1259"/>
      <c r="AV35" s="1264"/>
      <c r="AW35" s="1264"/>
      <c r="AX35" s="1265"/>
      <c r="AY35" s="1258"/>
      <c r="AZ35" s="1259"/>
      <c r="BA35" s="1264"/>
      <c r="BB35" s="1264"/>
      <c r="BC35" s="1265"/>
      <c r="BD35" s="1258"/>
      <c r="BE35" s="1259"/>
      <c r="BF35" s="1264"/>
      <c r="BG35" s="1264"/>
      <c r="BH35" s="1265"/>
      <c r="BI35" s="1258"/>
      <c r="BJ35" s="1259"/>
      <c r="BK35" s="1264"/>
      <c r="BL35" s="1264"/>
      <c r="BM35" s="1265"/>
      <c r="BN35" s="1258"/>
      <c r="BO35" s="1259"/>
      <c r="BP35" s="1264"/>
      <c r="BQ35" s="1264"/>
      <c r="BR35" s="1265"/>
      <c r="ED35" s="57"/>
      <c r="EE35" s="57"/>
      <c r="EF35" s="57"/>
      <c r="EG35" s="57"/>
      <c r="EH35" s="57"/>
    </row>
    <row r="36" spans="1:138" s="22" customFormat="1" ht="111.75" customHeight="1" x14ac:dyDescent="1.35">
      <c r="A36" s="639" t="s">
        <v>131</v>
      </c>
      <c r="B36" s="588">
        <v>191</v>
      </c>
      <c r="C36" s="589"/>
      <c r="D36" s="589"/>
      <c r="E36" s="590"/>
      <c r="F36" s="639" t="s">
        <v>131</v>
      </c>
      <c r="G36" s="588">
        <v>192</v>
      </c>
      <c r="H36" s="589"/>
      <c r="I36" s="589"/>
      <c r="J36" s="590"/>
      <c r="K36" s="639" t="s">
        <v>131</v>
      </c>
      <c r="L36" s="588">
        <v>193</v>
      </c>
      <c r="M36" s="589"/>
      <c r="N36" s="589"/>
      <c r="O36" s="590"/>
      <c r="P36" s="639" t="s">
        <v>131</v>
      </c>
      <c r="Q36" s="588">
        <v>194</v>
      </c>
      <c r="R36" s="589"/>
      <c r="S36" s="589"/>
      <c r="T36" s="590"/>
      <c r="U36" s="639" t="s">
        <v>131</v>
      </c>
      <c r="V36" s="588">
        <v>195</v>
      </c>
      <c r="W36" s="589"/>
      <c r="X36" s="589"/>
      <c r="Y36" s="590"/>
      <c r="Z36" s="639" t="s">
        <v>131</v>
      </c>
      <c r="AA36" s="588">
        <v>196</v>
      </c>
      <c r="AB36" s="589"/>
      <c r="AC36" s="589"/>
      <c r="AD36" s="590"/>
      <c r="AE36" s="639" t="s">
        <v>131</v>
      </c>
      <c r="AF36" s="588">
        <v>198</v>
      </c>
      <c r="AG36" s="589"/>
      <c r="AH36" s="589"/>
      <c r="AI36" s="590"/>
      <c r="AJ36" s="639" t="s">
        <v>131</v>
      </c>
      <c r="AK36" s="588">
        <v>199</v>
      </c>
      <c r="AL36" s="589"/>
      <c r="AM36" s="589"/>
      <c r="AN36" s="590"/>
      <c r="AO36" s="639" t="s">
        <v>131</v>
      </c>
      <c r="AP36" s="1276">
        <v>200</v>
      </c>
      <c r="AQ36" s="1277"/>
      <c r="AR36" s="1277"/>
      <c r="AS36" s="1278"/>
      <c r="AT36" s="639" t="s">
        <v>131</v>
      </c>
      <c r="AU36" s="1276">
        <v>201</v>
      </c>
      <c r="AV36" s="1277"/>
      <c r="AW36" s="1277"/>
      <c r="AX36" s="1278"/>
      <c r="AY36" s="639" t="s">
        <v>131</v>
      </c>
      <c r="AZ36" s="1276">
        <v>202</v>
      </c>
      <c r="BA36" s="1277"/>
      <c r="BB36" s="1277"/>
      <c r="BC36" s="1278"/>
      <c r="BD36" s="639" t="s">
        <v>131</v>
      </c>
      <c r="BE36" s="1276">
        <v>203</v>
      </c>
      <c r="BF36" s="1277"/>
      <c r="BG36" s="1277"/>
      <c r="BH36" s="1278"/>
      <c r="BI36" s="639" t="s">
        <v>131</v>
      </c>
      <c r="BJ36" s="588">
        <v>204</v>
      </c>
      <c r="BK36" s="589"/>
      <c r="BL36" s="589"/>
      <c r="BM36" s="590"/>
      <c r="BN36" s="639" t="s">
        <v>131</v>
      </c>
      <c r="BO36" s="1273">
        <v>205</v>
      </c>
      <c r="BP36" s="1274"/>
      <c r="BQ36" s="1274"/>
      <c r="BR36" s="1275"/>
      <c r="CU36"/>
      <c r="ED36" s="13"/>
      <c r="EE36" s="13"/>
      <c r="EF36" s="13"/>
      <c r="EG36" s="13"/>
      <c r="EH36" s="13"/>
    </row>
    <row r="37" spans="1:138" ht="50.25" customHeight="1" thickBot="1" x14ac:dyDescent="0.3">
      <c r="A37" s="640"/>
      <c r="B37" s="61">
        <v>0.86299999999999999</v>
      </c>
      <c r="C37" s="62" t="s">
        <v>113</v>
      </c>
      <c r="D37" s="63">
        <v>1</v>
      </c>
      <c r="E37" s="64" t="s">
        <v>114</v>
      </c>
      <c r="F37" s="640"/>
      <c r="G37" s="61">
        <v>0.43099999999999999</v>
      </c>
      <c r="H37" s="62" t="s">
        <v>113</v>
      </c>
      <c r="I37" s="63"/>
      <c r="J37" s="64" t="s">
        <v>114</v>
      </c>
      <c r="K37" s="640"/>
      <c r="L37" s="61">
        <v>1.8029999999999999</v>
      </c>
      <c r="M37" s="62" t="s">
        <v>113</v>
      </c>
      <c r="N37" s="63">
        <v>1</v>
      </c>
      <c r="O37" s="64" t="s">
        <v>114</v>
      </c>
      <c r="P37" s="640"/>
      <c r="Q37" s="61">
        <v>5.1816000000000004</v>
      </c>
      <c r="R37" s="62" t="s">
        <v>113</v>
      </c>
      <c r="S37" s="63">
        <v>1</v>
      </c>
      <c r="T37" s="64" t="s">
        <v>114</v>
      </c>
      <c r="U37" s="640"/>
      <c r="V37" s="61">
        <v>0.73599999999999999</v>
      </c>
      <c r="W37" s="62" t="s">
        <v>113</v>
      </c>
      <c r="X37" s="63"/>
      <c r="Y37" s="64" t="s">
        <v>114</v>
      </c>
      <c r="Z37" s="640"/>
      <c r="AA37" s="61">
        <v>8.077</v>
      </c>
      <c r="AB37" s="62" t="s">
        <v>113</v>
      </c>
      <c r="AC37" s="63">
        <v>1</v>
      </c>
      <c r="AD37" s="64" t="s">
        <v>114</v>
      </c>
      <c r="AE37" s="640"/>
      <c r="AF37" s="61">
        <v>5.5369999999999999</v>
      </c>
      <c r="AG37" s="62" t="s">
        <v>113</v>
      </c>
      <c r="AH37" s="63">
        <v>1</v>
      </c>
      <c r="AI37" s="64" t="s">
        <v>114</v>
      </c>
      <c r="AJ37" s="640"/>
      <c r="AK37" s="61">
        <v>4.0129999999999999</v>
      </c>
      <c r="AL37" s="62" t="s">
        <v>113</v>
      </c>
      <c r="AM37" s="63">
        <v>1</v>
      </c>
      <c r="AN37" s="64" t="s">
        <v>114</v>
      </c>
      <c r="AO37" s="640"/>
      <c r="AP37" s="61">
        <v>1.143</v>
      </c>
      <c r="AQ37" s="62" t="s">
        <v>113</v>
      </c>
      <c r="AR37" s="63"/>
      <c r="AS37" s="64" t="s">
        <v>114</v>
      </c>
      <c r="AT37" s="640"/>
      <c r="AU37" s="61">
        <v>0.76200000000000001</v>
      </c>
      <c r="AV37" s="62" t="s">
        <v>113</v>
      </c>
      <c r="AW37" s="63">
        <v>1</v>
      </c>
      <c r="AX37" s="64" t="s">
        <v>114</v>
      </c>
      <c r="AY37" s="640"/>
      <c r="AZ37" s="61">
        <v>5.7649999999999997</v>
      </c>
      <c r="BA37" s="62" t="s">
        <v>113</v>
      </c>
      <c r="BB37" s="63">
        <v>1</v>
      </c>
      <c r="BC37" s="64" t="s">
        <v>114</v>
      </c>
      <c r="BD37" s="640"/>
      <c r="BE37" s="61">
        <v>5.41</v>
      </c>
      <c r="BF37" s="62" t="s">
        <v>113</v>
      </c>
      <c r="BG37" s="63"/>
      <c r="BH37" s="64" t="s">
        <v>114</v>
      </c>
      <c r="BI37" s="640"/>
      <c r="BJ37" s="61">
        <v>0.60899999999999999</v>
      </c>
      <c r="BK37" s="62" t="s">
        <v>113</v>
      </c>
      <c r="BL37" s="63">
        <v>1</v>
      </c>
      <c r="BM37" s="64" t="s">
        <v>114</v>
      </c>
      <c r="BN37" s="640"/>
      <c r="BO37" s="61">
        <v>3.048</v>
      </c>
      <c r="BP37" s="62" t="s">
        <v>113</v>
      </c>
      <c r="BQ37" s="63">
        <v>1</v>
      </c>
      <c r="BR37" s="64" t="s">
        <v>114</v>
      </c>
      <c r="BW37" s="27"/>
      <c r="BX37" s="27"/>
      <c r="BY37" s="27"/>
      <c r="BZ37" s="27"/>
      <c r="CA37" s="27"/>
      <c r="CB37" s="27"/>
      <c r="CC37" s="27"/>
      <c r="CD37" s="27"/>
      <c r="CE37" s="27"/>
      <c r="ED37" s="13"/>
      <c r="EE37" s="13"/>
      <c r="EF37" s="13"/>
      <c r="EG37" s="13"/>
      <c r="EH37" s="13"/>
    </row>
    <row r="38" spans="1:138" ht="26.1" customHeight="1" thickTop="1" x14ac:dyDescent="0.25">
      <c r="A38" s="645" t="s">
        <v>110</v>
      </c>
      <c r="B38" s="646"/>
      <c r="C38" s="1260">
        <f t="shared" ref="C38" si="83">B43/((72*3.1415/59)*(50/3.281))</f>
        <v>7.433759500946116E-2</v>
      </c>
      <c r="D38" s="1260"/>
      <c r="E38" s="1261"/>
      <c r="F38" s="645" t="s">
        <v>110</v>
      </c>
      <c r="G38" s="646"/>
      <c r="H38" s="1260">
        <f t="shared" ref="H38" si="84">G43/((72*3.1415/59)*(50/3.281))</f>
        <v>1.0424037614727572E-2</v>
      </c>
      <c r="I38" s="1260"/>
      <c r="J38" s="1261"/>
      <c r="K38" s="645" t="s">
        <v>110</v>
      </c>
      <c r="L38" s="646"/>
      <c r="M38" s="1260">
        <f t="shared" ref="M38" si="85">L43/((72*3.1415/59)*(50/3.281))</f>
        <v>3.2162178453322018E-2</v>
      </c>
      <c r="N38" s="1260"/>
      <c r="O38" s="1261"/>
      <c r="P38" s="645" t="s">
        <v>110</v>
      </c>
      <c r="Q38" s="646"/>
      <c r="R38" s="1260">
        <f t="shared" ref="R38" si="86">Q43/((72*3.1415/59)*(50/3.281))</f>
        <v>5.6084403363573669E-2</v>
      </c>
      <c r="S38" s="1260"/>
      <c r="T38" s="1261"/>
      <c r="U38" s="645" t="s">
        <v>110</v>
      </c>
      <c r="V38" s="646"/>
      <c r="W38" s="1260">
        <f t="shared" ref="W38" si="87">V43/((72*3.1415/59)*(50/3.281))</f>
        <v>2.0433852388278776E-2</v>
      </c>
      <c r="X38" s="1260"/>
      <c r="Y38" s="1261"/>
      <c r="Z38" s="645" t="s">
        <v>110</v>
      </c>
      <c r="AA38" s="646"/>
      <c r="AB38" s="1260">
        <f t="shared" ref="AB38" si="88">AA43/((72*3.1415/59)*(50/3.281))</f>
        <v>7.041788299998232E-2</v>
      </c>
      <c r="AC38" s="1260"/>
      <c r="AD38" s="1261"/>
      <c r="AE38" s="645" t="s">
        <v>110</v>
      </c>
      <c r="AF38" s="646"/>
      <c r="AG38" s="1260">
        <f t="shared" ref="AG38" si="89">AF43/((72*3.1415/59)*(50/3.281))</f>
        <v>3.912865350947E-2</v>
      </c>
      <c r="AH38" s="1260"/>
      <c r="AI38" s="1261"/>
      <c r="AJ38" s="645" t="s">
        <v>110</v>
      </c>
      <c r="AK38" s="646"/>
      <c r="AL38" s="1260">
        <f t="shared" ref="AL38" si="90">AK43/((72*3.1415/59)*(50/3.281))</f>
        <v>2.2172903655366335E-2</v>
      </c>
      <c r="AM38" s="1260"/>
      <c r="AN38" s="1261"/>
      <c r="AO38" s="645" t="s">
        <v>110</v>
      </c>
      <c r="AP38" s="646"/>
      <c r="AQ38" s="1260">
        <f t="shared" ref="AQ38" si="91">AP43/((72*3.1415/59)*(50/3.281))</f>
        <v>2.6085769006313334E-2</v>
      </c>
      <c r="AR38" s="1260"/>
      <c r="AS38" s="1261"/>
      <c r="AT38" s="645" t="s">
        <v>110</v>
      </c>
      <c r="AU38" s="646"/>
      <c r="AV38" s="1260">
        <f t="shared" ref="AV38" si="92">AU43/((72*3.1415/59)*(50/3.281))</f>
        <v>3.1737685624347887E-2</v>
      </c>
      <c r="AW38" s="1260"/>
      <c r="AX38" s="1261"/>
      <c r="AY38" s="645" t="s">
        <v>110</v>
      </c>
      <c r="AZ38" s="646"/>
      <c r="BA38" s="1260">
        <f t="shared" ref="BA38" si="93">AZ43/((72*3.1415/59)*(50/3.281))</f>
        <v>4.1730383751569497E-2</v>
      </c>
      <c r="BB38" s="1260"/>
      <c r="BC38" s="1261"/>
      <c r="BD38" s="645" t="s">
        <v>110</v>
      </c>
      <c r="BE38" s="646"/>
      <c r="BF38" s="1260">
        <f t="shared" ref="BF38" si="94">BE43/((72*3.1415/59)*(50/3.281))</f>
        <v>4.3476281677188887E-2</v>
      </c>
      <c r="BG38" s="1260"/>
      <c r="BH38" s="1261"/>
      <c r="BI38" s="645" t="s">
        <v>110</v>
      </c>
      <c r="BJ38" s="646"/>
      <c r="BK38" s="1260">
        <f t="shared" ref="BK38" si="95">BJ43/((72*3.1415/59)*(50/3.281))</f>
        <v>6.9562050683502213E-3</v>
      </c>
      <c r="BL38" s="1260"/>
      <c r="BM38" s="1261"/>
      <c r="BN38" s="645" t="s">
        <v>110</v>
      </c>
      <c r="BO38" s="646"/>
      <c r="BP38" s="1260">
        <f t="shared" ref="BP38" si="96">BO43/((72*3.1415/59)*(50/3.281))</f>
        <v>3.0868159990804108E-2</v>
      </c>
      <c r="BQ38" s="1260"/>
      <c r="BR38" s="1261"/>
      <c r="ED38" s="13"/>
      <c r="EE38" s="13"/>
      <c r="EF38" s="13"/>
      <c r="EG38" s="13"/>
      <c r="EH38" s="13"/>
    </row>
    <row r="39" spans="1:138" ht="6.75" customHeight="1" x14ac:dyDescent="0.25">
      <c r="A39" s="1256"/>
      <c r="B39" s="1257"/>
      <c r="C39" s="1262"/>
      <c r="D39" s="1262"/>
      <c r="E39" s="1263"/>
      <c r="F39" s="1256"/>
      <c r="G39" s="1257"/>
      <c r="H39" s="1262"/>
      <c r="I39" s="1262"/>
      <c r="J39" s="1263"/>
      <c r="K39" s="1256"/>
      <c r="L39" s="1257"/>
      <c r="M39" s="1262"/>
      <c r="N39" s="1262"/>
      <c r="O39" s="1263"/>
      <c r="P39" s="1256"/>
      <c r="Q39" s="1257"/>
      <c r="R39" s="1262"/>
      <c r="S39" s="1262"/>
      <c r="T39" s="1263"/>
      <c r="U39" s="1256"/>
      <c r="V39" s="1257"/>
      <c r="W39" s="1262"/>
      <c r="X39" s="1262"/>
      <c r="Y39" s="1263"/>
      <c r="Z39" s="1256"/>
      <c r="AA39" s="1257"/>
      <c r="AB39" s="1262"/>
      <c r="AC39" s="1262"/>
      <c r="AD39" s="1263"/>
      <c r="AE39" s="1256"/>
      <c r="AF39" s="1257"/>
      <c r="AG39" s="1262"/>
      <c r="AH39" s="1262"/>
      <c r="AI39" s="1263"/>
      <c r="AJ39" s="1256"/>
      <c r="AK39" s="1257"/>
      <c r="AL39" s="1262"/>
      <c r="AM39" s="1262"/>
      <c r="AN39" s="1263"/>
      <c r="AO39" s="1256"/>
      <c r="AP39" s="1257"/>
      <c r="AQ39" s="1262"/>
      <c r="AR39" s="1262"/>
      <c r="AS39" s="1263"/>
      <c r="AT39" s="1256"/>
      <c r="AU39" s="1257"/>
      <c r="AV39" s="1262"/>
      <c r="AW39" s="1262"/>
      <c r="AX39" s="1263"/>
      <c r="AY39" s="1256"/>
      <c r="AZ39" s="1257"/>
      <c r="BA39" s="1262"/>
      <c r="BB39" s="1262"/>
      <c r="BC39" s="1263"/>
      <c r="BD39" s="1256"/>
      <c r="BE39" s="1257"/>
      <c r="BF39" s="1262"/>
      <c r="BG39" s="1262"/>
      <c r="BH39" s="1263"/>
      <c r="BI39" s="1256"/>
      <c r="BJ39" s="1257"/>
      <c r="BK39" s="1262"/>
      <c r="BL39" s="1262"/>
      <c r="BM39" s="1263"/>
      <c r="BN39" s="1256"/>
      <c r="BO39" s="1257"/>
      <c r="BP39" s="1262"/>
      <c r="BQ39" s="1262"/>
      <c r="BR39" s="1263"/>
      <c r="ED39" s="13"/>
      <c r="EE39" s="13"/>
      <c r="EF39" s="13"/>
      <c r="EG39" s="13"/>
      <c r="EH39" s="13"/>
    </row>
    <row r="40" spans="1:138" ht="21.95" customHeight="1" x14ac:dyDescent="0.25">
      <c r="A40" s="1256"/>
      <c r="B40" s="1257"/>
      <c r="C40" s="1262"/>
      <c r="D40" s="1262"/>
      <c r="E40" s="1263"/>
      <c r="F40" s="1256"/>
      <c r="G40" s="1257"/>
      <c r="H40" s="1262"/>
      <c r="I40" s="1262"/>
      <c r="J40" s="1263"/>
      <c r="K40" s="1256"/>
      <c r="L40" s="1257"/>
      <c r="M40" s="1262"/>
      <c r="N40" s="1262"/>
      <c r="O40" s="1263"/>
      <c r="P40" s="1256"/>
      <c r="Q40" s="1257"/>
      <c r="R40" s="1262"/>
      <c r="S40" s="1262"/>
      <c r="T40" s="1263"/>
      <c r="U40" s="1256"/>
      <c r="V40" s="1257"/>
      <c r="W40" s="1262"/>
      <c r="X40" s="1262"/>
      <c r="Y40" s="1263"/>
      <c r="Z40" s="1256"/>
      <c r="AA40" s="1257"/>
      <c r="AB40" s="1262"/>
      <c r="AC40" s="1262"/>
      <c r="AD40" s="1263"/>
      <c r="AE40" s="1256"/>
      <c r="AF40" s="1257"/>
      <c r="AG40" s="1262"/>
      <c r="AH40" s="1262"/>
      <c r="AI40" s="1263"/>
      <c r="AJ40" s="1256"/>
      <c r="AK40" s="1257"/>
      <c r="AL40" s="1262"/>
      <c r="AM40" s="1262"/>
      <c r="AN40" s="1263"/>
      <c r="AO40" s="1256"/>
      <c r="AP40" s="1257"/>
      <c r="AQ40" s="1262"/>
      <c r="AR40" s="1262"/>
      <c r="AS40" s="1263"/>
      <c r="AT40" s="1256"/>
      <c r="AU40" s="1257"/>
      <c r="AV40" s="1262"/>
      <c r="AW40" s="1262"/>
      <c r="AX40" s="1263"/>
      <c r="AY40" s="1256"/>
      <c r="AZ40" s="1257"/>
      <c r="BA40" s="1262"/>
      <c r="BB40" s="1262"/>
      <c r="BC40" s="1263"/>
      <c r="BD40" s="1256"/>
      <c r="BE40" s="1257"/>
      <c r="BF40" s="1262"/>
      <c r="BG40" s="1262"/>
      <c r="BH40" s="1263"/>
      <c r="BI40" s="1256"/>
      <c r="BJ40" s="1257"/>
      <c r="BK40" s="1262"/>
      <c r="BL40" s="1262"/>
      <c r="BM40" s="1263"/>
      <c r="BN40" s="1256"/>
      <c r="BO40" s="1257"/>
      <c r="BP40" s="1262"/>
      <c r="BQ40" s="1262"/>
      <c r="BR40" s="1263"/>
      <c r="ED40" s="13"/>
      <c r="EE40" s="13"/>
      <c r="EF40" s="13"/>
      <c r="EG40" s="13"/>
      <c r="EH40" s="13"/>
    </row>
    <row r="41" spans="1:138" ht="6" customHeight="1" x14ac:dyDescent="0.25">
      <c r="A41" s="1258"/>
      <c r="B41" s="1259"/>
      <c r="C41" s="1264"/>
      <c r="D41" s="1264"/>
      <c r="E41" s="1265"/>
      <c r="F41" s="1258"/>
      <c r="G41" s="1259"/>
      <c r="H41" s="1264"/>
      <c r="I41" s="1264"/>
      <c r="J41" s="1265"/>
      <c r="K41" s="1258"/>
      <c r="L41" s="1259"/>
      <c r="M41" s="1264"/>
      <c r="N41" s="1264"/>
      <c r="O41" s="1265"/>
      <c r="P41" s="1258"/>
      <c r="Q41" s="1259"/>
      <c r="R41" s="1264"/>
      <c r="S41" s="1264"/>
      <c r="T41" s="1265"/>
      <c r="U41" s="1258"/>
      <c r="V41" s="1259"/>
      <c r="W41" s="1264"/>
      <c r="X41" s="1264"/>
      <c r="Y41" s="1265"/>
      <c r="Z41" s="1258"/>
      <c r="AA41" s="1259"/>
      <c r="AB41" s="1264"/>
      <c r="AC41" s="1264"/>
      <c r="AD41" s="1265"/>
      <c r="AE41" s="1258"/>
      <c r="AF41" s="1259"/>
      <c r="AG41" s="1264"/>
      <c r="AH41" s="1264"/>
      <c r="AI41" s="1265"/>
      <c r="AJ41" s="1258"/>
      <c r="AK41" s="1259"/>
      <c r="AL41" s="1264"/>
      <c r="AM41" s="1264"/>
      <c r="AN41" s="1265"/>
      <c r="AO41" s="1258"/>
      <c r="AP41" s="1259"/>
      <c r="AQ41" s="1264"/>
      <c r="AR41" s="1264"/>
      <c r="AS41" s="1265"/>
      <c r="AT41" s="1258"/>
      <c r="AU41" s="1259"/>
      <c r="AV41" s="1264"/>
      <c r="AW41" s="1264"/>
      <c r="AX41" s="1265"/>
      <c r="AY41" s="1258"/>
      <c r="AZ41" s="1259"/>
      <c r="BA41" s="1264"/>
      <c r="BB41" s="1264"/>
      <c r="BC41" s="1265"/>
      <c r="BD41" s="1258"/>
      <c r="BE41" s="1259"/>
      <c r="BF41" s="1264"/>
      <c r="BG41" s="1264"/>
      <c r="BH41" s="1265"/>
      <c r="BI41" s="1258"/>
      <c r="BJ41" s="1259"/>
      <c r="BK41" s="1264"/>
      <c r="BL41" s="1264"/>
      <c r="BM41" s="1265"/>
      <c r="BN41" s="1258"/>
      <c r="BO41" s="1259"/>
      <c r="BP41" s="1264"/>
      <c r="BQ41" s="1264"/>
      <c r="BR41" s="1265"/>
      <c r="ED41" s="13"/>
      <c r="EE41" s="13"/>
      <c r="EF41" s="13"/>
      <c r="EG41" s="13"/>
      <c r="EH41" s="13"/>
    </row>
    <row r="42" spans="1:138" s="22" customFormat="1" ht="111.75" customHeight="1" x14ac:dyDescent="1.35">
      <c r="A42" s="639" t="s">
        <v>131</v>
      </c>
      <c r="B42" s="588">
        <v>223</v>
      </c>
      <c r="C42" s="589"/>
      <c r="D42" s="589"/>
      <c r="E42" s="590"/>
      <c r="F42" s="639" t="s">
        <v>131</v>
      </c>
      <c r="G42" s="588">
        <v>224</v>
      </c>
      <c r="H42" s="589"/>
      <c r="I42" s="589"/>
      <c r="J42" s="590"/>
      <c r="K42" s="639" t="s">
        <v>131</v>
      </c>
      <c r="L42" s="588">
        <v>226</v>
      </c>
      <c r="M42" s="589"/>
      <c r="N42" s="589"/>
      <c r="O42" s="590"/>
      <c r="P42" s="639" t="s">
        <v>131</v>
      </c>
      <c r="Q42" s="588">
        <v>247</v>
      </c>
      <c r="R42" s="589"/>
      <c r="S42" s="589"/>
      <c r="T42" s="590"/>
      <c r="U42" s="639" t="s">
        <v>131</v>
      </c>
      <c r="V42" s="588">
        <v>248</v>
      </c>
      <c r="W42" s="589"/>
      <c r="X42" s="589"/>
      <c r="Y42" s="590"/>
      <c r="Z42" s="639" t="s">
        <v>131</v>
      </c>
      <c r="AA42" s="588">
        <v>249</v>
      </c>
      <c r="AB42" s="589"/>
      <c r="AC42" s="589"/>
      <c r="AD42" s="590"/>
      <c r="AE42" s="639" t="s">
        <v>131</v>
      </c>
      <c r="AF42" s="588">
        <v>250</v>
      </c>
      <c r="AG42" s="589"/>
      <c r="AH42" s="589"/>
      <c r="AI42" s="590"/>
      <c r="AJ42" s="639" t="s">
        <v>131</v>
      </c>
      <c r="AK42" s="588">
        <v>251</v>
      </c>
      <c r="AL42" s="589"/>
      <c r="AM42" s="589"/>
      <c r="AN42" s="590"/>
      <c r="AO42" s="639" t="s">
        <v>131</v>
      </c>
      <c r="AP42" s="588">
        <v>252</v>
      </c>
      <c r="AQ42" s="589"/>
      <c r="AR42" s="589"/>
      <c r="AS42" s="590"/>
      <c r="AT42" s="639" t="s">
        <v>131</v>
      </c>
      <c r="AU42" s="588">
        <v>253</v>
      </c>
      <c r="AV42" s="589"/>
      <c r="AW42" s="589"/>
      <c r="AX42" s="590"/>
      <c r="AY42" s="639" t="s">
        <v>131</v>
      </c>
      <c r="AZ42" s="588">
        <v>254</v>
      </c>
      <c r="BA42" s="589"/>
      <c r="BB42" s="589"/>
      <c r="BC42" s="590"/>
      <c r="BD42" s="639" t="s">
        <v>131</v>
      </c>
      <c r="BE42" s="588">
        <v>255</v>
      </c>
      <c r="BF42" s="589"/>
      <c r="BG42" s="589"/>
      <c r="BH42" s="590"/>
      <c r="BI42" s="639" t="s">
        <v>131</v>
      </c>
      <c r="BJ42" s="588">
        <v>256</v>
      </c>
      <c r="BK42" s="589"/>
      <c r="BL42" s="589"/>
      <c r="BM42" s="590"/>
      <c r="BN42" s="639" t="s">
        <v>131</v>
      </c>
      <c r="BO42" s="1279">
        <v>258</v>
      </c>
      <c r="BP42" s="1280"/>
      <c r="BQ42" s="1280"/>
      <c r="BR42" s="1281"/>
      <c r="CU42"/>
      <c r="ED42" s="57"/>
      <c r="EE42" s="57"/>
      <c r="EF42" s="57"/>
      <c r="EG42" s="57"/>
      <c r="EH42" s="57"/>
    </row>
    <row r="43" spans="1:138" ht="50.25" customHeight="1" thickBot="1" x14ac:dyDescent="0.3">
      <c r="A43" s="640"/>
      <c r="B43" s="61">
        <v>4.343</v>
      </c>
      <c r="C43" s="62" t="s">
        <v>113</v>
      </c>
      <c r="D43" s="63"/>
      <c r="E43" s="64" t="s">
        <v>114</v>
      </c>
      <c r="F43" s="640"/>
      <c r="G43" s="61">
        <v>0.60899999999999999</v>
      </c>
      <c r="H43" s="62" t="s">
        <v>113</v>
      </c>
      <c r="I43" s="63"/>
      <c r="J43" s="64" t="s">
        <v>114</v>
      </c>
      <c r="K43" s="640"/>
      <c r="L43" s="61">
        <v>1.879</v>
      </c>
      <c r="M43" s="62" t="s">
        <v>113</v>
      </c>
      <c r="N43" s="63">
        <v>1</v>
      </c>
      <c r="O43" s="64" t="s">
        <v>114</v>
      </c>
      <c r="P43" s="640"/>
      <c r="Q43" s="61">
        <v>3.2766000000000002</v>
      </c>
      <c r="R43" s="62" t="s">
        <v>113</v>
      </c>
      <c r="S43" s="63"/>
      <c r="T43" s="64" t="s">
        <v>114</v>
      </c>
      <c r="U43" s="640"/>
      <c r="V43" s="61">
        <v>1.1938</v>
      </c>
      <c r="W43" s="62" t="s">
        <v>113</v>
      </c>
      <c r="X43" s="63">
        <v>1</v>
      </c>
      <c r="Y43" s="64" t="s">
        <v>114</v>
      </c>
      <c r="Z43" s="640"/>
      <c r="AA43" s="61">
        <v>4.1139999999999999</v>
      </c>
      <c r="AB43" s="62" t="s">
        <v>113</v>
      </c>
      <c r="AC43" s="63">
        <v>1</v>
      </c>
      <c r="AD43" s="64" t="s">
        <v>114</v>
      </c>
      <c r="AE43" s="640"/>
      <c r="AF43" s="61">
        <v>2.286</v>
      </c>
      <c r="AG43" s="62" t="s">
        <v>113</v>
      </c>
      <c r="AH43" s="63"/>
      <c r="AI43" s="64" t="s">
        <v>114</v>
      </c>
      <c r="AJ43" s="640"/>
      <c r="AK43" s="61">
        <v>1.2954000000000001</v>
      </c>
      <c r="AL43" s="62" t="s">
        <v>113</v>
      </c>
      <c r="AM43" s="63">
        <v>1</v>
      </c>
      <c r="AN43" s="64" t="s">
        <v>114</v>
      </c>
      <c r="AO43" s="640"/>
      <c r="AP43" s="61">
        <v>1.524</v>
      </c>
      <c r="AQ43" s="62" t="s">
        <v>113</v>
      </c>
      <c r="AR43" s="63">
        <v>1</v>
      </c>
      <c r="AS43" s="64" t="s">
        <v>114</v>
      </c>
      <c r="AT43" s="640"/>
      <c r="AU43" s="61">
        <v>1.8542000000000001</v>
      </c>
      <c r="AV43" s="62" t="s">
        <v>113</v>
      </c>
      <c r="AW43" s="63"/>
      <c r="AX43" s="64" t="s">
        <v>114</v>
      </c>
      <c r="AY43" s="640"/>
      <c r="AZ43" s="61">
        <v>2.4380000000000002</v>
      </c>
      <c r="BA43" s="62" t="s">
        <v>113</v>
      </c>
      <c r="BB43" s="63">
        <v>1</v>
      </c>
      <c r="BC43" s="64" t="s">
        <v>114</v>
      </c>
      <c r="BD43" s="640"/>
      <c r="BE43" s="61">
        <v>2.54</v>
      </c>
      <c r="BF43" s="62" t="s">
        <v>113</v>
      </c>
      <c r="BG43" s="63">
        <v>1</v>
      </c>
      <c r="BH43" s="64" t="s">
        <v>114</v>
      </c>
      <c r="BI43" s="640"/>
      <c r="BJ43" s="61">
        <v>0.40639999999999998</v>
      </c>
      <c r="BK43" s="62" t="s">
        <v>113</v>
      </c>
      <c r="BL43" s="63"/>
      <c r="BM43" s="64" t="s">
        <v>114</v>
      </c>
      <c r="BN43" s="640"/>
      <c r="BO43" s="61">
        <v>1.8033999999999999</v>
      </c>
      <c r="BP43" s="62" t="s">
        <v>113</v>
      </c>
      <c r="BQ43" s="63">
        <v>1</v>
      </c>
      <c r="BR43" s="64" t="s">
        <v>114</v>
      </c>
      <c r="BW43" s="27"/>
      <c r="BX43" s="27"/>
      <c r="BY43" s="27"/>
      <c r="BZ43" s="27"/>
      <c r="CA43" s="27"/>
      <c r="CB43" s="27"/>
      <c r="CC43" s="27"/>
      <c r="CD43" s="27"/>
      <c r="CE43" s="27"/>
      <c r="ED43" s="57"/>
      <c r="EE43" s="57"/>
      <c r="EF43" s="57"/>
      <c r="EG43" s="57"/>
      <c r="EH43" s="57"/>
    </row>
    <row r="44" spans="1:138" ht="26.1" customHeight="1" thickTop="1" x14ac:dyDescent="0.25">
      <c r="A44" s="645" t="s">
        <v>110</v>
      </c>
      <c r="B44" s="646"/>
      <c r="C44" s="1260">
        <f t="shared" ref="C44" si="97">B49/((72*3.1415/59)*(50/3.281))</f>
        <v>5.2171538012626669E-3</v>
      </c>
      <c r="D44" s="1260"/>
      <c r="E44" s="1261"/>
      <c r="F44" s="645" t="s">
        <v>110</v>
      </c>
      <c r="G44" s="646"/>
      <c r="H44" s="1260">
        <f t="shared" ref="H44" si="98">G49/((72*3.1415/59)*(50/3.281))</f>
        <v>5.2171538012626669E-3</v>
      </c>
      <c r="I44" s="1260"/>
      <c r="J44" s="1261"/>
      <c r="K44" s="645" t="s">
        <v>110</v>
      </c>
      <c r="L44" s="646"/>
      <c r="M44" s="1260">
        <f t="shared" ref="M44" si="99">L49/((72*3.1415/59)*(50/3.281))</f>
        <v>2.9563871540488444E-2</v>
      </c>
      <c r="N44" s="1260"/>
      <c r="O44" s="1261"/>
      <c r="P44" s="645" t="s">
        <v>110</v>
      </c>
      <c r="Q44" s="646"/>
      <c r="R44" s="1260">
        <f t="shared" ref="R44" si="100">Q49/((72*3.1415/59)*(50/3.281))</f>
        <v>1.7116646329601926E-11</v>
      </c>
      <c r="S44" s="1260"/>
      <c r="T44" s="1261"/>
      <c r="U44" s="645" t="s">
        <v>110</v>
      </c>
      <c r="V44" s="646"/>
      <c r="W44" s="1260">
        <f>V49/((72*3.1415/59)*(50/3.281))</f>
        <v>0.15564508840433622</v>
      </c>
      <c r="X44" s="1260"/>
      <c r="Y44" s="1261"/>
      <c r="Z44" s="645" t="s">
        <v>110</v>
      </c>
      <c r="AA44" s="646"/>
      <c r="AB44" s="1260">
        <f t="shared" ref="AB44" si="101">AA49/((72*3.1415/59)*(50/3.281))</f>
        <v>6.8244068916122877E-2</v>
      </c>
      <c r="AC44" s="1260"/>
      <c r="AD44" s="1261"/>
      <c r="AE44" s="645" t="s">
        <v>110</v>
      </c>
      <c r="AF44" s="646"/>
      <c r="AG44" s="1260">
        <f t="shared" ref="AG44" si="102">AF49/((72*3.1415/59)*(50/3.281))</f>
        <v>4.9562961111995332E-2</v>
      </c>
      <c r="AH44" s="1260"/>
      <c r="AI44" s="1261"/>
      <c r="AJ44" s="645" t="s">
        <v>110</v>
      </c>
      <c r="AK44" s="646"/>
      <c r="AL44" s="1260">
        <f t="shared" ref="AL44" si="103">AK49/((72*3.1415/59)*(50/3.281))</f>
        <v>6.4779659699011449E-2</v>
      </c>
      <c r="AM44" s="1260"/>
      <c r="AN44" s="1261"/>
      <c r="AO44" s="645" t="s">
        <v>110</v>
      </c>
      <c r="AP44" s="646"/>
      <c r="AQ44" s="1260">
        <f t="shared" ref="AQ44" si="104">AP49/((72*3.1415/59)*(50/3.281))</f>
        <v>4.7378877040338122E-2</v>
      </c>
      <c r="AR44" s="1260"/>
      <c r="AS44" s="1261"/>
      <c r="AT44" s="645" t="s">
        <v>110</v>
      </c>
      <c r="AU44" s="646"/>
      <c r="AV44" s="1260">
        <f t="shared" ref="AV44" si="105">AU49/((72*3.1415/59)*(50/3.281))</f>
        <v>1.6086224220559889E-2</v>
      </c>
      <c r="AW44" s="1260"/>
      <c r="AX44" s="1261"/>
      <c r="AY44" s="645" t="s">
        <v>110</v>
      </c>
      <c r="AZ44" s="646"/>
      <c r="BA44" s="1260">
        <f t="shared" ref="BA44" si="106">AZ49/((72*3.1415/59)*(50/3.281))</f>
        <v>4.0857434788759792E-2</v>
      </c>
      <c r="BB44" s="1260"/>
      <c r="BC44" s="1261"/>
      <c r="BD44" s="645" t="s">
        <v>110</v>
      </c>
      <c r="BE44" s="646"/>
      <c r="BF44" s="1260">
        <f t="shared" ref="BF44" si="107">BE49/((72*3.1415/59)*(50/3.281))</f>
        <v>0.23997538154101897</v>
      </c>
      <c r="BG44" s="1260"/>
      <c r="BH44" s="1261"/>
      <c r="BI44" s="645" t="s">
        <v>110</v>
      </c>
      <c r="BJ44" s="646"/>
      <c r="BK44" s="1260">
        <f t="shared" ref="BK44" si="108">BJ49/((72*3.1415/59)*(50/3.281))</f>
        <v>6.5214422515783334E-3</v>
      </c>
      <c r="BL44" s="1260"/>
      <c r="BM44" s="1261"/>
      <c r="BN44" s="645" t="s">
        <v>110</v>
      </c>
      <c r="BO44" s="646"/>
      <c r="BP44" s="1260">
        <f t="shared" ref="BP44" si="109">BO49/((72*3.1415/59)*(50/3.281))</f>
        <v>8.5648274904062113E-2</v>
      </c>
      <c r="BQ44" s="1260"/>
      <c r="BR44" s="1261"/>
      <c r="ED44" s="57"/>
      <c r="EE44" s="57"/>
      <c r="EF44" s="57"/>
      <c r="EG44" s="57"/>
      <c r="EH44" s="57"/>
    </row>
    <row r="45" spans="1:138" ht="6.75" customHeight="1" x14ac:dyDescent="0.25">
      <c r="A45" s="1256"/>
      <c r="B45" s="1257"/>
      <c r="C45" s="1262"/>
      <c r="D45" s="1262"/>
      <c r="E45" s="1263"/>
      <c r="F45" s="1256"/>
      <c r="G45" s="1257"/>
      <c r="H45" s="1262"/>
      <c r="I45" s="1262"/>
      <c r="J45" s="1263"/>
      <c r="K45" s="1256"/>
      <c r="L45" s="1257"/>
      <c r="M45" s="1262"/>
      <c r="N45" s="1262"/>
      <c r="O45" s="1263"/>
      <c r="P45" s="1256"/>
      <c r="Q45" s="1257"/>
      <c r="R45" s="1262"/>
      <c r="S45" s="1262"/>
      <c r="T45" s="1263"/>
      <c r="U45" s="1256"/>
      <c r="V45" s="1257"/>
      <c r="W45" s="1262"/>
      <c r="X45" s="1262"/>
      <c r="Y45" s="1263"/>
      <c r="Z45" s="1256"/>
      <c r="AA45" s="1257"/>
      <c r="AB45" s="1262"/>
      <c r="AC45" s="1262"/>
      <c r="AD45" s="1263"/>
      <c r="AE45" s="1256"/>
      <c r="AF45" s="1257"/>
      <c r="AG45" s="1262"/>
      <c r="AH45" s="1262"/>
      <c r="AI45" s="1263"/>
      <c r="AJ45" s="1256"/>
      <c r="AK45" s="1257"/>
      <c r="AL45" s="1262"/>
      <c r="AM45" s="1262"/>
      <c r="AN45" s="1263"/>
      <c r="AO45" s="1256"/>
      <c r="AP45" s="1257"/>
      <c r="AQ45" s="1262"/>
      <c r="AR45" s="1262"/>
      <c r="AS45" s="1263"/>
      <c r="AT45" s="1256"/>
      <c r="AU45" s="1257"/>
      <c r="AV45" s="1262"/>
      <c r="AW45" s="1262"/>
      <c r="AX45" s="1263"/>
      <c r="AY45" s="1256"/>
      <c r="AZ45" s="1257"/>
      <c r="BA45" s="1262"/>
      <c r="BB45" s="1262"/>
      <c r="BC45" s="1263"/>
      <c r="BD45" s="1256"/>
      <c r="BE45" s="1257"/>
      <c r="BF45" s="1262"/>
      <c r="BG45" s="1262"/>
      <c r="BH45" s="1263"/>
      <c r="BI45" s="1256"/>
      <c r="BJ45" s="1257"/>
      <c r="BK45" s="1262"/>
      <c r="BL45" s="1262"/>
      <c r="BM45" s="1263"/>
      <c r="BN45" s="1256"/>
      <c r="BO45" s="1257"/>
      <c r="BP45" s="1262"/>
      <c r="BQ45" s="1262"/>
      <c r="BR45" s="1263"/>
      <c r="ED45" s="57"/>
      <c r="EE45" s="57"/>
      <c r="EF45" s="57"/>
      <c r="EG45" s="57"/>
      <c r="EH45" s="57"/>
    </row>
    <row r="46" spans="1:138" ht="21.95" customHeight="1" x14ac:dyDescent="0.25">
      <c r="A46" s="1256"/>
      <c r="B46" s="1257"/>
      <c r="C46" s="1262"/>
      <c r="D46" s="1262"/>
      <c r="E46" s="1263"/>
      <c r="F46" s="1256"/>
      <c r="G46" s="1257"/>
      <c r="H46" s="1262"/>
      <c r="I46" s="1262"/>
      <c r="J46" s="1263"/>
      <c r="K46" s="1256"/>
      <c r="L46" s="1257"/>
      <c r="M46" s="1262"/>
      <c r="N46" s="1262"/>
      <c r="O46" s="1263"/>
      <c r="P46" s="1256"/>
      <c r="Q46" s="1257"/>
      <c r="R46" s="1262"/>
      <c r="S46" s="1262"/>
      <c r="T46" s="1263"/>
      <c r="U46" s="1256"/>
      <c r="V46" s="1257"/>
      <c r="W46" s="1262"/>
      <c r="X46" s="1262"/>
      <c r="Y46" s="1263"/>
      <c r="Z46" s="1256"/>
      <c r="AA46" s="1257"/>
      <c r="AB46" s="1262"/>
      <c r="AC46" s="1262"/>
      <c r="AD46" s="1263"/>
      <c r="AE46" s="1256"/>
      <c r="AF46" s="1257"/>
      <c r="AG46" s="1262"/>
      <c r="AH46" s="1262"/>
      <c r="AI46" s="1263"/>
      <c r="AJ46" s="1256"/>
      <c r="AK46" s="1257"/>
      <c r="AL46" s="1262"/>
      <c r="AM46" s="1262"/>
      <c r="AN46" s="1263"/>
      <c r="AO46" s="1256"/>
      <c r="AP46" s="1257"/>
      <c r="AQ46" s="1262"/>
      <c r="AR46" s="1262"/>
      <c r="AS46" s="1263"/>
      <c r="AT46" s="1256"/>
      <c r="AU46" s="1257"/>
      <c r="AV46" s="1262"/>
      <c r="AW46" s="1262"/>
      <c r="AX46" s="1263"/>
      <c r="AY46" s="1256"/>
      <c r="AZ46" s="1257"/>
      <c r="BA46" s="1262"/>
      <c r="BB46" s="1262"/>
      <c r="BC46" s="1263"/>
      <c r="BD46" s="1256"/>
      <c r="BE46" s="1257"/>
      <c r="BF46" s="1262"/>
      <c r="BG46" s="1262"/>
      <c r="BH46" s="1263"/>
      <c r="BI46" s="1256"/>
      <c r="BJ46" s="1257"/>
      <c r="BK46" s="1262"/>
      <c r="BL46" s="1262"/>
      <c r="BM46" s="1263"/>
      <c r="BN46" s="1256"/>
      <c r="BO46" s="1257"/>
      <c r="BP46" s="1262"/>
      <c r="BQ46" s="1262"/>
      <c r="BR46" s="1263"/>
      <c r="ED46" s="57"/>
      <c r="EE46" s="57"/>
      <c r="EF46" s="57"/>
      <c r="EG46" s="57"/>
      <c r="EH46" s="57"/>
    </row>
    <row r="47" spans="1:138" ht="6" customHeight="1" x14ac:dyDescent="0.25">
      <c r="A47" s="1258"/>
      <c r="B47" s="1259"/>
      <c r="C47" s="1264"/>
      <c r="D47" s="1264"/>
      <c r="E47" s="1265"/>
      <c r="F47" s="1258"/>
      <c r="G47" s="1259"/>
      <c r="H47" s="1264"/>
      <c r="I47" s="1264"/>
      <c r="J47" s="1265"/>
      <c r="K47" s="1258"/>
      <c r="L47" s="1259"/>
      <c r="M47" s="1264"/>
      <c r="N47" s="1264"/>
      <c r="O47" s="1265"/>
      <c r="P47" s="1258"/>
      <c r="Q47" s="1259"/>
      <c r="R47" s="1264"/>
      <c r="S47" s="1264"/>
      <c r="T47" s="1265"/>
      <c r="U47" s="1258"/>
      <c r="V47" s="1259"/>
      <c r="W47" s="1264"/>
      <c r="X47" s="1264"/>
      <c r="Y47" s="1265"/>
      <c r="Z47" s="1258"/>
      <c r="AA47" s="1259"/>
      <c r="AB47" s="1264"/>
      <c r="AC47" s="1264"/>
      <c r="AD47" s="1265"/>
      <c r="AE47" s="1258"/>
      <c r="AF47" s="1259"/>
      <c r="AG47" s="1264"/>
      <c r="AH47" s="1264"/>
      <c r="AI47" s="1265"/>
      <c r="AJ47" s="1258"/>
      <c r="AK47" s="1259"/>
      <c r="AL47" s="1264"/>
      <c r="AM47" s="1264"/>
      <c r="AN47" s="1265"/>
      <c r="AO47" s="1258"/>
      <c r="AP47" s="1259"/>
      <c r="AQ47" s="1264"/>
      <c r="AR47" s="1264"/>
      <c r="AS47" s="1265"/>
      <c r="AT47" s="1258"/>
      <c r="AU47" s="1259"/>
      <c r="AV47" s="1264"/>
      <c r="AW47" s="1264"/>
      <c r="AX47" s="1265"/>
      <c r="AY47" s="1258"/>
      <c r="AZ47" s="1259"/>
      <c r="BA47" s="1264"/>
      <c r="BB47" s="1264"/>
      <c r="BC47" s="1265"/>
      <c r="BD47" s="1258"/>
      <c r="BE47" s="1259"/>
      <c r="BF47" s="1264"/>
      <c r="BG47" s="1264"/>
      <c r="BH47" s="1265"/>
      <c r="BI47" s="1258"/>
      <c r="BJ47" s="1259"/>
      <c r="BK47" s="1264"/>
      <c r="BL47" s="1264"/>
      <c r="BM47" s="1265"/>
      <c r="BN47" s="1258"/>
      <c r="BO47" s="1259"/>
      <c r="BP47" s="1264"/>
      <c r="BQ47" s="1264"/>
      <c r="BR47" s="1265"/>
    </row>
    <row r="48" spans="1:138" s="22" customFormat="1" ht="111.75" customHeight="1" x14ac:dyDescent="1.35">
      <c r="A48" s="639" t="s">
        <v>131</v>
      </c>
      <c r="B48" s="588">
        <v>264</v>
      </c>
      <c r="C48" s="589"/>
      <c r="D48" s="589"/>
      <c r="E48" s="590"/>
      <c r="F48" s="639" t="s">
        <v>131</v>
      </c>
      <c r="G48" s="588">
        <v>265</v>
      </c>
      <c r="H48" s="589"/>
      <c r="I48" s="589"/>
      <c r="J48" s="590"/>
      <c r="K48" s="639" t="s">
        <v>131</v>
      </c>
      <c r="L48" s="588">
        <v>266</v>
      </c>
      <c r="M48" s="589"/>
      <c r="N48" s="589"/>
      <c r="O48" s="590"/>
      <c r="P48" s="639" t="s">
        <v>131</v>
      </c>
      <c r="Q48" s="588">
        <v>268</v>
      </c>
      <c r="R48" s="589"/>
      <c r="S48" s="589"/>
      <c r="T48" s="590"/>
      <c r="U48" s="639" t="s">
        <v>131</v>
      </c>
      <c r="V48" s="1266">
        <v>269</v>
      </c>
      <c r="W48" s="1267"/>
      <c r="X48" s="1267"/>
      <c r="Y48" s="1268"/>
      <c r="Z48" s="639" t="s">
        <v>131</v>
      </c>
      <c r="AA48" s="1266">
        <v>270</v>
      </c>
      <c r="AB48" s="1267"/>
      <c r="AC48" s="1267"/>
      <c r="AD48" s="1268"/>
      <c r="AE48" s="639" t="s">
        <v>131</v>
      </c>
      <c r="AF48" s="588">
        <v>271</v>
      </c>
      <c r="AG48" s="589"/>
      <c r="AH48" s="589"/>
      <c r="AI48" s="590"/>
      <c r="AJ48" s="639" t="s">
        <v>131</v>
      </c>
      <c r="AK48" s="588">
        <v>272</v>
      </c>
      <c r="AL48" s="589"/>
      <c r="AM48" s="589"/>
      <c r="AN48" s="590"/>
      <c r="AO48" s="639" t="s">
        <v>131</v>
      </c>
      <c r="AP48" s="588">
        <v>273</v>
      </c>
      <c r="AQ48" s="589"/>
      <c r="AR48" s="589"/>
      <c r="AS48" s="590"/>
      <c r="AT48" s="639" t="s">
        <v>131</v>
      </c>
      <c r="AU48" s="588">
        <v>274</v>
      </c>
      <c r="AV48" s="589"/>
      <c r="AW48" s="589"/>
      <c r="AX48" s="590"/>
      <c r="AY48" s="639" t="s">
        <v>131</v>
      </c>
      <c r="AZ48" s="588">
        <v>275</v>
      </c>
      <c r="BA48" s="589"/>
      <c r="BB48" s="589"/>
      <c r="BC48" s="590"/>
      <c r="BD48" s="639" t="s">
        <v>131</v>
      </c>
      <c r="BE48" s="588">
        <v>276</v>
      </c>
      <c r="BF48" s="589"/>
      <c r="BG48" s="589"/>
      <c r="BH48" s="590"/>
      <c r="BI48" s="639" t="s">
        <v>131</v>
      </c>
      <c r="BJ48" s="588">
        <v>277</v>
      </c>
      <c r="BK48" s="589"/>
      <c r="BL48" s="589"/>
      <c r="BM48" s="590"/>
      <c r="BN48" s="639" t="s">
        <v>131</v>
      </c>
      <c r="BO48" s="588">
        <v>278</v>
      </c>
      <c r="BP48" s="589"/>
      <c r="BQ48" s="589"/>
      <c r="BR48" s="590"/>
      <c r="CU48"/>
      <c r="ED48"/>
      <c r="EE48"/>
      <c r="EF48"/>
      <c r="EG48"/>
      <c r="EH48"/>
    </row>
    <row r="49" spans="1:83" ht="50.25" customHeight="1" thickBot="1" x14ac:dyDescent="0.3">
      <c r="A49" s="640"/>
      <c r="B49" s="61">
        <v>0.30480000000000002</v>
      </c>
      <c r="C49" s="62" t="s">
        <v>113</v>
      </c>
      <c r="D49" s="63"/>
      <c r="E49" s="64" t="s">
        <v>114</v>
      </c>
      <c r="F49" s="640"/>
      <c r="G49" s="61">
        <v>0.30480000000000002</v>
      </c>
      <c r="H49" s="62" t="s">
        <v>113</v>
      </c>
      <c r="I49" s="63">
        <v>1</v>
      </c>
      <c r="J49" s="64" t="s">
        <v>114</v>
      </c>
      <c r="K49" s="640"/>
      <c r="L49" s="61">
        <v>1.7272000000000001</v>
      </c>
      <c r="M49" s="62" t="s">
        <v>113</v>
      </c>
      <c r="N49" s="63">
        <v>1</v>
      </c>
      <c r="O49" s="64" t="s">
        <v>114</v>
      </c>
      <c r="P49" s="640"/>
      <c r="Q49" s="61">
        <v>1.0000000000000001E-9</v>
      </c>
      <c r="R49" s="62" t="s">
        <v>113</v>
      </c>
      <c r="S49" s="63">
        <v>1</v>
      </c>
      <c r="T49" s="64" t="s">
        <v>114</v>
      </c>
      <c r="U49" s="640"/>
      <c r="V49" s="61">
        <v>9.0931999999999995</v>
      </c>
      <c r="W49" s="62" t="s">
        <v>113</v>
      </c>
      <c r="X49" s="63">
        <v>1</v>
      </c>
      <c r="Y49" s="64" t="s">
        <v>114</v>
      </c>
      <c r="Z49" s="640"/>
      <c r="AA49" s="61">
        <v>3.9870000000000001</v>
      </c>
      <c r="AB49" s="62" t="s">
        <v>113</v>
      </c>
      <c r="AC49" s="63">
        <v>1</v>
      </c>
      <c r="AD49" s="64" t="s">
        <v>114</v>
      </c>
      <c r="AE49" s="640"/>
      <c r="AF49" s="61">
        <v>2.8956</v>
      </c>
      <c r="AG49" s="62" t="s">
        <v>113</v>
      </c>
      <c r="AH49" s="63"/>
      <c r="AI49" s="64" t="s">
        <v>114</v>
      </c>
      <c r="AJ49" s="640"/>
      <c r="AK49" s="61">
        <v>3.7846000000000002</v>
      </c>
      <c r="AL49" s="62" t="s">
        <v>113</v>
      </c>
      <c r="AM49" s="63">
        <v>1</v>
      </c>
      <c r="AN49" s="64" t="s">
        <v>114</v>
      </c>
      <c r="AO49" s="640"/>
      <c r="AP49" s="61">
        <v>2.7679999999999998</v>
      </c>
      <c r="AQ49" s="62" t="s">
        <v>113</v>
      </c>
      <c r="AR49" s="63">
        <v>1</v>
      </c>
      <c r="AS49" s="64" t="s">
        <v>114</v>
      </c>
      <c r="AT49" s="640"/>
      <c r="AU49" s="61">
        <v>0.93979999999999997</v>
      </c>
      <c r="AV49" s="62" t="s">
        <v>113</v>
      </c>
      <c r="AW49" s="63"/>
      <c r="AX49" s="64" t="s">
        <v>114</v>
      </c>
      <c r="AY49" s="640"/>
      <c r="AZ49" s="61">
        <v>2.387</v>
      </c>
      <c r="BA49" s="62" t="s">
        <v>113</v>
      </c>
      <c r="BB49" s="63">
        <v>1</v>
      </c>
      <c r="BC49" s="64" t="s">
        <v>114</v>
      </c>
      <c r="BD49" s="640"/>
      <c r="BE49" s="286">
        <v>14.02</v>
      </c>
      <c r="BF49" s="62" t="s">
        <v>113</v>
      </c>
      <c r="BG49" s="63">
        <v>1</v>
      </c>
      <c r="BH49" s="64" t="s">
        <v>114</v>
      </c>
      <c r="BI49" s="640"/>
      <c r="BJ49" s="61">
        <v>0.38100000000000001</v>
      </c>
      <c r="BK49" s="62" t="s">
        <v>113</v>
      </c>
      <c r="BL49" s="63"/>
      <c r="BM49" s="64" t="s">
        <v>114</v>
      </c>
      <c r="BN49" s="640"/>
      <c r="BO49" s="61">
        <v>5.0038</v>
      </c>
      <c r="BP49" s="62" t="s">
        <v>113</v>
      </c>
      <c r="BQ49" s="63">
        <v>1</v>
      </c>
      <c r="BR49" s="64" t="s">
        <v>114</v>
      </c>
      <c r="BW49" s="27"/>
      <c r="BX49" s="27"/>
      <c r="BY49" s="27"/>
      <c r="BZ49" s="27"/>
      <c r="CA49" s="27"/>
      <c r="CB49" s="27"/>
      <c r="CC49" s="27"/>
      <c r="CD49" s="27"/>
      <c r="CE49" s="27"/>
    </row>
    <row r="50" spans="1:83" ht="26.1" hidden="1" customHeight="1" thickTop="1" x14ac:dyDescent="0.25">
      <c r="A50" s="672"/>
      <c r="B50" s="672"/>
      <c r="C50" s="672"/>
      <c r="D50" s="673"/>
      <c r="E50" s="673"/>
      <c r="F50" s="672"/>
      <c r="G50" s="672"/>
      <c r="H50" s="672"/>
      <c r="I50" s="673"/>
      <c r="J50" s="673"/>
      <c r="K50" s="672"/>
      <c r="L50" s="672"/>
      <c r="M50" s="672"/>
      <c r="N50" s="673"/>
      <c r="O50" s="673"/>
      <c r="P50" s="672"/>
      <c r="Q50" s="672"/>
      <c r="R50" s="672"/>
      <c r="S50" s="673"/>
      <c r="T50" s="673"/>
      <c r="U50" s="674"/>
      <c r="V50" s="674"/>
      <c r="W50" s="674"/>
      <c r="X50" s="675"/>
      <c r="Y50" s="675"/>
      <c r="Z50" s="674"/>
      <c r="AA50" s="674"/>
      <c r="AB50" s="674"/>
      <c r="AC50" s="675"/>
      <c r="AD50" s="675"/>
      <c r="AE50" s="674"/>
      <c r="AF50" s="674"/>
      <c r="AG50" s="674"/>
      <c r="AH50" s="675"/>
      <c r="AI50" s="675"/>
      <c r="AJ50" s="674"/>
      <c r="AK50" s="674"/>
      <c r="AL50" s="674"/>
      <c r="AM50" s="675"/>
      <c r="AN50" s="675"/>
      <c r="AO50" s="674"/>
      <c r="AP50" s="674"/>
      <c r="AQ50" s="674"/>
      <c r="AR50" s="675"/>
      <c r="AS50" s="675"/>
      <c r="AT50" s="674"/>
      <c r="AU50" s="674"/>
      <c r="AV50" s="674"/>
      <c r="AW50" s="675"/>
      <c r="AX50" s="675"/>
      <c r="AY50" s="674"/>
      <c r="AZ50" s="674"/>
      <c r="BA50" s="674"/>
      <c r="BB50" s="675"/>
      <c r="BC50" s="675"/>
      <c r="BD50" s="674"/>
      <c r="BE50" s="674"/>
      <c r="BF50" s="674"/>
      <c r="BG50" s="675"/>
      <c r="BH50" s="675"/>
      <c r="BI50" s="674"/>
      <c r="BJ50" s="674"/>
      <c r="BK50" s="674"/>
      <c r="BL50" s="675"/>
      <c r="BM50" s="675"/>
      <c r="BN50" s="674"/>
      <c r="BO50" s="674"/>
      <c r="BP50" s="674"/>
      <c r="BQ50" s="675"/>
      <c r="BR50" s="675"/>
    </row>
    <row r="51" spans="1:83" ht="6.75" hidden="1" customHeight="1" x14ac:dyDescent="0.25">
      <c r="A51" s="676"/>
      <c r="B51" s="676"/>
      <c r="C51" s="676"/>
      <c r="D51" s="29"/>
      <c r="E51" s="29"/>
      <c r="F51" s="676"/>
      <c r="G51" s="676"/>
      <c r="H51" s="676"/>
      <c r="I51" s="29"/>
      <c r="J51" s="29"/>
      <c r="K51" s="676"/>
      <c r="L51" s="676"/>
      <c r="M51" s="676"/>
      <c r="N51" s="29"/>
      <c r="O51" s="29"/>
      <c r="P51" s="676"/>
      <c r="Q51" s="676"/>
      <c r="R51" s="676"/>
      <c r="S51" s="29"/>
      <c r="T51" s="29"/>
      <c r="U51" s="676"/>
      <c r="V51" s="676"/>
      <c r="W51" s="676"/>
      <c r="X51" s="29"/>
      <c r="Y51" s="29"/>
      <c r="Z51" s="676"/>
      <c r="AA51" s="676"/>
      <c r="AB51" s="676"/>
      <c r="AC51" s="29"/>
      <c r="AD51" s="29"/>
      <c r="AE51" s="676"/>
      <c r="AF51" s="676"/>
      <c r="AG51" s="676"/>
      <c r="AH51" s="29"/>
      <c r="AI51" s="29"/>
      <c r="AJ51" s="676"/>
      <c r="AK51" s="676"/>
      <c r="AL51" s="676"/>
      <c r="AM51" s="29"/>
      <c r="AN51" s="29"/>
      <c r="AO51" s="676"/>
      <c r="AP51" s="676"/>
      <c r="AQ51" s="676"/>
      <c r="AR51" s="29"/>
      <c r="AS51" s="29"/>
      <c r="AT51" s="676"/>
      <c r="AU51" s="676"/>
      <c r="AV51" s="676"/>
      <c r="AW51" s="29"/>
      <c r="AX51" s="29"/>
      <c r="AY51" s="676"/>
      <c r="AZ51" s="676"/>
      <c r="BA51" s="676"/>
      <c r="BB51" s="29"/>
      <c r="BC51" s="29"/>
      <c r="BD51" s="676"/>
      <c r="BE51" s="676"/>
      <c r="BF51" s="676"/>
      <c r="BG51" s="29"/>
      <c r="BH51" s="29"/>
      <c r="BI51" s="676"/>
      <c r="BJ51" s="676"/>
      <c r="BK51" s="676"/>
      <c r="BL51" s="29"/>
      <c r="BM51" s="29"/>
      <c r="BN51" s="676"/>
      <c r="BO51" s="676"/>
      <c r="BP51" s="676"/>
      <c r="BQ51" s="29"/>
      <c r="BR51" s="29"/>
    </row>
    <row r="52" spans="1:83" ht="21.95" hidden="1" customHeight="1" x14ac:dyDescent="0.25">
      <c r="A52" s="676"/>
      <c r="B52" s="676"/>
      <c r="C52" s="676"/>
      <c r="D52" s="30"/>
      <c r="E52" s="29"/>
      <c r="F52" s="676"/>
      <c r="G52" s="676"/>
      <c r="H52" s="676"/>
      <c r="I52" s="30"/>
      <c r="J52" s="29"/>
      <c r="K52" s="676"/>
      <c r="L52" s="676"/>
      <c r="M52" s="676"/>
      <c r="N52" s="30"/>
      <c r="O52" s="29"/>
      <c r="P52" s="676"/>
      <c r="Q52" s="676"/>
      <c r="R52" s="676"/>
      <c r="S52" s="30"/>
      <c r="T52" s="29"/>
      <c r="U52" s="676"/>
      <c r="V52" s="676"/>
      <c r="W52" s="676"/>
      <c r="X52" s="30"/>
      <c r="Y52" s="29"/>
      <c r="Z52" s="676"/>
      <c r="AA52" s="676"/>
      <c r="AB52" s="676"/>
      <c r="AC52" s="30"/>
      <c r="AD52" s="29"/>
      <c r="AE52" s="676"/>
      <c r="AF52" s="676"/>
      <c r="AG52" s="676"/>
      <c r="AH52" s="30"/>
      <c r="AI52" s="29"/>
      <c r="AJ52" s="676"/>
      <c r="AK52" s="676"/>
      <c r="AL52" s="676"/>
      <c r="AM52" s="30"/>
      <c r="AN52" s="29"/>
      <c r="AO52" s="676"/>
      <c r="AP52" s="676"/>
      <c r="AQ52" s="676"/>
      <c r="AR52" s="30"/>
      <c r="AS52" s="29"/>
      <c r="AT52" s="676"/>
      <c r="AU52" s="676"/>
      <c r="AV52" s="676"/>
      <c r="AW52" s="30"/>
      <c r="AX52" s="29"/>
      <c r="AY52" s="676"/>
      <c r="AZ52" s="676"/>
      <c r="BA52" s="676"/>
      <c r="BB52" s="30"/>
      <c r="BC52" s="29"/>
      <c r="BD52" s="676"/>
      <c r="BE52" s="676"/>
      <c r="BF52" s="676"/>
      <c r="BG52" s="30"/>
      <c r="BH52" s="29"/>
      <c r="BI52" s="676"/>
      <c r="BJ52" s="676"/>
      <c r="BK52" s="676"/>
      <c r="BL52" s="30"/>
      <c r="BM52" s="29"/>
      <c r="BN52" s="676"/>
      <c r="BO52" s="676"/>
      <c r="BP52" s="676"/>
      <c r="BQ52" s="30"/>
      <c r="BR52" s="29"/>
    </row>
    <row r="53" spans="1:83" ht="6" hidden="1" customHeight="1" x14ac:dyDescent="0.25">
      <c r="A53" s="676"/>
      <c r="B53" s="676"/>
      <c r="C53" s="676"/>
      <c r="D53" s="675"/>
      <c r="E53" s="675"/>
      <c r="F53" s="676"/>
      <c r="G53" s="676"/>
      <c r="H53" s="676"/>
      <c r="I53" s="675"/>
      <c r="J53" s="675"/>
      <c r="K53" s="676"/>
      <c r="L53" s="676"/>
      <c r="M53" s="676"/>
      <c r="N53" s="675"/>
      <c r="O53" s="675"/>
      <c r="P53" s="676"/>
      <c r="Q53" s="676"/>
      <c r="R53" s="676"/>
      <c r="S53" s="675"/>
      <c r="T53" s="675"/>
      <c r="U53" s="676"/>
      <c r="V53" s="676"/>
      <c r="W53" s="676"/>
      <c r="X53" s="675"/>
      <c r="Y53" s="675"/>
      <c r="Z53" s="676"/>
      <c r="AA53" s="676"/>
      <c r="AB53" s="676"/>
      <c r="AC53" s="675"/>
      <c r="AD53" s="675"/>
      <c r="AE53" s="676"/>
      <c r="AF53" s="676"/>
      <c r="AG53" s="676"/>
      <c r="AH53" s="675"/>
      <c r="AI53" s="675"/>
      <c r="AJ53" s="676"/>
      <c r="AK53" s="676"/>
      <c r="AL53" s="676"/>
      <c r="AM53" s="675"/>
      <c r="AN53" s="675"/>
      <c r="AO53" s="676"/>
      <c r="AP53" s="676"/>
      <c r="AQ53" s="676"/>
      <c r="AR53" s="675"/>
      <c r="AS53" s="675"/>
      <c r="AT53" s="676"/>
      <c r="AU53" s="676"/>
      <c r="AV53" s="676"/>
      <c r="AW53" s="675"/>
      <c r="AX53" s="675"/>
      <c r="AY53" s="676"/>
      <c r="AZ53" s="676"/>
      <c r="BA53" s="676"/>
      <c r="BB53" s="675"/>
      <c r="BC53" s="675"/>
      <c r="BD53" s="676"/>
      <c r="BE53" s="676"/>
      <c r="BF53" s="676"/>
      <c r="BG53" s="675"/>
      <c r="BH53" s="675"/>
      <c r="BI53" s="676"/>
      <c r="BJ53" s="676"/>
      <c r="BK53" s="676"/>
      <c r="BL53" s="675"/>
      <c r="BM53" s="675"/>
      <c r="BN53" s="676"/>
      <c r="BO53" s="676"/>
      <c r="BP53" s="676"/>
      <c r="BQ53" s="675"/>
      <c r="BR53" s="675"/>
    </row>
    <row r="54" spans="1:83" ht="60" hidden="1" thickTop="1" thickBot="1" x14ac:dyDescent="0.3">
      <c r="A54" s="677"/>
      <c r="B54" s="678"/>
      <c r="C54" s="678"/>
      <c r="D54" s="678"/>
      <c r="E54" s="678"/>
      <c r="F54" s="677"/>
      <c r="G54" s="678"/>
      <c r="H54" s="678"/>
      <c r="I54" s="678"/>
      <c r="J54" s="678"/>
      <c r="K54" s="677"/>
      <c r="L54" s="678"/>
      <c r="M54" s="678"/>
      <c r="N54" s="678"/>
      <c r="O54" s="678"/>
      <c r="P54" s="677"/>
      <c r="Q54" s="678"/>
      <c r="R54" s="678"/>
      <c r="S54" s="678"/>
      <c r="T54" s="678"/>
      <c r="U54" s="677"/>
      <c r="V54" s="678"/>
      <c r="W54" s="678"/>
      <c r="X54" s="678"/>
      <c r="Y54" s="678"/>
      <c r="Z54" s="677"/>
      <c r="AA54" s="678"/>
      <c r="AB54" s="678"/>
      <c r="AC54" s="678"/>
      <c r="AD54" s="678"/>
      <c r="AE54" s="677"/>
      <c r="AF54" s="678"/>
      <c r="AG54" s="678"/>
      <c r="AH54" s="678"/>
      <c r="AI54" s="678"/>
      <c r="AJ54" s="677"/>
      <c r="AK54" s="678"/>
      <c r="AL54" s="678"/>
      <c r="AM54" s="678"/>
      <c r="AN54" s="678"/>
      <c r="AO54" s="677"/>
      <c r="AP54" s="678"/>
      <c r="AQ54" s="678"/>
      <c r="AR54" s="678"/>
      <c r="AS54" s="678"/>
      <c r="AT54" s="677"/>
      <c r="AU54" s="678"/>
      <c r="AV54" s="678"/>
      <c r="AW54" s="678"/>
      <c r="AX54" s="678"/>
      <c r="AY54" s="677"/>
      <c r="AZ54" s="678"/>
      <c r="BA54" s="678"/>
      <c r="BB54" s="678"/>
      <c r="BC54" s="678"/>
      <c r="BD54" s="677"/>
      <c r="BE54" s="678"/>
      <c r="BF54" s="678"/>
      <c r="BG54" s="678"/>
      <c r="BH54" s="678"/>
      <c r="BI54" s="677"/>
      <c r="BJ54" s="678"/>
      <c r="BK54" s="678"/>
      <c r="BL54" s="678"/>
      <c r="BM54" s="678"/>
      <c r="BN54" s="677"/>
      <c r="BO54" s="678"/>
      <c r="BP54" s="678"/>
      <c r="BQ54" s="678"/>
      <c r="BR54" s="678"/>
    </row>
    <row r="55" spans="1:83" ht="27.75" hidden="1" thickTop="1" thickBot="1" x14ac:dyDescent="0.3">
      <c r="A55" s="677"/>
      <c r="B55" s="32"/>
      <c r="C55" s="33"/>
      <c r="D55" s="34"/>
      <c r="E55" s="35"/>
      <c r="F55" s="677"/>
      <c r="G55" s="32"/>
      <c r="H55" s="33"/>
      <c r="I55" s="34"/>
      <c r="J55" s="35"/>
      <c r="K55" s="677"/>
      <c r="L55" s="32"/>
      <c r="M55" s="33"/>
      <c r="N55" s="34"/>
      <c r="O55" s="35"/>
      <c r="P55" s="677"/>
      <c r="Q55" s="32"/>
      <c r="R55" s="33"/>
      <c r="S55" s="34"/>
      <c r="T55" s="35"/>
      <c r="U55" s="677"/>
      <c r="V55" s="32"/>
      <c r="W55" s="33"/>
      <c r="X55" s="34"/>
      <c r="Y55" s="35"/>
      <c r="Z55" s="677"/>
      <c r="AA55" s="32"/>
      <c r="AB55" s="33"/>
      <c r="AC55" s="34"/>
      <c r="AD55" s="35"/>
      <c r="AE55" s="677"/>
      <c r="AF55" s="32"/>
      <c r="AG55" s="33"/>
      <c r="AH55" s="34"/>
      <c r="AI55" s="35"/>
      <c r="AJ55" s="677"/>
      <c r="AK55" s="32"/>
      <c r="AL55" s="33"/>
      <c r="AM55" s="34"/>
      <c r="AN55" s="35"/>
      <c r="AO55" s="677"/>
      <c r="AP55" s="32"/>
      <c r="AQ55" s="33"/>
      <c r="AR55" s="34"/>
      <c r="AS55" s="35"/>
      <c r="AT55" s="677"/>
      <c r="AU55" s="32"/>
      <c r="AV55" s="33"/>
      <c r="AW55" s="34"/>
      <c r="AX55" s="35"/>
      <c r="AY55" s="677"/>
      <c r="AZ55" s="32"/>
      <c r="BA55" s="33"/>
      <c r="BB55" s="34"/>
      <c r="BC55" s="35"/>
      <c r="BD55" s="677"/>
      <c r="BE55" s="32"/>
      <c r="BF55" s="33"/>
      <c r="BG55" s="34"/>
      <c r="BH55" s="35"/>
      <c r="BI55" s="677"/>
      <c r="BJ55" s="32"/>
      <c r="BK55" s="33"/>
      <c r="BL55" s="34"/>
      <c r="BM55" s="35"/>
      <c r="BN55" s="677"/>
      <c r="BO55" s="32"/>
      <c r="BP55" s="33"/>
      <c r="BQ55" s="34"/>
      <c r="BR55" s="35"/>
      <c r="BW55" s="27"/>
      <c r="BX55" s="27"/>
      <c r="BY55" s="27"/>
      <c r="BZ55" s="27"/>
      <c r="CA55" s="27"/>
      <c r="CB55" s="27"/>
      <c r="CC55" s="27"/>
      <c r="CD55" s="27"/>
      <c r="CE55" s="27"/>
    </row>
    <row r="56" spans="1:83" ht="26.1" hidden="1" customHeight="1" x14ac:dyDescent="0.25">
      <c r="A56" s="674"/>
      <c r="B56" s="674"/>
      <c r="C56" s="674"/>
      <c r="D56" s="675"/>
      <c r="E56" s="675"/>
      <c r="F56" s="674"/>
      <c r="G56" s="674"/>
      <c r="H56" s="674"/>
      <c r="I56" s="675"/>
      <c r="J56" s="675"/>
      <c r="K56" s="674"/>
      <c r="L56" s="674"/>
      <c r="M56" s="674"/>
      <c r="N56" s="675"/>
      <c r="O56" s="675"/>
      <c r="P56" s="674"/>
      <c r="Q56" s="674"/>
      <c r="R56" s="674"/>
      <c r="S56" s="675"/>
      <c r="T56" s="675"/>
      <c r="U56" s="674"/>
      <c r="V56" s="674"/>
      <c r="W56" s="674"/>
      <c r="X56" s="675"/>
      <c r="Y56" s="675"/>
      <c r="Z56" s="674"/>
      <c r="AA56" s="674"/>
      <c r="AB56" s="674"/>
      <c r="AC56" s="675"/>
      <c r="AD56" s="675"/>
      <c r="AE56" s="674"/>
      <c r="AF56" s="674"/>
      <c r="AG56" s="674"/>
      <c r="AH56" s="675"/>
      <c r="AI56" s="675"/>
      <c r="AJ56" s="674"/>
      <c r="AK56" s="674"/>
      <c r="AL56" s="674"/>
      <c r="AM56" s="675"/>
      <c r="AN56" s="675"/>
      <c r="AO56" s="674"/>
      <c r="AP56" s="674"/>
      <c r="AQ56" s="674"/>
      <c r="AR56" s="675"/>
      <c r="AS56" s="675"/>
      <c r="AT56" s="674"/>
      <c r="AU56" s="674"/>
      <c r="AV56" s="674"/>
      <c r="AW56" s="675"/>
      <c r="AX56" s="675"/>
      <c r="AY56" s="674"/>
      <c r="AZ56" s="674"/>
      <c r="BA56" s="674"/>
      <c r="BB56" s="675"/>
      <c r="BC56" s="675"/>
      <c r="BD56" s="674"/>
      <c r="BE56" s="674"/>
      <c r="BF56" s="674"/>
      <c r="BG56" s="675"/>
      <c r="BH56" s="675"/>
      <c r="BI56" s="674"/>
      <c r="BJ56" s="674"/>
      <c r="BK56" s="674"/>
      <c r="BL56" s="675"/>
      <c r="BM56" s="675"/>
      <c r="BN56" s="674"/>
      <c r="BO56" s="674"/>
      <c r="BP56" s="674"/>
      <c r="BQ56" s="675"/>
      <c r="BR56" s="675"/>
    </row>
    <row r="57" spans="1:83" ht="6.75" hidden="1" customHeight="1" x14ac:dyDescent="0.25">
      <c r="A57" s="676"/>
      <c r="B57" s="676"/>
      <c r="C57" s="676"/>
      <c r="D57" s="29"/>
      <c r="E57" s="29"/>
      <c r="F57" s="676"/>
      <c r="G57" s="676"/>
      <c r="H57" s="676"/>
      <c r="I57" s="29"/>
      <c r="J57" s="29"/>
      <c r="K57" s="676"/>
      <c r="L57" s="676"/>
      <c r="M57" s="676"/>
      <c r="N57" s="29"/>
      <c r="O57" s="29"/>
      <c r="P57" s="676"/>
      <c r="Q57" s="676"/>
      <c r="R57" s="676"/>
      <c r="S57" s="29"/>
      <c r="T57" s="29"/>
      <c r="U57" s="676"/>
      <c r="V57" s="676"/>
      <c r="W57" s="676"/>
      <c r="X57" s="29"/>
      <c r="Y57" s="29"/>
      <c r="Z57" s="676"/>
      <c r="AA57" s="676"/>
      <c r="AB57" s="676"/>
      <c r="AC57" s="29"/>
      <c r="AD57" s="29"/>
      <c r="AE57" s="676"/>
      <c r="AF57" s="676"/>
      <c r="AG57" s="676"/>
      <c r="AH57" s="29"/>
      <c r="AI57" s="29"/>
      <c r="AJ57" s="676"/>
      <c r="AK57" s="676"/>
      <c r="AL57" s="676"/>
      <c r="AM57" s="29"/>
      <c r="AN57" s="29"/>
      <c r="AO57" s="676"/>
      <c r="AP57" s="676"/>
      <c r="AQ57" s="676"/>
      <c r="AR57" s="29"/>
      <c r="AS57" s="29"/>
      <c r="AT57" s="676"/>
      <c r="AU57" s="676"/>
      <c r="AV57" s="676"/>
      <c r="AW57" s="29"/>
      <c r="AX57" s="29"/>
      <c r="AY57" s="676"/>
      <c r="AZ57" s="676"/>
      <c r="BA57" s="676"/>
      <c r="BB57" s="29"/>
      <c r="BC57" s="29"/>
      <c r="BD57" s="676"/>
      <c r="BE57" s="676"/>
      <c r="BF57" s="676"/>
      <c r="BG57" s="29"/>
      <c r="BH57" s="29"/>
      <c r="BI57" s="676"/>
      <c r="BJ57" s="676"/>
      <c r="BK57" s="676"/>
      <c r="BL57" s="29"/>
      <c r="BM57" s="29"/>
      <c r="BN57" s="676"/>
      <c r="BO57" s="676"/>
      <c r="BP57" s="676"/>
      <c r="BQ57" s="29"/>
      <c r="BR57" s="29"/>
    </row>
    <row r="58" spans="1:83" ht="21.95" hidden="1" customHeight="1" x14ac:dyDescent="0.25">
      <c r="A58" s="676"/>
      <c r="B58" s="676"/>
      <c r="C58" s="676"/>
      <c r="D58" s="30"/>
      <c r="E58" s="29"/>
      <c r="F58" s="676"/>
      <c r="G58" s="676"/>
      <c r="H58" s="676"/>
      <c r="I58" s="30"/>
      <c r="J58" s="29"/>
      <c r="K58" s="676"/>
      <c r="L58" s="676"/>
      <c r="M58" s="676"/>
      <c r="N58" s="30"/>
      <c r="O58" s="29"/>
      <c r="P58" s="676"/>
      <c r="Q58" s="676"/>
      <c r="R58" s="676"/>
      <c r="S58" s="30"/>
      <c r="T58" s="29"/>
      <c r="U58" s="676"/>
      <c r="V58" s="676"/>
      <c r="W58" s="676"/>
      <c r="X58" s="30"/>
      <c r="Y58" s="29"/>
      <c r="Z58" s="676"/>
      <c r="AA58" s="676"/>
      <c r="AB58" s="676"/>
      <c r="AC58" s="30"/>
      <c r="AD58" s="29"/>
      <c r="AE58" s="676"/>
      <c r="AF58" s="676"/>
      <c r="AG58" s="676"/>
      <c r="AH58" s="30"/>
      <c r="AI58" s="29"/>
      <c r="AJ58" s="676"/>
      <c r="AK58" s="676"/>
      <c r="AL58" s="676"/>
      <c r="AM58" s="30"/>
      <c r="AN58" s="29"/>
      <c r="AO58" s="676"/>
      <c r="AP58" s="676"/>
      <c r="AQ58" s="676"/>
      <c r="AR58" s="30"/>
      <c r="AS58" s="29"/>
      <c r="AT58" s="676"/>
      <c r="AU58" s="676"/>
      <c r="AV58" s="676"/>
      <c r="AW58" s="30"/>
      <c r="AX58" s="29"/>
      <c r="AY58" s="676"/>
      <c r="AZ58" s="676"/>
      <c r="BA58" s="676"/>
      <c r="BB58" s="30"/>
      <c r="BC58" s="29"/>
      <c r="BD58" s="676"/>
      <c r="BE58" s="676"/>
      <c r="BF58" s="676"/>
      <c r="BG58" s="30"/>
      <c r="BH58" s="29"/>
      <c r="BI58" s="676"/>
      <c r="BJ58" s="676"/>
      <c r="BK58" s="676"/>
      <c r="BL58" s="30"/>
      <c r="BM58" s="29"/>
      <c r="BN58" s="676"/>
      <c r="BO58" s="676"/>
      <c r="BP58" s="676"/>
      <c r="BQ58" s="30"/>
      <c r="BR58" s="29"/>
    </row>
    <row r="59" spans="1:83" ht="6" hidden="1" customHeight="1" x14ac:dyDescent="0.25">
      <c r="A59" s="676"/>
      <c r="B59" s="676"/>
      <c r="C59" s="676"/>
      <c r="D59" s="675"/>
      <c r="E59" s="675"/>
      <c r="F59" s="676"/>
      <c r="G59" s="676"/>
      <c r="H59" s="676"/>
      <c r="I59" s="675"/>
      <c r="J59" s="675"/>
      <c r="K59" s="676"/>
      <c r="L59" s="676"/>
      <c r="M59" s="676"/>
      <c r="N59" s="675"/>
      <c r="O59" s="675"/>
      <c r="P59" s="676"/>
      <c r="Q59" s="676"/>
      <c r="R59" s="676"/>
      <c r="S59" s="675"/>
      <c r="T59" s="675"/>
      <c r="U59" s="676"/>
      <c r="V59" s="676"/>
      <c r="W59" s="676"/>
      <c r="X59" s="675"/>
      <c r="Y59" s="675"/>
      <c r="Z59" s="676"/>
      <c r="AA59" s="676"/>
      <c r="AB59" s="676"/>
      <c r="AC59" s="675"/>
      <c r="AD59" s="675"/>
      <c r="AE59" s="676"/>
      <c r="AF59" s="676"/>
      <c r="AG59" s="676"/>
      <c r="AH59" s="675"/>
      <c r="AI59" s="675"/>
      <c r="AJ59" s="676"/>
      <c r="AK59" s="676"/>
      <c r="AL59" s="676"/>
      <c r="AM59" s="675"/>
      <c r="AN59" s="675"/>
      <c r="AO59" s="676"/>
      <c r="AP59" s="676"/>
      <c r="AQ59" s="676"/>
      <c r="AR59" s="675"/>
      <c r="AS59" s="675"/>
      <c r="AT59" s="676"/>
      <c r="AU59" s="676"/>
      <c r="AV59" s="676"/>
      <c r="AW59" s="675"/>
      <c r="AX59" s="675"/>
      <c r="AY59" s="676"/>
      <c r="AZ59" s="676"/>
      <c r="BA59" s="676"/>
      <c r="BB59" s="675"/>
      <c r="BC59" s="675"/>
      <c r="BD59" s="676"/>
      <c r="BE59" s="676"/>
      <c r="BF59" s="676"/>
      <c r="BG59" s="675"/>
      <c r="BH59" s="675"/>
      <c r="BI59" s="676"/>
      <c r="BJ59" s="676"/>
      <c r="BK59" s="676"/>
      <c r="BL59" s="675"/>
      <c r="BM59" s="675"/>
      <c r="BN59" s="676"/>
      <c r="BO59" s="676"/>
      <c r="BP59" s="676"/>
      <c r="BQ59" s="675"/>
      <c r="BR59" s="675"/>
    </row>
    <row r="60" spans="1:83" ht="60" hidden="1" thickTop="1" thickBot="1" x14ac:dyDescent="0.3">
      <c r="A60" s="677"/>
      <c r="B60" s="678"/>
      <c r="C60" s="678"/>
      <c r="D60" s="678"/>
      <c r="E60" s="678"/>
      <c r="F60" s="677"/>
      <c r="G60" s="678"/>
      <c r="H60" s="678"/>
      <c r="I60" s="678"/>
      <c r="J60" s="678"/>
      <c r="K60" s="677"/>
      <c r="L60" s="678"/>
      <c r="M60" s="678"/>
      <c r="N60" s="678"/>
      <c r="O60" s="678"/>
      <c r="P60" s="677"/>
      <c r="Q60" s="678"/>
      <c r="R60" s="678"/>
      <c r="S60" s="678"/>
      <c r="T60" s="678"/>
      <c r="U60" s="677"/>
      <c r="V60" s="678"/>
      <c r="W60" s="678"/>
      <c r="X60" s="678"/>
      <c r="Y60" s="678"/>
      <c r="Z60" s="677"/>
      <c r="AA60" s="678"/>
      <c r="AB60" s="678"/>
      <c r="AC60" s="678"/>
      <c r="AD60" s="678"/>
      <c r="AE60" s="677"/>
      <c r="AF60" s="678"/>
      <c r="AG60" s="678"/>
      <c r="AH60" s="678"/>
      <c r="AI60" s="678"/>
      <c r="AJ60" s="677"/>
      <c r="AK60" s="678"/>
      <c r="AL60" s="678"/>
      <c r="AM60" s="678"/>
      <c r="AN60" s="678"/>
      <c r="AO60" s="677"/>
      <c r="AP60" s="678"/>
      <c r="AQ60" s="678"/>
      <c r="AR60" s="678"/>
      <c r="AS60" s="678"/>
      <c r="AT60" s="677"/>
      <c r="AU60" s="678"/>
      <c r="AV60" s="678"/>
      <c r="AW60" s="678"/>
      <c r="AX60" s="678"/>
      <c r="AY60" s="677"/>
      <c r="AZ60" s="678"/>
      <c r="BA60" s="678"/>
      <c r="BB60" s="678"/>
      <c r="BC60" s="678"/>
      <c r="BD60" s="677"/>
      <c r="BE60" s="678"/>
      <c r="BF60" s="678"/>
      <c r="BG60" s="678"/>
      <c r="BH60" s="678"/>
      <c r="BI60" s="677"/>
      <c r="BJ60" s="678"/>
      <c r="BK60" s="678"/>
      <c r="BL60" s="678"/>
      <c r="BM60" s="678"/>
      <c r="BN60" s="677"/>
      <c r="BO60" s="678"/>
      <c r="BP60" s="678"/>
      <c r="BQ60" s="678"/>
      <c r="BR60" s="678"/>
    </row>
    <row r="61" spans="1:83" ht="27.75" hidden="1" thickTop="1" thickBot="1" x14ac:dyDescent="0.3">
      <c r="A61" s="677"/>
      <c r="B61" s="32"/>
      <c r="C61" s="33"/>
      <c r="D61" s="34"/>
      <c r="E61" s="35"/>
      <c r="F61" s="677"/>
      <c r="G61" s="32"/>
      <c r="H61" s="33"/>
      <c r="I61" s="34"/>
      <c r="J61" s="35"/>
      <c r="K61" s="677"/>
      <c r="L61" s="32"/>
      <c r="M61" s="33"/>
      <c r="N61" s="34"/>
      <c r="O61" s="35"/>
      <c r="P61" s="677"/>
      <c r="Q61" s="32"/>
      <c r="R61" s="33"/>
      <c r="S61" s="34"/>
      <c r="T61" s="35"/>
      <c r="U61" s="677"/>
      <c r="V61" s="32"/>
      <c r="W61" s="33"/>
      <c r="X61" s="34"/>
      <c r="Y61" s="35"/>
      <c r="Z61" s="677"/>
      <c r="AA61" s="32"/>
      <c r="AB61" s="33"/>
      <c r="AC61" s="34"/>
      <c r="AD61" s="35"/>
      <c r="AE61" s="677"/>
      <c r="AF61" s="32"/>
      <c r="AG61" s="33"/>
      <c r="AH61" s="34"/>
      <c r="AI61" s="35"/>
      <c r="AJ61" s="677"/>
      <c r="AK61" s="32"/>
      <c r="AL61" s="33"/>
      <c r="AM61" s="34"/>
      <c r="AN61" s="35"/>
      <c r="AO61" s="677"/>
      <c r="AP61" s="32"/>
      <c r="AQ61" s="33"/>
      <c r="AR61" s="34"/>
      <c r="AS61" s="35"/>
      <c r="AT61" s="677"/>
      <c r="AU61" s="32"/>
      <c r="AV61" s="33"/>
      <c r="AW61" s="34"/>
      <c r="AX61" s="35"/>
      <c r="AY61" s="677"/>
      <c r="AZ61" s="32"/>
      <c r="BA61" s="33"/>
      <c r="BB61" s="34"/>
      <c r="BC61" s="35"/>
      <c r="BD61" s="677"/>
      <c r="BE61" s="32"/>
      <c r="BF61" s="33"/>
      <c r="BG61" s="34"/>
      <c r="BH61" s="35"/>
      <c r="BI61" s="677"/>
      <c r="BJ61" s="32"/>
      <c r="BK61" s="33"/>
      <c r="BL61" s="34"/>
      <c r="BM61" s="35"/>
      <c r="BN61" s="677"/>
      <c r="BO61" s="32"/>
      <c r="BP61" s="33"/>
      <c r="BQ61" s="34"/>
      <c r="BR61" s="35"/>
      <c r="BW61" s="27"/>
      <c r="BX61" s="27"/>
      <c r="BY61" s="27"/>
      <c r="BZ61" s="27"/>
      <c r="CA61" s="27"/>
      <c r="CB61" s="27"/>
      <c r="CC61" s="27"/>
      <c r="CD61" s="27"/>
      <c r="CE61" s="27"/>
    </row>
    <row r="62" spans="1:83" s="42" customFormat="1" ht="3" customHeight="1" thickTop="1" thickBo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W62" s="43"/>
      <c r="BX62" s="43"/>
      <c r="BY62" s="43"/>
      <c r="BZ62" s="43"/>
      <c r="CA62" s="43"/>
      <c r="CB62" s="43"/>
      <c r="CC62" s="43"/>
      <c r="CD62" s="43"/>
      <c r="CE62" s="43"/>
    </row>
    <row r="63" spans="1:83" ht="17.25" customHeight="1" thickTop="1" x14ac:dyDescent="0.25">
      <c r="A63" s="645" t="s">
        <v>110</v>
      </c>
      <c r="B63" s="646"/>
      <c r="C63" s="1260">
        <f t="shared" ref="C63" si="110">B68/((72*3.1415/59)*(50/3.281))</f>
        <v>3.912865350947E-2</v>
      </c>
      <c r="D63" s="1260"/>
      <c r="E63" s="1261"/>
      <c r="F63" s="645" t="s">
        <v>110</v>
      </c>
      <c r="G63" s="646"/>
      <c r="H63" s="1260">
        <f t="shared" ref="H63" si="111">G68/((72*3.1415/59)*(50/3.281))</f>
        <v>1.9564326754735E-2</v>
      </c>
      <c r="I63" s="1260"/>
      <c r="J63" s="1261"/>
      <c r="K63" s="645" t="s">
        <v>110</v>
      </c>
      <c r="L63" s="646"/>
      <c r="M63" s="1260">
        <f t="shared" ref="M63" si="112">L68/((72*3.1415/59)*(50/3.281))</f>
        <v>6.0432031531292556E-2</v>
      </c>
      <c r="N63" s="1260"/>
      <c r="O63" s="1261"/>
      <c r="P63" s="645" t="s">
        <v>110</v>
      </c>
      <c r="Q63" s="646"/>
      <c r="R63" s="1260">
        <f t="shared" ref="R63" si="113">Q68/((72*3.1415/59)*(50/3.281))</f>
        <v>4.565009576104833E-2</v>
      </c>
      <c r="S63" s="1260"/>
      <c r="T63" s="1261"/>
      <c r="U63" s="645" t="s">
        <v>110</v>
      </c>
      <c r="V63" s="646"/>
      <c r="W63" s="1260">
        <f t="shared" ref="W63" si="114">V68/((72*3.1415/59)*(50/3.281))</f>
        <v>2.0865191875784748E-2</v>
      </c>
      <c r="X63" s="1260"/>
      <c r="Y63" s="1261"/>
      <c r="Z63" s="645" t="s">
        <v>110</v>
      </c>
      <c r="AA63" s="646"/>
      <c r="AB63" s="1260">
        <f t="shared" ref="AB63" si="115">AA68/((72*3.1415/59)*(50/3.281))</f>
        <v>2.8687499248412823E-2</v>
      </c>
      <c r="AC63" s="1260"/>
      <c r="AD63" s="1261"/>
      <c r="AE63" s="645" t="s">
        <v>110</v>
      </c>
      <c r="AF63" s="646"/>
      <c r="AG63" s="1260">
        <f t="shared" ref="AG63" si="116">AF68/((72*3.1415/59)*(50/3.281))</f>
        <v>2.7824820273400885E-2</v>
      </c>
      <c r="AH63" s="1260"/>
      <c r="AI63" s="1261"/>
      <c r="AJ63" s="645" t="s">
        <v>110</v>
      </c>
      <c r="AK63" s="646"/>
      <c r="AL63" s="1260">
        <f t="shared" ref="AL63" si="117">AK68/((72*3.1415/59)*(50/3.281))</f>
        <v>2.5212820043503635E-2</v>
      </c>
      <c r="AM63" s="1260"/>
      <c r="AN63" s="1261"/>
      <c r="AO63" s="645" t="s">
        <v>110</v>
      </c>
      <c r="AP63" s="646"/>
      <c r="AQ63" s="1260">
        <f t="shared" ref="AQ63" si="118">AP68/((72*3.1415/59)*(50/3.281))</f>
        <v>5.6074133375775902E-2</v>
      </c>
      <c r="AR63" s="1260"/>
      <c r="AS63" s="1261"/>
      <c r="AT63" s="645" t="s">
        <v>110</v>
      </c>
      <c r="AU63" s="646"/>
      <c r="AV63" s="1260">
        <f t="shared" ref="AV63" si="119">AU68/((72*3.1415/59)*(50/3.281))</f>
        <v>3.781067174209065E-2</v>
      </c>
      <c r="AW63" s="1260"/>
      <c r="AX63" s="1261"/>
      <c r="AY63" s="645" t="s">
        <v>110</v>
      </c>
      <c r="AZ63" s="646"/>
      <c r="BA63" s="1260">
        <f t="shared" ref="BA63" si="120">AZ68/((72*3.1415/59)*(50/3.281))</f>
        <v>4.2603332714379188E-2</v>
      </c>
      <c r="BB63" s="1260"/>
      <c r="BC63" s="1261"/>
      <c r="BD63" s="645" t="s">
        <v>110</v>
      </c>
      <c r="BE63" s="646"/>
      <c r="BF63" s="1260">
        <f t="shared" ref="BF63" si="121">BE68/((72*3.1415/59)*(50/3.281))</f>
        <v>3.3911499708207331E-2</v>
      </c>
      <c r="BG63" s="1260"/>
      <c r="BH63" s="1261"/>
      <c r="BI63" s="645" t="s">
        <v>110</v>
      </c>
      <c r="BJ63" s="646"/>
      <c r="BK63" s="1260">
        <f t="shared" ref="BK63" si="122">BJ68/((72*3.1415/59)*(50/3.281))</f>
        <v>1.172490273577732E-2</v>
      </c>
      <c r="BL63" s="1260"/>
      <c r="BM63" s="1261"/>
      <c r="BN63" s="645" t="s">
        <v>110</v>
      </c>
      <c r="BO63" s="646"/>
      <c r="BP63" s="1260">
        <f t="shared" ref="BP63" si="123">BO68/((72*3.1415/59)*(50/3.281))</f>
        <v>5.3910589279714219E-2</v>
      </c>
      <c r="BQ63" s="1260"/>
      <c r="BR63" s="1261"/>
    </row>
    <row r="64" spans="1:83" ht="6.75" customHeight="1" x14ac:dyDescent="0.25">
      <c r="A64" s="1256"/>
      <c r="B64" s="1257"/>
      <c r="C64" s="1262"/>
      <c r="D64" s="1262"/>
      <c r="E64" s="1263"/>
      <c r="F64" s="1256"/>
      <c r="G64" s="1257"/>
      <c r="H64" s="1262"/>
      <c r="I64" s="1262"/>
      <c r="J64" s="1263"/>
      <c r="K64" s="1256"/>
      <c r="L64" s="1257"/>
      <c r="M64" s="1262"/>
      <c r="N64" s="1262"/>
      <c r="O64" s="1263"/>
      <c r="P64" s="1256"/>
      <c r="Q64" s="1257"/>
      <c r="R64" s="1262"/>
      <c r="S64" s="1262"/>
      <c r="T64" s="1263"/>
      <c r="U64" s="1256"/>
      <c r="V64" s="1257"/>
      <c r="W64" s="1262"/>
      <c r="X64" s="1262"/>
      <c r="Y64" s="1263"/>
      <c r="Z64" s="1256"/>
      <c r="AA64" s="1257"/>
      <c r="AB64" s="1262"/>
      <c r="AC64" s="1262"/>
      <c r="AD64" s="1263"/>
      <c r="AE64" s="1256"/>
      <c r="AF64" s="1257"/>
      <c r="AG64" s="1262"/>
      <c r="AH64" s="1262"/>
      <c r="AI64" s="1263"/>
      <c r="AJ64" s="1256"/>
      <c r="AK64" s="1257"/>
      <c r="AL64" s="1262"/>
      <c r="AM64" s="1262"/>
      <c r="AN64" s="1263"/>
      <c r="AO64" s="1256"/>
      <c r="AP64" s="1257"/>
      <c r="AQ64" s="1262"/>
      <c r="AR64" s="1262"/>
      <c r="AS64" s="1263"/>
      <c r="AT64" s="1256"/>
      <c r="AU64" s="1257"/>
      <c r="AV64" s="1262"/>
      <c r="AW64" s="1262"/>
      <c r="AX64" s="1263"/>
      <c r="AY64" s="1256"/>
      <c r="AZ64" s="1257"/>
      <c r="BA64" s="1262"/>
      <c r="BB64" s="1262"/>
      <c r="BC64" s="1263"/>
      <c r="BD64" s="1256"/>
      <c r="BE64" s="1257"/>
      <c r="BF64" s="1262"/>
      <c r="BG64" s="1262"/>
      <c r="BH64" s="1263"/>
      <c r="BI64" s="1256"/>
      <c r="BJ64" s="1257"/>
      <c r="BK64" s="1262"/>
      <c r="BL64" s="1262"/>
      <c r="BM64" s="1263"/>
      <c r="BN64" s="1256"/>
      <c r="BO64" s="1257"/>
      <c r="BP64" s="1262"/>
      <c r="BQ64" s="1262"/>
      <c r="BR64" s="1263"/>
    </row>
    <row r="65" spans="1:172" ht="12" customHeight="1" x14ac:dyDescent="0.25">
      <c r="A65" s="1256"/>
      <c r="B65" s="1257"/>
      <c r="C65" s="1262"/>
      <c r="D65" s="1262"/>
      <c r="E65" s="1263"/>
      <c r="F65" s="1256"/>
      <c r="G65" s="1257"/>
      <c r="H65" s="1262"/>
      <c r="I65" s="1262"/>
      <c r="J65" s="1263"/>
      <c r="K65" s="1256"/>
      <c r="L65" s="1257"/>
      <c r="M65" s="1262"/>
      <c r="N65" s="1262"/>
      <c r="O65" s="1263"/>
      <c r="P65" s="1256"/>
      <c r="Q65" s="1257"/>
      <c r="R65" s="1262"/>
      <c r="S65" s="1262"/>
      <c r="T65" s="1263"/>
      <c r="U65" s="1256"/>
      <c r="V65" s="1257"/>
      <c r="W65" s="1262"/>
      <c r="X65" s="1262"/>
      <c r="Y65" s="1263"/>
      <c r="Z65" s="1256"/>
      <c r="AA65" s="1257"/>
      <c r="AB65" s="1262"/>
      <c r="AC65" s="1262"/>
      <c r="AD65" s="1263"/>
      <c r="AE65" s="1256"/>
      <c r="AF65" s="1257"/>
      <c r="AG65" s="1262"/>
      <c r="AH65" s="1262"/>
      <c r="AI65" s="1263"/>
      <c r="AJ65" s="1256"/>
      <c r="AK65" s="1257"/>
      <c r="AL65" s="1262"/>
      <c r="AM65" s="1262"/>
      <c r="AN65" s="1263"/>
      <c r="AO65" s="1256"/>
      <c r="AP65" s="1257"/>
      <c r="AQ65" s="1262"/>
      <c r="AR65" s="1262"/>
      <c r="AS65" s="1263"/>
      <c r="AT65" s="1256"/>
      <c r="AU65" s="1257"/>
      <c r="AV65" s="1262"/>
      <c r="AW65" s="1262"/>
      <c r="AX65" s="1263"/>
      <c r="AY65" s="1256"/>
      <c r="AZ65" s="1257"/>
      <c r="BA65" s="1262"/>
      <c r="BB65" s="1262"/>
      <c r="BC65" s="1263"/>
      <c r="BD65" s="1256"/>
      <c r="BE65" s="1257"/>
      <c r="BF65" s="1262"/>
      <c r="BG65" s="1262"/>
      <c r="BH65" s="1263"/>
      <c r="BI65" s="1256"/>
      <c r="BJ65" s="1257"/>
      <c r="BK65" s="1262"/>
      <c r="BL65" s="1262"/>
      <c r="BM65" s="1263"/>
      <c r="BN65" s="1256"/>
      <c r="BO65" s="1257"/>
      <c r="BP65" s="1262"/>
      <c r="BQ65" s="1262"/>
      <c r="BR65" s="1263"/>
      <c r="CY65" s="37"/>
      <c r="CZ65" s="38"/>
      <c r="DA65" s="39"/>
      <c r="DB65" s="40"/>
      <c r="DC65" s="41"/>
      <c r="DD65" s="37"/>
      <c r="DE65" s="38"/>
      <c r="DF65" s="39"/>
      <c r="DG65" s="40"/>
      <c r="DH65" s="41"/>
      <c r="DI65" s="37"/>
      <c r="DJ65" s="38"/>
      <c r="DK65" s="39"/>
      <c r="DL65" s="40"/>
      <c r="DM65" s="41"/>
      <c r="DN65" s="37"/>
      <c r="DO65" s="38"/>
      <c r="DP65" s="39"/>
      <c r="DQ65" s="40"/>
      <c r="DR65" s="41"/>
      <c r="DS65" s="37"/>
      <c r="DT65" s="38"/>
      <c r="DU65" s="39"/>
      <c r="DV65" s="697"/>
      <c r="DW65" s="697"/>
      <c r="DX65" s="697"/>
      <c r="DY65" s="697"/>
      <c r="DZ65" s="697"/>
      <c r="EA65" s="697"/>
      <c r="EB65" s="697"/>
      <c r="EC65" s="697"/>
      <c r="ED65" s="697"/>
      <c r="EE65" s="697"/>
      <c r="EF65" s="697"/>
      <c r="EG65" s="697"/>
      <c r="EH65" s="37"/>
      <c r="EI65" s="38"/>
      <c r="EJ65" s="39"/>
      <c r="EK65" s="40"/>
      <c r="EL65" s="41"/>
      <c r="EM65" s="37"/>
      <c r="EN65" s="38"/>
      <c r="EO65" s="39"/>
      <c r="EP65" s="40"/>
      <c r="EQ65" s="41"/>
      <c r="ER65" s="37"/>
      <c r="ES65" s="38"/>
      <c r="ET65" s="39"/>
      <c r="EU65" s="40"/>
      <c r="EV65" s="41"/>
      <c r="EW65" s="37"/>
      <c r="EX65" s="38"/>
      <c r="EY65" s="39"/>
      <c r="EZ65" s="40"/>
      <c r="FA65" s="41"/>
      <c r="FB65" s="37"/>
      <c r="FC65" s="38"/>
      <c r="FD65" s="39"/>
      <c r="FE65" s="40"/>
      <c r="FF65" s="41"/>
      <c r="FG65" s="37"/>
      <c r="FH65" s="38"/>
      <c r="FI65" s="39"/>
      <c r="FJ65" s="40"/>
      <c r="FK65" s="41"/>
      <c r="FL65" s="37"/>
      <c r="FM65" s="38"/>
      <c r="FN65" s="39"/>
      <c r="FO65" s="40"/>
      <c r="FP65" s="41"/>
    </row>
    <row r="66" spans="1:172" ht="6" customHeight="1" x14ac:dyDescent="0.25">
      <c r="A66" s="1258"/>
      <c r="B66" s="1259"/>
      <c r="C66" s="1264"/>
      <c r="D66" s="1264"/>
      <c r="E66" s="1265"/>
      <c r="F66" s="1258"/>
      <c r="G66" s="1259"/>
      <c r="H66" s="1264"/>
      <c r="I66" s="1264"/>
      <c r="J66" s="1265"/>
      <c r="K66" s="1258"/>
      <c r="L66" s="1259"/>
      <c r="M66" s="1264"/>
      <c r="N66" s="1264"/>
      <c r="O66" s="1265"/>
      <c r="P66" s="1258"/>
      <c r="Q66" s="1259"/>
      <c r="R66" s="1264"/>
      <c r="S66" s="1264"/>
      <c r="T66" s="1265"/>
      <c r="U66" s="1258"/>
      <c r="V66" s="1259"/>
      <c r="W66" s="1264"/>
      <c r="X66" s="1264"/>
      <c r="Y66" s="1265"/>
      <c r="Z66" s="1258"/>
      <c r="AA66" s="1259"/>
      <c r="AB66" s="1264"/>
      <c r="AC66" s="1264"/>
      <c r="AD66" s="1265"/>
      <c r="AE66" s="1258"/>
      <c r="AF66" s="1259"/>
      <c r="AG66" s="1264"/>
      <c r="AH66" s="1264"/>
      <c r="AI66" s="1265"/>
      <c r="AJ66" s="1258"/>
      <c r="AK66" s="1259"/>
      <c r="AL66" s="1264"/>
      <c r="AM66" s="1264"/>
      <c r="AN66" s="1265"/>
      <c r="AO66" s="1258"/>
      <c r="AP66" s="1259"/>
      <c r="AQ66" s="1264"/>
      <c r="AR66" s="1264"/>
      <c r="AS66" s="1265"/>
      <c r="AT66" s="1258"/>
      <c r="AU66" s="1259"/>
      <c r="AV66" s="1264"/>
      <c r="AW66" s="1264"/>
      <c r="AX66" s="1265"/>
      <c r="AY66" s="1258"/>
      <c r="AZ66" s="1259"/>
      <c r="BA66" s="1264"/>
      <c r="BB66" s="1264"/>
      <c r="BC66" s="1265"/>
      <c r="BD66" s="1258"/>
      <c r="BE66" s="1259"/>
      <c r="BF66" s="1264"/>
      <c r="BG66" s="1264"/>
      <c r="BH66" s="1265"/>
      <c r="BI66" s="1258"/>
      <c r="BJ66" s="1259"/>
      <c r="BK66" s="1264"/>
      <c r="BL66" s="1264"/>
      <c r="BM66" s="1265"/>
      <c r="BN66" s="1258"/>
      <c r="BO66" s="1259"/>
      <c r="BP66" s="1264"/>
      <c r="BQ66" s="1264"/>
      <c r="BR66" s="1265"/>
      <c r="CY66" s="674"/>
      <c r="CZ66" s="674"/>
      <c r="DA66" s="674"/>
      <c r="DB66" s="675"/>
      <c r="DC66" s="675"/>
      <c r="DD66" s="44"/>
      <c r="DE66" s="702"/>
      <c r="DF66" s="702"/>
      <c r="DG66" s="702"/>
      <c r="DI66" s="45"/>
      <c r="DJ66" s="45"/>
      <c r="DK66" s="45"/>
      <c r="DL66" s="45"/>
      <c r="DM66" s="45"/>
      <c r="DN66" s="45"/>
      <c r="DO66" s="45"/>
      <c r="DP66" s="45"/>
      <c r="DQ66" s="45"/>
      <c r="DR66" s="45"/>
      <c r="DS66" s="45"/>
      <c r="DT66" s="45"/>
      <c r="DU66" s="45"/>
      <c r="DV66" s="697"/>
      <c r="DW66" s="697"/>
      <c r="DX66" s="697"/>
      <c r="DY66" s="697"/>
      <c r="DZ66" s="697"/>
      <c r="EA66" s="697"/>
      <c r="EB66" s="697"/>
      <c r="EC66" s="697"/>
      <c r="ED66" s="697"/>
      <c r="EE66" s="697"/>
      <c r="EF66" s="697"/>
      <c r="EG66" s="697"/>
      <c r="EH66" s="697"/>
      <c r="EI66" s="697"/>
      <c r="EJ66" s="697"/>
      <c r="EK66" s="697"/>
      <c r="EL66" s="697"/>
      <c r="EM66" s="697"/>
      <c r="EN66" s="697"/>
      <c r="EO66" s="697"/>
      <c r="EP66" s="697"/>
      <c r="EQ66" s="697"/>
      <c r="ER66" s="46"/>
      <c r="ES66" s="698"/>
      <c r="ET66" s="698"/>
      <c r="EU66" s="698"/>
      <c r="EV66" s="698"/>
      <c r="EW66" s="698"/>
      <c r="EX66" s="698"/>
      <c r="EY66" s="698"/>
      <c r="EZ66" s="698"/>
      <c r="FA66" s="698"/>
      <c r="FB66" s="698"/>
      <c r="FC66" s="698"/>
      <c r="FD66" s="698"/>
      <c r="FE66" s="699"/>
      <c r="FF66" s="699"/>
      <c r="FG66" s="699"/>
      <c r="FH66" s="699"/>
      <c r="FI66" s="699"/>
      <c r="FJ66" s="700"/>
      <c r="FK66" s="700"/>
      <c r="FL66" s="700"/>
      <c r="FM66" s="700"/>
      <c r="FN66" s="701"/>
      <c r="FO66" s="701"/>
      <c r="FP66" s="701"/>
    </row>
    <row r="67" spans="1:172" ht="111.75" customHeight="1" x14ac:dyDescent="0.25">
      <c r="A67" s="639" t="s">
        <v>131</v>
      </c>
      <c r="B67" s="588">
        <v>279</v>
      </c>
      <c r="C67" s="589"/>
      <c r="D67" s="589"/>
      <c r="E67" s="590"/>
      <c r="F67" s="639" t="s">
        <v>131</v>
      </c>
      <c r="G67" s="588">
        <v>280</v>
      </c>
      <c r="H67" s="589"/>
      <c r="I67" s="589"/>
      <c r="J67" s="590"/>
      <c r="K67" s="639" t="s">
        <v>131</v>
      </c>
      <c r="L67" s="588">
        <v>281</v>
      </c>
      <c r="M67" s="589"/>
      <c r="N67" s="589"/>
      <c r="O67" s="590"/>
      <c r="P67" s="639" t="s">
        <v>131</v>
      </c>
      <c r="Q67" s="588">
        <v>282</v>
      </c>
      <c r="R67" s="589"/>
      <c r="S67" s="589"/>
      <c r="T67" s="590"/>
      <c r="U67" s="639" t="s">
        <v>131</v>
      </c>
      <c r="V67" s="588">
        <v>283</v>
      </c>
      <c r="W67" s="589"/>
      <c r="X67" s="589"/>
      <c r="Y67" s="590"/>
      <c r="Z67" s="639" t="s">
        <v>131</v>
      </c>
      <c r="AA67" s="588">
        <v>284</v>
      </c>
      <c r="AB67" s="589"/>
      <c r="AC67" s="589"/>
      <c r="AD67" s="590"/>
      <c r="AE67" s="639" t="s">
        <v>131</v>
      </c>
      <c r="AF67" s="588">
        <v>285</v>
      </c>
      <c r="AG67" s="589"/>
      <c r="AH67" s="589"/>
      <c r="AI67" s="590"/>
      <c r="AJ67" s="639" t="s">
        <v>131</v>
      </c>
      <c r="AK67" s="588">
        <v>286</v>
      </c>
      <c r="AL67" s="589"/>
      <c r="AM67" s="589"/>
      <c r="AN67" s="590"/>
      <c r="AO67" s="639" t="s">
        <v>131</v>
      </c>
      <c r="AP67" s="588">
        <v>287</v>
      </c>
      <c r="AQ67" s="589"/>
      <c r="AR67" s="589"/>
      <c r="AS67" s="590"/>
      <c r="AT67" s="639" t="s">
        <v>131</v>
      </c>
      <c r="AU67" s="588">
        <v>288</v>
      </c>
      <c r="AV67" s="589"/>
      <c r="AW67" s="589"/>
      <c r="AX67" s="590"/>
      <c r="AY67" s="639" t="s">
        <v>131</v>
      </c>
      <c r="AZ67" s="588">
        <v>289</v>
      </c>
      <c r="BA67" s="589"/>
      <c r="BB67" s="589"/>
      <c r="BC67" s="590"/>
      <c r="BD67" s="639" t="s">
        <v>131</v>
      </c>
      <c r="BE67" s="588">
        <v>290</v>
      </c>
      <c r="BF67" s="589"/>
      <c r="BG67" s="589"/>
      <c r="BH67" s="590"/>
      <c r="BI67" s="639" t="s">
        <v>131</v>
      </c>
      <c r="BJ67" s="588">
        <v>291</v>
      </c>
      <c r="BK67" s="589"/>
      <c r="BL67" s="589"/>
      <c r="BM67" s="590"/>
      <c r="BN67" s="639" t="s">
        <v>131</v>
      </c>
      <c r="BO67" s="588">
        <v>292</v>
      </c>
      <c r="BP67" s="589"/>
      <c r="BQ67" s="589"/>
      <c r="BR67" s="590"/>
      <c r="BS67" s="50"/>
      <c r="BT67" s="50"/>
      <c r="BW67" s="51"/>
      <c r="BX67" s="51"/>
      <c r="BY67" s="51"/>
      <c r="BZ67" s="51"/>
      <c r="CA67" s="51"/>
      <c r="CB67" s="51"/>
      <c r="CC67" s="27"/>
      <c r="CD67" s="27"/>
      <c r="CE67" s="27"/>
      <c r="CG67" s="27"/>
      <c r="CH67" s="27"/>
      <c r="CI67" s="27"/>
      <c r="CJ67" s="27"/>
      <c r="CK67" s="27"/>
      <c r="CL67" s="27"/>
      <c r="CY67" s="676"/>
      <c r="CZ67" s="676"/>
      <c r="DA67" s="676"/>
      <c r="DB67" s="29"/>
      <c r="DC67" s="29"/>
      <c r="DD67" s="47"/>
      <c r="DE67" s="702"/>
      <c r="DF67" s="702"/>
      <c r="DG67" s="702"/>
      <c r="DH67" s="48"/>
      <c r="DI67" s="45"/>
      <c r="DJ67" s="45"/>
      <c r="DK67" s="45"/>
      <c r="DL67" s="45"/>
      <c r="DM67" s="45"/>
      <c r="DN67" s="45"/>
      <c r="DO67" s="45"/>
      <c r="DP67" s="45"/>
      <c r="DQ67" s="45"/>
      <c r="DR67" s="45"/>
      <c r="DS67" s="45"/>
      <c r="DT67" s="45"/>
      <c r="DU67" s="45"/>
      <c r="DV67" s="697"/>
      <c r="DW67" s="697"/>
      <c r="DX67" s="697"/>
      <c r="DY67" s="697"/>
      <c r="DZ67" s="697"/>
      <c r="EA67" s="697"/>
      <c r="EB67" s="697"/>
      <c r="EC67" s="697"/>
      <c r="ED67" s="697"/>
      <c r="EE67" s="697"/>
      <c r="EF67" s="697"/>
      <c r="EG67" s="697"/>
      <c r="EH67" s="697"/>
      <c r="EI67" s="697"/>
      <c r="EJ67" s="697"/>
      <c r="EK67" s="697"/>
      <c r="EL67" s="697"/>
      <c r="EM67" s="697"/>
      <c r="EN67" s="697"/>
      <c r="EO67" s="697"/>
      <c r="EP67" s="697"/>
      <c r="EQ67" s="697"/>
      <c r="ER67" s="46"/>
      <c r="ES67" s="698"/>
      <c r="ET67" s="698"/>
      <c r="EU67" s="698"/>
      <c r="EV67" s="698"/>
      <c r="EW67" s="698"/>
      <c r="EX67" s="698"/>
      <c r="EY67" s="698"/>
      <c r="EZ67" s="698"/>
      <c r="FA67" s="698"/>
      <c r="FB67" s="698"/>
      <c r="FC67" s="698"/>
      <c r="FD67" s="698"/>
      <c r="FE67" s="699"/>
      <c r="FF67" s="699"/>
      <c r="FG67" s="699"/>
      <c r="FH67" s="699"/>
      <c r="FI67" s="699"/>
      <c r="FJ67" s="700"/>
      <c r="FK67" s="700"/>
      <c r="FL67" s="700"/>
      <c r="FM67" s="700"/>
      <c r="FN67" s="701"/>
      <c r="FO67" s="701"/>
      <c r="FP67" s="701"/>
    </row>
    <row r="68" spans="1:172" ht="50.25" customHeight="1" thickBot="1" x14ac:dyDescent="0.3">
      <c r="A68" s="640"/>
      <c r="B68" s="61">
        <v>2.286</v>
      </c>
      <c r="C68" s="62" t="s">
        <v>113</v>
      </c>
      <c r="D68" s="63">
        <v>1</v>
      </c>
      <c r="E68" s="64" t="s">
        <v>114</v>
      </c>
      <c r="F68" s="640"/>
      <c r="G68" s="61">
        <v>1.143</v>
      </c>
      <c r="H68" s="62" t="s">
        <v>113</v>
      </c>
      <c r="I68" s="63"/>
      <c r="J68" s="64" t="s">
        <v>114</v>
      </c>
      <c r="K68" s="640"/>
      <c r="L68" s="61">
        <v>3.5306000000000002</v>
      </c>
      <c r="M68" s="62" t="s">
        <v>113</v>
      </c>
      <c r="N68" s="63">
        <v>1</v>
      </c>
      <c r="O68" s="64" t="s">
        <v>114</v>
      </c>
      <c r="P68" s="640"/>
      <c r="Q68" s="61">
        <v>2.6669999999999998</v>
      </c>
      <c r="R68" s="62" t="s">
        <v>113</v>
      </c>
      <c r="S68" s="63">
        <v>1</v>
      </c>
      <c r="T68" s="64" t="s">
        <v>114</v>
      </c>
      <c r="U68" s="640"/>
      <c r="V68" s="61">
        <v>1.2190000000000001</v>
      </c>
      <c r="W68" s="62" t="s">
        <v>113</v>
      </c>
      <c r="X68" s="63"/>
      <c r="Y68" s="64" t="s">
        <v>114</v>
      </c>
      <c r="Z68" s="640"/>
      <c r="AA68" s="61">
        <v>1.6759999999999999</v>
      </c>
      <c r="AB68" s="62" t="s">
        <v>113</v>
      </c>
      <c r="AC68" s="63">
        <v>1</v>
      </c>
      <c r="AD68" s="64" t="s">
        <v>114</v>
      </c>
      <c r="AE68" s="640"/>
      <c r="AF68" s="61">
        <v>1.6255999999999999</v>
      </c>
      <c r="AG68" s="62" t="s">
        <v>113</v>
      </c>
      <c r="AH68" s="63">
        <v>1</v>
      </c>
      <c r="AI68" s="64" t="s">
        <v>114</v>
      </c>
      <c r="AJ68" s="640"/>
      <c r="AK68" s="61">
        <v>1.4730000000000001</v>
      </c>
      <c r="AL68" s="62" t="s">
        <v>113</v>
      </c>
      <c r="AM68" s="63"/>
      <c r="AN68" s="64" t="s">
        <v>114</v>
      </c>
      <c r="AO68" s="640"/>
      <c r="AP68" s="61">
        <v>3.2759999999999998</v>
      </c>
      <c r="AQ68" s="62" t="s">
        <v>113</v>
      </c>
      <c r="AR68" s="63">
        <v>1</v>
      </c>
      <c r="AS68" s="64" t="s">
        <v>114</v>
      </c>
      <c r="AT68" s="640"/>
      <c r="AU68" s="61">
        <v>2.2090000000000001</v>
      </c>
      <c r="AV68" s="62" t="s">
        <v>113</v>
      </c>
      <c r="AW68" s="63">
        <v>1</v>
      </c>
      <c r="AX68" s="64" t="s">
        <v>114</v>
      </c>
      <c r="AY68" s="640"/>
      <c r="AZ68" s="61">
        <v>2.4889999999999999</v>
      </c>
      <c r="BA68" s="62" t="s">
        <v>113</v>
      </c>
      <c r="BB68" s="63"/>
      <c r="BC68" s="64" t="s">
        <v>114</v>
      </c>
      <c r="BD68" s="640"/>
      <c r="BE68" s="61">
        <v>1.9812000000000001</v>
      </c>
      <c r="BF68" s="62" t="s">
        <v>113</v>
      </c>
      <c r="BG68" s="63">
        <v>1</v>
      </c>
      <c r="BH68" s="64" t="s">
        <v>114</v>
      </c>
      <c r="BI68" s="640"/>
      <c r="BJ68" s="61">
        <v>0.68500000000000005</v>
      </c>
      <c r="BK68" s="62" t="s">
        <v>113</v>
      </c>
      <c r="BL68" s="63">
        <v>1</v>
      </c>
      <c r="BM68" s="64" t="s">
        <v>114</v>
      </c>
      <c r="BN68" s="640"/>
      <c r="BO68" s="61">
        <v>3.1496</v>
      </c>
      <c r="BP68" s="62" t="s">
        <v>113</v>
      </c>
      <c r="BQ68" s="63"/>
      <c r="BR68" s="64" t="s">
        <v>114</v>
      </c>
      <c r="BS68" s="50"/>
      <c r="BT68" s="50"/>
      <c r="BW68" s="27"/>
      <c r="BX68" s="27"/>
      <c r="BY68" s="27"/>
      <c r="BZ68" s="27"/>
      <c r="CA68" s="27"/>
      <c r="CB68" s="27"/>
      <c r="CC68" s="27"/>
      <c r="CD68" s="27"/>
      <c r="CE68" s="27"/>
      <c r="CG68" s="27"/>
      <c r="CH68" s="27"/>
      <c r="CI68" s="27"/>
      <c r="CJ68" s="27"/>
      <c r="CK68" s="27"/>
      <c r="CL68" s="27"/>
      <c r="CY68" s="676"/>
      <c r="CZ68" s="676"/>
      <c r="DA68" s="676"/>
      <c r="DB68" s="29"/>
      <c r="DC68" s="29"/>
      <c r="DD68" s="47"/>
      <c r="DE68" s="702"/>
      <c r="DF68" s="702"/>
      <c r="DG68" s="702"/>
      <c r="DH68" s="48"/>
      <c r="DI68" s="45"/>
      <c r="DJ68" s="45"/>
      <c r="DK68" s="45"/>
      <c r="DL68" s="45"/>
      <c r="DM68" s="45"/>
      <c r="DN68" s="45"/>
      <c r="DO68" s="45"/>
      <c r="DP68" s="45"/>
      <c r="DQ68" s="45"/>
      <c r="DR68" s="45"/>
      <c r="DS68" s="45"/>
      <c r="DT68" s="45"/>
      <c r="DU68" s="45"/>
      <c r="DV68" s="697"/>
      <c r="DW68" s="697"/>
      <c r="DX68" s="697"/>
      <c r="DY68" s="697"/>
      <c r="DZ68" s="697"/>
      <c r="EA68" s="697"/>
      <c r="EB68" s="697"/>
      <c r="EC68" s="697"/>
      <c r="ED68" s="697"/>
      <c r="EE68" s="697"/>
      <c r="EF68" s="697"/>
      <c r="EG68" s="697"/>
      <c r="EH68" s="697"/>
      <c r="EI68" s="697"/>
      <c r="EJ68" s="697"/>
      <c r="EK68" s="697"/>
      <c r="EL68" s="697"/>
      <c r="EM68" s="697"/>
      <c r="EN68" s="697"/>
      <c r="EO68" s="697"/>
      <c r="EP68" s="697"/>
      <c r="EQ68" s="697"/>
      <c r="ER68" s="46"/>
      <c r="ES68" s="698"/>
      <c r="ET68" s="698"/>
      <c r="EU68" s="698"/>
      <c r="EV68" s="698"/>
      <c r="EW68" s="698"/>
      <c r="EX68" s="698"/>
      <c r="EY68" s="698"/>
      <c r="EZ68" s="698"/>
      <c r="FA68" s="698"/>
      <c r="FB68" s="698"/>
      <c r="FC68" s="698"/>
      <c r="FD68" s="698"/>
      <c r="FE68" s="699"/>
      <c r="FF68" s="699"/>
      <c r="FG68" s="699"/>
      <c r="FH68" s="699"/>
      <c r="FI68" s="699"/>
      <c r="FJ68" s="700"/>
      <c r="FK68" s="700"/>
      <c r="FL68" s="700"/>
      <c r="FM68" s="700"/>
      <c r="FN68" s="701"/>
      <c r="FO68" s="701"/>
      <c r="FP68" s="701"/>
    </row>
    <row r="69" spans="1:172" ht="15" customHeight="1" thickTop="1" x14ac:dyDescent="0.25">
      <c r="A69" s="1282" t="s">
        <v>132</v>
      </c>
      <c r="B69" s="1283"/>
      <c r="C69" s="1288">
        <f>B74/((72*3.1415/59)*(45/3.281))</f>
        <v>3.8151102819090503E-2</v>
      </c>
      <c r="D69" s="1288"/>
      <c r="E69" s="1289"/>
      <c r="F69" s="1282" t="s">
        <v>132</v>
      </c>
      <c r="G69" s="1283"/>
      <c r="H69" s="1288">
        <f t="shared" ref="H69" si="124">G74/((72*3.1415/59)*(45/3.281))</f>
        <v>3.7675640421046014E-2</v>
      </c>
      <c r="I69" s="1288"/>
      <c r="J69" s="1289"/>
      <c r="K69" s="1282" t="s">
        <v>132</v>
      </c>
      <c r="L69" s="1283"/>
      <c r="M69" s="1288">
        <f t="shared" ref="M69" si="125">L74/((72*3.1415/59)*(45/3.281))</f>
        <v>1.9018495921779916E-7</v>
      </c>
      <c r="N69" s="1288"/>
      <c r="O69" s="1289"/>
      <c r="P69" s="1282" t="s">
        <v>132</v>
      </c>
      <c r="Q69" s="1283"/>
      <c r="R69" s="1288">
        <f t="shared" ref="R69" si="126">Q74/((72*3.1415/59)*(45/3.281))</f>
        <v>1.9018495921779915E-6</v>
      </c>
      <c r="S69" s="1288"/>
      <c r="T69" s="1289"/>
      <c r="U69" s="1282" t="s">
        <v>132</v>
      </c>
      <c r="V69" s="1283"/>
      <c r="W69" s="1288">
        <f>V74/((72*3.1415/59)*(45/3.281))</f>
        <v>5.6522969879529907E-2</v>
      </c>
      <c r="X69" s="1288"/>
      <c r="Y69" s="1289"/>
      <c r="Z69" s="1282" t="s">
        <v>132</v>
      </c>
      <c r="AA69" s="1283"/>
      <c r="AB69" s="1288">
        <f t="shared" ref="AB69" si="127">AA74/((72*3.1415/59)*(45/3.281))</f>
        <v>3.0905055872892363E-2</v>
      </c>
      <c r="AC69" s="1288"/>
      <c r="AD69" s="1289"/>
      <c r="AE69" s="1282" t="s">
        <v>132</v>
      </c>
      <c r="AF69" s="1283"/>
      <c r="AG69" s="1288">
        <f t="shared" ref="AG69" si="128">AF74/((72*3.1415/59)*(45/3.281))</f>
        <v>8.196971742287144E-3</v>
      </c>
      <c r="AH69" s="1288"/>
      <c r="AI69" s="1289"/>
      <c r="AJ69" s="1282" t="s">
        <v>132</v>
      </c>
      <c r="AK69" s="1283"/>
      <c r="AL69" s="1288">
        <f t="shared" ref="AL69" si="129">AK74/((72*3.1415/59)*(45/3.281))</f>
        <v>4.2011857491211835E-2</v>
      </c>
      <c r="AM69" s="1288"/>
      <c r="AN69" s="1289"/>
      <c r="AO69" s="1282" t="s">
        <v>132</v>
      </c>
      <c r="AP69" s="1283"/>
      <c r="AQ69" s="1288">
        <f t="shared" ref="AQ69" si="130">AP74/((72*3.1415/59)*(45/3.281))</f>
        <v>6.858069629393837E-2</v>
      </c>
      <c r="AR69" s="1288"/>
      <c r="AS69" s="1289"/>
      <c r="AT69" s="1282" t="s">
        <v>132</v>
      </c>
      <c r="AU69" s="1283"/>
      <c r="AV69" s="1288">
        <f t="shared" ref="AV69" si="131">AU74/((72*3.1415/59)*(45/3.281))</f>
        <v>2.9935112580881589E-2</v>
      </c>
      <c r="AW69" s="1288"/>
      <c r="AX69" s="1289"/>
      <c r="AY69" s="1282" t="s">
        <v>132</v>
      </c>
      <c r="AZ69" s="1283"/>
      <c r="BA69" s="1288">
        <f t="shared" ref="BA69" si="132">AZ74/((72*3.1415/59)*(45/3.281))</f>
        <v>1.9018495921779916E-7</v>
      </c>
      <c r="BB69" s="1288"/>
      <c r="BC69" s="1289"/>
      <c r="BD69" s="1282" t="s">
        <v>132</v>
      </c>
      <c r="BE69" s="1283"/>
      <c r="BF69" s="1288">
        <f t="shared" ref="BF69" si="133">BE74/((72*3.1415/59)*(45/3.281))</f>
        <v>7.246046946198148E-2</v>
      </c>
      <c r="BG69" s="1288"/>
      <c r="BH69" s="1289"/>
      <c r="BI69" s="1282" t="s">
        <v>132</v>
      </c>
      <c r="BJ69" s="1283"/>
      <c r="BK69" s="1288">
        <f t="shared" ref="BK69" si="134">BJ74/((72*3.1415/59)*(45/3.281))</f>
        <v>9.2182649732867258E-2</v>
      </c>
      <c r="BL69" s="1288"/>
      <c r="BM69" s="1289"/>
      <c r="BN69" s="1282" t="s">
        <v>132</v>
      </c>
      <c r="BO69" s="1283"/>
      <c r="BP69" s="1288">
        <f t="shared" ref="BP69" si="135">BO74/((72*3.1415/59)*(45/3.281))</f>
        <v>1.9018495921779916E-5</v>
      </c>
      <c r="BQ69" s="1288"/>
      <c r="BR69" s="1289"/>
      <c r="BS69" s="50"/>
      <c r="BT69" s="50"/>
      <c r="BW69" s="27"/>
      <c r="BX69" s="27"/>
      <c r="BY69" s="27"/>
      <c r="BZ69" s="27"/>
      <c r="CA69" s="27"/>
      <c r="CB69" s="27"/>
      <c r="CC69" s="27"/>
      <c r="CD69" s="27"/>
      <c r="CE69" s="27"/>
      <c r="CG69" s="27"/>
      <c r="CH69" s="27"/>
      <c r="CI69" s="27"/>
      <c r="CJ69" s="27"/>
      <c r="CK69" s="27"/>
      <c r="CL69" s="27"/>
      <c r="CY69" s="676"/>
      <c r="CZ69" s="676"/>
      <c r="DA69" s="676"/>
      <c r="DB69" s="675"/>
      <c r="DC69" s="675"/>
      <c r="DD69" s="47"/>
      <c r="DE69" s="703"/>
      <c r="DF69" s="703"/>
      <c r="DG69" s="703"/>
      <c r="DH69" s="48"/>
      <c r="DI69" s="45"/>
      <c r="DJ69" s="45"/>
      <c r="DK69" s="45"/>
      <c r="DL69" s="45"/>
      <c r="DM69" s="45"/>
      <c r="DN69" s="45"/>
      <c r="DO69" s="45"/>
      <c r="DP69" s="45"/>
      <c r="DQ69" s="45"/>
      <c r="DR69" s="45"/>
      <c r="DS69" s="45"/>
      <c r="DT69" s="45"/>
      <c r="DU69" s="45"/>
      <c r="DV69" s="697"/>
      <c r="DW69" s="697"/>
      <c r="DX69" s="697"/>
      <c r="DY69" s="697"/>
      <c r="DZ69" s="697"/>
      <c r="EA69" s="697"/>
      <c r="EB69" s="697"/>
      <c r="EC69" s="697"/>
      <c r="ED69" s="697"/>
      <c r="EE69" s="697"/>
      <c r="EF69" s="697"/>
      <c r="EG69" s="697"/>
      <c r="EH69" s="697"/>
      <c r="EI69" s="697"/>
      <c r="EJ69" s="697"/>
      <c r="EK69" s="697"/>
      <c r="EL69" s="697"/>
      <c r="EM69" s="697"/>
      <c r="EN69" s="697"/>
      <c r="EO69" s="697"/>
      <c r="EP69" s="697"/>
      <c r="EQ69" s="697"/>
      <c r="ER69" s="46"/>
      <c r="ES69" s="698"/>
      <c r="ET69" s="698"/>
      <c r="EU69" s="698"/>
      <c r="EV69" s="698"/>
      <c r="EW69" s="698"/>
      <c r="EX69" s="698"/>
      <c r="EY69" s="698"/>
      <c r="EZ69" s="698"/>
      <c r="FA69" s="698"/>
      <c r="FB69" s="698"/>
      <c r="FC69" s="698"/>
      <c r="FD69" s="698"/>
      <c r="FE69" s="699"/>
      <c r="FF69" s="699"/>
      <c r="FG69" s="699"/>
      <c r="FH69" s="699"/>
      <c r="FI69" s="699"/>
      <c r="FJ69" s="700"/>
      <c r="FK69" s="700"/>
      <c r="FL69" s="700"/>
      <c r="FM69" s="700"/>
      <c r="FN69" s="701"/>
      <c r="FO69" s="701"/>
      <c r="FP69" s="701"/>
    </row>
    <row r="70" spans="1:172" ht="15" customHeight="1" x14ac:dyDescent="0.25">
      <c r="A70" s="1284"/>
      <c r="B70" s="1285"/>
      <c r="C70" s="1290"/>
      <c r="D70" s="1290"/>
      <c r="E70" s="1291"/>
      <c r="F70" s="1284"/>
      <c r="G70" s="1285"/>
      <c r="H70" s="1290"/>
      <c r="I70" s="1290"/>
      <c r="J70" s="1291"/>
      <c r="K70" s="1284"/>
      <c r="L70" s="1285"/>
      <c r="M70" s="1290"/>
      <c r="N70" s="1290"/>
      <c r="O70" s="1291"/>
      <c r="P70" s="1284"/>
      <c r="Q70" s="1285"/>
      <c r="R70" s="1290"/>
      <c r="S70" s="1290"/>
      <c r="T70" s="1291"/>
      <c r="U70" s="1284"/>
      <c r="V70" s="1285"/>
      <c r="W70" s="1290"/>
      <c r="X70" s="1290"/>
      <c r="Y70" s="1291"/>
      <c r="Z70" s="1284"/>
      <c r="AA70" s="1285"/>
      <c r="AB70" s="1290"/>
      <c r="AC70" s="1290"/>
      <c r="AD70" s="1291"/>
      <c r="AE70" s="1284"/>
      <c r="AF70" s="1285"/>
      <c r="AG70" s="1290"/>
      <c r="AH70" s="1290"/>
      <c r="AI70" s="1291"/>
      <c r="AJ70" s="1284"/>
      <c r="AK70" s="1285"/>
      <c r="AL70" s="1290"/>
      <c r="AM70" s="1290"/>
      <c r="AN70" s="1291"/>
      <c r="AO70" s="1284"/>
      <c r="AP70" s="1285"/>
      <c r="AQ70" s="1290"/>
      <c r="AR70" s="1290"/>
      <c r="AS70" s="1291"/>
      <c r="AT70" s="1284"/>
      <c r="AU70" s="1285"/>
      <c r="AV70" s="1290"/>
      <c r="AW70" s="1290"/>
      <c r="AX70" s="1291"/>
      <c r="AY70" s="1284"/>
      <c r="AZ70" s="1285"/>
      <c r="BA70" s="1290"/>
      <c r="BB70" s="1290"/>
      <c r="BC70" s="1291"/>
      <c r="BD70" s="1284"/>
      <c r="BE70" s="1285"/>
      <c r="BF70" s="1290"/>
      <c r="BG70" s="1290"/>
      <c r="BH70" s="1291"/>
      <c r="BI70" s="1284"/>
      <c r="BJ70" s="1285"/>
      <c r="BK70" s="1290"/>
      <c r="BL70" s="1290"/>
      <c r="BM70" s="1291"/>
      <c r="BN70" s="1284"/>
      <c r="BO70" s="1285"/>
      <c r="BP70" s="1290"/>
      <c r="BQ70" s="1290"/>
      <c r="BR70" s="1291"/>
      <c r="BS70" s="50"/>
      <c r="BT70" s="50"/>
      <c r="BW70" s="27"/>
      <c r="BX70" s="27"/>
      <c r="BY70" s="27"/>
      <c r="BZ70" s="27"/>
      <c r="CA70" s="27"/>
      <c r="CB70" s="27"/>
      <c r="CC70" s="27"/>
      <c r="CD70" s="27"/>
      <c r="CE70" s="27"/>
      <c r="CG70" s="27"/>
      <c r="CH70" s="27"/>
      <c r="CI70" s="27"/>
      <c r="CJ70" s="27"/>
      <c r="CK70" s="27"/>
      <c r="CL70" s="27"/>
      <c r="CZ70" s="17"/>
      <c r="DE70" s="703"/>
      <c r="DF70" s="703"/>
      <c r="DG70" s="703"/>
      <c r="DH70" s="48"/>
      <c r="DI70" s="49"/>
      <c r="DJ70" s="49"/>
      <c r="DK70" s="49"/>
      <c r="DL70" s="49"/>
      <c r="DM70" s="49"/>
      <c r="DN70" s="49"/>
      <c r="DO70" s="49"/>
      <c r="DP70" s="49"/>
      <c r="DQ70" s="49"/>
      <c r="DR70" s="49"/>
      <c r="DS70" s="49"/>
      <c r="DT70" s="49"/>
      <c r="DU70" s="49"/>
      <c r="DV70" s="704"/>
      <c r="DW70" s="705"/>
      <c r="DX70" s="705"/>
      <c r="DY70" s="705"/>
      <c r="DZ70" s="705"/>
      <c r="EA70" s="705"/>
      <c r="EB70" s="705"/>
      <c r="EC70" s="705"/>
      <c r="ED70" s="705"/>
      <c r="EE70" s="705"/>
      <c r="EF70" s="705"/>
      <c r="EG70" s="705"/>
      <c r="EH70" s="706"/>
      <c r="EI70" s="706"/>
      <c r="EJ70" s="706"/>
      <c r="EK70" s="706"/>
      <c r="EL70" s="706"/>
      <c r="EM70" s="706"/>
      <c r="EN70" s="706"/>
      <c r="EO70" s="706"/>
      <c r="EP70" s="706"/>
      <c r="EQ70" s="706"/>
      <c r="ER70" s="706"/>
      <c r="ES70" s="707"/>
      <c r="ET70" s="707"/>
      <c r="EU70" s="707"/>
      <c r="EV70" s="707"/>
      <c r="EW70" s="707"/>
      <c r="EX70" s="707"/>
      <c r="EY70" s="707"/>
      <c r="EZ70" s="707"/>
      <c r="FA70" s="707"/>
      <c r="FB70" s="707"/>
      <c r="FC70" s="707"/>
      <c r="FD70" s="707"/>
      <c r="FE70" s="699"/>
      <c r="FF70" s="699"/>
      <c r="FG70" s="699"/>
      <c r="FH70" s="699"/>
      <c r="FI70" s="699"/>
      <c r="FJ70" s="708"/>
      <c r="FK70" s="708"/>
      <c r="FL70" s="708"/>
      <c r="FM70" s="708"/>
      <c r="FN70" s="708"/>
      <c r="FO70" s="708"/>
      <c r="FP70" s="708"/>
    </row>
    <row r="71" spans="1:172" ht="15" customHeight="1" x14ac:dyDescent="0.25">
      <c r="A71" s="1284"/>
      <c r="B71" s="1285"/>
      <c r="C71" s="1290"/>
      <c r="D71" s="1290"/>
      <c r="E71" s="1291"/>
      <c r="F71" s="1284"/>
      <c r="G71" s="1285"/>
      <c r="H71" s="1290"/>
      <c r="I71" s="1290"/>
      <c r="J71" s="1291"/>
      <c r="K71" s="1284"/>
      <c r="L71" s="1285"/>
      <c r="M71" s="1290"/>
      <c r="N71" s="1290"/>
      <c r="O71" s="1291"/>
      <c r="P71" s="1284"/>
      <c r="Q71" s="1285"/>
      <c r="R71" s="1290"/>
      <c r="S71" s="1290"/>
      <c r="T71" s="1291"/>
      <c r="U71" s="1284"/>
      <c r="V71" s="1285"/>
      <c r="W71" s="1290"/>
      <c r="X71" s="1290"/>
      <c r="Y71" s="1291"/>
      <c r="Z71" s="1284"/>
      <c r="AA71" s="1285"/>
      <c r="AB71" s="1290"/>
      <c r="AC71" s="1290"/>
      <c r="AD71" s="1291"/>
      <c r="AE71" s="1284"/>
      <c r="AF71" s="1285"/>
      <c r="AG71" s="1290"/>
      <c r="AH71" s="1290"/>
      <c r="AI71" s="1291"/>
      <c r="AJ71" s="1284"/>
      <c r="AK71" s="1285"/>
      <c r="AL71" s="1290"/>
      <c r="AM71" s="1290"/>
      <c r="AN71" s="1291"/>
      <c r="AO71" s="1284"/>
      <c r="AP71" s="1285"/>
      <c r="AQ71" s="1290"/>
      <c r="AR71" s="1290"/>
      <c r="AS71" s="1291"/>
      <c r="AT71" s="1284"/>
      <c r="AU71" s="1285"/>
      <c r="AV71" s="1290"/>
      <c r="AW71" s="1290"/>
      <c r="AX71" s="1291"/>
      <c r="AY71" s="1284"/>
      <c r="AZ71" s="1285"/>
      <c r="BA71" s="1290"/>
      <c r="BB71" s="1290"/>
      <c r="BC71" s="1291"/>
      <c r="BD71" s="1284"/>
      <c r="BE71" s="1285"/>
      <c r="BF71" s="1290"/>
      <c r="BG71" s="1290"/>
      <c r="BH71" s="1291"/>
      <c r="BI71" s="1284"/>
      <c r="BJ71" s="1285"/>
      <c r="BK71" s="1290"/>
      <c r="BL71" s="1290"/>
      <c r="BM71" s="1291"/>
      <c r="BN71" s="1284"/>
      <c r="BO71" s="1285"/>
      <c r="BP71" s="1290"/>
      <c r="BQ71" s="1290"/>
      <c r="BR71" s="1291"/>
      <c r="BS71" s="53"/>
      <c r="BT71" s="53"/>
      <c r="DE71" s="703"/>
      <c r="DF71" s="703"/>
      <c r="DG71" s="703"/>
      <c r="DH71" s="52"/>
      <c r="DI71" s="45"/>
      <c r="DJ71" s="45"/>
      <c r="DK71" s="45"/>
      <c r="DL71" s="45"/>
      <c r="DM71" s="45"/>
      <c r="DN71" s="45"/>
      <c r="DO71" s="45"/>
      <c r="DP71" s="45"/>
      <c r="DQ71" s="45"/>
      <c r="DR71" s="45"/>
      <c r="DS71" s="45"/>
      <c r="DT71" s="45"/>
      <c r="DU71" s="45"/>
      <c r="DV71" s="705"/>
      <c r="DW71" s="705"/>
      <c r="DX71" s="705"/>
      <c r="DY71" s="705"/>
      <c r="DZ71" s="705"/>
      <c r="EA71" s="705"/>
      <c r="EB71" s="705"/>
      <c r="EC71" s="705"/>
      <c r="ED71" s="705"/>
      <c r="EE71" s="705"/>
      <c r="EF71" s="705"/>
      <c r="EG71" s="705"/>
      <c r="EH71" s="706"/>
      <c r="EI71" s="706"/>
      <c r="EJ71" s="706"/>
      <c r="EK71" s="706"/>
      <c r="EL71" s="706"/>
      <c r="EM71" s="706"/>
      <c r="EN71" s="706"/>
      <c r="EO71" s="706"/>
      <c r="EP71" s="706"/>
      <c r="EQ71" s="706"/>
      <c r="ER71" s="706"/>
      <c r="ES71" s="707"/>
      <c r="ET71" s="707"/>
      <c r="EU71" s="707"/>
      <c r="EV71" s="707"/>
      <c r="EW71" s="707"/>
      <c r="EX71" s="707"/>
      <c r="EY71" s="707"/>
      <c r="EZ71" s="707"/>
      <c r="FA71" s="707"/>
      <c r="FB71" s="707"/>
      <c r="FC71" s="707"/>
      <c r="FD71" s="707"/>
      <c r="FE71" s="699"/>
      <c r="FF71" s="699"/>
      <c r="FG71" s="699"/>
      <c r="FH71" s="699"/>
      <c r="FI71" s="699"/>
      <c r="FJ71" s="708"/>
      <c r="FK71" s="708"/>
      <c r="FL71" s="708"/>
      <c r="FM71" s="708"/>
      <c r="FN71" s="708"/>
      <c r="FO71" s="708"/>
      <c r="FP71" s="708"/>
    </row>
    <row r="72" spans="1:172" ht="3.75" customHeight="1" x14ac:dyDescent="0.25">
      <c r="A72" s="1286"/>
      <c r="B72" s="1287"/>
      <c r="C72" s="1292"/>
      <c r="D72" s="1292"/>
      <c r="E72" s="1293"/>
      <c r="F72" s="1286"/>
      <c r="G72" s="1287"/>
      <c r="H72" s="1292"/>
      <c r="I72" s="1292"/>
      <c r="J72" s="1293"/>
      <c r="K72" s="1286"/>
      <c r="L72" s="1287"/>
      <c r="M72" s="1292"/>
      <c r="N72" s="1292"/>
      <c r="O72" s="1293"/>
      <c r="P72" s="1286"/>
      <c r="Q72" s="1287"/>
      <c r="R72" s="1292"/>
      <c r="S72" s="1292"/>
      <c r="T72" s="1293"/>
      <c r="U72" s="1286"/>
      <c r="V72" s="1287"/>
      <c r="W72" s="1292"/>
      <c r="X72" s="1292"/>
      <c r="Y72" s="1293"/>
      <c r="Z72" s="1286"/>
      <c r="AA72" s="1287"/>
      <c r="AB72" s="1292"/>
      <c r="AC72" s="1292"/>
      <c r="AD72" s="1293"/>
      <c r="AE72" s="1286"/>
      <c r="AF72" s="1287"/>
      <c r="AG72" s="1292"/>
      <c r="AH72" s="1292"/>
      <c r="AI72" s="1293"/>
      <c r="AJ72" s="1286"/>
      <c r="AK72" s="1287"/>
      <c r="AL72" s="1292"/>
      <c r="AM72" s="1292"/>
      <c r="AN72" s="1293"/>
      <c r="AO72" s="1286"/>
      <c r="AP72" s="1287"/>
      <c r="AQ72" s="1292"/>
      <c r="AR72" s="1292"/>
      <c r="AS72" s="1293"/>
      <c r="AT72" s="1286"/>
      <c r="AU72" s="1287"/>
      <c r="AV72" s="1292"/>
      <c r="AW72" s="1292"/>
      <c r="AX72" s="1293"/>
      <c r="AY72" s="1286"/>
      <c r="AZ72" s="1287"/>
      <c r="BA72" s="1292"/>
      <c r="BB72" s="1292"/>
      <c r="BC72" s="1293"/>
      <c r="BD72" s="1286"/>
      <c r="BE72" s="1287"/>
      <c r="BF72" s="1292"/>
      <c r="BG72" s="1292"/>
      <c r="BH72" s="1293"/>
      <c r="BI72" s="1286"/>
      <c r="BJ72" s="1287"/>
      <c r="BK72" s="1292"/>
      <c r="BL72" s="1292"/>
      <c r="BM72" s="1293"/>
      <c r="BN72" s="1286"/>
      <c r="BO72" s="1287"/>
      <c r="BP72" s="1292"/>
      <c r="BQ72" s="1292"/>
      <c r="BR72" s="1293"/>
      <c r="BS72" s="53"/>
      <c r="BT72" s="53"/>
      <c r="DE72" s="709"/>
      <c r="DF72" s="709"/>
      <c r="DG72" s="709"/>
      <c r="DH72" s="52"/>
      <c r="DI72" s="45"/>
      <c r="DJ72" s="45"/>
      <c r="DK72" s="45"/>
      <c r="DL72" s="45"/>
      <c r="DM72" s="45"/>
      <c r="DN72" s="45"/>
      <c r="DO72" s="45"/>
      <c r="DP72" s="45"/>
      <c r="DQ72" s="45"/>
      <c r="DR72" s="45"/>
      <c r="DS72" s="45"/>
      <c r="DT72" s="45"/>
      <c r="DU72" s="45"/>
      <c r="DV72" s="705"/>
      <c r="DW72" s="705"/>
      <c r="DX72" s="705"/>
      <c r="DY72" s="705"/>
      <c r="DZ72" s="705"/>
      <c r="EA72" s="705"/>
      <c r="EB72" s="705"/>
      <c r="EC72" s="705"/>
      <c r="ED72" s="705"/>
      <c r="EE72" s="705"/>
      <c r="EF72" s="705"/>
      <c r="EG72" s="705"/>
      <c r="EH72" s="706"/>
      <c r="EI72" s="706"/>
      <c r="EJ72" s="706"/>
      <c r="EK72" s="706"/>
      <c r="EL72" s="706"/>
      <c r="EM72" s="706"/>
      <c r="EN72" s="706"/>
      <c r="EO72" s="706"/>
      <c r="EP72" s="706"/>
      <c r="EQ72" s="706"/>
      <c r="ER72" s="706"/>
      <c r="ES72" s="707"/>
      <c r="ET72" s="707"/>
      <c r="EU72" s="707"/>
      <c r="EV72" s="707"/>
      <c r="EW72" s="707"/>
      <c r="EX72" s="707"/>
      <c r="EY72" s="707"/>
      <c r="EZ72" s="707"/>
      <c r="FA72" s="707"/>
      <c r="FB72" s="707"/>
      <c r="FC72" s="707"/>
      <c r="FD72" s="707"/>
      <c r="FE72" s="699"/>
      <c r="FF72" s="699"/>
      <c r="FG72" s="699"/>
      <c r="FH72" s="699"/>
      <c r="FI72" s="699"/>
      <c r="FJ72" s="708"/>
      <c r="FK72" s="708"/>
      <c r="FL72" s="708"/>
      <c r="FM72" s="708"/>
      <c r="FN72" s="708"/>
      <c r="FO72" s="708"/>
      <c r="FP72" s="708"/>
    </row>
    <row r="73" spans="1:172" ht="111.75" customHeight="1" x14ac:dyDescent="0.25">
      <c r="A73" s="1294" t="s">
        <v>133</v>
      </c>
      <c r="B73" s="1266">
        <v>103</v>
      </c>
      <c r="C73" s="1267"/>
      <c r="D73" s="1267"/>
      <c r="E73" s="1268"/>
      <c r="F73" s="1294" t="s">
        <v>133</v>
      </c>
      <c r="G73" s="1266">
        <v>104</v>
      </c>
      <c r="H73" s="1267"/>
      <c r="I73" s="1267"/>
      <c r="J73" s="1268"/>
      <c r="K73" s="1294" t="s">
        <v>133</v>
      </c>
      <c r="L73" s="1266">
        <v>106</v>
      </c>
      <c r="M73" s="1267"/>
      <c r="N73" s="1267"/>
      <c r="O73" s="1268"/>
      <c r="P73" s="1294" t="s">
        <v>133</v>
      </c>
      <c r="Q73" s="1266">
        <v>108</v>
      </c>
      <c r="R73" s="1267"/>
      <c r="S73" s="1267"/>
      <c r="T73" s="1268"/>
      <c r="U73" s="1294" t="s">
        <v>133</v>
      </c>
      <c r="V73" s="1266">
        <v>110</v>
      </c>
      <c r="W73" s="1267"/>
      <c r="X73" s="1267"/>
      <c r="Y73" s="1268"/>
      <c r="Z73" s="1294" t="s">
        <v>133</v>
      </c>
      <c r="AA73" s="1266">
        <v>112</v>
      </c>
      <c r="AB73" s="1267"/>
      <c r="AC73" s="1267"/>
      <c r="AD73" s="1268"/>
      <c r="AE73" s="1294" t="s">
        <v>133</v>
      </c>
      <c r="AF73" s="1266">
        <v>114</v>
      </c>
      <c r="AG73" s="1267"/>
      <c r="AH73" s="1267"/>
      <c r="AI73" s="1268"/>
      <c r="AJ73" s="1294" t="s">
        <v>133</v>
      </c>
      <c r="AK73" s="1266">
        <v>116</v>
      </c>
      <c r="AL73" s="1267"/>
      <c r="AM73" s="1267"/>
      <c r="AN73" s="1268"/>
      <c r="AO73" s="1294" t="s">
        <v>133</v>
      </c>
      <c r="AP73" s="1266">
        <v>118</v>
      </c>
      <c r="AQ73" s="1267"/>
      <c r="AR73" s="1267"/>
      <c r="AS73" s="1268"/>
      <c r="AT73" s="1294" t="s">
        <v>133</v>
      </c>
      <c r="AU73" s="1266">
        <v>120</v>
      </c>
      <c r="AV73" s="1267"/>
      <c r="AW73" s="1267"/>
      <c r="AX73" s="1268"/>
      <c r="AY73" s="1294" t="s">
        <v>133</v>
      </c>
      <c r="AZ73" s="1266">
        <v>121</v>
      </c>
      <c r="BA73" s="1267"/>
      <c r="BB73" s="1267"/>
      <c r="BC73" s="1268"/>
      <c r="BD73" s="1294" t="s">
        <v>133</v>
      </c>
      <c r="BE73" s="588">
        <v>130</v>
      </c>
      <c r="BF73" s="589"/>
      <c r="BG73" s="589"/>
      <c r="BH73" s="590"/>
      <c r="BI73" s="1294" t="s">
        <v>133</v>
      </c>
      <c r="BJ73" s="588">
        <v>133</v>
      </c>
      <c r="BK73" s="589"/>
      <c r="BL73" s="589"/>
      <c r="BM73" s="590"/>
      <c r="BN73" s="1294" t="s">
        <v>133</v>
      </c>
      <c r="BO73" s="588">
        <v>141</v>
      </c>
      <c r="BP73" s="589"/>
      <c r="BQ73" s="589"/>
      <c r="BR73" s="590"/>
      <c r="DE73" s="709"/>
      <c r="DF73" s="709"/>
      <c r="DG73" s="709"/>
      <c r="DH73" s="52"/>
      <c r="DI73" s="45"/>
      <c r="DJ73" s="45"/>
      <c r="DK73" s="45"/>
      <c r="DL73" s="45"/>
      <c r="DM73" s="45"/>
      <c r="DN73" s="45"/>
      <c r="DO73" s="45"/>
      <c r="DP73" s="45"/>
      <c r="DQ73" s="45"/>
      <c r="DR73" s="45"/>
      <c r="DS73" s="45"/>
      <c r="DT73" s="45"/>
      <c r="DU73" s="45"/>
      <c r="DV73" s="705"/>
      <c r="DW73" s="705"/>
      <c r="DX73" s="705"/>
      <c r="DY73" s="705"/>
      <c r="DZ73" s="705"/>
      <c r="EA73" s="705"/>
      <c r="EB73" s="705"/>
      <c r="EC73" s="705"/>
      <c r="ED73" s="705"/>
      <c r="EE73" s="705"/>
      <c r="EF73" s="705"/>
      <c r="EG73" s="705"/>
      <c r="EH73" s="706"/>
      <c r="EI73" s="706"/>
      <c r="EJ73" s="706"/>
      <c r="EK73" s="706"/>
      <c r="EL73" s="706"/>
      <c r="EM73" s="706"/>
      <c r="EN73" s="706"/>
      <c r="EO73" s="706"/>
      <c r="EP73" s="706"/>
      <c r="EQ73" s="706"/>
      <c r="ER73" s="706"/>
      <c r="ES73" s="707"/>
      <c r="ET73" s="707"/>
      <c r="EU73" s="707"/>
      <c r="EV73" s="707"/>
      <c r="EW73" s="707"/>
      <c r="EX73" s="707"/>
      <c r="EY73" s="707"/>
      <c r="EZ73" s="707"/>
      <c r="FA73" s="707"/>
      <c r="FB73" s="707"/>
      <c r="FC73" s="707"/>
      <c r="FD73" s="707"/>
      <c r="FE73" s="699"/>
      <c r="FF73" s="699"/>
      <c r="FG73" s="699"/>
      <c r="FH73" s="699"/>
      <c r="FI73" s="699"/>
      <c r="FJ73" s="708"/>
      <c r="FK73" s="708"/>
      <c r="FL73" s="708"/>
      <c r="FM73" s="708"/>
      <c r="FN73" s="708"/>
      <c r="FO73" s="708"/>
      <c r="FP73" s="708"/>
    </row>
    <row r="74" spans="1:172" ht="50.25" customHeight="1" thickBot="1" x14ac:dyDescent="0.3">
      <c r="A74" s="1295"/>
      <c r="B74" s="61">
        <v>2.0059999999999998</v>
      </c>
      <c r="C74" s="62" t="s">
        <v>113</v>
      </c>
      <c r="D74" s="63"/>
      <c r="E74" s="64" t="s">
        <v>114</v>
      </c>
      <c r="F74" s="1295"/>
      <c r="G74" s="61">
        <v>1.9810000000000001</v>
      </c>
      <c r="H74" s="62" t="s">
        <v>113</v>
      </c>
      <c r="I74" s="63">
        <v>1</v>
      </c>
      <c r="J74" s="64" t="s">
        <v>114</v>
      </c>
      <c r="K74" s="1295"/>
      <c r="L74" s="61">
        <v>1.0000000000000001E-5</v>
      </c>
      <c r="M74" s="62" t="s">
        <v>113</v>
      </c>
      <c r="N74" s="63"/>
      <c r="O74" s="64" t="s">
        <v>114</v>
      </c>
      <c r="P74" s="1295"/>
      <c r="Q74" s="61">
        <v>1E-4</v>
      </c>
      <c r="R74" s="62" t="s">
        <v>113</v>
      </c>
      <c r="S74" s="63"/>
      <c r="T74" s="64" t="s">
        <v>114</v>
      </c>
      <c r="U74" s="1295"/>
      <c r="V74" s="61">
        <v>2.972</v>
      </c>
      <c r="W74" s="62" t="s">
        <v>113</v>
      </c>
      <c r="X74" s="63">
        <v>1</v>
      </c>
      <c r="Y74" s="64" t="s">
        <v>114</v>
      </c>
      <c r="Z74" s="1295"/>
      <c r="AA74" s="61">
        <v>1.625</v>
      </c>
      <c r="AB74" s="62" t="s">
        <v>113</v>
      </c>
      <c r="AC74" s="63">
        <v>1</v>
      </c>
      <c r="AD74" s="64" t="s">
        <v>114</v>
      </c>
      <c r="AE74" s="1295"/>
      <c r="AF74" s="61">
        <v>0.43099999999999999</v>
      </c>
      <c r="AG74" s="62" t="s">
        <v>113</v>
      </c>
      <c r="AH74" s="63"/>
      <c r="AI74" s="64" t="s">
        <v>114</v>
      </c>
      <c r="AJ74" s="1295"/>
      <c r="AK74" s="61">
        <v>2.2090000000000001</v>
      </c>
      <c r="AL74" s="62" t="s">
        <v>113</v>
      </c>
      <c r="AM74" s="63"/>
      <c r="AN74" s="64" t="s">
        <v>114</v>
      </c>
      <c r="AO74" s="1295"/>
      <c r="AP74" s="61">
        <v>3.6059999999999999</v>
      </c>
      <c r="AQ74" s="62" t="s">
        <v>113</v>
      </c>
      <c r="AR74" s="63">
        <v>1</v>
      </c>
      <c r="AS74" s="64" t="s">
        <v>114</v>
      </c>
      <c r="AT74" s="1295"/>
      <c r="AU74" s="61">
        <v>1.5740000000000001</v>
      </c>
      <c r="AV74" s="62" t="s">
        <v>113</v>
      </c>
      <c r="AW74" s="63">
        <v>1</v>
      </c>
      <c r="AX74" s="64" t="s">
        <v>114</v>
      </c>
      <c r="AY74" s="1295"/>
      <c r="AZ74" s="61">
        <v>1.0000000000000001E-5</v>
      </c>
      <c r="BA74" s="62" t="s">
        <v>113</v>
      </c>
      <c r="BB74" s="63"/>
      <c r="BC74" s="64" t="s">
        <v>114</v>
      </c>
      <c r="BD74" s="1295"/>
      <c r="BE74" s="61">
        <v>3.81</v>
      </c>
      <c r="BF74" s="62" t="s">
        <v>113</v>
      </c>
      <c r="BG74" s="63"/>
      <c r="BH74" s="64" t="s">
        <v>114</v>
      </c>
      <c r="BI74" s="1295"/>
      <c r="BJ74" s="61">
        <v>4.8470000000000004</v>
      </c>
      <c r="BK74" s="62" t="s">
        <v>113</v>
      </c>
      <c r="BL74" s="63"/>
      <c r="BM74" s="64" t="s">
        <v>114</v>
      </c>
      <c r="BN74" s="1295"/>
      <c r="BO74" s="61">
        <v>1E-3</v>
      </c>
      <c r="BP74" s="62" t="s">
        <v>113</v>
      </c>
      <c r="BQ74" s="63"/>
      <c r="BR74" s="64" t="s">
        <v>114</v>
      </c>
      <c r="DE74" s="709"/>
      <c r="DF74" s="709"/>
      <c r="DG74" s="709"/>
      <c r="DH74" s="52"/>
      <c r="DI74" s="45"/>
      <c r="DJ74" s="45"/>
      <c r="DK74" s="45"/>
      <c r="DL74" s="45"/>
      <c r="DM74" s="45"/>
      <c r="DN74" s="45"/>
      <c r="DO74" s="45"/>
      <c r="DP74" s="45"/>
      <c r="DQ74" s="45"/>
      <c r="DR74" s="45"/>
      <c r="DS74" s="45"/>
      <c r="DT74" s="45"/>
      <c r="DU74" s="45"/>
      <c r="DV74" s="705"/>
      <c r="DW74" s="705"/>
      <c r="DX74" s="705"/>
      <c r="DY74" s="705"/>
      <c r="DZ74" s="705"/>
      <c r="EA74" s="705"/>
      <c r="EB74" s="705"/>
      <c r="EC74" s="705"/>
      <c r="ED74" s="705"/>
      <c r="EE74" s="705"/>
      <c r="EF74" s="705"/>
      <c r="EG74" s="705"/>
      <c r="EH74" s="706"/>
      <c r="EI74" s="706"/>
      <c r="EJ74" s="706"/>
      <c r="EK74" s="706"/>
      <c r="EL74" s="706"/>
      <c r="EM74" s="706"/>
      <c r="EN74" s="706"/>
      <c r="EO74" s="706"/>
      <c r="EP74" s="706"/>
      <c r="EQ74" s="706"/>
      <c r="ER74" s="706"/>
      <c r="ES74" s="707"/>
      <c r="ET74" s="707"/>
      <c r="EU74" s="707"/>
      <c r="EV74" s="707"/>
      <c r="EW74" s="707"/>
      <c r="EX74" s="707"/>
      <c r="EY74" s="707"/>
      <c r="EZ74" s="707"/>
      <c r="FA74" s="707"/>
      <c r="FB74" s="707"/>
      <c r="FC74" s="707"/>
      <c r="FD74" s="707"/>
      <c r="FE74" s="699"/>
      <c r="FF74" s="699"/>
      <c r="FG74" s="699"/>
      <c r="FH74" s="699"/>
      <c r="FI74" s="699"/>
      <c r="FJ74" s="699"/>
      <c r="FK74" s="699"/>
      <c r="FL74" s="699"/>
      <c r="FM74" s="699"/>
      <c r="FN74" s="699"/>
      <c r="FO74" s="699"/>
      <c r="FP74" s="699"/>
    </row>
    <row r="75" spans="1:172" ht="51.75" customHeight="1" thickTop="1" x14ac:dyDescent="0.25">
      <c r="A75" s="1282" t="s">
        <v>132</v>
      </c>
      <c r="B75" s="1283"/>
      <c r="C75" s="1288">
        <f t="shared" ref="C75" si="136">B80/((72*3.1415/59)*(45/3.281))</f>
        <v>6.1829130241706505E-2</v>
      </c>
      <c r="D75" s="1288"/>
      <c r="E75" s="1289"/>
      <c r="F75" s="1282" t="s">
        <v>132</v>
      </c>
      <c r="G75" s="1283"/>
      <c r="H75" s="1288">
        <f t="shared" ref="H75" si="137">G80/((72*3.1415/59)*(45/3.281))</f>
        <v>2.4153489820660495E-3</v>
      </c>
      <c r="I75" s="1288"/>
      <c r="J75" s="1289"/>
      <c r="K75" s="1282" t="s">
        <v>132</v>
      </c>
      <c r="L75" s="1283"/>
      <c r="M75" s="1288">
        <f t="shared" ref="M75" si="138">L80/((72*3.1415/59)*(45/3.281))</f>
        <v>2.4153489820660495E-3</v>
      </c>
      <c r="N75" s="1288"/>
      <c r="O75" s="1289"/>
      <c r="P75" s="1282" t="s">
        <v>132</v>
      </c>
      <c r="Q75" s="1283"/>
      <c r="R75" s="1288">
        <f t="shared" ref="R75" si="139">Q80/((72*3.1415/59)*(45/3.281))</f>
        <v>5.0722328623387027E-2</v>
      </c>
      <c r="S75" s="1288"/>
      <c r="T75" s="1289"/>
      <c r="U75" s="1282" t="s">
        <v>132</v>
      </c>
      <c r="V75" s="1283"/>
      <c r="W75" s="1288">
        <f>V80/((72*3.1415/59)*(45/3.281))</f>
        <v>3.5735753837024459E-2</v>
      </c>
      <c r="X75" s="1288"/>
      <c r="Y75" s="1289"/>
      <c r="Z75" s="1282" t="s">
        <v>132</v>
      </c>
      <c r="AA75" s="1283"/>
      <c r="AB75" s="1288">
        <f t="shared" ref="AB75" si="140">AA80/((72*3.1415/59)*(45/3.281))</f>
        <v>1.3027669706419243E-2</v>
      </c>
      <c r="AC75" s="1288"/>
      <c r="AD75" s="1289"/>
      <c r="AE75" s="1282" t="s">
        <v>132</v>
      </c>
      <c r="AF75" s="1283"/>
      <c r="AG75" s="1288">
        <f t="shared" ref="AG75" si="141">AF80/((72*3.1415/59)*(45/3.281))</f>
        <v>5.3137677605453085E-2</v>
      </c>
      <c r="AH75" s="1288"/>
      <c r="AI75" s="1289"/>
      <c r="AJ75" s="1282" t="s">
        <v>132</v>
      </c>
      <c r="AK75" s="1283"/>
      <c r="AL75" s="1288">
        <f t="shared" ref="AL75" si="142">AK80/((72*3.1415/59)*(45/3.281))</f>
        <v>1.9018495921779917E-12</v>
      </c>
      <c r="AM75" s="1288"/>
      <c r="AN75" s="1289"/>
      <c r="AO75" s="1282" t="s">
        <v>132</v>
      </c>
      <c r="AP75" s="1283"/>
      <c r="AQ75" s="1288">
        <f t="shared" ref="AQ75" si="143">AP80/((72*3.1415/59)*(45/3.281))</f>
        <v>1.5937499582451567E-2</v>
      </c>
      <c r="AR75" s="1288"/>
      <c r="AS75" s="1289"/>
      <c r="AT75" s="1282" t="s">
        <v>132</v>
      </c>
      <c r="AU75" s="1283"/>
      <c r="AV75" s="1288">
        <f t="shared" ref="AV75" si="144">AU80/((72*3.1415/59)*(45/3.281))</f>
        <v>0.11201894097928369</v>
      </c>
      <c r="AW75" s="1288"/>
      <c r="AX75" s="1289"/>
      <c r="AY75" s="1282" t="s">
        <v>132</v>
      </c>
      <c r="AZ75" s="1283"/>
      <c r="BA75" s="1288">
        <f t="shared" ref="BA75" si="145">AZ80/((72*3.1415/59)*(45/3.281))</f>
        <v>2.5598895510715768E-2</v>
      </c>
      <c r="BB75" s="1288"/>
      <c r="BC75" s="1289"/>
      <c r="BD75" s="1282" t="s">
        <v>132</v>
      </c>
      <c r="BE75" s="1283"/>
      <c r="BF75" s="1288">
        <f t="shared" ref="BF75" si="146">BE80/((72*3.1415/59)*(45/3.281))</f>
        <v>1.9798254254572892E-2</v>
      </c>
      <c r="BG75" s="1288"/>
      <c r="BH75" s="1289"/>
      <c r="BI75" s="1282" t="s">
        <v>132</v>
      </c>
      <c r="BJ75" s="1283"/>
      <c r="BK75" s="1288">
        <f t="shared" ref="BK75" si="147">BJ80/((72*3.1415/59)*(45/3.281))</f>
        <v>8.196971742287144E-3</v>
      </c>
      <c r="BL75" s="1288"/>
      <c r="BM75" s="1289"/>
      <c r="BN75" s="1282" t="s">
        <v>132</v>
      </c>
      <c r="BO75" s="1283"/>
      <c r="BP75" s="1288">
        <f t="shared" ref="BP75" si="148">BO80/((72*3.1415/59)*(45/3.281))</f>
        <v>2.8489706890826312E-2</v>
      </c>
      <c r="BQ75" s="1288"/>
      <c r="BR75" s="1289"/>
      <c r="DE75" s="709"/>
      <c r="DF75" s="709"/>
      <c r="DG75" s="709"/>
      <c r="DH75" s="52"/>
      <c r="DI75" s="49"/>
      <c r="DJ75" s="49"/>
      <c r="DK75" s="49"/>
      <c r="DL75" s="49"/>
      <c r="DM75" s="49"/>
      <c r="DN75" s="49"/>
      <c r="DO75" s="49"/>
      <c r="DP75" s="49"/>
      <c r="DQ75" s="49"/>
      <c r="DR75" s="49"/>
      <c r="DS75" s="49"/>
      <c r="DT75" s="49"/>
      <c r="DU75" s="49"/>
      <c r="DV75" s="705"/>
      <c r="DW75" s="705"/>
      <c r="DX75" s="705"/>
      <c r="DY75" s="705"/>
      <c r="DZ75" s="705"/>
      <c r="EA75" s="705"/>
      <c r="EB75" s="705"/>
      <c r="EC75" s="705"/>
      <c r="ED75" s="705"/>
      <c r="EE75" s="705"/>
      <c r="EF75" s="705"/>
      <c r="EG75" s="705"/>
      <c r="EH75" s="706"/>
      <c r="EI75" s="706"/>
      <c r="EJ75" s="706"/>
      <c r="EK75" s="706"/>
      <c r="EL75" s="706"/>
      <c r="EM75" s="706"/>
      <c r="EN75" s="706"/>
      <c r="EO75" s="706"/>
      <c r="EP75" s="706"/>
      <c r="EQ75" s="706"/>
      <c r="ER75" s="706"/>
      <c r="ES75" s="707"/>
      <c r="ET75" s="707"/>
      <c r="EU75" s="707"/>
      <c r="EV75" s="707"/>
      <c r="EW75" s="707"/>
      <c r="EX75" s="707"/>
      <c r="EY75" s="707"/>
      <c r="EZ75" s="707"/>
      <c r="FA75" s="707"/>
      <c r="FB75" s="707"/>
      <c r="FC75" s="707"/>
      <c r="FD75" s="707"/>
      <c r="FE75" s="699"/>
      <c r="FF75" s="699"/>
      <c r="FG75" s="699"/>
      <c r="FH75" s="699"/>
      <c r="FI75" s="699"/>
      <c r="FJ75" s="699"/>
      <c r="FK75" s="699"/>
      <c r="FL75" s="699"/>
      <c r="FM75" s="699"/>
      <c r="FN75" s="699"/>
      <c r="FO75" s="699"/>
      <c r="FP75" s="699"/>
    </row>
    <row r="76" spans="1:172" ht="11.25" hidden="1" customHeight="1" x14ac:dyDescent="0.25">
      <c r="A76" s="1284"/>
      <c r="B76" s="1285"/>
      <c r="C76" s="1290"/>
      <c r="D76" s="1290"/>
      <c r="E76" s="1291"/>
      <c r="F76" s="1284"/>
      <c r="G76" s="1285"/>
      <c r="H76" s="1290"/>
      <c r="I76" s="1290"/>
      <c r="J76" s="1291"/>
      <c r="K76" s="1284"/>
      <c r="L76" s="1285"/>
      <c r="M76" s="1290"/>
      <c r="N76" s="1290"/>
      <c r="O76" s="1291"/>
      <c r="P76" s="1284"/>
      <c r="Q76" s="1285"/>
      <c r="R76" s="1290"/>
      <c r="S76" s="1290"/>
      <c r="T76" s="1291"/>
      <c r="U76" s="1284"/>
      <c r="V76" s="1285"/>
      <c r="W76" s="1290"/>
      <c r="X76" s="1290"/>
      <c r="Y76" s="1291"/>
      <c r="Z76" s="1284"/>
      <c r="AA76" s="1285"/>
      <c r="AB76" s="1290"/>
      <c r="AC76" s="1290"/>
      <c r="AD76" s="1291"/>
      <c r="AE76" s="1284"/>
      <c r="AF76" s="1285"/>
      <c r="AG76" s="1290"/>
      <c r="AH76" s="1290"/>
      <c r="AI76" s="1291"/>
      <c r="AJ76" s="1284"/>
      <c r="AK76" s="1285"/>
      <c r="AL76" s="1290"/>
      <c r="AM76" s="1290"/>
      <c r="AN76" s="1291"/>
      <c r="AO76" s="1284"/>
      <c r="AP76" s="1285"/>
      <c r="AQ76" s="1290"/>
      <c r="AR76" s="1290"/>
      <c r="AS76" s="1291"/>
      <c r="AT76" s="1284"/>
      <c r="AU76" s="1285"/>
      <c r="AV76" s="1290"/>
      <c r="AW76" s="1290"/>
      <c r="AX76" s="1291"/>
      <c r="AY76" s="1284"/>
      <c r="AZ76" s="1285"/>
      <c r="BA76" s="1290"/>
      <c r="BB76" s="1290"/>
      <c r="BC76" s="1291"/>
      <c r="BD76" s="1284"/>
      <c r="BE76" s="1285"/>
      <c r="BF76" s="1290"/>
      <c r="BG76" s="1290"/>
      <c r="BH76" s="1291"/>
      <c r="BI76" s="1284"/>
      <c r="BJ76" s="1285"/>
      <c r="BK76" s="1290"/>
      <c r="BL76" s="1290"/>
      <c r="BM76" s="1291"/>
      <c r="BN76" s="1284"/>
      <c r="BO76" s="1285"/>
      <c r="BP76" s="1290"/>
      <c r="BQ76" s="1290"/>
      <c r="BR76" s="1291"/>
    </row>
    <row r="77" spans="1:172" ht="15" hidden="1" customHeight="1" x14ac:dyDescent="0.25">
      <c r="A77" s="1284"/>
      <c r="B77" s="1285"/>
      <c r="C77" s="1290"/>
      <c r="D77" s="1290"/>
      <c r="E77" s="1291"/>
      <c r="F77" s="1284"/>
      <c r="G77" s="1285"/>
      <c r="H77" s="1290"/>
      <c r="I77" s="1290"/>
      <c r="J77" s="1291"/>
      <c r="K77" s="1284"/>
      <c r="L77" s="1285"/>
      <c r="M77" s="1290"/>
      <c r="N77" s="1290"/>
      <c r="O77" s="1291"/>
      <c r="P77" s="1284"/>
      <c r="Q77" s="1285"/>
      <c r="R77" s="1290"/>
      <c r="S77" s="1290"/>
      <c r="T77" s="1291"/>
      <c r="U77" s="1284"/>
      <c r="V77" s="1285"/>
      <c r="W77" s="1290"/>
      <c r="X77" s="1290"/>
      <c r="Y77" s="1291"/>
      <c r="Z77" s="1284"/>
      <c r="AA77" s="1285"/>
      <c r="AB77" s="1290"/>
      <c r="AC77" s="1290"/>
      <c r="AD77" s="1291"/>
      <c r="AE77" s="1284"/>
      <c r="AF77" s="1285"/>
      <c r="AG77" s="1290"/>
      <c r="AH77" s="1290"/>
      <c r="AI77" s="1291"/>
      <c r="AJ77" s="1284"/>
      <c r="AK77" s="1285"/>
      <c r="AL77" s="1290"/>
      <c r="AM77" s="1290"/>
      <c r="AN77" s="1291"/>
      <c r="AO77" s="1284"/>
      <c r="AP77" s="1285"/>
      <c r="AQ77" s="1290"/>
      <c r="AR77" s="1290"/>
      <c r="AS77" s="1291"/>
      <c r="AT77" s="1284"/>
      <c r="AU77" s="1285"/>
      <c r="AV77" s="1290"/>
      <c r="AW77" s="1290"/>
      <c r="AX77" s="1291"/>
      <c r="AY77" s="1284"/>
      <c r="AZ77" s="1285"/>
      <c r="BA77" s="1290"/>
      <c r="BB77" s="1290"/>
      <c r="BC77" s="1291"/>
      <c r="BD77" s="1284"/>
      <c r="BE77" s="1285"/>
      <c r="BF77" s="1290"/>
      <c r="BG77" s="1290"/>
      <c r="BH77" s="1291"/>
      <c r="BI77" s="1284"/>
      <c r="BJ77" s="1285"/>
      <c r="BK77" s="1290"/>
      <c r="BL77" s="1290"/>
      <c r="BM77" s="1291"/>
      <c r="BN77" s="1284"/>
      <c r="BO77" s="1285"/>
      <c r="BP77" s="1290"/>
      <c r="BQ77" s="1290"/>
      <c r="BR77" s="1291"/>
    </row>
    <row r="78" spans="1:172" ht="15" hidden="1" customHeight="1" x14ac:dyDescent="0.25">
      <c r="A78" s="1286"/>
      <c r="B78" s="1287"/>
      <c r="C78" s="1292"/>
      <c r="D78" s="1292"/>
      <c r="E78" s="1293"/>
      <c r="F78" s="1286"/>
      <c r="G78" s="1287"/>
      <c r="H78" s="1292"/>
      <c r="I78" s="1292"/>
      <c r="J78" s="1293"/>
      <c r="K78" s="1286"/>
      <c r="L78" s="1287"/>
      <c r="M78" s="1292"/>
      <c r="N78" s="1292"/>
      <c r="O78" s="1293"/>
      <c r="P78" s="1286"/>
      <c r="Q78" s="1287"/>
      <c r="R78" s="1292"/>
      <c r="S78" s="1292"/>
      <c r="T78" s="1293"/>
      <c r="U78" s="1286"/>
      <c r="V78" s="1287"/>
      <c r="W78" s="1292"/>
      <c r="X78" s="1292"/>
      <c r="Y78" s="1293"/>
      <c r="Z78" s="1286"/>
      <c r="AA78" s="1287"/>
      <c r="AB78" s="1292"/>
      <c r="AC78" s="1292"/>
      <c r="AD78" s="1293"/>
      <c r="AE78" s="1286"/>
      <c r="AF78" s="1287"/>
      <c r="AG78" s="1292"/>
      <c r="AH78" s="1292"/>
      <c r="AI78" s="1293"/>
      <c r="AJ78" s="1286"/>
      <c r="AK78" s="1287"/>
      <c r="AL78" s="1292"/>
      <c r="AM78" s="1292"/>
      <c r="AN78" s="1293"/>
      <c r="AO78" s="1286"/>
      <c r="AP78" s="1287"/>
      <c r="AQ78" s="1292"/>
      <c r="AR78" s="1292"/>
      <c r="AS78" s="1293"/>
      <c r="AT78" s="1286"/>
      <c r="AU78" s="1287"/>
      <c r="AV78" s="1292"/>
      <c r="AW78" s="1292"/>
      <c r="AX78" s="1293"/>
      <c r="AY78" s="1286"/>
      <c r="AZ78" s="1287"/>
      <c r="BA78" s="1292"/>
      <c r="BB78" s="1292"/>
      <c r="BC78" s="1293"/>
      <c r="BD78" s="1286"/>
      <c r="BE78" s="1287"/>
      <c r="BF78" s="1292"/>
      <c r="BG78" s="1292"/>
      <c r="BH78" s="1293"/>
      <c r="BI78" s="1286"/>
      <c r="BJ78" s="1287"/>
      <c r="BK78" s="1292"/>
      <c r="BL78" s="1292"/>
      <c r="BM78" s="1293"/>
      <c r="BN78" s="1286"/>
      <c r="BO78" s="1287"/>
      <c r="BP78" s="1292"/>
      <c r="BQ78" s="1292"/>
      <c r="BR78" s="1293"/>
    </row>
    <row r="79" spans="1:172" ht="111.75" customHeight="1" x14ac:dyDescent="0.25">
      <c r="A79" s="1294" t="s">
        <v>133</v>
      </c>
      <c r="B79" s="588">
        <v>144</v>
      </c>
      <c r="C79" s="589"/>
      <c r="D79" s="589"/>
      <c r="E79" s="590"/>
      <c r="F79" s="1294" t="s">
        <v>133</v>
      </c>
      <c r="G79" s="588">
        <v>149</v>
      </c>
      <c r="H79" s="589"/>
      <c r="I79" s="589"/>
      <c r="J79" s="590"/>
      <c r="K79" s="1294" t="s">
        <v>133</v>
      </c>
      <c r="L79" s="588">
        <v>160</v>
      </c>
      <c r="M79" s="589"/>
      <c r="N79" s="589"/>
      <c r="O79" s="590"/>
      <c r="P79" s="1294" t="s">
        <v>133</v>
      </c>
      <c r="Q79" s="588">
        <v>183</v>
      </c>
      <c r="R79" s="589"/>
      <c r="S79" s="589"/>
      <c r="T79" s="590"/>
      <c r="U79" s="1294" t="s">
        <v>133</v>
      </c>
      <c r="V79" s="588">
        <v>197</v>
      </c>
      <c r="W79" s="589"/>
      <c r="X79" s="589"/>
      <c r="Y79" s="590"/>
      <c r="Z79" s="1294" t="s">
        <v>133</v>
      </c>
      <c r="AA79" s="1273">
        <v>206</v>
      </c>
      <c r="AB79" s="1274"/>
      <c r="AC79" s="1274"/>
      <c r="AD79" s="1275"/>
      <c r="AE79" s="1294" t="s">
        <v>133</v>
      </c>
      <c r="AF79" s="1296">
        <v>207</v>
      </c>
      <c r="AG79" s="1297"/>
      <c r="AH79" s="1297"/>
      <c r="AI79" s="1298"/>
      <c r="AJ79" s="1294" t="s">
        <v>133</v>
      </c>
      <c r="AK79" s="1296">
        <v>208</v>
      </c>
      <c r="AL79" s="1297"/>
      <c r="AM79" s="1297"/>
      <c r="AN79" s="1298"/>
      <c r="AO79" s="1294" t="s">
        <v>133</v>
      </c>
      <c r="AP79" s="1296">
        <v>209</v>
      </c>
      <c r="AQ79" s="1297"/>
      <c r="AR79" s="1297"/>
      <c r="AS79" s="1298"/>
      <c r="AT79" s="1294" t="s">
        <v>133</v>
      </c>
      <c r="AU79" s="588">
        <v>210</v>
      </c>
      <c r="AV79" s="589"/>
      <c r="AW79" s="589"/>
      <c r="AX79" s="590"/>
      <c r="AY79" s="1294" t="s">
        <v>133</v>
      </c>
      <c r="AZ79" s="588">
        <v>211</v>
      </c>
      <c r="BA79" s="589"/>
      <c r="BB79" s="589"/>
      <c r="BC79" s="590"/>
      <c r="BD79" s="1294" t="s">
        <v>133</v>
      </c>
      <c r="BE79" s="588">
        <v>212</v>
      </c>
      <c r="BF79" s="589"/>
      <c r="BG79" s="589"/>
      <c r="BH79" s="590"/>
      <c r="BI79" s="1294" t="s">
        <v>133</v>
      </c>
      <c r="BJ79" s="588">
        <v>213</v>
      </c>
      <c r="BK79" s="589"/>
      <c r="BL79" s="589"/>
      <c r="BM79" s="590"/>
      <c r="BN79" s="1294" t="s">
        <v>133</v>
      </c>
      <c r="BO79" s="588">
        <v>214</v>
      </c>
      <c r="BP79" s="589"/>
      <c r="BQ79" s="589"/>
      <c r="BR79" s="590"/>
    </row>
    <row r="80" spans="1:172" ht="50.25" customHeight="1" thickBot="1" x14ac:dyDescent="0.3">
      <c r="A80" s="1295"/>
      <c r="B80" s="61">
        <v>3.2509999999999999</v>
      </c>
      <c r="C80" s="62" t="s">
        <v>113</v>
      </c>
      <c r="D80" s="63"/>
      <c r="E80" s="64" t="s">
        <v>114</v>
      </c>
      <c r="F80" s="1295"/>
      <c r="G80" s="61">
        <v>0.127</v>
      </c>
      <c r="H80" s="62" t="s">
        <v>113</v>
      </c>
      <c r="I80" s="63"/>
      <c r="J80" s="64" t="s">
        <v>114</v>
      </c>
      <c r="K80" s="1295"/>
      <c r="L80" s="61">
        <v>0.127</v>
      </c>
      <c r="M80" s="62" t="s">
        <v>113</v>
      </c>
      <c r="N80" s="63"/>
      <c r="O80" s="64" t="s">
        <v>114</v>
      </c>
      <c r="P80" s="1295"/>
      <c r="Q80" s="61">
        <v>2.6669999999999998</v>
      </c>
      <c r="R80" s="62" t="s">
        <v>113</v>
      </c>
      <c r="S80" s="63"/>
      <c r="T80" s="64" t="s">
        <v>114</v>
      </c>
      <c r="U80" s="1295"/>
      <c r="V80" s="61">
        <v>1.879</v>
      </c>
      <c r="W80" s="62" t="s">
        <v>113</v>
      </c>
      <c r="X80" s="63"/>
      <c r="Y80" s="64" t="s">
        <v>114</v>
      </c>
      <c r="Z80" s="1295"/>
      <c r="AA80" s="61">
        <v>0.68500000000000005</v>
      </c>
      <c r="AB80" s="62" t="s">
        <v>113</v>
      </c>
      <c r="AC80" s="63"/>
      <c r="AD80" s="64" t="s">
        <v>114</v>
      </c>
      <c r="AE80" s="1295"/>
      <c r="AF80" s="61">
        <v>2.794</v>
      </c>
      <c r="AG80" s="62" t="s">
        <v>113</v>
      </c>
      <c r="AH80" s="63">
        <v>1</v>
      </c>
      <c r="AI80" s="64" t="s">
        <v>114</v>
      </c>
      <c r="AJ80" s="1295"/>
      <c r="AK80" s="61">
        <v>1E-10</v>
      </c>
      <c r="AL80" s="62" t="s">
        <v>113</v>
      </c>
      <c r="AM80" s="63"/>
      <c r="AN80" s="64" t="s">
        <v>114</v>
      </c>
      <c r="AO80" s="1295"/>
      <c r="AP80" s="61">
        <v>0.83799999999999997</v>
      </c>
      <c r="AQ80" s="62" t="s">
        <v>113</v>
      </c>
      <c r="AR80" s="63">
        <v>1</v>
      </c>
      <c r="AS80" s="64" t="s">
        <v>114</v>
      </c>
      <c r="AT80" s="1295"/>
      <c r="AU80" s="61">
        <v>5.89</v>
      </c>
      <c r="AV80" s="62" t="s">
        <v>113</v>
      </c>
      <c r="AW80" s="63"/>
      <c r="AX80" s="64" t="s">
        <v>114</v>
      </c>
      <c r="AY80" s="1295"/>
      <c r="AZ80" s="61">
        <v>1.3460000000000001</v>
      </c>
      <c r="BA80" s="62" t="s">
        <v>113</v>
      </c>
      <c r="BB80" s="63">
        <v>1</v>
      </c>
      <c r="BC80" s="64" t="s">
        <v>114</v>
      </c>
      <c r="BD80" s="1295"/>
      <c r="BE80" s="61">
        <v>1.0409999999999999</v>
      </c>
      <c r="BF80" s="62" t="s">
        <v>113</v>
      </c>
      <c r="BG80" s="63">
        <v>1</v>
      </c>
      <c r="BH80" s="64" t="s">
        <v>114</v>
      </c>
      <c r="BI80" s="1295"/>
      <c r="BJ80" s="61">
        <v>0.43099999999999999</v>
      </c>
      <c r="BK80" s="62" t="s">
        <v>113</v>
      </c>
      <c r="BL80" s="63"/>
      <c r="BM80" s="64" t="s">
        <v>114</v>
      </c>
      <c r="BN80" s="1295"/>
      <c r="BO80" s="61">
        <v>1.498</v>
      </c>
      <c r="BP80" s="62" t="s">
        <v>113</v>
      </c>
      <c r="BQ80" s="63">
        <v>1</v>
      </c>
      <c r="BR80" s="64" t="s">
        <v>114</v>
      </c>
    </row>
    <row r="81" spans="1:70" ht="15.75" customHeight="1" thickTop="1" x14ac:dyDescent="0.25">
      <c r="A81" s="1282" t="s">
        <v>132</v>
      </c>
      <c r="B81" s="1283"/>
      <c r="C81" s="1288">
        <f t="shared" ref="C81" si="149">B86/((72*3.1415/59)*(45/3.281))</f>
        <v>6.3274535931761772E-2</v>
      </c>
      <c r="D81" s="1288"/>
      <c r="E81" s="1289"/>
      <c r="F81" s="1282" t="s">
        <v>132</v>
      </c>
      <c r="G81" s="1283"/>
      <c r="H81" s="1288">
        <f t="shared" ref="H81" si="150">G86/((72*3.1415/59)*(45/3.281))</f>
        <v>1.7382905272506844E-2</v>
      </c>
      <c r="I81" s="1288"/>
      <c r="J81" s="1289"/>
      <c r="K81" s="1282" t="s">
        <v>132</v>
      </c>
      <c r="L81" s="1283"/>
      <c r="M81" s="1288">
        <f t="shared" ref="M81" si="151">L86/((72*3.1415/59)*(45/3.281))</f>
        <v>1.2552207308374745E-2</v>
      </c>
      <c r="N81" s="1288"/>
      <c r="O81" s="1289"/>
      <c r="P81" s="1282" t="s">
        <v>132</v>
      </c>
      <c r="Q81" s="1283"/>
      <c r="R81" s="1288">
        <f t="shared" ref="R81" si="152">Q86/((72*3.1415/59)*(45/3.281))</f>
        <v>5.7968375569585184E-3</v>
      </c>
      <c r="S81" s="1288"/>
      <c r="T81" s="1289"/>
      <c r="U81" s="1282" t="s">
        <v>132</v>
      </c>
      <c r="V81" s="1283"/>
      <c r="W81" s="1288">
        <f>V86/((72*3.1415/59)*(45/3.281))</f>
        <v>1.9018495921779917E-15</v>
      </c>
      <c r="X81" s="1288"/>
      <c r="Y81" s="1289"/>
      <c r="Z81" s="1282" t="s">
        <v>132</v>
      </c>
      <c r="AA81" s="1283"/>
      <c r="AB81" s="1288">
        <f t="shared" ref="AB81" si="153">AA86/((72*3.1415/59)*(45/3.281))</f>
        <v>1.2552207308374745E-2</v>
      </c>
      <c r="AC81" s="1288"/>
      <c r="AD81" s="1289"/>
      <c r="AE81" s="1282" t="s">
        <v>132</v>
      </c>
      <c r="AF81" s="1283"/>
      <c r="AG81" s="1288">
        <f t="shared" ref="AG81" si="154">AF86/((72*3.1415/59)*(45/3.281))</f>
        <v>6.5689884913827837E-2</v>
      </c>
      <c r="AH81" s="1288"/>
      <c r="AI81" s="1289"/>
      <c r="AJ81" s="1282" t="s">
        <v>132</v>
      </c>
      <c r="AK81" s="1283"/>
      <c r="AL81" s="1288">
        <f t="shared" ref="AL81" si="155">AK86/((72*3.1415/59)*(45/3.281))</f>
        <v>6.0383724551651224E-2</v>
      </c>
      <c r="AM81" s="1288"/>
      <c r="AN81" s="1289"/>
      <c r="AO81" s="1282" t="s">
        <v>132</v>
      </c>
      <c r="AP81" s="1283"/>
      <c r="AQ81" s="1288">
        <f t="shared" ref="AQ81" si="156">AP86/((72*3.1415/59)*(45/3.281))</f>
        <v>2.5598895510715768E-2</v>
      </c>
      <c r="AR81" s="1288"/>
      <c r="AS81" s="1289"/>
      <c r="AT81" s="1282" t="s">
        <v>132</v>
      </c>
      <c r="AU81" s="1283"/>
      <c r="AV81" s="1288">
        <f t="shared" ref="AV81" si="157">AU86/((72*3.1415/59)*(45/3.281))</f>
        <v>6.133464934774023E-2</v>
      </c>
      <c r="AW81" s="1288"/>
      <c r="AX81" s="1289"/>
      <c r="AY81" s="1282" t="s">
        <v>132</v>
      </c>
      <c r="AZ81" s="1283"/>
      <c r="BA81" s="1288">
        <f t="shared" ref="BA81" si="158">AZ86/((72*3.1415/59)*(45/3.281))</f>
        <v>9.2258723716554372E-2</v>
      </c>
      <c r="BB81" s="1288"/>
      <c r="BC81" s="1289"/>
      <c r="BD81" s="1282" t="s">
        <v>132</v>
      </c>
      <c r="BE81" s="1283"/>
      <c r="BF81" s="1288">
        <f t="shared" ref="BF81" si="159">BE86/((72*3.1415/59)*(45/3.281))</f>
        <v>9.9512378061121232E-2</v>
      </c>
      <c r="BG81" s="1288"/>
      <c r="BH81" s="1289"/>
      <c r="BI81" s="1282" t="s">
        <v>132</v>
      </c>
      <c r="BJ81" s="1283"/>
      <c r="BK81" s="1288">
        <f t="shared" ref="BK81" si="160">BJ86/((72*3.1415/59)*(45/3.281))</f>
        <v>1.3997612998430017E-2</v>
      </c>
      <c r="BL81" s="1288"/>
      <c r="BM81" s="1289"/>
      <c r="BN81" s="1282" t="s">
        <v>132</v>
      </c>
      <c r="BO81" s="1283"/>
      <c r="BP81" s="1288">
        <f t="shared" ref="BP81" si="161">BO86/((72*3.1415/59)*(45/3.281))</f>
        <v>6.7629771497849387E-3</v>
      </c>
      <c r="BQ81" s="1288"/>
      <c r="BR81" s="1289"/>
    </row>
    <row r="82" spans="1:70" ht="15.75" customHeight="1" x14ac:dyDescent="0.25">
      <c r="A82" s="1284"/>
      <c r="B82" s="1285"/>
      <c r="C82" s="1290"/>
      <c r="D82" s="1290"/>
      <c r="E82" s="1291"/>
      <c r="F82" s="1284"/>
      <c r="G82" s="1285"/>
      <c r="H82" s="1290"/>
      <c r="I82" s="1290"/>
      <c r="J82" s="1291"/>
      <c r="K82" s="1284"/>
      <c r="L82" s="1285"/>
      <c r="M82" s="1290"/>
      <c r="N82" s="1290"/>
      <c r="O82" s="1291"/>
      <c r="P82" s="1284"/>
      <c r="Q82" s="1285"/>
      <c r="R82" s="1290"/>
      <c r="S82" s="1290"/>
      <c r="T82" s="1291"/>
      <c r="U82" s="1284"/>
      <c r="V82" s="1285"/>
      <c r="W82" s="1290"/>
      <c r="X82" s="1290"/>
      <c r="Y82" s="1291"/>
      <c r="Z82" s="1284"/>
      <c r="AA82" s="1285"/>
      <c r="AB82" s="1290"/>
      <c r="AC82" s="1290"/>
      <c r="AD82" s="1291"/>
      <c r="AE82" s="1284"/>
      <c r="AF82" s="1285"/>
      <c r="AG82" s="1290"/>
      <c r="AH82" s="1290"/>
      <c r="AI82" s="1291"/>
      <c r="AJ82" s="1284"/>
      <c r="AK82" s="1285"/>
      <c r="AL82" s="1290"/>
      <c r="AM82" s="1290"/>
      <c r="AN82" s="1291"/>
      <c r="AO82" s="1284"/>
      <c r="AP82" s="1285"/>
      <c r="AQ82" s="1290"/>
      <c r="AR82" s="1290"/>
      <c r="AS82" s="1291"/>
      <c r="AT82" s="1284"/>
      <c r="AU82" s="1285"/>
      <c r="AV82" s="1290"/>
      <c r="AW82" s="1290"/>
      <c r="AX82" s="1291"/>
      <c r="AY82" s="1284"/>
      <c r="AZ82" s="1285"/>
      <c r="BA82" s="1290"/>
      <c r="BB82" s="1290"/>
      <c r="BC82" s="1291"/>
      <c r="BD82" s="1284"/>
      <c r="BE82" s="1285"/>
      <c r="BF82" s="1290"/>
      <c r="BG82" s="1290"/>
      <c r="BH82" s="1291"/>
      <c r="BI82" s="1284"/>
      <c r="BJ82" s="1285"/>
      <c r="BK82" s="1290"/>
      <c r="BL82" s="1290"/>
      <c r="BM82" s="1291"/>
      <c r="BN82" s="1284"/>
      <c r="BO82" s="1285"/>
      <c r="BP82" s="1290"/>
      <c r="BQ82" s="1290"/>
      <c r="BR82" s="1291"/>
    </row>
    <row r="83" spans="1:70" ht="12" customHeight="1" x14ac:dyDescent="0.25">
      <c r="A83" s="1284"/>
      <c r="B83" s="1285"/>
      <c r="C83" s="1290"/>
      <c r="D83" s="1290"/>
      <c r="E83" s="1291"/>
      <c r="F83" s="1284"/>
      <c r="G83" s="1285"/>
      <c r="H83" s="1290"/>
      <c r="I83" s="1290"/>
      <c r="J83" s="1291"/>
      <c r="K83" s="1284"/>
      <c r="L83" s="1285"/>
      <c r="M83" s="1290"/>
      <c r="N83" s="1290"/>
      <c r="O83" s="1291"/>
      <c r="P83" s="1284"/>
      <c r="Q83" s="1285"/>
      <c r="R83" s="1290"/>
      <c r="S83" s="1290"/>
      <c r="T83" s="1291"/>
      <c r="U83" s="1284"/>
      <c r="V83" s="1285"/>
      <c r="W83" s="1290"/>
      <c r="X83" s="1290"/>
      <c r="Y83" s="1291"/>
      <c r="Z83" s="1284"/>
      <c r="AA83" s="1285"/>
      <c r="AB83" s="1290"/>
      <c r="AC83" s="1290"/>
      <c r="AD83" s="1291"/>
      <c r="AE83" s="1284"/>
      <c r="AF83" s="1285"/>
      <c r="AG83" s="1290"/>
      <c r="AH83" s="1290"/>
      <c r="AI83" s="1291"/>
      <c r="AJ83" s="1284"/>
      <c r="AK83" s="1285"/>
      <c r="AL83" s="1290"/>
      <c r="AM83" s="1290"/>
      <c r="AN83" s="1291"/>
      <c r="AO83" s="1284"/>
      <c r="AP83" s="1285"/>
      <c r="AQ83" s="1290"/>
      <c r="AR83" s="1290"/>
      <c r="AS83" s="1291"/>
      <c r="AT83" s="1284"/>
      <c r="AU83" s="1285"/>
      <c r="AV83" s="1290"/>
      <c r="AW83" s="1290"/>
      <c r="AX83" s="1291"/>
      <c r="AY83" s="1284"/>
      <c r="AZ83" s="1285"/>
      <c r="BA83" s="1290"/>
      <c r="BB83" s="1290"/>
      <c r="BC83" s="1291"/>
      <c r="BD83" s="1284"/>
      <c r="BE83" s="1285"/>
      <c r="BF83" s="1290"/>
      <c r="BG83" s="1290"/>
      <c r="BH83" s="1291"/>
      <c r="BI83" s="1284"/>
      <c r="BJ83" s="1285"/>
      <c r="BK83" s="1290"/>
      <c r="BL83" s="1290"/>
      <c r="BM83" s="1291"/>
      <c r="BN83" s="1284"/>
      <c r="BO83" s="1285"/>
      <c r="BP83" s="1290"/>
      <c r="BQ83" s="1290"/>
      <c r="BR83" s="1291"/>
    </row>
    <row r="84" spans="1:70" ht="15" hidden="1" customHeight="1" x14ac:dyDescent="0.25">
      <c r="A84" s="1286"/>
      <c r="B84" s="1287"/>
      <c r="C84" s="1292"/>
      <c r="D84" s="1292"/>
      <c r="E84" s="1293"/>
      <c r="F84" s="1286"/>
      <c r="G84" s="1287"/>
      <c r="H84" s="1292"/>
      <c r="I84" s="1292"/>
      <c r="J84" s="1293"/>
      <c r="K84" s="1286"/>
      <c r="L84" s="1287"/>
      <c r="M84" s="1292"/>
      <c r="N84" s="1292"/>
      <c r="O84" s="1293"/>
      <c r="P84" s="1286"/>
      <c r="Q84" s="1287"/>
      <c r="R84" s="1292"/>
      <c r="S84" s="1292"/>
      <c r="T84" s="1293"/>
      <c r="U84" s="1286"/>
      <c r="V84" s="1287"/>
      <c r="W84" s="1292"/>
      <c r="X84" s="1292"/>
      <c r="Y84" s="1293"/>
      <c r="Z84" s="1286"/>
      <c r="AA84" s="1287"/>
      <c r="AB84" s="1292"/>
      <c r="AC84" s="1292"/>
      <c r="AD84" s="1293"/>
      <c r="AE84" s="1286"/>
      <c r="AF84" s="1287"/>
      <c r="AG84" s="1292"/>
      <c r="AH84" s="1292"/>
      <c r="AI84" s="1293"/>
      <c r="AJ84" s="1286"/>
      <c r="AK84" s="1287"/>
      <c r="AL84" s="1292"/>
      <c r="AM84" s="1292"/>
      <c r="AN84" s="1293"/>
      <c r="AO84" s="1286"/>
      <c r="AP84" s="1287"/>
      <c r="AQ84" s="1292"/>
      <c r="AR84" s="1292"/>
      <c r="AS84" s="1293"/>
      <c r="AT84" s="1286"/>
      <c r="AU84" s="1287"/>
      <c r="AV84" s="1292"/>
      <c r="AW84" s="1292"/>
      <c r="AX84" s="1293"/>
      <c r="AY84" s="1286"/>
      <c r="AZ84" s="1287"/>
      <c r="BA84" s="1292"/>
      <c r="BB84" s="1292"/>
      <c r="BC84" s="1293"/>
      <c r="BD84" s="1286"/>
      <c r="BE84" s="1287"/>
      <c r="BF84" s="1292"/>
      <c r="BG84" s="1292"/>
      <c r="BH84" s="1293"/>
      <c r="BI84" s="1286"/>
      <c r="BJ84" s="1287"/>
      <c r="BK84" s="1292"/>
      <c r="BL84" s="1292"/>
      <c r="BM84" s="1293"/>
      <c r="BN84" s="1286"/>
      <c r="BO84" s="1287"/>
      <c r="BP84" s="1292"/>
      <c r="BQ84" s="1292"/>
      <c r="BR84" s="1293"/>
    </row>
    <row r="85" spans="1:70" ht="111.75" customHeight="1" x14ac:dyDescent="0.25">
      <c r="A85" s="1294" t="s">
        <v>133</v>
      </c>
      <c r="B85" s="588">
        <v>215</v>
      </c>
      <c r="C85" s="589"/>
      <c r="D85" s="589"/>
      <c r="E85" s="590"/>
      <c r="F85" s="1294" t="s">
        <v>133</v>
      </c>
      <c r="G85" s="588">
        <v>216</v>
      </c>
      <c r="H85" s="589"/>
      <c r="I85" s="589"/>
      <c r="J85" s="590"/>
      <c r="K85" s="1294" t="s">
        <v>133</v>
      </c>
      <c r="L85" s="588">
        <v>217</v>
      </c>
      <c r="M85" s="589"/>
      <c r="N85" s="589"/>
      <c r="O85" s="590"/>
      <c r="P85" s="1294" t="s">
        <v>133</v>
      </c>
      <c r="Q85" s="588">
        <v>218</v>
      </c>
      <c r="R85" s="589"/>
      <c r="S85" s="589"/>
      <c r="T85" s="590"/>
      <c r="U85" s="1294" t="s">
        <v>133</v>
      </c>
      <c r="V85" s="588">
        <v>219</v>
      </c>
      <c r="W85" s="589"/>
      <c r="X85" s="589"/>
      <c r="Y85" s="590"/>
      <c r="Z85" s="1294" t="s">
        <v>133</v>
      </c>
      <c r="AA85" s="588">
        <v>220</v>
      </c>
      <c r="AB85" s="589"/>
      <c r="AC85" s="589"/>
      <c r="AD85" s="590"/>
      <c r="AE85" s="1294" t="s">
        <v>133</v>
      </c>
      <c r="AF85" s="588">
        <v>221</v>
      </c>
      <c r="AG85" s="589"/>
      <c r="AH85" s="589"/>
      <c r="AI85" s="590"/>
      <c r="AJ85" s="1294" t="s">
        <v>133</v>
      </c>
      <c r="AK85" s="588">
        <v>222</v>
      </c>
      <c r="AL85" s="589"/>
      <c r="AM85" s="589"/>
      <c r="AN85" s="590"/>
      <c r="AO85" s="1294" t="s">
        <v>133</v>
      </c>
      <c r="AP85" s="588">
        <v>225</v>
      </c>
      <c r="AQ85" s="589"/>
      <c r="AR85" s="589"/>
      <c r="AS85" s="590"/>
      <c r="AT85" s="1294" t="s">
        <v>133</v>
      </c>
      <c r="AU85" s="588">
        <v>227</v>
      </c>
      <c r="AV85" s="589"/>
      <c r="AW85" s="589"/>
      <c r="AX85" s="590"/>
      <c r="AY85" s="1294" t="s">
        <v>133</v>
      </c>
      <c r="AZ85" s="588">
        <v>228</v>
      </c>
      <c r="BA85" s="589"/>
      <c r="BB85" s="589"/>
      <c r="BC85" s="590"/>
      <c r="BD85" s="1294" t="s">
        <v>133</v>
      </c>
      <c r="BE85" s="588">
        <v>229</v>
      </c>
      <c r="BF85" s="589"/>
      <c r="BG85" s="589"/>
      <c r="BH85" s="590"/>
      <c r="BI85" s="1294" t="s">
        <v>133</v>
      </c>
      <c r="BJ85" s="588">
        <v>230</v>
      </c>
      <c r="BK85" s="589"/>
      <c r="BL85" s="589"/>
      <c r="BM85" s="590"/>
      <c r="BN85" s="1294" t="s">
        <v>133</v>
      </c>
      <c r="BO85" s="588">
        <v>231</v>
      </c>
      <c r="BP85" s="589"/>
      <c r="BQ85" s="589"/>
      <c r="BR85" s="590"/>
    </row>
    <row r="86" spans="1:70" ht="50.25" customHeight="1" thickBot="1" x14ac:dyDescent="0.3">
      <c r="A86" s="1295"/>
      <c r="B86" s="61">
        <v>3.327</v>
      </c>
      <c r="C86" s="62" t="s">
        <v>113</v>
      </c>
      <c r="D86" s="63"/>
      <c r="E86" s="64" t="s">
        <v>114</v>
      </c>
      <c r="F86" s="1295"/>
      <c r="G86" s="61">
        <v>0.91400000000000003</v>
      </c>
      <c r="H86" s="62" t="s">
        <v>113</v>
      </c>
      <c r="I86" s="63">
        <v>1</v>
      </c>
      <c r="J86" s="64" t="s">
        <v>114</v>
      </c>
      <c r="K86" s="1295"/>
      <c r="L86" s="61">
        <v>0.66</v>
      </c>
      <c r="M86" s="62" t="s">
        <v>113</v>
      </c>
      <c r="N86" s="63">
        <v>1</v>
      </c>
      <c r="O86" s="64" t="s">
        <v>114</v>
      </c>
      <c r="P86" s="1295"/>
      <c r="Q86" s="61">
        <v>0.30480000000000002</v>
      </c>
      <c r="R86" s="62" t="s">
        <v>113</v>
      </c>
      <c r="S86" s="63"/>
      <c r="T86" s="64" t="s">
        <v>114</v>
      </c>
      <c r="U86" s="1295"/>
      <c r="V86" s="61">
        <v>1E-13</v>
      </c>
      <c r="W86" s="62" t="s">
        <v>113</v>
      </c>
      <c r="X86" s="63">
        <v>1</v>
      </c>
      <c r="Y86" s="64" t="s">
        <v>114</v>
      </c>
      <c r="Z86" s="1295"/>
      <c r="AA86" s="61">
        <v>0.66</v>
      </c>
      <c r="AB86" s="62" t="s">
        <v>113</v>
      </c>
      <c r="AC86" s="63"/>
      <c r="AD86" s="64" t="s">
        <v>114</v>
      </c>
      <c r="AE86" s="1295"/>
      <c r="AF86" s="61">
        <v>3.4540000000000002</v>
      </c>
      <c r="AG86" s="62" t="s">
        <v>113</v>
      </c>
      <c r="AH86" s="63">
        <v>1</v>
      </c>
      <c r="AI86" s="64" t="s">
        <v>114</v>
      </c>
      <c r="AJ86" s="1295"/>
      <c r="AK86" s="61">
        <v>3.1749999999999998</v>
      </c>
      <c r="AL86" s="62" t="s">
        <v>113</v>
      </c>
      <c r="AM86" s="63"/>
      <c r="AN86" s="64" t="s">
        <v>114</v>
      </c>
      <c r="AO86" s="1295"/>
      <c r="AP86" s="61">
        <v>1.3460000000000001</v>
      </c>
      <c r="AQ86" s="62" t="s">
        <v>113</v>
      </c>
      <c r="AR86" s="63"/>
      <c r="AS86" s="64" t="s">
        <v>114</v>
      </c>
      <c r="AT86" s="1295"/>
      <c r="AU86" s="61">
        <v>3.2250000000000001</v>
      </c>
      <c r="AV86" s="62" t="s">
        <v>113</v>
      </c>
      <c r="AW86" s="63"/>
      <c r="AX86" s="64" t="s">
        <v>114</v>
      </c>
      <c r="AY86" s="1295"/>
      <c r="AZ86" s="61">
        <v>4.851</v>
      </c>
      <c r="BA86" s="62" t="s">
        <v>113</v>
      </c>
      <c r="BB86" s="63">
        <v>1</v>
      </c>
      <c r="BC86" s="64" t="s">
        <v>114</v>
      </c>
      <c r="BD86" s="1295"/>
      <c r="BE86" s="61">
        <v>5.2324000000000002</v>
      </c>
      <c r="BF86" s="62" t="s">
        <v>113</v>
      </c>
      <c r="BG86" s="63"/>
      <c r="BH86" s="64" t="s">
        <v>114</v>
      </c>
      <c r="BI86" s="1295"/>
      <c r="BJ86" s="61">
        <v>0.73599999999999999</v>
      </c>
      <c r="BK86" s="62" t="s">
        <v>113</v>
      </c>
      <c r="BL86" s="63">
        <v>1</v>
      </c>
      <c r="BM86" s="64" t="s">
        <v>114</v>
      </c>
      <c r="BN86" s="1295"/>
      <c r="BO86" s="61">
        <v>0.35560000000000003</v>
      </c>
      <c r="BP86" s="62" t="s">
        <v>113</v>
      </c>
      <c r="BQ86" s="63">
        <v>1</v>
      </c>
      <c r="BR86" s="64" t="s">
        <v>114</v>
      </c>
    </row>
    <row r="87" spans="1:70" ht="15" customHeight="1" thickTop="1" x14ac:dyDescent="0.25">
      <c r="A87" s="1282" t="s">
        <v>132</v>
      </c>
      <c r="B87" s="1283"/>
      <c r="C87" s="1288">
        <f t="shared" ref="C87" si="162">B92/((72*3.1415/59)*(45/3.281))</f>
        <v>3.8607546721213231E-3</v>
      </c>
      <c r="D87" s="1288"/>
      <c r="E87" s="1289"/>
      <c r="F87" s="1282" t="s">
        <v>132</v>
      </c>
      <c r="G87" s="1283"/>
      <c r="H87" s="1288">
        <f t="shared" ref="H87" si="163">G92/((72*3.1415/59)*(45/3.281))</f>
        <v>6.666363190502296E-2</v>
      </c>
      <c r="I87" s="1288"/>
      <c r="J87" s="1289"/>
      <c r="K87" s="1282" t="s">
        <v>132</v>
      </c>
      <c r="L87" s="1283"/>
      <c r="M87" s="1288">
        <f t="shared" ref="M87" si="164">L92/((72*3.1415/59)*(45/3.281))</f>
        <v>1.0627535521090616E-2</v>
      </c>
      <c r="N87" s="1288"/>
      <c r="O87" s="1289"/>
      <c r="P87" s="1282" t="s">
        <v>132</v>
      </c>
      <c r="Q87" s="1283"/>
      <c r="R87" s="1288">
        <f t="shared" ref="R87" si="165">Q92/((72*3.1415/59)*(45/3.281))</f>
        <v>8.6952563354377767E-3</v>
      </c>
      <c r="S87" s="1288"/>
      <c r="T87" s="1289"/>
      <c r="U87" s="1282" t="s">
        <v>132</v>
      </c>
      <c r="V87" s="1283"/>
      <c r="W87" s="1288">
        <f t="shared" ref="W87" si="166">V92/((72*3.1415/59)*(45/3.281))</f>
        <v>0.17196524012473399</v>
      </c>
      <c r="X87" s="1288"/>
      <c r="Y87" s="1289"/>
      <c r="Z87" s="1282" t="s">
        <v>132</v>
      </c>
      <c r="AA87" s="1283"/>
      <c r="AB87" s="1288">
        <f>AA92/((72*3.1415/59)*(45/3.281))</f>
        <v>2.7051908599139755E-2</v>
      </c>
      <c r="AC87" s="1288"/>
      <c r="AD87" s="1289"/>
      <c r="AE87" s="1282" t="s">
        <v>132</v>
      </c>
      <c r="AF87" s="1283"/>
      <c r="AG87" s="1288">
        <f t="shared" ref="AG87" si="167">AF92/((72*3.1415/59)*(45/3.281))</f>
        <v>1.9322791856528396E-2</v>
      </c>
      <c r="AH87" s="1288"/>
      <c r="AI87" s="1289"/>
      <c r="AJ87" s="1282" t="s">
        <v>132</v>
      </c>
      <c r="AK87" s="1283"/>
      <c r="AL87" s="1288">
        <f t="shared" ref="AL87" si="168">AK92/((72*3.1415/59)*(45/3.281))</f>
        <v>1.9018495921779914E-13</v>
      </c>
      <c r="AM87" s="1288"/>
      <c r="AN87" s="1289"/>
      <c r="AO87" s="1282" t="s">
        <v>132</v>
      </c>
      <c r="AP87" s="1283"/>
      <c r="AQ87" s="1288">
        <f t="shared" ref="AQ87" si="169">AP92/((72*3.1415/59)*(45/3.281))</f>
        <v>3.4297955545337898E-2</v>
      </c>
      <c r="AR87" s="1288"/>
      <c r="AS87" s="1289"/>
      <c r="AT87" s="1282" t="s">
        <v>132</v>
      </c>
      <c r="AU87" s="1283"/>
      <c r="AV87" s="1288">
        <f t="shared" ref="AV87" si="170">AU92/((72*3.1415/59)*(45/3.281))</f>
        <v>2.2221210635007656E-2</v>
      </c>
      <c r="AW87" s="1288"/>
      <c r="AX87" s="1289"/>
      <c r="AY87" s="1282" t="s">
        <v>132</v>
      </c>
      <c r="AZ87" s="1283"/>
      <c r="BA87" s="1288">
        <f t="shared" ref="BA87" si="171">AZ92/((72*3.1415/59)*(45/3.281))</f>
        <v>2.8018048191966172E-2</v>
      </c>
      <c r="BB87" s="1288"/>
      <c r="BC87" s="1289"/>
      <c r="BD87" s="1282" t="s">
        <v>132</v>
      </c>
      <c r="BE87" s="1283"/>
      <c r="BF87" s="1288">
        <f t="shared" ref="BF87" si="172">BE92/((72*3.1415/59)*(45/3.281))</f>
        <v>0.11352140215710432</v>
      </c>
      <c r="BG87" s="1288"/>
      <c r="BH87" s="1289"/>
      <c r="BI87" s="1282" t="s">
        <v>132</v>
      </c>
      <c r="BJ87" s="1283"/>
      <c r="BK87" s="1288">
        <f t="shared" ref="BK87" si="173">BJ92/((72*3.1415/59)*(45/3.281))</f>
        <v>0.11255526256427789</v>
      </c>
      <c r="BL87" s="1288"/>
      <c r="BM87" s="1289"/>
      <c r="BN87" s="1282" t="s">
        <v>132</v>
      </c>
      <c r="BO87" s="1283"/>
      <c r="BP87" s="1288">
        <f t="shared" ref="BP87" si="174">BO92/((72*3.1415/59)*(45/3.281))</f>
        <v>8.5012676770356219E-2</v>
      </c>
      <c r="BQ87" s="1288"/>
      <c r="BR87" s="1289"/>
    </row>
    <row r="88" spans="1:70" ht="15" customHeight="1" x14ac:dyDescent="0.25">
      <c r="A88" s="1284"/>
      <c r="B88" s="1285"/>
      <c r="C88" s="1290"/>
      <c r="D88" s="1290"/>
      <c r="E88" s="1291"/>
      <c r="F88" s="1284"/>
      <c r="G88" s="1285"/>
      <c r="H88" s="1290"/>
      <c r="I88" s="1290"/>
      <c r="J88" s="1291"/>
      <c r="K88" s="1284"/>
      <c r="L88" s="1285"/>
      <c r="M88" s="1290"/>
      <c r="N88" s="1290"/>
      <c r="O88" s="1291"/>
      <c r="P88" s="1284"/>
      <c r="Q88" s="1285"/>
      <c r="R88" s="1290"/>
      <c r="S88" s="1290"/>
      <c r="T88" s="1291"/>
      <c r="U88" s="1284"/>
      <c r="V88" s="1285"/>
      <c r="W88" s="1290"/>
      <c r="X88" s="1290"/>
      <c r="Y88" s="1291"/>
      <c r="Z88" s="1284"/>
      <c r="AA88" s="1285"/>
      <c r="AB88" s="1290"/>
      <c r="AC88" s="1290"/>
      <c r="AD88" s="1291"/>
      <c r="AE88" s="1284"/>
      <c r="AF88" s="1285"/>
      <c r="AG88" s="1290"/>
      <c r="AH88" s="1290"/>
      <c r="AI88" s="1291"/>
      <c r="AJ88" s="1284"/>
      <c r="AK88" s="1285"/>
      <c r="AL88" s="1290"/>
      <c r="AM88" s="1290"/>
      <c r="AN88" s="1291"/>
      <c r="AO88" s="1284"/>
      <c r="AP88" s="1285"/>
      <c r="AQ88" s="1290"/>
      <c r="AR88" s="1290"/>
      <c r="AS88" s="1291"/>
      <c r="AT88" s="1284"/>
      <c r="AU88" s="1285"/>
      <c r="AV88" s="1290"/>
      <c r="AW88" s="1290"/>
      <c r="AX88" s="1291"/>
      <c r="AY88" s="1284"/>
      <c r="AZ88" s="1285"/>
      <c r="BA88" s="1290"/>
      <c r="BB88" s="1290"/>
      <c r="BC88" s="1291"/>
      <c r="BD88" s="1284"/>
      <c r="BE88" s="1285"/>
      <c r="BF88" s="1290"/>
      <c r="BG88" s="1290"/>
      <c r="BH88" s="1291"/>
      <c r="BI88" s="1284"/>
      <c r="BJ88" s="1285"/>
      <c r="BK88" s="1290"/>
      <c r="BL88" s="1290"/>
      <c r="BM88" s="1291"/>
      <c r="BN88" s="1284"/>
      <c r="BO88" s="1285"/>
      <c r="BP88" s="1290"/>
      <c r="BQ88" s="1290"/>
      <c r="BR88" s="1291"/>
    </row>
    <row r="89" spans="1:70" ht="6" customHeight="1" x14ac:dyDescent="0.25">
      <c r="A89" s="1284"/>
      <c r="B89" s="1285"/>
      <c r="C89" s="1290"/>
      <c r="D89" s="1290"/>
      <c r="E89" s="1291"/>
      <c r="F89" s="1284"/>
      <c r="G89" s="1285"/>
      <c r="H89" s="1290"/>
      <c r="I89" s="1290"/>
      <c r="J89" s="1291"/>
      <c r="K89" s="1284"/>
      <c r="L89" s="1285"/>
      <c r="M89" s="1290"/>
      <c r="N89" s="1290"/>
      <c r="O89" s="1291"/>
      <c r="P89" s="1284"/>
      <c r="Q89" s="1285"/>
      <c r="R89" s="1290"/>
      <c r="S89" s="1290"/>
      <c r="T89" s="1291"/>
      <c r="U89" s="1284"/>
      <c r="V89" s="1285"/>
      <c r="W89" s="1290"/>
      <c r="X89" s="1290"/>
      <c r="Y89" s="1291"/>
      <c r="Z89" s="1284"/>
      <c r="AA89" s="1285"/>
      <c r="AB89" s="1290"/>
      <c r="AC89" s="1290"/>
      <c r="AD89" s="1291"/>
      <c r="AE89" s="1284"/>
      <c r="AF89" s="1285"/>
      <c r="AG89" s="1290"/>
      <c r="AH89" s="1290"/>
      <c r="AI89" s="1291"/>
      <c r="AJ89" s="1284"/>
      <c r="AK89" s="1285"/>
      <c r="AL89" s="1290"/>
      <c r="AM89" s="1290"/>
      <c r="AN89" s="1291"/>
      <c r="AO89" s="1284"/>
      <c r="AP89" s="1285"/>
      <c r="AQ89" s="1290"/>
      <c r="AR89" s="1290"/>
      <c r="AS89" s="1291"/>
      <c r="AT89" s="1284"/>
      <c r="AU89" s="1285"/>
      <c r="AV89" s="1290"/>
      <c r="AW89" s="1290"/>
      <c r="AX89" s="1291"/>
      <c r="AY89" s="1284"/>
      <c r="AZ89" s="1285"/>
      <c r="BA89" s="1290"/>
      <c r="BB89" s="1290"/>
      <c r="BC89" s="1291"/>
      <c r="BD89" s="1284"/>
      <c r="BE89" s="1285"/>
      <c r="BF89" s="1290"/>
      <c r="BG89" s="1290"/>
      <c r="BH89" s="1291"/>
      <c r="BI89" s="1284"/>
      <c r="BJ89" s="1285"/>
      <c r="BK89" s="1290"/>
      <c r="BL89" s="1290"/>
      <c r="BM89" s="1291"/>
      <c r="BN89" s="1284"/>
      <c r="BO89" s="1285"/>
      <c r="BP89" s="1290"/>
      <c r="BQ89" s="1290"/>
      <c r="BR89" s="1291"/>
    </row>
    <row r="90" spans="1:70" ht="15" hidden="1" customHeight="1" x14ac:dyDescent="0.25">
      <c r="A90" s="1286"/>
      <c r="B90" s="1287"/>
      <c r="C90" s="1292"/>
      <c r="D90" s="1292"/>
      <c r="E90" s="1293"/>
      <c r="F90" s="1286"/>
      <c r="G90" s="1287"/>
      <c r="H90" s="1292"/>
      <c r="I90" s="1292"/>
      <c r="J90" s="1293"/>
      <c r="K90" s="1286"/>
      <c r="L90" s="1287"/>
      <c r="M90" s="1292"/>
      <c r="N90" s="1292"/>
      <c r="O90" s="1293"/>
      <c r="P90" s="1286"/>
      <c r="Q90" s="1287"/>
      <c r="R90" s="1292"/>
      <c r="S90" s="1292"/>
      <c r="T90" s="1293"/>
      <c r="U90" s="1286"/>
      <c r="V90" s="1287"/>
      <c r="W90" s="1292"/>
      <c r="X90" s="1292"/>
      <c r="Y90" s="1293"/>
      <c r="Z90" s="1286"/>
      <c r="AA90" s="1287"/>
      <c r="AB90" s="1292"/>
      <c r="AC90" s="1292"/>
      <c r="AD90" s="1293"/>
      <c r="AE90" s="1286"/>
      <c r="AF90" s="1287"/>
      <c r="AG90" s="1292"/>
      <c r="AH90" s="1292"/>
      <c r="AI90" s="1293"/>
      <c r="AJ90" s="1286"/>
      <c r="AK90" s="1287"/>
      <c r="AL90" s="1292"/>
      <c r="AM90" s="1292"/>
      <c r="AN90" s="1293"/>
      <c r="AO90" s="1286"/>
      <c r="AP90" s="1287"/>
      <c r="AQ90" s="1292"/>
      <c r="AR90" s="1292"/>
      <c r="AS90" s="1293"/>
      <c r="AT90" s="1286"/>
      <c r="AU90" s="1287"/>
      <c r="AV90" s="1292"/>
      <c r="AW90" s="1292"/>
      <c r="AX90" s="1293"/>
      <c r="AY90" s="1286"/>
      <c r="AZ90" s="1287"/>
      <c r="BA90" s="1292"/>
      <c r="BB90" s="1292"/>
      <c r="BC90" s="1293"/>
      <c r="BD90" s="1286"/>
      <c r="BE90" s="1287"/>
      <c r="BF90" s="1292"/>
      <c r="BG90" s="1292"/>
      <c r="BH90" s="1293"/>
      <c r="BI90" s="1286"/>
      <c r="BJ90" s="1287"/>
      <c r="BK90" s="1292"/>
      <c r="BL90" s="1292"/>
      <c r="BM90" s="1293"/>
      <c r="BN90" s="1286"/>
      <c r="BO90" s="1287"/>
      <c r="BP90" s="1292"/>
      <c r="BQ90" s="1292"/>
      <c r="BR90" s="1293"/>
    </row>
    <row r="91" spans="1:70" ht="111.75" customHeight="1" x14ac:dyDescent="0.25">
      <c r="A91" s="1294" t="s">
        <v>133</v>
      </c>
      <c r="B91" s="588">
        <v>232</v>
      </c>
      <c r="C91" s="589"/>
      <c r="D91" s="589"/>
      <c r="E91" s="590"/>
      <c r="F91" s="1294" t="s">
        <v>133</v>
      </c>
      <c r="G91" s="588">
        <v>233</v>
      </c>
      <c r="H91" s="589"/>
      <c r="I91" s="589"/>
      <c r="J91" s="590"/>
      <c r="K91" s="1294" t="s">
        <v>133</v>
      </c>
      <c r="L91" s="588">
        <v>234</v>
      </c>
      <c r="M91" s="589"/>
      <c r="N91" s="589"/>
      <c r="O91" s="590"/>
      <c r="P91" s="1294" t="s">
        <v>133</v>
      </c>
      <c r="Q91" s="588">
        <v>235</v>
      </c>
      <c r="R91" s="589"/>
      <c r="S91" s="589"/>
      <c r="T91" s="590"/>
      <c r="U91" s="1294" t="s">
        <v>133</v>
      </c>
      <c r="V91" s="588">
        <v>236</v>
      </c>
      <c r="W91" s="589"/>
      <c r="X91" s="589"/>
      <c r="Y91" s="590"/>
      <c r="Z91" s="1294" t="s">
        <v>133</v>
      </c>
      <c r="AA91" s="588">
        <v>237</v>
      </c>
      <c r="AB91" s="589"/>
      <c r="AC91" s="589"/>
      <c r="AD91" s="590"/>
      <c r="AE91" s="1294" t="s">
        <v>133</v>
      </c>
      <c r="AF91" s="588">
        <v>238</v>
      </c>
      <c r="AG91" s="589"/>
      <c r="AH91" s="589"/>
      <c r="AI91" s="590"/>
      <c r="AJ91" s="1294" t="s">
        <v>133</v>
      </c>
      <c r="AK91" s="588">
        <v>239</v>
      </c>
      <c r="AL91" s="589"/>
      <c r="AM91" s="589"/>
      <c r="AN91" s="590"/>
      <c r="AO91" s="1294" t="s">
        <v>133</v>
      </c>
      <c r="AP91" s="588">
        <v>240</v>
      </c>
      <c r="AQ91" s="589"/>
      <c r="AR91" s="589"/>
      <c r="AS91" s="590"/>
      <c r="AT91" s="1294" t="s">
        <v>133</v>
      </c>
      <c r="AU91" s="588">
        <v>241</v>
      </c>
      <c r="AV91" s="589"/>
      <c r="AW91" s="589"/>
      <c r="AX91" s="590"/>
      <c r="AY91" s="1294" t="s">
        <v>133</v>
      </c>
      <c r="AZ91" s="588">
        <v>242</v>
      </c>
      <c r="BA91" s="589"/>
      <c r="BB91" s="589"/>
      <c r="BC91" s="590"/>
      <c r="BD91" s="1294" t="s">
        <v>133</v>
      </c>
      <c r="BE91" s="588">
        <v>243</v>
      </c>
      <c r="BF91" s="589"/>
      <c r="BG91" s="589"/>
      <c r="BH91" s="590"/>
      <c r="BI91" s="1294" t="s">
        <v>133</v>
      </c>
      <c r="BJ91" s="588">
        <v>244</v>
      </c>
      <c r="BK91" s="589"/>
      <c r="BL91" s="589"/>
      <c r="BM91" s="590"/>
      <c r="BN91" s="1294" t="s">
        <v>133</v>
      </c>
      <c r="BO91" s="588">
        <v>245</v>
      </c>
      <c r="BP91" s="589"/>
      <c r="BQ91" s="589"/>
      <c r="BR91" s="590"/>
    </row>
    <row r="92" spans="1:70" ht="50.25" customHeight="1" thickBot="1" x14ac:dyDescent="0.3">
      <c r="A92" s="1295"/>
      <c r="B92" s="61">
        <v>0.20300000000000001</v>
      </c>
      <c r="C92" s="62" t="s">
        <v>113</v>
      </c>
      <c r="D92" s="63"/>
      <c r="E92" s="64" t="s">
        <v>114</v>
      </c>
      <c r="F92" s="1295"/>
      <c r="G92" s="61">
        <v>3.5051999999999999</v>
      </c>
      <c r="H92" s="62" t="s">
        <v>113</v>
      </c>
      <c r="I92" s="63">
        <v>1</v>
      </c>
      <c r="J92" s="64" t="s">
        <v>114</v>
      </c>
      <c r="K92" s="1295"/>
      <c r="L92" s="61">
        <v>0.55879999999999996</v>
      </c>
      <c r="M92" s="62" t="s">
        <v>113</v>
      </c>
      <c r="N92" s="63"/>
      <c r="O92" s="64" t="s">
        <v>114</v>
      </c>
      <c r="P92" s="1295"/>
      <c r="Q92" s="61">
        <v>0.4572</v>
      </c>
      <c r="R92" s="62" t="s">
        <v>113</v>
      </c>
      <c r="S92" s="63">
        <v>1</v>
      </c>
      <c r="T92" s="64" t="s">
        <v>114</v>
      </c>
      <c r="U92" s="1295"/>
      <c r="V92" s="61">
        <v>9.0419999999999998</v>
      </c>
      <c r="W92" s="62" t="s">
        <v>113</v>
      </c>
      <c r="X92" s="63">
        <v>1</v>
      </c>
      <c r="Y92" s="64" t="s">
        <v>114</v>
      </c>
      <c r="Z92" s="1295"/>
      <c r="AA92" s="61">
        <v>1.4224000000000001</v>
      </c>
      <c r="AB92" s="62" t="s">
        <v>113</v>
      </c>
      <c r="AC92" s="63"/>
      <c r="AD92" s="64" t="s">
        <v>114</v>
      </c>
      <c r="AE92" s="1295"/>
      <c r="AF92" s="61">
        <v>1.016</v>
      </c>
      <c r="AG92" s="62" t="s">
        <v>113</v>
      </c>
      <c r="AH92" s="63">
        <v>1</v>
      </c>
      <c r="AI92" s="64" t="s">
        <v>114</v>
      </c>
      <c r="AJ92" s="1295"/>
      <c r="AK92" s="61">
        <v>9.9999999999999994E-12</v>
      </c>
      <c r="AL92" s="62" t="s">
        <v>113</v>
      </c>
      <c r="AM92" s="63"/>
      <c r="AN92" s="64" t="s">
        <v>114</v>
      </c>
      <c r="AO92" s="1295"/>
      <c r="AP92" s="61">
        <v>1.8033999999999999</v>
      </c>
      <c r="AQ92" s="62" t="s">
        <v>113</v>
      </c>
      <c r="AR92" s="63">
        <v>1</v>
      </c>
      <c r="AS92" s="64" t="s">
        <v>114</v>
      </c>
      <c r="AT92" s="1295"/>
      <c r="AU92" s="61">
        <v>1.1684000000000001</v>
      </c>
      <c r="AV92" s="62" t="s">
        <v>113</v>
      </c>
      <c r="AW92" s="63">
        <v>1</v>
      </c>
      <c r="AX92" s="64" t="s">
        <v>114</v>
      </c>
      <c r="AY92" s="1295"/>
      <c r="AZ92" s="61">
        <v>1.4732000000000001</v>
      </c>
      <c r="BA92" s="62" t="s">
        <v>113</v>
      </c>
      <c r="BB92" s="63"/>
      <c r="BC92" s="64" t="s">
        <v>114</v>
      </c>
      <c r="BD92" s="1295"/>
      <c r="BE92" s="61">
        <v>5.9690000000000003</v>
      </c>
      <c r="BF92" s="62" t="s">
        <v>113</v>
      </c>
      <c r="BG92" s="63"/>
      <c r="BH92" s="64" t="s">
        <v>114</v>
      </c>
      <c r="BI92" s="1295"/>
      <c r="BJ92" s="61">
        <v>5.9181999999999997</v>
      </c>
      <c r="BK92" s="62" t="s">
        <v>113</v>
      </c>
      <c r="BL92" s="63"/>
      <c r="BM92" s="64" t="s">
        <v>114</v>
      </c>
      <c r="BN92" s="1295"/>
      <c r="BO92" s="61">
        <v>4.47</v>
      </c>
      <c r="BP92" s="62" t="s">
        <v>113</v>
      </c>
      <c r="BQ92" s="63">
        <v>1</v>
      </c>
      <c r="BR92" s="64" t="s">
        <v>114</v>
      </c>
    </row>
    <row r="93" spans="1:70" ht="15" customHeight="1" thickTop="1" x14ac:dyDescent="0.25">
      <c r="A93" s="1282" t="s">
        <v>132</v>
      </c>
      <c r="B93" s="1283"/>
      <c r="C93" s="1288">
        <f t="shared" ref="C93" si="175">B98/((72*3.1415/59)*(45/3.281))</f>
        <v>7.970651640817962E-2</v>
      </c>
      <c r="D93" s="1288"/>
      <c r="E93" s="1289"/>
      <c r="F93" s="1282" t="s">
        <v>132</v>
      </c>
      <c r="G93" s="1283"/>
      <c r="H93" s="1288">
        <f t="shared" ref="H93" si="176">G98/((72*3.1415/59)*(45/3.281))</f>
        <v>4.0094793102296418E-2</v>
      </c>
      <c r="I93" s="1288"/>
      <c r="J93" s="1289"/>
      <c r="K93" s="1282" t="s">
        <v>132</v>
      </c>
      <c r="L93" s="1283"/>
      <c r="M93" s="1288">
        <f t="shared" ref="M93" si="177">L98/((72*3.1415/59)*(45/3.281))</f>
        <v>2.898418778479259E-2</v>
      </c>
      <c r="N93" s="1288"/>
      <c r="O93" s="1289"/>
      <c r="P93" s="1282" t="s">
        <v>132</v>
      </c>
      <c r="Q93" s="1283"/>
      <c r="R93" s="1288">
        <f t="shared" ref="R93" si="178">Q98/((72*3.1415/59)*(45/3.281))</f>
        <v>1.6424373078049136E-2</v>
      </c>
      <c r="S93" s="1288"/>
      <c r="T93" s="1289"/>
      <c r="U93" s="1282" t="s">
        <v>132</v>
      </c>
      <c r="V93" s="1283"/>
      <c r="W93" s="1288">
        <f t="shared" ref="W93" si="179">V98/((72*3.1415/59)*(45/3.281))</f>
        <v>8.6952563354377767E-3</v>
      </c>
      <c r="X93" s="1288"/>
      <c r="Y93" s="1289"/>
      <c r="Z93" s="1282" t="s">
        <v>132</v>
      </c>
      <c r="AA93" s="1283"/>
      <c r="AB93" s="1288">
        <f>AA98/((72*3.1415/59)*(45/3.281))</f>
        <v>1.9018495921779913E-14</v>
      </c>
      <c r="AC93" s="1288"/>
      <c r="AD93" s="1289"/>
      <c r="AE93" s="1282" t="s">
        <v>132</v>
      </c>
      <c r="AF93" s="1283"/>
      <c r="AG93" s="1288">
        <f t="shared" ref="AG93" si="180">AF98/((72*3.1415/59)*(45/3.281))</f>
        <v>5.5553026587519129E-2</v>
      </c>
      <c r="AH93" s="1288"/>
      <c r="AI93" s="1289"/>
      <c r="AJ93" s="1282" t="s">
        <v>132</v>
      </c>
      <c r="AK93" s="1283"/>
      <c r="AL93" s="1288">
        <f t="shared" ref="AL93" si="181">AK98/((72*3.1415/59)*(45/3.281))</f>
        <v>1.9018495921779918E-11</v>
      </c>
      <c r="AM93" s="1288"/>
      <c r="AN93" s="1289"/>
    </row>
    <row r="94" spans="1:70" ht="20.25" customHeight="1" x14ac:dyDescent="0.25">
      <c r="A94" s="1284"/>
      <c r="B94" s="1285"/>
      <c r="C94" s="1290"/>
      <c r="D94" s="1290"/>
      <c r="E94" s="1291"/>
      <c r="F94" s="1284"/>
      <c r="G94" s="1285"/>
      <c r="H94" s="1290"/>
      <c r="I94" s="1290"/>
      <c r="J94" s="1291"/>
      <c r="K94" s="1284"/>
      <c r="L94" s="1285"/>
      <c r="M94" s="1290"/>
      <c r="N94" s="1290"/>
      <c r="O94" s="1291"/>
      <c r="P94" s="1284"/>
      <c r="Q94" s="1285"/>
      <c r="R94" s="1290"/>
      <c r="S94" s="1290"/>
      <c r="T94" s="1291"/>
      <c r="U94" s="1284"/>
      <c r="V94" s="1285"/>
      <c r="W94" s="1290"/>
      <c r="X94" s="1290"/>
      <c r="Y94" s="1291"/>
      <c r="Z94" s="1284"/>
      <c r="AA94" s="1285"/>
      <c r="AB94" s="1290"/>
      <c r="AC94" s="1290"/>
      <c r="AD94" s="1291"/>
      <c r="AE94" s="1284"/>
      <c r="AF94" s="1285"/>
      <c r="AG94" s="1290"/>
      <c r="AH94" s="1290"/>
      <c r="AI94" s="1291"/>
      <c r="AJ94" s="1284"/>
      <c r="AK94" s="1285"/>
      <c r="AL94" s="1290"/>
      <c r="AM94" s="1290"/>
      <c r="AN94" s="1291"/>
    </row>
    <row r="95" spans="1:70" ht="3.75" customHeight="1" x14ac:dyDescent="0.25">
      <c r="A95" s="1284"/>
      <c r="B95" s="1285"/>
      <c r="C95" s="1290"/>
      <c r="D95" s="1290"/>
      <c r="E95" s="1291"/>
      <c r="F95" s="1284"/>
      <c r="G95" s="1285"/>
      <c r="H95" s="1290"/>
      <c r="I95" s="1290"/>
      <c r="J95" s="1291"/>
      <c r="K95" s="1284"/>
      <c r="L95" s="1285"/>
      <c r="M95" s="1290"/>
      <c r="N95" s="1290"/>
      <c r="O95" s="1291"/>
      <c r="P95" s="1284"/>
      <c r="Q95" s="1285"/>
      <c r="R95" s="1290"/>
      <c r="S95" s="1290"/>
      <c r="T95" s="1291"/>
      <c r="U95" s="1284"/>
      <c r="V95" s="1285"/>
      <c r="W95" s="1290"/>
      <c r="X95" s="1290"/>
      <c r="Y95" s="1291"/>
      <c r="Z95" s="1284"/>
      <c r="AA95" s="1285"/>
      <c r="AB95" s="1290"/>
      <c r="AC95" s="1290"/>
      <c r="AD95" s="1291"/>
      <c r="AE95" s="1284"/>
      <c r="AF95" s="1285"/>
      <c r="AG95" s="1290"/>
      <c r="AH95" s="1290"/>
      <c r="AI95" s="1291"/>
      <c r="AJ95" s="1284"/>
      <c r="AK95" s="1285"/>
      <c r="AL95" s="1290"/>
      <c r="AM95" s="1290"/>
      <c r="AN95" s="1291"/>
    </row>
    <row r="96" spans="1:70" ht="15" hidden="1" customHeight="1" x14ac:dyDescent="0.25">
      <c r="A96" s="1286"/>
      <c r="B96" s="1287"/>
      <c r="C96" s="1292"/>
      <c r="D96" s="1292"/>
      <c r="E96" s="1293"/>
      <c r="F96" s="1286"/>
      <c r="G96" s="1287"/>
      <c r="H96" s="1292"/>
      <c r="I96" s="1292"/>
      <c r="J96" s="1293"/>
      <c r="K96" s="1286"/>
      <c r="L96" s="1287"/>
      <c r="M96" s="1292"/>
      <c r="N96" s="1292"/>
      <c r="O96" s="1293"/>
      <c r="P96" s="1286"/>
      <c r="Q96" s="1287"/>
      <c r="R96" s="1292"/>
      <c r="S96" s="1292"/>
      <c r="T96" s="1293"/>
      <c r="U96" s="1286"/>
      <c r="V96" s="1287"/>
      <c r="W96" s="1292"/>
      <c r="X96" s="1292"/>
      <c r="Y96" s="1293"/>
      <c r="Z96" s="1286"/>
      <c r="AA96" s="1287"/>
      <c r="AB96" s="1292"/>
      <c r="AC96" s="1292"/>
      <c r="AD96" s="1293"/>
      <c r="AE96" s="1286"/>
      <c r="AF96" s="1287"/>
      <c r="AG96" s="1292"/>
      <c r="AH96" s="1292"/>
      <c r="AI96" s="1293"/>
      <c r="AJ96" s="1286"/>
      <c r="AK96" s="1287"/>
      <c r="AL96" s="1292"/>
      <c r="AM96" s="1292"/>
      <c r="AN96" s="1293"/>
    </row>
    <row r="97" spans="1:70" ht="111.75" customHeight="1" x14ac:dyDescent="0.25">
      <c r="A97" s="1294" t="s">
        <v>133</v>
      </c>
      <c r="B97" s="588">
        <v>246</v>
      </c>
      <c r="C97" s="589"/>
      <c r="D97" s="589"/>
      <c r="E97" s="590"/>
      <c r="F97" s="1294" t="s">
        <v>133</v>
      </c>
      <c r="G97" s="588">
        <v>257</v>
      </c>
      <c r="H97" s="589"/>
      <c r="I97" s="589"/>
      <c r="J97" s="590"/>
      <c r="K97" s="1294" t="s">
        <v>133</v>
      </c>
      <c r="L97" s="588">
        <v>259</v>
      </c>
      <c r="M97" s="589"/>
      <c r="N97" s="589"/>
      <c r="O97" s="590"/>
      <c r="P97" s="1294" t="s">
        <v>133</v>
      </c>
      <c r="Q97" s="588">
        <v>260</v>
      </c>
      <c r="R97" s="589"/>
      <c r="S97" s="589"/>
      <c r="T97" s="590"/>
      <c r="U97" s="1294" t="s">
        <v>133</v>
      </c>
      <c r="V97" s="588">
        <v>261</v>
      </c>
      <c r="W97" s="589"/>
      <c r="X97" s="589"/>
      <c r="Y97" s="590"/>
      <c r="Z97" s="1294" t="s">
        <v>133</v>
      </c>
      <c r="AA97" s="588">
        <v>262</v>
      </c>
      <c r="AB97" s="589"/>
      <c r="AC97" s="589"/>
      <c r="AD97" s="590"/>
      <c r="AE97" s="1294" t="s">
        <v>133</v>
      </c>
      <c r="AF97" s="588">
        <v>263</v>
      </c>
      <c r="AG97" s="589"/>
      <c r="AH97" s="589"/>
      <c r="AI97" s="590"/>
      <c r="AJ97" s="1294" t="s">
        <v>133</v>
      </c>
      <c r="AK97" s="588">
        <v>267</v>
      </c>
      <c r="AL97" s="589"/>
      <c r="AM97" s="589"/>
      <c r="AN97" s="590"/>
    </row>
    <row r="98" spans="1:70" ht="50.25" customHeight="1" thickBot="1" x14ac:dyDescent="0.3">
      <c r="A98" s="1295"/>
      <c r="B98" s="61">
        <v>4.1909999999999998</v>
      </c>
      <c r="C98" s="62" t="s">
        <v>113</v>
      </c>
      <c r="D98" s="63">
        <v>1</v>
      </c>
      <c r="E98" s="64" t="s">
        <v>114</v>
      </c>
      <c r="F98" s="1295"/>
      <c r="G98" s="61">
        <v>2.1082000000000001</v>
      </c>
      <c r="H98" s="62" t="s">
        <v>113</v>
      </c>
      <c r="I98" s="63">
        <v>1</v>
      </c>
      <c r="J98" s="64" t="s">
        <v>114</v>
      </c>
      <c r="K98" s="1295"/>
      <c r="L98" s="61">
        <v>1.524</v>
      </c>
      <c r="M98" s="62" t="s">
        <v>113</v>
      </c>
      <c r="N98" s="63"/>
      <c r="O98" s="64" t="s">
        <v>114</v>
      </c>
      <c r="P98" s="1295"/>
      <c r="Q98" s="61">
        <v>0.86360000000000003</v>
      </c>
      <c r="R98" s="62" t="s">
        <v>113</v>
      </c>
      <c r="S98" s="63">
        <v>1</v>
      </c>
      <c r="T98" s="64" t="s">
        <v>114</v>
      </c>
      <c r="U98" s="1295"/>
      <c r="V98" s="61">
        <v>0.4572</v>
      </c>
      <c r="W98" s="62" t="s">
        <v>113</v>
      </c>
      <c r="X98" s="63"/>
      <c r="Y98" s="64" t="s">
        <v>114</v>
      </c>
      <c r="Z98" s="1295"/>
      <c r="AA98" s="61">
        <v>9.9999999999999998E-13</v>
      </c>
      <c r="AB98" s="62" t="s">
        <v>113</v>
      </c>
      <c r="AC98" s="63">
        <v>1</v>
      </c>
      <c r="AD98" s="64" t="s">
        <v>114</v>
      </c>
      <c r="AE98" s="1295"/>
      <c r="AF98" s="61">
        <v>2.9209999999999998</v>
      </c>
      <c r="AG98" s="62" t="s">
        <v>113</v>
      </c>
      <c r="AH98" s="63">
        <v>1</v>
      </c>
      <c r="AI98" s="64" t="s">
        <v>114</v>
      </c>
      <c r="AJ98" s="1295"/>
      <c r="AK98" s="61">
        <v>1.0000000000000001E-9</v>
      </c>
      <c r="AL98" s="62" t="s">
        <v>113</v>
      </c>
      <c r="AM98" s="63"/>
      <c r="AN98" s="64" t="s">
        <v>114</v>
      </c>
    </row>
    <row r="99" spans="1:70" ht="123" customHeight="1" thickTop="1" x14ac:dyDescent="0.25">
      <c r="A99" s="37"/>
      <c r="B99" s="38"/>
      <c r="C99" s="39"/>
      <c r="D99" s="40"/>
      <c r="E99" s="41"/>
      <c r="F99" s="37"/>
      <c r="G99" s="38"/>
      <c r="H99" s="39"/>
      <c r="I99" s="40"/>
      <c r="J99" s="41"/>
      <c r="K99" s="37"/>
      <c r="L99" s="38"/>
      <c r="M99" s="39"/>
      <c r="N99" s="40"/>
      <c r="O99" s="41"/>
      <c r="P99" s="37"/>
      <c r="Q99" s="38"/>
      <c r="R99" s="39"/>
      <c r="S99" s="40"/>
      <c r="T99" s="41"/>
      <c r="U99" s="37"/>
      <c r="V99" s="38"/>
      <c r="W99" s="39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37"/>
      <c r="AK99" s="38"/>
      <c r="AL99" s="39"/>
      <c r="AM99" s="40"/>
      <c r="AN99" s="41"/>
      <c r="AO99" s="37"/>
      <c r="AP99" s="38"/>
      <c r="AQ99" s="39"/>
      <c r="AR99" s="40"/>
      <c r="AS99" s="41"/>
      <c r="AT99" s="37"/>
      <c r="AU99" s="38"/>
      <c r="AV99" s="39"/>
      <c r="AW99" s="40"/>
      <c r="AX99" s="41"/>
      <c r="AY99" s="37"/>
      <c r="AZ99" s="38"/>
      <c r="BA99" s="39"/>
      <c r="BB99" s="40"/>
      <c r="BC99" s="41"/>
      <c r="BD99" s="37"/>
      <c r="BE99" s="38"/>
      <c r="BF99" s="39"/>
      <c r="BG99" s="40"/>
      <c r="BH99" s="41"/>
      <c r="BI99" s="37"/>
      <c r="BJ99" s="38"/>
      <c r="BK99" s="39"/>
      <c r="BL99" s="40"/>
      <c r="BM99" s="41"/>
      <c r="BN99" s="37"/>
      <c r="BO99" s="38"/>
      <c r="BP99" s="39"/>
      <c r="BQ99" s="40"/>
      <c r="BR99" s="41"/>
    </row>
    <row r="100" spans="1:70" ht="33.75" x14ac:dyDescent="0.25">
      <c r="A100" s="674"/>
      <c r="B100" s="674"/>
      <c r="C100" s="674"/>
      <c r="D100" s="675"/>
      <c r="E100" s="675"/>
      <c r="F100" s="44"/>
      <c r="G100" s="702">
        <v>190</v>
      </c>
      <c r="H100" s="702"/>
      <c r="I100" s="702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699" t="s">
        <v>633</v>
      </c>
      <c r="Y100" s="699"/>
      <c r="Z100" s="699"/>
      <c r="AA100" s="699"/>
      <c r="AB100" s="699"/>
      <c r="AC100" s="699"/>
      <c r="AD100" s="699"/>
      <c r="AE100" s="699"/>
      <c r="AF100" s="699"/>
      <c r="AG100" s="699"/>
      <c r="AH100" s="699"/>
      <c r="AI100" s="699"/>
      <c r="AJ100" s="697" t="s">
        <v>117</v>
      </c>
      <c r="AK100" s="697"/>
      <c r="AL100" s="697"/>
      <c r="AM100" s="697"/>
      <c r="AN100" s="697"/>
      <c r="AO100" s="697"/>
      <c r="AP100" s="697"/>
      <c r="AQ100" s="697"/>
      <c r="AR100" s="697"/>
      <c r="AS100" s="697"/>
      <c r="AT100" s="46"/>
      <c r="AU100" s="698" t="s">
        <v>118</v>
      </c>
      <c r="AV100" s="698"/>
      <c r="AW100" s="698"/>
      <c r="AX100" s="698"/>
      <c r="AY100" s="698"/>
      <c r="AZ100" s="698"/>
      <c r="BA100" s="698"/>
      <c r="BB100" s="698"/>
      <c r="BC100" s="698"/>
      <c r="BD100" s="698"/>
      <c r="BE100" s="698"/>
      <c r="BF100" s="698"/>
      <c r="BG100" s="699" t="s">
        <v>119</v>
      </c>
      <c r="BH100" s="699"/>
      <c r="BI100" s="699"/>
      <c r="BJ100" s="699"/>
      <c r="BK100" s="699"/>
      <c r="BL100" s="700">
        <f>D7+I7+N7+S7+X7+AH7+AM7+AR7+AW7+BB7+BG7+BL7+BQ7+D13+I13+N13+S13+X13+AC13+AH13+AM13+AR13+AW13+BB13+BG13+BL13+BQ13+D19+I19+N19+S19+X19+AC19+AH19+AM19+AR19+AW19+BB19+BG19+BL19+BQ19+D25+I25+N25+S25+X25+AC25+AH25+AM25+AR25+AW25+BB25+BG25+BL25+D31+I31+BQ25+N31+S31+X31+AC31+AH31+AM31+AR31+AW31+BB31+BG31+BL31+BQ31+BQ37+BL37+BG37+BB37+AW37+AR37+AM37+AH37+AC37+X37+S37+N37+I37+D37+D43+I43+N43+S43+X43+AC43+AH43+AM43+AR43+AW43+BB43+BG43+BL43+BQ43+BQ49+BL49+BG49+BB49+AW49+AR49+AM49+AH49+AC49+X49+S49+N49+I49+D49+D68+I68+N68+S68+X68+AC68+AH68+AM68+AR68+AW68+BB68+BG68+BL68+BQ68+BQ74+BL74+BG74+BB74+AW74+AR74+AM74+AH74+AC74+X74+S74+N74+I74+D74+D80+I80+N80+S80+X80+AC80+AH80+AM80+AR80+AW80+BB80+BG80+BL80+BQ80+BQ86+BL86+BG86+BB86+AW86+AR86+AM86+AH86+AC86+X86+S86+N86+I86+D86+D92+I92+N92+S92+X92+AC92+AH92+AM92+AR92+AW92+BB92+BG92+BL92+BQ92+AM98+AH98+AC98+X98+S98+N98+I98+D98</f>
        <v>115</v>
      </c>
      <c r="BM100" s="700"/>
      <c r="BN100" s="700"/>
      <c r="BO100" s="700"/>
      <c r="BP100" s="701" t="s">
        <v>120</v>
      </c>
      <c r="BQ100" s="701"/>
      <c r="BR100" s="701"/>
    </row>
    <row r="101" spans="1:70" ht="25.5" customHeight="1" x14ac:dyDescent="0.25">
      <c r="A101" s="676"/>
      <c r="B101" s="676"/>
      <c r="C101" s="676"/>
      <c r="D101" s="29"/>
      <c r="E101" s="29"/>
      <c r="F101" s="47"/>
      <c r="G101" s="702"/>
      <c r="H101" s="702"/>
      <c r="I101" s="702"/>
      <c r="J101" s="48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699"/>
      <c r="Y101" s="699"/>
      <c r="Z101" s="699"/>
      <c r="AA101" s="699"/>
      <c r="AB101" s="699"/>
      <c r="AC101" s="699"/>
      <c r="AD101" s="699"/>
      <c r="AE101" s="699"/>
      <c r="AF101" s="699"/>
      <c r="AG101" s="699"/>
      <c r="AH101" s="699"/>
      <c r="AI101" s="699"/>
      <c r="AJ101" s="697"/>
      <c r="AK101" s="697"/>
      <c r="AL101" s="697"/>
      <c r="AM101" s="697"/>
      <c r="AN101" s="697"/>
      <c r="AO101" s="697"/>
      <c r="AP101" s="697"/>
      <c r="AQ101" s="697"/>
      <c r="AR101" s="697"/>
      <c r="AS101" s="697"/>
      <c r="AT101" s="46"/>
      <c r="AU101" s="698"/>
      <c r="AV101" s="698"/>
      <c r="AW101" s="698"/>
      <c r="AX101" s="698"/>
      <c r="AY101" s="698"/>
      <c r="AZ101" s="698"/>
      <c r="BA101" s="698"/>
      <c r="BB101" s="698"/>
      <c r="BC101" s="698"/>
      <c r="BD101" s="698"/>
      <c r="BE101" s="698"/>
      <c r="BF101" s="698"/>
      <c r="BG101" s="699"/>
      <c r="BH101" s="699"/>
      <c r="BI101" s="699"/>
      <c r="BJ101" s="699"/>
      <c r="BK101" s="699"/>
      <c r="BL101" s="700"/>
      <c r="BM101" s="700"/>
      <c r="BN101" s="700"/>
      <c r="BO101" s="700"/>
      <c r="BP101" s="701"/>
      <c r="BQ101" s="701"/>
      <c r="BR101" s="701"/>
    </row>
    <row r="102" spans="1:70" ht="24" customHeight="1" x14ac:dyDescent="0.25">
      <c r="A102" s="676"/>
      <c r="B102" s="676"/>
      <c r="C102" s="676"/>
      <c r="D102" s="29"/>
      <c r="E102" s="29"/>
      <c r="F102" s="47"/>
      <c r="G102" s="702"/>
      <c r="H102" s="702"/>
      <c r="I102" s="702"/>
      <c r="J102" s="48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699"/>
      <c r="Y102" s="699"/>
      <c r="Z102" s="699"/>
      <c r="AA102" s="699"/>
      <c r="AB102" s="699"/>
      <c r="AC102" s="699"/>
      <c r="AD102" s="699"/>
      <c r="AE102" s="699"/>
      <c r="AF102" s="699"/>
      <c r="AG102" s="699"/>
      <c r="AH102" s="699"/>
      <c r="AI102" s="699"/>
      <c r="AJ102" s="697"/>
      <c r="AK102" s="697"/>
      <c r="AL102" s="697"/>
      <c r="AM102" s="697"/>
      <c r="AN102" s="697"/>
      <c r="AO102" s="697"/>
      <c r="AP102" s="697"/>
      <c r="AQ102" s="697"/>
      <c r="AR102" s="697"/>
      <c r="AS102" s="697"/>
      <c r="AT102" s="46"/>
      <c r="AU102" s="698"/>
      <c r="AV102" s="698"/>
      <c r="AW102" s="698"/>
      <c r="AX102" s="698"/>
      <c r="AY102" s="698"/>
      <c r="AZ102" s="698"/>
      <c r="BA102" s="698"/>
      <c r="BB102" s="698"/>
      <c r="BC102" s="698"/>
      <c r="BD102" s="698"/>
      <c r="BE102" s="698"/>
      <c r="BF102" s="698"/>
      <c r="BG102" s="699"/>
      <c r="BH102" s="699"/>
      <c r="BI102" s="699"/>
      <c r="BJ102" s="699"/>
      <c r="BK102" s="699"/>
      <c r="BL102" s="700"/>
      <c r="BM102" s="700"/>
      <c r="BN102" s="700"/>
      <c r="BO102" s="700"/>
      <c r="BP102" s="701"/>
      <c r="BQ102" s="701"/>
      <c r="BR102" s="701"/>
    </row>
    <row r="103" spans="1:70" ht="21.75" customHeight="1" x14ac:dyDescent="0.25">
      <c r="A103" s="676"/>
      <c r="B103" s="676"/>
      <c r="C103" s="676"/>
      <c r="D103" s="675"/>
      <c r="E103" s="675"/>
      <c r="F103" s="47"/>
      <c r="G103" s="703">
        <v>190</v>
      </c>
      <c r="H103" s="703"/>
      <c r="I103" s="703"/>
      <c r="J103" s="48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699"/>
      <c r="Y103" s="699"/>
      <c r="Z103" s="699"/>
      <c r="AA103" s="699"/>
      <c r="AB103" s="699"/>
      <c r="AC103" s="699"/>
      <c r="AD103" s="699"/>
      <c r="AE103" s="699"/>
      <c r="AF103" s="699"/>
      <c r="AG103" s="699"/>
      <c r="AH103" s="699"/>
      <c r="AI103" s="699"/>
      <c r="AJ103" s="697"/>
      <c r="AK103" s="697"/>
      <c r="AL103" s="697"/>
      <c r="AM103" s="697"/>
      <c r="AN103" s="697"/>
      <c r="AO103" s="697"/>
      <c r="AP103" s="697"/>
      <c r="AQ103" s="697"/>
      <c r="AR103" s="697"/>
      <c r="AS103" s="697"/>
      <c r="AT103" s="46"/>
      <c r="AU103" s="698"/>
      <c r="AV103" s="698"/>
      <c r="AW103" s="698"/>
      <c r="AX103" s="698"/>
      <c r="AY103" s="698"/>
      <c r="AZ103" s="698"/>
      <c r="BA103" s="698"/>
      <c r="BB103" s="698"/>
      <c r="BC103" s="698"/>
      <c r="BD103" s="698"/>
      <c r="BE103" s="698"/>
      <c r="BF103" s="698"/>
      <c r="BG103" s="699"/>
      <c r="BH103" s="699"/>
      <c r="BI103" s="699"/>
      <c r="BJ103" s="699"/>
      <c r="BK103" s="699"/>
      <c r="BL103" s="700"/>
      <c r="BM103" s="700"/>
      <c r="BN103" s="700"/>
      <c r="BO103" s="700"/>
      <c r="BP103" s="701"/>
      <c r="BQ103" s="701"/>
      <c r="BR103" s="701"/>
    </row>
    <row r="104" spans="1:70" ht="21.75" customHeight="1" x14ac:dyDescent="0.25">
      <c r="B104" s="17"/>
      <c r="G104" s="703"/>
      <c r="H104" s="703"/>
      <c r="I104" s="703"/>
      <c r="J104" s="48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722" t="s">
        <v>13</v>
      </c>
      <c r="Y104" s="722"/>
      <c r="Z104" s="722"/>
      <c r="AA104" s="722"/>
      <c r="AB104" s="722"/>
      <c r="AC104" s="722"/>
      <c r="AD104" s="722"/>
      <c r="AE104" s="722"/>
      <c r="AF104" s="722"/>
      <c r="AG104" s="722"/>
      <c r="AH104" s="722"/>
      <c r="AI104" s="722"/>
      <c r="AJ104" s="723">
        <f>AU104-Z116</f>
        <v>0</v>
      </c>
      <c r="AK104" s="723"/>
      <c r="AL104" s="723"/>
      <c r="AM104" s="723"/>
      <c r="AN104" s="723"/>
      <c r="AO104" s="723"/>
      <c r="AP104" s="723"/>
      <c r="AQ104" s="723"/>
      <c r="AR104" s="723"/>
      <c r="AS104" s="723"/>
      <c r="AT104" s="723"/>
      <c r="AU104" s="707">
        <f>B7+G7+L7+Q7+V7+AA7+AF7+AK7+AP7+AU7+AZ7+BE7+BJ7+BO7+BO13+BJ13+BE13+AZ13+AU13+AP13+AK13+AF13+AA13+V13+Q13+L13+G13+B13+B19+G19+L19+Q19+V19+AA19+AF19+AK19+AP19+AU19+AZ19+BE19+BJ19+BO19+BO25+BJ25+BE25+AZ25+AU25+AP25+AK25+AF25+AA25+V25+Q25+L25+G25+B31+B25+G31+L31+Q31+V31+AA31+AF31+AK31+AP31+AU31+AZ31+BE31+BJ31+BO31+BO37+BJ37+BE37+AZ37+AU37+AP37+AK37+AF37+AA37+V37+Q37+L37+G37+B37+B43+G43+L43+Q43+V43+AA43+AF43+AK43+AP43+AU43+AZ43+BE43+BJ43+BO43+BO49+BJ49+BE49+AZ49+AU49+AP49+AK49+AF49+AA49+V49+Q49+L49+G49+B49+B68+G68+L68+Q68+V68+AA68+AF68+AK68+AP68+AU68+AZ68+BE68+BJ68+BO68+BO74+BJ74+BE74+AZ74+AU74+AP74+AK74+AF74+AA74+V74+Q74+L74+G74+B74+B80+G80+L80+Q80+V80+AA80+AF80+AK80+AP80+AU80+AZ80+BE80+BJ80+BO80+BO86+BJ86+BE86+AZ86+AU86+AP86+AK86+AF86+AA86+V86+Q86+L86+G86+B86+B92+G92+L92+Q92+V92+AA92+AF92+AK92+AP92+AU92+AZ92+BE92+BJ92+BO92+B98+G98+L98+Q98+V98+AA98+AF98+AK98</f>
        <v>481.59133000211193</v>
      </c>
      <c r="AV104" s="707"/>
      <c r="AW104" s="707"/>
      <c r="AX104" s="707"/>
      <c r="AY104" s="707"/>
      <c r="AZ104" s="707"/>
      <c r="BA104" s="707"/>
      <c r="BB104" s="707"/>
      <c r="BC104" s="707"/>
      <c r="BD104" s="707"/>
      <c r="BE104" s="707"/>
      <c r="BF104" s="707"/>
      <c r="BG104" s="699"/>
      <c r="BH104" s="699"/>
      <c r="BI104" s="699"/>
      <c r="BJ104" s="699"/>
      <c r="BK104" s="699"/>
      <c r="BL104" s="708">
        <f>BL100*1.5</f>
        <v>172.5</v>
      </c>
      <c r="BM104" s="708"/>
      <c r="BN104" s="708"/>
      <c r="BO104" s="708"/>
      <c r="BP104" s="708"/>
      <c r="BQ104" s="708"/>
      <c r="BR104" s="708"/>
    </row>
    <row r="105" spans="1:70" ht="21.75" customHeight="1" x14ac:dyDescent="0.25">
      <c r="G105" s="703"/>
      <c r="H105" s="703"/>
      <c r="I105" s="703"/>
      <c r="J105" s="52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722"/>
      <c r="Y105" s="722"/>
      <c r="Z105" s="722"/>
      <c r="AA105" s="722"/>
      <c r="AB105" s="722"/>
      <c r="AC105" s="722"/>
      <c r="AD105" s="722"/>
      <c r="AE105" s="722"/>
      <c r="AF105" s="722"/>
      <c r="AG105" s="722"/>
      <c r="AH105" s="722"/>
      <c r="AI105" s="722"/>
      <c r="AJ105" s="723"/>
      <c r="AK105" s="723"/>
      <c r="AL105" s="723"/>
      <c r="AM105" s="723"/>
      <c r="AN105" s="723"/>
      <c r="AO105" s="723"/>
      <c r="AP105" s="723"/>
      <c r="AQ105" s="723"/>
      <c r="AR105" s="723"/>
      <c r="AS105" s="723"/>
      <c r="AT105" s="723"/>
      <c r="AU105" s="707"/>
      <c r="AV105" s="707"/>
      <c r="AW105" s="707"/>
      <c r="AX105" s="707"/>
      <c r="AY105" s="707"/>
      <c r="AZ105" s="707"/>
      <c r="BA105" s="707"/>
      <c r="BB105" s="707"/>
      <c r="BC105" s="707"/>
      <c r="BD105" s="707"/>
      <c r="BE105" s="707"/>
      <c r="BF105" s="707"/>
      <c r="BG105" s="699"/>
      <c r="BH105" s="699"/>
      <c r="BI105" s="699"/>
      <c r="BJ105" s="699"/>
      <c r="BK105" s="699"/>
      <c r="BL105" s="708"/>
      <c r="BM105" s="708"/>
      <c r="BN105" s="708"/>
      <c r="BO105" s="708"/>
      <c r="BP105" s="708"/>
      <c r="BQ105" s="708"/>
      <c r="BR105" s="708"/>
    </row>
    <row r="106" spans="1:70" ht="25.5" customHeight="1" x14ac:dyDescent="0.25">
      <c r="G106" s="709"/>
      <c r="H106" s="709"/>
      <c r="I106" s="709"/>
      <c r="J106" s="52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722"/>
      <c r="Y106" s="722"/>
      <c r="Z106" s="722"/>
      <c r="AA106" s="722"/>
      <c r="AB106" s="722"/>
      <c r="AC106" s="722"/>
      <c r="AD106" s="722"/>
      <c r="AE106" s="722"/>
      <c r="AF106" s="722"/>
      <c r="AG106" s="722"/>
      <c r="AH106" s="722"/>
      <c r="AI106" s="722"/>
      <c r="AJ106" s="723"/>
      <c r="AK106" s="723"/>
      <c r="AL106" s="723"/>
      <c r="AM106" s="723"/>
      <c r="AN106" s="723"/>
      <c r="AO106" s="723"/>
      <c r="AP106" s="723"/>
      <c r="AQ106" s="723"/>
      <c r="AR106" s="723"/>
      <c r="AS106" s="723"/>
      <c r="AT106" s="723"/>
      <c r="AU106" s="707"/>
      <c r="AV106" s="707"/>
      <c r="AW106" s="707"/>
      <c r="AX106" s="707"/>
      <c r="AY106" s="707"/>
      <c r="AZ106" s="707"/>
      <c r="BA106" s="707"/>
      <c r="BB106" s="707"/>
      <c r="BC106" s="707"/>
      <c r="BD106" s="707"/>
      <c r="BE106" s="707"/>
      <c r="BF106" s="707"/>
      <c r="BG106" s="699"/>
      <c r="BH106" s="699"/>
      <c r="BI106" s="699"/>
      <c r="BJ106" s="699"/>
      <c r="BK106" s="699"/>
      <c r="BL106" s="708"/>
      <c r="BM106" s="708"/>
      <c r="BN106" s="708"/>
      <c r="BO106" s="708"/>
      <c r="BP106" s="708"/>
      <c r="BQ106" s="708"/>
      <c r="BR106" s="708"/>
    </row>
    <row r="107" spans="1:70" ht="26.25" customHeight="1" x14ac:dyDescent="0.25">
      <c r="G107" s="709"/>
      <c r="H107" s="709"/>
      <c r="I107" s="709"/>
      <c r="J107" s="52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722"/>
      <c r="Y107" s="722"/>
      <c r="Z107" s="722"/>
      <c r="AA107" s="722"/>
      <c r="AB107" s="722"/>
      <c r="AC107" s="722"/>
      <c r="AD107" s="722"/>
      <c r="AE107" s="722"/>
      <c r="AF107" s="722"/>
      <c r="AG107" s="722"/>
      <c r="AH107" s="722"/>
      <c r="AI107" s="722"/>
      <c r="AJ107" s="723"/>
      <c r="AK107" s="723"/>
      <c r="AL107" s="723"/>
      <c r="AM107" s="723"/>
      <c r="AN107" s="723"/>
      <c r="AO107" s="723"/>
      <c r="AP107" s="723"/>
      <c r="AQ107" s="723"/>
      <c r="AR107" s="723"/>
      <c r="AS107" s="723"/>
      <c r="AT107" s="723"/>
      <c r="AU107" s="707"/>
      <c r="AV107" s="707"/>
      <c r="AW107" s="707"/>
      <c r="AX107" s="707"/>
      <c r="AY107" s="707"/>
      <c r="AZ107" s="707"/>
      <c r="BA107" s="707"/>
      <c r="BB107" s="707"/>
      <c r="BC107" s="707"/>
      <c r="BD107" s="707"/>
      <c r="BE107" s="707"/>
      <c r="BF107" s="707"/>
      <c r="BG107" s="699"/>
      <c r="BH107" s="699"/>
      <c r="BI107" s="699"/>
      <c r="BJ107" s="699"/>
      <c r="BK107" s="699"/>
      <c r="BL107" s="708"/>
      <c r="BM107" s="708"/>
      <c r="BN107" s="708"/>
      <c r="BO107" s="708"/>
      <c r="BP107" s="708"/>
      <c r="BQ107" s="708"/>
      <c r="BR107" s="708"/>
    </row>
    <row r="108" spans="1:70" ht="41.25" customHeight="1" x14ac:dyDescent="0.25">
      <c r="G108" s="709"/>
      <c r="H108" s="709"/>
      <c r="I108" s="709"/>
      <c r="J108" s="52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722"/>
      <c r="Y108" s="722"/>
      <c r="Z108" s="722"/>
      <c r="AA108" s="722"/>
      <c r="AB108" s="722"/>
      <c r="AC108" s="722"/>
      <c r="AD108" s="722"/>
      <c r="AE108" s="722"/>
      <c r="AF108" s="722"/>
      <c r="AG108" s="722"/>
      <c r="AH108" s="722"/>
      <c r="AI108" s="722"/>
      <c r="AJ108" s="723"/>
      <c r="AK108" s="723"/>
      <c r="AL108" s="723"/>
      <c r="AM108" s="723"/>
      <c r="AN108" s="723"/>
      <c r="AO108" s="723"/>
      <c r="AP108" s="723"/>
      <c r="AQ108" s="723"/>
      <c r="AR108" s="723"/>
      <c r="AS108" s="723"/>
      <c r="AT108" s="723"/>
      <c r="AU108" s="707"/>
      <c r="AV108" s="707"/>
      <c r="AW108" s="707"/>
      <c r="AX108" s="707"/>
      <c r="AY108" s="707"/>
      <c r="AZ108" s="707"/>
      <c r="BA108" s="707"/>
      <c r="BB108" s="707"/>
      <c r="BC108" s="707"/>
      <c r="BD108" s="707"/>
      <c r="BE108" s="707"/>
      <c r="BF108" s="707"/>
      <c r="BG108" s="699"/>
      <c r="BH108" s="699"/>
      <c r="BI108" s="699"/>
      <c r="BJ108" s="699"/>
      <c r="BK108" s="699"/>
      <c r="BL108" s="699" t="s">
        <v>121</v>
      </c>
      <c r="BM108" s="699"/>
      <c r="BN108" s="699"/>
      <c r="BO108" s="699"/>
      <c r="BP108" s="699"/>
      <c r="BQ108" s="699"/>
      <c r="BR108" s="699"/>
    </row>
    <row r="109" spans="1:70" ht="58.5" x14ac:dyDescent="0.25">
      <c r="G109" s="709"/>
      <c r="H109" s="709"/>
      <c r="I109" s="709"/>
      <c r="J109" s="52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722"/>
      <c r="Y109" s="722"/>
      <c r="Z109" s="722"/>
      <c r="AA109" s="722"/>
      <c r="AB109" s="722"/>
      <c r="AC109" s="722"/>
      <c r="AD109" s="722"/>
      <c r="AE109" s="722"/>
      <c r="AF109" s="722"/>
      <c r="AG109" s="722"/>
      <c r="AH109" s="722"/>
      <c r="AI109" s="722"/>
      <c r="AJ109" s="723"/>
      <c r="AK109" s="723"/>
      <c r="AL109" s="723"/>
      <c r="AM109" s="723"/>
      <c r="AN109" s="723"/>
      <c r="AO109" s="723"/>
      <c r="AP109" s="723"/>
      <c r="AQ109" s="723"/>
      <c r="AR109" s="723"/>
      <c r="AS109" s="723"/>
      <c r="AT109" s="723"/>
      <c r="AU109" s="707"/>
      <c r="AV109" s="707"/>
      <c r="AW109" s="707"/>
      <c r="AX109" s="707"/>
      <c r="AY109" s="707"/>
      <c r="AZ109" s="707"/>
      <c r="BA109" s="707"/>
      <c r="BB109" s="707"/>
      <c r="BC109" s="707"/>
      <c r="BD109" s="707"/>
      <c r="BE109" s="707"/>
      <c r="BF109" s="707"/>
      <c r="BG109" s="699"/>
      <c r="BH109" s="699"/>
      <c r="BI109" s="699"/>
      <c r="BJ109" s="699"/>
      <c r="BK109" s="699"/>
      <c r="BL109" s="699"/>
      <c r="BM109" s="699"/>
      <c r="BN109" s="699"/>
      <c r="BO109" s="699"/>
      <c r="BP109" s="699"/>
      <c r="BQ109" s="699"/>
      <c r="BR109" s="699"/>
    </row>
    <row r="110" spans="1:70" x14ac:dyDescent="0.25">
      <c r="X110" s="496" t="s">
        <v>667</v>
      </c>
    </row>
    <row r="115" spans="26:84" ht="15.75" thickBot="1" x14ac:dyDescent="0.3"/>
    <row r="116" spans="26:84" ht="15.75" thickTop="1" x14ac:dyDescent="0.25">
      <c r="Z116" s="775">
        <v>481.59133000211193</v>
      </c>
      <c r="AA116" s="776"/>
      <c r="AB116" s="776"/>
      <c r="AC116" s="776"/>
      <c r="AD116" s="777"/>
      <c r="AH116" s="727" t="s">
        <v>122</v>
      </c>
      <c r="AI116" s="727"/>
      <c r="AJ116" s="727"/>
      <c r="AK116" s="727" t="s">
        <v>123</v>
      </c>
      <c r="AL116" s="727"/>
      <c r="AM116" s="727"/>
      <c r="AN116" s="727" t="s">
        <v>124</v>
      </c>
      <c r="AO116" s="727"/>
      <c r="AP116" s="727" t="s">
        <v>125</v>
      </c>
      <c r="AQ116" s="727"/>
      <c r="AU116" s="739" t="s">
        <v>126</v>
      </c>
      <c r="AV116" s="740"/>
      <c r="AW116" s="740"/>
      <c r="AX116" s="740"/>
      <c r="AY116" s="740"/>
      <c r="AZ116" s="740"/>
      <c r="BA116" s="740"/>
      <c r="BB116" s="740"/>
      <c r="BC116" s="740"/>
      <c r="BD116" s="741"/>
      <c r="BE116" s="13"/>
    </row>
    <row r="117" spans="26:84" x14ac:dyDescent="0.25">
      <c r="Z117" s="778"/>
      <c r="AA117" s="779"/>
      <c r="AB117" s="779"/>
      <c r="AC117" s="779"/>
      <c r="AD117" s="780"/>
      <c r="AH117" s="727"/>
      <c r="AI117" s="727"/>
      <c r="AJ117" s="727"/>
      <c r="AK117" s="727"/>
      <c r="AL117" s="727"/>
      <c r="AM117" s="727"/>
      <c r="AN117" s="727"/>
      <c r="AO117" s="727"/>
      <c r="AP117" s="727"/>
      <c r="AQ117" s="727"/>
      <c r="AU117" s="750"/>
      <c r="AV117" s="751"/>
      <c r="AW117" s="751"/>
      <c r="AX117" s="751"/>
      <c r="AY117" s="751"/>
      <c r="AZ117" s="751"/>
      <c r="BA117" s="751"/>
      <c r="BB117" s="751"/>
      <c r="BC117" s="751"/>
      <c r="BD117" s="752"/>
      <c r="BE117" s="13"/>
    </row>
    <row r="118" spans="26:84" x14ac:dyDescent="0.25">
      <c r="Z118" s="778"/>
      <c r="AA118" s="779"/>
      <c r="AB118" s="779"/>
      <c r="AC118" s="779"/>
      <c r="AD118" s="780"/>
      <c r="AH118" s="727"/>
      <c r="AI118" s="727"/>
      <c r="AJ118" s="727"/>
      <c r="AK118" s="727"/>
      <c r="AL118" s="727"/>
      <c r="AM118" s="727"/>
      <c r="AN118" s="727"/>
      <c r="AO118" s="727"/>
      <c r="AP118" s="727"/>
      <c r="AQ118" s="727"/>
      <c r="AU118" s="742"/>
      <c r="AV118" s="743"/>
      <c r="AW118" s="743"/>
      <c r="AX118" s="743"/>
      <c r="AY118" s="743"/>
      <c r="AZ118" s="743"/>
      <c r="BA118" s="743"/>
      <c r="BB118" s="743"/>
      <c r="BC118" s="743"/>
      <c r="BD118" s="744"/>
      <c r="BE118" s="13"/>
    </row>
    <row r="119" spans="26:84" x14ac:dyDescent="0.25">
      <c r="Z119" s="778"/>
      <c r="AA119" s="779"/>
      <c r="AB119" s="779"/>
      <c r="AC119" s="779"/>
      <c r="AD119" s="780"/>
      <c r="AH119" s="774">
        <v>9180</v>
      </c>
      <c r="AI119" s="774"/>
      <c r="AJ119" s="774"/>
      <c r="AK119" s="774">
        <f ca="1">AP135</f>
        <v>9180</v>
      </c>
      <c r="AL119" s="774"/>
      <c r="AM119" s="774"/>
      <c r="AN119" s="1299">
        <f>AU104</f>
        <v>481.59133000211193</v>
      </c>
      <c r="AO119" s="1299"/>
      <c r="AP119" s="726">
        <f>AU104+BL104</f>
        <v>654.09133000211193</v>
      </c>
      <c r="AQ119" s="726"/>
      <c r="AU119" s="727" t="s">
        <v>128</v>
      </c>
      <c r="AV119" s="727"/>
      <c r="AW119" s="727"/>
      <c r="AX119" s="727"/>
      <c r="AY119" s="727"/>
      <c r="AZ119" s="727"/>
      <c r="BA119" s="727"/>
      <c r="BB119" s="727"/>
      <c r="BC119" s="727"/>
      <c r="BD119" s="727"/>
      <c r="BE119" s="13"/>
    </row>
    <row r="120" spans="26:84" x14ac:dyDescent="0.25">
      <c r="Z120" s="778"/>
      <c r="AA120" s="779"/>
      <c r="AB120" s="779"/>
      <c r="AC120" s="779"/>
      <c r="AD120" s="780"/>
      <c r="AH120" s="774"/>
      <c r="AI120" s="774"/>
      <c r="AJ120" s="774"/>
      <c r="AK120" s="774"/>
      <c r="AL120" s="774"/>
      <c r="AM120" s="774"/>
      <c r="AN120" s="1299"/>
      <c r="AO120" s="1299"/>
      <c r="AP120" s="726"/>
      <c r="AQ120" s="726"/>
      <c r="AU120" s="727"/>
      <c r="AV120" s="727"/>
      <c r="AW120" s="727"/>
      <c r="AX120" s="727"/>
      <c r="AY120" s="727"/>
      <c r="AZ120" s="727"/>
      <c r="BA120" s="727"/>
      <c r="BB120" s="727"/>
      <c r="BC120" s="727"/>
      <c r="BD120" s="727"/>
      <c r="BE120" s="13"/>
    </row>
    <row r="121" spans="26:84" ht="26.25" x14ac:dyDescent="0.25">
      <c r="Z121" s="778"/>
      <c r="AA121" s="779"/>
      <c r="AB121" s="779"/>
      <c r="AC121" s="779"/>
      <c r="AD121" s="780"/>
      <c r="AH121" s="774"/>
      <c r="AI121" s="774"/>
      <c r="AJ121" s="774"/>
      <c r="AK121" s="774"/>
      <c r="AL121" s="774"/>
      <c r="AM121" s="774"/>
      <c r="AN121" s="1299"/>
      <c r="AO121" s="1299"/>
      <c r="AP121" s="726"/>
      <c r="AQ121" s="726"/>
      <c r="AU121" s="728">
        <f ca="1">AN119/((72*3.1415/59)*(AK119/3.281))</f>
        <v>4.4897758556910444E-2</v>
      </c>
      <c r="AV121" s="729"/>
      <c r="AW121" s="729"/>
      <c r="AX121" s="729"/>
      <c r="AY121" s="729"/>
      <c r="AZ121" s="729"/>
      <c r="BA121" s="729"/>
      <c r="BB121" s="729"/>
      <c r="BC121" s="729"/>
      <c r="BD121" s="730"/>
      <c r="BE121" s="57"/>
    </row>
    <row r="122" spans="26:84" ht="27" thickBot="1" x14ac:dyDescent="0.3">
      <c r="Z122" s="781"/>
      <c r="AA122" s="782"/>
      <c r="AB122" s="782"/>
      <c r="AC122" s="782"/>
      <c r="AD122" s="783"/>
      <c r="AH122" s="774"/>
      <c r="AI122" s="774"/>
      <c r="AJ122" s="774"/>
      <c r="AK122" s="774"/>
      <c r="AL122" s="774"/>
      <c r="AM122" s="774"/>
      <c r="AN122" s="1299"/>
      <c r="AO122" s="1299"/>
      <c r="AP122" s="726"/>
      <c r="AQ122" s="726"/>
      <c r="AU122" s="731"/>
      <c r="AV122" s="732"/>
      <c r="AW122" s="732"/>
      <c r="AX122" s="732"/>
      <c r="AY122" s="732"/>
      <c r="AZ122" s="732"/>
      <c r="BA122" s="732"/>
      <c r="BB122" s="732"/>
      <c r="BC122" s="732"/>
      <c r="BD122" s="733"/>
      <c r="BE122" s="57"/>
    </row>
    <row r="123" spans="26:84" ht="27" thickTop="1" x14ac:dyDescent="0.25">
      <c r="AU123" s="734"/>
      <c r="AV123" s="735"/>
      <c r="AW123" s="735"/>
      <c r="AX123" s="735"/>
      <c r="AY123" s="735"/>
      <c r="AZ123" s="735"/>
      <c r="BA123" s="735"/>
      <c r="BB123" s="735"/>
      <c r="BC123" s="735"/>
      <c r="BD123" s="736"/>
      <c r="BE123" s="57"/>
      <c r="BW123" s="737" t="s">
        <v>135</v>
      </c>
      <c r="BX123" s="737"/>
      <c r="BY123" s="737"/>
      <c r="BZ123" s="737"/>
      <c r="CA123" s="737"/>
      <c r="CB123" s="737"/>
      <c r="CC123" s="737"/>
      <c r="CD123" s="737"/>
      <c r="CE123" s="737"/>
      <c r="CF123" s="737"/>
    </row>
    <row r="124" spans="26:84" x14ac:dyDescent="0.25">
      <c r="AU124" s="739" t="s">
        <v>129</v>
      </c>
      <c r="AV124" s="740"/>
      <c r="AW124" s="740"/>
      <c r="AX124" s="740"/>
      <c r="AY124" s="740"/>
      <c r="AZ124" s="740"/>
      <c r="BA124" s="740"/>
      <c r="BB124" s="740"/>
      <c r="BC124" s="740"/>
      <c r="BD124" s="741"/>
      <c r="BE124" s="13"/>
      <c r="BW124" s="737"/>
      <c r="BX124" s="737"/>
      <c r="BY124" s="737"/>
      <c r="BZ124" s="737"/>
      <c r="CA124" s="737"/>
      <c r="CB124" s="737"/>
      <c r="CC124" s="737"/>
      <c r="CD124" s="737"/>
      <c r="CE124" s="737"/>
      <c r="CF124" s="737"/>
    </row>
    <row r="125" spans="26:84" x14ac:dyDescent="0.25">
      <c r="AF125">
        <v>88</v>
      </c>
      <c r="AU125" s="742"/>
      <c r="AV125" s="743"/>
      <c r="AW125" s="743"/>
      <c r="AX125" s="743"/>
      <c r="AY125" s="743"/>
      <c r="AZ125" s="743"/>
      <c r="BA125" s="743"/>
      <c r="BB125" s="743"/>
      <c r="BC125" s="743"/>
      <c r="BD125" s="744"/>
      <c r="BE125" s="13"/>
      <c r="BW125" s="738"/>
      <c r="BX125" s="738"/>
      <c r="BY125" s="738"/>
      <c r="BZ125" s="738"/>
      <c r="CA125" s="738"/>
      <c r="CB125" s="738"/>
      <c r="CC125" s="738"/>
      <c r="CD125" s="738"/>
      <c r="CE125" s="738"/>
      <c r="CF125" s="738"/>
    </row>
    <row r="126" spans="26:84" x14ac:dyDescent="0.25">
      <c r="AF126">
        <v>39</v>
      </c>
      <c r="AJ126" s="1255">
        <v>50</v>
      </c>
      <c r="AK126" s="1255"/>
      <c r="AL126" s="1255"/>
      <c r="AM126" s="746">
        <v>126</v>
      </c>
      <c r="AN126" s="746"/>
      <c r="AO126" s="746"/>
      <c r="AP126" s="747">
        <f>AM126*AJ126</f>
        <v>6300</v>
      </c>
      <c r="AQ126" s="748"/>
      <c r="AR126" s="748"/>
      <c r="AS126" s="749"/>
      <c r="AU126" s="739" t="s">
        <v>130</v>
      </c>
      <c r="AV126" s="740"/>
      <c r="AW126" s="740"/>
      <c r="AX126" s="740"/>
      <c r="AY126" s="740"/>
      <c r="AZ126" s="740"/>
      <c r="BA126" s="740"/>
      <c r="BB126" s="740"/>
      <c r="BC126" s="740"/>
      <c r="BD126" s="741"/>
      <c r="BE126" s="13"/>
      <c r="BK126" s="727" t="s">
        <v>122</v>
      </c>
      <c r="BL126" s="727"/>
      <c r="BM126" s="727"/>
      <c r="BN126" s="727" t="s">
        <v>123</v>
      </c>
      <c r="BO126" s="727"/>
      <c r="BP126" s="727"/>
      <c r="BQ126" s="727" t="s">
        <v>124</v>
      </c>
      <c r="BR126" s="727"/>
      <c r="BS126" s="727" t="s">
        <v>125</v>
      </c>
      <c r="BT126" s="727"/>
      <c r="BW126" s="739" t="s">
        <v>126</v>
      </c>
      <c r="BX126" s="740"/>
      <c r="BY126" s="740"/>
      <c r="BZ126" s="740"/>
      <c r="CA126" s="740"/>
      <c r="CB126" s="740"/>
      <c r="CC126" s="740"/>
      <c r="CD126" s="740"/>
      <c r="CE126" s="740"/>
      <c r="CF126" s="741"/>
    </row>
    <row r="127" spans="26:84" x14ac:dyDescent="0.25">
      <c r="AJ127" s="1255"/>
      <c r="AK127" s="1255"/>
      <c r="AL127" s="1255"/>
      <c r="AM127" s="746"/>
      <c r="AN127" s="746"/>
      <c r="AO127" s="746"/>
      <c r="AP127" s="747"/>
      <c r="AQ127" s="748"/>
      <c r="AR127" s="748"/>
      <c r="AS127" s="749"/>
      <c r="AU127" s="750"/>
      <c r="AV127" s="751"/>
      <c r="AW127" s="751"/>
      <c r="AX127" s="751"/>
      <c r="AY127" s="751"/>
      <c r="AZ127" s="751"/>
      <c r="BA127" s="751"/>
      <c r="BB127" s="751"/>
      <c r="BC127" s="751"/>
      <c r="BD127" s="752"/>
      <c r="BE127" s="13"/>
      <c r="BK127" s="727"/>
      <c r="BL127" s="727"/>
      <c r="BM127" s="727"/>
      <c r="BN127" s="727"/>
      <c r="BO127" s="727"/>
      <c r="BP127" s="727"/>
      <c r="BQ127" s="727"/>
      <c r="BR127" s="727"/>
      <c r="BS127" s="727"/>
      <c r="BT127" s="727"/>
      <c r="BW127" s="750"/>
      <c r="BX127" s="751"/>
      <c r="BY127" s="751"/>
      <c r="BZ127" s="751"/>
      <c r="CA127" s="751"/>
      <c r="CB127" s="751"/>
      <c r="CC127" s="751"/>
      <c r="CD127" s="751"/>
      <c r="CE127" s="751"/>
      <c r="CF127" s="752"/>
    </row>
    <row r="128" spans="26:84" x14ac:dyDescent="0.25">
      <c r="AJ128" s="1255"/>
      <c r="AK128" s="1255"/>
      <c r="AL128" s="1255"/>
      <c r="AM128" s="746"/>
      <c r="AN128" s="746"/>
      <c r="AO128" s="746"/>
      <c r="AP128" s="747"/>
      <c r="AQ128" s="748"/>
      <c r="AR128" s="748"/>
      <c r="AS128" s="749"/>
      <c r="AU128" s="750"/>
      <c r="AV128" s="751"/>
      <c r="AW128" s="751"/>
      <c r="AX128" s="751"/>
      <c r="AY128" s="751"/>
      <c r="AZ128" s="751"/>
      <c r="BA128" s="751"/>
      <c r="BB128" s="751"/>
      <c r="BC128" s="751"/>
      <c r="BD128" s="752"/>
      <c r="BE128" s="13"/>
      <c r="BK128" s="727"/>
      <c r="BL128" s="727"/>
      <c r="BM128" s="727"/>
      <c r="BN128" s="727"/>
      <c r="BO128" s="727"/>
      <c r="BP128" s="727"/>
      <c r="BQ128" s="727"/>
      <c r="BR128" s="727"/>
      <c r="BS128" s="727"/>
      <c r="BT128" s="727"/>
      <c r="BW128" s="742"/>
      <c r="BX128" s="743"/>
      <c r="BY128" s="743"/>
      <c r="BZ128" s="743"/>
      <c r="CA128" s="743"/>
      <c r="CB128" s="743"/>
      <c r="CC128" s="743"/>
      <c r="CD128" s="743"/>
      <c r="CE128" s="743"/>
      <c r="CF128" s="744"/>
    </row>
    <row r="129" spans="26:84" x14ac:dyDescent="0.25">
      <c r="AJ129" s="727">
        <v>45</v>
      </c>
      <c r="AK129" s="727"/>
      <c r="AL129" s="727"/>
      <c r="AM129" s="746" cm="1">
        <f t="array" aca="1" ref="AM129" ca="1">SUM(COUNTIF(INDIRECT({"B74","G74","L74","Q74","V74","AA74","AF74","AK74","AP74","AU74","AZ74","BE74","BJ74","BO74","B80","G80","L80","Q80","V80","AA80","AF80","AK80","AP80","AU80","AZ80","BE80","BJ80","BO80","B86","G86","L86","Q86","V86","AA86","AF86","AK86","AP86","AU86","AZ86","BE86","BJ86","BO86","B92","G92","L92","Q92","V92","AA92","AF92","AK92","AP92","AU92","AZ92","BE92","BJ92","BO92","B98","G98","L98","Q98","V98","AA98","AF98","AK98"}),"&gt;0"))</f>
        <v>64</v>
      </c>
      <c r="AN129" s="746"/>
      <c r="AO129" s="746"/>
      <c r="AP129" s="747">
        <f ca="1">AM129*AJ129</f>
        <v>2880</v>
      </c>
      <c r="AQ129" s="748"/>
      <c r="AR129" s="748"/>
      <c r="AS129" s="749"/>
      <c r="AU129" s="742"/>
      <c r="AV129" s="743"/>
      <c r="AW129" s="743"/>
      <c r="AX129" s="743"/>
      <c r="AY129" s="743"/>
      <c r="AZ129" s="743"/>
      <c r="BA129" s="743"/>
      <c r="BB129" s="743"/>
      <c r="BC129" s="743"/>
      <c r="BD129" s="744"/>
      <c r="BE129" s="13"/>
      <c r="BK129" s="774">
        <f>AH119+AI143</f>
        <v>9180</v>
      </c>
      <c r="BL129" s="774"/>
      <c r="BM129" s="774"/>
      <c r="BN129" s="774">
        <f ca="1">AK119+AL143</f>
        <v>9180</v>
      </c>
      <c r="BO129" s="774"/>
      <c r="BP129" s="774"/>
      <c r="BQ129" s="726">
        <f>AN119+AO143</f>
        <v>481.59133000211193</v>
      </c>
      <c r="BR129" s="726"/>
      <c r="BS129" s="726">
        <f>AP119+AQ143</f>
        <v>654.09133000211193</v>
      </c>
      <c r="BT129" s="726"/>
      <c r="BW129" s="727" t="s">
        <v>128</v>
      </c>
      <c r="BX129" s="727"/>
      <c r="BY129" s="727"/>
      <c r="BZ129" s="727"/>
      <c r="CA129" s="727"/>
      <c r="CB129" s="727"/>
      <c r="CC129" s="727"/>
      <c r="CD129" s="727"/>
      <c r="CE129" s="727"/>
      <c r="CF129" s="727"/>
    </row>
    <row r="130" spans="26:84" ht="26.25" x14ac:dyDescent="0.25">
      <c r="AJ130" s="727"/>
      <c r="AK130" s="727"/>
      <c r="AL130" s="727"/>
      <c r="AM130" s="746"/>
      <c r="AN130" s="746"/>
      <c r="AO130" s="746"/>
      <c r="AP130" s="747"/>
      <c r="AQ130" s="748"/>
      <c r="AR130" s="748"/>
      <c r="AS130" s="749"/>
      <c r="AU130" s="728">
        <f ca="1">AP119/((72*3.1415/59)*(AK119/3.281))</f>
        <v>6.0979574961356697E-2</v>
      </c>
      <c r="AV130" s="729"/>
      <c r="AW130" s="729"/>
      <c r="AX130" s="729"/>
      <c r="AY130" s="729"/>
      <c r="AZ130" s="729"/>
      <c r="BA130" s="729"/>
      <c r="BB130" s="729"/>
      <c r="BC130" s="729"/>
      <c r="BD130" s="730"/>
      <c r="BE130" s="57"/>
      <c r="BK130" s="774"/>
      <c r="BL130" s="774"/>
      <c r="BM130" s="774"/>
      <c r="BN130" s="774"/>
      <c r="BO130" s="774"/>
      <c r="BP130" s="774"/>
      <c r="BQ130" s="726"/>
      <c r="BR130" s="726"/>
      <c r="BS130" s="726"/>
      <c r="BT130" s="726"/>
      <c r="BW130" s="727"/>
      <c r="BX130" s="727"/>
      <c r="BY130" s="727"/>
      <c r="BZ130" s="727"/>
      <c r="CA130" s="727"/>
      <c r="CB130" s="727"/>
      <c r="CC130" s="727"/>
      <c r="CD130" s="727"/>
      <c r="CE130" s="727"/>
      <c r="CF130" s="727"/>
    </row>
    <row r="131" spans="26:84" ht="26.25" x14ac:dyDescent="0.25">
      <c r="AJ131" s="727"/>
      <c r="AK131" s="727"/>
      <c r="AL131" s="727"/>
      <c r="AM131" s="746"/>
      <c r="AN131" s="746"/>
      <c r="AO131" s="746"/>
      <c r="AP131" s="747"/>
      <c r="AQ131" s="748"/>
      <c r="AR131" s="748"/>
      <c r="AS131" s="749"/>
      <c r="AU131" s="731"/>
      <c r="AV131" s="732"/>
      <c r="AW131" s="732"/>
      <c r="AX131" s="732"/>
      <c r="AY131" s="732"/>
      <c r="AZ131" s="732"/>
      <c r="BA131" s="732"/>
      <c r="BB131" s="732"/>
      <c r="BC131" s="732"/>
      <c r="BD131" s="733"/>
      <c r="BE131" s="57"/>
      <c r="BK131" s="774"/>
      <c r="BL131" s="774"/>
      <c r="BM131" s="774"/>
      <c r="BN131" s="774"/>
      <c r="BO131" s="774"/>
      <c r="BP131" s="774"/>
      <c r="BQ131" s="726"/>
      <c r="BR131" s="726"/>
      <c r="BS131" s="726"/>
      <c r="BT131" s="726"/>
      <c r="BW131" s="728">
        <f ca="1">BQ129/((72*3.1415/59)*(BN129/3.281))</f>
        <v>4.4897758556910444E-2</v>
      </c>
      <c r="BX131" s="729"/>
      <c r="BY131" s="729"/>
      <c r="BZ131" s="729"/>
      <c r="CA131" s="729"/>
      <c r="CB131" s="729"/>
      <c r="CC131" s="729"/>
      <c r="CD131" s="729"/>
      <c r="CE131" s="729"/>
      <c r="CF131" s="730"/>
    </row>
    <row r="132" spans="26:84" ht="26.25" x14ac:dyDescent="0.25">
      <c r="AJ132" s="727"/>
      <c r="AK132" s="727"/>
      <c r="AL132" s="727"/>
      <c r="AM132" s="746"/>
      <c r="AN132" s="746"/>
      <c r="AO132" s="746"/>
      <c r="AP132" s="747"/>
      <c r="AQ132" s="748"/>
      <c r="AR132" s="748"/>
      <c r="AS132" s="749"/>
      <c r="AU132" s="731"/>
      <c r="AV132" s="732"/>
      <c r="AW132" s="732"/>
      <c r="AX132" s="732"/>
      <c r="AY132" s="732"/>
      <c r="AZ132" s="732"/>
      <c r="BA132" s="732"/>
      <c r="BB132" s="732"/>
      <c r="BC132" s="732"/>
      <c r="BD132" s="733"/>
      <c r="BE132" s="57"/>
      <c r="BK132" s="774"/>
      <c r="BL132" s="774"/>
      <c r="BM132" s="774"/>
      <c r="BN132" s="774"/>
      <c r="BO132" s="774"/>
      <c r="BP132" s="774"/>
      <c r="BQ132" s="726"/>
      <c r="BR132" s="726"/>
      <c r="BS132" s="726"/>
      <c r="BT132" s="726"/>
      <c r="BW132" s="731"/>
      <c r="BX132" s="732"/>
      <c r="BY132" s="732"/>
      <c r="BZ132" s="732"/>
      <c r="CA132" s="732"/>
      <c r="CB132" s="732"/>
      <c r="CC132" s="732"/>
      <c r="CD132" s="732"/>
      <c r="CE132" s="732"/>
      <c r="CF132" s="733"/>
    </row>
    <row r="133" spans="26:84" ht="26.25" x14ac:dyDescent="0.25">
      <c r="AJ133" s="727"/>
      <c r="AK133" s="727"/>
      <c r="AL133" s="727"/>
      <c r="AM133" s="746"/>
      <c r="AN133" s="746"/>
      <c r="AO133" s="746"/>
      <c r="AP133" s="747"/>
      <c r="AQ133" s="748"/>
      <c r="AR133" s="748"/>
      <c r="AS133" s="749"/>
      <c r="AU133" s="731"/>
      <c r="AV133" s="732"/>
      <c r="AW133" s="732"/>
      <c r="AX133" s="732"/>
      <c r="AY133" s="732"/>
      <c r="AZ133" s="732"/>
      <c r="BA133" s="732"/>
      <c r="BB133" s="732"/>
      <c r="BC133" s="732"/>
      <c r="BD133" s="733"/>
      <c r="BE133" s="57"/>
      <c r="BW133" s="734"/>
      <c r="BX133" s="735"/>
      <c r="BY133" s="735"/>
      <c r="BZ133" s="735"/>
      <c r="CA133" s="735"/>
      <c r="CB133" s="735"/>
      <c r="CC133" s="735"/>
      <c r="CD133" s="735"/>
      <c r="CE133" s="735"/>
      <c r="CF133" s="736"/>
    </row>
    <row r="134" spans="26:84" ht="26.25" x14ac:dyDescent="0.25">
      <c r="AJ134" s="727"/>
      <c r="AK134" s="727"/>
      <c r="AL134" s="727"/>
      <c r="AM134" s="746"/>
      <c r="AN134" s="746"/>
      <c r="AO134" s="746"/>
      <c r="AP134" s="747"/>
      <c r="AQ134" s="748"/>
      <c r="AR134" s="748"/>
      <c r="AS134" s="749"/>
      <c r="AU134" s="734"/>
      <c r="AV134" s="735"/>
      <c r="AW134" s="735"/>
      <c r="AX134" s="735"/>
      <c r="AY134" s="735"/>
      <c r="AZ134" s="735"/>
      <c r="BA134" s="735"/>
      <c r="BB134" s="735"/>
      <c r="BC134" s="735"/>
      <c r="BD134" s="736"/>
      <c r="BE134" s="57"/>
      <c r="BW134" s="739" t="s">
        <v>129</v>
      </c>
      <c r="BX134" s="740"/>
      <c r="BY134" s="740"/>
      <c r="BZ134" s="740"/>
      <c r="CA134" s="740"/>
      <c r="CB134" s="740"/>
      <c r="CC134" s="740"/>
      <c r="CD134" s="740"/>
      <c r="CE134" s="740"/>
      <c r="CF134" s="741"/>
    </row>
    <row r="135" spans="26:84" ht="15" customHeight="1" x14ac:dyDescent="0.25">
      <c r="AM135" s="1254">
        <f ca="1">AM132+AM129+AM126</f>
        <v>190</v>
      </c>
      <c r="AN135" s="1254"/>
      <c r="AO135" s="1254"/>
      <c r="AP135" s="747">
        <f ca="1">AP129+AP132+AP126</f>
        <v>9180</v>
      </c>
      <c r="AQ135" s="748"/>
      <c r="AR135" s="748"/>
      <c r="AS135" s="749"/>
      <c r="BW135" s="742"/>
      <c r="BX135" s="743"/>
      <c r="BY135" s="743"/>
      <c r="BZ135" s="743"/>
      <c r="CA135" s="743"/>
      <c r="CB135" s="743"/>
      <c r="CC135" s="743"/>
      <c r="CD135" s="743"/>
      <c r="CE135" s="743"/>
      <c r="CF135" s="744"/>
    </row>
    <row r="136" spans="26:84" ht="15" customHeight="1" x14ac:dyDescent="0.25">
      <c r="AM136" s="1254"/>
      <c r="AN136" s="1254"/>
      <c r="AO136" s="1254"/>
      <c r="AP136" s="747"/>
      <c r="AQ136" s="748"/>
      <c r="AR136" s="748"/>
      <c r="AS136" s="749"/>
      <c r="BW136" s="739" t="s">
        <v>130</v>
      </c>
      <c r="BX136" s="740"/>
      <c r="BY136" s="740"/>
      <c r="BZ136" s="740"/>
      <c r="CA136" s="740"/>
      <c r="CB136" s="740"/>
      <c r="CC136" s="740"/>
      <c r="CD136" s="740"/>
      <c r="CE136" s="740"/>
      <c r="CF136" s="741"/>
    </row>
    <row r="137" spans="26:84" ht="15" customHeight="1" x14ac:dyDescent="0.25">
      <c r="AM137" s="1254"/>
      <c r="AN137" s="1254"/>
      <c r="AO137" s="1254"/>
      <c r="AP137" s="747"/>
      <c r="AQ137" s="748"/>
      <c r="AR137" s="748"/>
      <c r="AS137" s="749"/>
      <c r="BW137" s="750"/>
      <c r="BX137" s="751"/>
      <c r="BY137" s="751"/>
      <c r="BZ137" s="751"/>
      <c r="CA137" s="751"/>
      <c r="CB137" s="751"/>
      <c r="CC137" s="751"/>
      <c r="CD137" s="751"/>
      <c r="CE137" s="751"/>
      <c r="CF137" s="752"/>
    </row>
    <row r="138" spans="26:84" ht="15.75" thickBot="1" x14ac:dyDescent="0.3">
      <c r="BW138" s="750"/>
      <c r="BX138" s="751"/>
      <c r="BY138" s="751"/>
      <c r="BZ138" s="751"/>
      <c r="CA138" s="751"/>
      <c r="CB138" s="751"/>
      <c r="CC138" s="751"/>
      <c r="CD138" s="751"/>
      <c r="CE138" s="751"/>
      <c r="CF138" s="752"/>
    </row>
    <row r="139" spans="26:84" ht="15.75" thickBot="1" x14ac:dyDescent="0.3">
      <c r="Z139" s="81"/>
      <c r="AA139" s="82"/>
      <c r="AB139" s="82"/>
      <c r="AC139" s="82"/>
      <c r="AD139" s="82"/>
      <c r="AE139" s="82"/>
      <c r="AF139" s="82"/>
      <c r="AG139" s="82"/>
      <c r="AH139" s="82"/>
      <c r="AI139" s="82"/>
      <c r="AJ139" s="82"/>
      <c r="AK139" s="82"/>
      <c r="AL139" s="82"/>
      <c r="AM139" s="82"/>
      <c r="AN139" s="82"/>
      <c r="AO139" s="82"/>
      <c r="AP139" s="82"/>
      <c r="AQ139" s="82"/>
      <c r="AR139" s="82"/>
      <c r="AS139" s="82"/>
      <c r="AT139" s="82"/>
      <c r="AU139" s="82"/>
      <c r="AV139" s="82"/>
      <c r="AW139" s="82"/>
      <c r="AX139" s="82"/>
      <c r="AY139" s="82"/>
      <c r="AZ139" s="82"/>
      <c r="BA139" s="82"/>
      <c r="BB139" s="82"/>
      <c r="BC139" s="82"/>
      <c r="BD139" s="82"/>
      <c r="BE139" s="82"/>
      <c r="BF139" s="82"/>
      <c r="BG139" s="82"/>
      <c r="BH139" s="83"/>
      <c r="BW139" s="742"/>
      <c r="BX139" s="743"/>
      <c r="BY139" s="743"/>
      <c r="BZ139" s="743"/>
      <c r="CA139" s="743"/>
      <c r="CB139" s="743"/>
      <c r="CC139" s="743"/>
      <c r="CD139" s="743"/>
      <c r="CE139" s="743"/>
      <c r="CF139" s="744"/>
    </row>
    <row r="140" spans="26:84" ht="15.75" customHeight="1" thickTop="1" x14ac:dyDescent="0.25">
      <c r="Z140" s="84"/>
      <c r="AA140" s="73"/>
      <c r="AB140" s="74"/>
      <c r="AC140" s="74"/>
      <c r="AD140" s="74"/>
      <c r="AE140" s="75"/>
      <c r="AI140" s="727"/>
      <c r="AJ140" s="727"/>
      <c r="AK140" s="727"/>
      <c r="AL140" s="727"/>
      <c r="AM140" s="727"/>
      <c r="AN140" s="727"/>
      <c r="AO140" s="727"/>
      <c r="AP140" s="727"/>
      <c r="AQ140" s="727"/>
      <c r="AR140" s="727"/>
      <c r="AV140" s="739"/>
      <c r="AW140" s="740"/>
      <c r="AX140" s="740"/>
      <c r="AY140" s="740"/>
      <c r="AZ140" s="740"/>
      <c r="BA140" s="740"/>
      <c r="BB140" s="740"/>
      <c r="BC140" s="740"/>
      <c r="BD140" s="740"/>
      <c r="BE140" s="741"/>
      <c r="BF140" s="13"/>
      <c r="BG140" s="13"/>
      <c r="BH140" s="85"/>
      <c r="BW140" s="728">
        <f ca="1">BS129/((72*3.1415/59)*(BN129/3.281))</f>
        <v>6.0979574961356697E-2</v>
      </c>
      <c r="BX140" s="729"/>
      <c r="BY140" s="729"/>
      <c r="BZ140" s="729"/>
      <c r="CA140" s="729"/>
      <c r="CB140" s="729"/>
      <c r="CC140" s="729"/>
      <c r="CD140" s="729"/>
      <c r="CE140" s="729"/>
      <c r="CF140" s="730"/>
    </row>
    <row r="141" spans="26:84" ht="15" customHeight="1" x14ac:dyDescent="0.25">
      <c r="Z141" s="84"/>
      <c r="AA141" s="76"/>
      <c r="AB141" s="86"/>
      <c r="AC141" s="86"/>
      <c r="AD141" s="86"/>
      <c r="AE141" s="77"/>
      <c r="AI141" s="727"/>
      <c r="AJ141" s="727"/>
      <c r="AK141" s="727"/>
      <c r="AL141" s="727"/>
      <c r="AM141" s="727"/>
      <c r="AN141" s="727"/>
      <c r="AO141" s="727"/>
      <c r="AP141" s="727"/>
      <c r="AQ141" s="727"/>
      <c r="AR141" s="727"/>
      <c r="AV141" s="750"/>
      <c r="AW141" s="751"/>
      <c r="AX141" s="751"/>
      <c r="AY141" s="751"/>
      <c r="AZ141" s="751"/>
      <c r="BA141" s="751"/>
      <c r="BB141" s="751"/>
      <c r="BC141" s="751"/>
      <c r="BD141" s="751"/>
      <c r="BE141" s="752"/>
      <c r="BF141" s="13"/>
      <c r="BG141" s="13"/>
      <c r="BH141" s="85"/>
      <c r="BW141" s="731"/>
      <c r="BX141" s="732"/>
      <c r="BY141" s="732"/>
      <c r="BZ141" s="732"/>
      <c r="CA141" s="732"/>
      <c r="CB141" s="732"/>
      <c r="CC141" s="732"/>
      <c r="CD141" s="732"/>
      <c r="CE141" s="732"/>
      <c r="CF141" s="733"/>
    </row>
    <row r="142" spans="26:84" ht="15" customHeight="1" x14ac:dyDescent="0.25">
      <c r="Z142" s="84"/>
      <c r="AA142" s="76"/>
      <c r="AB142" s="86"/>
      <c r="AC142" s="86"/>
      <c r="AD142" s="86"/>
      <c r="AE142" s="77"/>
      <c r="AI142" s="727"/>
      <c r="AJ142" s="727"/>
      <c r="AK142" s="727"/>
      <c r="AL142" s="727"/>
      <c r="AM142" s="727"/>
      <c r="AN142" s="727"/>
      <c r="AO142" s="727"/>
      <c r="AP142" s="727"/>
      <c r="AQ142" s="727"/>
      <c r="AR142" s="727"/>
      <c r="AV142" s="742"/>
      <c r="AW142" s="743"/>
      <c r="AX142" s="743"/>
      <c r="AY142" s="743"/>
      <c r="AZ142" s="743"/>
      <c r="BA142" s="743"/>
      <c r="BB142" s="743"/>
      <c r="BC142" s="743"/>
      <c r="BD142" s="743"/>
      <c r="BE142" s="744"/>
      <c r="BF142" s="13"/>
      <c r="BG142" s="13"/>
      <c r="BH142" s="85"/>
      <c r="BW142" s="731"/>
      <c r="BX142" s="732"/>
      <c r="BY142" s="732"/>
      <c r="BZ142" s="732"/>
      <c r="CA142" s="732"/>
      <c r="CB142" s="732"/>
      <c r="CC142" s="732"/>
      <c r="CD142" s="732"/>
      <c r="CE142" s="732"/>
      <c r="CF142" s="733"/>
    </row>
    <row r="143" spans="26:84" ht="15" customHeight="1" x14ac:dyDescent="0.25">
      <c r="Z143" s="84"/>
      <c r="AA143" s="76"/>
      <c r="AB143" s="86"/>
      <c r="AC143" s="86"/>
      <c r="AD143" s="86"/>
      <c r="AE143" s="77"/>
      <c r="AI143" s="774"/>
      <c r="AJ143" s="774"/>
      <c r="AK143" s="774"/>
      <c r="AL143" s="774"/>
      <c r="AM143" s="774"/>
      <c r="AN143" s="774"/>
      <c r="AO143" s="726"/>
      <c r="AP143" s="726"/>
      <c r="AQ143" s="726"/>
      <c r="AR143" s="726"/>
      <c r="AV143" s="727"/>
      <c r="AW143" s="727"/>
      <c r="AX143" s="727"/>
      <c r="AY143" s="727"/>
      <c r="AZ143" s="727"/>
      <c r="BA143" s="727"/>
      <c r="BB143" s="727"/>
      <c r="BC143" s="727"/>
      <c r="BD143" s="727"/>
      <c r="BE143" s="727"/>
      <c r="BF143" s="13"/>
      <c r="BG143" s="13"/>
      <c r="BH143" s="85"/>
      <c r="BW143" s="731"/>
      <c r="BX143" s="732"/>
      <c r="BY143" s="732"/>
      <c r="BZ143" s="732"/>
      <c r="CA143" s="732"/>
      <c r="CB143" s="732"/>
      <c r="CC143" s="732"/>
      <c r="CD143" s="732"/>
      <c r="CE143" s="732"/>
      <c r="CF143" s="733"/>
    </row>
    <row r="144" spans="26:84" ht="15" customHeight="1" x14ac:dyDescent="0.25">
      <c r="Z144" s="84"/>
      <c r="AA144" s="76"/>
      <c r="AB144" s="86"/>
      <c r="AC144" s="86"/>
      <c r="AD144" s="86"/>
      <c r="AE144" s="77"/>
      <c r="AI144" s="774"/>
      <c r="AJ144" s="774"/>
      <c r="AK144" s="774"/>
      <c r="AL144" s="774"/>
      <c r="AM144" s="774"/>
      <c r="AN144" s="774"/>
      <c r="AO144" s="726"/>
      <c r="AP144" s="726"/>
      <c r="AQ144" s="726"/>
      <c r="AR144" s="726"/>
      <c r="AV144" s="727"/>
      <c r="AW144" s="727"/>
      <c r="AX144" s="727"/>
      <c r="AY144" s="727"/>
      <c r="AZ144" s="727"/>
      <c r="BA144" s="727"/>
      <c r="BB144" s="727"/>
      <c r="BC144" s="727"/>
      <c r="BD144" s="727"/>
      <c r="BE144" s="727"/>
      <c r="BF144" s="13"/>
      <c r="BG144" s="13"/>
      <c r="BH144" s="85"/>
      <c r="BW144" s="734"/>
      <c r="BX144" s="735"/>
      <c r="BY144" s="735"/>
      <c r="BZ144" s="735"/>
      <c r="CA144" s="735"/>
      <c r="CB144" s="735"/>
      <c r="CC144" s="735"/>
      <c r="CD144" s="735"/>
      <c r="CE144" s="735"/>
      <c r="CF144" s="736"/>
    </row>
    <row r="145" spans="26:60" ht="26.25" customHeight="1" x14ac:dyDescent="0.25">
      <c r="Z145" s="84"/>
      <c r="AA145" s="76"/>
      <c r="AB145" s="86"/>
      <c r="AC145" s="86"/>
      <c r="AD145" s="86"/>
      <c r="AE145" s="77"/>
      <c r="AI145" s="774"/>
      <c r="AJ145" s="774"/>
      <c r="AK145" s="774"/>
      <c r="AL145" s="774"/>
      <c r="AM145" s="774"/>
      <c r="AN145" s="774"/>
      <c r="AO145" s="726"/>
      <c r="AP145" s="726"/>
      <c r="AQ145" s="726"/>
      <c r="AR145" s="726"/>
      <c r="AV145" s="728"/>
      <c r="AW145" s="729"/>
      <c r="AX145" s="729"/>
      <c r="AY145" s="729"/>
      <c r="AZ145" s="729"/>
      <c r="BA145" s="729"/>
      <c r="BB145" s="729"/>
      <c r="BC145" s="729"/>
      <c r="BD145" s="729"/>
      <c r="BE145" s="730"/>
      <c r="BF145" s="57"/>
      <c r="BG145" s="57"/>
      <c r="BH145" s="85"/>
    </row>
    <row r="146" spans="26:60" ht="27" customHeight="1" thickBot="1" x14ac:dyDescent="0.3">
      <c r="Z146" s="84"/>
      <c r="AA146" s="78"/>
      <c r="AB146" s="79"/>
      <c r="AC146" s="79"/>
      <c r="AD146" s="79"/>
      <c r="AE146" s="80"/>
      <c r="AI146" s="774"/>
      <c r="AJ146" s="774"/>
      <c r="AK146" s="774"/>
      <c r="AL146" s="774"/>
      <c r="AM146" s="774"/>
      <c r="AN146" s="774"/>
      <c r="AO146" s="726"/>
      <c r="AP146" s="726"/>
      <c r="AQ146" s="726"/>
      <c r="AR146" s="726"/>
      <c r="AV146" s="731"/>
      <c r="AW146" s="732"/>
      <c r="AX146" s="732"/>
      <c r="AY146" s="732"/>
      <c r="AZ146" s="732"/>
      <c r="BA146" s="732"/>
      <c r="BB146" s="732"/>
      <c r="BC146" s="732"/>
      <c r="BD146" s="732"/>
      <c r="BE146" s="733"/>
      <c r="BF146" s="57"/>
      <c r="BG146" s="57"/>
      <c r="BH146" s="85"/>
    </row>
    <row r="147" spans="26:60" ht="27" thickTop="1" x14ac:dyDescent="0.25">
      <c r="Z147" s="84"/>
      <c r="AV147" s="734"/>
      <c r="AW147" s="735"/>
      <c r="AX147" s="735"/>
      <c r="AY147" s="735"/>
      <c r="AZ147" s="735"/>
      <c r="BA147" s="735"/>
      <c r="BB147" s="735"/>
      <c r="BC147" s="735"/>
      <c r="BD147" s="735"/>
      <c r="BE147" s="736"/>
      <c r="BF147" s="57"/>
      <c r="BG147" s="57"/>
      <c r="BH147" s="85"/>
    </row>
    <row r="148" spans="26:60" x14ac:dyDescent="0.25">
      <c r="Z148" s="84"/>
      <c r="AV148" s="739"/>
      <c r="AW148" s="740"/>
      <c r="AX148" s="740"/>
      <c r="AY148" s="740"/>
      <c r="AZ148" s="740"/>
      <c r="BA148" s="740"/>
      <c r="BB148" s="740"/>
      <c r="BC148" s="740"/>
      <c r="BD148" s="740"/>
      <c r="BE148" s="741"/>
      <c r="BF148" s="13"/>
      <c r="BG148" s="13"/>
      <c r="BH148" s="85"/>
    </row>
    <row r="149" spans="26:60" x14ac:dyDescent="0.25">
      <c r="Z149" s="84"/>
      <c r="AV149" s="742"/>
      <c r="AW149" s="743"/>
      <c r="AX149" s="743"/>
      <c r="AY149" s="743"/>
      <c r="AZ149" s="743"/>
      <c r="BA149" s="743"/>
      <c r="BB149" s="743"/>
      <c r="BC149" s="743"/>
      <c r="BD149" s="743"/>
      <c r="BE149" s="744"/>
      <c r="BF149" s="13"/>
      <c r="BG149" s="13"/>
      <c r="BH149" s="85"/>
    </row>
    <row r="150" spans="26:60" x14ac:dyDescent="0.25">
      <c r="Z150" s="84"/>
      <c r="AK150" s="1255"/>
      <c r="AL150" s="1255"/>
      <c r="AM150" s="1255"/>
      <c r="AN150" s="746"/>
      <c r="AO150" s="746"/>
      <c r="AP150" s="746"/>
      <c r="AQ150" s="747"/>
      <c r="AR150" s="748"/>
      <c r="AS150" s="748"/>
      <c r="AT150" s="749"/>
      <c r="AV150" s="739"/>
      <c r="AW150" s="740"/>
      <c r="AX150" s="740"/>
      <c r="AY150" s="740"/>
      <c r="AZ150" s="740"/>
      <c r="BA150" s="740"/>
      <c r="BB150" s="740"/>
      <c r="BC150" s="740"/>
      <c r="BD150" s="740"/>
      <c r="BE150" s="741"/>
      <c r="BF150" s="13"/>
      <c r="BG150" s="13"/>
      <c r="BH150" s="85"/>
    </row>
    <row r="151" spans="26:60" x14ac:dyDescent="0.25">
      <c r="Z151" s="84"/>
      <c r="AK151" s="1255"/>
      <c r="AL151" s="1255"/>
      <c r="AM151" s="1255"/>
      <c r="AN151" s="746"/>
      <c r="AO151" s="746"/>
      <c r="AP151" s="746"/>
      <c r="AQ151" s="747"/>
      <c r="AR151" s="748"/>
      <c r="AS151" s="748"/>
      <c r="AT151" s="749"/>
      <c r="AV151" s="750"/>
      <c r="AW151" s="751"/>
      <c r="AX151" s="751"/>
      <c r="AY151" s="751"/>
      <c r="AZ151" s="751"/>
      <c r="BA151" s="751"/>
      <c r="BB151" s="751"/>
      <c r="BC151" s="751"/>
      <c r="BD151" s="751"/>
      <c r="BE151" s="752"/>
      <c r="BF151" s="13"/>
      <c r="BG151" s="13"/>
      <c r="BH151" s="85"/>
    </row>
    <row r="152" spans="26:60" x14ac:dyDescent="0.25">
      <c r="Z152" s="84"/>
      <c r="AK152" s="1255"/>
      <c r="AL152" s="1255"/>
      <c r="AM152" s="1255"/>
      <c r="AN152" s="746"/>
      <c r="AO152" s="746"/>
      <c r="AP152" s="746"/>
      <c r="AQ152" s="747"/>
      <c r="AR152" s="748"/>
      <c r="AS152" s="748"/>
      <c r="AT152" s="749"/>
      <c r="AV152" s="750"/>
      <c r="AW152" s="751"/>
      <c r="AX152" s="751"/>
      <c r="AY152" s="751"/>
      <c r="AZ152" s="751"/>
      <c r="BA152" s="751"/>
      <c r="BB152" s="751"/>
      <c r="BC152" s="751"/>
      <c r="BD152" s="751"/>
      <c r="BE152" s="752"/>
      <c r="BF152" s="13"/>
      <c r="BG152" s="13"/>
      <c r="BH152" s="85"/>
    </row>
    <row r="153" spans="26:60" x14ac:dyDescent="0.25">
      <c r="Z153" s="84"/>
      <c r="AK153" s="727"/>
      <c r="AL153" s="727"/>
      <c r="AM153" s="727"/>
      <c r="AN153" s="746"/>
      <c r="AO153" s="746"/>
      <c r="AP153" s="746"/>
      <c r="AQ153" s="747"/>
      <c r="AR153" s="748"/>
      <c r="AS153" s="748"/>
      <c r="AT153" s="749"/>
      <c r="AV153" s="742"/>
      <c r="AW153" s="743"/>
      <c r="AX153" s="743"/>
      <c r="AY153" s="743"/>
      <c r="AZ153" s="743"/>
      <c r="BA153" s="743"/>
      <c r="BB153" s="743"/>
      <c r="BC153" s="743"/>
      <c r="BD153" s="743"/>
      <c r="BE153" s="744"/>
      <c r="BF153" s="13"/>
      <c r="BG153" s="13"/>
      <c r="BH153" s="85"/>
    </row>
    <row r="154" spans="26:60" ht="26.25" x14ac:dyDescent="0.25">
      <c r="Z154" s="84"/>
      <c r="AK154" s="727"/>
      <c r="AL154" s="727"/>
      <c r="AM154" s="727"/>
      <c r="AN154" s="746"/>
      <c r="AO154" s="746"/>
      <c r="AP154" s="746"/>
      <c r="AQ154" s="747"/>
      <c r="AR154" s="748"/>
      <c r="AS154" s="748"/>
      <c r="AT154" s="749"/>
      <c r="AV154" s="728"/>
      <c r="AW154" s="729"/>
      <c r="AX154" s="729"/>
      <c r="AY154" s="729"/>
      <c r="AZ154" s="729"/>
      <c r="BA154" s="729"/>
      <c r="BB154" s="729"/>
      <c r="BC154" s="729"/>
      <c r="BD154" s="729"/>
      <c r="BE154" s="730"/>
      <c r="BF154" s="57"/>
      <c r="BG154" s="57"/>
      <c r="BH154" s="85"/>
    </row>
    <row r="155" spans="26:60" ht="26.25" x14ac:dyDescent="0.25">
      <c r="Z155" s="84"/>
      <c r="AK155" s="727"/>
      <c r="AL155" s="727"/>
      <c r="AM155" s="727"/>
      <c r="AN155" s="746"/>
      <c r="AO155" s="746"/>
      <c r="AP155" s="746"/>
      <c r="AQ155" s="747"/>
      <c r="AR155" s="748"/>
      <c r="AS155" s="748"/>
      <c r="AT155" s="749"/>
      <c r="AV155" s="731"/>
      <c r="AW155" s="732"/>
      <c r="AX155" s="732"/>
      <c r="AY155" s="732"/>
      <c r="AZ155" s="732"/>
      <c r="BA155" s="732"/>
      <c r="BB155" s="732"/>
      <c r="BC155" s="732"/>
      <c r="BD155" s="732"/>
      <c r="BE155" s="733"/>
      <c r="BF155" s="57"/>
      <c r="BG155" s="57"/>
      <c r="BH155" s="85"/>
    </row>
    <row r="156" spans="26:60" ht="26.25" x14ac:dyDescent="0.25">
      <c r="Z156" s="84"/>
      <c r="AK156" s="727"/>
      <c r="AL156" s="727"/>
      <c r="AM156" s="727"/>
      <c r="AN156" s="746"/>
      <c r="AO156" s="746"/>
      <c r="AP156" s="746"/>
      <c r="AQ156" s="747"/>
      <c r="AR156" s="748"/>
      <c r="AS156" s="748"/>
      <c r="AT156" s="749"/>
      <c r="AV156" s="731"/>
      <c r="AW156" s="732"/>
      <c r="AX156" s="732"/>
      <c r="AY156" s="732"/>
      <c r="AZ156" s="732"/>
      <c r="BA156" s="732"/>
      <c r="BB156" s="732"/>
      <c r="BC156" s="732"/>
      <c r="BD156" s="732"/>
      <c r="BE156" s="733"/>
      <c r="BF156" s="57"/>
      <c r="BG156" s="57"/>
      <c r="BH156" s="85"/>
    </row>
    <row r="157" spans="26:60" ht="26.25" x14ac:dyDescent="0.25">
      <c r="Z157" s="84"/>
      <c r="AK157" s="727"/>
      <c r="AL157" s="727"/>
      <c r="AM157" s="727"/>
      <c r="AN157" s="746"/>
      <c r="AO157" s="746"/>
      <c r="AP157" s="746"/>
      <c r="AQ157" s="747"/>
      <c r="AR157" s="748"/>
      <c r="AS157" s="748"/>
      <c r="AT157" s="749"/>
      <c r="AV157" s="731"/>
      <c r="AW157" s="732"/>
      <c r="AX157" s="732"/>
      <c r="AY157" s="732"/>
      <c r="AZ157" s="732"/>
      <c r="BA157" s="732"/>
      <c r="BB157" s="732"/>
      <c r="BC157" s="732"/>
      <c r="BD157" s="732"/>
      <c r="BE157" s="733"/>
      <c r="BF157" s="57"/>
      <c r="BG157" s="57"/>
      <c r="BH157" s="85"/>
    </row>
    <row r="158" spans="26:60" ht="26.25" x14ac:dyDescent="0.25">
      <c r="Z158" s="84"/>
      <c r="AK158" s="727"/>
      <c r="AL158" s="727"/>
      <c r="AM158" s="727"/>
      <c r="AN158" s="746"/>
      <c r="AO158" s="746"/>
      <c r="AP158" s="746"/>
      <c r="AQ158" s="747"/>
      <c r="AR158" s="748"/>
      <c r="AS158" s="748"/>
      <c r="AT158" s="749"/>
      <c r="AV158" s="734"/>
      <c r="AW158" s="735"/>
      <c r="AX158" s="735"/>
      <c r="AY158" s="735"/>
      <c r="AZ158" s="735"/>
      <c r="BA158" s="735"/>
      <c r="BB158" s="735"/>
      <c r="BC158" s="735"/>
      <c r="BD158" s="735"/>
      <c r="BE158" s="736"/>
      <c r="BF158" s="57"/>
      <c r="BG158" s="57"/>
      <c r="BH158" s="85"/>
    </row>
    <row r="159" spans="26:60" x14ac:dyDescent="0.25">
      <c r="Z159" s="84"/>
      <c r="AN159" s="1254"/>
      <c r="AO159" s="1254"/>
      <c r="AP159" s="1254"/>
      <c r="AQ159" s="747"/>
      <c r="AR159" s="748"/>
      <c r="AS159" s="748"/>
      <c r="AT159" s="749"/>
      <c r="BH159" s="85"/>
    </row>
    <row r="160" spans="26:60" x14ac:dyDescent="0.25">
      <c r="Z160" s="84"/>
      <c r="AN160" s="1254"/>
      <c r="AO160" s="1254"/>
      <c r="AP160" s="1254"/>
      <c r="AQ160" s="747"/>
      <c r="AR160" s="748"/>
      <c r="AS160" s="748"/>
      <c r="AT160" s="749"/>
      <c r="BH160" s="85"/>
    </row>
    <row r="161" spans="26:60" x14ac:dyDescent="0.25">
      <c r="Z161" s="84"/>
      <c r="AN161" s="1254"/>
      <c r="AO161" s="1254"/>
      <c r="AP161" s="1254"/>
      <c r="AQ161" s="747"/>
      <c r="AR161" s="748"/>
      <c r="AS161" s="748"/>
      <c r="AT161" s="749"/>
      <c r="BH161" s="85"/>
    </row>
    <row r="162" spans="26:60" x14ac:dyDescent="0.25">
      <c r="Z162" s="84"/>
      <c r="BH162" s="85"/>
    </row>
    <row r="163" spans="26:60" ht="15.75" thickBot="1" x14ac:dyDescent="0.3">
      <c r="Z163" s="87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  <c r="AQ163" s="88"/>
      <c r="AR163" s="88"/>
      <c r="AS163" s="88"/>
      <c r="AT163" s="88"/>
      <c r="AU163" s="88"/>
      <c r="AV163" s="88"/>
      <c r="AW163" s="88"/>
      <c r="AX163" s="88"/>
      <c r="AY163" s="88"/>
      <c r="AZ163" s="88"/>
      <c r="BA163" s="88"/>
      <c r="BB163" s="88"/>
      <c r="BC163" s="88"/>
      <c r="BD163" s="88"/>
      <c r="BE163" s="88"/>
      <c r="BF163" s="88"/>
      <c r="BG163" s="88"/>
      <c r="BH163" s="89"/>
    </row>
  </sheetData>
  <mergeCells count="1030">
    <mergeCell ref="AJ126:AL128"/>
    <mergeCell ref="AM126:AO128"/>
    <mergeCell ref="AP126:AS128"/>
    <mergeCell ref="AU126:BD129"/>
    <mergeCell ref="AJ129:AL131"/>
    <mergeCell ref="AM129:AO131"/>
    <mergeCell ref="AP129:AS131"/>
    <mergeCell ref="AU130:BD134"/>
    <mergeCell ref="AJ132:AL134"/>
    <mergeCell ref="AM132:AO134"/>
    <mergeCell ref="AK119:AM122"/>
    <mergeCell ref="AN119:AO122"/>
    <mergeCell ref="AP119:AQ122"/>
    <mergeCell ref="AU119:BD120"/>
    <mergeCell ref="AU121:BD123"/>
    <mergeCell ref="AU124:BD125"/>
    <mergeCell ref="G106:I109"/>
    <mergeCell ref="BL108:BR109"/>
    <mergeCell ref="Z116:AD122"/>
    <mergeCell ref="AH116:AJ118"/>
    <mergeCell ref="AK116:AM118"/>
    <mergeCell ref="AN116:AO118"/>
    <mergeCell ref="AP116:AQ118"/>
    <mergeCell ref="AU116:BD118"/>
    <mergeCell ref="AH119:AJ122"/>
    <mergeCell ref="AU100:BF103"/>
    <mergeCell ref="BG100:BK109"/>
    <mergeCell ref="BL100:BO103"/>
    <mergeCell ref="BP100:BR103"/>
    <mergeCell ref="A101:C103"/>
    <mergeCell ref="D103:E103"/>
    <mergeCell ref="G103:I105"/>
    <mergeCell ref="X104:AI109"/>
    <mergeCell ref="AJ104:AT109"/>
    <mergeCell ref="AU104:BF109"/>
    <mergeCell ref="A100:C100"/>
    <mergeCell ref="D100:E100"/>
    <mergeCell ref="G100:I102"/>
    <mergeCell ref="AJ100:AS103"/>
    <mergeCell ref="BL104:BR107"/>
    <mergeCell ref="X100:AI103"/>
    <mergeCell ref="V97:Y97"/>
    <mergeCell ref="Z97:Z98"/>
    <mergeCell ref="AA97:AD97"/>
    <mergeCell ref="AE97:AE98"/>
    <mergeCell ref="AF97:AI97"/>
    <mergeCell ref="AJ97:AJ98"/>
    <mergeCell ref="A97:A98"/>
    <mergeCell ref="B97:E97"/>
    <mergeCell ref="F97:F98"/>
    <mergeCell ref="G97:J97"/>
    <mergeCell ref="K97:K98"/>
    <mergeCell ref="L97:O97"/>
    <mergeCell ref="P97:P98"/>
    <mergeCell ref="Q97:T97"/>
    <mergeCell ref="U97:U98"/>
    <mergeCell ref="AB93:AD96"/>
    <mergeCell ref="AE93:AF96"/>
    <mergeCell ref="AG93:AI96"/>
    <mergeCell ref="AJ93:AK96"/>
    <mergeCell ref="M93:O96"/>
    <mergeCell ref="P93:Q96"/>
    <mergeCell ref="R93:T96"/>
    <mergeCell ref="U93:V96"/>
    <mergeCell ref="W93:Y96"/>
    <mergeCell ref="Z93:AA96"/>
    <mergeCell ref="AK97:AN97"/>
    <mergeCell ref="A93:B96"/>
    <mergeCell ref="C93:E96"/>
    <mergeCell ref="F93:G96"/>
    <mergeCell ref="H93:J96"/>
    <mergeCell ref="K93:L96"/>
    <mergeCell ref="AT91:AT92"/>
    <mergeCell ref="AU91:AX91"/>
    <mergeCell ref="AY91:AY92"/>
    <mergeCell ref="AZ91:BC91"/>
    <mergeCell ref="BD91:BD92"/>
    <mergeCell ref="AA91:AD91"/>
    <mergeCell ref="AE91:AE92"/>
    <mergeCell ref="AF91:AI91"/>
    <mergeCell ref="AJ91:AJ92"/>
    <mergeCell ref="AK91:AN91"/>
    <mergeCell ref="AO91:AO92"/>
    <mergeCell ref="L91:O91"/>
    <mergeCell ref="P91:P92"/>
    <mergeCell ref="Q91:T91"/>
    <mergeCell ref="U91:U92"/>
    <mergeCell ref="V91:Y91"/>
    <mergeCell ref="Z91:Z92"/>
    <mergeCell ref="A91:A92"/>
    <mergeCell ref="B91:E91"/>
    <mergeCell ref="F91:F92"/>
    <mergeCell ref="G91:J91"/>
    <mergeCell ref="AL93:AN96"/>
    <mergeCell ref="BN87:BO90"/>
    <mergeCell ref="BP87:BR90"/>
    <mergeCell ref="K91:K92"/>
    <mergeCell ref="AQ87:AS90"/>
    <mergeCell ref="AT87:AU90"/>
    <mergeCell ref="AV87:AX90"/>
    <mergeCell ref="AY87:AZ90"/>
    <mergeCell ref="BA87:BC90"/>
    <mergeCell ref="BD87:BE90"/>
    <mergeCell ref="AB87:AD90"/>
    <mergeCell ref="AE87:AF90"/>
    <mergeCell ref="AG87:AI90"/>
    <mergeCell ref="AJ87:AK90"/>
    <mergeCell ref="AL87:AN90"/>
    <mergeCell ref="AO87:AP90"/>
    <mergeCell ref="M87:O90"/>
    <mergeCell ref="P87:Q90"/>
    <mergeCell ref="R87:T90"/>
    <mergeCell ref="U87:V90"/>
    <mergeCell ref="W87:Y90"/>
    <mergeCell ref="Z87:AA90"/>
    <mergeCell ref="BE91:BH91"/>
    <mergeCell ref="BI91:BI92"/>
    <mergeCell ref="BJ91:BM91"/>
    <mergeCell ref="BN91:BN92"/>
    <mergeCell ref="BO91:BR91"/>
    <mergeCell ref="AP91:AS91"/>
    <mergeCell ref="BN85:BN86"/>
    <mergeCell ref="BO85:BR85"/>
    <mergeCell ref="BD85:BD86"/>
    <mergeCell ref="BE85:BH85"/>
    <mergeCell ref="BI85:BI86"/>
    <mergeCell ref="BJ85:BM85"/>
    <mergeCell ref="A87:B90"/>
    <mergeCell ref="C87:E90"/>
    <mergeCell ref="F87:G90"/>
    <mergeCell ref="H87:J90"/>
    <mergeCell ref="K87:L90"/>
    <mergeCell ref="AK85:AN85"/>
    <mergeCell ref="AO85:AO86"/>
    <mergeCell ref="AP85:AS85"/>
    <mergeCell ref="AT85:AT86"/>
    <mergeCell ref="AU85:AX85"/>
    <mergeCell ref="AY85:AY86"/>
    <mergeCell ref="V85:Y85"/>
    <mergeCell ref="Z85:Z86"/>
    <mergeCell ref="AA85:AD85"/>
    <mergeCell ref="AE85:AE86"/>
    <mergeCell ref="AF85:AI85"/>
    <mergeCell ref="AJ85:AJ86"/>
    <mergeCell ref="G85:J85"/>
    <mergeCell ref="K85:K86"/>
    <mergeCell ref="L85:O85"/>
    <mergeCell ref="P85:P86"/>
    <mergeCell ref="Q85:T85"/>
    <mergeCell ref="U85:U86"/>
    <mergeCell ref="BF87:BH90"/>
    <mergeCell ref="BI87:BJ90"/>
    <mergeCell ref="BK87:BM90"/>
    <mergeCell ref="BA81:BC84"/>
    <mergeCell ref="BD81:BE84"/>
    <mergeCell ref="BF81:BH84"/>
    <mergeCell ref="BI81:BJ84"/>
    <mergeCell ref="BK81:BM84"/>
    <mergeCell ref="BN79:BN80"/>
    <mergeCell ref="BO79:BR79"/>
    <mergeCell ref="BA75:BC78"/>
    <mergeCell ref="BD75:BE78"/>
    <mergeCell ref="BF75:BH78"/>
    <mergeCell ref="A85:A86"/>
    <mergeCell ref="B85:E85"/>
    <mergeCell ref="F85:F86"/>
    <mergeCell ref="AL81:AN84"/>
    <mergeCell ref="AO81:AP84"/>
    <mergeCell ref="AQ81:AS84"/>
    <mergeCell ref="AT81:AU84"/>
    <mergeCell ref="AV81:AX84"/>
    <mergeCell ref="AY81:AZ84"/>
    <mergeCell ref="W81:Y84"/>
    <mergeCell ref="Z81:AA84"/>
    <mergeCell ref="AB81:AD84"/>
    <mergeCell ref="AE81:AF84"/>
    <mergeCell ref="AG81:AI84"/>
    <mergeCell ref="AJ81:AK84"/>
    <mergeCell ref="H81:J84"/>
    <mergeCell ref="K81:L84"/>
    <mergeCell ref="M81:O84"/>
    <mergeCell ref="P81:Q84"/>
    <mergeCell ref="R81:T84"/>
    <mergeCell ref="U81:V84"/>
    <mergeCell ref="AZ85:BC85"/>
    <mergeCell ref="A81:B84"/>
    <mergeCell ref="C81:E84"/>
    <mergeCell ref="F81:G84"/>
    <mergeCell ref="AK79:AN79"/>
    <mergeCell ref="AO79:AO80"/>
    <mergeCell ref="AP79:AS79"/>
    <mergeCell ref="AT79:AT80"/>
    <mergeCell ref="AU79:AX79"/>
    <mergeCell ref="AY79:AY80"/>
    <mergeCell ref="V79:Y79"/>
    <mergeCell ref="Z79:Z80"/>
    <mergeCell ref="AA79:AD79"/>
    <mergeCell ref="AE79:AE80"/>
    <mergeCell ref="AF79:AI79"/>
    <mergeCell ref="AJ79:AJ80"/>
    <mergeCell ref="G79:J79"/>
    <mergeCell ref="K79:K80"/>
    <mergeCell ref="L79:O79"/>
    <mergeCell ref="P79:P80"/>
    <mergeCell ref="Q79:T79"/>
    <mergeCell ref="U79:U80"/>
    <mergeCell ref="BI75:BJ78"/>
    <mergeCell ref="BK75:BM78"/>
    <mergeCell ref="BN73:BN74"/>
    <mergeCell ref="BO73:BR73"/>
    <mergeCell ref="A79:A80"/>
    <mergeCell ref="B79:E79"/>
    <mergeCell ref="F79:F80"/>
    <mergeCell ref="AL75:AN78"/>
    <mergeCell ref="AO75:AP78"/>
    <mergeCell ref="AQ75:AS78"/>
    <mergeCell ref="AT75:AU78"/>
    <mergeCell ref="AV75:AX78"/>
    <mergeCell ref="AY75:AZ78"/>
    <mergeCell ref="W75:Y78"/>
    <mergeCell ref="Z75:AA78"/>
    <mergeCell ref="AB75:AD78"/>
    <mergeCell ref="AE75:AF78"/>
    <mergeCell ref="AG75:AI78"/>
    <mergeCell ref="AJ75:AK78"/>
    <mergeCell ref="H75:J78"/>
    <mergeCell ref="K75:L78"/>
    <mergeCell ref="M75:O78"/>
    <mergeCell ref="P75:Q78"/>
    <mergeCell ref="R75:T78"/>
    <mergeCell ref="U75:V78"/>
    <mergeCell ref="AZ79:BC79"/>
    <mergeCell ref="BD79:BD80"/>
    <mergeCell ref="BE79:BH79"/>
    <mergeCell ref="BI79:BI80"/>
    <mergeCell ref="BJ79:BM79"/>
    <mergeCell ref="BN75:BO78"/>
    <mergeCell ref="BP75:BR78"/>
    <mergeCell ref="M69:O72"/>
    <mergeCell ref="P69:Q72"/>
    <mergeCell ref="R69:T72"/>
    <mergeCell ref="U69:V72"/>
    <mergeCell ref="AZ73:BC73"/>
    <mergeCell ref="BD73:BD74"/>
    <mergeCell ref="BE73:BH73"/>
    <mergeCell ref="BI73:BI74"/>
    <mergeCell ref="BJ73:BM73"/>
    <mergeCell ref="BN69:BO72"/>
    <mergeCell ref="BP69:BR72"/>
    <mergeCell ref="A75:B78"/>
    <mergeCell ref="C75:E78"/>
    <mergeCell ref="F75:G78"/>
    <mergeCell ref="AK73:AN73"/>
    <mergeCell ref="AO73:AO74"/>
    <mergeCell ref="AP73:AS73"/>
    <mergeCell ref="AT73:AT74"/>
    <mergeCell ref="AU73:AX73"/>
    <mergeCell ref="AY73:AY74"/>
    <mergeCell ref="V73:Y73"/>
    <mergeCell ref="Z73:Z74"/>
    <mergeCell ref="AA73:AD73"/>
    <mergeCell ref="AE73:AE74"/>
    <mergeCell ref="AF73:AI73"/>
    <mergeCell ref="AJ73:AJ74"/>
    <mergeCell ref="G73:J73"/>
    <mergeCell ref="K73:K74"/>
    <mergeCell ref="L73:O73"/>
    <mergeCell ref="P73:P74"/>
    <mergeCell ref="Q73:T73"/>
    <mergeCell ref="U73:U74"/>
    <mergeCell ref="FJ74:FP75"/>
    <mergeCell ref="EH70:ER75"/>
    <mergeCell ref="ES70:FD75"/>
    <mergeCell ref="FJ70:FP73"/>
    <mergeCell ref="DE72:DG75"/>
    <mergeCell ref="A69:B72"/>
    <mergeCell ref="C69:E72"/>
    <mergeCell ref="F69:G72"/>
    <mergeCell ref="BA69:BC72"/>
    <mergeCell ref="BD69:BE72"/>
    <mergeCell ref="BF69:BH72"/>
    <mergeCell ref="BI69:BJ72"/>
    <mergeCell ref="BK69:BM72"/>
    <mergeCell ref="BN81:BO84"/>
    <mergeCell ref="BP81:BR84"/>
    <mergeCell ref="A73:A74"/>
    <mergeCell ref="B73:E73"/>
    <mergeCell ref="F73:F74"/>
    <mergeCell ref="AL69:AN72"/>
    <mergeCell ref="AO69:AP72"/>
    <mergeCell ref="AQ69:AS72"/>
    <mergeCell ref="AT69:AU72"/>
    <mergeCell ref="AV69:AX72"/>
    <mergeCell ref="AY69:AZ72"/>
    <mergeCell ref="W69:Y72"/>
    <mergeCell ref="Z69:AA72"/>
    <mergeCell ref="AB69:AD72"/>
    <mergeCell ref="AE69:AF72"/>
    <mergeCell ref="AG69:AI72"/>
    <mergeCell ref="AJ69:AK72"/>
    <mergeCell ref="H69:J72"/>
    <mergeCell ref="K69:L72"/>
    <mergeCell ref="BE67:BH67"/>
    <mergeCell ref="BI67:BI68"/>
    <mergeCell ref="BJ67:BM67"/>
    <mergeCell ref="BN67:BN68"/>
    <mergeCell ref="BO67:BR67"/>
    <mergeCell ref="CY67:DA69"/>
    <mergeCell ref="AP67:AS67"/>
    <mergeCell ref="AT67:AT68"/>
    <mergeCell ref="AU67:AX67"/>
    <mergeCell ref="AY67:AY68"/>
    <mergeCell ref="AZ67:BC67"/>
    <mergeCell ref="BD67:BD68"/>
    <mergeCell ref="AA67:AD67"/>
    <mergeCell ref="AE67:AE68"/>
    <mergeCell ref="AF67:AI67"/>
    <mergeCell ref="AJ67:AJ68"/>
    <mergeCell ref="AK67:AN67"/>
    <mergeCell ref="AO67:AO68"/>
    <mergeCell ref="L67:O67"/>
    <mergeCell ref="P67:P68"/>
    <mergeCell ref="Q67:T67"/>
    <mergeCell ref="U67:U68"/>
    <mergeCell ref="V67:Y67"/>
    <mergeCell ref="Z67:Z68"/>
    <mergeCell ref="EH66:EQ69"/>
    <mergeCell ref="ES66:FD69"/>
    <mergeCell ref="FE66:FI75"/>
    <mergeCell ref="FJ66:FM69"/>
    <mergeCell ref="FN66:FP69"/>
    <mergeCell ref="A67:A68"/>
    <mergeCell ref="B67:E67"/>
    <mergeCell ref="F67:F68"/>
    <mergeCell ref="G67:J67"/>
    <mergeCell ref="K67:K68"/>
    <mergeCell ref="BN63:BO66"/>
    <mergeCell ref="BP63:BR66"/>
    <mergeCell ref="DV65:EG69"/>
    <mergeCell ref="CY66:DA66"/>
    <mergeCell ref="DB66:DC66"/>
    <mergeCell ref="DE66:DG68"/>
    <mergeCell ref="DB69:DC69"/>
    <mergeCell ref="DE69:DG71"/>
    <mergeCell ref="DV70:EG75"/>
    <mergeCell ref="AY63:AZ66"/>
    <mergeCell ref="BA63:BC66"/>
    <mergeCell ref="BD63:BE66"/>
    <mergeCell ref="BF63:BH66"/>
    <mergeCell ref="BI63:BJ66"/>
    <mergeCell ref="BK63:BM66"/>
    <mergeCell ref="AJ63:AK66"/>
    <mergeCell ref="AL63:AN66"/>
    <mergeCell ref="AO63:AP66"/>
    <mergeCell ref="AQ63:AS66"/>
    <mergeCell ref="AT63:AU66"/>
    <mergeCell ref="AV63:AX66"/>
    <mergeCell ref="U63:V66"/>
    <mergeCell ref="W63:Y66"/>
    <mergeCell ref="Z63:AA66"/>
    <mergeCell ref="AB63:AD66"/>
    <mergeCell ref="AE63:AF66"/>
    <mergeCell ref="AG63:AI66"/>
    <mergeCell ref="BN60:BN61"/>
    <mergeCell ref="BO60:BR60"/>
    <mergeCell ref="A63:B66"/>
    <mergeCell ref="C63:E66"/>
    <mergeCell ref="F63:G66"/>
    <mergeCell ref="H63:J66"/>
    <mergeCell ref="K63:L66"/>
    <mergeCell ref="M63:O66"/>
    <mergeCell ref="P63:Q66"/>
    <mergeCell ref="R63:T66"/>
    <mergeCell ref="AY60:AY61"/>
    <mergeCell ref="AZ60:BC60"/>
    <mergeCell ref="BD60:BD61"/>
    <mergeCell ref="BE60:BH60"/>
    <mergeCell ref="BI60:BI61"/>
    <mergeCell ref="BJ60:BM60"/>
    <mergeCell ref="AJ60:AJ61"/>
    <mergeCell ref="AK60:AN60"/>
    <mergeCell ref="AO60:AO61"/>
    <mergeCell ref="AP60:AS60"/>
    <mergeCell ref="AT60:AT61"/>
    <mergeCell ref="AU60:AX60"/>
    <mergeCell ref="U60:U61"/>
    <mergeCell ref="V60:Y60"/>
    <mergeCell ref="Z60:Z61"/>
    <mergeCell ref="AA60:AD60"/>
    <mergeCell ref="AE60:AE61"/>
    <mergeCell ref="AF60:AI60"/>
    <mergeCell ref="BL59:BM59"/>
    <mergeCell ref="BQ59:BR59"/>
    <mergeCell ref="A60:A61"/>
    <mergeCell ref="B60:E60"/>
    <mergeCell ref="F60:F61"/>
    <mergeCell ref="G60:J60"/>
    <mergeCell ref="K60:K61"/>
    <mergeCell ref="L60:O60"/>
    <mergeCell ref="P60:P61"/>
    <mergeCell ref="Q60:T60"/>
    <mergeCell ref="BN57:BP59"/>
    <mergeCell ref="D59:E59"/>
    <mergeCell ref="I59:J59"/>
    <mergeCell ref="N59:O59"/>
    <mergeCell ref="S59:T59"/>
    <mergeCell ref="X59:Y59"/>
    <mergeCell ref="AC59:AD59"/>
    <mergeCell ref="AH59:AI59"/>
    <mergeCell ref="AM59:AN59"/>
    <mergeCell ref="AR59:AS59"/>
    <mergeCell ref="AJ57:AL59"/>
    <mergeCell ref="AO57:AQ59"/>
    <mergeCell ref="AT57:AV59"/>
    <mergeCell ref="AY57:BA59"/>
    <mergeCell ref="BD57:BF59"/>
    <mergeCell ref="BN56:BP56"/>
    <mergeCell ref="BQ56:BR56"/>
    <mergeCell ref="A57:C59"/>
    <mergeCell ref="F57:H59"/>
    <mergeCell ref="K57:M59"/>
    <mergeCell ref="P57:R59"/>
    <mergeCell ref="U57:W59"/>
    <mergeCell ref="Z57:AB59"/>
    <mergeCell ref="AE57:AG59"/>
    <mergeCell ref="AW56:AX56"/>
    <mergeCell ref="AY56:BA56"/>
    <mergeCell ref="BB56:BC56"/>
    <mergeCell ref="BD56:BF56"/>
    <mergeCell ref="BG56:BH56"/>
    <mergeCell ref="BI56:BK56"/>
    <mergeCell ref="AH56:AI56"/>
    <mergeCell ref="AJ56:AL56"/>
    <mergeCell ref="AM56:AN56"/>
    <mergeCell ref="AO56:AQ56"/>
    <mergeCell ref="AR56:AS56"/>
    <mergeCell ref="AT56:AV56"/>
    <mergeCell ref="S56:T56"/>
    <mergeCell ref="U56:W56"/>
    <mergeCell ref="X56:Y56"/>
    <mergeCell ref="Z56:AB56"/>
    <mergeCell ref="AC56:AD56"/>
    <mergeCell ref="AE56:AG56"/>
    <mergeCell ref="Q54:T54"/>
    <mergeCell ref="U54:U55"/>
    <mergeCell ref="V54:Y54"/>
    <mergeCell ref="Z54:Z55"/>
    <mergeCell ref="AA54:AD54"/>
    <mergeCell ref="AE54:AE55"/>
    <mergeCell ref="A54:A55"/>
    <mergeCell ref="B54:E54"/>
    <mergeCell ref="F54:F55"/>
    <mergeCell ref="G54:J54"/>
    <mergeCell ref="K54:K55"/>
    <mergeCell ref="L54:O54"/>
    <mergeCell ref="P54:P55"/>
    <mergeCell ref="BI57:BK59"/>
    <mergeCell ref="AW59:AX59"/>
    <mergeCell ref="BB59:BC59"/>
    <mergeCell ref="BG59:BH59"/>
    <mergeCell ref="BJ54:BM54"/>
    <mergeCell ref="BL56:BM56"/>
    <mergeCell ref="AC53:AD53"/>
    <mergeCell ref="AH53:AI53"/>
    <mergeCell ref="AM53:AN53"/>
    <mergeCell ref="AE51:AG53"/>
    <mergeCell ref="AJ51:AL53"/>
    <mergeCell ref="AO51:AQ53"/>
    <mergeCell ref="AT51:AV53"/>
    <mergeCell ref="AY51:BA53"/>
    <mergeCell ref="BD51:BF53"/>
    <mergeCell ref="AR53:AS53"/>
    <mergeCell ref="AW53:AX53"/>
    <mergeCell ref="BB53:BC53"/>
    <mergeCell ref="BL53:BM53"/>
    <mergeCell ref="A56:C56"/>
    <mergeCell ref="D56:E56"/>
    <mergeCell ref="F56:H56"/>
    <mergeCell ref="I56:J56"/>
    <mergeCell ref="K56:M56"/>
    <mergeCell ref="N56:O56"/>
    <mergeCell ref="P56:R56"/>
    <mergeCell ref="AU54:AX54"/>
    <mergeCell ref="AY54:AY55"/>
    <mergeCell ref="AZ54:BC54"/>
    <mergeCell ref="BD54:BD55"/>
    <mergeCell ref="BE54:BH54"/>
    <mergeCell ref="BI54:BI55"/>
    <mergeCell ref="AF54:AI54"/>
    <mergeCell ref="AJ54:AJ55"/>
    <mergeCell ref="AK54:AN54"/>
    <mergeCell ref="AO54:AO55"/>
    <mergeCell ref="AP54:AS54"/>
    <mergeCell ref="AT54:AT55"/>
    <mergeCell ref="BN54:BN55"/>
    <mergeCell ref="BO54:BR54"/>
    <mergeCell ref="BI50:BK50"/>
    <mergeCell ref="BL50:BM50"/>
    <mergeCell ref="BN50:BP50"/>
    <mergeCell ref="BQ50:BR50"/>
    <mergeCell ref="A51:C53"/>
    <mergeCell ref="F51:H53"/>
    <mergeCell ref="K51:M53"/>
    <mergeCell ref="P51:R53"/>
    <mergeCell ref="U51:W53"/>
    <mergeCell ref="Z51:AB53"/>
    <mergeCell ref="AT50:AV50"/>
    <mergeCell ref="AW50:AX50"/>
    <mergeCell ref="AY50:BA50"/>
    <mergeCell ref="BB50:BC50"/>
    <mergeCell ref="BD50:BF50"/>
    <mergeCell ref="BG50:BH50"/>
    <mergeCell ref="AE50:AG50"/>
    <mergeCell ref="AH50:AI50"/>
    <mergeCell ref="AJ50:AL50"/>
    <mergeCell ref="AM50:AN50"/>
    <mergeCell ref="AO50:AQ50"/>
    <mergeCell ref="AR50:AS50"/>
    <mergeCell ref="P50:R50"/>
    <mergeCell ref="S50:T50"/>
    <mergeCell ref="U50:W50"/>
    <mergeCell ref="X50:Y50"/>
    <mergeCell ref="Z50:AB50"/>
    <mergeCell ref="AC50:AD50"/>
    <mergeCell ref="BG53:BH53"/>
    <mergeCell ref="BQ53:BR53"/>
    <mergeCell ref="A50:C50"/>
    <mergeCell ref="D50:E50"/>
    <mergeCell ref="F50:H50"/>
    <mergeCell ref="I50:J50"/>
    <mergeCell ref="K50:M50"/>
    <mergeCell ref="N50:O50"/>
    <mergeCell ref="AT48:AT49"/>
    <mergeCell ref="AU48:AX48"/>
    <mergeCell ref="AY48:AY49"/>
    <mergeCell ref="AZ48:BC48"/>
    <mergeCell ref="BD48:BD49"/>
    <mergeCell ref="BE48:BH48"/>
    <mergeCell ref="AE48:AE49"/>
    <mergeCell ref="AF48:AI48"/>
    <mergeCell ref="AJ48:AJ49"/>
    <mergeCell ref="AK48:AN48"/>
    <mergeCell ref="AO48:AO49"/>
    <mergeCell ref="AP48:AS48"/>
    <mergeCell ref="P48:P49"/>
    <mergeCell ref="Q48:T48"/>
    <mergeCell ref="U48:U49"/>
    <mergeCell ref="V48:Y48"/>
    <mergeCell ref="Z48:Z49"/>
    <mergeCell ref="AA48:AD48"/>
    <mergeCell ref="BI51:BK53"/>
    <mergeCell ref="BN51:BP53"/>
    <mergeCell ref="D53:E53"/>
    <mergeCell ref="I53:J53"/>
    <mergeCell ref="N53:O53"/>
    <mergeCell ref="S53:T53"/>
    <mergeCell ref="X53:Y53"/>
    <mergeCell ref="BI44:BJ47"/>
    <mergeCell ref="BK44:BM47"/>
    <mergeCell ref="BN44:BO47"/>
    <mergeCell ref="BP44:BR47"/>
    <mergeCell ref="A48:A49"/>
    <mergeCell ref="B48:E48"/>
    <mergeCell ref="F48:F49"/>
    <mergeCell ref="G48:J48"/>
    <mergeCell ref="K48:K49"/>
    <mergeCell ref="L48:O48"/>
    <mergeCell ref="AT44:AU47"/>
    <mergeCell ref="AV44:AX47"/>
    <mergeCell ref="AY44:AZ47"/>
    <mergeCell ref="BA44:BC47"/>
    <mergeCell ref="BD44:BE47"/>
    <mergeCell ref="BF44:BH47"/>
    <mergeCell ref="AE44:AF47"/>
    <mergeCell ref="AG44:AI47"/>
    <mergeCell ref="AJ44:AK47"/>
    <mergeCell ref="AL44:AN47"/>
    <mergeCell ref="AO44:AP47"/>
    <mergeCell ref="AQ44:AS47"/>
    <mergeCell ref="P44:Q47"/>
    <mergeCell ref="R44:T47"/>
    <mergeCell ref="U44:V47"/>
    <mergeCell ref="W44:Y47"/>
    <mergeCell ref="Z44:AA47"/>
    <mergeCell ref="AB44:AD47"/>
    <mergeCell ref="BI48:BI49"/>
    <mergeCell ref="BJ48:BM48"/>
    <mergeCell ref="BN48:BN49"/>
    <mergeCell ref="BO48:BR48"/>
    <mergeCell ref="A44:B47"/>
    <mergeCell ref="C44:E47"/>
    <mergeCell ref="F44:G47"/>
    <mergeCell ref="H44:J47"/>
    <mergeCell ref="K44:L47"/>
    <mergeCell ref="M44:O47"/>
    <mergeCell ref="AT42:AT43"/>
    <mergeCell ref="AU42:AX42"/>
    <mergeCell ref="AY42:AY43"/>
    <mergeCell ref="AZ42:BC42"/>
    <mergeCell ref="BD42:BD43"/>
    <mergeCell ref="BE42:BH42"/>
    <mergeCell ref="AE42:AE43"/>
    <mergeCell ref="AF42:AI42"/>
    <mergeCell ref="AJ42:AJ43"/>
    <mergeCell ref="AK42:AN42"/>
    <mergeCell ref="AO42:AO43"/>
    <mergeCell ref="AP42:AS42"/>
    <mergeCell ref="P42:P43"/>
    <mergeCell ref="Q42:T42"/>
    <mergeCell ref="U42:U43"/>
    <mergeCell ref="V42:Y42"/>
    <mergeCell ref="Z42:Z43"/>
    <mergeCell ref="AA42:AD42"/>
    <mergeCell ref="BI38:BJ41"/>
    <mergeCell ref="BK38:BM41"/>
    <mergeCell ref="BN38:BO41"/>
    <mergeCell ref="BP38:BR41"/>
    <mergeCell ref="A42:A43"/>
    <mergeCell ref="B42:E42"/>
    <mergeCell ref="F42:F43"/>
    <mergeCell ref="G42:J42"/>
    <mergeCell ref="K42:K43"/>
    <mergeCell ref="L42:O42"/>
    <mergeCell ref="AT38:AU41"/>
    <mergeCell ref="AV38:AX41"/>
    <mergeCell ref="AY38:AZ41"/>
    <mergeCell ref="BA38:BC41"/>
    <mergeCell ref="BD38:BE41"/>
    <mergeCell ref="BF38:BH41"/>
    <mergeCell ref="AE38:AF41"/>
    <mergeCell ref="AG38:AI41"/>
    <mergeCell ref="AJ38:AK41"/>
    <mergeCell ref="AL38:AN41"/>
    <mergeCell ref="AO38:AP41"/>
    <mergeCell ref="AQ38:AS41"/>
    <mergeCell ref="P38:Q41"/>
    <mergeCell ref="R38:T41"/>
    <mergeCell ref="U38:V41"/>
    <mergeCell ref="W38:Y41"/>
    <mergeCell ref="Z38:AA41"/>
    <mergeCell ref="AB38:AD41"/>
    <mergeCell ref="BI42:BI43"/>
    <mergeCell ref="BJ42:BM42"/>
    <mergeCell ref="BN42:BN43"/>
    <mergeCell ref="BO42:BR42"/>
    <mergeCell ref="A38:B41"/>
    <mergeCell ref="C38:E41"/>
    <mergeCell ref="F38:G41"/>
    <mergeCell ref="H38:J41"/>
    <mergeCell ref="K38:L41"/>
    <mergeCell ref="M38:O41"/>
    <mergeCell ref="AT36:AT37"/>
    <mergeCell ref="AU36:AX36"/>
    <mergeCell ref="AY36:AY37"/>
    <mergeCell ref="AZ36:BC36"/>
    <mergeCell ref="BD36:BD37"/>
    <mergeCell ref="BE36:BH36"/>
    <mergeCell ref="AE36:AE37"/>
    <mergeCell ref="AF36:AI36"/>
    <mergeCell ref="AJ36:AJ37"/>
    <mergeCell ref="AK36:AN36"/>
    <mergeCell ref="AO36:AO37"/>
    <mergeCell ref="AP36:AS36"/>
    <mergeCell ref="P36:P37"/>
    <mergeCell ref="Q36:T36"/>
    <mergeCell ref="U36:U37"/>
    <mergeCell ref="V36:Y36"/>
    <mergeCell ref="Z36:Z37"/>
    <mergeCell ref="AA36:AD36"/>
    <mergeCell ref="BI32:BJ35"/>
    <mergeCell ref="BK32:BM35"/>
    <mergeCell ref="BN32:BO35"/>
    <mergeCell ref="BP32:BR35"/>
    <mergeCell ref="A36:A37"/>
    <mergeCell ref="B36:E36"/>
    <mergeCell ref="F36:F37"/>
    <mergeCell ref="G36:J36"/>
    <mergeCell ref="K36:K37"/>
    <mergeCell ref="L36:O36"/>
    <mergeCell ref="AT32:AU35"/>
    <mergeCell ref="AV32:AX35"/>
    <mergeCell ref="AY32:AZ35"/>
    <mergeCell ref="BA32:BC35"/>
    <mergeCell ref="BD32:BE35"/>
    <mergeCell ref="BF32:BH35"/>
    <mergeCell ref="AE32:AF35"/>
    <mergeCell ref="AG32:AI35"/>
    <mergeCell ref="AJ32:AK35"/>
    <mergeCell ref="AL32:AN35"/>
    <mergeCell ref="AO32:AP35"/>
    <mergeCell ref="AQ32:AS35"/>
    <mergeCell ref="P32:Q35"/>
    <mergeCell ref="R32:T35"/>
    <mergeCell ref="U32:V35"/>
    <mergeCell ref="W32:Y35"/>
    <mergeCell ref="Z32:AA35"/>
    <mergeCell ref="AB32:AD35"/>
    <mergeCell ref="BI36:BI37"/>
    <mergeCell ref="BJ36:BM36"/>
    <mergeCell ref="BN36:BN37"/>
    <mergeCell ref="BO36:BR36"/>
    <mergeCell ref="A32:B35"/>
    <mergeCell ref="C32:E35"/>
    <mergeCell ref="F32:G35"/>
    <mergeCell ref="H32:J35"/>
    <mergeCell ref="K32:L35"/>
    <mergeCell ref="M32:O35"/>
    <mergeCell ref="AT30:AT31"/>
    <mergeCell ref="AU30:AX30"/>
    <mergeCell ref="AY30:AY31"/>
    <mergeCell ref="AZ30:BC30"/>
    <mergeCell ref="BD30:BD31"/>
    <mergeCell ref="BE30:BH30"/>
    <mergeCell ref="AE30:AE31"/>
    <mergeCell ref="AF30:AI30"/>
    <mergeCell ref="AJ30:AJ31"/>
    <mergeCell ref="AK30:AN30"/>
    <mergeCell ref="AO30:AO31"/>
    <mergeCell ref="AP30:AS30"/>
    <mergeCell ref="P30:P31"/>
    <mergeCell ref="Q30:T30"/>
    <mergeCell ref="U30:U31"/>
    <mergeCell ref="V30:Y30"/>
    <mergeCell ref="Z30:Z31"/>
    <mergeCell ref="AA30:AD30"/>
    <mergeCell ref="BI26:BJ29"/>
    <mergeCell ref="BK26:BM29"/>
    <mergeCell ref="BN26:BO29"/>
    <mergeCell ref="BP26:BR29"/>
    <mergeCell ref="A30:A31"/>
    <mergeCell ref="B30:E30"/>
    <mergeCell ref="F30:F31"/>
    <mergeCell ref="G30:J30"/>
    <mergeCell ref="K30:K31"/>
    <mergeCell ref="L30:O30"/>
    <mergeCell ref="AT26:AU29"/>
    <mergeCell ref="AV26:AX29"/>
    <mergeCell ref="AY26:AZ29"/>
    <mergeCell ref="BA26:BC29"/>
    <mergeCell ref="BD26:BE29"/>
    <mergeCell ref="BF26:BH29"/>
    <mergeCell ref="AE26:AF29"/>
    <mergeCell ref="AG26:AI29"/>
    <mergeCell ref="AJ26:AK29"/>
    <mergeCell ref="AL26:AN29"/>
    <mergeCell ref="AO26:AP29"/>
    <mergeCell ref="AQ26:AS29"/>
    <mergeCell ref="P26:Q29"/>
    <mergeCell ref="R26:T29"/>
    <mergeCell ref="U26:V29"/>
    <mergeCell ref="W26:Y29"/>
    <mergeCell ref="Z26:AA29"/>
    <mergeCell ref="AB26:AD29"/>
    <mergeCell ref="BI30:BI31"/>
    <mergeCell ref="BJ30:BM30"/>
    <mergeCell ref="BN30:BN31"/>
    <mergeCell ref="BO30:BR30"/>
    <mergeCell ref="A26:B29"/>
    <mergeCell ref="C26:E29"/>
    <mergeCell ref="F26:G29"/>
    <mergeCell ref="H26:J29"/>
    <mergeCell ref="K26:L29"/>
    <mergeCell ref="M26:O29"/>
    <mergeCell ref="AT24:AT25"/>
    <mergeCell ref="AU24:AX24"/>
    <mergeCell ref="AY24:AY25"/>
    <mergeCell ref="AZ24:BC24"/>
    <mergeCell ref="BD24:BD25"/>
    <mergeCell ref="BE24:BH24"/>
    <mergeCell ref="AE24:AE25"/>
    <mergeCell ref="AF24:AI24"/>
    <mergeCell ref="AJ24:AJ25"/>
    <mergeCell ref="AK24:AN24"/>
    <mergeCell ref="AO24:AO25"/>
    <mergeCell ref="AP24:AS24"/>
    <mergeCell ref="P24:P25"/>
    <mergeCell ref="Q24:T24"/>
    <mergeCell ref="U24:U25"/>
    <mergeCell ref="V24:Y24"/>
    <mergeCell ref="Z24:Z25"/>
    <mergeCell ref="AA24:AD24"/>
    <mergeCell ref="BI20:BJ23"/>
    <mergeCell ref="BK20:BM23"/>
    <mergeCell ref="BN20:BO23"/>
    <mergeCell ref="BP20:BR23"/>
    <mergeCell ref="A24:A25"/>
    <mergeCell ref="B24:E24"/>
    <mergeCell ref="F24:F25"/>
    <mergeCell ref="G24:J24"/>
    <mergeCell ref="K24:K25"/>
    <mergeCell ref="L24:O24"/>
    <mergeCell ref="AT20:AU23"/>
    <mergeCell ref="AV20:AX23"/>
    <mergeCell ref="AY20:AZ23"/>
    <mergeCell ref="BA20:BC23"/>
    <mergeCell ref="BD20:BE23"/>
    <mergeCell ref="BF20:BH23"/>
    <mergeCell ref="AE20:AF23"/>
    <mergeCell ref="AG20:AI23"/>
    <mergeCell ref="AJ20:AK23"/>
    <mergeCell ref="AL20:AN23"/>
    <mergeCell ref="AO20:AP23"/>
    <mergeCell ref="AQ20:AS23"/>
    <mergeCell ref="P20:Q23"/>
    <mergeCell ref="R20:T23"/>
    <mergeCell ref="U20:V23"/>
    <mergeCell ref="W20:Y23"/>
    <mergeCell ref="Z20:AA23"/>
    <mergeCell ref="AB20:AD23"/>
    <mergeCell ref="BI24:BI25"/>
    <mergeCell ref="BJ24:BM24"/>
    <mergeCell ref="BN24:BN25"/>
    <mergeCell ref="BO24:BR24"/>
    <mergeCell ref="A20:B23"/>
    <mergeCell ref="C20:E23"/>
    <mergeCell ref="F20:G23"/>
    <mergeCell ref="H20:J23"/>
    <mergeCell ref="K20:L23"/>
    <mergeCell ref="M20:O23"/>
    <mergeCell ref="AT18:AT19"/>
    <mergeCell ref="AU18:AX18"/>
    <mergeCell ref="AY18:AY19"/>
    <mergeCell ref="AZ18:BC18"/>
    <mergeCell ref="BD18:BD19"/>
    <mergeCell ref="BE18:BH18"/>
    <mergeCell ref="AE18:AE19"/>
    <mergeCell ref="AF18:AI18"/>
    <mergeCell ref="AJ18:AJ19"/>
    <mergeCell ref="AK18:AN18"/>
    <mergeCell ref="AO18:AO19"/>
    <mergeCell ref="AP18:AS18"/>
    <mergeCell ref="P18:P19"/>
    <mergeCell ref="Q18:T18"/>
    <mergeCell ref="U18:U19"/>
    <mergeCell ref="V18:Y18"/>
    <mergeCell ref="Z18:Z19"/>
    <mergeCell ref="AA18:AD18"/>
    <mergeCell ref="BI14:BJ17"/>
    <mergeCell ref="BK14:BM17"/>
    <mergeCell ref="BN14:BO17"/>
    <mergeCell ref="BP14:BR17"/>
    <mergeCell ref="A18:A19"/>
    <mergeCell ref="B18:E18"/>
    <mergeCell ref="F18:F19"/>
    <mergeCell ref="G18:J18"/>
    <mergeCell ref="K18:K19"/>
    <mergeCell ref="L18:O18"/>
    <mergeCell ref="AT14:AU17"/>
    <mergeCell ref="AV14:AX17"/>
    <mergeCell ref="AY14:AZ17"/>
    <mergeCell ref="BA14:BC17"/>
    <mergeCell ref="BD14:BE17"/>
    <mergeCell ref="BF14:BH17"/>
    <mergeCell ref="AE14:AF17"/>
    <mergeCell ref="AG14:AI17"/>
    <mergeCell ref="AJ14:AK17"/>
    <mergeCell ref="AL14:AN17"/>
    <mergeCell ref="AO14:AP17"/>
    <mergeCell ref="AQ14:AS17"/>
    <mergeCell ref="P14:Q17"/>
    <mergeCell ref="R14:T17"/>
    <mergeCell ref="U14:V17"/>
    <mergeCell ref="W14:Y17"/>
    <mergeCell ref="Z14:AA17"/>
    <mergeCell ref="AB14:AD17"/>
    <mergeCell ref="BI18:BI19"/>
    <mergeCell ref="BJ18:BM18"/>
    <mergeCell ref="BN18:BN19"/>
    <mergeCell ref="BO18:BR18"/>
    <mergeCell ref="A14:B17"/>
    <mergeCell ref="C14:E17"/>
    <mergeCell ref="F14:G17"/>
    <mergeCell ref="H14:J17"/>
    <mergeCell ref="K14:L17"/>
    <mergeCell ref="M14:O17"/>
    <mergeCell ref="AT12:AT13"/>
    <mergeCell ref="AU12:AX12"/>
    <mergeCell ref="AY12:AY13"/>
    <mergeCell ref="AZ12:BC12"/>
    <mergeCell ref="BD12:BD13"/>
    <mergeCell ref="BE12:BH12"/>
    <mergeCell ref="AE12:AE13"/>
    <mergeCell ref="AF12:AI12"/>
    <mergeCell ref="AJ12:AJ13"/>
    <mergeCell ref="AK12:AN12"/>
    <mergeCell ref="AO12:AO13"/>
    <mergeCell ref="AP12:AS12"/>
    <mergeCell ref="P12:P13"/>
    <mergeCell ref="Q12:T12"/>
    <mergeCell ref="U12:U13"/>
    <mergeCell ref="V12:Y12"/>
    <mergeCell ref="Z12:Z13"/>
    <mergeCell ref="AA12:AD12"/>
    <mergeCell ref="BN8:BO11"/>
    <mergeCell ref="BP8:BR11"/>
    <mergeCell ref="A12:A13"/>
    <mergeCell ref="B12:E12"/>
    <mergeCell ref="F12:F13"/>
    <mergeCell ref="G12:J12"/>
    <mergeCell ref="K12:K13"/>
    <mergeCell ref="L12:O12"/>
    <mergeCell ref="AT8:AU11"/>
    <mergeCell ref="AV8:AX11"/>
    <mergeCell ref="AY8:AZ11"/>
    <mergeCell ref="BA8:BC11"/>
    <mergeCell ref="BD8:BE11"/>
    <mergeCell ref="BF8:BH11"/>
    <mergeCell ref="AE8:AF11"/>
    <mergeCell ref="AG8:AI11"/>
    <mergeCell ref="AJ8:AK11"/>
    <mergeCell ref="AL8:AN11"/>
    <mergeCell ref="AO8:AP11"/>
    <mergeCell ref="AQ8:AS11"/>
    <mergeCell ref="P8:Q11"/>
    <mergeCell ref="R8:T11"/>
    <mergeCell ref="U8:V11"/>
    <mergeCell ref="W8:Y11"/>
    <mergeCell ref="Z8:AA11"/>
    <mergeCell ref="AB8:AD11"/>
    <mergeCell ref="BI12:BI13"/>
    <mergeCell ref="BJ12:BM12"/>
    <mergeCell ref="BN12:BN13"/>
    <mergeCell ref="BO12:BR12"/>
    <mergeCell ref="F2:G5"/>
    <mergeCell ref="H2:J5"/>
    <mergeCell ref="BI6:BI7"/>
    <mergeCell ref="BJ6:BM6"/>
    <mergeCell ref="BN6:BN7"/>
    <mergeCell ref="BO6:BR6"/>
    <mergeCell ref="A8:B11"/>
    <mergeCell ref="C8:E11"/>
    <mergeCell ref="F8:G11"/>
    <mergeCell ref="H8:J11"/>
    <mergeCell ref="K8:L11"/>
    <mergeCell ref="M8:O11"/>
    <mergeCell ref="AT6:AT7"/>
    <mergeCell ref="AU6:AX6"/>
    <mergeCell ref="AY6:AY7"/>
    <mergeCell ref="AZ6:BC6"/>
    <mergeCell ref="BD6:BD7"/>
    <mergeCell ref="BE6:BH6"/>
    <mergeCell ref="AE6:AE7"/>
    <mergeCell ref="AF6:AI6"/>
    <mergeCell ref="AJ6:AJ7"/>
    <mergeCell ref="AK6:AN6"/>
    <mergeCell ref="AO6:AO7"/>
    <mergeCell ref="AP6:AS6"/>
    <mergeCell ref="P6:P7"/>
    <mergeCell ref="Q6:T6"/>
    <mergeCell ref="U6:U7"/>
    <mergeCell ref="V6:Y6"/>
    <mergeCell ref="Z6:Z7"/>
    <mergeCell ref="AA6:AD6"/>
    <mergeCell ref="BI8:BJ11"/>
    <mergeCell ref="BK8:BM11"/>
    <mergeCell ref="K2:L5"/>
    <mergeCell ref="M2:O5"/>
    <mergeCell ref="BI2:BJ5"/>
    <mergeCell ref="BK2:BM5"/>
    <mergeCell ref="BN2:BO5"/>
    <mergeCell ref="BP2:BR5"/>
    <mergeCell ref="A6:A7"/>
    <mergeCell ref="B6:E6"/>
    <mergeCell ref="F6:F7"/>
    <mergeCell ref="G6:J6"/>
    <mergeCell ref="K6:K7"/>
    <mergeCell ref="L6:O6"/>
    <mergeCell ref="AT2:AU5"/>
    <mergeCell ref="AV2:AX5"/>
    <mergeCell ref="AY2:AZ5"/>
    <mergeCell ref="BA2:BC5"/>
    <mergeCell ref="BD2:BE5"/>
    <mergeCell ref="BF2:BH5"/>
    <mergeCell ref="AE2:AF5"/>
    <mergeCell ref="AG2:AI5"/>
    <mergeCell ref="AJ2:AK5"/>
    <mergeCell ref="AL2:AN5"/>
    <mergeCell ref="AO2:AP5"/>
    <mergeCell ref="AQ2:AS5"/>
    <mergeCell ref="P2:Q5"/>
    <mergeCell ref="R2:T5"/>
    <mergeCell ref="U2:V5"/>
    <mergeCell ref="W2:Y5"/>
    <mergeCell ref="Z2:AA5"/>
    <mergeCell ref="AB2:AD5"/>
    <mergeCell ref="A2:B5"/>
    <mergeCell ref="C2:E5"/>
    <mergeCell ref="AI140:AK142"/>
    <mergeCell ref="AL140:AN142"/>
    <mergeCell ref="AO140:AP142"/>
    <mergeCell ref="AQ140:AR142"/>
    <mergeCell ref="AV140:BE142"/>
    <mergeCell ref="AI143:AK146"/>
    <mergeCell ref="AL143:AN146"/>
    <mergeCell ref="AO143:AP146"/>
    <mergeCell ref="AQ143:AR146"/>
    <mergeCell ref="AV143:BE144"/>
    <mergeCell ref="AV145:BE147"/>
    <mergeCell ref="AV148:BE149"/>
    <mergeCell ref="AK150:AM152"/>
    <mergeCell ref="AN150:AP152"/>
    <mergeCell ref="AQ150:AT152"/>
    <mergeCell ref="AV150:BE153"/>
    <mergeCell ref="AK153:AM155"/>
    <mergeCell ref="AN153:AP155"/>
    <mergeCell ref="AQ153:AT155"/>
    <mergeCell ref="AV154:BE158"/>
    <mergeCell ref="AK156:AM158"/>
    <mergeCell ref="AN156:AP158"/>
    <mergeCell ref="AQ156:AT158"/>
    <mergeCell ref="BW123:CF125"/>
    <mergeCell ref="AN159:AP161"/>
    <mergeCell ref="AQ159:AT161"/>
    <mergeCell ref="BK126:BM128"/>
    <mergeCell ref="BN126:BP128"/>
    <mergeCell ref="BQ126:BR128"/>
    <mergeCell ref="BS126:BT128"/>
    <mergeCell ref="BK129:BM132"/>
    <mergeCell ref="BN129:BP132"/>
    <mergeCell ref="BQ129:BR132"/>
    <mergeCell ref="BS129:BT132"/>
    <mergeCell ref="BW126:CF128"/>
    <mergeCell ref="BW129:CF130"/>
    <mergeCell ref="BW131:CF133"/>
    <mergeCell ref="BW134:CF135"/>
    <mergeCell ref="BW136:CF139"/>
    <mergeCell ref="BW140:CF144"/>
    <mergeCell ref="AP132:AS134"/>
    <mergeCell ref="AM135:AO137"/>
    <mergeCell ref="AP135:AS137"/>
  </mergeCells>
  <pageMargins left="0.9" right="0" top="0.95" bottom="0" header="0.3" footer="0.3"/>
  <pageSetup paperSize="8" scale="27" orientation="portrait" r:id="rId1"/>
  <headerFooter>
    <oddFooter>&amp;C&amp;"-,Bold Italic"&amp;16Prepared by Emir Cebecioglu&amp;RQuality Control Department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44132-8761-48E4-8579-53545E5A4845}">
  <sheetPr>
    <pageSetUpPr fitToPage="1"/>
  </sheetPr>
  <dimension ref="A1:CB156"/>
  <sheetViews>
    <sheetView view="pageBreakPreview" topLeftCell="J38" zoomScale="70" zoomScaleNormal="70" zoomScaleSheetLayoutView="70" zoomScalePageLayoutView="55" workbookViewId="0">
      <selection activeCell="U15" sqref="U15:Y17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140625" customWidth="1"/>
    <col min="47" max="47" width="10.71093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1" customWidth="1"/>
    <col min="62" max="62" width="56.7109375" customWidth="1"/>
    <col min="63" max="63" width="13" customWidth="1"/>
    <col min="64" max="64" width="7" customWidth="1"/>
  </cols>
  <sheetData>
    <row r="1" spans="1:80" ht="237.75" customHeight="1" thickBot="1" x14ac:dyDescent="0.3"/>
    <row r="2" spans="1:80" ht="39.950000000000003" customHeight="1" thickTop="1" x14ac:dyDescent="0.25">
      <c r="A2" s="1319" t="s">
        <v>250</v>
      </c>
      <c r="B2" s="1320"/>
      <c r="C2" s="1320"/>
      <c r="D2" s="1313">
        <f>B7/((60*3.1415/50)*(80/3.281))</f>
        <v>0</v>
      </c>
      <c r="E2" s="1314"/>
      <c r="F2" s="1319" t="s">
        <v>250</v>
      </c>
      <c r="G2" s="1320"/>
      <c r="H2" s="1320"/>
      <c r="I2" s="1313">
        <f>G7/((60*3.1415/50)*(80/3.281))</f>
        <v>0</v>
      </c>
      <c r="J2" s="1314"/>
      <c r="K2" s="1319" t="s">
        <v>250</v>
      </c>
      <c r="L2" s="1320"/>
      <c r="M2" s="1320"/>
      <c r="N2" s="1313">
        <f>L7/((60*3.1415/50)*(80/3.281))</f>
        <v>0</v>
      </c>
      <c r="O2" s="1314"/>
      <c r="P2" s="1319" t="s">
        <v>250</v>
      </c>
      <c r="Q2" s="1320"/>
      <c r="R2" s="1320"/>
      <c r="S2" s="1313">
        <f t="shared" ref="S2" si="0">Q7/((60*3.1415/50)*(80/3.281))</f>
        <v>0</v>
      </c>
      <c r="T2" s="1314"/>
      <c r="U2" s="1319" t="s">
        <v>250</v>
      </c>
      <c r="V2" s="1320"/>
      <c r="W2" s="1320"/>
      <c r="X2" s="1313">
        <f t="shared" ref="X2" si="1">V7/((60*3.1415/50)*(80/3.281))</f>
        <v>0</v>
      </c>
      <c r="Y2" s="1314"/>
      <c r="Z2" s="1319" t="s">
        <v>250</v>
      </c>
      <c r="AA2" s="1320"/>
      <c r="AB2" s="1320"/>
      <c r="AC2" s="1313">
        <f t="shared" ref="AC2" si="2">AA7/((60*3.1415/50)*(80/3.281))</f>
        <v>0</v>
      </c>
      <c r="AD2" s="1314"/>
      <c r="AE2" s="1319" t="s">
        <v>250</v>
      </c>
      <c r="AF2" s="1320"/>
      <c r="AG2" s="1320"/>
      <c r="AH2" s="1313">
        <f t="shared" ref="AH2" si="3">AF7/((60*3.1415/50)*(80/3.281))</f>
        <v>0</v>
      </c>
      <c r="AI2" s="1314"/>
      <c r="AJ2" s="1319" t="s">
        <v>250</v>
      </c>
      <c r="AK2" s="1320"/>
      <c r="AL2" s="1320"/>
      <c r="AM2" s="1313">
        <f t="shared" ref="AM2" si="4">AK7/((60*3.1415/50)*(80/3.281))</f>
        <v>0</v>
      </c>
      <c r="AN2" s="1314"/>
      <c r="AO2" s="1301" t="s">
        <v>250</v>
      </c>
      <c r="AP2" s="1302"/>
      <c r="AQ2" s="1302"/>
      <c r="AR2" s="1307">
        <f>AP7/((60*3.1415/64)*(82/3.281))</f>
        <v>4.3824954626563606E-2</v>
      </c>
      <c r="AS2" s="1308"/>
      <c r="AT2" s="1301" t="s">
        <v>250</v>
      </c>
      <c r="AU2" s="1302"/>
      <c r="AV2" s="1302"/>
      <c r="AW2" s="1307">
        <f>AU7/((60*3.1415/64)*(82/3.281))</f>
        <v>0</v>
      </c>
      <c r="AX2" s="1308"/>
      <c r="AY2" s="674"/>
      <c r="AZ2" s="674"/>
      <c r="BA2" s="674"/>
      <c r="BB2" s="1300"/>
      <c r="BC2" s="1300"/>
      <c r="BD2" s="674"/>
      <c r="BE2" s="674"/>
      <c r="BF2" s="674"/>
      <c r="BG2" s="1300"/>
      <c r="BH2" s="1300"/>
      <c r="BM2" s="27"/>
      <c r="BN2" s="27"/>
      <c r="BO2" s="27"/>
      <c r="BP2" s="27"/>
      <c r="BQ2" s="27"/>
      <c r="BR2" s="27"/>
      <c r="BW2" s="27"/>
      <c r="BX2" s="27"/>
      <c r="BY2" s="27"/>
      <c r="BZ2" s="27"/>
      <c r="CA2" s="27"/>
      <c r="CB2" s="27"/>
    </row>
    <row r="3" spans="1:80" ht="9.9499999999999993" hidden="1" customHeight="1" x14ac:dyDescent="0.25">
      <c r="A3" s="1321"/>
      <c r="B3" s="1322"/>
      <c r="C3" s="1322"/>
      <c r="D3" s="1315"/>
      <c r="E3" s="1316"/>
      <c r="F3" s="1321"/>
      <c r="G3" s="1322"/>
      <c r="H3" s="1322"/>
      <c r="I3" s="1315"/>
      <c r="J3" s="1316"/>
      <c r="K3" s="1321"/>
      <c r="L3" s="1322"/>
      <c r="M3" s="1322"/>
      <c r="N3" s="1315"/>
      <c r="O3" s="1316"/>
      <c r="P3" s="1321"/>
      <c r="Q3" s="1322"/>
      <c r="R3" s="1322"/>
      <c r="S3" s="1315"/>
      <c r="T3" s="1316"/>
      <c r="U3" s="1321"/>
      <c r="V3" s="1322"/>
      <c r="W3" s="1322"/>
      <c r="X3" s="1315"/>
      <c r="Y3" s="1316"/>
      <c r="Z3" s="1321"/>
      <c r="AA3" s="1322"/>
      <c r="AB3" s="1322"/>
      <c r="AC3" s="1315"/>
      <c r="AD3" s="1316"/>
      <c r="AE3" s="1321"/>
      <c r="AF3" s="1322"/>
      <c r="AG3" s="1322"/>
      <c r="AH3" s="1315"/>
      <c r="AI3" s="1316"/>
      <c r="AJ3" s="1321"/>
      <c r="AK3" s="1322"/>
      <c r="AL3" s="1322"/>
      <c r="AM3" s="1315"/>
      <c r="AN3" s="1316"/>
      <c r="AO3" s="1303"/>
      <c r="AP3" s="1304"/>
      <c r="AQ3" s="1304"/>
      <c r="AR3" s="1309"/>
      <c r="AS3" s="1310"/>
      <c r="AT3" s="1303"/>
      <c r="AU3" s="1304"/>
      <c r="AV3" s="1304"/>
      <c r="AW3" s="1309"/>
      <c r="AX3" s="1310"/>
      <c r="AY3" s="676"/>
      <c r="AZ3" s="676"/>
      <c r="BA3" s="676"/>
      <c r="BB3" s="36"/>
      <c r="BC3" s="36"/>
      <c r="BD3" s="676"/>
      <c r="BE3" s="676"/>
      <c r="BF3" s="676"/>
      <c r="BG3" s="36"/>
      <c r="BH3" s="36"/>
    </row>
    <row r="4" spans="1:80" ht="24.95" hidden="1" customHeight="1" x14ac:dyDescent="0.25">
      <c r="A4" s="1321"/>
      <c r="B4" s="1322"/>
      <c r="C4" s="1322"/>
      <c r="D4" s="1315"/>
      <c r="E4" s="1316"/>
      <c r="F4" s="1321"/>
      <c r="G4" s="1322"/>
      <c r="H4" s="1322"/>
      <c r="I4" s="1315"/>
      <c r="J4" s="1316"/>
      <c r="K4" s="1321"/>
      <c r="L4" s="1322"/>
      <c r="M4" s="1322"/>
      <c r="N4" s="1315"/>
      <c r="O4" s="1316"/>
      <c r="P4" s="1321"/>
      <c r="Q4" s="1322"/>
      <c r="R4" s="1322"/>
      <c r="S4" s="1315"/>
      <c r="T4" s="1316"/>
      <c r="U4" s="1321"/>
      <c r="V4" s="1322"/>
      <c r="W4" s="1322"/>
      <c r="X4" s="1315"/>
      <c r="Y4" s="1316"/>
      <c r="Z4" s="1321"/>
      <c r="AA4" s="1322"/>
      <c r="AB4" s="1322"/>
      <c r="AC4" s="1315"/>
      <c r="AD4" s="1316"/>
      <c r="AE4" s="1321"/>
      <c r="AF4" s="1322"/>
      <c r="AG4" s="1322"/>
      <c r="AH4" s="1315"/>
      <c r="AI4" s="1316"/>
      <c r="AJ4" s="1321"/>
      <c r="AK4" s="1322"/>
      <c r="AL4" s="1322"/>
      <c r="AM4" s="1315"/>
      <c r="AN4" s="1316"/>
      <c r="AO4" s="1303"/>
      <c r="AP4" s="1304"/>
      <c r="AQ4" s="1304"/>
      <c r="AR4" s="1309"/>
      <c r="AS4" s="1310"/>
      <c r="AT4" s="1303"/>
      <c r="AU4" s="1304"/>
      <c r="AV4" s="1304"/>
      <c r="AW4" s="1309"/>
      <c r="AX4" s="1310"/>
      <c r="AY4" s="676"/>
      <c r="AZ4" s="676"/>
      <c r="BA4" s="676"/>
      <c r="BB4" s="36"/>
      <c r="BC4" s="36"/>
      <c r="BD4" s="676"/>
      <c r="BE4" s="676"/>
      <c r="BF4" s="676"/>
      <c r="BG4" s="36"/>
      <c r="BH4" s="36"/>
    </row>
    <row r="5" spans="1:80" ht="25.5" customHeight="1" x14ac:dyDescent="0.25">
      <c r="A5" s="1323"/>
      <c r="B5" s="1324"/>
      <c r="C5" s="1324"/>
      <c r="D5" s="1317"/>
      <c r="E5" s="1318"/>
      <c r="F5" s="1323"/>
      <c r="G5" s="1324"/>
      <c r="H5" s="1324"/>
      <c r="I5" s="1317"/>
      <c r="J5" s="1318"/>
      <c r="K5" s="1323"/>
      <c r="L5" s="1324"/>
      <c r="M5" s="1324"/>
      <c r="N5" s="1317"/>
      <c r="O5" s="1318"/>
      <c r="P5" s="1323"/>
      <c r="Q5" s="1324"/>
      <c r="R5" s="1324"/>
      <c r="S5" s="1317"/>
      <c r="T5" s="1318"/>
      <c r="U5" s="1323"/>
      <c r="V5" s="1324"/>
      <c r="W5" s="1324"/>
      <c r="X5" s="1317"/>
      <c r="Y5" s="1318"/>
      <c r="Z5" s="1323"/>
      <c r="AA5" s="1324"/>
      <c r="AB5" s="1324"/>
      <c r="AC5" s="1317"/>
      <c r="AD5" s="1318"/>
      <c r="AE5" s="1323"/>
      <c r="AF5" s="1324"/>
      <c r="AG5" s="1324"/>
      <c r="AH5" s="1317"/>
      <c r="AI5" s="1318"/>
      <c r="AJ5" s="1323"/>
      <c r="AK5" s="1324"/>
      <c r="AL5" s="1324"/>
      <c r="AM5" s="1317"/>
      <c r="AN5" s="1318"/>
      <c r="AO5" s="1305"/>
      <c r="AP5" s="1306"/>
      <c r="AQ5" s="1306"/>
      <c r="AR5" s="1311"/>
      <c r="AS5" s="1312"/>
      <c r="AT5" s="1305"/>
      <c r="AU5" s="1306"/>
      <c r="AV5" s="1306"/>
      <c r="AW5" s="1311"/>
      <c r="AX5" s="1312"/>
      <c r="AY5" s="676"/>
      <c r="AZ5" s="676"/>
      <c r="BA5" s="676"/>
      <c r="BB5" s="36"/>
      <c r="BC5" s="36"/>
      <c r="BD5" s="676"/>
      <c r="BE5" s="676"/>
      <c r="BF5" s="676"/>
      <c r="BG5" s="36"/>
      <c r="BH5" s="36"/>
    </row>
    <row r="6" spans="1:80" ht="72" customHeight="1" x14ac:dyDescent="0.25">
      <c r="A6" s="1325" t="s">
        <v>792</v>
      </c>
      <c r="B6" s="1327">
        <v>16</v>
      </c>
      <c r="C6" s="1328"/>
      <c r="D6" s="1328"/>
      <c r="E6" s="1329"/>
      <c r="F6" s="1325" t="s">
        <v>792</v>
      </c>
      <c r="G6" s="1327">
        <v>17</v>
      </c>
      <c r="H6" s="1328"/>
      <c r="I6" s="1328"/>
      <c r="J6" s="1329"/>
      <c r="K6" s="1325" t="s">
        <v>792</v>
      </c>
      <c r="L6" s="1327"/>
      <c r="M6" s="1328"/>
      <c r="N6" s="1328"/>
      <c r="O6" s="1329"/>
      <c r="P6" s="1325" t="s">
        <v>792</v>
      </c>
      <c r="Q6" s="1327"/>
      <c r="R6" s="1328"/>
      <c r="S6" s="1328"/>
      <c r="T6" s="1329"/>
      <c r="U6" s="1325" t="s">
        <v>792</v>
      </c>
      <c r="V6" s="1327"/>
      <c r="W6" s="1328"/>
      <c r="X6" s="1328"/>
      <c r="Y6" s="1329"/>
      <c r="Z6" s="1325" t="s">
        <v>792</v>
      </c>
      <c r="AA6" s="1327"/>
      <c r="AB6" s="1328"/>
      <c r="AC6" s="1328"/>
      <c r="AD6" s="1329"/>
      <c r="AE6" s="1325" t="s">
        <v>792</v>
      </c>
      <c r="AF6" s="1327"/>
      <c r="AG6" s="1328"/>
      <c r="AH6" s="1328"/>
      <c r="AI6" s="1329"/>
      <c r="AJ6" s="1325" t="s">
        <v>792</v>
      </c>
      <c r="AK6" s="1327"/>
      <c r="AL6" s="1328"/>
      <c r="AM6" s="1328"/>
      <c r="AN6" s="1329"/>
      <c r="AO6" s="1330" t="s">
        <v>793</v>
      </c>
      <c r="AP6" s="1333">
        <v>2</v>
      </c>
      <c r="AQ6" s="1334"/>
      <c r="AR6" s="1334"/>
      <c r="AS6" s="1335"/>
      <c r="AT6" s="1330" t="s">
        <v>793</v>
      </c>
      <c r="AU6" s="1327">
        <v>3</v>
      </c>
      <c r="AV6" s="1328"/>
      <c r="AW6" s="1328"/>
      <c r="AX6" s="1329"/>
      <c r="AY6" s="677"/>
      <c r="AZ6" s="1332"/>
      <c r="BA6" s="1332"/>
      <c r="BB6" s="1332"/>
      <c r="BC6" s="1332"/>
      <c r="BD6" s="677"/>
      <c r="BE6" s="1332"/>
      <c r="BF6" s="1332"/>
      <c r="BG6" s="1332"/>
      <c r="BH6" s="1332"/>
      <c r="BM6" s="27"/>
      <c r="BN6" s="27"/>
      <c r="BO6" s="27"/>
      <c r="BP6" s="27"/>
      <c r="BQ6" s="27"/>
      <c r="BR6" s="27"/>
      <c r="BW6" s="27"/>
      <c r="BX6" s="27"/>
      <c r="BY6" s="27"/>
      <c r="BZ6" s="27"/>
      <c r="CA6" s="27"/>
      <c r="CB6" s="27"/>
    </row>
    <row r="7" spans="1:80" ht="35.1" customHeight="1" thickBot="1" x14ac:dyDescent="0.3">
      <c r="A7" s="1326"/>
      <c r="B7" s="327"/>
      <c r="C7" s="328" t="s">
        <v>113</v>
      </c>
      <c r="D7" s="329"/>
      <c r="E7" s="330" t="s">
        <v>114</v>
      </c>
      <c r="F7" s="1326"/>
      <c r="G7" s="327"/>
      <c r="H7" s="328" t="s">
        <v>113</v>
      </c>
      <c r="I7" s="329"/>
      <c r="J7" s="330" t="s">
        <v>114</v>
      </c>
      <c r="K7" s="1326"/>
      <c r="L7" s="327"/>
      <c r="M7" s="328" t="s">
        <v>113</v>
      </c>
      <c r="N7" s="329"/>
      <c r="O7" s="330" t="s">
        <v>114</v>
      </c>
      <c r="P7" s="1326"/>
      <c r="Q7" s="327"/>
      <c r="R7" s="328" t="s">
        <v>113</v>
      </c>
      <c r="S7" s="329"/>
      <c r="T7" s="330" t="s">
        <v>114</v>
      </c>
      <c r="U7" s="1326"/>
      <c r="V7" s="327"/>
      <c r="W7" s="328" t="s">
        <v>113</v>
      </c>
      <c r="X7" s="329"/>
      <c r="Y7" s="330" t="s">
        <v>114</v>
      </c>
      <c r="Z7" s="1326"/>
      <c r="AA7" s="327"/>
      <c r="AB7" s="328" t="s">
        <v>113</v>
      </c>
      <c r="AC7" s="329"/>
      <c r="AD7" s="330" t="s">
        <v>114</v>
      </c>
      <c r="AE7" s="1326"/>
      <c r="AF7" s="327"/>
      <c r="AG7" s="328" t="s">
        <v>113</v>
      </c>
      <c r="AH7" s="329"/>
      <c r="AI7" s="330" t="s">
        <v>114</v>
      </c>
      <c r="AJ7" s="1326"/>
      <c r="AK7" s="327"/>
      <c r="AL7" s="328" t="s">
        <v>113</v>
      </c>
      <c r="AM7" s="329"/>
      <c r="AN7" s="330" t="s">
        <v>114</v>
      </c>
      <c r="AO7" s="1331"/>
      <c r="AP7" s="327">
        <v>3.2258</v>
      </c>
      <c r="AQ7" s="328" t="s">
        <v>113</v>
      </c>
      <c r="AR7" s="329">
        <v>4</v>
      </c>
      <c r="AS7" s="330" t="s">
        <v>114</v>
      </c>
      <c r="AT7" s="1331"/>
      <c r="AU7" s="327"/>
      <c r="AV7" s="328" t="s">
        <v>113</v>
      </c>
      <c r="AW7" s="329"/>
      <c r="AX7" s="330" t="s">
        <v>114</v>
      </c>
      <c r="AY7" s="677"/>
      <c r="AZ7" s="137"/>
      <c r="BA7" s="33"/>
      <c r="BB7" s="138"/>
      <c r="BC7" s="35"/>
      <c r="BD7" s="677"/>
      <c r="BE7" s="137"/>
      <c r="BF7" s="33"/>
      <c r="BG7" s="138"/>
      <c r="BH7" s="35"/>
      <c r="BM7" s="27"/>
      <c r="BN7" s="27"/>
      <c r="BO7" s="27"/>
      <c r="BP7" s="27"/>
      <c r="BQ7" s="27"/>
      <c r="BR7" s="27"/>
      <c r="BW7" s="27"/>
      <c r="BX7" s="27"/>
      <c r="BY7" s="27"/>
      <c r="BZ7" s="27"/>
      <c r="CA7" s="27"/>
      <c r="CB7" s="27"/>
    </row>
    <row r="8" spans="1:80" ht="39" customHeight="1" thickTop="1" x14ac:dyDescent="0.25">
      <c r="A8" s="1301" t="s">
        <v>250</v>
      </c>
      <c r="B8" s="1302"/>
      <c r="C8" s="1302"/>
      <c r="D8" s="1307">
        <f t="shared" ref="D8" si="5">B13/((60*3.1415/64)*(82/3.281))</f>
        <v>0</v>
      </c>
      <c r="E8" s="1308"/>
      <c r="F8" s="1301" t="s">
        <v>250</v>
      </c>
      <c r="G8" s="1302"/>
      <c r="H8" s="1302"/>
      <c r="I8" s="1307">
        <f t="shared" ref="I8" si="6">G13/((60*3.1415/64)*(82/3.281))</f>
        <v>0</v>
      </c>
      <c r="J8" s="1308"/>
      <c r="K8" s="1301" t="s">
        <v>250</v>
      </c>
      <c r="L8" s="1302"/>
      <c r="M8" s="1302"/>
      <c r="N8" s="1307">
        <f t="shared" ref="N8" si="7">L13/((60*3.1415/64)*(82/3.281))</f>
        <v>0</v>
      </c>
      <c r="O8" s="1308"/>
      <c r="P8" s="1301" t="s">
        <v>250</v>
      </c>
      <c r="Q8" s="1302"/>
      <c r="R8" s="1302"/>
      <c r="S8" s="1307">
        <f t="shared" ref="S8" si="8">Q13/((60*3.1415/64)*(82/3.281))</f>
        <v>0</v>
      </c>
      <c r="T8" s="1308"/>
      <c r="U8" s="1336" t="s">
        <v>250</v>
      </c>
      <c r="V8" s="1337"/>
      <c r="W8" s="1337"/>
      <c r="X8" s="1342">
        <f>V13/((60*3.1415/64)*(83/3.281))</f>
        <v>2.9998347040877175E-2</v>
      </c>
      <c r="Y8" s="1343"/>
      <c r="Z8" s="1336" t="s">
        <v>250</v>
      </c>
      <c r="AA8" s="1337"/>
      <c r="AB8" s="1337"/>
      <c r="AC8" s="1342">
        <f t="shared" ref="AC8" si="9">AA13/((60*3.1415/64)*(83/3.281))</f>
        <v>0</v>
      </c>
      <c r="AD8" s="1343"/>
      <c r="AE8" s="1336" t="s">
        <v>250</v>
      </c>
      <c r="AF8" s="1337"/>
      <c r="AG8" s="1337"/>
      <c r="AH8" s="1342">
        <f t="shared" ref="AH8" si="10">AF13/((60*3.1415/64)*(83/3.281))</f>
        <v>6.4093112657537671E-2</v>
      </c>
      <c r="AI8" s="1343"/>
      <c r="AJ8" s="1336" t="s">
        <v>250</v>
      </c>
      <c r="AK8" s="1337"/>
      <c r="AL8" s="1337"/>
      <c r="AM8" s="1342">
        <f t="shared" ref="AM8" si="11">AK13/((60*3.1415/64)*(83/3.281))</f>
        <v>0</v>
      </c>
      <c r="AN8" s="1343"/>
      <c r="AO8" s="1336" t="s">
        <v>250</v>
      </c>
      <c r="AP8" s="1337"/>
      <c r="AQ8" s="1337"/>
      <c r="AR8" s="1342">
        <f t="shared" ref="AR8" si="12">AP13/((60*3.1415/64)*(83/3.281))</f>
        <v>8.5230203002044768E-3</v>
      </c>
      <c r="AS8" s="1343"/>
      <c r="AT8" s="1336" t="s">
        <v>250</v>
      </c>
      <c r="AU8" s="1337"/>
      <c r="AV8" s="1337"/>
      <c r="AW8" s="1342">
        <f t="shared" ref="AW8" si="13">AU13/((60*3.1415/64)*(83/3.281))</f>
        <v>0</v>
      </c>
      <c r="AX8" s="1343"/>
      <c r="AY8" s="674"/>
      <c r="AZ8" s="674"/>
      <c r="BA8" s="674"/>
      <c r="BB8" s="1300"/>
      <c r="BC8" s="1300"/>
      <c r="BD8" s="674"/>
      <c r="BE8" s="674"/>
      <c r="BF8" s="674"/>
      <c r="BG8" s="1300"/>
      <c r="BH8" s="1300"/>
      <c r="BM8" s="27"/>
      <c r="BN8" s="27"/>
      <c r="BO8" s="27"/>
      <c r="BP8" s="27"/>
      <c r="BQ8" s="27"/>
      <c r="BR8" s="27"/>
      <c r="BW8" s="27"/>
      <c r="BX8" s="27"/>
      <c r="BY8" s="27"/>
      <c r="BZ8" s="27"/>
      <c r="CA8" s="27"/>
      <c r="CB8" s="27"/>
    </row>
    <row r="9" spans="1:80" ht="9.9499999999999993" hidden="1" customHeight="1" x14ac:dyDescent="0.25">
      <c r="A9" s="1303"/>
      <c r="B9" s="1304"/>
      <c r="C9" s="1304"/>
      <c r="D9" s="1309"/>
      <c r="E9" s="1310"/>
      <c r="F9" s="1303"/>
      <c r="G9" s="1304"/>
      <c r="H9" s="1304"/>
      <c r="I9" s="1309"/>
      <c r="J9" s="1310"/>
      <c r="K9" s="1303"/>
      <c r="L9" s="1304"/>
      <c r="M9" s="1304"/>
      <c r="N9" s="1309"/>
      <c r="O9" s="1310"/>
      <c r="P9" s="1303"/>
      <c r="Q9" s="1304"/>
      <c r="R9" s="1304"/>
      <c r="S9" s="1309"/>
      <c r="T9" s="1310"/>
      <c r="U9" s="1338"/>
      <c r="V9" s="1339"/>
      <c r="W9" s="1339"/>
      <c r="X9" s="1344"/>
      <c r="Y9" s="1345"/>
      <c r="Z9" s="1338"/>
      <c r="AA9" s="1339"/>
      <c r="AB9" s="1339"/>
      <c r="AC9" s="1344"/>
      <c r="AD9" s="1345"/>
      <c r="AE9" s="1338"/>
      <c r="AF9" s="1339"/>
      <c r="AG9" s="1339"/>
      <c r="AH9" s="1344"/>
      <c r="AI9" s="1345"/>
      <c r="AJ9" s="1338"/>
      <c r="AK9" s="1339"/>
      <c r="AL9" s="1339"/>
      <c r="AM9" s="1344"/>
      <c r="AN9" s="1345"/>
      <c r="AO9" s="1338"/>
      <c r="AP9" s="1339"/>
      <c r="AQ9" s="1339"/>
      <c r="AR9" s="1344"/>
      <c r="AS9" s="1345"/>
      <c r="AT9" s="1338"/>
      <c r="AU9" s="1339"/>
      <c r="AV9" s="1339"/>
      <c r="AW9" s="1344"/>
      <c r="AX9" s="1345"/>
      <c r="AY9" s="676"/>
      <c r="AZ9" s="676"/>
      <c r="BA9" s="676"/>
      <c r="BB9" s="674"/>
      <c r="BC9" s="674"/>
      <c r="BD9" s="674"/>
      <c r="BE9" s="674"/>
      <c r="BF9" s="674"/>
      <c r="BG9" s="674"/>
      <c r="BH9" s="674"/>
      <c r="BI9" s="674"/>
      <c r="BJ9" s="674"/>
    </row>
    <row r="10" spans="1:80" ht="24.95" hidden="1" customHeight="1" x14ac:dyDescent="0.25">
      <c r="A10" s="1303"/>
      <c r="B10" s="1304"/>
      <c r="C10" s="1304"/>
      <c r="D10" s="1309"/>
      <c r="E10" s="1310"/>
      <c r="F10" s="1303"/>
      <c r="G10" s="1304"/>
      <c r="H10" s="1304"/>
      <c r="I10" s="1309"/>
      <c r="J10" s="1310"/>
      <c r="K10" s="1303"/>
      <c r="L10" s="1304"/>
      <c r="M10" s="1304"/>
      <c r="N10" s="1309"/>
      <c r="O10" s="1310"/>
      <c r="P10" s="1303"/>
      <c r="Q10" s="1304"/>
      <c r="R10" s="1304"/>
      <c r="S10" s="1309"/>
      <c r="T10" s="1310"/>
      <c r="U10" s="1338"/>
      <c r="V10" s="1339"/>
      <c r="W10" s="1339"/>
      <c r="X10" s="1344"/>
      <c r="Y10" s="1345"/>
      <c r="Z10" s="1338"/>
      <c r="AA10" s="1339"/>
      <c r="AB10" s="1339"/>
      <c r="AC10" s="1344"/>
      <c r="AD10" s="1345"/>
      <c r="AE10" s="1338"/>
      <c r="AF10" s="1339"/>
      <c r="AG10" s="1339"/>
      <c r="AH10" s="1344"/>
      <c r="AI10" s="1345"/>
      <c r="AJ10" s="1338"/>
      <c r="AK10" s="1339"/>
      <c r="AL10" s="1339"/>
      <c r="AM10" s="1344"/>
      <c r="AN10" s="1345"/>
      <c r="AO10" s="1338"/>
      <c r="AP10" s="1339"/>
      <c r="AQ10" s="1339"/>
      <c r="AR10" s="1344"/>
      <c r="AS10" s="1345"/>
      <c r="AT10" s="1338"/>
      <c r="AU10" s="1339"/>
      <c r="AV10" s="1339"/>
      <c r="AW10" s="1344"/>
      <c r="AX10" s="1345"/>
      <c r="AY10" s="676"/>
      <c r="AZ10" s="676"/>
      <c r="BA10" s="676"/>
      <c r="BB10" s="674"/>
      <c r="BC10" s="674"/>
      <c r="BD10" s="674"/>
      <c r="BE10" s="674"/>
      <c r="BF10" s="674"/>
      <c r="BG10" s="674"/>
      <c r="BH10" s="674"/>
      <c r="BI10" s="674"/>
      <c r="BJ10" s="674"/>
    </row>
    <row r="11" spans="1:80" ht="25.5" customHeight="1" x14ac:dyDescent="0.25">
      <c r="A11" s="1305"/>
      <c r="B11" s="1306"/>
      <c r="C11" s="1306"/>
      <c r="D11" s="1311"/>
      <c r="E11" s="1312"/>
      <c r="F11" s="1305"/>
      <c r="G11" s="1306"/>
      <c r="H11" s="1306"/>
      <c r="I11" s="1311"/>
      <c r="J11" s="1312"/>
      <c r="K11" s="1305"/>
      <c r="L11" s="1306"/>
      <c r="M11" s="1306"/>
      <c r="N11" s="1311"/>
      <c r="O11" s="1312"/>
      <c r="P11" s="1305"/>
      <c r="Q11" s="1306"/>
      <c r="R11" s="1306"/>
      <c r="S11" s="1311"/>
      <c r="T11" s="1312"/>
      <c r="U11" s="1340"/>
      <c r="V11" s="1341"/>
      <c r="W11" s="1341"/>
      <c r="X11" s="1346"/>
      <c r="Y11" s="1347"/>
      <c r="Z11" s="1340"/>
      <c r="AA11" s="1341"/>
      <c r="AB11" s="1341"/>
      <c r="AC11" s="1346"/>
      <c r="AD11" s="1347"/>
      <c r="AE11" s="1340"/>
      <c r="AF11" s="1341"/>
      <c r="AG11" s="1341"/>
      <c r="AH11" s="1346"/>
      <c r="AI11" s="1347"/>
      <c r="AJ11" s="1340"/>
      <c r="AK11" s="1341"/>
      <c r="AL11" s="1341"/>
      <c r="AM11" s="1346"/>
      <c r="AN11" s="1347"/>
      <c r="AO11" s="1340"/>
      <c r="AP11" s="1341"/>
      <c r="AQ11" s="1341"/>
      <c r="AR11" s="1346"/>
      <c r="AS11" s="1347"/>
      <c r="AT11" s="1340"/>
      <c r="AU11" s="1341"/>
      <c r="AV11" s="1341"/>
      <c r="AW11" s="1346"/>
      <c r="AX11" s="1347"/>
      <c r="AY11" s="676"/>
      <c r="AZ11" s="676"/>
      <c r="BA11" s="676"/>
      <c r="BB11" s="674"/>
      <c r="BC11" s="674"/>
      <c r="BD11" s="674"/>
      <c r="BE11" s="674"/>
      <c r="BF11" s="674"/>
      <c r="BG11" s="674"/>
      <c r="BH11" s="674"/>
      <c r="BI11" s="674"/>
      <c r="BJ11" s="674"/>
    </row>
    <row r="12" spans="1:80" ht="72" customHeight="1" x14ac:dyDescent="0.25">
      <c r="A12" s="1330" t="s">
        <v>793</v>
      </c>
      <c r="B12" s="1327">
        <v>4</v>
      </c>
      <c r="C12" s="1328"/>
      <c r="D12" s="1328"/>
      <c r="E12" s="1329"/>
      <c r="F12" s="1330" t="s">
        <v>793</v>
      </c>
      <c r="G12" s="1327">
        <v>5</v>
      </c>
      <c r="H12" s="1328"/>
      <c r="I12" s="1328"/>
      <c r="J12" s="1329"/>
      <c r="K12" s="1330" t="s">
        <v>793</v>
      </c>
      <c r="L12" s="1327">
        <v>6</v>
      </c>
      <c r="M12" s="1328"/>
      <c r="N12" s="1328"/>
      <c r="O12" s="1329"/>
      <c r="P12" s="1330" t="s">
        <v>793</v>
      </c>
      <c r="Q12" s="1327">
        <v>7</v>
      </c>
      <c r="R12" s="1328"/>
      <c r="S12" s="1328"/>
      <c r="T12" s="1329"/>
      <c r="U12" s="1348" t="s">
        <v>794</v>
      </c>
      <c r="V12" s="1333">
        <v>8</v>
      </c>
      <c r="W12" s="1334"/>
      <c r="X12" s="1334"/>
      <c r="Y12" s="1335"/>
      <c r="Z12" s="1348" t="s">
        <v>794</v>
      </c>
      <c r="AA12" s="1327">
        <v>9</v>
      </c>
      <c r="AB12" s="1328"/>
      <c r="AC12" s="1328"/>
      <c r="AD12" s="1329"/>
      <c r="AE12" s="1348" t="s">
        <v>794</v>
      </c>
      <c r="AF12" s="1333">
        <v>10</v>
      </c>
      <c r="AG12" s="1334"/>
      <c r="AH12" s="1334"/>
      <c r="AI12" s="1335"/>
      <c r="AJ12" s="1348" t="s">
        <v>794</v>
      </c>
      <c r="AK12" s="1327">
        <v>11</v>
      </c>
      <c r="AL12" s="1328"/>
      <c r="AM12" s="1328"/>
      <c r="AN12" s="1329"/>
      <c r="AO12" s="1348" t="s">
        <v>794</v>
      </c>
      <c r="AP12" s="1333">
        <v>12</v>
      </c>
      <c r="AQ12" s="1334"/>
      <c r="AR12" s="1334"/>
      <c r="AS12" s="1335"/>
      <c r="AT12" s="1348" t="s">
        <v>794</v>
      </c>
      <c r="AU12" s="1327">
        <v>13</v>
      </c>
      <c r="AV12" s="1328"/>
      <c r="AW12" s="1328"/>
      <c r="AX12" s="1329"/>
      <c r="AY12" s="677"/>
      <c r="AZ12" s="1332"/>
      <c r="BA12" s="1332"/>
      <c r="BB12" s="1332"/>
      <c r="BC12" s="1332"/>
      <c r="BD12" s="677"/>
      <c r="BE12" s="1332"/>
      <c r="BF12" s="1332"/>
      <c r="BG12" s="1332"/>
      <c r="BH12" s="1332"/>
      <c r="BM12" s="51"/>
      <c r="BN12" s="51"/>
      <c r="BO12" s="51"/>
      <c r="BP12" s="51"/>
      <c r="BQ12" s="51"/>
      <c r="BR12" s="51"/>
      <c r="BW12" s="27"/>
      <c r="BX12" s="27"/>
      <c r="BY12" s="27"/>
      <c r="BZ12" s="27"/>
      <c r="CA12" s="27"/>
      <c r="CB12" s="27"/>
    </row>
    <row r="13" spans="1:80" ht="35.1" customHeight="1" thickBot="1" x14ac:dyDescent="0.3">
      <c r="A13" s="1331"/>
      <c r="B13" s="327"/>
      <c r="C13" s="328" t="s">
        <v>113</v>
      </c>
      <c r="D13" s="329"/>
      <c r="E13" s="330" t="s">
        <v>114</v>
      </c>
      <c r="F13" s="1331"/>
      <c r="G13" s="327"/>
      <c r="H13" s="328" t="s">
        <v>113</v>
      </c>
      <c r="I13" s="329"/>
      <c r="J13" s="330" t="s">
        <v>114</v>
      </c>
      <c r="K13" s="1331"/>
      <c r="L13" s="327"/>
      <c r="M13" s="328" t="s">
        <v>113</v>
      </c>
      <c r="N13" s="329"/>
      <c r="O13" s="330" t="s">
        <v>114</v>
      </c>
      <c r="P13" s="1331"/>
      <c r="Q13" s="327"/>
      <c r="R13" s="328" t="s">
        <v>113</v>
      </c>
      <c r="S13" s="329"/>
      <c r="T13" s="330" t="s">
        <v>114</v>
      </c>
      <c r="U13" s="1349"/>
      <c r="V13" s="327">
        <v>2.2349999999999999</v>
      </c>
      <c r="W13" s="328" t="s">
        <v>113</v>
      </c>
      <c r="X13" s="329">
        <v>4</v>
      </c>
      <c r="Y13" s="330" t="s">
        <v>114</v>
      </c>
      <c r="Z13" s="1349"/>
      <c r="AA13" s="327"/>
      <c r="AB13" s="328" t="s">
        <v>113</v>
      </c>
      <c r="AC13" s="329"/>
      <c r="AD13" s="330" t="s">
        <v>114</v>
      </c>
      <c r="AE13" s="1349"/>
      <c r="AF13" s="327">
        <v>4.7751999999999999</v>
      </c>
      <c r="AG13" s="328" t="s">
        <v>113</v>
      </c>
      <c r="AH13" s="329">
        <v>4</v>
      </c>
      <c r="AI13" s="330" t="s">
        <v>114</v>
      </c>
      <c r="AJ13" s="1349"/>
      <c r="AK13" s="327"/>
      <c r="AL13" s="328" t="s">
        <v>113</v>
      </c>
      <c r="AM13" s="329"/>
      <c r="AN13" s="330" t="s">
        <v>114</v>
      </c>
      <c r="AO13" s="1349"/>
      <c r="AP13" s="327">
        <v>0.63500000000000001</v>
      </c>
      <c r="AQ13" s="328" t="s">
        <v>113</v>
      </c>
      <c r="AR13" s="329">
        <v>4</v>
      </c>
      <c r="AS13" s="330" t="s">
        <v>114</v>
      </c>
      <c r="AT13" s="1349"/>
      <c r="AU13" s="327"/>
      <c r="AV13" s="328" t="s">
        <v>113</v>
      </c>
      <c r="AW13" s="329"/>
      <c r="AX13" s="330" t="s">
        <v>114</v>
      </c>
      <c r="AY13" s="677"/>
      <c r="AZ13" s="137"/>
      <c r="BA13" s="33"/>
      <c r="BB13" s="138"/>
      <c r="BC13" s="35"/>
      <c r="BD13" s="677"/>
      <c r="BE13" s="137"/>
      <c r="BF13" s="33"/>
      <c r="BG13" s="138"/>
      <c r="BH13" s="35"/>
      <c r="BM13" s="51"/>
      <c r="BN13" s="51"/>
      <c r="BO13" s="51"/>
      <c r="BP13" s="51"/>
      <c r="BQ13" s="51"/>
      <c r="BR13" s="51"/>
      <c r="BW13" s="27"/>
      <c r="BX13" s="27"/>
      <c r="BY13" s="27"/>
      <c r="BZ13" s="27"/>
      <c r="CA13" s="27"/>
      <c r="CB13" s="27"/>
    </row>
    <row r="14" spans="1:80" ht="39" customHeight="1" thickTop="1" x14ac:dyDescent="0.25">
      <c r="A14" s="1350" t="s">
        <v>250</v>
      </c>
      <c r="B14" s="1351"/>
      <c r="C14" s="1351"/>
      <c r="D14" s="1342">
        <f>B19/((60*3.1415/50)*(83/3.281))</f>
        <v>0</v>
      </c>
      <c r="E14" s="1343"/>
      <c r="F14" s="1356" t="s">
        <v>250</v>
      </c>
      <c r="G14" s="1357"/>
      <c r="H14" s="1357"/>
      <c r="I14" s="1362">
        <f>G19/((60*3.1415/64)*(84/3.281))</f>
        <v>0</v>
      </c>
      <c r="J14" s="1363"/>
      <c r="K14" s="1356" t="s">
        <v>250</v>
      </c>
      <c r="L14" s="1357"/>
      <c r="M14" s="1357"/>
      <c r="N14" s="1362">
        <f>L19/((60*3.1415/64)*(84/3.281))</f>
        <v>0</v>
      </c>
      <c r="O14" s="1363"/>
      <c r="P14" s="672"/>
      <c r="Q14" s="672"/>
      <c r="R14" s="672"/>
      <c r="S14" s="1368"/>
      <c r="T14" s="1368"/>
      <c r="U14" s="672"/>
      <c r="V14" s="672"/>
      <c r="W14" s="672"/>
      <c r="X14" s="1368"/>
      <c r="Y14" s="1368"/>
      <c r="Z14" s="672"/>
      <c r="AA14" s="672"/>
      <c r="AB14" s="672"/>
      <c r="AC14" s="1368"/>
      <c r="AD14" s="1368"/>
      <c r="AE14" s="672"/>
      <c r="AF14" s="672"/>
      <c r="AG14" s="672"/>
      <c r="AH14" s="1368"/>
      <c r="AI14" s="1368"/>
      <c r="AJ14" s="672"/>
      <c r="AK14" s="672"/>
      <c r="AL14" s="672"/>
      <c r="AM14" s="1368"/>
      <c r="AN14" s="1368"/>
      <c r="AO14" s="672"/>
      <c r="AP14" s="672"/>
      <c r="AQ14" s="672"/>
      <c r="AR14" s="1368"/>
      <c r="AS14" s="1368"/>
      <c r="AT14" s="672"/>
      <c r="AU14" s="672"/>
      <c r="AV14" s="672"/>
      <c r="AW14" s="1368"/>
      <c r="AX14" s="1369"/>
      <c r="AY14" s="674"/>
      <c r="AZ14" s="674"/>
      <c r="BA14" s="674"/>
      <c r="BB14" s="1300"/>
      <c r="BC14" s="1300"/>
      <c r="BD14" s="674"/>
      <c r="BE14" s="674"/>
      <c r="BF14" s="674"/>
      <c r="BG14" s="1300"/>
      <c r="BH14" s="1300"/>
      <c r="BM14" s="27"/>
      <c r="BN14" s="27"/>
      <c r="BO14" s="27"/>
      <c r="BP14" s="27"/>
      <c r="BQ14" s="27"/>
      <c r="BR14" s="27"/>
      <c r="BW14" s="27"/>
      <c r="BX14" s="27"/>
      <c r="BY14" s="27"/>
      <c r="BZ14" s="27"/>
      <c r="CA14" s="27"/>
      <c r="CB14" s="27"/>
    </row>
    <row r="15" spans="1:80" ht="9.9499999999999993" hidden="1" customHeight="1" x14ac:dyDescent="0.25">
      <c r="A15" s="1352"/>
      <c r="B15" s="1353"/>
      <c r="C15" s="1353"/>
      <c r="D15" s="1344"/>
      <c r="E15" s="1345"/>
      <c r="F15" s="1358"/>
      <c r="G15" s="1359"/>
      <c r="H15" s="1359"/>
      <c r="I15" s="1364"/>
      <c r="J15" s="1365"/>
      <c r="K15" s="1358"/>
      <c r="L15" s="1359"/>
      <c r="M15" s="1359"/>
      <c r="N15" s="1364"/>
      <c r="O15" s="1365"/>
      <c r="P15" s="676"/>
      <c r="Q15" s="676"/>
      <c r="R15" s="676"/>
      <c r="S15" s="676"/>
      <c r="T15" s="676"/>
      <c r="U15" s="676"/>
      <c r="V15" s="676"/>
      <c r="W15" s="676"/>
      <c r="X15" s="676"/>
      <c r="Y15" s="676"/>
      <c r="Z15" s="676"/>
      <c r="AA15" s="676"/>
      <c r="AB15" s="676"/>
      <c r="AC15" s="676"/>
      <c r="AD15" s="676"/>
      <c r="AE15" s="676"/>
      <c r="AF15" s="676"/>
      <c r="AG15" s="676"/>
      <c r="AH15" s="676"/>
      <c r="AI15" s="676"/>
      <c r="AJ15" s="676"/>
      <c r="AK15" s="676"/>
      <c r="AL15" s="676"/>
      <c r="AM15" s="676"/>
      <c r="AN15" s="676"/>
      <c r="AO15" s="676"/>
      <c r="AP15" s="676"/>
      <c r="AQ15" s="676"/>
      <c r="AR15" s="676"/>
      <c r="AS15" s="676"/>
      <c r="AT15" s="676"/>
      <c r="AU15" s="676"/>
      <c r="AV15" s="676"/>
      <c r="AW15" s="676"/>
      <c r="AX15" s="1442"/>
      <c r="AY15" s="676"/>
      <c r="AZ15" s="676"/>
      <c r="BA15" s="676"/>
      <c r="BB15" s="674"/>
      <c r="BC15" s="674"/>
      <c r="BD15" s="674"/>
      <c r="BE15" s="674"/>
      <c r="BF15" s="674"/>
      <c r="BG15" s="674"/>
      <c r="BH15" s="674"/>
      <c r="BI15" s="674"/>
      <c r="BJ15" s="674"/>
    </row>
    <row r="16" spans="1:80" ht="24.95" hidden="1" customHeight="1" x14ac:dyDescent="0.25">
      <c r="A16" s="1352"/>
      <c r="B16" s="1353"/>
      <c r="C16" s="1353"/>
      <c r="D16" s="1344"/>
      <c r="E16" s="1345"/>
      <c r="F16" s="1358"/>
      <c r="G16" s="1359"/>
      <c r="H16" s="1359"/>
      <c r="I16" s="1364"/>
      <c r="J16" s="1365"/>
      <c r="K16" s="1358"/>
      <c r="L16" s="1359"/>
      <c r="M16" s="1359"/>
      <c r="N16" s="1364"/>
      <c r="O16" s="1365"/>
      <c r="P16" s="676"/>
      <c r="Q16" s="676"/>
      <c r="R16" s="676"/>
      <c r="S16" s="676"/>
      <c r="T16" s="676"/>
      <c r="U16" s="676"/>
      <c r="V16" s="676"/>
      <c r="W16" s="676"/>
      <c r="X16" s="676"/>
      <c r="Y16" s="676"/>
      <c r="Z16" s="676"/>
      <c r="AA16" s="676"/>
      <c r="AB16" s="676"/>
      <c r="AC16" s="676"/>
      <c r="AD16" s="676"/>
      <c r="AE16" s="676"/>
      <c r="AF16" s="676"/>
      <c r="AG16" s="676"/>
      <c r="AH16" s="676"/>
      <c r="AI16" s="676"/>
      <c r="AJ16" s="676"/>
      <c r="AK16" s="676"/>
      <c r="AL16" s="676"/>
      <c r="AM16" s="676"/>
      <c r="AN16" s="676"/>
      <c r="AO16" s="676"/>
      <c r="AP16" s="676"/>
      <c r="AQ16" s="676"/>
      <c r="AR16" s="676"/>
      <c r="AS16" s="676"/>
      <c r="AT16" s="676"/>
      <c r="AU16" s="676"/>
      <c r="AV16" s="676"/>
      <c r="AW16" s="676"/>
      <c r="AX16" s="1442"/>
      <c r="AY16" s="676"/>
      <c r="AZ16" s="676"/>
      <c r="BA16" s="676"/>
      <c r="BB16" s="674"/>
      <c r="BC16" s="674"/>
      <c r="BD16" s="674"/>
      <c r="BE16" s="674"/>
      <c r="BF16" s="674"/>
      <c r="BG16" s="674"/>
      <c r="BH16" s="674"/>
      <c r="BI16" s="674"/>
      <c r="BJ16" s="674"/>
    </row>
    <row r="17" spans="1:80" ht="25.5" customHeight="1" x14ac:dyDescent="0.25">
      <c r="A17" s="1354"/>
      <c r="B17" s="1355"/>
      <c r="C17" s="1355"/>
      <c r="D17" s="1346"/>
      <c r="E17" s="1347"/>
      <c r="F17" s="1360"/>
      <c r="G17" s="1361"/>
      <c r="H17" s="1361"/>
      <c r="I17" s="1366"/>
      <c r="J17" s="1367"/>
      <c r="K17" s="1360"/>
      <c r="L17" s="1361"/>
      <c r="M17" s="1361"/>
      <c r="N17" s="1366"/>
      <c r="O17" s="1367"/>
      <c r="P17" s="676"/>
      <c r="Q17" s="676"/>
      <c r="R17" s="676"/>
      <c r="S17" s="676"/>
      <c r="T17" s="676"/>
      <c r="U17" s="676"/>
      <c r="V17" s="676"/>
      <c r="W17" s="676"/>
      <c r="X17" s="676"/>
      <c r="Y17" s="676"/>
      <c r="Z17" s="676"/>
      <c r="AA17" s="676"/>
      <c r="AB17" s="676"/>
      <c r="AC17" s="676"/>
      <c r="AD17" s="676"/>
      <c r="AE17" s="676"/>
      <c r="AF17" s="676"/>
      <c r="AG17" s="676"/>
      <c r="AH17" s="676"/>
      <c r="AI17" s="676"/>
      <c r="AJ17" s="676"/>
      <c r="AK17" s="676"/>
      <c r="AL17" s="676"/>
      <c r="AM17" s="676"/>
      <c r="AN17" s="676"/>
      <c r="AO17" s="676"/>
      <c r="AP17" s="676"/>
      <c r="AQ17" s="676"/>
      <c r="AR17" s="676"/>
      <c r="AS17" s="676"/>
      <c r="AT17" s="676"/>
      <c r="AU17" s="676"/>
      <c r="AV17" s="676"/>
      <c r="AW17" s="676"/>
      <c r="AX17" s="1442"/>
      <c r="AY17" s="676"/>
      <c r="AZ17" s="676"/>
      <c r="BA17" s="676"/>
      <c r="BB17" s="674"/>
      <c r="BC17" s="674"/>
      <c r="BD17" s="674"/>
      <c r="BE17" s="674"/>
      <c r="BF17" s="674"/>
      <c r="BG17" s="674"/>
      <c r="BH17" s="674"/>
      <c r="BI17" s="674"/>
      <c r="BJ17" s="674"/>
    </row>
    <row r="18" spans="1:80" ht="72" customHeight="1" x14ac:dyDescent="0.25">
      <c r="A18" s="1348" t="s">
        <v>794</v>
      </c>
      <c r="B18" s="1327">
        <v>15</v>
      </c>
      <c r="C18" s="1328"/>
      <c r="D18" s="1328"/>
      <c r="E18" s="1329"/>
      <c r="F18" s="1372" t="s">
        <v>795</v>
      </c>
      <c r="G18" s="1327">
        <v>1</v>
      </c>
      <c r="H18" s="1328"/>
      <c r="I18" s="1328"/>
      <c r="J18" s="1329"/>
      <c r="K18" s="1372" t="s">
        <v>795</v>
      </c>
      <c r="L18" s="1327">
        <v>14</v>
      </c>
      <c r="M18" s="1328"/>
      <c r="N18" s="1328"/>
      <c r="O18" s="1329"/>
      <c r="P18" s="1370"/>
      <c r="Q18" s="1371"/>
      <c r="R18" s="1371"/>
      <c r="S18" s="1371"/>
      <c r="T18" s="1371"/>
      <c r="U18" s="1370"/>
      <c r="V18" s="1371"/>
      <c r="W18" s="1371"/>
      <c r="X18" s="1371"/>
      <c r="Y18" s="1371"/>
      <c r="Z18" s="1370"/>
      <c r="AA18" s="1371"/>
      <c r="AB18" s="1371"/>
      <c r="AC18" s="1371"/>
      <c r="AD18" s="1371"/>
      <c r="AE18" s="1370"/>
      <c r="AF18" s="1371"/>
      <c r="AG18" s="1371"/>
      <c r="AH18" s="1371"/>
      <c r="AI18" s="1371"/>
      <c r="AJ18" s="1370"/>
      <c r="AK18" s="1371"/>
      <c r="AL18" s="1371"/>
      <c r="AM18" s="1371"/>
      <c r="AN18" s="1371"/>
      <c r="AO18" s="1370"/>
      <c r="AP18" s="1371"/>
      <c r="AQ18" s="1371"/>
      <c r="AR18" s="1371"/>
      <c r="AS18" s="1371"/>
      <c r="AT18" s="1370"/>
      <c r="AU18" s="1371"/>
      <c r="AV18" s="1371"/>
      <c r="AW18" s="1371"/>
      <c r="AX18" s="1441"/>
      <c r="AY18" s="677"/>
      <c r="AZ18" s="1332"/>
      <c r="BA18" s="1332"/>
      <c r="BB18" s="1332"/>
      <c r="BC18" s="1332"/>
      <c r="BD18" s="677"/>
      <c r="BE18" s="1332"/>
      <c r="BF18" s="1332"/>
      <c r="BG18" s="1332"/>
      <c r="BH18" s="1332"/>
      <c r="BM18" s="51"/>
      <c r="BN18" s="51"/>
      <c r="BO18" s="51"/>
      <c r="BP18" s="51"/>
      <c r="BQ18" s="51"/>
      <c r="BR18" s="51"/>
      <c r="BW18" s="27"/>
      <c r="BX18" s="27"/>
      <c r="BY18" s="27"/>
      <c r="BZ18" s="27"/>
      <c r="CA18" s="27"/>
      <c r="CB18" s="27"/>
    </row>
    <row r="19" spans="1:80" ht="35.1" customHeight="1" thickBot="1" x14ac:dyDescent="0.3">
      <c r="A19" s="1349"/>
      <c r="B19" s="327"/>
      <c r="C19" s="328" t="s">
        <v>113</v>
      </c>
      <c r="D19" s="329"/>
      <c r="E19" s="330" t="s">
        <v>114</v>
      </c>
      <c r="F19" s="1373"/>
      <c r="G19" s="327"/>
      <c r="H19" s="328" t="s">
        <v>113</v>
      </c>
      <c r="I19" s="329"/>
      <c r="J19" s="330" t="s">
        <v>114</v>
      </c>
      <c r="K19" s="1373"/>
      <c r="L19" s="327"/>
      <c r="M19" s="328" t="s">
        <v>113</v>
      </c>
      <c r="N19" s="329"/>
      <c r="O19" s="330" t="s">
        <v>114</v>
      </c>
      <c r="P19" s="1370"/>
      <c r="Q19" s="32"/>
      <c r="R19" s="33"/>
      <c r="S19" s="34"/>
      <c r="T19" s="35"/>
      <c r="U19" s="1370"/>
      <c r="V19" s="32"/>
      <c r="W19" s="33"/>
      <c r="X19" s="34"/>
      <c r="Y19" s="35"/>
      <c r="Z19" s="1370"/>
      <c r="AA19" s="32"/>
      <c r="AB19" s="33"/>
      <c r="AC19" s="34"/>
      <c r="AD19" s="35"/>
      <c r="AE19" s="1370"/>
      <c r="AF19" s="32"/>
      <c r="AG19" s="33"/>
      <c r="AH19" s="34"/>
      <c r="AI19" s="35"/>
      <c r="AJ19" s="1370"/>
      <c r="AK19" s="32"/>
      <c r="AL19" s="33"/>
      <c r="AM19" s="34"/>
      <c r="AN19" s="35"/>
      <c r="AO19" s="1370"/>
      <c r="AP19" s="32"/>
      <c r="AQ19" s="33"/>
      <c r="AR19" s="34"/>
      <c r="AS19" s="35"/>
      <c r="AT19" s="1370"/>
      <c r="AU19" s="32"/>
      <c r="AV19" s="33"/>
      <c r="AW19" s="34"/>
      <c r="AX19" s="333"/>
      <c r="AY19" s="677"/>
      <c r="AZ19" s="137"/>
      <c r="BA19" s="33"/>
      <c r="BB19" s="138"/>
      <c r="BC19" s="35"/>
      <c r="BD19" s="677"/>
      <c r="BE19" s="137"/>
      <c r="BF19" s="33"/>
      <c r="BG19" s="138"/>
      <c r="BH19" s="35"/>
      <c r="BM19" s="51"/>
      <c r="BN19" s="51"/>
      <c r="BO19" s="51"/>
      <c r="BP19" s="51"/>
      <c r="BQ19" s="51"/>
      <c r="BR19" s="51"/>
      <c r="BW19" s="27"/>
      <c r="BX19" s="27"/>
      <c r="BY19" s="27"/>
      <c r="BZ19" s="27"/>
      <c r="CA19" s="27"/>
      <c r="CB19" s="27"/>
    </row>
    <row r="20" spans="1:80" ht="39.950000000000003" hidden="1" customHeight="1" thickTop="1" x14ac:dyDescent="0.25">
      <c r="A20" s="1391" t="s">
        <v>250</v>
      </c>
      <c r="B20" s="1392"/>
      <c r="C20" s="1392"/>
      <c r="D20" s="1393">
        <f>B25/((42*3.1415/59)*(30/3.281))</f>
        <v>0</v>
      </c>
      <c r="E20" s="139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Z20" s="44"/>
      <c r="AA20" s="44"/>
      <c r="AB20" s="44"/>
      <c r="AC20" s="44"/>
      <c r="AD20" s="44"/>
      <c r="AE20" s="44"/>
      <c r="AF20" s="44"/>
      <c r="AG20" s="44"/>
      <c r="AH20" s="1300"/>
      <c r="AI20" s="1300"/>
      <c r="AJ20" s="674"/>
      <c r="AK20" s="674"/>
      <c r="AL20" s="674"/>
      <c r="AM20" s="1300"/>
      <c r="AN20" s="1300"/>
      <c r="AO20" s="674"/>
      <c r="AP20" s="674"/>
      <c r="AQ20" s="674"/>
      <c r="AR20" s="1300"/>
      <c r="AS20" s="1300"/>
      <c r="AT20" s="1389"/>
      <c r="AU20" s="1389"/>
      <c r="AV20" s="1389"/>
      <c r="AW20" s="1390"/>
      <c r="AX20" s="1390"/>
      <c r="AY20" s="674"/>
      <c r="AZ20" s="674"/>
      <c r="BA20" s="674"/>
      <c r="BB20" s="1300"/>
      <c r="BC20" s="1300"/>
      <c r="BD20" s="674"/>
      <c r="BE20" s="674"/>
      <c r="BF20" s="674"/>
      <c r="BG20" s="1300"/>
      <c r="BH20" s="1300"/>
      <c r="BM20" s="51"/>
      <c r="BN20" s="51"/>
      <c r="BO20" s="51"/>
      <c r="BP20" s="51"/>
      <c r="BQ20" s="51"/>
      <c r="BR20" s="51"/>
      <c r="BW20" s="27"/>
      <c r="BX20" s="27"/>
      <c r="BY20" s="27"/>
      <c r="BZ20" s="27"/>
      <c r="CA20" s="27"/>
      <c r="CB20" s="27"/>
    </row>
    <row r="21" spans="1:80" ht="9.9499999999999993" hidden="1" customHeight="1" x14ac:dyDescent="0.25">
      <c r="A21" s="1379" t="s">
        <v>252</v>
      </c>
      <c r="B21" s="1380"/>
      <c r="C21" s="1380"/>
      <c r="D21" s="1380"/>
      <c r="E21" s="1381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Z21" s="47"/>
      <c r="AA21" s="47"/>
      <c r="AB21" s="47"/>
      <c r="AC21" s="47"/>
      <c r="AD21" s="47"/>
      <c r="AE21" s="47"/>
      <c r="AF21" s="47"/>
      <c r="AG21" s="47"/>
      <c r="AH21" s="36"/>
      <c r="AI21" s="36"/>
      <c r="AJ21" s="676"/>
      <c r="AK21" s="676"/>
      <c r="AL21" s="676"/>
      <c r="AM21" s="36"/>
      <c r="AN21" s="36"/>
      <c r="AO21" s="676"/>
      <c r="AP21" s="676"/>
      <c r="AQ21" s="676"/>
      <c r="AR21" s="36"/>
      <c r="AS21" s="36"/>
      <c r="AT21" s="1388"/>
      <c r="AU21" s="1388"/>
      <c r="AV21" s="1388"/>
      <c r="AW21" s="139"/>
      <c r="AX21" s="139"/>
      <c r="AY21" s="676"/>
      <c r="AZ21" s="676"/>
      <c r="BA21" s="676"/>
      <c r="BB21" s="36"/>
      <c r="BC21" s="36"/>
      <c r="BD21" s="676"/>
      <c r="BE21" s="676"/>
      <c r="BF21" s="676"/>
      <c r="BG21" s="36"/>
      <c r="BH21" s="36"/>
    </row>
    <row r="22" spans="1:80" ht="24.95" hidden="1" customHeight="1" x14ac:dyDescent="0.25">
      <c r="A22" s="1382"/>
      <c r="B22" s="1383"/>
      <c r="C22" s="1383"/>
      <c r="D22" s="1383"/>
      <c r="E22" s="1384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Z22" s="47"/>
      <c r="AA22" s="47"/>
      <c r="AB22" s="47"/>
      <c r="AC22" s="47"/>
      <c r="AD22" s="47"/>
      <c r="AE22" s="47"/>
      <c r="AF22" s="47"/>
      <c r="AG22" s="47"/>
      <c r="AH22" s="140"/>
      <c r="AI22" s="36"/>
      <c r="AJ22" s="676"/>
      <c r="AK22" s="676"/>
      <c r="AL22" s="676"/>
      <c r="AM22" s="140"/>
      <c r="AN22" s="36"/>
      <c r="AO22" s="676"/>
      <c r="AP22" s="676"/>
      <c r="AQ22" s="676"/>
      <c r="AR22" s="140"/>
      <c r="AS22" s="36"/>
      <c r="AT22" s="1388"/>
      <c r="AU22" s="1388"/>
      <c r="AV22" s="1388"/>
      <c r="AW22" s="141"/>
      <c r="AX22" s="139"/>
      <c r="AY22" s="676"/>
      <c r="AZ22" s="676"/>
      <c r="BA22" s="676"/>
      <c r="BB22" s="36"/>
      <c r="BC22" s="36"/>
      <c r="BD22" s="676"/>
      <c r="BE22" s="676"/>
      <c r="BF22" s="676"/>
      <c r="BG22" s="36"/>
      <c r="BH22" s="36"/>
    </row>
    <row r="23" spans="1:80" ht="9.9499999999999993" hidden="1" customHeight="1" x14ac:dyDescent="0.25">
      <c r="A23" s="1385"/>
      <c r="B23" s="1386"/>
      <c r="C23" s="1386"/>
      <c r="D23" s="1386"/>
      <c r="E23" s="138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Z23" s="47"/>
      <c r="AA23" s="47"/>
      <c r="AB23" s="47"/>
      <c r="AC23" s="47"/>
      <c r="AD23" s="47"/>
      <c r="AE23" s="47"/>
      <c r="AF23" s="47"/>
      <c r="AG23" s="47"/>
      <c r="AH23" s="36"/>
      <c r="AI23" s="36"/>
      <c r="AJ23" s="676"/>
      <c r="AK23" s="676"/>
      <c r="AL23" s="676"/>
      <c r="AM23" s="36"/>
      <c r="AN23" s="36"/>
      <c r="AO23" s="676"/>
      <c r="AP23" s="676"/>
      <c r="AQ23" s="676"/>
      <c r="AR23" s="36"/>
      <c r="AS23" s="36"/>
      <c r="AT23" s="1388"/>
      <c r="AU23" s="1388"/>
      <c r="AV23" s="1388"/>
      <c r="AW23" s="139"/>
      <c r="AX23" s="139"/>
      <c r="AY23" s="676"/>
      <c r="AZ23" s="676"/>
      <c r="BA23" s="676"/>
      <c r="BB23" s="36"/>
      <c r="BC23" s="36"/>
      <c r="BD23" s="676"/>
      <c r="BE23" s="676"/>
      <c r="BF23" s="676"/>
      <c r="BG23" s="36"/>
      <c r="BH23" s="36"/>
    </row>
    <row r="24" spans="1:80" ht="72" hidden="1" customHeight="1" x14ac:dyDescent="0.25">
      <c r="A24" s="1374" t="s">
        <v>253</v>
      </c>
      <c r="B24" s="1376"/>
      <c r="C24" s="1377"/>
      <c r="D24" s="1377"/>
      <c r="E24" s="1378"/>
      <c r="F24" s="142"/>
      <c r="G24" s="142"/>
      <c r="H24" s="142"/>
      <c r="I24" s="142"/>
      <c r="J24" s="142"/>
      <c r="K24" s="142"/>
      <c r="L24" s="142"/>
      <c r="M24" s="142"/>
      <c r="N24" s="142"/>
      <c r="O24" s="142"/>
      <c r="P24" s="142"/>
      <c r="Q24" s="142"/>
      <c r="R24" s="142"/>
      <c r="S24" s="142"/>
      <c r="T24" s="142"/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  <c r="AK24" s="142"/>
      <c r="AL24" s="142"/>
      <c r="AM24" s="142"/>
      <c r="AN24" s="142"/>
      <c r="AO24" s="142"/>
      <c r="AP24" s="142"/>
      <c r="AQ24" s="142"/>
      <c r="AR24" s="142"/>
      <c r="AS24" s="142"/>
      <c r="AT24" s="143"/>
      <c r="AU24" s="143"/>
      <c r="AV24" s="143"/>
      <c r="AW24" s="143"/>
      <c r="AX24" s="143"/>
      <c r="AY24" s="677"/>
      <c r="AZ24" s="1332"/>
      <c r="BA24" s="1332"/>
      <c r="BB24" s="1332"/>
      <c r="BC24" s="1332"/>
      <c r="BD24" s="677"/>
      <c r="BE24" s="1332" t="s">
        <v>16</v>
      </c>
      <c r="BF24" s="1332"/>
      <c r="BG24" s="1332"/>
      <c r="BH24" s="1332"/>
      <c r="BM24" s="51"/>
      <c r="BN24" s="51"/>
      <c r="BO24" s="51"/>
      <c r="BP24" s="51"/>
      <c r="BQ24" s="51"/>
      <c r="BR24" s="51"/>
      <c r="BW24" s="27"/>
      <c r="BX24" s="27"/>
      <c r="BY24" s="27"/>
      <c r="BZ24" s="27"/>
      <c r="CA24" s="27"/>
      <c r="CB24" s="27"/>
    </row>
    <row r="25" spans="1:80" ht="35.1" hidden="1" customHeight="1" thickBot="1" x14ac:dyDescent="0.3">
      <c r="A25" s="1375"/>
      <c r="B25" s="144"/>
      <c r="C25" s="145" t="s">
        <v>113</v>
      </c>
      <c r="D25" s="146"/>
      <c r="E25" s="147" t="s">
        <v>114</v>
      </c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148"/>
      <c r="AU25" s="148"/>
      <c r="AV25" s="148"/>
      <c r="AW25" s="148"/>
      <c r="AX25" s="148"/>
      <c r="AY25" s="677"/>
      <c r="AZ25" s="137"/>
      <c r="BA25" s="33"/>
      <c r="BB25" s="138"/>
      <c r="BC25" s="35"/>
      <c r="BD25" s="677"/>
      <c r="BE25" s="137"/>
      <c r="BF25" s="33"/>
      <c r="BG25" s="138"/>
      <c r="BH25" s="35"/>
      <c r="BM25" s="51"/>
      <c r="BN25" s="51"/>
      <c r="BO25" s="51"/>
      <c r="BP25" s="51"/>
      <c r="BQ25" s="51"/>
      <c r="BR25" s="51"/>
      <c r="BW25" s="27"/>
      <c r="BX25" s="27"/>
      <c r="BY25" s="27"/>
      <c r="BZ25" s="27"/>
      <c r="CA25" s="27"/>
      <c r="CB25" s="27"/>
    </row>
    <row r="26" spans="1:80" ht="27" hidden="1" thickTop="1" x14ac:dyDescent="0.25">
      <c r="A26" s="1396"/>
      <c r="B26" s="1396"/>
      <c r="C26" s="1396"/>
      <c r="D26" s="1397"/>
      <c r="E26" s="1397"/>
      <c r="F26" s="674"/>
      <c r="G26" s="674"/>
      <c r="H26" s="674"/>
      <c r="I26" s="1300"/>
      <c r="J26" s="1300"/>
      <c r="K26" s="674"/>
      <c r="L26" s="674"/>
      <c r="M26" s="674"/>
      <c r="N26" s="1300"/>
      <c r="O26" s="1300"/>
      <c r="P26" s="674"/>
      <c r="Q26" s="674"/>
      <c r="R26" s="674"/>
      <c r="S26" s="1300"/>
      <c r="T26" s="1300"/>
      <c r="U26" s="674"/>
      <c r="V26" s="674"/>
      <c r="W26" s="674"/>
      <c r="X26" s="1300"/>
      <c r="Y26" s="1300"/>
      <c r="Z26" s="674"/>
      <c r="AA26" s="674"/>
      <c r="AB26" s="674"/>
      <c r="AC26" s="1300"/>
      <c r="AD26" s="1300"/>
      <c r="AE26" s="674"/>
      <c r="AF26" s="674"/>
      <c r="AG26" s="674"/>
      <c r="AH26" s="1300"/>
      <c r="AI26" s="1300"/>
      <c r="AJ26" s="674"/>
      <c r="AK26" s="674"/>
      <c r="AL26" s="674"/>
      <c r="AM26" s="1300"/>
      <c r="AN26" s="1300"/>
      <c r="AO26" s="674"/>
      <c r="AP26" s="674"/>
      <c r="AQ26" s="674"/>
      <c r="AR26" s="1300"/>
      <c r="AS26" s="1300"/>
      <c r="AT26" s="1389"/>
      <c r="AU26" s="1389"/>
      <c r="AV26" s="1389"/>
      <c r="AW26" s="1390"/>
      <c r="AX26" s="1390"/>
      <c r="AY26" s="674"/>
      <c r="AZ26" s="674"/>
      <c r="BA26" s="674"/>
      <c r="BB26" s="1300"/>
      <c r="BC26" s="1300"/>
      <c r="BD26" s="674"/>
      <c r="BE26" s="674"/>
      <c r="BF26" s="674"/>
      <c r="BG26" s="1300"/>
      <c r="BH26" s="1300"/>
      <c r="BM26" s="51"/>
      <c r="BN26" s="51"/>
      <c r="BO26" s="51"/>
      <c r="BP26" s="51"/>
      <c r="BQ26" s="51"/>
      <c r="BR26" s="51"/>
      <c r="BW26" s="27"/>
      <c r="BX26" s="27"/>
      <c r="BY26" s="27"/>
      <c r="BZ26" s="27"/>
      <c r="CA26" s="27"/>
      <c r="CB26" s="27"/>
    </row>
    <row r="27" spans="1:80" ht="19.5" hidden="1" thickTop="1" x14ac:dyDescent="0.25">
      <c r="A27" s="1395"/>
      <c r="B27" s="1395"/>
      <c r="C27" s="1395"/>
      <c r="D27" s="149"/>
      <c r="E27" s="149"/>
      <c r="F27" s="676"/>
      <c r="G27" s="676"/>
      <c r="H27" s="676"/>
      <c r="I27" s="36"/>
      <c r="J27" s="36"/>
      <c r="K27" s="676"/>
      <c r="L27" s="676"/>
      <c r="M27" s="676"/>
      <c r="N27" s="36"/>
      <c r="O27" s="36"/>
      <c r="P27" s="676"/>
      <c r="Q27" s="676"/>
      <c r="R27" s="676"/>
      <c r="S27" s="36"/>
      <c r="T27" s="36"/>
      <c r="U27" s="676"/>
      <c r="V27" s="676"/>
      <c r="W27" s="676"/>
      <c r="X27" s="36"/>
      <c r="Y27" s="36"/>
      <c r="Z27" s="676"/>
      <c r="AA27" s="676"/>
      <c r="AB27" s="676"/>
      <c r="AC27" s="36"/>
      <c r="AD27" s="36"/>
      <c r="AE27" s="676"/>
      <c r="AF27" s="676"/>
      <c r="AG27" s="676"/>
      <c r="AH27" s="36"/>
      <c r="AI27" s="36"/>
      <c r="AJ27" s="676"/>
      <c r="AK27" s="676"/>
      <c r="AL27" s="676"/>
      <c r="AM27" s="36"/>
      <c r="AN27" s="36"/>
      <c r="AO27" s="676"/>
      <c r="AP27" s="676"/>
      <c r="AQ27" s="676"/>
      <c r="AR27" s="36"/>
      <c r="AS27" s="36"/>
      <c r="AT27" s="1388"/>
      <c r="AU27" s="1388"/>
      <c r="AV27" s="1388"/>
      <c r="AW27" s="139"/>
      <c r="AX27" s="139"/>
      <c r="AY27" s="676"/>
      <c r="AZ27" s="676"/>
      <c r="BA27" s="676"/>
      <c r="BB27" s="36"/>
      <c r="BC27" s="36"/>
      <c r="BD27" s="676"/>
      <c r="BE27" s="676"/>
      <c r="BF27" s="676"/>
      <c r="BG27" s="36"/>
      <c r="BH27" s="36"/>
    </row>
    <row r="28" spans="1:80" ht="36.75" hidden="1" thickTop="1" x14ac:dyDescent="0.25">
      <c r="A28" s="1395"/>
      <c r="B28" s="1395"/>
      <c r="C28" s="1395"/>
      <c r="D28" s="150"/>
      <c r="E28" s="149"/>
      <c r="F28" s="676"/>
      <c r="G28" s="676"/>
      <c r="H28" s="676"/>
      <c r="I28" s="140"/>
      <c r="J28" s="36"/>
      <c r="K28" s="676"/>
      <c r="L28" s="676"/>
      <c r="M28" s="676"/>
      <c r="N28" s="140"/>
      <c r="O28" s="36"/>
      <c r="P28" s="676"/>
      <c r="Q28" s="676"/>
      <c r="R28" s="676"/>
      <c r="S28" s="140"/>
      <c r="T28" s="36"/>
      <c r="U28" s="676"/>
      <c r="V28" s="676"/>
      <c r="W28" s="676"/>
      <c r="X28" s="140"/>
      <c r="Y28" s="36"/>
      <c r="Z28" s="676"/>
      <c r="AA28" s="676"/>
      <c r="AB28" s="676"/>
      <c r="AC28" s="140"/>
      <c r="AD28" s="36"/>
      <c r="AE28" s="676"/>
      <c r="AF28" s="676"/>
      <c r="AG28" s="676"/>
      <c r="AH28" s="140"/>
      <c r="AI28" s="36"/>
      <c r="AJ28" s="676"/>
      <c r="AK28" s="676"/>
      <c r="AL28" s="676"/>
      <c r="AM28" s="140"/>
      <c r="AN28" s="36"/>
      <c r="AO28" s="676"/>
      <c r="AP28" s="676"/>
      <c r="AQ28" s="676"/>
      <c r="AR28" s="140"/>
      <c r="AS28" s="36"/>
      <c r="AT28" s="1388"/>
      <c r="AU28" s="1388"/>
      <c r="AV28" s="1388"/>
      <c r="AW28" s="141"/>
      <c r="AX28" s="139"/>
      <c r="AY28" s="676"/>
      <c r="AZ28" s="676"/>
      <c r="BA28" s="676"/>
      <c r="BB28" s="36"/>
      <c r="BC28" s="36"/>
      <c r="BD28" s="676"/>
      <c r="BE28" s="676"/>
      <c r="BF28" s="676"/>
      <c r="BG28" s="36"/>
      <c r="BH28" s="36"/>
    </row>
    <row r="29" spans="1:80" ht="19.5" hidden="1" thickTop="1" x14ac:dyDescent="0.25">
      <c r="A29" s="1395"/>
      <c r="B29" s="1395"/>
      <c r="C29" s="1395"/>
      <c r="D29" s="149"/>
      <c r="E29" s="149"/>
      <c r="F29" s="676"/>
      <c r="G29" s="676"/>
      <c r="H29" s="676"/>
      <c r="I29" s="36"/>
      <c r="J29" s="36"/>
      <c r="K29" s="676"/>
      <c r="L29" s="676"/>
      <c r="M29" s="676"/>
      <c r="N29" s="36"/>
      <c r="O29" s="36"/>
      <c r="P29" s="676"/>
      <c r="Q29" s="676"/>
      <c r="R29" s="676"/>
      <c r="S29" s="36"/>
      <c r="T29" s="36"/>
      <c r="U29" s="676"/>
      <c r="V29" s="676"/>
      <c r="W29" s="676"/>
      <c r="X29" s="36"/>
      <c r="Y29" s="36"/>
      <c r="Z29" s="676"/>
      <c r="AA29" s="676"/>
      <c r="AB29" s="676"/>
      <c r="AC29" s="36"/>
      <c r="AD29" s="36"/>
      <c r="AE29" s="676"/>
      <c r="AF29" s="676"/>
      <c r="AG29" s="676"/>
      <c r="AH29" s="36"/>
      <c r="AI29" s="36"/>
      <c r="AJ29" s="676"/>
      <c r="AK29" s="676"/>
      <c r="AL29" s="676"/>
      <c r="AM29" s="36"/>
      <c r="AN29" s="36"/>
      <c r="AO29" s="676"/>
      <c r="AP29" s="676"/>
      <c r="AQ29" s="676"/>
      <c r="AR29" s="36"/>
      <c r="AS29" s="36"/>
      <c r="AT29" s="1388"/>
      <c r="AU29" s="1388"/>
      <c r="AV29" s="1388"/>
      <c r="AW29" s="139"/>
      <c r="AX29" s="139"/>
      <c r="AY29" s="676"/>
      <c r="AZ29" s="676"/>
      <c r="BA29" s="676"/>
      <c r="BB29" s="36"/>
      <c r="BC29" s="36"/>
      <c r="BD29" s="676"/>
      <c r="BE29" s="676"/>
      <c r="BF29" s="676"/>
      <c r="BG29" s="36"/>
      <c r="BH29" s="36"/>
    </row>
    <row r="30" spans="1:80" ht="78" hidden="1" thickTop="1" x14ac:dyDescent="0.25">
      <c r="A30" s="1398"/>
      <c r="B30" s="1399"/>
      <c r="C30" s="1399"/>
      <c r="D30" s="1399"/>
      <c r="E30" s="1399"/>
      <c r="F30" s="1370"/>
      <c r="G30" s="1371"/>
      <c r="H30" s="1371"/>
      <c r="I30" s="1371"/>
      <c r="J30" s="1371"/>
      <c r="K30" s="1370"/>
      <c r="L30" s="1371"/>
      <c r="M30" s="1371"/>
      <c r="N30" s="1371"/>
      <c r="O30" s="1371"/>
      <c r="P30" s="1370"/>
      <c r="Q30" s="1371"/>
      <c r="R30" s="1371"/>
      <c r="S30" s="1371"/>
      <c r="T30" s="1371"/>
      <c r="U30" s="1370"/>
      <c r="V30" s="1371"/>
      <c r="W30" s="1371"/>
      <c r="X30" s="1371"/>
      <c r="Y30" s="1371"/>
      <c r="Z30" s="1370"/>
      <c r="AA30" s="1371"/>
      <c r="AB30" s="1371"/>
      <c r="AC30" s="1371"/>
      <c r="AD30" s="1371"/>
      <c r="AE30" s="1370"/>
      <c r="AF30" s="1371"/>
      <c r="AG30" s="1371"/>
      <c r="AH30" s="1371"/>
      <c r="AI30" s="1371"/>
      <c r="AJ30" s="1370"/>
      <c r="AK30" s="1371"/>
      <c r="AL30" s="1371"/>
      <c r="AM30" s="1371"/>
      <c r="AN30" s="1371"/>
      <c r="AO30" s="1370"/>
      <c r="AP30" s="1371"/>
      <c r="AQ30" s="1371"/>
      <c r="AR30" s="1371"/>
      <c r="AS30" s="1371"/>
      <c r="AT30" s="1439"/>
      <c r="AU30" s="1440"/>
      <c r="AV30" s="1440"/>
      <c r="AW30" s="1440"/>
      <c r="AX30" s="1440"/>
      <c r="AY30" s="677"/>
      <c r="AZ30" s="1332"/>
      <c r="BA30" s="1332"/>
      <c r="BB30" s="1332"/>
      <c r="BC30" s="1332"/>
      <c r="BD30" s="677"/>
      <c r="BE30" s="1332"/>
      <c r="BF30" s="1332"/>
      <c r="BG30" s="1332"/>
      <c r="BH30" s="1332"/>
      <c r="BM30" s="51"/>
      <c r="BN30" s="51"/>
      <c r="BO30" s="51"/>
      <c r="BP30" s="51"/>
      <c r="BQ30" s="51"/>
      <c r="BR30" s="51"/>
      <c r="BW30" s="27"/>
      <c r="BX30" s="27"/>
      <c r="BY30" s="27"/>
      <c r="BZ30" s="27"/>
      <c r="CA30" s="27"/>
      <c r="CB30" s="27"/>
    </row>
    <row r="31" spans="1:80" ht="27" hidden="1" thickTop="1" x14ac:dyDescent="0.25">
      <c r="A31" s="1398"/>
      <c r="B31" s="151"/>
      <c r="C31" s="152"/>
      <c r="D31" s="153"/>
      <c r="E31" s="154"/>
      <c r="F31" s="1370"/>
      <c r="G31" s="32"/>
      <c r="H31" s="33"/>
      <c r="I31" s="34"/>
      <c r="J31" s="35"/>
      <c r="K31" s="1370"/>
      <c r="L31" s="32"/>
      <c r="M31" s="33"/>
      <c r="N31" s="34"/>
      <c r="O31" s="35"/>
      <c r="P31" s="1370"/>
      <c r="Q31" s="32"/>
      <c r="R31" s="33"/>
      <c r="S31" s="34"/>
      <c r="T31" s="35"/>
      <c r="U31" s="1370"/>
      <c r="V31" s="32"/>
      <c r="W31" s="33"/>
      <c r="X31" s="34"/>
      <c r="Y31" s="35"/>
      <c r="Z31" s="1370"/>
      <c r="AA31" s="32"/>
      <c r="AB31" s="33"/>
      <c r="AC31" s="34"/>
      <c r="AD31" s="35"/>
      <c r="AE31" s="1370"/>
      <c r="AF31" s="32"/>
      <c r="AG31" s="33"/>
      <c r="AH31" s="34"/>
      <c r="AI31" s="35"/>
      <c r="AJ31" s="1370"/>
      <c r="AK31" s="32"/>
      <c r="AL31" s="33"/>
      <c r="AM31" s="34"/>
      <c r="AN31" s="35"/>
      <c r="AO31" s="1370"/>
      <c r="AP31" s="32"/>
      <c r="AQ31" s="33"/>
      <c r="AR31" s="34"/>
      <c r="AS31" s="35"/>
      <c r="AT31" s="1439"/>
      <c r="AU31" s="155"/>
      <c r="AV31" s="148"/>
      <c r="AW31" s="156"/>
      <c r="AX31" s="157"/>
      <c r="AY31" s="677"/>
      <c r="AZ31" s="137"/>
      <c r="BA31" s="33"/>
      <c r="BB31" s="138"/>
      <c r="BC31" s="35"/>
      <c r="BD31" s="677"/>
      <c r="BE31" s="137"/>
      <c r="BF31" s="33"/>
      <c r="BG31" s="138"/>
      <c r="BH31" s="35"/>
      <c r="BM31" s="51"/>
      <c r="BN31" s="51"/>
      <c r="BO31" s="51"/>
      <c r="BP31" s="51"/>
      <c r="BQ31" s="51"/>
      <c r="BR31" s="51"/>
      <c r="BW31" s="27"/>
      <c r="BX31" s="27"/>
      <c r="BY31" s="27"/>
      <c r="BZ31" s="27"/>
      <c r="CA31" s="27"/>
      <c r="CB31" s="27"/>
    </row>
    <row r="32" spans="1:80" ht="27" hidden="1" thickTop="1" x14ac:dyDescent="0.25">
      <c r="A32" s="1396"/>
      <c r="B32" s="1396"/>
      <c r="C32" s="1396"/>
      <c r="D32" s="1397"/>
      <c r="E32" s="1397"/>
      <c r="F32" s="674"/>
      <c r="G32" s="674"/>
      <c r="H32" s="674"/>
      <c r="I32" s="1300"/>
      <c r="J32" s="1300"/>
      <c r="K32" s="674"/>
      <c r="L32" s="674"/>
      <c r="M32" s="674"/>
      <c r="N32" s="1300"/>
      <c r="O32" s="1300"/>
      <c r="P32" s="674"/>
      <c r="Q32" s="674"/>
      <c r="R32" s="674"/>
      <c r="S32" s="1300"/>
      <c r="T32" s="1300"/>
      <c r="U32" s="674"/>
      <c r="V32" s="674"/>
      <c r="W32" s="674"/>
      <c r="X32" s="1300"/>
      <c r="Y32" s="1300"/>
      <c r="Z32" s="674"/>
      <c r="AA32" s="674"/>
      <c r="AB32" s="674"/>
      <c r="AC32" s="1300"/>
      <c r="AD32" s="1300"/>
      <c r="AE32" s="674"/>
      <c r="AF32" s="674"/>
      <c r="AG32" s="674"/>
      <c r="AH32" s="1300"/>
      <c r="AI32" s="1300"/>
      <c r="AJ32" s="44"/>
      <c r="AK32" s="44"/>
      <c r="AP32" s="44"/>
      <c r="AQ32" s="44"/>
      <c r="AT32" s="1389"/>
      <c r="AU32" s="1389"/>
      <c r="AV32" s="1389"/>
      <c r="AW32" s="1390"/>
      <c r="AX32" s="1390"/>
      <c r="AY32" s="674"/>
      <c r="AZ32" s="674"/>
      <c r="BA32" s="674"/>
      <c r="BB32" s="1300"/>
      <c r="BC32" s="1300"/>
      <c r="BD32" s="674"/>
      <c r="BE32" s="674"/>
      <c r="BF32" s="674"/>
      <c r="BG32" s="1300"/>
      <c r="BH32" s="1300"/>
      <c r="BM32" s="51"/>
      <c r="BN32" s="51"/>
      <c r="BO32" s="51"/>
      <c r="BP32" s="51"/>
      <c r="BQ32" s="51"/>
      <c r="BR32" s="51"/>
      <c r="BW32" s="27"/>
      <c r="BX32" s="27"/>
      <c r="BY32" s="27"/>
      <c r="BZ32" s="27"/>
      <c r="CA32" s="27"/>
      <c r="CB32" s="27"/>
    </row>
    <row r="33" spans="1:80" ht="21.75" hidden="1" thickTop="1" x14ac:dyDescent="0.25">
      <c r="A33" s="1395"/>
      <c r="B33" s="1395"/>
      <c r="C33" s="1395"/>
      <c r="D33" s="149"/>
      <c r="E33" s="149"/>
      <c r="F33" s="676"/>
      <c r="G33" s="676"/>
      <c r="H33" s="676"/>
      <c r="I33" s="36"/>
      <c r="J33" s="36"/>
      <c r="K33" s="676"/>
      <c r="L33" s="676"/>
      <c r="M33" s="676"/>
      <c r="N33" s="36"/>
      <c r="O33" s="36"/>
      <c r="P33" s="676"/>
      <c r="Q33" s="676"/>
      <c r="R33" s="676"/>
      <c r="S33" s="36"/>
      <c r="T33" s="36"/>
      <c r="U33" s="676"/>
      <c r="V33" s="676"/>
      <c r="W33" s="676"/>
      <c r="X33" s="36"/>
      <c r="Y33" s="36"/>
      <c r="Z33" s="676"/>
      <c r="AA33" s="676"/>
      <c r="AB33" s="676"/>
      <c r="AC33" s="36"/>
      <c r="AD33" s="36"/>
      <c r="AE33" s="676"/>
      <c r="AF33" s="676"/>
      <c r="AG33" s="676"/>
      <c r="AH33" s="36"/>
      <c r="AI33" s="36"/>
      <c r="AJ33" s="47"/>
      <c r="AK33" s="47"/>
      <c r="AP33" s="47"/>
      <c r="AQ33" s="47"/>
      <c r="AT33" s="1388"/>
      <c r="AU33" s="1388"/>
      <c r="AV33" s="1388"/>
      <c r="AW33" s="139"/>
      <c r="AX33" s="139"/>
      <c r="AY33" s="676"/>
      <c r="AZ33" s="676"/>
      <c r="BA33" s="676"/>
      <c r="BB33" s="36"/>
      <c r="BC33" s="36"/>
      <c r="BD33" s="676"/>
      <c r="BE33" s="676"/>
      <c r="BF33" s="676"/>
      <c r="BG33" s="36"/>
      <c r="BH33" s="36"/>
    </row>
    <row r="34" spans="1:80" ht="36.75" hidden="1" thickTop="1" x14ac:dyDescent="0.25">
      <c r="A34" s="1395"/>
      <c r="B34" s="1395"/>
      <c r="C34" s="1395"/>
      <c r="D34" s="150"/>
      <c r="E34" s="149"/>
      <c r="F34" s="676"/>
      <c r="G34" s="676"/>
      <c r="H34" s="676"/>
      <c r="I34" s="140"/>
      <c r="J34" s="36"/>
      <c r="K34" s="676"/>
      <c r="L34" s="676"/>
      <c r="M34" s="676"/>
      <c r="N34" s="140"/>
      <c r="O34" s="36"/>
      <c r="P34" s="676"/>
      <c r="Q34" s="676"/>
      <c r="R34" s="676"/>
      <c r="S34" s="140"/>
      <c r="T34" s="36"/>
      <c r="U34" s="676"/>
      <c r="V34" s="676"/>
      <c r="W34" s="676"/>
      <c r="X34" s="140"/>
      <c r="Y34" s="36"/>
      <c r="Z34" s="676"/>
      <c r="AA34" s="676"/>
      <c r="AB34" s="676"/>
      <c r="AC34" s="140"/>
      <c r="AD34" s="36"/>
      <c r="AE34" s="676"/>
      <c r="AF34" s="676"/>
      <c r="AG34" s="676"/>
      <c r="AH34" s="36"/>
      <c r="AI34" s="36"/>
      <c r="AJ34" s="47"/>
      <c r="AK34" s="47"/>
      <c r="AP34" s="47"/>
      <c r="AQ34" s="47"/>
      <c r="AT34" s="1388"/>
      <c r="AU34" s="1388"/>
      <c r="AV34" s="1388"/>
      <c r="AW34" s="139"/>
      <c r="AX34" s="139"/>
      <c r="AY34" s="676"/>
      <c r="AZ34" s="676"/>
      <c r="BA34" s="676"/>
      <c r="BB34" s="36"/>
      <c r="BC34" s="36"/>
      <c r="BD34" s="676"/>
      <c r="BE34" s="676"/>
      <c r="BF34" s="676"/>
      <c r="BG34" s="36"/>
      <c r="BH34" s="36"/>
    </row>
    <row r="35" spans="1:80" ht="21.75" hidden="1" thickTop="1" x14ac:dyDescent="0.25">
      <c r="A35" s="1395"/>
      <c r="B35" s="1395"/>
      <c r="C35" s="1395"/>
      <c r="D35" s="149"/>
      <c r="E35" s="149"/>
      <c r="F35" s="676"/>
      <c r="G35" s="676"/>
      <c r="H35" s="676"/>
      <c r="I35" s="36"/>
      <c r="J35" s="36"/>
      <c r="K35" s="676"/>
      <c r="L35" s="676"/>
      <c r="M35" s="676"/>
      <c r="N35" s="36"/>
      <c r="O35" s="36"/>
      <c r="P35" s="676"/>
      <c r="Q35" s="676"/>
      <c r="R35" s="676"/>
      <c r="S35" s="36"/>
      <c r="T35" s="36"/>
      <c r="U35" s="676"/>
      <c r="V35" s="676"/>
      <c r="W35" s="676"/>
      <c r="X35" s="36"/>
      <c r="Y35" s="36"/>
      <c r="Z35" s="676"/>
      <c r="AA35" s="676"/>
      <c r="AB35" s="676"/>
      <c r="AC35" s="36"/>
      <c r="AD35" s="36"/>
      <c r="AE35" s="676"/>
      <c r="AF35" s="676"/>
      <c r="AG35" s="676"/>
      <c r="AH35" s="36"/>
      <c r="AI35" s="36"/>
      <c r="AJ35" s="47"/>
      <c r="AK35" s="47"/>
      <c r="AP35" s="47"/>
      <c r="AQ35" s="47"/>
      <c r="AR35" s="36"/>
      <c r="AS35" s="36"/>
      <c r="AT35" s="1388"/>
      <c r="AU35" s="1388"/>
      <c r="AV35" s="1388"/>
      <c r="AW35" s="139"/>
      <c r="AX35" s="139"/>
      <c r="AY35" s="676"/>
      <c r="AZ35" s="676"/>
      <c r="BA35" s="676"/>
      <c r="BB35" s="36"/>
      <c r="BC35" s="36"/>
      <c r="BD35" s="676"/>
      <c r="BE35" s="676"/>
      <c r="BF35" s="676"/>
      <c r="BG35" s="36"/>
      <c r="BH35" s="36"/>
    </row>
    <row r="36" spans="1:80" ht="78" hidden="1" thickTop="1" x14ac:dyDescent="0.25">
      <c r="A36" s="1400"/>
      <c r="B36" s="1401"/>
      <c r="C36" s="1401"/>
      <c r="D36" s="1401"/>
      <c r="E36" s="1401"/>
      <c r="F36" s="1370"/>
      <c r="G36" s="1371"/>
      <c r="H36" s="1371"/>
      <c r="I36" s="1371"/>
      <c r="J36" s="1371"/>
      <c r="K36" s="1370"/>
      <c r="L36" s="1371"/>
      <c r="M36" s="1371"/>
      <c r="N36" s="1371"/>
      <c r="O36" s="1371"/>
      <c r="P36" s="1370"/>
      <c r="Q36" s="1371"/>
      <c r="R36" s="1371"/>
      <c r="S36" s="1371"/>
      <c r="T36" s="1371"/>
      <c r="U36" s="1370"/>
      <c r="V36" s="1371"/>
      <c r="W36" s="1371"/>
      <c r="X36" s="1371"/>
      <c r="Y36" s="1371"/>
      <c r="Z36" s="1370"/>
      <c r="AA36" s="1371"/>
      <c r="AB36" s="1371"/>
      <c r="AC36" s="1371"/>
      <c r="AD36" s="1371"/>
      <c r="AE36" s="677"/>
      <c r="AF36" s="1332"/>
      <c r="AG36" s="1332"/>
      <c r="AH36" s="1332"/>
      <c r="AI36" s="1332"/>
      <c r="AJ36" s="70"/>
      <c r="AR36" s="132"/>
      <c r="AS36" s="132"/>
      <c r="AT36" s="677"/>
      <c r="AU36" s="1332"/>
      <c r="AV36" s="1332"/>
      <c r="AW36" s="1332"/>
      <c r="AX36" s="1332"/>
      <c r="AY36" s="677"/>
      <c r="AZ36" s="1332"/>
      <c r="BA36" s="1332"/>
      <c r="BB36" s="1332"/>
      <c r="BC36" s="1332"/>
      <c r="BD36" s="677" t="s">
        <v>254</v>
      </c>
      <c r="BE36" s="1332"/>
      <c r="BF36" s="1332"/>
      <c r="BG36" s="1332"/>
      <c r="BH36" s="1332"/>
      <c r="BM36" s="51"/>
      <c r="BN36" s="51"/>
      <c r="BO36" s="51"/>
      <c r="BP36" s="51"/>
      <c r="BQ36" s="51"/>
      <c r="BR36" s="51"/>
      <c r="BW36" s="27"/>
      <c r="BX36" s="27"/>
      <c r="BY36" s="27"/>
      <c r="BZ36" s="27"/>
      <c r="CA36" s="27"/>
      <c r="CB36" s="27"/>
    </row>
    <row r="37" spans="1:80" ht="138.75" customHeight="1" thickTop="1" x14ac:dyDescent="0.25">
      <c r="A37" s="1400"/>
      <c r="B37" s="158"/>
      <c r="C37" s="159"/>
      <c r="D37" s="160"/>
      <c r="E37" s="161"/>
      <c r="F37" s="1370"/>
      <c r="G37" s="32"/>
      <c r="H37" s="33"/>
      <c r="I37" s="34"/>
      <c r="J37" s="35"/>
      <c r="K37" s="1370"/>
      <c r="L37" s="32"/>
      <c r="M37" s="33"/>
      <c r="N37" s="34"/>
      <c r="O37" s="35"/>
      <c r="P37" s="1370"/>
      <c r="Q37" s="32"/>
      <c r="R37" s="33"/>
      <c r="S37" s="34"/>
      <c r="T37" s="35"/>
      <c r="U37" s="1370"/>
      <c r="V37" s="32"/>
      <c r="W37" s="33"/>
      <c r="X37" s="34"/>
      <c r="Y37" s="35"/>
      <c r="Z37" s="1370"/>
      <c r="AA37" s="32"/>
      <c r="AB37" s="33"/>
      <c r="AC37" s="34"/>
      <c r="AD37" s="35"/>
      <c r="AE37" s="677"/>
      <c r="AF37" s="137"/>
      <c r="AG37" s="33"/>
      <c r="AH37" s="138"/>
      <c r="AI37" s="35"/>
      <c r="AJ37" s="70"/>
      <c r="AK37" s="137"/>
      <c r="AL37" s="33"/>
      <c r="AM37" s="138"/>
      <c r="AN37" s="35"/>
      <c r="AO37" s="70"/>
      <c r="AP37" s="137"/>
      <c r="AQ37" s="33"/>
      <c r="AR37" s="138"/>
      <c r="AS37" s="35"/>
      <c r="AT37" s="677"/>
      <c r="AU37" s="137"/>
      <c r="AV37" s="33"/>
      <c r="AW37" s="138"/>
      <c r="AX37" s="35"/>
      <c r="AY37" s="677"/>
      <c r="AZ37" s="137" t="s">
        <v>16</v>
      </c>
      <c r="BA37" s="33"/>
      <c r="BB37" s="138"/>
      <c r="BC37" s="35"/>
      <c r="BD37" s="677"/>
      <c r="BE37" s="137" t="s">
        <v>15</v>
      </c>
      <c r="BF37" s="33"/>
      <c r="BG37" s="138"/>
      <c r="BH37" s="35"/>
      <c r="BM37" s="51"/>
      <c r="BN37" s="51"/>
      <c r="BO37" s="51"/>
      <c r="BP37" s="51"/>
      <c r="BQ37" s="51"/>
      <c r="BR37" s="51"/>
      <c r="BW37" s="27"/>
      <c r="BX37" s="27"/>
      <c r="BY37" s="27"/>
      <c r="BZ37" s="27"/>
      <c r="CA37" s="27"/>
      <c r="CB37" s="27"/>
    </row>
    <row r="38" spans="1:80" ht="61.5" customHeight="1" x14ac:dyDescent="0.25">
      <c r="A38" s="31"/>
      <c r="B38" s="162"/>
      <c r="C38" s="162"/>
      <c r="D38" s="162"/>
      <c r="F38" s="163"/>
      <c r="G38" s="163"/>
      <c r="H38" s="1413" cm="1">
        <f t="array" aca="1" ref="H38" ca="1">SUM(COUNTIF(INDIRECT({"B6","G6","L6","Q6","V6","AA6","AF6","AK6","AP6","AU6","B12","G12","L12","Q12","V12","AA12","AF12","AK12","AP12","AU12","B18","G18","L18"}),"&gt;0"))</f>
        <v>17</v>
      </c>
      <c r="I38" s="1413"/>
      <c r="J38" s="1413"/>
      <c r="K38" s="164"/>
      <c r="L38" s="160"/>
      <c r="M38" s="160"/>
      <c r="N38" s="160"/>
      <c r="O38" s="160"/>
      <c r="P38" s="160"/>
      <c r="Q38" s="1414" t="s">
        <v>255</v>
      </c>
      <c r="R38" s="1414"/>
      <c r="S38" s="1414"/>
      <c r="T38" s="1414"/>
      <c r="U38" s="1414"/>
      <c r="V38" s="1414"/>
      <c r="W38" s="165"/>
      <c r="X38" s="1409" t="s">
        <v>256</v>
      </c>
      <c r="Y38" s="1409"/>
      <c r="Z38" s="1409"/>
      <c r="AA38" s="1409"/>
      <c r="AB38" s="1409"/>
      <c r="AC38" s="1415">
        <f>B7+G7+L7+Q7+V7+AA7+AF7+AK7+AP7+AU7+AU13+AU19+AP19+AP13+AK13+AF13+AA13+V13+Q13+L13+G13+B13</f>
        <v>10.870999999999999</v>
      </c>
      <c r="AD38" s="1415"/>
      <c r="AE38" s="1415"/>
      <c r="AF38" s="1415"/>
      <c r="AG38" s="1415"/>
      <c r="AH38" s="1415"/>
      <c r="AI38" s="166"/>
      <c r="AJ38" s="1416" t="s">
        <v>119</v>
      </c>
      <c r="AK38" s="1416"/>
      <c r="AL38" s="1416"/>
      <c r="AM38" s="1416"/>
      <c r="AN38" s="1416"/>
      <c r="AO38" s="1417">
        <f>D7+I7+N7+S7+X7+AC7+AH7+AM7+AR7+AW7+AW13+AW19+AR19+AR13+AM13+AH13+AC13+X13+S13+N13+I13+D13</f>
        <v>16</v>
      </c>
      <c r="AP38" s="1417"/>
      <c r="AQ38" s="1417"/>
      <c r="AR38" s="1417"/>
      <c r="AS38" s="1417"/>
      <c r="AT38" s="1402" t="s">
        <v>120</v>
      </c>
      <c r="AU38" s="1402"/>
      <c r="AV38" s="1402"/>
      <c r="AW38" s="1402"/>
      <c r="AX38" s="127"/>
      <c r="AY38" s="72"/>
      <c r="AZ38" s="72"/>
      <c r="BA38" s="72"/>
      <c r="BB38" s="72"/>
      <c r="BC38" s="72"/>
      <c r="BD38" s="72"/>
      <c r="BE38" t="s">
        <v>16</v>
      </c>
      <c r="BF38" s="167"/>
      <c r="BG38" s="167"/>
      <c r="BH38" s="167"/>
      <c r="BM38" s="51"/>
      <c r="BN38" s="51"/>
      <c r="BO38" s="51"/>
      <c r="BP38" s="51"/>
      <c r="BQ38" s="51"/>
      <c r="BR38" s="51"/>
      <c r="BW38" s="27"/>
      <c r="BX38" s="27"/>
      <c r="BY38" s="27"/>
      <c r="BZ38" s="27"/>
      <c r="CA38" s="27"/>
      <c r="CB38" s="27"/>
    </row>
    <row r="39" spans="1:80" ht="30" customHeight="1" x14ac:dyDescent="0.25">
      <c r="B39" s="162"/>
      <c r="C39" s="162"/>
      <c r="D39" s="162"/>
      <c r="E39" s="163"/>
      <c r="F39" s="163"/>
      <c r="G39" s="163"/>
      <c r="H39" s="1413"/>
      <c r="I39" s="1413"/>
      <c r="J39" s="1413"/>
      <c r="K39" s="168"/>
      <c r="L39" s="160"/>
      <c r="M39" s="160"/>
      <c r="N39" s="160"/>
      <c r="O39" s="160"/>
      <c r="P39" s="160"/>
      <c r="Q39" s="1414"/>
      <c r="R39" s="1414"/>
      <c r="S39" s="1414"/>
      <c r="T39" s="1414"/>
      <c r="U39" s="1414"/>
      <c r="V39" s="1414"/>
      <c r="W39" s="169"/>
      <c r="X39" s="1409"/>
      <c r="Y39" s="1409"/>
      <c r="Z39" s="1409"/>
      <c r="AA39" s="1409"/>
      <c r="AB39" s="1409"/>
      <c r="AC39" s="1415"/>
      <c r="AD39" s="1415"/>
      <c r="AE39" s="1415"/>
      <c r="AF39" s="1415"/>
      <c r="AG39" s="1415"/>
      <c r="AH39" s="1415"/>
      <c r="AI39" s="166"/>
      <c r="AJ39" s="1416"/>
      <c r="AK39" s="1416"/>
      <c r="AL39" s="1416"/>
      <c r="AM39" s="1416"/>
      <c r="AN39" s="1416"/>
      <c r="AO39" s="1417"/>
      <c r="AP39" s="1417"/>
      <c r="AQ39" s="1417"/>
      <c r="AR39" s="1417"/>
      <c r="AS39" s="1417"/>
      <c r="AT39" s="1402"/>
      <c r="AU39" s="1402"/>
      <c r="AV39" s="1402"/>
      <c r="AW39" s="1402"/>
      <c r="BI39" s="50"/>
      <c r="BJ39" s="50"/>
      <c r="BM39" s="51"/>
      <c r="BN39" s="51"/>
      <c r="BO39" s="51"/>
      <c r="BP39" s="51"/>
      <c r="BQ39" s="51"/>
      <c r="BR39" s="51"/>
      <c r="BS39" s="27"/>
      <c r="BT39" s="27"/>
      <c r="BU39" s="27"/>
      <c r="BW39" s="27"/>
      <c r="BX39" s="27"/>
      <c r="BY39" s="27"/>
      <c r="BZ39" s="27"/>
      <c r="CA39" s="27"/>
      <c r="CB39" s="27"/>
    </row>
    <row r="40" spans="1:80" ht="15" customHeight="1" x14ac:dyDescent="0.25">
      <c r="B40" s="162"/>
      <c r="C40" s="162"/>
      <c r="D40" s="162"/>
      <c r="E40" s="163"/>
      <c r="F40" s="163"/>
      <c r="G40" s="163"/>
      <c r="H40" s="168"/>
      <c r="I40" s="168"/>
      <c r="J40" s="168"/>
      <c r="K40" s="168"/>
      <c r="L40" s="160"/>
      <c r="M40" s="160"/>
      <c r="N40" s="160"/>
      <c r="O40" s="160"/>
      <c r="P40" s="160"/>
      <c r="Q40" s="1414"/>
      <c r="R40" s="1414"/>
      <c r="S40" s="1414"/>
      <c r="T40" s="1414"/>
      <c r="U40" s="1414"/>
      <c r="V40" s="1414"/>
      <c r="W40" s="169"/>
      <c r="X40" s="1409"/>
      <c r="Y40" s="1409"/>
      <c r="Z40" s="1409"/>
      <c r="AA40" s="1409"/>
      <c r="AB40" s="1409"/>
      <c r="AC40" s="1415"/>
      <c r="AD40" s="1415"/>
      <c r="AE40" s="1415"/>
      <c r="AF40" s="1415"/>
      <c r="AG40" s="1415"/>
      <c r="AH40" s="1415"/>
      <c r="AI40" s="166"/>
      <c r="AJ40" s="1416"/>
      <c r="AK40" s="1416"/>
      <c r="AL40" s="1416"/>
      <c r="AM40" s="1416"/>
      <c r="AN40" s="1416"/>
      <c r="AO40" s="1403">
        <f>AO38*1.5</f>
        <v>24</v>
      </c>
      <c r="AP40" s="1403"/>
      <c r="AQ40" s="1403"/>
      <c r="AR40" s="1403"/>
      <c r="AS40" s="1403"/>
      <c r="AT40" s="1403"/>
      <c r="AU40" s="1403"/>
      <c r="AV40" s="1404" t="s">
        <v>121</v>
      </c>
      <c r="AW40" s="1404"/>
      <c r="BI40" s="50"/>
      <c r="BJ40" s="50"/>
      <c r="BM40" s="27"/>
      <c r="BN40" s="27"/>
      <c r="BO40" s="27"/>
      <c r="BP40" s="27"/>
      <c r="BQ40" s="27"/>
      <c r="BR40" s="27"/>
      <c r="BS40" s="27"/>
      <c r="BT40" s="27"/>
      <c r="BU40" s="27"/>
      <c r="BW40" s="27"/>
      <c r="BX40" s="27"/>
      <c r="BY40" s="27"/>
      <c r="BZ40" s="27"/>
      <c r="CA40" s="27"/>
      <c r="CB40" s="27"/>
    </row>
    <row r="41" spans="1:80" ht="54.75" customHeight="1" x14ac:dyDescent="0.25">
      <c r="B41" s="162"/>
      <c r="C41" s="162"/>
      <c r="D41" s="162"/>
      <c r="E41" s="163"/>
      <c r="F41" s="163"/>
      <c r="G41" s="163"/>
      <c r="H41" s="1405" cm="1">
        <f t="array" aca="1" ref="H41" ca="1">SUM(COUNTIF(INDIRECT({"B7","G7","L7","Q7","V7","AA7","AF7","AK7","AP7","AU7","B13","G13","L13","Q13","V13","AA13","AF13","AK13","AP13","AU13","B19","G19","L19"}),"&gt;0"))</f>
        <v>4</v>
      </c>
      <c r="I41" s="1405"/>
      <c r="J41" s="1405"/>
      <c r="K41" s="168"/>
      <c r="L41" s="160"/>
      <c r="M41" s="160"/>
      <c r="N41" s="160"/>
      <c r="O41" s="160"/>
      <c r="P41" s="160"/>
      <c r="Q41" s="1406" t="s">
        <v>484</v>
      </c>
      <c r="R41" s="1407"/>
      <c r="S41" s="1407"/>
      <c r="T41" s="1407"/>
      <c r="U41" s="1407"/>
      <c r="V41" s="1407"/>
      <c r="W41" s="169"/>
      <c r="X41" s="1409"/>
      <c r="Y41" s="1409"/>
      <c r="Z41" s="1409"/>
      <c r="AA41" s="1409"/>
      <c r="AB41" s="1409"/>
      <c r="AC41" s="1415"/>
      <c r="AD41" s="1415"/>
      <c r="AE41" s="1415"/>
      <c r="AF41" s="1415"/>
      <c r="AG41" s="1415"/>
      <c r="AH41" s="1415"/>
      <c r="AI41" s="166"/>
      <c r="AJ41" s="1416"/>
      <c r="AK41" s="1416"/>
      <c r="AL41" s="1416"/>
      <c r="AM41" s="1416"/>
      <c r="AN41" s="1416"/>
      <c r="AO41" s="1403"/>
      <c r="AP41" s="1403"/>
      <c r="AQ41" s="1403"/>
      <c r="AR41" s="1403"/>
      <c r="AS41" s="1403"/>
      <c r="AT41" s="1403"/>
      <c r="AU41" s="1403"/>
      <c r="AV41" s="1404"/>
      <c r="AW41" s="1404"/>
      <c r="BI41" s="50"/>
      <c r="BJ41" s="50"/>
      <c r="BM41" s="27"/>
      <c r="BN41" s="27"/>
      <c r="BO41" s="27"/>
      <c r="BP41" s="27"/>
      <c r="BQ41" s="27"/>
      <c r="BR41" s="27"/>
      <c r="BS41" s="27"/>
      <c r="BT41" s="27"/>
      <c r="BU41" s="27"/>
      <c r="BW41" s="27"/>
      <c r="BX41" s="27"/>
      <c r="BY41" s="27"/>
      <c r="BZ41" s="27"/>
      <c r="CA41" s="27"/>
      <c r="CB41" s="27"/>
    </row>
    <row r="42" spans="1:80" ht="65.25" customHeight="1" x14ac:dyDescent="0.25">
      <c r="B42" s="162"/>
      <c r="C42" s="162"/>
      <c r="D42" s="162"/>
      <c r="E42" s="162"/>
      <c r="F42" s="162"/>
      <c r="G42" s="164"/>
      <c r="H42" s="1408"/>
      <c r="I42" s="1408"/>
      <c r="J42" s="1408"/>
      <c r="K42" s="168"/>
      <c r="L42" s="160"/>
      <c r="M42" s="160"/>
      <c r="N42" s="160"/>
      <c r="O42" s="160"/>
      <c r="P42" s="160"/>
      <c r="Q42" s="1407"/>
      <c r="R42" s="1407"/>
      <c r="S42" s="1407"/>
      <c r="T42" s="1407"/>
      <c r="U42" s="1407"/>
      <c r="V42" s="1407"/>
      <c r="W42" s="169"/>
      <c r="X42" s="1409"/>
      <c r="Y42" s="1409"/>
      <c r="Z42" s="1409"/>
      <c r="AA42" s="1409"/>
      <c r="AB42" s="1409"/>
      <c r="AC42" s="1415"/>
      <c r="AD42" s="1415"/>
      <c r="AE42" s="1415"/>
      <c r="AF42" s="1415"/>
      <c r="AG42" s="1415"/>
      <c r="AH42" s="1415"/>
      <c r="AI42" s="166"/>
      <c r="AJ42" s="1416"/>
      <c r="AK42" s="1416"/>
      <c r="AL42" s="1416"/>
      <c r="AM42" s="1416"/>
      <c r="AN42" s="1416"/>
      <c r="AO42" s="1403"/>
      <c r="AP42" s="1403"/>
      <c r="AQ42" s="1403"/>
      <c r="AR42" s="1403"/>
      <c r="AS42" s="1403"/>
      <c r="AT42" s="1403"/>
      <c r="AU42" s="1403"/>
      <c r="AV42" s="1404"/>
      <c r="AW42" s="1404"/>
      <c r="BI42" s="50"/>
      <c r="BJ42" s="514"/>
      <c r="BM42" s="27"/>
      <c r="BN42" s="27"/>
      <c r="BO42" s="27"/>
      <c r="BP42" s="27"/>
      <c r="BQ42" s="27"/>
      <c r="BR42" s="27"/>
      <c r="BS42" s="27"/>
      <c r="BT42" s="27"/>
      <c r="BU42" s="27"/>
      <c r="BW42" s="27"/>
      <c r="BX42" s="27"/>
      <c r="BY42" s="27"/>
      <c r="BZ42" s="27"/>
      <c r="CA42" s="27"/>
      <c r="CB42" s="27"/>
    </row>
    <row r="43" spans="1:80" ht="15" customHeight="1" x14ac:dyDescent="0.25">
      <c r="B43" s="162"/>
      <c r="C43" s="162"/>
      <c r="D43" s="162"/>
      <c r="E43" s="162"/>
      <c r="F43" s="162"/>
      <c r="G43" s="164"/>
      <c r="H43" s="1408"/>
      <c r="I43" s="1408"/>
      <c r="J43" s="1408"/>
      <c r="K43" s="164"/>
      <c r="L43" s="165"/>
      <c r="M43" s="165"/>
      <c r="N43" s="165"/>
      <c r="O43" s="165"/>
      <c r="P43" s="165"/>
      <c r="Q43" s="1407"/>
      <c r="R43" s="1407"/>
      <c r="S43" s="1407"/>
      <c r="T43" s="1407"/>
      <c r="U43" s="1407"/>
      <c r="V43" s="1407"/>
      <c r="W43" s="165"/>
      <c r="X43" s="1409" t="s">
        <v>257</v>
      </c>
      <c r="Y43" s="1409"/>
      <c r="Z43" s="1409"/>
      <c r="AA43" s="1409"/>
      <c r="AB43" s="1409"/>
      <c r="AC43" s="1410">
        <f>AC38-AD51</f>
        <v>4.7751999999999981</v>
      </c>
      <c r="AD43" s="1410"/>
      <c r="AE43" s="1410"/>
      <c r="AF43" s="1410"/>
      <c r="AG43" s="1410"/>
      <c r="AH43" s="1410"/>
      <c r="AI43" s="166"/>
      <c r="AJ43" s="1416"/>
      <c r="AK43" s="1416"/>
      <c r="AL43" s="1416"/>
      <c r="AM43" s="1416"/>
      <c r="AN43" s="1416"/>
      <c r="AO43" s="1403"/>
      <c r="AP43" s="1403"/>
      <c r="AQ43" s="1403"/>
      <c r="AR43" s="1403"/>
      <c r="AS43" s="1403"/>
      <c r="AT43" s="1403"/>
      <c r="AU43" s="1403"/>
      <c r="AV43" s="1404"/>
      <c r="AW43" s="1404"/>
      <c r="BI43" s="53"/>
      <c r="BJ43" s="53"/>
    </row>
    <row r="44" spans="1:80" ht="28.5" customHeight="1" x14ac:dyDescent="0.25">
      <c r="B44" s="162"/>
      <c r="C44" s="162"/>
      <c r="D44" s="162"/>
      <c r="E44" s="162"/>
      <c r="F44" s="162"/>
      <c r="G44" s="164"/>
      <c r="H44" s="1411"/>
      <c r="I44" s="1411"/>
      <c r="J44" s="1411"/>
      <c r="K44" s="168"/>
      <c r="L44" s="165"/>
      <c r="M44" s="165"/>
      <c r="N44" s="165"/>
      <c r="O44" s="165"/>
      <c r="P44" s="165"/>
      <c r="Q44" s="1407"/>
      <c r="R44" s="1407"/>
      <c r="S44" s="1407"/>
      <c r="T44" s="1407"/>
      <c r="U44" s="1407"/>
      <c r="V44" s="1407"/>
      <c r="W44" s="165"/>
      <c r="X44" s="1409"/>
      <c r="Y44" s="1409"/>
      <c r="Z44" s="1409"/>
      <c r="AA44" s="1409"/>
      <c r="AB44" s="1409"/>
      <c r="AC44" s="1410"/>
      <c r="AD44" s="1410"/>
      <c r="AE44" s="1410"/>
      <c r="AF44" s="1410"/>
      <c r="AG44" s="1410"/>
      <c r="AH44" s="1410"/>
      <c r="AI44" s="166"/>
      <c r="AJ44" s="1416"/>
      <c r="AK44" s="1416"/>
      <c r="AL44" s="1416"/>
      <c r="AM44" s="1416"/>
      <c r="AN44" s="1416"/>
      <c r="AO44" s="1403"/>
      <c r="AP44" s="1403"/>
      <c r="AQ44" s="1403"/>
      <c r="AR44" s="1403"/>
      <c r="AS44" s="1403"/>
      <c r="AT44" s="1403"/>
      <c r="AU44" s="1403"/>
      <c r="AV44" s="1404"/>
      <c r="AW44" s="1404"/>
      <c r="BI44" s="53"/>
      <c r="BJ44" s="53"/>
    </row>
    <row r="45" spans="1:80" ht="15" customHeight="1" x14ac:dyDescent="0.25">
      <c r="B45" s="162"/>
      <c r="C45" s="162"/>
      <c r="D45" s="162"/>
      <c r="E45" s="162"/>
      <c r="F45" s="162"/>
      <c r="G45" s="164"/>
      <c r="H45" s="1411"/>
      <c r="I45" s="1411"/>
      <c r="J45" s="1411"/>
      <c r="K45" s="168"/>
      <c r="L45" s="165"/>
      <c r="M45" s="165"/>
      <c r="N45" s="165"/>
      <c r="O45" s="165"/>
      <c r="P45" s="165"/>
      <c r="Q45" s="1407"/>
      <c r="R45" s="1407"/>
      <c r="S45" s="1407"/>
      <c r="T45" s="1407"/>
      <c r="U45" s="1407"/>
      <c r="V45" s="1407"/>
      <c r="W45" s="165"/>
      <c r="X45" s="1409"/>
      <c r="Y45" s="1409"/>
      <c r="Z45" s="1409"/>
      <c r="AA45" s="1409"/>
      <c r="AB45" s="1409"/>
      <c r="AC45" s="1410"/>
      <c r="AD45" s="1410"/>
      <c r="AE45" s="1410"/>
      <c r="AF45" s="1410"/>
      <c r="AG45" s="1410"/>
      <c r="AH45" s="1410"/>
      <c r="AI45" s="166"/>
      <c r="AJ45" s="1416"/>
      <c r="AK45" s="1416"/>
      <c r="AL45" s="1416"/>
      <c r="AM45" s="1416"/>
      <c r="AN45" s="1416"/>
      <c r="AO45" s="1403"/>
      <c r="AP45" s="1403"/>
      <c r="AQ45" s="1403"/>
      <c r="AR45" s="1403"/>
      <c r="AS45" s="1403"/>
      <c r="AT45" s="1403"/>
      <c r="AU45" s="1403"/>
      <c r="AV45" s="1404"/>
      <c r="AW45" s="1404"/>
      <c r="BI45" s="53"/>
      <c r="BJ45" s="53"/>
    </row>
    <row r="46" spans="1:80" ht="42.75" customHeight="1" x14ac:dyDescent="0.35">
      <c r="A46" s="54"/>
      <c r="B46" s="162"/>
      <c r="C46" s="162"/>
      <c r="D46" s="162"/>
      <c r="E46" s="162"/>
      <c r="F46" s="162"/>
      <c r="G46" s="164"/>
      <c r="H46" s="1411"/>
      <c r="I46" s="1411"/>
      <c r="J46" s="1411"/>
      <c r="K46" s="168"/>
      <c r="L46" s="165"/>
      <c r="M46" s="165"/>
      <c r="N46" s="165"/>
      <c r="O46" s="165"/>
      <c r="P46" s="165"/>
      <c r="Q46" s="1407"/>
      <c r="R46" s="1407"/>
      <c r="S46" s="1407"/>
      <c r="T46" s="1407"/>
      <c r="U46" s="1407"/>
      <c r="V46" s="1407"/>
      <c r="W46" s="165"/>
      <c r="X46" s="1409"/>
      <c r="Y46" s="1409"/>
      <c r="Z46" s="1409"/>
      <c r="AA46" s="1409"/>
      <c r="AB46" s="1409"/>
      <c r="AC46" s="1410"/>
      <c r="AD46" s="1410"/>
      <c r="AE46" s="1410"/>
      <c r="AF46" s="1410"/>
      <c r="AG46" s="1410"/>
      <c r="AH46" s="1410"/>
      <c r="AI46" s="166"/>
      <c r="AJ46" s="1416"/>
      <c r="AK46" s="1416"/>
      <c r="AL46" s="1416"/>
      <c r="AM46" s="1416"/>
      <c r="AN46" s="1416"/>
      <c r="AO46" s="1403"/>
      <c r="AP46" s="1403"/>
      <c r="AQ46" s="1403"/>
      <c r="AR46" s="1403"/>
      <c r="AS46" s="1403"/>
      <c r="AT46" s="1403"/>
      <c r="AU46" s="1403"/>
      <c r="AV46" s="1404"/>
      <c r="AW46" s="1404"/>
      <c r="BI46" s="53"/>
      <c r="BJ46" s="53"/>
    </row>
    <row r="47" spans="1:80" ht="38.25" customHeight="1" x14ac:dyDescent="0.35">
      <c r="A47" s="54"/>
      <c r="B47" s="162"/>
      <c r="C47" s="162"/>
      <c r="D47" s="162"/>
      <c r="E47" s="162"/>
      <c r="F47" s="162"/>
      <c r="G47" s="164"/>
      <c r="H47" s="1412"/>
      <c r="I47" s="1412"/>
      <c r="J47" s="1412"/>
      <c r="K47" s="168"/>
      <c r="L47" s="175"/>
      <c r="M47" s="175"/>
      <c r="N47" s="175"/>
      <c r="O47" s="175"/>
      <c r="P47" s="175"/>
      <c r="Q47" s="1407"/>
      <c r="R47" s="1407"/>
      <c r="S47" s="1407"/>
      <c r="T47" s="1407"/>
      <c r="U47" s="1407"/>
      <c r="V47" s="1407"/>
      <c r="W47" s="176"/>
      <c r="X47" s="1409"/>
      <c r="Y47" s="1409"/>
      <c r="Z47" s="1409"/>
      <c r="AA47" s="1409"/>
      <c r="AB47" s="1409"/>
      <c r="AC47" s="1410"/>
      <c r="AD47" s="1410"/>
      <c r="AE47" s="1410"/>
      <c r="AF47" s="1410"/>
      <c r="AG47" s="1410"/>
      <c r="AH47" s="1410"/>
      <c r="AI47" s="166"/>
      <c r="AJ47" s="1416"/>
      <c r="AK47" s="1416"/>
      <c r="AL47" s="1416"/>
      <c r="AM47" s="1416"/>
      <c r="AN47" s="1416"/>
      <c r="AO47" s="1418"/>
      <c r="AP47" s="1418"/>
      <c r="AQ47" s="1418"/>
      <c r="AR47" s="1418"/>
      <c r="AS47" s="1418"/>
      <c r="AT47" s="1418"/>
      <c r="AU47" s="1418"/>
      <c r="AV47" s="1418"/>
      <c r="AW47" s="1418"/>
      <c r="AX47" s="54"/>
      <c r="AY47" s="54"/>
      <c r="BI47" s="170"/>
      <c r="BJ47" s="170"/>
    </row>
    <row r="48" spans="1:80" ht="60" customHeight="1" x14ac:dyDescent="0.35">
      <c r="H48" s="1412"/>
      <c r="I48" s="1412"/>
      <c r="J48" s="1412"/>
      <c r="L48" s="175"/>
      <c r="M48" s="175"/>
      <c r="N48" s="175"/>
      <c r="O48" s="175"/>
      <c r="P48" s="175"/>
      <c r="Q48" s="1407"/>
      <c r="R48" s="1407"/>
      <c r="S48" s="1407"/>
      <c r="T48" s="1407"/>
      <c r="U48" s="1407"/>
      <c r="V48" s="1407"/>
      <c r="W48" s="176"/>
      <c r="X48" s="1409"/>
      <c r="Y48" s="1409"/>
      <c r="Z48" s="1409"/>
      <c r="AA48" s="1409"/>
      <c r="AB48" s="1409"/>
      <c r="AC48" s="1410"/>
      <c r="AD48" s="1410"/>
      <c r="AE48" s="1410"/>
      <c r="AF48" s="1410"/>
      <c r="AG48" s="1410"/>
      <c r="AH48" s="1410"/>
      <c r="AI48" s="166"/>
      <c r="AJ48" s="1416"/>
      <c r="AK48" s="1416"/>
      <c r="AL48" s="1416"/>
      <c r="AM48" s="1416"/>
      <c r="AN48" s="1416"/>
      <c r="AO48" s="1418"/>
      <c r="AP48" s="1418"/>
      <c r="AQ48" s="1418"/>
      <c r="AR48" s="1418"/>
      <c r="AS48" s="1418"/>
      <c r="AT48" s="1418"/>
      <c r="AU48" s="1418"/>
      <c r="AV48" s="1418"/>
      <c r="AW48" s="1418"/>
      <c r="AX48" s="54"/>
      <c r="AY48" s="54"/>
      <c r="BI48" s="170"/>
      <c r="BJ48" s="170"/>
    </row>
    <row r="49" spans="1:60" ht="15" customHeight="1" x14ac:dyDescent="0.35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71"/>
      <c r="AA49" s="171"/>
      <c r="AB49" s="171"/>
      <c r="AC49" s="171"/>
      <c r="AD49" s="171"/>
      <c r="AE49" s="171"/>
      <c r="AF49" s="171"/>
      <c r="AG49" s="171"/>
      <c r="AH49" s="171"/>
      <c r="AI49" s="171"/>
      <c r="AJ49" s="171"/>
      <c r="AK49" s="171"/>
      <c r="AL49" s="171"/>
      <c r="AM49" s="171"/>
      <c r="AN49" s="171"/>
      <c r="AO49" s="172"/>
      <c r="AP49" s="172"/>
      <c r="AQ49" s="172"/>
      <c r="AR49" s="172"/>
      <c r="AS49" s="172"/>
      <c r="AT49" s="172"/>
      <c r="AU49" s="172"/>
      <c r="AV49" s="172"/>
      <c r="AW49" s="172"/>
    </row>
    <row r="50" spans="1:60" ht="15.75" customHeight="1" thickBot="1" x14ac:dyDescent="0.4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171"/>
      <c r="M50" s="171"/>
      <c r="N50" s="171"/>
      <c r="O50" s="171"/>
      <c r="P50" s="171"/>
      <c r="Q50" s="171"/>
      <c r="R50" s="171"/>
      <c r="S50" s="171"/>
      <c r="T50" s="171"/>
      <c r="U50" s="171"/>
      <c r="V50" s="171"/>
      <c r="W50" s="171"/>
      <c r="X50" s="173"/>
      <c r="Y50" s="171"/>
      <c r="Z50" s="171"/>
      <c r="AA50" s="171"/>
      <c r="AB50" s="171"/>
      <c r="AC50" s="171"/>
      <c r="AD50" s="171"/>
      <c r="AE50" s="171"/>
      <c r="AF50" s="171"/>
      <c r="AG50" s="171"/>
      <c r="AH50" s="171"/>
      <c r="AI50" s="171"/>
      <c r="AJ50" s="171"/>
      <c r="AK50" s="171"/>
      <c r="AL50" s="171"/>
      <c r="AM50" s="171"/>
      <c r="AN50" s="171"/>
      <c r="AO50" s="172"/>
      <c r="AP50" s="172"/>
      <c r="AQ50" s="172"/>
      <c r="AR50" s="172"/>
      <c r="AS50" s="172"/>
      <c r="AT50" s="172"/>
      <c r="AU50" s="172"/>
      <c r="AV50" s="172"/>
      <c r="AW50" s="172"/>
    </row>
    <row r="51" spans="1:60" ht="15.75" thickTop="1" x14ac:dyDescent="0.25">
      <c r="J51" t="s">
        <v>16</v>
      </c>
      <c r="AD51" s="775">
        <v>6.0958000000000006</v>
      </c>
      <c r="AE51" s="776"/>
      <c r="AF51" s="776"/>
      <c r="AG51" s="776"/>
      <c r="AH51" s="777"/>
      <c r="AL51" s="727" t="s">
        <v>122</v>
      </c>
      <c r="AM51" s="727"/>
      <c r="AN51" s="727"/>
      <c r="AO51" s="727" t="s">
        <v>123</v>
      </c>
      <c r="AP51" s="727"/>
      <c r="AQ51" s="727"/>
      <c r="AR51" s="727" t="s">
        <v>124</v>
      </c>
      <c r="AS51" s="727"/>
      <c r="AT51" s="727" t="s">
        <v>125</v>
      </c>
      <c r="AU51" s="727"/>
      <c r="AY51" s="739" t="s">
        <v>126</v>
      </c>
      <c r="AZ51" s="740"/>
      <c r="BA51" s="740"/>
      <c r="BB51" s="740"/>
      <c r="BC51" s="740"/>
      <c r="BD51" s="740"/>
      <c r="BE51" s="740"/>
      <c r="BF51" s="740"/>
      <c r="BG51" s="740"/>
      <c r="BH51" s="741"/>
    </row>
    <row r="52" spans="1:60" x14ac:dyDescent="0.25">
      <c r="AD52" s="778"/>
      <c r="AE52" s="779"/>
      <c r="AF52" s="779"/>
      <c r="AG52" s="779"/>
      <c r="AH52" s="780"/>
      <c r="AL52" s="727"/>
      <c r="AM52" s="727"/>
      <c r="AN52" s="727"/>
      <c r="AO52" s="727"/>
      <c r="AP52" s="727"/>
      <c r="AQ52" s="727"/>
      <c r="AR52" s="727"/>
      <c r="AS52" s="727"/>
      <c r="AT52" s="727"/>
      <c r="AU52" s="727"/>
      <c r="AY52" s="750"/>
      <c r="AZ52" s="751"/>
      <c r="BA52" s="751"/>
      <c r="BB52" s="751"/>
      <c r="BC52" s="751"/>
      <c r="BD52" s="751"/>
      <c r="BE52" s="751"/>
      <c r="BF52" s="751"/>
      <c r="BG52" s="751"/>
      <c r="BH52" s="752"/>
    </row>
    <row r="53" spans="1:60" x14ac:dyDescent="0.25">
      <c r="AA53" s="56"/>
      <c r="AD53" s="778"/>
      <c r="AE53" s="779"/>
      <c r="AF53" s="779"/>
      <c r="AG53" s="779"/>
      <c r="AH53" s="780"/>
      <c r="AL53" s="727"/>
      <c r="AM53" s="727"/>
      <c r="AN53" s="727"/>
      <c r="AO53" s="727"/>
      <c r="AP53" s="727"/>
      <c r="AQ53" s="727"/>
      <c r="AR53" s="727"/>
      <c r="AS53" s="727"/>
      <c r="AT53" s="727"/>
      <c r="AU53" s="727"/>
      <c r="AY53" s="742"/>
      <c r="AZ53" s="743"/>
      <c r="BA53" s="743"/>
      <c r="BB53" s="743"/>
      <c r="BC53" s="743"/>
      <c r="BD53" s="743"/>
      <c r="BE53" s="743"/>
      <c r="BF53" s="743"/>
      <c r="BG53" s="743"/>
      <c r="BH53" s="744"/>
    </row>
    <row r="54" spans="1:60" x14ac:dyDescent="0.25">
      <c r="K54" t="s">
        <v>258</v>
      </c>
      <c r="AD54" s="778"/>
      <c r="AE54" s="779"/>
      <c r="AF54" s="779"/>
      <c r="AG54" s="779"/>
      <c r="AH54" s="780"/>
      <c r="AL54" s="774">
        <v>1881</v>
      </c>
      <c r="AM54" s="774"/>
      <c r="AN54" s="774"/>
      <c r="AO54" s="774">
        <f>AT82+AE81</f>
        <v>331</v>
      </c>
      <c r="AP54" s="774"/>
      <c r="AQ54" s="774"/>
      <c r="AR54" s="726">
        <f>AC38</f>
        <v>10.870999999999999</v>
      </c>
      <c r="AS54" s="726"/>
      <c r="AT54" s="726">
        <f>AC38+AO40</f>
        <v>34.870999999999995</v>
      </c>
      <c r="AU54" s="726"/>
      <c r="AY54" s="727" t="s">
        <v>128</v>
      </c>
      <c r="AZ54" s="727"/>
      <c r="BA54" s="727"/>
      <c r="BB54" s="727"/>
      <c r="BC54" s="727"/>
      <c r="BD54" s="727"/>
      <c r="BE54" s="727"/>
      <c r="BF54" s="727"/>
      <c r="BG54" s="727"/>
      <c r="BH54" s="727"/>
    </row>
    <row r="55" spans="1:60" x14ac:dyDescent="0.25">
      <c r="G55" t="s">
        <v>16</v>
      </c>
      <c r="AD55" s="778"/>
      <c r="AE55" s="779"/>
      <c r="AF55" s="779"/>
      <c r="AG55" s="779"/>
      <c r="AH55" s="780"/>
      <c r="AL55" s="774"/>
      <c r="AM55" s="774"/>
      <c r="AN55" s="774"/>
      <c r="AO55" s="774"/>
      <c r="AP55" s="774"/>
      <c r="AQ55" s="774"/>
      <c r="AR55" s="726"/>
      <c r="AS55" s="726"/>
      <c r="AT55" s="726"/>
      <c r="AU55" s="726"/>
      <c r="AY55" s="727"/>
      <c r="AZ55" s="727"/>
      <c r="BA55" s="727"/>
      <c r="BB55" s="727"/>
      <c r="BC55" s="727"/>
      <c r="BD55" s="727"/>
      <c r="BE55" s="727"/>
      <c r="BF55" s="727"/>
      <c r="BG55" s="727"/>
      <c r="BH55" s="727"/>
    </row>
    <row r="56" spans="1:60" ht="15" customHeight="1" x14ac:dyDescent="0.25">
      <c r="AD56" s="778"/>
      <c r="AE56" s="779"/>
      <c r="AF56" s="779"/>
      <c r="AG56" s="779"/>
      <c r="AH56" s="780"/>
      <c r="AL56" s="774"/>
      <c r="AM56" s="774"/>
      <c r="AN56" s="774"/>
      <c r="AO56" s="774"/>
      <c r="AP56" s="774"/>
      <c r="AQ56" s="774"/>
      <c r="AR56" s="726"/>
      <c r="AS56" s="726"/>
      <c r="AT56" s="726"/>
      <c r="AU56" s="726"/>
      <c r="AY56" s="728">
        <f>AR54/((60*3.1415/64)*(AT82/3.281))+((60*3.1415/50)*(AE81/3.281))</f>
        <v>3.6588060783273778E-2</v>
      </c>
      <c r="AZ56" s="729"/>
      <c r="BA56" s="729"/>
      <c r="BB56" s="729"/>
      <c r="BC56" s="729"/>
      <c r="BD56" s="729"/>
      <c r="BE56" s="729"/>
      <c r="BF56" s="729"/>
      <c r="BG56" s="729"/>
      <c r="BH56" s="730"/>
    </row>
    <row r="57" spans="1:60" ht="15.75" customHeight="1" thickBot="1" x14ac:dyDescent="0.3">
      <c r="AD57" s="781"/>
      <c r="AE57" s="782"/>
      <c r="AF57" s="782"/>
      <c r="AG57" s="782"/>
      <c r="AH57" s="783"/>
      <c r="AL57" s="774"/>
      <c r="AM57" s="774"/>
      <c r="AN57" s="774"/>
      <c r="AO57" s="774"/>
      <c r="AP57" s="774"/>
      <c r="AQ57" s="774"/>
      <c r="AR57" s="726"/>
      <c r="AS57" s="726"/>
      <c r="AT57" s="726"/>
      <c r="AU57" s="726"/>
      <c r="AY57" s="731"/>
      <c r="AZ57" s="732"/>
      <c r="BA57" s="732"/>
      <c r="BB57" s="732"/>
      <c r="BC57" s="732"/>
      <c r="BD57" s="732"/>
      <c r="BE57" s="732"/>
      <c r="BF57" s="732"/>
      <c r="BG57" s="732"/>
      <c r="BH57" s="733"/>
    </row>
    <row r="58" spans="1:60" ht="15.75" customHeight="1" thickTop="1" x14ac:dyDescent="0.25">
      <c r="AO58" s="1424">
        <f>((60*3.1415/64)*(AT82))+((60*3.1415/50)*(AE81))</f>
        <v>974.84671875000004</v>
      </c>
      <c r="AP58" s="1425"/>
      <c r="AQ58" s="1426"/>
      <c r="AY58" s="734"/>
      <c r="AZ58" s="735"/>
      <c r="BA58" s="735"/>
      <c r="BB58" s="735"/>
      <c r="BC58" s="735"/>
      <c r="BD58" s="735"/>
      <c r="BE58" s="735"/>
      <c r="BF58" s="735"/>
      <c r="BG58" s="735"/>
      <c r="BH58" s="736"/>
    </row>
    <row r="59" spans="1:60" x14ac:dyDescent="0.25">
      <c r="AO59" s="1427"/>
      <c r="AP59" s="1428"/>
      <c r="AQ59" s="1429"/>
      <c r="AY59" s="739" t="s">
        <v>129</v>
      </c>
      <c r="AZ59" s="740"/>
      <c r="BA59" s="740"/>
      <c r="BB59" s="740"/>
      <c r="BC59" s="740"/>
      <c r="BD59" s="740"/>
      <c r="BE59" s="740"/>
      <c r="BF59" s="740"/>
      <c r="BG59" s="740"/>
      <c r="BH59" s="741"/>
    </row>
    <row r="60" spans="1:60" x14ac:dyDescent="0.25">
      <c r="V60" s="1443" t="s">
        <v>808</v>
      </c>
      <c r="W60" s="1443"/>
      <c r="X60" s="1444"/>
      <c r="Y60" s="1419">
        <v>80</v>
      </c>
      <c r="Z60" s="1419"/>
      <c r="AA60" s="1419"/>
      <c r="AB60" s="1420">
        <v>0</v>
      </c>
      <c r="AC60" s="1420"/>
      <c r="AD60" s="1420"/>
      <c r="AE60" s="1421">
        <f>AB60*Y60</f>
        <v>0</v>
      </c>
      <c r="AF60" s="1422"/>
      <c r="AG60" s="1422"/>
      <c r="AH60" s="1423"/>
      <c r="AY60" s="742"/>
      <c r="AZ60" s="743"/>
      <c r="BA60" s="743"/>
      <c r="BB60" s="743"/>
      <c r="BC60" s="743"/>
      <c r="BD60" s="743"/>
      <c r="BE60" s="743"/>
      <c r="BF60" s="743"/>
      <c r="BG60" s="743"/>
      <c r="BH60" s="744"/>
    </row>
    <row r="61" spans="1:60" x14ac:dyDescent="0.25">
      <c r="V61" s="1443"/>
      <c r="W61" s="1443"/>
      <c r="X61" s="1444"/>
      <c r="Y61" s="1419"/>
      <c r="Z61" s="1419"/>
      <c r="AA61" s="1419"/>
      <c r="AB61" s="1420"/>
      <c r="AC61" s="1420"/>
      <c r="AD61" s="1420"/>
      <c r="AE61" s="1421"/>
      <c r="AF61" s="1422"/>
      <c r="AG61" s="1422"/>
      <c r="AH61" s="1423"/>
      <c r="AK61" s="1443" t="s">
        <v>807</v>
      </c>
      <c r="AL61" s="1443"/>
      <c r="AM61" s="1444"/>
      <c r="AN61" s="1419">
        <v>80</v>
      </c>
      <c r="AO61" s="1419"/>
      <c r="AP61" s="1419"/>
      <c r="AQ61" s="1420">
        <v>0</v>
      </c>
      <c r="AR61" s="1420"/>
      <c r="AS61" s="1420"/>
      <c r="AT61" s="1421">
        <f>AQ61*AN61</f>
        <v>0</v>
      </c>
      <c r="AU61" s="1422"/>
      <c r="AV61" s="1422"/>
      <c r="AW61" s="1423"/>
      <c r="AY61" s="739" t="s">
        <v>130</v>
      </c>
      <c r="AZ61" s="740"/>
      <c r="BA61" s="740"/>
      <c r="BB61" s="740"/>
      <c r="BC61" s="740"/>
      <c r="BD61" s="740"/>
      <c r="BE61" s="740"/>
      <c r="BF61" s="740"/>
      <c r="BG61" s="740"/>
      <c r="BH61" s="741"/>
    </row>
    <row r="62" spans="1:60" x14ac:dyDescent="0.25">
      <c r="V62" s="1443"/>
      <c r="W62" s="1443"/>
      <c r="X62" s="1444"/>
      <c r="Y62" s="1419"/>
      <c r="Z62" s="1419"/>
      <c r="AA62" s="1419"/>
      <c r="AB62" s="1420"/>
      <c r="AC62" s="1420"/>
      <c r="AD62" s="1420"/>
      <c r="AE62" s="1421"/>
      <c r="AF62" s="1422"/>
      <c r="AG62" s="1422"/>
      <c r="AH62" s="1423"/>
      <c r="AK62" s="1443"/>
      <c r="AL62" s="1443"/>
      <c r="AM62" s="1444"/>
      <c r="AN62" s="1419"/>
      <c r="AO62" s="1419"/>
      <c r="AP62" s="1419"/>
      <c r="AQ62" s="1420"/>
      <c r="AR62" s="1420"/>
      <c r="AS62" s="1420"/>
      <c r="AT62" s="1421"/>
      <c r="AU62" s="1422"/>
      <c r="AV62" s="1422"/>
      <c r="AW62" s="1423"/>
      <c r="AY62" s="750"/>
      <c r="AZ62" s="751"/>
      <c r="BA62" s="751"/>
      <c r="BB62" s="751"/>
      <c r="BC62" s="751"/>
      <c r="BD62" s="751"/>
      <c r="BE62" s="751"/>
      <c r="BF62" s="751"/>
      <c r="BG62" s="751"/>
      <c r="BH62" s="752"/>
    </row>
    <row r="63" spans="1:60" ht="15" customHeight="1" x14ac:dyDescent="0.25">
      <c r="V63" s="1443"/>
      <c r="W63" s="1443"/>
      <c r="X63" s="1444"/>
      <c r="Y63" s="1419"/>
      <c r="Z63" s="1419"/>
      <c r="AA63" s="1419"/>
      <c r="AB63" s="1420"/>
      <c r="AC63" s="1420"/>
      <c r="AD63" s="1420"/>
      <c r="AE63" s="1421"/>
      <c r="AF63" s="1422"/>
      <c r="AG63" s="1422"/>
      <c r="AH63" s="1423"/>
      <c r="AK63" s="1443"/>
      <c r="AL63" s="1443"/>
      <c r="AM63" s="1444"/>
      <c r="AN63" s="1419"/>
      <c r="AO63" s="1419"/>
      <c r="AP63" s="1419"/>
      <c r="AQ63" s="1420"/>
      <c r="AR63" s="1420"/>
      <c r="AS63" s="1420"/>
      <c r="AT63" s="1421"/>
      <c r="AU63" s="1422"/>
      <c r="AV63" s="1422"/>
      <c r="AW63" s="1423"/>
      <c r="AY63" s="750"/>
      <c r="AZ63" s="751"/>
      <c r="BA63" s="751"/>
      <c r="BB63" s="751"/>
      <c r="BC63" s="751"/>
      <c r="BD63" s="751"/>
      <c r="BE63" s="751"/>
      <c r="BF63" s="751"/>
      <c r="BG63" s="751"/>
      <c r="BH63" s="752"/>
    </row>
    <row r="64" spans="1:60" ht="15" customHeight="1" x14ac:dyDescent="0.25">
      <c r="V64" s="1443"/>
      <c r="W64" s="1443"/>
      <c r="X64" s="1444"/>
      <c r="Y64" s="1419"/>
      <c r="Z64" s="1419"/>
      <c r="AA64" s="1419"/>
      <c r="AB64" s="1420"/>
      <c r="AC64" s="1420"/>
      <c r="AD64" s="1420"/>
      <c r="AE64" s="1421"/>
      <c r="AF64" s="1422"/>
      <c r="AG64" s="1422"/>
      <c r="AH64" s="1423"/>
      <c r="AK64" s="1443"/>
      <c r="AL64" s="1443"/>
      <c r="AM64" s="1444"/>
      <c r="AN64" s="1419">
        <v>82</v>
      </c>
      <c r="AO64" s="1419"/>
      <c r="AP64" s="1419"/>
      <c r="AQ64" s="1420">
        <v>1</v>
      </c>
      <c r="AR64" s="1420"/>
      <c r="AS64" s="1420"/>
      <c r="AT64" s="1421">
        <f t="shared" ref="AT64" si="14">AQ64*AN64</f>
        <v>82</v>
      </c>
      <c r="AU64" s="1422"/>
      <c r="AV64" s="1422"/>
      <c r="AW64" s="1423"/>
      <c r="AY64" s="742"/>
      <c r="AZ64" s="743"/>
      <c r="BA64" s="743"/>
      <c r="BB64" s="743"/>
      <c r="BC64" s="743"/>
      <c r="BD64" s="743"/>
      <c r="BE64" s="743"/>
      <c r="BF64" s="743"/>
      <c r="BG64" s="743"/>
      <c r="BH64" s="744"/>
    </row>
    <row r="65" spans="22:60" ht="15" customHeight="1" x14ac:dyDescent="0.25">
      <c r="V65" s="1443"/>
      <c r="W65" s="1443"/>
      <c r="X65" s="1444"/>
      <c r="Y65" s="1419"/>
      <c r="Z65" s="1419"/>
      <c r="AA65" s="1419"/>
      <c r="AB65" s="1420"/>
      <c r="AC65" s="1420"/>
      <c r="AD65" s="1420"/>
      <c r="AE65" s="1421"/>
      <c r="AF65" s="1422"/>
      <c r="AG65" s="1422"/>
      <c r="AH65" s="1423"/>
      <c r="AK65" s="1443"/>
      <c r="AL65" s="1443"/>
      <c r="AM65" s="1444"/>
      <c r="AN65" s="1419"/>
      <c r="AO65" s="1419"/>
      <c r="AP65" s="1419"/>
      <c r="AQ65" s="1420"/>
      <c r="AR65" s="1420"/>
      <c r="AS65" s="1420"/>
      <c r="AT65" s="1421"/>
      <c r="AU65" s="1422"/>
      <c r="AV65" s="1422"/>
      <c r="AW65" s="1423"/>
      <c r="AY65" s="728">
        <f>AT54/((60*3.1415/64)*(AT82/3.281))+((60*3.1415/50)*(AE81/3.281))</f>
        <v>0.11736383659033575</v>
      </c>
      <c r="AZ65" s="729"/>
      <c r="BA65" s="729"/>
      <c r="BB65" s="729"/>
      <c r="BC65" s="729"/>
      <c r="BD65" s="729"/>
      <c r="BE65" s="729"/>
      <c r="BF65" s="729"/>
      <c r="BG65" s="729"/>
      <c r="BH65" s="730"/>
    </row>
    <row r="66" spans="22:60" ht="15" customHeight="1" x14ac:dyDescent="0.25">
      <c r="V66" s="1443"/>
      <c r="W66" s="1443"/>
      <c r="X66" s="1444"/>
      <c r="Y66" s="1419">
        <v>83</v>
      </c>
      <c r="Z66" s="1419"/>
      <c r="AA66" s="1419"/>
      <c r="AB66" s="1420">
        <v>0</v>
      </c>
      <c r="AC66" s="1420"/>
      <c r="AD66" s="1420"/>
      <c r="AE66" s="1421">
        <f t="shared" ref="AE66" si="15">AB66*Y66</f>
        <v>0</v>
      </c>
      <c r="AF66" s="1422"/>
      <c r="AG66" s="1422"/>
      <c r="AH66" s="1423"/>
      <c r="AK66" s="1443"/>
      <c r="AL66" s="1443"/>
      <c r="AM66" s="1444"/>
      <c r="AN66" s="1419"/>
      <c r="AO66" s="1419"/>
      <c r="AP66" s="1419"/>
      <c r="AQ66" s="1420"/>
      <c r="AR66" s="1420"/>
      <c r="AS66" s="1420"/>
      <c r="AT66" s="1421"/>
      <c r="AU66" s="1422"/>
      <c r="AV66" s="1422"/>
      <c r="AW66" s="1423"/>
      <c r="AY66" s="731"/>
      <c r="AZ66" s="732"/>
      <c r="BA66" s="732"/>
      <c r="BB66" s="732"/>
      <c r="BC66" s="732"/>
      <c r="BD66" s="732"/>
      <c r="BE66" s="732"/>
      <c r="BF66" s="732"/>
      <c r="BG66" s="732"/>
      <c r="BH66" s="733"/>
    </row>
    <row r="67" spans="22:60" ht="15" customHeight="1" x14ac:dyDescent="0.25">
      <c r="V67" s="1443"/>
      <c r="W67" s="1443"/>
      <c r="X67" s="1444"/>
      <c r="Y67" s="1419"/>
      <c r="Z67" s="1419"/>
      <c r="AA67" s="1419"/>
      <c r="AB67" s="1420"/>
      <c r="AC67" s="1420"/>
      <c r="AD67" s="1420"/>
      <c r="AE67" s="1421"/>
      <c r="AF67" s="1422"/>
      <c r="AG67" s="1422"/>
      <c r="AH67" s="1423"/>
      <c r="AK67" s="1443"/>
      <c r="AL67" s="1443"/>
      <c r="AM67" s="1444"/>
      <c r="AN67" s="1419">
        <v>83</v>
      </c>
      <c r="AO67" s="1419"/>
      <c r="AP67" s="1419"/>
      <c r="AQ67" s="1420">
        <v>3</v>
      </c>
      <c r="AR67" s="1420"/>
      <c r="AS67" s="1420"/>
      <c r="AT67" s="1421">
        <f t="shared" ref="AT67" si="16">AQ67*AN67</f>
        <v>249</v>
      </c>
      <c r="AU67" s="1422"/>
      <c r="AV67" s="1422"/>
      <c r="AW67" s="1423"/>
      <c r="AY67" s="731"/>
      <c r="AZ67" s="732"/>
      <c r="BA67" s="732"/>
      <c r="BB67" s="732"/>
      <c r="BC67" s="732"/>
      <c r="BD67" s="732"/>
      <c r="BE67" s="732"/>
      <c r="BF67" s="732"/>
      <c r="BG67" s="732"/>
      <c r="BH67" s="733"/>
    </row>
    <row r="68" spans="22:60" ht="15" customHeight="1" x14ac:dyDescent="0.25">
      <c r="V68" s="1443"/>
      <c r="W68" s="1443"/>
      <c r="X68" s="1444"/>
      <c r="Y68" s="1419"/>
      <c r="Z68" s="1419"/>
      <c r="AA68" s="1419"/>
      <c r="AB68" s="1420"/>
      <c r="AC68" s="1420"/>
      <c r="AD68" s="1420"/>
      <c r="AE68" s="1421"/>
      <c r="AF68" s="1422"/>
      <c r="AG68" s="1422"/>
      <c r="AH68" s="1423"/>
      <c r="AK68" s="1443"/>
      <c r="AL68" s="1443"/>
      <c r="AM68" s="1444"/>
      <c r="AN68" s="1419"/>
      <c r="AO68" s="1419"/>
      <c r="AP68" s="1419"/>
      <c r="AQ68" s="1420"/>
      <c r="AR68" s="1420"/>
      <c r="AS68" s="1420"/>
      <c r="AT68" s="1421"/>
      <c r="AU68" s="1422"/>
      <c r="AV68" s="1422"/>
      <c r="AW68" s="1423"/>
      <c r="AY68" s="731"/>
      <c r="AZ68" s="732"/>
      <c r="BA68" s="732"/>
      <c r="BB68" s="732"/>
      <c r="BC68" s="732"/>
      <c r="BD68" s="732"/>
      <c r="BE68" s="732"/>
      <c r="BF68" s="732"/>
      <c r="BG68" s="732"/>
      <c r="BH68" s="733"/>
    </row>
    <row r="69" spans="22:60" ht="15" customHeight="1" x14ac:dyDescent="0.25">
      <c r="V69" s="1443"/>
      <c r="W69" s="1443"/>
      <c r="X69" s="1444"/>
      <c r="Y69" s="1419">
        <v>84</v>
      </c>
      <c r="Z69" s="1419"/>
      <c r="AA69" s="1419"/>
      <c r="AB69" s="1420">
        <v>0</v>
      </c>
      <c r="AC69" s="1420"/>
      <c r="AD69" s="1420"/>
      <c r="AE69" s="1421">
        <f t="shared" ref="AE69" si="17">AB69*Y69</f>
        <v>0</v>
      </c>
      <c r="AF69" s="1422"/>
      <c r="AG69" s="1422"/>
      <c r="AH69" s="1423"/>
      <c r="AK69" s="1443"/>
      <c r="AL69" s="1443"/>
      <c r="AM69" s="1444"/>
      <c r="AN69" s="1419"/>
      <c r="AO69" s="1419"/>
      <c r="AP69" s="1419"/>
      <c r="AQ69" s="1420"/>
      <c r="AR69" s="1420"/>
      <c r="AS69" s="1420"/>
      <c r="AT69" s="1421"/>
      <c r="AU69" s="1422"/>
      <c r="AV69" s="1422"/>
      <c r="AW69" s="1423"/>
      <c r="AY69" s="734"/>
      <c r="AZ69" s="735"/>
      <c r="BA69" s="735"/>
      <c r="BB69" s="735"/>
      <c r="BC69" s="735"/>
      <c r="BD69" s="735"/>
      <c r="BE69" s="735"/>
      <c r="BF69" s="735"/>
      <c r="BG69" s="735"/>
      <c r="BH69" s="736"/>
    </row>
    <row r="70" spans="22:60" ht="15" customHeight="1" x14ac:dyDescent="0.25">
      <c r="V70" s="1443"/>
      <c r="W70" s="1443"/>
      <c r="X70" s="1444"/>
      <c r="Y70" s="1419"/>
      <c r="Z70" s="1419"/>
      <c r="AA70" s="1419"/>
      <c r="AB70" s="1420"/>
      <c r="AC70" s="1420"/>
      <c r="AD70" s="1420"/>
      <c r="AE70" s="1421"/>
      <c r="AF70" s="1422"/>
      <c r="AG70" s="1422"/>
      <c r="AH70" s="1423"/>
      <c r="AK70" s="1443"/>
      <c r="AL70" s="1443"/>
      <c r="AM70" s="1444"/>
      <c r="AN70" s="1419">
        <v>84</v>
      </c>
      <c r="AO70" s="1419"/>
      <c r="AP70" s="1419"/>
      <c r="AQ70" s="1420"/>
      <c r="AR70" s="1420"/>
      <c r="AS70" s="1420"/>
      <c r="AT70" s="1421">
        <f t="shared" ref="AT70" si="18">AQ70*AN70</f>
        <v>0</v>
      </c>
      <c r="AU70" s="1422"/>
      <c r="AV70" s="1422"/>
      <c r="AW70" s="1423"/>
    </row>
    <row r="71" spans="22:60" ht="15" customHeight="1" x14ac:dyDescent="0.25">
      <c r="V71" s="1443"/>
      <c r="W71" s="1443"/>
      <c r="X71" s="1444"/>
      <c r="Y71" s="1419"/>
      <c r="Z71" s="1419"/>
      <c r="AA71" s="1419"/>
      <c r="AB71" s="1420"/>
      <c r="AC71" s="1420"/>
      <c r="AD71" s="1420"/>
      <c r="AE71" s="1421"/>
      <c r="AF71" s="1422"/>
      <c r="AG71" s="1422"/>
      <c r="AH71" s="1423"/>
      <c r="AK71" s="1443"/>
      <c r="AL71" s="1443"/>
      <c r="AM71" s="1444"/>
      <c r="AN71" s="1419"/>
      <c r="AO71" s="1419"/>
      <c r="AP71" s="1419"/>
      <c r="AQ71" s="1420"/>
      <c r="AR71" s="1420"/>
      <c r="AS71" s="1420"/>
      <c r="AT71" s="1421"/>
      <c r="AU71" s="1422"/>
      <c r="AV71" s="1422"/>
      <c r="AW71" s="1423"/>
    </row>
    <row r="72" spans="22:60" ht="15" customHeight="1" x14ac:dyDescent="0.25">
      <c r="V72" s="1443"/>
      <c r="W72" s="1443"/>
      <c r="X72" s="1444"/>
      <c r="Y72" s="1419"/>
      <c r="Z72" s="1419"/>
      <c r="AA72" s="1419"/>
      <c r="AB72" s="1420"/>
      <c r="AC72" s="1420"/>
      <c r="AD72" s="1420"/>
      <c r="AE72" s="1421"/>
      <c r="AF72" s="1422"/>
      <c r="AG72" s="1422"/>
      <c r="AH72" s="1423"/>
      <c r="AK72" s="1443"/>
      <c r="AL72" s="1443"/>
      <c r="AM72" s="1444"/>
      <c r="AN72" s="1419"/>
      <c r="AO72" s="1419"/>
      <c r="AP72" s="1419"/>
      <c r="AQ72" s="1420"/>
      <c r="AR72" s="1420"/>
      <c r="AS72" s="1420"/>
      <c r="AT72" s="1421"/>
      <c r="AU72" s="1422"/>
      <c r="AV72" s="1422"/>
      <c r="AW72" s="1423"/>
    </row>
    <row r="73" spans="22:60" ht="15" customHeight="1" x14ac:dyDescent="0.25">
      <c r="V73" s="1443"/>
      <c r="W73" s="1443"/>
      <c r="X73" s="1444"/>
      <c r="Y73" s="1419"/>
      <c r="Z73" s="1419"/>
      <c r="AA73" s="1419"/>
      <c r="AB73" s="1420"/>
      <c r="AC73" s="1420"/>
      <c r="AD73" s="1420"/>
      <c r="AE73" s="1421"/>
      <c r="AF73" s="1422"/>
      <c r="AG73" s="1422"/>
      <c r="AH73" s="1423"/>
      <c r="AK73" s="1443"/>
      <c r="AL73" s="1443"/>
      <c r="AM73" s="1444"/>
      <c r="AN73" s="1419"/>
      <c r="AO73" s="1419"/>
      <c r="AP73" s="1419"/>
      <c r="AQ73" s="1420"/>
      <c r="AR73" s="1420"/>
      <c r="AS73" s="1420"/>
      <c r="AT73" s="1421"/>
      <c r="AU73" s="1422"/>
      <c r="AV73" s="1422"/>
      <c r="AW73" s="1423"/>
    </row>
    <row r="74" spans="22:60" ht="15" customHeight="1" x14ac:dyDescent="0.25">
      <c r="V74" s="1443"/>
      <c r="W74" s="1443"/>
      <c r="X74" s="1444"/>
      <c r="Y74" s="1419"/>
      <c r="Z74" s="1419"/>
      <c r="AA74" s="1419"/>
      <c r="AB74" s="1420"/>
      <c r="AC74" s="1420"/>
      <c r="AD74" s="1420"/>
      <c r="AE74" s="1421"/>
      <c r="AF74" s="1422"/>
      <c r="AG74" s="1422"/>
      <c r="AH74" s="1423"/>
      <c r="AK74" s="1443"/>
      <c r="AL74" s="1443"/>
      <c r="AM74" s="1444"/>
      <c r="AN74" s="1419"/>
      <c r="AO74" s="1419"/>
      <c r="AP74" s="1419"/>
      <c r="AQ74" s="1420"/>
      <c r="AR74" s="1420"/>
      <c r="AS74" s="1420"/>
      <c r="AT74" s="1421"/>
      <c r="AU74" s="1422"/>
      <c r="AV74" s="1422"/>
      <c r="AW74" s="1423"/>
    </row>
    <row r="75" spans="22:60" ht="15" customHeight="1" x14ac:dyDescent="0.25">
      <c r="V75" s="1443"/>
      <c r="W75" s="1443"/>
      <c r="X75" s="1444"/>
      <c r="Y75" s="1419"/>
      <c r="Z75" s="1419"/>
      <c r="AA75" s="1419"/>
      <c r="AB75" s="1420"/>
      <c r="AC75" s="1420"/>
      <c r="AD75" s="1420"/>
      <c r="AE75" s="1421"/>
      <c r="AF75" s="1422"/>
      <c r="AG75" s="1422"/>
      <c r="AH75" s="1423"/>
      <c r="AK75" s="1443"/>
      <c r="AL75" s="1443"/>
      <c r="AM75" s="1444"/>
      <c r="AN75" s="1419"/>
      <c r="AO75" s="1419"/>
      <c r="AP75" s="1419"/>
      <c r="AQ75" s="1420"/>
      <c r="AR75" s="1420"/>
      <c r="AS75" s="1420"/>
      <c r="AT75" s="1421"/>
      <c r="AU75" s="1422"/>
      <c r="AV75" s="1422"/>
      <c r="AW75" s="1423"/>
    </row>
    <row r="76" spans="22:60" ht="15" customHeight="1" x14ac:dyDescent="0.25">
      <c r="V76" s="1443"/>
      <c r="W76" s="1443"/>
      <c r="X76" s="1444"/>
      <c r="Y76" s="1419"/>
      <c r="Z76" s="1419"/>
      <c r="AA76" s="1419"/>
      <c r="AB76" s="1420"/>
      <c r="AC76" s="1420"/>
      <c r="AD76" s="1420"/>
      <c r="AE76" s="1421"/>
      <c r="AF76" s="1422"/>
      <c r="AG76" s="1422"/>
      <c r="AH76" s="1423"/>
      <c r="AK76" s="1443"/>
      <c r="AL76" s="1443"/>
      <c r="AM76" s="1444"/>
      <c r="AN76" s="1419"/>
      <c r="AO76" s="1419"/>
      <c r="AP76" s="1419"/>
      <c r="AQ76" s="1420"/>
      <c r="AR76" s="1420"/>
      <c r="AS76" s="1420"/>
      <c r="AT76" s="1421"/>
      <c r="AU76" s="1422"/>
      <c r="AV76" s="1422"/>
      <c r="AW76" s="1423"/>
    </row>
    <row r="77" spans="22:60" ht="15" customHeight="1" x14ac:dyDescent="0.25">
      <c r="V77" s="1443"/>
      <c r="W77" s="1443"/>
      <c r="X77" s="1444"/>
      <c r="Y77" s="1419"/>
      <c r="Z77" s="1419"/>
      <c r="AA77" s="1419"/>
      <c r="AB77" s="1420"/>
      <c r="AC77" s="1420"/>
      <c r="AD77" s="1420"/>
      <c r="AE77" s="1421"/>
      <c r="AF77" s="1422"/>
      <c r="AG77" s="1422"/>
      <c r="AH77" s="1423"/>
      <c r="AK77" s="1443"/>
      <c r="AL77" s="1443"/>
      <c r="AM77" s="1444"/>
      <c r="AN77" s="1419"/>
      <c r="AO77" s="1419"/>
      <c r="AP77" s="1419"/>
      <c r="AQ77" s="1420"/>
      <c r="AR77" s="1420"/>
      <c r="AS77" s="1420"/>
      <c r="AT77" s="1421"/>
      <c r="AU77" s="1422"/>
      <c r="AV77" s="1422"/>
      <c r="AW77" s="1423"/>
    </row>
    <row r="78" spans="22:60" ht="15" customHeight="1" x14ac:dyDescent="0.25">
      <c r="V78" s="1443"/>
      <c r="W78" s="1443"/>
      <c r="X78" s="1444"/>
      <c r="Y78" s="1419"/>
      <c r="Z78" s="1419"/>
      <c r="AA78" s="1419"/>
      <c r="AB78" s="1420"/>
      <c r="AC78" s="1420"/>
      <c r="AD78" s="1420"/>
      <c r="AE78" s="1421"/>
      <c r="AF78" s="1422"/>
      <c r="AG78" s="1422"/>
      <c r="AH78" s="1423"/>
      <c r="AK78" s="1443"/>
      <c r="AL78" s="1443"/>
      <c r="AM78" s="1444"/>
      <c r="AN78" s="1419"/>
      <c r="AO78" s="1419"/>
      <c r="AP78" s="1419"/>
      <c r="AQ78" s="1420"/>
      <c r="AR78" s="1420"/>
      <c r="AS78" s="1420"/>
      <c r="AT78" s="1421"/>
      <c r="AU78" s="1422"/>
      <c r="AV78" s="1422"/>
      <c r="AW78" s="1423"/>
    </row>
    <row r="79" spans="22:60" ht="15" customHeight="1" x14ac:dyDescent="0.25">
      <c r="V79" s="1443"/>
      <c r="W79" s="1443"/>
      <c r="X79" s="1444"/>
      <c r="Y79" s="1419"/>
      <c r="Z79" s="1419"/>
      <c r="AA79" s="1419"/>
      <c r="AB79" s="1420"/>
      <c r="AC79" s="1420"/>
      <c r="AD79" s="1420"/>
      <c r="AE79" s="1421"/>
      <c r="AF79" s="1422"/>
      <c r="AG79" s="1422"/>
      <c r="AH79" s="1423"/>
      <c r="AK79" s="1443"/>
      <c r="AL79" s="1443"/>
      <c r="AM79" s="1444"/>
      <c r="AN79" s="1419"/>
      <c r="AO79" s="1419"/>
      <c r="AP79" s="1419"/>
      <c r="AQ79" s="1420"/>
      <c r="AR79" s="1420"/>
      <c r="AS79" s="1420"/>
      <c r="AT79" s="1421"/>
      <c r="AU79" s="1422"/>
      <c r="AV79" s="1422"/>
      <c r="AW79" s="1423"/>
    </row>
    <row r="80" spans="22:60" ht="15" customHeight="1" x14ac:dyDescent="0.25">
      <c r="V80" s="1443"/>
      <c r="W80" s="1443"/>
      <c r="X80" s="1444"/>
      <c r="Y80" s="1419"/>
      <c r="Z80" s="1419"/>
      <c r="AA80" s="1419"/>
      <c r="AB80" s="1420"/>
      <c r="AC80" s="1420"/>
      <c r="AD80" s="1420"/>
      <c r="AE80" s="1421"/>
      <c r="AF80" s="1422"/>
      <c r="AG80" s="1422"/>
      <c r="AH80" s="1423"/>
      <c r="AK80" s="1443"/>
      <c r="AL80" s="1443"/>
      <c r="AM80" s="1444"/>
      <c r="AN80" s="1419"/>
      <c r="AO80" s="1419"/>
      <c r="AP80" s="1419"/>
      <c r="AQ80" s="1420"/>
      <c r="AR80" s="1420"/>
      <c r="AS80" s="1420"/>
      <c r="AT80" s="1421"/>
      <c r="AU80" s="1422"/>
      <c r="AV80" s="1422"/>
      <c r="AW80" s="1423"/>
    </row>
    <row r="81" spans="25:49" ht="15" customHeight="1" x14ac:dyDescent="0.45">
      <c r="Y81" s="218"/>
      <c r="Z81" s="218"/>
      <c r="AA81" s="218"/>
      <c r="AB81" s="1430">
        <f>AB60+AB63+AB66+AB69+AB72+AB75+AB78</f>
        <v>0</v>
      </c>
      <c r="AC81" s="1431"/>
      <c r="AD81" s="1432"/>
      <c r="AE81" s="1430">
        <f>AE60+AE63+AE66+AE69+AE72+AE75+AE78</f>
        <v>0</v>
      </c>
      <c r="AF81" s="1431"/>
      <c r="AG81" s="1431"/>
      <c r="AH81" s="1432"/>
      <c r="AK81" s="1443"/>
      <c r="AL81" s="1443"/>
      <c r="AM81" s="1444"/>
      <c r="AN81" s="1419"/>
      <c r="AO81" s="1419"/>
      <c r="AP81" s="1419"/>
      <c r="AQ81" s="1420"/>
      <c r="AR81" s="1420"/>
      <c r="AS81" s="1420"/>
      <c r="AT81" s="1421"/>
      <c r="AU81" s="1422"/>
      <c r="AV81" s="1422"/>
      <c r="AW81" s="1423"/>
    </row>
    <row r="82" spans="25:49" ht="15" customHeight="1" x14ac:dyDescent="0.45">
      <c r="Y82" s="218"/>
      <c r="Z82" s="218"/>
      <c r="AA82" s="218"/>
      <c r="AB82" s="1433"/>
      <c r="AC82" s="1434"/>
      <c r="AD82" s="1435"/>
      <c r="AE82" s="1433"/>
      <c r="AF82" s="1434"/>
      <c r="AG82" s="1434"/>
      <c r="AH82" s="1435"/>
      <c r="AN82" s="218"/>
      <c r="AO82" s="218"/>
      <c r="AP82" s="218"/>
      <c r="AQ82" s="1430">
        <f>AQ61+AQ64+AQ67+AQ70+AQ73+AQ76+AQ79</f>
        <v>4</v>
      </c>
      <c r="AR82" s="1431"/>
      <c r="AS82" s="1432"/>
      <c r="AT82" s="1430">
        <f>AT61+AT64+AT67+AT70+AT73+AT76+AT79</f>
        <v>331</v>
      </c>
      <c r="AU82" s="1431"/>
      <c r="AV82" s="1431"/>
      <c r="AW82" s="1432"/>
    </row>
    <row r="83" spans="25:49" ht="15" customHeight="1" x14ac:dyDescent="0.45">
      <c r="Y83" s="218"/>
      <c r="Z83" s="218"/>
      <c r="AA83" s="218"/>
      <c r="AB83" s="1436"/>
      <c r="AC83" s="1437"/>
      <c r="AD83" s="1438"/>
      <c r="AE83" s="1436"/>
      <c r="AF83" s="1437"/>
      <c r="AG83" s="1437"/>
      <c r="AH83" s="1438"/>
      <c r="AN83" s="218"/>
      <c r="AO83" s="218"/>
      <c r="AP83" s="218"/>
      <c r="AQ83" s="1433"/>
      <c r="AR83" s="1434"/>
      <c r="AS83" s="1435"/>
      <c r="AT83" s="1433"/>
      <c r="AU83" s="1434"/>
      <c r="AV83" s="1434"/>
      <c r="AW83" s="1435"/>
    </row>
    <row r="84" spans="25:49" ht="28.5" x14ac:dyDescent="0.45">
      <c r="AN84" s="218"/>
      <c r="AO84" s="218"/>
      <c r="AP84" s="218"/>
      <c r="AQ84" s="1436"/>
      <c r="AR84" s="1437"/>
      <c r="AS84" s="1438"/>
      <c r="AT84" s="1436"/>
      <c r="AU84" s="1437"/>
      <c r="AV84" s="1437"/>
      <c r="AW84" s="1438"/>
    </row>
    <row r="156" spans="36:36" x14ac:dyDescent="0.25">
      <c r="AJ156" t="s">
        <v>16</v>
      </c>
    </row>
  </sheetData>
  <mergeCells count="373">
    <mergeCell ref="AB81:AD83"/>
    <mergeCell ref="AE81:AH83"/>
    <mergeCell ref="V60:X80"/>
    <mergeCell ref="Y60:AA62"/>
    <mergeCell ref="AB60:AD62"/>
    <mergeCell ref="AE60:AH62"/>
    <mergeCell ref="Y63:AA65"/>
    <mergeCell ref="AB63:AD65"/>
    <mergeCell ref="AE63:AH65"/>
    <mergeCell ref="Y66:AA68"/>
    <mergeCell ref="AB66:AD68"/>
    <mergeCell ref="AE66:AH68"/>
    <mergeCell ref="Y69:AA71"/>
    <mergeCell ref="AB69:AD71"/>
    <mergeCell ref="AE69:AH71"/>
    <mergeCell ref="Y72:AA74"/>
    <mergeCell ref="AB72:AD74"/>
    <mergeCell ref="AE72:AH74"/>
    <mergeCell ref="Y75:AA77"/>
    <mergeCell ref="AB75:AD77"/>
    <mergeCell ref="AE75:AH77"/>
    <mergeCell ref="Y78:AA80"/>
    <mergeCell ref="AB78:AD80"/>
    <mergeCell ref="AE78:AH80"/>
    <mergeCell ref="AC8:AD11"/>
    <mergeCell ref="AE8:AG11"/>
    <mergeCell ref="AH8:AI11"/>
    <mergeCell ref="AJ8:AL11"/>
    <mergeCell ref="AM8:AN11"/>
    <mergeCell ref="AN79:AP81"/>
    <mergeCell ref="AQ79:AS81"/>
    <mergeCell ref="AT79:AW81"/>
    <mergeCell ref="AT30:AT31"/>
    <mergeCell ref="AU30:AX30"/>
    <mergeCell ref="AE27:AG29"/>
    <mergeCell ref="AJ27:AL29"/>
    <mergeCell ref="AO27:AQ29"/>
    <mergeCell ref="AT27:AV29"/>
    <mergeCell ref="AO20:AQ20"/>
    <mergeCell ref="AT18:AT19"/>
    <mergeCell ref="AU18:AX18"/>
    <mergeCell ref="AE15:AI17"/>
    <mergeCell ref="AJ15:AN17"/>
    <mergeCell ref="AO15:AS17"/>
    <mergeCell ref="AT15:AX17"/>
    <mergeCell ref="AT12:AT13"/>
    <mergeCell ref="AU12:AX12"/>
    <mergeCell ref="AK61:AM81"/>
    <mergeCell ref="AQ82:AS84"/>
    <mergeCell ref="AT82:AW84"/>
    <mergeCell ref="A2:C5"/>
    <mergeCell ref="D2:E5"/>
    <mergeCell ref="F2:H5"/>
    <mergeCell ref="I2:J5"/>
    <mergeCell ref="K2:M5"/>
    <mergeCell ref="AN73:AP75"/>
    <mergeCell ref="AQ73:AS75"/>
    <mergeCell ref="AT73:AW75"/>
    <mergeCell ref="AN76:AP78"/>
    <mergeCell ref="AQ76:AS78"/>
    <mergeCell ref="AT76:AW78"/>
    <mergeCell ref="AD51:AH57"/>
    <mergeCell ref="AL51:AN53"/>
    <mergeCell ref="AO51:AQ53"/>
    <mergeCell ref="AR51:AS53"/>
    <mergeCell ref="AT51:AU53"/>
    <mergeCell ref="AT36:AT37"/>
    <mergeCell ref="AU36:AX36"/>
    <mergeCell ref="F32:H32"/>
    <mergeCell ref="I32:J32"/>
    <mergeCell ref="K32:M32"/>
    <mergeCell ref="N32:O32"/>
    <mergeCell ref="AY65:BH69"/>
    <mergeCell ref="AN67:AP69"/>
    <mergeCell ref="AQ67:AS69"/>
    <mergeCell ref="AT67:AW69"/>
    <mergeCell ref="AN70:AP72"/>
    <mergeCell ref="AQ70:AS72"/>
    <mergeCell ref="AT70:AW72"/>
    <mergeCell ref="AY54:BH55"/>
    <mergeCell ref="AY56:BH58"/>
    <mergeCell ref="AY59:BH60"/>
    <mergeCell ref="AN61:AP63"/>
    <mergeCell ref="AQ61:AS63"/>
    <mergeCell ref="AT61:AW63"/>
    <mergeCell ref="AY61:BH64"/>
    <mergeCell ref="AN64:AP66"/>
    <mergeCell ref="AQ64:AS66"/>
    <mergeCell ref="AT64:AW66"/>
    <mergeCell ref="AO58:AQ59"/>
    <mergeCell ref="AY51:BH53"/>
    <mergeCell ref="AL54:AN57"/>
    <mergeCell ref="AO54:AQ57"/>
    <mergeCell ref="AR54:AS57"/>
    <mergeCell ref="AT54:AU57"/>
    <mergeCell ref="AT38:AW39"/>
    <mergeCell ref="AO40:AU46"/>
    <mergeCell ref="AV40:AW46"/>
    <mergeCell ref="H41:J41"/>
    <mergeCell ref="Q41:V48"/>
    <mergeCell ref="H42:J43"/>
    <mergeCell ref="X43:AB48"/>
    <mergeCell ref="AC43:AH48"/>
    <mergeCell ref="H44:J46"/>
    <mergeCell ref="H47:J48"/>
    <mergeCell ref="H38:J39"/>
    <mergeCell ref="Q38:V40"/>
    <mergeCell ref="X38:AB42"/>
    <mergeCell ref="AC38:AH42"/>
    <mergeCell ref="AJ38:AN48"/>
    <mergeCell ref="AO38:AS39"/>
    <mergeCell ref="AO47:AW48"/>
    <mergeCell ref="AY33:BA35"/>
    <mergeCell ref="BD33:BF35"/>
    <mergeCell ref="A36:A37"/>
    <mergeCell ref="B36:E36"/>
    <mergeCell ref="F36:F37"/>
    <mergeCell ref="G36:J36"/>
    <mergeCell ref="K36:K37"/>
    <mergeCell ref="L36:O36"/>
    <mergeCell ref="P36:P37"/>
    <mergeCell ref="Q36:T36"/>
    <mergeCell ref="AY36:AY37"/>
    <mergeCell ref="AZ36:BC36"/>
    <mergeCell ref="BD36:BD37"/>
    <mergeCell ref="BE36:BH36"/>
    <mergeCell ref="U36:U37"/>
    <mergeCell ref="V36:Y36"/>
    <mergeCell ref="Z36:Z37"/>
    <mergeCell ref="AA36:AD36"/>
    <mergeCell ref="AE36:AE37"/>
    <mergeCell ref="AF36:AI36"/>
    <mergeCell ref="BD32:BF32"/>
    <mergeCell ref="BG32:BH32"/>
    <mergeCell ref="A33:C35"/>
    <mergeCell ref="F33:H35"/>
    <mergeCell ref="K33:M35"/>
    <mergeCell ref="P33:R35"/>
    <mergeCell ref="U33:W35"/>
    <mergeCell ref="Z33:AB35"/>
    <mergeCell ref="AE33:AG35"/>
    <mergeCell ref="AT33:AV35"/>
    <mergeCell ref="AE32:AG32"/>
    <mergeCell ref="AH32:AI32"/>
    <mergeCell ref="AT32:AV32"/>
    <mergeCell ref="AW32:AX32"/>
    <mergeCell ref="AY32:BA32"/>
    <mergeCell ref="BB32:BC32"/>
    <mergeCell ref="P32:R32"/>
    <mergeCell ref="S32:T32"/>
    <mergeCell ref="U32:W32"/>
    <mergeCell ref="X32:Y32"/>
    <mergeCell ref="Z32:AB32"/>
    <mergeCell ref="AC32:AD32"/>
    <mergeCell ref="A32:C32"/>
    <mergeCell ref="D32:E32"/>
    <mergeCell ref="AY30:AY31"/>
    <mergeCell ref="AZ30:BC30"/>
    <mergeCell ref="BD30:BD31"/>
    <mergeCell ref="BE30:BH30"/>
    <mergeCell ref="AE30:AE31"/>
    <mergeCell ref="AF30:AI30"/>
    <mergeCell ref="AJ30:AJ31"/>
    <mergeCell ref="AK30:AN30"/>
    <mergeCell ref="AO30:AO31"/>
    <mergeCell ref="AP30:AS30"/>
    <mergeCell ref="P30:P31"/>
    <mergeCell ref="Q30:T30"/>
    <mergeCell ref="U30:U31"/>
    <mergeCell ref="V30:Y30"/>
    <mergeCell ref="Z30:Z31"/>
    <mergeCell ref="AA30:AD30"/>
    <mergeCell ref="A30:A31"/>
    <mergeCell ref="B30:E30"/>
    <mergeCell ref="F30:F31"/>
    <mergeCell ref="G30:J30"/>
    <mergeCell ref="K30:K31"/>
    <mergeCell ref="L30:O30"/>
    <mergeCell ref="AY27:BA29"/>
    <mergeCell ref="BD27:BF29"/>
    <mergeCell ref="A27:C29"/>
    <mergeCell ref="F27:H29"/>
    <mergeCell ref="K27:M29"/>
    <mergeCell ref="P27:R29"/>
    <mergeCell ref="U27:W29"/>
    <mergeCell ref="Z27:AB29"/>
    <mergeCell ref="AT26:AV26"/>
    <mergeCell ref="AW26:AX26"/>
    <mergeCell ref="AY26:BA26"/>
    <mergeCell ref="BB26:BC26"/>
    <mergeCell ref="BD26:BF26"/>
    <mergeCell ref="A26:C26"/>
    <mergeCell ref="D26:E26"/>
    <mergeCell ref="F26:H26"/>
    <mergeCell ref="I26:J26"/>
    <mergeCell ref="K26:M26"/>
    <mergeCell ref="N26:O26"/>
    <mergeCell ref="BG26:BH26"/>
    <mergeCell ref="AE26:AG26"/>
    <mergeCell ref="AH26:AI26"/>
    <mergeCell ref="AJ26:AL26"/>
    <mergeCell ref="AM26:AN26"/>
    <mergeCell ref="AO26:AQ26"/>
    <mergeCell ref="AR26:AS26"/>
    <mergeCell ref="P26:R26"/>
    <mergeCell ref="S26:T26"/>
    <mergeCell ref="U26:W26"/>
    <mergeCell ref="X26:Y26"/>
    <mergeCell ref="Z26:AB26"/>
    <mergeCell ref="AC26:AD26"/>
    <mergeCell ref="A24:A25"/>
    <mergeCell ref="B24:E24"/>
    <mergeCell ref="AY24:AY25"/>
    <mergeCell ref="AZ24:BC24"/>
    <mergeCell ref="BD24:BD25"/>
    <mergeCell ref="BE24:BH24"/>
    <mergeCell ref="BG20:BH20"/>
    <mergeCell ref="A21:E23"/>
    <mergeCell ref="AJ21:AL23"/>
    <mergeCell ref="AO21:AQ23"/>
    <mergeCell ref="AT21:AV23"/>
    <mergeCell ref="AY21:BA23"/>
    <mergeCell ref="BD21:BF23"/>
    <mergeCell ref="AR20:AS20"/>
    <mergeCell ref="AT20:AV20"/>
    <mergeCell ref="AW20:AX20"/>
    <mergeCell ref="AY20:BA20"/>
    <mergeCell ref="BB20:BC20"/>
    <mergeCell ref="BD20:BF20"/>
    <mergeCell ref="A20:C20"/>
    <mergeCell ref="D20:E20"/>
    <mergeCell ref="AH20:AI20"/>
    <mergeCell ref="AJ20:AL20"/>
    <mergeCell ref="AM20:AN20"/>
    <mergeCell ref="AY18:AY19"/>
    <mergeCell ref="AZ18:BC18"/>
    <mergeCell ref="BD18:BD19"/>
    <mergeCell ref="BE18:BH18"/>
    <mergeCell ref="AE18:AE19"/>
    <mergeCell ref="AF18:AI18"/>
    <mergeCell ref="AJ18:AJ19"/>
    <mergeCell ref="AK18:AN18"/>
    <mergeCell ref="AO18:AO19"/>
    <mergeCell ref="AP18:AS18"/>
    <mergeCell ref="P18:P19"/>
    <mergeCell ref="Q18:T18"/>
    <mergeCell ref="U18:U19"/>
    <mergeCell ref="V18:Y18"/>
    <mergeCell ref="Z18:Z19"/>
    <mergeCell ref="AA18:AD18"/>
    <mergeCell ref="A18:A19"/>
    <mergeCell ref="B18:E18"/>
    <mergeCell ref="F18:F19"/>
    <mergeCell ref="G18:J18"/>
    <mergeCell ref="K18:K19"/>
    <mergeCell ref="L18:O18"/>
    <mergeCell ref="A14:C17"/>
    <mergeCell ref="D14:E17"/>
    <mergeCell ref="F14:H17"/>
    <mergeCell ref="I14:J17"/>
    <mergeCell ref="AT14:AV14"/>
    <mergeCell ref="AW14:AX14"/>
    <mergeCell ref="AY14:BA14"/>
    <mergeCell ref="BB14:BC14"/>
    <mergeCell ref="BD14:BF14"/>
    <mergeCell ref="AE14:AG14"/>
    <mergeCell ref="AH14:AI14"/>
    <mergeCell ref="AJ14:AL14"/>
    <mergeCell ref="AM14:AN14"/>
    <mergeCell ref="AO14:AQ14"/>
    <mergeCell ref="AR14:AS14"/>
    <mergeCell ref="P14:R14"/>
    <mergeCell ref="S14:T14"/>
    <mergeCell ref="U14:W14"/>
    <mergeCell ref="X14:Y14"/>
    <mergeCell ref="Z14:AB14"/>
    <mergeCell ref="AC14:AD14"/>
    <mergeCell ref="K14:M17"/>
    <mergeCell ref="N14:O17"/>
    <mergeCell ref="AY12:AY13"/>
    <mergeCell ref="AZ12:BC12"/>
    <mergeCell ref="AY15:BA17"/>
    <mergeCell ref="BB15:BJ17"/>
    <mergeCell ref="P15:T17"/>
    <mergeCell ref="U15:Y17"/>
    <mergeCell ref="Z15:AD17"/>
    <mergeCell ref="BG14:BH14"/>
    <mergeCell ref="BD12:BD13"/>
    <mergeCell ref="BE12:BH12"/>
    <mergeCell ref="AE12:AE13"/>
    <mergeCell ref="AF12:AI12"/>
    <mergeCell ref="AJ12:AJ13"/>
    <mergeCell ref="AK12:AN12"/>
    <mergeCell ref="AO12:AO13"/>
    <mergeCell ref="AP12:AS12"/>
    <mergeCell ref="P12:P13"/>
    <mergeCell ref="Q12:T12"/>
    <mergeCell ref="U12:U13"/>
    <mergeCell ref="V12:Y12"/>
    <mergeCell ref="Z12:Z13"/>
    <mergeCell ref="AA12:AD12"/>
    <mergeCell ref="A12:A13"/>
    <mergeCell ref="B12:E12"/>
    <mergeCell ref="F12:F13"/>
    <mergeCell ref="G12:J12"/>
    <mergeCell ref="K12:K13"/>
    <mergeCell ref="L12:O12"/>
    <mergeCell ref="AY9:BA11"/>
    <mergeCell ref="BB9:BJ11"/>
    <mergeCell ref="AO8:AQ11"/>
    <mergeCell ref="AR8:AS11"/>
    <mergeCell ref="AT8:AV11"/>
    <mergeCell ref="AW8:AX11"/>
    <mergeCell ref="A8:C11"/>
    <mergeCell ref="D8:E11"/>
    <mergeCell ref="F8:H11"/>
    <mergeCell ref="I8:J11"/>
    <mergeCell ref="AY8:BA8"/>
    <mergeCell ref="BB8:BC8"/>
    <mergeCell ref="BD8:BF8"/>
    <mergeCell ref="BG8:BH8"/>
    <mergeCell ref="P8:R11"/>
    <mergeCell ref="S8:T11"/>
    <mergeCell ref="U8:W11"/>
    <mergeCell ref="X8:Y11"/>
    <mergeCell ref="AY2:BA2"/>
    <mergeCell ref="BB2:BC2"/>
    <mergeCell ref="BD2:BF2"/>
    <mergeCell ref="K8:M11"/>
    <mergeCell ref="N8:O11"/>
    <mergeCell ref="AT6:AT7"/>
    <mergeCell ref="AU6:AX6"/>
    <mergeCell ref="AY6:AY7"/>
    <mergeCell ref="AZ6:BC6"/>
    <mergeCell ref="BD6:BD7"/>
    <mergeCell ref="BE6:BH6"/>
    <mergeCell ref="AE6:AE7"/>
    <mergeCell ref="AF6:AI6"/>
    <mergeCell ref="AJ6:AJ7"/>
    <mergeCell ref="AK6:AN6"/>
    <mergeCell ref="AO6:AO7"/>
    <mergeCell ref="AP6:AS6"/>
    <mergeCell ref="P6:P7"/>
    <mergeCell ref="Q6:T6"/>
    <mergeCell ref="U6:U7"/>
    <mergeCell ref="V6:Y6"/>
    <mergeCell ref="Z6:Z7"/>
    <mergeCell ref="AA6:AD6"/>
    <mergeCell ref="Z8:AB11"/>
    <mergeCell ref="BG2:BH2"/>
    <mergeCell ref="AT2:AV5"/>
    <mergeCell ref="AW2:AX5"/>
    <mergeCell ref="AO2:AQ5"/>
    <mergeCell ref="AR2:AS5"/>
    <mergeCell ref="X2:Y5"/>
    <mergeCell ref="Z2:AB5"/>
    <mergeCell ref="AC2:AD5"/>
    <mergeCell ref="A6:A7"/>
    <mergeCell ref="B6:E6"/>
    <mergeCell ref="F6:F7"/>
    <mergeCell ref="G6:J6"/>
    <mergeCell ref="K6:K7"/>
    <mergeCell ref="L6:O6"/>
    <mergeCell ref="AY3:BA5"/>
    <mergeCell ref="BD3:BF5"/>
    <mergeCell ref="AE2:AG5"/>
    <mergeCell ref="AH2:AI5"/>
    <mergeCell ref="AJ2:AL5"/>
    <mergeCell ref="AM2:AN5"/>
    <mergeCell ref="N2:O5"/>
    <mergeCell ref="P2:R5"/>
    <mergeCell ref="S2:T5"/>
    <mergeCell ref="U2:W5"/>
  </mergeCells>
  <pageMargins left="0.75" right="0.5" top="1" bottom="0.5" header="0.3" footer="0.3"/>
  <pageSetup paperSize="8" scale="57" orientation="landscape" r:id="rId1"/>
  <headerFooter>
    <oddFooter>&amp;C&amp;"-,Bold Italic"&amp;16Prepared by Emir Cebecioglu&amp;RQuality Control Department</oddFooter>
  </headerFooter>
  <colBreaks count="1" manualBreakCount="1">
    <brk id="60" max="50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F1F2C-CF0C-4A35-A8CE-9DF88CB4C8FA}">
  <sheetPr>
    <tabColor rgb="FF92D050"/>
    <pageSetUpPr fitToPage="1"/>
  </sheetPr>
  <dimension ref="A1:FP188"/>
  <sheetViews>
    <sheetView view="pageBreakPreview" topLeftCell="A34" zoomScale="40" zoomScaleNormal="55" zoomScaleSheetLayoutView="40" zoomScalePageLayoutView="25" workbookViewId="0">
      <selection activeCell="U15" sqref="U15:Y17"/>
    </sheetView>
  </sheetViews>
  <sheetFormatPr defaultRowHeight="36" x14ac:dyDescent="0.25"/>
  <cols>
    <col min="1" max="1" width="5.28515625" style="549" customWidth="1"/>
    <col min="2" max="2" width="16" customWidth="1"/>
    <col min="3" max="3" width="4.28515625" customWidth="1"/>
    <col min="4" max="4" width="5.5703125" customWidth="1"/>
    <col min="5" max="5" width="10.28515625" customWidth="1"/>
    <col min="6" max="6" width="5.28515625" style="549" customWidth="1"/>
    <col min="7" max="7" width="16" customWidth="1"/>
    <col min="8" max="8" width="4.28515625" customWidth="1"/>
    <col min="9" max="9" width="9.140625" customWidth="1"/>
    <col min="10" max="10" width="7.7109375" customWidth="1"/>
    <col min="11" max="11" width="5.28515625" style="549" customWidth="1"/>
    <col min="12" max="12" width="16" customWidth="1"/>
    <col min="13" max="13" width="4.28515625" customWidth="1"/>
    <col min="14" max="14" width="5.5703125" customWidth="1"/>
    <col min="15" max="15" width="9.85546875" customWidth="1"/>
    <col min="16" max="16" width="5.28515625" style="549" customWidth="1"/>
    <col min="17" max="17" width="16" customWidth="1"/>
    <col min="18" max="18" width="5" customWidth="1"/>
    <col min="19" max="19" width="8.42578125" customWidth="1"/>
    <col min="20" max="20" width="7.42578125" customWidth="1"/>
    <col min="21" max="21" width="5.28515625" style="549" customWidth="1"/>
    <col min="22" max="22" width="16" customWidth="1"/>
    <col min="23" max="23" width="4.28515625" customWidth="1"/>
    <col min="24" max="24" width="5.5703125" customWidth="1"/>
    <col min="25" max="25" width="10" customWidth="1"/>
    <col min="26" max="26" width="5.28515625" style="549" customWidth="1"/>
    <col min="27" max="27" width="16" customWidth="1"/>
    <col min="28" max="28" width="4.28515625" customWidth="1"/>
    <col min="29" max="29" width="9.5703125" customWidth="1"/>
    <col min="30" max="30" width="5.5703125" customWidth="1"/>
    <col min="31" max="31" width="5.28515625" style="549" customWidth="1"/>
    <col min="32" max="32" width="16" customWidth="1"/>
    <col min="33" max="33" width="4.28515625" customWidth="1"/>
    <col min="34" max="34" width="9.5703125" customWidth="1"/>
    <col min="35" max="35" width="5.5703125" customWidth="1"/>
    <col min="36" max="36" width="5.28515625" style="549" customWidth="1"/>
    <col min="37" max="37" width="16" customWidth="1"/>
    <col min="38" max="38" width="8.5703125" customWidth="1"/>
    <col min="39" max="40" width="5.5703125" customWidth="1"/>
    <col min="41" max="41" width="5.28515625" style="549" customWidth="1"/>
    <col min="42" max="42" width="16" customWidth="1"/>
    <col min="43" max="43" width="5.7109375" customWidth="1"/>
    <col min="44" max="44" width="5.5703125" customWidth="1"/>
    <col min="45" max="45" width="8.7109375" customWidth="1"/>
    <col min="46" max="46" width="5.28515625" style="549" customWidth="1"/>
    <col min="47" max="47" width="16" customWidth="1"/>
    <col min="48" max="48" width="4.28515625" customWidth="1"/>
    <col min="49" max="49" width="5.5703125" customWidth="1"/>
    <col min="50" max="50" width="9.140625" customWidth="1"/>
    <col min="51" max="51" width="5.28515625" style="549" customWidth="1"/>
    <col min="52" max="52" width="16" customWidth="1"/>
    <col min="53" max="53" width="5.42578125" customWidth="1"/>
    <col min="54" max="54" width="9.7109375" customWidth="1"/>
    <col min="55" max="55" width="5.5703125" customWidth="1"/>
    <col min="56" max="56" width="5.28515625" style="549" customWidth="1"/>
    <col min="57" max="57" width="16" customWidth="1"/>
    <col min="58" max="58" width="4.28515625" customWidth="1"/>
    <col min="59" max="59" width="5.5703125" customWidth="1"/>
    <col min="60" max="60" width="9.85546875" customWidth="1"/>
    <col min="61" max="61" width="4.140625" customWidth="1"/>
    <col min="62" max="62" width="16" customWidth="1"/>
    <col min="63" max="63" width="4.28515625" customWidth="1"/>
    <col min="64" max="64" width="5.5703125" customWidth="1"/>
    <col min="65" max="65" width="10.28515625" customWidth="1"/>
    <col min="66" max="66" width="4.140625" customWidth="1"/>
    <col min="67" max="67" width="16" customWidth="1"/>
    <col min="68" max="68" width="4.28515625" customWidth="1"/>
    <col min="69" max="70" width="5.5703125" customWidth="1"/>
    <col min="71" max="71" width="1" customWidth="1"/>
    <col min="72" max="72" width="56.7109375" customWidth="1"/>
    <col min="73" max="73" width="13" customWidth="1"/>
    <col min="74" max="74" width="7" customWidth="1"/>
  </cols>
  <sheetData>
    <row r="1" spans="1:83" ht="297" customHeight="1" thickBot="1" x14ac:dyDescent="0.3"/>
    <row r="2" spans="1:83" ht="63" customHeight="1" thickTop="1" thickBot="1" x14ac:dyDescent="0.3">
      <c r="A2" s="1600" t="s">
        <v>747</v>
      </c>
      <c r="B2" s="1601"/>
      <c r="C2" s="1601"/>
      <c r="D2" s="1601"/>
      <c r="E2" s="1601"/>
      <c r="F2" s="1601"/>
      <c r="G2" s="1601"/>
      <c r="H2" s="1601"/>
      <c r="I2" s="1601"/>
      <c r="J2" s="1601"/>
      <c r="K2" s="1601"/>
      <c r="L2" s="1601"/>
      <c r="M2" s="1601"/>
      <c r="N2" s="1601"/>
      <c r="O2" s="1602"/>
      <c r="P2" s="1600" t="s">
        <v>748</v>
      </c>
      <c r="Q2" s="1601"/>
      <c r="R2" s="1601"/>
      <c r="S2" s="1601"/>
      <c r="T2" s="1601"/>
      <c r="U2" s="1601"/>
      <c r="V2" s="1601"/>
      <c r="W2" s="1601"/>
      <c r="X2" s="1601"/>
      <c r="Y2" s="1601"/>
      <c r="Z2" s="1601"/>
      <c r="AA2" s="1601"/>
      <c r="AB2" s="1601"/>
      <c r="AC2" s="1601"/>
      <c r="AD2" s="1602"/>
      <c r="AE2" s="1600" t="s">
        <v>749</v>
      </c>
      <c r="AF2" s="1601"/>
      <c r="AG2" s="1601"/>
      <c r="AH2" s="1601"/>
      <c r="AI2" s="1601"/>
      <c r="AJ2" s="1601"/>
      <c r="AK2" s="1601"/>
      <c r="AL2" s="1601"/>
      <c r="AM2" s="1601"/>
      <c r="AN2" s="1601"/>
      <c r="AO2" s="1601"/>
      <c r="AP2" s="1601"/>
      <c r="AQ2" s="1601"/>
      <c r="AR2" s="1601"/>
      <c r="AS2" s="1602"/>
      <c r="AT2" s="1600" t="s">
        <v>750</v>
      </c>
      <c r="AU2" s="1601"/>
      <c r="AV2" s="1601"/>
      <c r="AW2" s="1601"/>
      <c r="AX2" s="1601"/>
      <c r="AY2" s="1601"/>
      <c r="AZ2" s="1601"/>
      <c r="BA2" s="1601"/>
      <c r="BB2" s="1601"/>
      <c r="BC2" s="1601"/>
      <c r="BD2" s="1601"/>
      <c r="BE2" s="1601"/>
      <c r="BF2" s="1601"/>
      <c r="BG2" s="1601"/>
      <c r="BH2" s="1602"/>
      <c r="BI2" s="1487"/>
      <c r="BJ2" s="1487"/>
      <c r="BK2" s="1488"/>
      <c r="BL2" s="1488"/>
      <c r="BM2" s="1488"/>
      <c r="BN2" s="1487"/>
      <c r="BO2" s="1487"/>
      <c r="BP2" s="1488"/>
      <c r="BQ2" s="1488"/>
      <c r="BR2" s="1488"/>
    </row>
    <row r="3" spans="1:83" ht="56.25" customHeight="1" thickBot="1" x14ac:dyDescent="0.3">
      <c r="A3" s="1594" t="s">
        <v>772</v>
      </c>
      <c r="B3" s="1592"/>
      <c r="C3" s="1592"/>
      <c r="D3" s="1592"/>
      <c r="E3" s="1592"/>
      <c r="F3" s="1592" t="s">
        <v>773</v>
      </c>
      <c r="G3" s="1592"/>
      <c r="H3" s="1592"/>
      <c r="I3" s="1592"/>
      <c r="J3" s="1592"/>
      <c r="K3" s="1592" t="s">
        <v>774</v>
      </c>
      <c r="L3" s="1592"/>
      <c r="M3" s="1592"/>
      <c r="N3" s="1592"/>
      <c r="O3" s="1593"/>
      <c r="P3" s="1594" t="s">
        <v>772</v>
      </c>
      <c r="Q3" s="1592"/>
      <c r="R3" s="1592"/>
      <c r="S3" s="1592"/>
      <c r="T3" s="1592"/>
      <c r="U3" s="1592" t="s">
        <v>773</v>
      </c>
      <c r="V3" s="1592"/>
      <c r="W3" s="1592"/>
      <c r="X3" s="1592"/>
      <c r="Y3" s="1592"/>
      <c r="Z3" s="1592" t="s">
        <v>774</v>
      </c>
      <c r="AA3" s="1592"/>
      <c r="AB3" s="1592"/>
      <c r="AC3" s="1592"/>
      <c r="AD3" s="1593"/>
      <c r="AE3" s="1594" t="s">
        <v>772</v>
      </c>
      <c r="AF3" s="1592"/>
      <c r="AG3" s="1592"/>
      <c r="AH3" s="1592"/>
      <c r="AI3" s="1592"/>
      <c r="AJ3" s="1592" t="s">
        <v>773</v>
      </c>
      <c r="AK3" s="1592"/>
      <c r="AL3" s="1592"/>
      <c r="AM3" s="1592"/>
      <c r="AN3" s="1592"/>
      <c r="AO3" s="1592" t="s">
        <v>774</v>
      </c>
      <c r="AP3" s="1592"/>
      <c r="AQ3" s="1592"/>
      <c r="AR3" s="1592"/>
      <c r="AS3" s="1593"/>
      <c r="AT3" s="1594" t="s">
        <v>772</v>
      </c>
      <c r="AU3" s="1592"/>
      <c r="AV3" s="1592"/>
      <c r="AW3" s="1592"/>
      <c r="AX3" s="1592"/>
      <c r="AY3" s="1592" t="s">
        <v>773</v>
      </c>
      <c r="AZ3" s="1592"/>
      <c r="BA3" s="1592"/>
      <c r="BB3" s="1592"/>
      <c r="BC3" s="1592"/>
      <c r="BD3" s="1592" t="s">
        <v>774</v>
      </c>
      <c r="BE3" s="1592"/>
      <c r="BF3" s="1592"/>
      <c r="BG3" s="1592"/>
      <c r="BH3" s="1593"/>
      <c r="BI3" s="1475"/>
      <c r="BJ3" s="1475"/>
      <c r="BK3" s="1476"/>
      <c r="BL3" s="1476"/>
      <c r="BM3" s="1476"/>
      <c r="BN3" s="1475"/>
      <c r="BO3" s="1475"/>
      <c r="BP3" s="1476"/>
      <c r="BQ3" s="1476"/>
      <c r="BR3" s="1476"/>
    </row>
    <row r="4" spans="1:83" s="228" customFormat="1" ht="107.25" customHeight="1" x14ac:dyDescent="0.5">
      <c r="A4" s="1590" t="s">
        <v>110</v>
      </c>
      <c r="B4" s="1591"/>
      <c r="C4" s="1584">
        <f>B7/((42*3.1415/59)*(55/3.281))</f>
        <v>5.4881747779516356E-2</v>
      </c>
      <c r="D4" s="1584"/>
      <c r="E4" s="1585"/>
      <c r="F4" s="1586" t="s">
        <v>110</v>
      </c>
      <c r="G4" s="1587"/>
      <c r="H4" s="1588">
        <f>G7/((42*3.1415/59)*(50/3.281))</f>
        <v>0</v>
      </c>
      <c r="I4" s="1588"/>
      <c r="J4" s="1589"/>
      <c r="K4" s="1514" t="str">
        <f>"Repair R: " &amp; TEXT(L7/((42*3.1415/59)*(65/3.281)), "0.00%")</f>
        <v>Repair R: 0.00%</v>
      </c>
      <c r="L4" s="1515"/>
      <c r="M4" s="1516" t="s">
        <v>111</v>
      </c>
      <c r="N4" s="1517"/>
      <c r="O4" s="1518"/>
      <c r="P4" s="1590" t="s">
        <v>110</v>
      </c>
      <c r="Q4" s="1591"/>
      <c r="R4" s="1584">
        <f>Q7/((42*3.1415/59)*(55/3.281))</f>
        <v>2.66752929811978E-9</v>
      </c>
      <c r="S4" s="1584"/>
      <c r="T4" s="1585"/>
      <c r="U4" s="1595" t="s">
        <v>110</v>
      </c>
      <c r="V4" s="1596"/>
      <c r="W4" s="1597">
        <f>V7/((42*3.1415/59)*(60/3.281))</f>
        <v>0</v>
      </c>
      <c r="X4" s="1597"/>
      <c r="Y4" s="1598"/>
      <c r="Z4" s="1591" t="s">
        <v>110</v>
      </c>
      <c r="AA4" s="1591"/>
      <c r="AB4" s="1584">
        <f>AA7/((42*3.1415/59)*(55/3.281))</f>
        <v>2.6675292981197803E-15</v>
      </c>
      <c r="AC4" s="1584"/>
      <c r="AD4" s="1599"/>
      <c r="AE4" s="1590" t="s">
        <v>110</v>
      </c>
      <c r="AF4" s="1591"/>
      <c r="AG4" s="1584">
        <f>AF7/((42*3.1415/59)*(55/3.281))</f>
        <v>2.66752929811978E-9</v>
      </c>
      <c r="AH4" s="1584"/>
      <c r="AI4" s="1585"/>
      <c r="AJ4" s="1595" t="s">
        <v>110</v>
      </c>
      <c r="AK4" s="1596"/>
      <c r="AL4" s="1597">
        <f>AK7/((42*3.1415/59)*(60/3.281))</f>
        <v>0</v>
      </c>
      <c r="AM4" s="1597"/>
      <c r="AN4" s="1598"/>
      <c r="AO4" s="1514" t="str">
        <f>"Repair R: " &amp; TEXT(AP7/((42*3.1415/59)*(65/3.281)), "0.00%")</f>
        <v>Repair R: 0.00%</v>
      </c>
      <c r="AP4" s="1515"/>
      <c r="AQ4" s="1516" t="s">
        <v>111</v>
      </c>
      <c r="AR4" s="1517"/>
      <c r="AS4" s="1518"/>
      <c r="AT4" s="1590" t="s">
        <v>110</v>
      </c>
      <c r="AU4" s="1591"/>
      <c r="AV4" s="1584">
        <f>AU7/((42*3.1415/59)*(55/3.281))</f>
        <v>6.7755244172242419E-3</v>
      </c>
      <c r="AW4" s="1584"/>
      <c r="AX4" s="1585"/>
      <c r="AY4" s="1595" t="s">
        <v>110</v>
      </c>
      <c r="AZ4" s="1596"/>
      <c r="BA4" s="1597">
        <f>AZ7/((42*3.1415/59)*(60/3.281))</f>
        <v>5.5898076442099992E-3</v>
      </c>
      <c r="BB4" s="1597"/>
      <c r="BC4" s="1598"/>
      <c r="BD4" s="1591" t="s">
        <v>110</v>
      </c>
      <c r="BE4" s="1591"/>
      <c r="BF4" s="1584">
        <f>BE7/((42*3.1415/59)*(55/3.281))</f>
        <v>0</v>
      </c>
      <c r="BG4" s="1584"/>
      <c r="BH4" s="1599"/>
      <c r="BI4" s="1475"/>
      <c r="BJ4" s="1475"/>
      <c r="BK4" s="1476"/>
      <c r="BL4" s="1476"/>
      <c r="BM4" s="1476"/>
      <c r="BN4" s="1475"/>
      <c r="BO4" s="1475"/>
      <c r="BP4" s="1476"/>
      <c r="BQ4" s="1476"/>
      <c r="BR4" s="1476"/>
    </row>
    <row r="5" spans="1:83" ht="102.75" customHeight="1" x14ac:dyDescent="0.25">
      <c r="A5" s="1548" t="s">
        <v>775</v>
      </c>
      <c r="B5" s="1549"/>
      <c r="C5" s="1549"/>
      <c r="D5" s="1549"/>
      <c r="E5" s="1550"/>
      <c r="F5" s="1579" t="s">
        <v>776</v>
      </c>
      <c r="G5" s="1580"/>
      <c r="H5" s="1581" t="s">
        <v>777</v>
      </c>
      <c r="I5" s="1582"/>
      <c r="J5" s="1583"/>
      <c r="K5" s="1519" t="s">
        <v>776</v>
      </c>
      <c r="L5" s="1520"/>
      <c r="M5" s="1521" t="s">
        <v>777</v>
      </c>
      <c r="N5" s="1522"/>
      <c r="O5" s="1523"/>
      <c r="P5" s="1548" t="s">
        <v>775</v>
      </c>
      <c r="Q5" s="1549"/>
      <c r="R5" s="1549"/>
      <c r="S5" s="1549"/>
      <c r="T5" s="1550"/>
      <c r="U5" s="1572" t="s">
        <v>776</v>
      </c>
      <c r="V5" s="1573"/>
      <c r="W5" s="1569" t="s">
        <v>777</v>
      </c>
      <c r="X5" s="1570"/>
      <c r="Y5" s="1571"/>
      <c r="Z5" s="1574" t="s">
        <v>776</v>
      </c>
      <c r="AA5" s="1575"/>
      <c r="AB5" s="1576" t="s">
        <v>777</v>
      </c>
      <c r="AC5" s="1577"/>
      <c r="AD5" s="1578"/>
      <c r="AE5" s="1548" t="s">
        <v>775</v>
      </c>
      <c r="AF5" s="1549"/>
      <c r="AG5" s="1549"/>
      <c r="AH5" s="1549"/>
      <c r="AI5" s="1550"/>
      <c r="AJ5" s="1572" t="s">
        <v>776</v>
      </c>
      <c r="AK5" s="1573"/>
      <c r="AL5" s="1569" t="s">
        <v>777</v>
      </c>
      <c r="AM5" s="1570"/>
      <c r="AN5" s="1571"/>
      <c r="AO5" s="1519" t="s">
        <v>776</v>
      </c>
      <c r="AP5" s="1520"/>
      <c r="AQ5" s="1521" t="s">
        <v>777</v>
      </c>
      <c r="AR5" s="1522"/>
      <c r="AS5" s="1523"/>
      <c r="AT5" s="1548" t="s">
        <v>775</v>
      </c>
      <c r="AU5" s="1549"/>
      <c r="AV5" s="1549"/>
      <c r="AW5" s="1549"/>
      <c r="AX5" s="1550"/>
      <c r="AY5" s="1572" t="s">
        <v>776</v>
      </c>
      <c r="AZ5" s="1573"/>
      <c r="BA5" s="1569" t="s">
        <v>777</v>
      </c>
      <c r="BB5" s="1570"/>
      <c r="BC5" s="1571"/>
      <c r="BD5" s="1574" t="s">
        <v>776</v>
      </c>
      <c r="BE5" s="1575"/>
      <c r="BF5" s="1576" t="s">
        <v>777</v>
      </c>
      <c r="BG5" s="1577"/>
      <c r="BH5" s="1578"/>
      <c r="BI5" s="1475"/>
      <c r="BJ5" s="1475"/>
      <c r="BK5" s="1476"/>
      <c r="BL5" s="1476"/>
      <c r="BM5" s="1476"/>
      <c r="BN5" s="1475"/>
      <c r="BO5" s="1475"/>
      <c r="BP5" s="1476"/>
      <c r="BQ5" s="1476"/>
      <c r="BR5" s="1476"/>
    </row>
    <row r="6" spans="1:83" s="562" customFormat="1" ht="134.25" customHeight="1" x14ac:dyDescent="1.5">
      <c r="A6" s="1564" t="s">
        <v>492</v>
      </c>
      <c r="B6" s="1551">
        <v>30</v>
      </c>
      <c r="C6" s="1552"/>
      <c r="D6" s="1552"/>
      <c r="E6" s="1553"/>
      <c r="F6" s="1567" t="s">
        <v>131</v>
      </c>
      <c r="G6" s="1481">
        <v>55</v>
      </c>
      <c r="H6" s="1482"/>
      <c r="I6" s="1482"/>
      <c r="J6" s="1486"/>
      <c r="K6" s="1479" t="s">
        <v>165</v>
      </c>
      <c r="L6" s="1481">
        <v>23</v>
      </c>
      <c r="M6" s="1482"/>
      <c r="N6" s="1482"/>
      <c r="O6" s="1483"/>
      <c r="P6" s="1564" t="s">
        <v>492</v>
      </c>
      <c r="Q6" s="1551">
        <v>41</v>
      </c>
      <c r="R6" s="1552"/>
      <c r="S6" s="1552"/>
      <c r="T6" s="1566"/>
      <c r="U6" s="1560" t="s">
        <v>169</v>
      </c>
      <c r="V6" s="1481">
        <v>36</v>
      </c>
      <c r="W6" s="1482"/>
      <c r="X6" s="1482"/>
      <c r="Y6" s="1486"/>
      <c r="Z6" s="1562" t="s">
        <v>492</v>
      </c>
      <c r="AA6" s="1526">
        <v>32</v>
      </c>
      <c r="AB6" s="1527"/>
      <c r="AC6" s="1527"/>
      <c r="AD6" s="1528"/>
      <c r="AE6" s="1564" t="s">
        <v>492</v>
      </c>
      <c r="AF6" s="1551">
        <v>50</v>
      </c>
      <c r="AG6" s="1552"/>
      <c r="AH6" s="1552"/>
      <c r="AI6" s="1566"/>
      <c r="AJ6" s="1560" t="s">
        <v>169</v>
      </c>
      <c r="AK6" s="1481">
        <v>35</v>
      </c>
      <c r="AL6" s="1482"/>
      <c r="AM6" s="1482"/>
      <c r="AN6" s="1486"/>
      <c r="AO6" s="1479" t="s">
        <v>165</v>
      </c>
      <c r="AP6" s="1481">
        <v>24</v>
      </c>
      <c r="AQ6" s="1482"/>
      <c r="AR6" s="1482"/>
      <c r="AS6" s="1483"/>
      <c r="AT6" s="1564" t="s">
        <v>492</v>
      </c>
      <c r="AU6" s="1551">
        <v>53</v>
      </c>
      <c r="AV6" s="1552"/>
      <c r="AW6" s="1552"/>
      <c r="AX6" s="1566"/>
      <c r="AY6" s="1560" t="s">
        <v>169</v>
      </c>
      <c r="AZ6" s="1526">
        <v>37</v>
      </c>
      <c r="BA6" s="1527"/>
      <c r="BB6" s="1527"/>
      <c r="BC6" s="1554"/>
      <c r="BD6" s="1562" t="s">
        <v>492</v>
      </c>
      <c r="BE6" s="1481">
        <v>43</v>
      </c>
      <c r="BF6" s="1482"/>
      <c r="BG6" s="1482"/>
      <c r="BH6" s="1483"/>
      <c r="BI6" s="1478"/>
      <c r="BJ6" s="1503"/>
      <c r="BK6" s="1503"/>
      <c r="BL6" s="1503"/>
      <c r="BM6" s="1503"/>
      <c r="BN6" s="1478"/>
      <c r="BO6" s="1503"/>
      <c r="BP6" s="1503"/>
      <c r="BQ6" s="1503"/>
      <c r="BR6" s="1503"/>
    </row>
    <row r="7" spans="1:83" ht="65.25" customHeight="1" thickBot="1" x14ac:dyDescent="0.3">
      <c r="A7" s="1565"/>
      <c r="B7" s="572">
        <v>2.0573999999999999</v>
      </c>
      <c r="C7" s="573" t="s">
        <v>113</v>
      </c>
      <c r="D7" s="574"/>
      <c r="E7" s="576" t="s">
        <v>114</v>
      </c>
      <c r="F7" s="1568"/>
      <c r="G7" s="550"/>
      <c r="H7" s="551" t="s">
        <v>113</v>
      </c>
      <c r="I7" s="552"/>
      <c r="J7" s="553" t="s">
        <v>114</v>
      </c>
      <c r="K7" s="1480"/>
      <c r="L7" s="550"/>
      <c r="M7" s="551" t="s">
        <v>113</v>
      </c>
      <c r="N7" s="552"/>
      <c r="O7" s="554" t="s">
        <v>114</v>
      </c>
      <c r="P7" s="1565"/>
      <c r="Q7" s="572">
        <v>9.9999999999999995E-8</v>
      </c>
      <c r="R7" s="573" t="s">
        <v>113</v>
      </c>
      <c r="S7" s="574">
        <v>1</v>
      </c>
      <c r="T7" s="575" t="s">
        <v>114</v>
      </c>
      <c r="U7" s="1561"/>
      <c r="V7" s="550"/>
      <c r="W7" s="551" t="s">
        <v>113</v>
      </c>
      <c r="X7" s="552"/>
      <c r="Y7" s="553" t="s">
        <v>114</v>
      </c>
      <c r="Z7" s="1563"/>
      <c r="AA7" s="550">
        <v>1E-13</v>
      </c>
      <c r="AB7" s="551" t="s">
        <v>113</v>
      </c>
      <c r="AC7" s="552">
        <v>1</v>
      </c>
      <c r="AD7" s="554" t="s">
        <v>114</v>
      </c>
      <c r="AE7" s="1565"/>
      <c r="AF7" s="572">
        <v>9.9999999999999995E-8</v>
      </c>
      <c r="AG7" s="573" t="s">
        <v>113</v>
      </c>
      <c r="AH7" s="574">
        <v>1</v>
      </c>
      <c r="AI7" s="575" t="s">
        <v>114</v>
      </c>
      <c r="AJ7" s="1561"/>
      <c r="AK7" s="550"/>
      <c r="AL7" s="551" t="s">
        <v>113</v>
      </c>
      <c r="AM7" s="552"/>
      <c r="AN7" s="553" t="s">
        <v>114</v>
      </c>
      <c r="AO7" s="1480"/>
      <c r="AP7" s="550"/>
      <c r="AQ7" s="551" t="s">
        <v>113</v>
      </c>
      <c r="AR7" s="552"/>
      <c r="AS7" s="554" t="s">
        <v>114</v>
      </c>
      <c r="AT7" s="1565"/>
      <c r="AU7" s="572">
        <v>0.254</v>
      </c>
      <c r="AV7" s="573" t="s">
        <v>113</v>
      </c>
      <c r="AW7" s="574">
        <v>1</v>
      </c>
      <c r="AX7" s="575" t="s">
        <v>114</v>
      </c>
      <c r="AY7" s="1561"/>
      <c r="AZ7" s="550">
        <v>0.2286</v>
      </c>
      <c r="BA7" s="551" t="s">
        <v>113</v>
      </c>
      <c r="BB7" s="552"/>
      <c r="BC7" s="553" t="s">
        <v>114</v>
      </c>
      <c r="BD7" s="1563"/>
      <c r="BE7" s="550"/>
      <c r="BF7" s="551" t="s">
        <v>113</v>
      </c>
      <c r="BG7" s="552"/>
      <c r="BH7" s="554" t="s">
        <v>114</v>
      </c>
      <c r="BI7" s="1478"/>
      <c r="BJ7" s="212"/>
      <c r="BK7" s="211"/>
      <c r="BL7" s="210"/>
      <c r="BM7" s="209"/>
      <c r="BN7" s="1478"/>
      <c r="BO7" s="212"/>
      <c r="BP7" s="211"/>
      <c r="BQ7" s="210"/>
      <c r="BR7" s="209"/>
      <c r="BW7" s="27"/>
      <c r="BX7" s="27"/>
      <c r="BY7" s="27"/>
      <c r="BZ7" s="27"/>
      <c r="CA7" s="27"/>
      <c r="CB7" s="27"/>
      <c r="CC7" s="27"/>
      <c r="CD7" s="27"/>
      <c r="CE7" s="27"/>
    </row>
    <row r="8" spans="1:83" ht="64.5" customHeight="1" thickTop="1" thickBot="1" x14ac:dyDescent="0.3">
      <c r="A8" s="1539" t="s">
        <v>752</v>
      </c>
      <c r="B8" s="1540"/>
      <c r="C8" s="1540"/>
      <c r="D8" s="1540"/>
      <c r="E8" s="1540"/>
      <c r="F8" s="1540"/>
      <c r="G8" s="1540"/>
      <c r="H8" s="1540"/>
      <c r="I8" s="1540"/>
      <c r="J8" s="1540"/>
      <c r="K8" s="1540"/>
      <c r="L8" s="1540"/>
      <c r="M8" s="1540"/>
      <c r="N8" s="1540"/>
      <c r="O8" s="1541"/>
      <c r="P8" s="1539" t="s">
        <v>753</v>
      </c>
      <c r="Q8" s="1540"/>
      <c r="R8" s="1540"/>
      <c r="S8" s="1540"/>
      <c r="T8" s="1540"/>
      <c r="U8" s="1540"/>
      <c r="V8" s="1540"/>
      <c r="W8" s="1540"/>
      <c r="X8" s="1540"/>
      <c r="Y8" s="1540"/>
      <c r="Z8" s="1540"/>
      <c r="AA8" s="1540"/>
      <c r="AB8" s="1540"/>
      <c r="AC8" s="1540"/>
      <c r="AD8" s="1541"/>
      <c r="AE8" s="1539" t="s">
        <v>754</v>
      </c>
      <c r="AF8" s="1540"/>
      <c r="AG8" s="1540"/>
      <c r="AH8" s="1540"/>
      <c r="AI8" s="1540"/>
      <c r="AJ8" s="1540"/>
      <c r="AK8" s="1540"/>
      <c r="AL8" s="1540"/>
      <c r="AM8" s="1540"/>
      <c r="AN8" s="1540"/>
      <c r="AO8" s="1540"/>
      <c r="AP8" s="1540"/>
      <c r="AQ8" s="1540"/>
      <c r="AR8" s="1540"/>
      <c r="AS8" s="1541"/>
      <c r="AT8" s="1539" t="s">
        <v>755</v>
      </c>
      <c r="AU8" s="1540"/>
      <c r="AV8" s="1540"/>
      <c r="AW8" s="1540"/>
      <c r="AX8" s="1540"/>
      <c r="AY8" s="1540"/>
      <c r="AZ8" s="1540"/>
      <c r="BA8" s="1540"/>
      <c r="BB8" s="1540"/>
      <c r="BC8" s="1540"/>
      <c r="BD8" s="1540"/>
      <c r="BE8" s="1540"/>
      <c r="BF8" s="1540"/>
      <c r="BG8" s="1540"/>
      <c r="BH8" s="1541"/>
      <c r="BI8" s="1487"/>
      <c r="BJ8" s="1487"/>
      <c r="BK8" s="1488"/>
      <c r="BL8" s="1488"/>
      <c r="BM8" s="1488"/>
      <c r="BN8" s="1487"/>
      <c r="BO8" s="1487"/>
      <c r="BP8" s="1488"/>
      <c r="BQ8" s="1488"/>
      <c r="BR8" s="1488"/>
    </row>
    <row r="9" spans="1:83" ht="50.25" customHeight="1" thickBot="1" x14ac:dyDescent="0.3">
      <c r="A9" s="1536" t="s">
        <v>772</v>
      </c>
      <c r="B9" s="1537"/>
      <c r="C9" s="1537"/>
      <c r="D9" s="1537"/>
      <c r="E9" s="1537"/>
      <c r="F9" s="1537" t="s">
        <v>773</v>
      </c>
      <c r="G9" s="1537"/>
      <c r="H9" s="1537"/>
      <c r="I9" s="1537"/>
      <c r="J9" s="1537"/>
      <c r="K9" s="1537" t="s">
        <v>774</v>
      </c>
      <c r="L9" s="1537"/>
      <c r="M9" s="1537"/>
      <c r="N9" s="1537"/>
      <c r="O9" s="1538"/>
      <c r="P9" s="1536" t="s">
        <v>772</v>
      </c>
      <c r="Q9" s="1537"/>
      <c r="R9" s="1537"/>
      <c r="S9" s="1537"/>
      <c r="T9" s="1537"/>
      <c r="U9" s="1537" t="s">
        <v>773</v>
      </c>
      <c r="V9" s="1537"/>
      <c r="W9" s="1537"/>
      <c r="X9" s="1537"/>
      <c r="Y9" s="1537"/>
      <c r="Z9" s="1537" t="s">
        <v>774</v>
      </c>
      <c r="AA9" s="1537"/>
      <c r="AB9" s="1537"/>
      <c r="AC9" s="1537"/>
      <c r="AD9" s="1538"/>
      <c r="AE9" s="1536" t="s">
        <v>772</v>
      </c>
      <c r="AF9" s="1537"/>
      <c r="AG9" s="1537"/>
      <c r="AH9" s="1537"/>
      <c r="AI9" s="1537"/>
      <c r="AJ9" s="1537" t="s">
        <v>773</v>
      </c>
      <c r="AK9" s="1537"/>
      <c r="AL9" s="1537"/>
      <c r="AM9" s="1537"/>
      <c r="AN9" s="1537"/>
      <c r="AO9" s="1537" t="s">
        <v>774</v>
      </c>
      <c r="AP9" s="1537"/>
      <c r="AQ9" s="1537"/>
      <c r="AR9" s="1537"/>
      <c r="AS9" s="1538"/>
      <c r="AT9" s="1536" t="s">
        <v>772</v>
      </c>
      <c r="AU9" s="1537"/>
      <c r="AV9" s="1537"/>
      <c r="AW9" s="1537"/>
      <c r="AX9" s="1537"/>
      <c r="AY9" s="1537" t="s">
        <v>773</v>
      </c>
      <c r="AZ9" s="1537"/>
      <c r="BA9" s="1537"/>
      <c r="BB9" s="1537"/>
      <c r="BC9" s="1537"/>
      <c r="BD9" s="1537" t="s">
        <v>774</v>
      </c>
      <c r="BE9" s="1537"/>
      <c r="BF9" s="1537"/>
      <c r="BG9" s="1537"/>
      <c r="BH9" s="1538"/>
      <c r="BI9" s="1475"/>
      <c r="BJ9" s="1475"/>
      <c r="BK9" s="1476"/>
      <c r="BL9" s="1476"/>
      <c r="BM9" s="1476"/>
      <c r="BN9" s="1475"/>
      <c r="BO9" s="1475"/>
      <c r="BP9" s="1476"/>
      <c r="BQ9" s="1476"/>
      <c r="BR9" s="1476"/>
    </row>
    <row r="10" spans="1:83" s="228" customFormat="1" ht="107.25" customHeight="1" x14ac:dyDescent="0.5">
      <c r="A10" s="1506" t="s">
        <v>110</v>
      </c>
      <c r="B10" s="1507"/>
      <c r="C10" s="1508">
        <f>B13/((42*3.1415/59)*(80/3.281))</f>
        <v>0</v>
      </c>
      <c r="D10" s="1508"/>
      <c r="E10" s="1509"/>
      <c r="F10" s="1510" t="s">
        <v>110</v>
      </c>
      <c r="G10" s="1511"/>
      <c r="H10" s="1512">
        <f>G13/((42*3.1415/59)*(35/3.281))</f>
        <v>0</v>
      </c>
      <c r="I10" s="1512"/>
      <c r="J10" s="1513"/>
      <c r="K10" s="1555" t="str">
        <f>"Repair R: " &amp; TEXT(L13/((42*3.1415/59)*(55/3.281)), "0.00%")</f>
        <v>Repair R: 0.00%</v>
      </c>
      <c r="L10" s="1556"/>
      <c r="M10" s="1557" t="s">
        <v>111</v>
      </c>
      <c r="N10" s="1558"/>
      <c r="O10" s="1559"/>
      <c r="P10" s="1506" t="s">
        <v>110</v>
      </c>
      <c r="Q10" s="1507"/>
      <c r="R10" s="1508">
        <f t="shared" ref="R10" si="0">Q13/((42*3.1415/59)*(80/3.281))</f>
        <v>1.8339263924573486E-9</v>
      </c>
      <c r="S10" s="1508"/>
      <c r="T10" s="1509"/>
      <c r="U10" s="1510" t="s">
        <v>110</v>
      </c>
      <c r="V10" s="1511"/>
      <c r="W10" s="1512">
        <f t="shared" ref="W10" si="1">V13/((42*3.1415/59)*(35/3.281))</f>
        <v>0</v>
      </c>
      <c r="X10" s="1512"/>
      <c r="Y10" s="1513"/>
      <c r="Z10" s="1555" t="str">
        <f>"Repair R: " &amp; TEXT(AA13/((42*3.1415/59)*(55/3.281)), "0.00%")</f>
        <v>Repair R: 0.00%</v>
      </c>
      <c r="AA10" s="1556"/>
      <c r="AB10" s="1557" t="s">
        <v>111</v>
      </c>
      <c r="AC10" s="1558"/>
      <c r="AD10" s="1559"/>
      <c r="AE10" s="1506" t="s">
        <v>110</v>
      </c>
      <c r="AF10" s="1507"/>
      <c r="AG10" s="1508">
        <f t="shared" ref="AG10" si="2">AF13/((42*3.1415/59)*(80/3.281))</f>
        <v>3.3538845865259993E-2</v>
      </c>
      <c r="AH10" s="1508"/>
      <c r="AI10" s="1509"/>
      <c r="AJ10" s="1510" t="s">
        <v>110</v>
      </c>
      <c r="AK10" s="1511"/>
      <c r="AL10" s="1512">
        <f t="shared" ref="AL10" si="3">AK13/((42*3.1415/59)*(35/3.281))</f>
        <v>0</v>
      </c>
      <c r="AM10" s="1512"/>
      <c r="AN10" s="1513"/>
      <c r="AO10" s="1555" t="str">
        <f>"Repair R: " &amp; TEXT(AP13/((42*3.1415/59)*(55/3.281)), "0.00%")</f>
        <v>Repair R: 0.00%</v>
      </c>
      <c r="AP10" s="1556"/>
      <c r="AQ10" s="1557" t="s">
        <v>111</v>
      </c>
      <c r="AR10" s="1558"/>
      <c r="AS10" s="1559"/>
      <c r="AT10" s="1506" t="s">
        <v>110</v>
      </c>
      <c r="AU10" s="1507"/>
      <c r="AV10" s="1508">
        <f t="shared" ref="AV10" si="4">AU13/((42*3.1415/59)*(80/3.281))</f>
        <v>4.6581730368416658E-3</v>
      </c>
      <c r="AW10" s="1508"/>
      <c r="AX10" s="1509"/>
      <c r="AY10" s="1510" t="s">
        <v>110</v>
      </c>
      <c r="AZ10" s="1511"/>
      <c r="BA10" s="1512">
        <f t="shared" ref="BA10" si="5">AZ13/((42*3.1415/59)*(35/3.281))</f>
        <v>0</v>
      </c>
      <c r="BB10" s="1512"/>
      <c r="BC10" s="1513"/>
      <c r="BD10" s="1529" t="s">
        <v>110</v>
      </c>
      <c r="BE10" s="1530"/>
      <c r="BF10" s="1531">
        <f t="shared" ref="BF10" si="6">BE13/((42*3.1415/59)*(55/3.281))</f>
        <v>2.66752929811978E-9</v>
      </c>
      <c r="BG10" s="1531"/>
      <c r="BH10" s="1532"/>
      <c r="BI10" s="1475"/>
      <c r="BJ10" s="1475"/>
      <c r="BK10" s="1476"/>
      <c r="BL10" s="1476"/>
      <c r="BM10" s="1476"/>
      <c r="BN10" s="1475"/>
      <c r="BO10" s="1475"/>
      <c r="BP10" s="1476"/>
      <c r="BQ10" s="1476"/>
      <c r="BR10" s="1476"/>
    </row>
    <row r="11" spans="1:83" ht="102.75" customHeight="1" x14ac:dyDescent="0.25">
      <c r="A11" s="1490" t="s">
        <v>775</v>
      </c>
      <c r="B11" s="1491"/>
      <c r="C11" s="1491"/>
      <c r="D11" s="1491"/>
      <c r="E11" s="1492"/>
      <c r="F11" s="1493" t="s">
        <v>776</v>
      </c>
      <c r="G11" s="1494"/>
      <c r="H11" s="1495" t="s">
        <v>777</v>
      </c>
      <c r="I11" s="1496"/>
      <c r="J11" s="1497"/>
      <c r="K11" s="1498" t="s">
        <v>776</v>
      </c>
      <c r="L11" s="1499"/>
      <c r="M11" s="1500" t="s">
        <v>777</v>
      </c>
      <c r="N11" s="1501"/>
      <c r="O11" s="1502"/>
      <c r="P11" s="1490" t="s">
        <v>775</v>
      </c>
      <c r="Q11" s="1491"/>
      <c r="R11" s="1491"/>
      <c r="S11" s="1491"/>
      <c r="T11" s="1492"/>
      <c r="U11" s="1493" t="s">
        <v>776</v>
      </c>
      <c r="V11" s="1494"/>
      <c r="W11" s="1495" t="s">
        <v>777</v>
      </c>
      <c r="X11" s="1496"/>
      <c r="Y11" s="1497"/>
      <c r="Z11" s="1498" t="s">
        <v>776</v>
      </c>
      <c r="AA11" s="1499"/>
      <c r="AB11" s="1500" t="s">
        <v>777</v>
      </c>
      <c r="AC11" s="1501"/>
      <c r="AD11" s="1502"/>
      <c r="AE11" s="1490" t="s">
        <v>775</v>
      </c>
      <c r="AF11" s="1491"/>
      <c r="AG11" s="1491"/>
      <c r="AH11" s="1491"/>
      <c r="AI11" s="1492"/>
      <c r="AJ11" s="1493" t="s">
        <v>776</v>
      </c>
      <c r="AK11" s="1494"/>
      <c r="AL11" s="1495" t="s">
        <v>777</v>
      </c>
      <c r="AM11" s="1496"/>
      <c r="AN11" s="1497"/>
      <c r="AO11" s="1498" t="s">
        <v>776</v>
      </c>
      <c r="AP11" s="1499"/>
      <c r="AQ11" s="1500" t="s">
        <v>777</v>
      </c>
      <c r="AR11" s="1501"/>
      <c r="AS11" s="1502"/>
      <c r="AT11" s="1548" t="s">
        <v>775</v>
      </c>
      <c r="AU11" s="1549"/>
      <c r="AV11" s="1549"/>
      <c r="AW11" s="1549"/>
      <c r="AX11" s="1550"/>
      <c r="AY11" s="1493" t="s">
        <v>776</v>
      </c>
      <c r="AZ11" s="1494"/>
      <c r="BA11" s="1495" t="s">
        <v>777</v>
      </c>
      <c r="BB11" s="1496"/>
      <c r="BC11" s="1497"/>
      <c r="BD11" s="1498" t="s">
        <v>776</v>
      </c>
      <c r="BE11" s="1499"/>
      <c r="BF11" s="1500" t="s">
        <v>777</v>
      </c>
      <c r="BG11" s="1501"/>
      <c r="BH11" s="1502"/>
      <c r="BI11" s="1475"/>
      <c r="BJ11" s="1475"/>
      <c r="BK11" s="1476"/>
      <c r="BL11" s="1476"/>
      <c r="BM11" s="1476"/>
      <c r="BN11" s="1475"/>
      <c r="BO11" s="1475"/>
      <c r="BP11" s="1476"/>
      <c r="BQ11" s="1476"/>
      <c r="BR11" s="1476"/>
    </row>
    <row r="12" spans="1:83" s="562" customFormat="1" ht="134.25" customHeight="1" x14ac:dyDescent="1.5">
      <c r="A12" s="1484" t="s">
        <v>751</v>
      </c>
      <c r="B12" s="1481">
        <v>4</v>
      </c>
      <c r="C12" s="1482"/>
      <c r="D12" s="1482"/>
      <c r="E12" s="1486"/>
      <c r="F12" s="1504" t="s">
        <v>490</v>
      </c>
      <c r="G12" s="1481">
        <v>68</v>
      </c>
      <c r="H12" s="1482"/>
      <c r="I12" s="1482"/>
      <c r="J12" s="1486"/>
      <c r="K12" s="1524" t="s">
        <v>492</v>
      </c>
      <c r="L12" s="1526">
        <v>42</v>
      </c>
      <c r="M12" s="1527"/>
      <c r="N12" s="1527"/>
      <c r="O12" s="1528"/>
      <c r="P12" s="1484" t="s">
        <v>751</v>
      </c>
      <c r="Q12" s="1526">
        <v>1</v>
      </c>
      <c r="R12" s="1527"/>
      <c r="S12" s="1527"/>
      <c r="T12" s="1554"/>
      <c r="U12" s="1504" t="s">
        <v>490</v>
      </c>
      <c r="V12" s="1481">
        <v>2</v>
      </c>
      <c r="W12" s="1482"/>
      <c r="X12" s="1482"/>
      <c r="Y12" s="1486"/>
      <c r="Z12" s="1524" t="s">
        <v>492</v>
      </c>
      <c r="AA12" s="1526">
        <v>49</v>
      </c>
      <c r="AB12" s="1527"/>
      <c r="AC12" s="1527"/>
      <c r="AD12" s="1528"/>
      <c r="AE12" s="1484" t="s">
        <v>751</v>
      </c>
      <c r="AF12" s="1526">
        <v>5</v>
      </c>
      <c r="AG12" s="1527"/>
      <c r="AH12" s="1527"/>
      <c r="AI12" s="1554"/>
      <c r="AJ12" s="1504" t="s">
        <v>490</v>
      </c>
      <c r="AK12" s="1481">
        <v>57</v>
      </c>
      <c r="AL12" s="1482"/>
      <c r="AM12" s="1482"/>
      <c r="AN12" s="1486"/>
      <c r="AO12" s="1524" t="s">
        <v>492</v>
      </c>
      <c r="AP12" s="1526">
        <v>44</v>
      </c>
      <c r="AQ12" s="1527"/>
      <c r="AR12" s="1527"/>
      <c r="AS12" s="1528"/>
      <c r="AT12" s="1484" t="s">
        <v>751</v>
      </c>
      <c r="AU12" s="1551">
        <v>13</v>
      </c>
      <c r="AV12" s="1552"/>
      <c r="AW12" s="1552"/>
      <c r="AX12" s="1553"/>
      <c r="AY12" s="1504" t="s">
        <v>490</v>
      </c>
      <c r="AZ12" s="1481">
        <v>59</v>
      </c>
      <c r="BA12" s="1482"/>
      <c r="BB12" s="1482"/>
      <c r="BC12" s="1486"/>
      <c r="BD12" s="1524" t="s">
        <v>492</v>
      </c>
      <c r="BE12" s="1526">
        <v>54</v>
      </c>
      <c r="BF12" s="1527"/>
      <c r="BG12" s="1527"/>
      <c r="BH12" s="1528"/>
      <c r="BI12" s="1478"/>
      <c r="BJ12" s="1503"/>
      <c r="BK12" s="1503"/>
      <c r="BL12" s="1503"/>
      <c r="BM12" s="1503"/>
      <c r="BN12" s="1478"/>
      <c r="BO12" s="1503"/>
      <c r="BP12" s="1503"/>
      <c r="BQ12" s="1503"/>
      <c r="BR12" s="1503"/>
    </row>
    <row r="13" spans="1:83" ht="65.25" customHeight="1" thickBot="1" x14ac:dyDescent="0.3">
      <c r="A13" s="1485"/>
      <c r="B13" s="550"/>
      <c r="C13" s="551" t="s">
        <v>113</v>
      </c>
      <c r="D13" s="552"/>
      <c r="E13" s="553" t="s">
        <v>114</v>
      </c>
      <c r="F13" s="1505"/>
      <c r="G13" s="550"/>
      <c r="H13" s="551" t="s">
        <v>113</v>
      </c>
      <c r="I13" s="552"/>
      <c r="J13" s="553" t="s">
        <v>114</v>
      </c>
      <c r="K13" s="1525"/>
      <c r="L13" s="550">
        <v>1E-8</v>
      </c>
      <c r="M13" s="551" t="s">
        <v>113</v>
      </c>
      <c r="N13" s="552"/>
      <c r="O13" s="554" t="s">
        <v>114</v>
      </c>
      <c r="P13" s="1485"/>
      <c r="Q13" s="550">
        <v>9.9999999999999995E-8</v>
      </c>
      <c r="R13" s="551" t="s">
        <v>113</v>
      </c>
      <c r="S13" s="552"/>
      <c r="T13" s="553" t="s">
        <v>114</v>
      </c>
      <c r="U13" s="1505"/>
      <c r="V13" s="550"/>
      <c r="W13" s="551" t="s">
        <v>113</v>
      </c>
      <c r="X13" s="552"/>
      <c r="Y13" s="553" t="s">
        <v>114</v>
      </c>
      <c r="Z13" s="1525"/>
      <c r="AA13" s="550">
        <v>9.9999999999999994E-12</v>
      </c>
      <c r="AB13" s="551" t="s">
        <v>113</v>
      </c>
      <c r="AC13" s="552"/>
      <c r="AD13" s="554" t="s">
        <v>114</v>
      </c>
      <c r="AE13" s="1485"/>
      <c r="AF13" s="550">
        <v>1.8288</v>
      </c>
      <c r="AG13" s="551" t="s">
        <v>113</v>
      </c>
      <c r="AH13" s="552"/>
      <c r="AI13" s="553" t="s">
        <v>114</v>
      </c>
      <c r="AJ13" s="1505"/>
      <c r="AK13" s="550"/>
      <c r="AL13" s="551" t="s">
        <v>113</v>
      </c>
      <c r="AM13" s="552"/>
      <c r="AN13" s="553" t="s">
        <v>114</v>
      </c>
      <c r="AO13" s="1525"/>
      <c r="AP13" s="550">
        <v>9.9999999999999998E-20</v>
      </c>
      <c r="AQ13" s="551" t="s">
        <v>113</v>
      </c>
      <c r="AR13" s="552"/>
      <c r="AS13" s="554" t="s">
        <v>114</v>
      </c>
      <c r="AT13" s="1485"/>
      <c r="AU13" s="572">
        <v>0.254</v>
      </c>
      <c r="AV13" s="573" t="s">
        <v>113</v>
      </c>
      <c r="AW13" s="574">
        <v>1</v>
      </c>
      <c r="AX13" s="576" t="s">
        <v>114</v>
      </c>
      <c r="AY13" s="1505"/>
      <c r="AZ13" s="550"/>
      <c r="BA13" s="551" t="s">
        <v>113</v>
      </c>
      <c r="BB13" s="552"/>
      <c r="BC13" s="553" t="s">
        <v>114</v>
      </c>
      <c r="BD13" s="1525"/>
      <c r="BE13" s="550">
        <v>9.9999999999999995E-8</v>
      </c>
      <c r="BF13" s="551" t="s">
        <v>113</v>
      </c>
      <c r="BG13" s="552"/>
      <c r="BH13" s="554" t="s">
        <v>114</v>
      </c>
      <c r="BI13" s="1478"/>
      <c r="BJ13" s="212"/>
      <c r="BK13" s="211"/>
      <c r="BL13" s="210"/>
      <c r="BM13" s="209"/>
      <c r="BN13" s="1478"/>
      <c r="BO13" s="212"/>
      <c r="BP13" s="211"/>
      <c r="BQ13" s="210"/>
      <c r="BR13" s="209"/>
      <c r="BW13" s="27"/>
      <c r="BX13" s="27"/>
      <c r="BY13" s="27"/>
      <c r="BZ13" s="27"/>
      <c r="CA13" s="27"/>
      <c r="CB13" s="27"/>
      <c r="CC13" s="27"/>
      <c r="CD13" s="27"/>
      <c r="CE13" s="27"/>
    </row>
    <row r="14" spans="1:83" ht="63" customHeight="1" thickTop="1" thickBot="1" x14ac:dyDescent="0.3">
      <c r="A14" s="1539" t="s">
        <v>756</v>
      </c>
      <c r="B14" s="1540"/>
      <c r="C14" s="1540"/>
      <c r="D14" s="1540"/>
      <c r="E14" s="1540"/>
      <c r="F14" s="1540"/>
      <c r="G14" s="1540"/>
      <c r="H14" s="1540"/>
      <c r="I14" s="1540"/>
      <c r="J14" s="1540"/>
      <c r="K14" s="1540"/>
      <c r="L14" s="1540"/>
      <c r="M14" s="1540"/>
      <c r="N14" s="1540"/>
      <c r="O14" s="1541"/>
      <c r="P14" s="1539" t="s">
        <v>757</v>
      </c>
      <c r="Q14" s="1540"/>
      <c r="R14" s="1540"/>
      <c r="S14" s="1540"/>
      <c r="T14" s="1540"/>
      <c r="U14" s="1540"/>
      <c r="V14" s="1540"/>
      <c r="W14" s="1540"/>
      <c r="X14" s="1540"/>
      <c r="Y14" s="1540"/>
      <c r="Z14" s="1540"/>
      <c r="AA14" s="1540"/>
      <c r="AB14" s="1540"/>
      <c r="AC14" s="1540"/>
      <c r="AD14" s="1541"/>
      <c r="AE14" s="1539" t="s">
        <v>758</v>
      </c>
      <c r="AF14" s="1540"/>
      <c r="AG14" s="1540"/>
      <c r="AH14" s="1540"/>
      <c r="AI14" s="1540"/>
      <c r="AJ14" s="1540"/>
      <c r="AK14" s="1540"/>
      <c r="AL14" s="1540"/>
      <c r="AM14" s="1540"/>
      <c r="AN14" s="1540"/>
      <c r="AO14" s="1540"/>
      <c r="AP14" s="1540"/>
      <c r="AQ14" s="1540"/>
      <c r="AR14" s="1540"/>
      <c r="AS14" s="1541"/>
      <c r="AT14" s="1539" t="s">
        <v>759</v>
      </c>
      <c r="AU14" s="1540"/>
      <c r="AV14" s="1540"/>
      <c r="AW14" s="1540"/>
      <c r="AX14" s="1540"/>
      <c r="AY14" s="1540"/>
      <c r="AZ14" s="1540"/>
      <c r="BA14" s="1540"/>
      <c r="BB14" s="1540"/>
      <c r="BC14" s="1540"/>
      <c r="BD14" s="1540"/>
      <c r="BE14" s="1540"/>
      <c r="BF14" s="1540"/>
      <c r="BG14" s="1540"/>
      <c r="BH14" s="1541"/>
      <c r="BI14" s="1489"/>
      <c r="BJ14" s="1487"/>
      <c r="BK14" s="1488"/>
      <c r="BL14" s="1488"/>
      <c r="BM14" s="1488"/>
      <c r="BN14" s="1487"/>
      <c r="BO14" s="1487"/>
      <c r="BP14" s="1488"/>
      <c r="BQ14" s="1488"/>
      <c r="BR14" s="1488"/>
    </row>
    <row r="15" spans="1:83" ht="57" customHeight="1" thickBot="1" x14ac:dyDescent="0.3">
      <c r="A15" s="1536" t="s">
        <v>772</v>
      </c>
      <c r="B15" s="1537"/>
      <c r="C15" s="1537"/>
      <c r="D15" s="1537"/>
      <c r="E15" s="1537"/>
      <c r="F15" s="1537" t="s">
        <v>773</v>
      </c>
      <c r="G15" s="1537"/>
      <c r="H15" s="1537"/>
      <c r="I15" s="1537"/>
      <c r="J15" s="1537"/>
      <c r="K15" s="1537" t="s">
        <v>774</v>
      </c>
      <c r="L15" s="1537"/>
      <c r="M15" s="1537"/>
      <c r="N15" s="1537"/>
      <c r="O15" s="1538"/>
      <c r="P15" s="1536" t="s">
        <v>772</v>
      </c>
      <c r="Q15" s="1537"/>
      <c r="R15" s="1537"/>
      <c r="S15" s="1537"/>
      <c r="T15" s="1537"/>
      <c r="U15" s="1537" t="s">
        <v>773</v>
      </c>
      <c r="V15" s="1537"/>
      <c r="W15" s="1537"/>
      <c r="X15" s="1537"/>
      <c r="Y15" s="1537"/>
      <c r="Z15" s="1537" t="s">
        <v>774</v>
      </c>
      <c r="AA15" s="1537"/>
      <c r="AB15" s="1537"/>
      <c r="AC15" s="1537"/>
      <c r="AD15" s="1538"/>
      <c r="AE15" s="1536" t="s">
        <v>772</v>
      </c>
      <c r="AF15" s="1537"/>
      <c r="AG15" s="1537"/>
      <c r="AH15" s="1537"/>
      <c r="AI15" s="1537"/>
      <c r="AJ15" s="1537" t="s">
        <v>773</v>
      </c>
      <c r="AK15" s="1537"/>
      <c r="AL15" s="1537"/>
      <c r="AM15" s="1537"/>
      <c r="AN15" s="1537"/>
      <c r="AO15" s="1537" t="s">
        <v>774</v>
      </c>
      <c r="AP15" s="1537"/>
      <c r="AQ15" s="1537"/>
      <c r="AR15" s="1537"/>
      <c r="AS15" s="1538"/>
      <c r="AT15" s="1536" t="s">
        <v>772</v>
      </c>
      <c r="AU15" s="1537"/>
      <c r="AV15" s="1537"/>
      <c r="AW15" s="1537"/>
      <c r="AX15" s="1537"/>
      <c r="AY15" s="1537" t="s">
        <v>773</v>
      </c>
      <c r="AZ15" s="1537"/>
      <c r="BA15" s="1537"/>
      <c r="BB15" s="1537"/>
      <c r="BC15" s="1537"/>
      <c r="BD15" s="1537" t="s">
        <v>774</v>
      </c>
      <c r="BE15" s="1537"/>
      <c r="BF15" s="1537"/>
      <c r="BG15" s="1537"/>
      <c r="BH15" s="1538"/>
      <c r="BI15" s="1477"/>
      <c r="BJ15" s="1475"/>
      <c r="BK15" s="1476"/>
      <c r="BL15" s="1476"/>
      <c r="BM15" s="1476"/>
      <c r="BN15" s="1475"/>
      <c r="BO15" s="1475"/>
      <c r="BP15" s="1476"/>
      <c r="BQ15" s="1476"/>
      <c r="BR15" s="1476"/>
    </row>
    <row r="16" spans="1:83" s="228" customFormat="1" ht="107.25" customHeight="1" x14ac:dyDescent="0.5">
      <c r="A16" s="1506" t="s">
        <v>110</v>
      </c>
      <c r="B16" s="1507"/>
      <c r="C16" s="1508">
        <f>B19/((42*3.1415/59)*(80/3.281))</f>
        <v>0</v>
      </c>
      <c r="D16" s="1508"/>
      <c r="E16" s="1509"/>
      <c r="F16" s="1510" t="s">
        <v>110</v>
      </c>
      <c r="G16" s="1511"/>
      <c r="H16" s="1512">
        <f>G19/((42*3.1415/59)*(35/3.281))</f>
        <v>0</v>
      </c>
      <c r="I16" s="1512"/>
      <c r="J16" s="1513"/>
      <c r="K16" s="1529" t="s">
        <v>110</v>
      </c>
      <c r="L16" s="1530"/>
      <c r="M16" s="1531">
        <f>L19/((42*3.1415/59)*(55/3.281))</f>
        <v>0</v>
      </c>
      <c r="N16" s="1531"/>
      <c r="O16" s="1532"/>
      <c r="P16" s="1506" t="s">
        <v>110</v>
      </c>
      <c r="Q16" s="1507"/>
      <c r="R16" s="1508">
        <f t="shared" ref="R16" si="7">Q19/((42*3.1415/59)*(80/3.281))</f>
        <v>0</v>
      </c>
      <c r="S16" s="1508"/>
      <c r="T16" s="1509"/>
      <c r="U16" s="1510" t="s">
        <v>110</v>
      </c>
      <c r="V16" s="1511"/>
      <c r="W16" s="1512">
        <f t="shared" ref="W16" si="8">V19/((42*3.1415/59)*(35/3.281))</f>
        <v>0</v>
      </c>
      <c r="X16" s="1512"/>
      <c r="Y16" s="1513"/>
      <c r="Z16" s="1529" t="s">
        <v>110</v>
      </c>
      <c r="AA16" s="1530"/>
      <c r="AB16" s="1531">
        <f>AA19/((42*3.1415/59)*(55/3.281))</f>
        <v>0</v>
      </c>
      <c r="AC16" s="1531"/>
      <c r="AD16" s="1532"/>
      <c r="AE16" s="1506" t="s">
        <v>110</v>
      </c>
      <c r="AF16" s="1507"/>
      <c r="AG16" s="1508">
        <f t="shared" ref="AG16" si="9">AF19/((42*3.1415/59)*(80/3.281))</f>
        <v>0</v>
      </c>
      <c r="AH16" s="1508"/>
      <c r="AI16" s="1509"/>
      <c r="AJ16" s="1510" t="s">
        <v>110</v>
      </c>
      <c r="AK16" s="1511"/>
      <c r="AL16" s="1512">
        <f t="shared" ref="AL16" si="10">AK19/((42*3.1415/59)*(35/3.281))</f>
        <v>0</v>
      </c>
      <c r="AM16" s="1512"/>
      <c r="AN16" s="1513"/>
      <c r="AO16" s="1529" t="s">
        <v>110</v>
      </c>
      <c r="AP16" s="1530"/>
      <c r="AQ16" s="1531">
        <f t="shared" ref="AQ16" si="11">AP19/((42*3.1415/59)*(55/3.281))</f>
        <v>1.4228601276170908E-2</v>
      </c>
      <c r="AR16" s="1531"/>
      <c r="AS16" s="1532"/>
      <c r="AT16" s="1506" t="s">
        <v>110</v>
      </c>
      <c r="AU16" s="1507"/>
      <c r="AV16" s="1508">
        <f t="shared" ref="AV16" si="12">AU19/((42*3.1415/59)*(80/3.281))</f>
        <v>0</v>
      </c>
      <c r="AW16" s="1508"/>
      <c r="AX16" s="1509"/>
      <c r="AY16" s="1510" t="s">
        <v>110</v>
      </c>
      <c r="AZ16" s="1511"/>
      <c r="BA16" s="1512">
        <f t="shared" ref="BA16" si="13">AZ19/((42*3.1415/59)*(35/3.281))</f>
        <v>0</v>
      </c>
      <c r="BB16" s="1512"/>
      <c r="BC16" s="1513"/>
      <c r="BD16" s="1529" t="s">
        <v>110</v>
      </c>
      <c r="BE16" s="1530"/>
      <c r="BF16" s="1531">
        <f t="shared" ref="BF16" si="14">BE19/((42*3.1415/59)*(55/3.281))</f>
        <v>4.0653146503345453E-3</v>
      </c>
      <c r="BG16" s="1531"/>
      <c r="BH16" s="1532"/>
      <c r="BI16" s="1477"/>
      <c r="BJ16" s="1475"/>
      <c r="BK16" s="1476"/>
      <c r="BL16" s="1476"/>
      <c r="BM16" s="1476"/>
      <c r="BN16" s="1475"/>
      <c r="BO16" s="1475"/>
      <c r="BP16" s="1476"/>
      <c r="BQ16" s="1476"/>
      <c r="BR16" s="1476"/>
    </row>
    <row r="17" spans="1:138" ht="102.75" customHeight="1" x14ac:dyDescent="0.25">
      <c r="A17" s="1490" t="s">
        <v>775</v>
      </c>
      <c r="B17" s="1491"/>
      <c r="C17" s="1491"/>
      <c r="D17" s="1491"/>
      <c r="E17" s="1492"/>
      <c r="F17" s="1493" t="s">
        <v>776</v>
      </c>
      <c r="G17" s="1494"/>
      <c r="H17" s="1495" t="s">
        <v>777</v>
      </c>
      <c r="I17" s="1496"/>
      <c r="J17" s="1497"/>
      <c r="K17" s="1498" t="s">
        <v>776</v>
      </c>
      <c r="L17" s="1499"/>
      <c r="M17" s="1500" t="s">
        <v>777</v>
      </c>
      <c r="N17" s="1501"/>
      <c r="O17" s="1502"/>
      <c r="P17" s="1490" t="s">
        <v>775</v>
      </c>
      <c r="Q17" s="1491"/>
      <c r="R17" s="1491"/>
      <c r="S17" s="1491"/>
      <c r="T17" s="1492"/>
      <c r="U17" s="1493" t="s">
        <v>776</v>
      </c>
      <c r="V17" s="1494"/>
      <c r="W17" s="1495" t="s">
        <v>777</v>
      </c>
      <c r="X17" s="1496"/>
      <c r="Y17" s="1497"/>
      <c r="Z17" s="1498" t="s">
        <v>776</v>
      </c>
      <c r="AA17" s="1499"/>
      <c r="AB17" s="1500" t="s">
        <v>777</v>
      </c>
      <c r="AC17" s="1501"/>
      <c r="AD17" s="1502"/>
      <c r="AE17" s="1490" t="s">
        <v>775</v>
      </c>
      <c r="AF17" s="1491"/>
      <c r="AG17" s="1491"/>
      <c r="AH17" s="1491"/>
      <c r="AI17" s="1492"/>
      <c r="AJ17" s="1493" t="s">
        <v>776</v>
      </c>
      <c r="AK17" s="1494"/>
      <c r="AL17" s="1495" t="s">
        <v>777</v>
      </c>
      <c r="AM17" s="1496"/>
      <c r="AN17" s="1497"/>
      <c r="AO17" s="1498" t="s">
        <v>776</v>
      </c>
      <c r="AP17" s="1499"/>
      <c r="AQ17" s="1500" t="s">
        <v>777</v>
      </c>
      <c r="AR17" s="1501"/>
      <c r="AS17" s="1502"/>
      <c r="AT17" s="1490" t="s">
        <v>775</v>
      </c>
      <c r="AU17" s="1491"/>
      <c r="AV17" s="1491"/>
      <c r="AW17" s="1491"/>
      <c r="AX17" s="1492"/>
      <c r="AY17" s="1493" t="s">
        <v>776</v>
      </c>
      <c r="AZ17" s="1494"/>
      <c r="BA17" s="1495" t="s">
        <v>777</v>
      </c>
      <c r="BB17" s="1496"/>
      <c r="BC17" s="1497"/>
      <c r="BD17" s="1498" t="s">
        <v>776</v>
      </c>
      <c r="BE17" s="1499"/>
      <c r="BF17" s="1500" t="s">
        <v>777</v>
      </c>
      <c r="BG17" s="1501"/>
      <c r="BH17" s="1502"/>
      <c r="BI17" s="1477"/>
      <c r="BJ17" s="1475"/>
      <c r="BK17" s="1476"/>
      <c r="BL17" s="1476"/>
      <c r="BM17" s="1476"/>
      <c r="BN17" s="1475"/>
      <c r="BO17" s="1475"/>
      <c r="BP17" s="1476"/>
      <c r="BQ17" s="1476"/>
      <c r="BR17" s="1476"/>
    </row>
    <row r="18" spans="1:138" s="562" customFormat="1" ht="134.25" customHeight="1" x14ac:dyDescent="1.5">
      <c r="A18" s="1484" t="s">
        <v>751</v>
      </c>
      <c r="B18" s="1481">
        <v>14</v>
      </c>
      <c r="C18" s="1482"/>
      <c r="D18" s="1482"/>
      <c r="E18" s="1486"/>
      <c r="F18" s="1504" t="s">
        <v>490</v>
      </c>
      <c r="G18" s="1481">
        <v>58</v>
      </c>
      <c r="H18" s="1482"/>
      <c r="I18" s="1482"/>
      <c r="J18" s="1486"/>
      <c r="K18" s="1524" t="s">
        <v>492</v>
      </c>
      <c r="L18" s="1481">
        <v>3</v>
      </c>
      <c r="M18" s="1482"/>
      <c r="N18" s="1482"/>
      <c r="O18" s="1483"/>
      <c r="P18" s="1484" t="s">
        <v>751</v>
      </c>
      <c r="Q18" s="1481">
        <v>18</v>
      </c>
      <c r="R18" s="1482"/>
      <c r="S18" s="1482"/>
      <c r="T18" s="1486"/>
      <c r="U18" s="1504" t="s">
        <v>490</v>
      </c>
      <c r="V18" s="1481">
        <v>60</v>
      </c>
      <c r="W18" s="1482"/>
      <c r="X18" s="1482"/>
      <c r="Y18" s="1486"/>
      <c r="Z18" s="1524" t="s">
        <v>492</v>
      </c>
      <c r="AA18" s="1481">
        <v>34</v>
      </c>
      <c r="AB18" s="1482"/>
      <c r="AC18" s="1482"/>
      <c r="AD18" s="1486"/>
      <c r="AE18" s="1484" t="s">
        <v>751</v>
      </c>
      <c r="AF18" s="1481">
        <v>21</v>
      </c>
      <c r="AG18" s="1482"/>
      <c r="AH18" s="1482"/>
      <c r="AI18" s="1486"/>
      <c r="AJ18" s="1504" t="s">
        <v>490</v>
      </c>
      <c r="AK18" s="1481">
        <v>61</v>
      </c>
      <c r="AL18" s="1482"/>
      <c r="AM18" s="1482"/>
      <c r="AN18" s="1486"/>
      <c r="AO18" s="1524" t="s">
        <v>492</v>
      </c>
      <c r="AP18" s="1526">
        <v>38</v>
      </c>
      <c r="AQ18" s="1527"/>
      <c r="AR18" s="1527"/>
      <c r="AS18" s="1528"/>
      <c r="AT18" s="1484" t="s">
        <v>751</v>
      </c>
      <c r="AU18" s="1481">
        <v>17</v>
      </c>
      <c r="AV18" s="1482"/>
      <c r="AW18" s="1482"/>
      <c r="AX18" s="1486"/>
      <c r="AY18" s="1504" t="s">
        <v>490</v>
      </c>
      <c r="AZ18" s="1481">
        <v>72</v>
      </c>
      <c r="BA18" s="1482"/>
      <c r="BB18" s="1482"/>
      <c r="BC18" s="1486"/>
      <c r="BD18" s="1524" t="s">
        <v>492</v>
      </c>
      <c r="BE18" s="1526">
        <v>40</v>
      </c>
      <c r="BF18" s="1527"/>
      <c r="BG18" s="1527"/>
      <c r="BH18" s="1528"/>
      <c r="BI18" s="1473"/>
      <c r="BJ18" s="1503"/>
      <c r="BK18" s="1503"/>
      <c r="BL18" s="1503"/>
      <c r="BM18" s="1503"/>
      <c r="BN18" s="1478"/>
      <c r="BO18" s="1503"/>
      <c r="BP18" s="1503"/>
      <c r="BQ18" s="1503"/>
      <c r="BR18" s="1503"/>
    </row>
    <row r="19" spans="1:138" ht="65.25" customHeight="1" thickBot="1" x14ac:dyDescent="0.3">
      <c r="A19" s="1485"/>
      <c r="B19" s="550"/>
      <c r="C19" s="551" t="s">
        <v>113</v>
      </c>
      <c r="D19" s="552"/>
      <c r="E19" s="553" t="s">
        <v>114</v>
      </c>
      <c r="F19" s="1505"/>
      <c r="G19" s="550"/>
      <c r="H19" s="551" t="s">
        <v>113</v>
      </c>
      <c r="I19" s="552"/>
      <c r="J19" s="553" t="s">
        <v>114</v>
      </c>
      <c r="K19" s="1525"/>
      <c r="L19" s="550"/>
      <c r="M19" s="551" t="s">
        <v>113</v>
      </c>
      <c r="N19" s="552"/>
      <c r="O19" s="554" t="s">
        <v>114</v>
      </c>
      <c r="P19" s="1485"/>
      <c r="Q19" s="550"/>
      <c r="R19" s="551" t="s">
        <v>113</v>
      </c>
      <c r="S19" s="552"/>
      <c r="T19" s="553" t="s">
        <v>114</v>
      </c>
      <c r="U19" s="1505"/>
      <c r="V19" s="550"/>
      <c r="W19" s="551" t="s">
        <v>113</v>
      </c>
      <c r="X19" s="552"/>
      <c r="Y19" s="553" t="s">
        <v>114</v>
      </c>
      <c r="Z19" s="1525"/>
      <c r="AA19" s="550"/>
      <c r="AB19" s="551" t="s">
        <v>113</v>
      </c>
      <c r="AC19" s="552"/>
      <c r="AD19" s="553" t="s">
        <v>114</v>
      </c>
      <c r="AE19" s="1485"/>
      <c r="AF19" s="550"/>
      <c r="AG19" s="551" t="s">
        <v>113</v>
      </c>
      <c r="AH19" s="552"/>
      <c r="AI19" s="553" t="s">
        <v>114</v>
      </c>
      <c r="AJ19" s="1505"/>
      <c r="AK19" s="550"/>
      <c r="AL19" s="551" t="s">
        <v>113</v>
      </c>
      <c r="AM19" s="552"/>
      <c r="AN19" s="553" t="s">
        <v>114</v>
      </c>
      <c r="AO19" s="1525"/>
      <c r="AP19" s="550">
        <v>0.53339999999999999</v>
      </c>
      <c r="AQ19" s="551" t="s">
        <v>113</v>
      </c>
      <c r="AR19" s="552"/>
      <c r="AS19" s="554" t="s">
        <v>114</v>
      </c>
      <c r="AT19" s="1485"/>
      <c r="AU19" s="550"/>
      <c r="AV19" s="551" t="s">
        <v>113</v>
      </c>
      <c r="AW19" s="552"/>
      <c r="AX19" s="553" t="s">
        <v>114</v>
      </c>
      <c r="AY19" s="1505"/>
      <c r="AZ19" s="550"/>
      <c r="BA19" s="551" t="s">
        <v>113</v>
      </c>
      <c r="BB19" s="552"/>
      <c r="BC19" s="553" t="s">
        <v>114</v>
      </c>
      <c r="BD19" s="1525"/>
      <c r="BE19" s="550">
        <v>0.15240000000000001</v>
      </c>
      <c r="BF19" s="551" t="s">
        <v>113</v>
      </c>
      <c r="BG19" s="552"/>
      <c r="BH19" s="554" t="s">
        <v>114</v>
      </c>
      <c r="BI19" s="1473"/>
      <c r="BJ19" s="212"/>
      <c r="BK19" s="211"/>
      <c r="BL19" s="210"/>
      <c r="BM19" s="209"/>
      <c r="BN19" s="1478"/>
      <c r="BO19" s="212"/>
      <c r="BP19" s="211"/>
      <c r="BQ19" s="210"/>
      <c r="BR19" s="209"/>
      <c r="BW19" s="27"/>
      <c r="BX19" s="27"/>
      <c r="BY19" s="27"/>
      <c r="BZ19" s="27"/>
      <c r="CA19" s="27"/>
      <c r="CB19" s="27"/>
      <c r="CC19" s="27"/>
      <c r="CD19" s="27"/>
      <c r="CE19" s="27"/>
    </row>
    <row r="20" spans="1:138" ht="63" customHeight="1" thickTop="1" thickBot="1" x14ac:dyDescent="0.3">
      <c r="A20" s="1539" t="s">
        <v>760</v>
      </c>
      <c r="B20" s="1540"/>
      <c r="C20" s="1540"/>
      <c r="D20" s="1540"/>
      <c r="E20" s="1540"/>
      <c r="F20" s="1540"/>
      <c r="G20" s="1540"/>
      <c r="H20" s="1540"/>
      <c r="I20" s="1540"/>
      <c r="J20" s="1540"/>
      <c r="K20" s="1540"/>
      <c r="L20" s="1540"/>
      <c r="M20" s="1540"/>
      <c r="N20" s="1540"/>
      <c r="O20" s="1541"/>
      <c r="P20" s="1539" t="s">
        <v>761</v>
      </c>
      <c r="Q20" s="1540"/>
      <c r="R20" s="1540"/>
      <c r="S20" s="1540"/>
      <c r="T20" s="1540"/>
      <c r="U20" s="1540"/>
      <c r="V20" s="1540"/>
      <c r="W20" s="1540"/>
      <c r="X20" s="1540"/>
      <c r="Y20" s="1540"/>
      <c r="Z20" s="1540"/>
      <c r="AA20" s="1540"/>
      <c r="AB20" s="1540"/>
      <c r="AC20" s="1540"/>
      <c r="AD20" s="1541"/>
      <c r="AE20" s="1539" t="s">
        <v>762</v>
      </c>
      <c r="AF20" s="1540"/>
      <c r="AG20" s="1540"/>
      <c r="AH20" s="1540"/>
      <c r="AI20" s="1540"/>
      <c r="AJ20" s="1540"/>
      <c r="AK20" s="1540"/>
      <c r="AL20" s="1540"/>
      <c r="AM20" s="1540"/>
      <c r="AN20" s="1540"/>
      <c r="AO20" s="1540"/>
      <c r="AP20" s="1540"/>
      <c r="AQ20" s="1540"/>
      <c r="AR20" s="1540"/>
      <c r="AS20" s="1541"/>
      <c r="AT20" s="1539" t="s">
        <v>763</v>
      </c>
      <c r="AU20" s="1540"/>
      <c r="AV20" s="1540"/>
      <c r="AW20" s="1540"/>
      <c r="AX20" s="1540"/>
      <c r="AY20" s="1540"/>
      <c r="AZ20" s="1540"/>
      <c r="BA20" s="1540"/>
      <c r="BB20" s="1540"/>
      <c r="BC20" s="1540"/>
      <c r="BD20" s="1540"/>
      <c r="BE20" s="1540"/>
      <c r="BF20" s="1540"/>
      <c r="BG20" s="1540"/>
      <c r="BH20" s="1541"/>
      <c r="BI20" s="1489"/>
      <c r="BJ20" s="1487"/>
      <c r="BK20" s="1488"/>
      <c r="BL20" s="1488"/>
      <c r="BM20" s="1488"/>
      <c r="BN20" s="1487"/>
      <c r="BO20" s="1487"/>
      <c r="BP20" s="1488"/>
      <c r="BQ20" s="1488"/>
      <c r="BR20" s="1488"/>
    </row>
    <row r="21" spans="1:138" ht="61.5" customHeight="1" thickBot="1" x14ac:dyDescent="0.3">
      <c r="A21" s="1536" t="s">
        <v>772</v>
      </c>
      <c r="B21" s="1537"/>
      <c r="C21" s="1537"/>
      <c r="D21" s="1537"/>
      <c r="E21" s="1537"/>
      <c r="F21" s="1537" t="s">
        <v>773</v>
      </c>
      <c r="G21" s="1537"/>
      <c r="H21" s="1537"/>
      <c r="I21" s="1537"/>
      <c r="J21" s="1537"/>
      <c r="K21" s="1537" t="s">
        <v>774</v>
      </c>
      <c r="L21" s="1537"/>
      <c r="M21" s="1537"/>
      <c r="N21" s="1537"/>
      <c r="O21" s="1538"/>
      <c r="P21" s="1536" t="s">
        <v>772</v>
      </c>
      <c r="Q21" s="1537"/>
      <c r="R21" s="1537"/>
      <c r="S21" s="1537"/>
      <c r="T21" s="1537"/>
      <c r="U21" s="1537" t="s">
        <v>773</v>
      </c>
      <c r="V21" s="1537"/>
      <c r="W21" s="1537"/>
      <c r="X21" s="1537"/>
      <c r="Y21" s="1537"/>
      <c r="Z21" s="1537" t="s">
        <v>774</v>
      </c>
      <c r="AA21" s="1537"/>
      <c r="AB21" s="1537"/>
      <c r="AC21" s="1537"/>
      <c r="AD21" s="1538"/>
      <c r="AE21" s="1536" t="s">
        <v>772</v>
      </c>
      <c r="AF21" s="1537"/>
      <c r="AG21" s="1537"/>
      <c r="AH21" s="1537"/>
      <c r="AI21" s="1537"/>
      <c r="AJ21" s="1537" t="s">
        <v>773</v>
      </c>
      <c r="AK21" s="1537"/>
      <c r="AL21" s="1537"/>
      <c r="AM21" s="1537"/>
      <c r="AN21" s="1537"/>
      <c r="AO21" s="1537" t="s">
        <v>774</v>
      </c>
      <c r="AP21" s="1537"/>
      <c r="AQ21" s="1537"/>
      <c r="AR21" s="1537"/>
      <c r="AS21" s="1538"/>
      <c r="AT21" s="1536" t="s">
        <v>772</v>
      </c>
      <c r="AU21" s="1537"/>
      <c r="AV21" s="1537"/>
      <c r="AW21" s="1537"/>
      <c r="AX21" s="1537"/>
      <c r="AY21" s="1537" t="s">
        <v>773</v>
      </c>
      <c r="AZ21" s="1537"/>
      <c r="BA21" s="1537"/>
      <c r="BB21" s="1537"/>
      <c r="BC21" s="1537"/>
      <c r="BD21" s="1537" t="s">
        <v>774</v>
      </c>
      <c r="BE21" s="1537"/>
      <c r="BF21" s="1537"/>
      <c r="BG21" s="1537"/>
      <c r="BH21" s="1538"/>
      <c r="BI21" s="1477"/>
      <c r="BJ21" s="1475"/>
      <c r="BK21" s="1476"/>
      <c r="BL21" s="1476"/>
      <c r="BM21" s="1476"/>
      <c r="BN21" s="1475"/>
      <c r="BO21" s="1475"/>
      <c r="BP21" s="1476"/>
      <c r="BQ21" s="1476"/>
      <c r="BR21" s="1476"/>
    </row>
    <row r="22" spans="1:138" s="228" customFormat="1" ht="107.25" customHeight="1" x14ac:dyDescent="0.5">
      <c r="A22" s="1506" t="s">
        <v>110</v>
      </c>
      <c r="B22" s="1507"/>
      <c r="C22" s="1508">
        <f>B25/((42*3.1415/59)*(80/3.281))</f>
        <v>0</v>
      </c>
      <c r="D22" s="1508"/>
      <c r="E22" s="1509"/>
      <c r="F22" s="1510" t="s">
        <v>110</v>
      </c>
      <c r="G22" s="1511"/>
      <c r="H22" s="1512">
        <f>G25/((42*3.1415/59)*(35/3.281))</f>
        <v>0</v>
      </c>
      <c r="I22" s="1512"/>
      <c r="J22" s="1513"/>
      <c r="K22" s="1529" t="s">
        <v>110</v>
      </c>
      <c r="L22" s="1530"/>
      <c r="M22" s="1531">
        <f>L25/((42*3.1415/59)*(55/3.281))</f>
        <v>0</v>
      </c>
      <c r="N22" s="1531"/>
      <c r="O22" s="1532"/>
      <c r="P22" s="1506" t="s">
        <v>110</v>
      </c>
      <c r="Q22" s="1507"/>
      <c r="R22" s="1508">
        <f t="shared" ref="R22" si="15">Q25/((42*3.1415/59)*(80/3.281))</f>
        <v>2.981230743578666E-2</v>
      </c>
      <c r="S22" s="1508"/>
      <c r="T22" s="1509"/>
      <c r="U22" s="1510" t="s">
        <v>110</v>
      </c>
      <c r="V22" s="1511"/>
      <c r="W22" s="1512">
        <f t="shared" ref="W22" si="16">V25/((42*3.1415/59)*(35/3.281))</f>
        <v>0</v>
      </c>
      <c r="X22" s="1512"/>
      <c r="Y22" s="1513"/>
      <c r="Z22" s="1529" t="s">
        <v>110</v>
      </c>
      <c r="AA22" s="1530"/>
      <c r="AB22" s="1531">
        <f t="shared" ref="AB22" si="17">AA25/((42*3.1415/59)*(55/3.281))</f>
        <v>8.3338950331858175E-2</v>
      </c>
      <c r="AC22" s="1531"/>
      <c r="AD22" s="1532"/>
      <c r="AE22" s="1506" t="s">
        <v>110</v>
      </c>
      <c r="AF22" s="1507"/>
      <c r="AG22" s="1508">
        <f t="shared" ref="AG22" si="18">AF25/((42*3.1415/59)*(80/3.281))</f>
        <v>0</v>
      </c>
      <c r="AH22" s="1508"/>
      <c r="AI22" s="1509"/>
      <c r="AJ22" s="1510" t="s">
        <v>110</v>
      </c>
      <c r="AK22" s="1511"/>
      <c r="AL22" s="1512">
        <f t="shared" ref="AL22" si="19">AK25/((42*3.1415/59)*(35/3.281))</f>
        <v>0</v>
      </c>
      <c r="AM22" s="1512"/>
      <c r="AN22" s="1513"/>
      <c r="AO22" s="1529" t="s">
        <v>110</v>
      </c>
      <c r="AP22" s="1530"/>
      <c r="AQ22" s="1531">
        <f t="shared" ref="AQ22" si="20">AP25/((42*3.1415/59)*(55/3.281))</f>
        <v>0</v>
      </c>
      <c r="AR22" s="1531"/>
      <c r="AS22" s="1532"/>
      <c r="AT22" s="1506" t="s">
        <v>110</v>
      </c>
      <c r="AU22" s="1507"/>
      <c r="AV22" s="1508">
        <f t="shared" ref="AV22" si="21">AU25/((42*3.1415/59)*(80/3.281))</f>
        <v>0</v>
      </c>
      <c r="AW22" s="1508"/>
      <c r="AX22" s="1509"/>
      <c r="AY22" s="1510" t="s">
        <v>110</v>
      </c>
      <c r="AZ22" s="1511"/>
      <c r="BA22" s="1512">
        <f t="shared" ref="BA22" si="22">AZ25/((42*3.1415/59)*(35/3.281))</f>
        <v>0</v>
      </c>
      <c r="BB22" s="1512"/>
      <c r="BC22" s="1513"/>
      <c r="BD22" s="1529" t="s">
        <v>110</v>
      </c>
      <c r="BE22" s="1530"/>
      <c r="BF22" s="1531">
        <f t="shared" ref="BF22" si="23">BE25/((42*3.1415/59)*(55/3.281))</f>
        <v>0</v>
      </c>
      <c r="BG22" s="1531"/>
      <c r="BH22" s="1532"/>
      <c r="BI22" s="1477"/>
      <c r="BJ22" s="1475"/>
      <c r="BK22" s="1476"/>
      <c r="BL22" s="1476"/>
      <c r="BM22" s="1476"/>
      <c r="BN22" s="1475"/>
      <c r="BO22" s="1475"/>
      <c r="BP22" s="1476"/>
      <c r="BQ22" s="1476"/>
      <c r="BR22" s="1476"/>
    </row>
    <row r="23" spans="1:138" ht="102.75" customHeight="1" x14ac:dyDescent="0.25">
      <c r="A23" s="1490" t="s">
        <v>775</v>
      </c>
      <c r="B23" s="1491"/>
      <c r="C23" s="1491"/>
      <c r="D23" s="1491"/>
      <c r="E23" s="1492"/>
      <c r="F23" s="1493" t="s">
        <v>776</v>
      </c>
      <c r="G23" s="1494"/>
      <c r="H23" s="1495" t="s">
        <v>777</v>
      </c>
      <c r="I23" s="1496"/>
      <c r="J23" s="1497"/>
      <c r="K23" s="1498" t="s">
        <v>776</v>
      </c>
      <c r="L23" s="1499"/>
      <c r="M23" s="1500" t="s">
        <v>777</v>
      </c>
      <c r="N23" s="1501"/>
      <c r="O23" s="1502"/>
      <c r="P23" s="1548" t="s">
        <v>775</v>
      </c>
      <c r="Q23" s="1549"/>
      <c r="R23" s="1549"/>
      <c r="S23" s="1549"/>
      <c r="T23" s="1550"/>
      <c r="U23" s="1493" t="s">
        <v>776</v>
      </c>
      <c r="V23" s="1494"/>
      <c r="W23" s="1495" t="s">
        <v>777</v>
      </c>
      <c r="X23" s="1496"/>
      <c r="Y23" s="1497"/>
      <c r="Z23" s="1498" t="s">
        <v>776</v>
      </c>
      <c r="AA23" s="1499"/>
      <c r="AB23" s="1500" t="s">
        <v>777</v>
      </c>
      <c r="AC23" s="1501"/>
      <c r="AD23" s="1502"/>
      <c r="AE23" s="1490" t="s">
        <v>775</v>
      </c>
      <c r="AF23" s="1491"/>
      <c r="AG23" s="1491"/>
      <c r="AH23" s="1491"/>
      <c r="AI23" s="1492"/>
      <c r="AJ23" s="1493" t="s">
        <v>776</v>
      </c>
      <c r="AK23" s="1494"/>
      <c r="AL23" s="1495" t="s">
        <v>777</v>
      </c>
      <c r="AM23" s="1496"/>
      <c r="AN23" s="1497"/>
      <c r="AO23" s="1498" t="s">
        <v>776</v>
      </c>
      <c r="AP23" s="1499"/>
      <c r="AQ23" s="1500" t="s">
        <v>777</v>
      </c>
      <c r="AR23" s="1501"/>
      <c r="AS23" s="1502"/>
      <c r="AT23" s="1490" t="s">
        <v>775</v>
      </c>
      <c r="AU23" s="1491"/>
      <c r="AV23" s="1491"/>
      <c r="AW23" s="1491"/>
      <c r="AX23" s="1492"/>
      <c r="AY23" s="1493" t="s">
        <v>776</v>
      </c>
      <c r="AZ23" s="1494"/>
      <c r="BA23" s="1495" t="s">
        <v>777</v>
      </c>
      <c r="BB23" s="1496"/>
      <c r="BC23" s="1497"/>
      <c r="BD23" s="1498" t="s">
        <v>776</v>
      </c>
      <c r="BE23" s="1499"/>
      <c r="BF23" s="1500" t="s">
        <v>777</v>
      </c>
      <c r="BG23" s="1501"/>
      <c r="BH23" s="1502"/>
      <c r="BI23" s="1477"/>
      <c r="BJ23" s="1475"/>
      <c r="BK23" s="1476"/>
      <c r="BL23" s="1476"/>
      <c r="BM23" s="1476"/>
      <c r="BN23" s="1475"/>
      <c r="BO23" s="1475"/>
      <c r="BP23" s="1476"/>
      <c r="BQ23" s="1476"/>
      <c r="BR23" s="1476"/>
    </row>
    <row r="24" spans="1:138" s="562" customFormat="1" ht="134.25" customHeight="1" x14ac:dyDescent="1.5">
      <c r="A24" s="1484" t="s">
        <v>751</v>
      </c>
      <c r="B24" s="1481">
        <v>11</v>
      </c>
      <c r="C24" s="1482"/>
      <c r="D24" s="1482"/>
      <c r="E24" s="1486"/>
      <c r="F24" s="1504" t="s">
        <v>490</v>
      </c>
      <c r="G24" s="1481">
        <v>25</v>
      </c>
      <c r="H24" s="1482"/>
      <c r="I24" s="1482"/>
      <c r="J24" s="1486"/>
      <c r="K24" s="1524" t="s">
        <v>492</v>
      </c>
      <c r="L24" s="1481">
        <v>33</v>
      </c>
      <c r="M24" s="1482"/>
      <c r="N24" s="1482"/>
      <c r="O24" s="1483"/>
      <c r="P24" s="1484" t="s">
        <v>751</v>
      </c>
      <c r="Q24" s="1551">
        <v>12</v>
      </c>
      <c r="R24" s="1552"/>
      <c r="S24" s="1552"/>
      <c r="T24" s="1553"/>
      <c r="U24" s="1504" t="s">
        <v>490</v>
      </c>
      <c r="V24" s="1481">
        <v>26</v>
      </c>
      <c r="W24" s="1482"/>
      <c r="X24" s="1482"/>
      <c r="Y24" s="1486"/>
      <c r="Z24" s="1524" t="s">
        <v>492</v>
      </c>
      <c r="AA24" s="1526">
        <v>31</v>
      </c>
      <c r="AB24" s="1527"/>
      <c r="AC24" s="1527"/>
      <c r="AD24" s="1528"/>
      <c r="AE24" s="1484" t="s">
        <v>751</v>
      </c>
      <c r="AF24" s="1481">
        <v>16</v>
      </c>
      <c r="AG24" s="1482"/>
      <c r="AH24" s="1482"/>
      <c r="AI24" s="1486"/>
      <c r="AJ24" s="1504" t="s">
        <v>490</v>
      </c>
      <c r="AK24" s="1481">
        <v>69</v>
      </c>
      <c r="AL24" s="1482"/>
      <c r="AM24" s="1482"/>
      <c r="AN24" s="1486"/>
      <c r="AO24" s="1524" t="s">
        <v>492</v>
      </c>
      <c r="AP24" s="1481">
        <v>46</v>
      </c>
      <c r="AQ24" s="1482"/>
      <c r="AR24" s="1482"/>
      <c r="AS24" s="1483"/>
      <c r="AT24" s="1484" t="s">
        <v>751</v>
      </c>
      <c r="AU24" s="1481">
        <v>19</v>
      </c>
      <c r="AV24" s="1482"/>
      <c r="AW24" s="1482"/>
      <c r="AX24" s="1486"/>
      <c r="AY24" s="1504" t="s">
        <v>490</v>
      </c>
      <c r="AZ24" s="1481">
        <v>70</v>
      </c>
      <c r="BA24" s="1482"/>
      <c r="BB24" s="1482"/>
      <c r="BC24" s="1486"/>
      <c r="BD24" s="1524" t="s">
        <v>492</v>
      </c>
      <c r="BE24" s="1481">
        <v>47</v>
      </c>
      <c r="BF24" s="1482"/>
      <c r="BG24" s="1482"/>
      <c r="BH24" s="1483"/>
      <c r="BI24" s="1473"/>
      <c r="BJ24" s="1503"/>
      <c r="BK24" s="1503"/>
      <c r="BL24" s="1503"/>
      <c r="BM24" s="1503"/>
      <c r="BN24" s="1478"/>
      <c r="BO24" s="1503"/>
      <c r="BP24" s="1503"/>
      <c r="BQ24" s="1503"/>
      <c r="BR24" s="1503"/>
    </row>
    <row r="25" spans="1:138" ht="65.25" customHeight="1" thickBot="1" x14ac:dyDescent="0.3">
      <c r="A25" s="1485"/>
      <c r="B25" s="550"/>
      <c r="C25" s="551" t="s">
        <v>113</v>
      </c>
      <c r="D25" s="552"/>
      <c r="E25" s="553" t="s">
        <v>114</v>
      </c>
      <c r="F25" s="1505"/>
      <c r="G25" s="550"/>
      <c r="H25" s="551" t="s">
        <v>113</v>
      </c>
      <c r="I25" s="552"/>
      <c r="J25" s="553" t="s">
        <v>114</v>
      </c>
      <c r="K25" s="1525"/>
      <c r="L25" s="550"/>
      <c r="M25" s="551" t="s">
        <v>113</v>
      </c>
      <c r="N25" s="552"/>
      <c r="O25" s="554" t="s">
        <v>114</v>
      </c>
      <c r="P25" s="1485"/>
      <c r="Q25" s="572">
        <v>1.6255999999999999</v>
      </c>
      <c r="R25" s="573" t="s">
        <v>113</v>
      </c>
      <c r="S25" s="574"/>
      <c r="T25" s="576" t="s">
        <v>114</v>
      </c>
      <c r="U25" s="1505"/>
      <c r="V25" s="550"/>
      <c r="W25" s="551" t="s">
        <v>113</v>
      </c>
      <c r="X25" s="552"/>
      <c r="Y25" s="553" t="s">
        <v>114</v>
      </c>
      <c r="Z25" s="1525"/>
      <c r="AA25" s="550">
        <v>3.1242000000000001</v>
      </c>
      <c r="AB25" s="551" t="s">
        <v>113</v>
      </c>
      <c r="AC25" s="552"/>
      <c r="AD25" s="554" t="s">
        <v>114</v>
      </c>
      <c r="AE25" s="1485"/>
      <c r="AF25" s="550"/>
      <c r="AG25" s="551" t="s">
        <v>113</v>
      </c>
      <c r="AH25" s="552"/>
      <c r="AI25" s="553" t="s">
        <v>114</v>
      </c>
      <c r="AJ25" s="1505"/>
      <c r="AK25" s="550"/>
      <c r="AL25" s="551" t="s">
        <v>113</v>
      </c>
      <c r="AM25" s="552"/>
      <c r="AN25" s="553" t="s">
        <v>114</v>
      </c>
      <c r="AO25" s="1525"/>
      <c r="AP25" s="550"/>
      <c r="AQ25" s="551" t="s">
        <v>113</v>
      </c>
      <c r="AR25" s="552"/>
      <c r="AS25" s="554" t="s">
        <v>114</v>
      </c>
      <c r="AT25" s="1485"/>
      <c r="AU25" s="550"/>
      <c r="AV25" s="551" t="s">
        <v>113</v>
      </c>
      <c r="AW25" s="552"/>
      <c r="AX25" s="553" t="s">
        <v>114</v>
      </c>
      <c r="AY25" s="1505"/>
      <c r="AZ25" s="550"/>
      <c r="BA25" s="551" t="s">
        <v>113</v>
      </c>
      <c r="BB25" s="552"/>
      <c r="BC25" s="553" t="s">
        <v>114</v>
      </c>
      <c r="BD25" s="1525"/>
      <c r="BE25" s="550"/>
      <c r="BF25" s="551" t="s">
        <v>113</v>
      </c>
      <c r="BG25" s="552"/>
      <c r="BH25" s="554" t="s">
        <v>114</v>
      </c>
      <c r="BI25" s="1473"/>
      <c r="BJ25" s="212"/>
      <c r="BK25" s="211"/>
      <c r="BL25" s="210"/>
      <c r="BM25" s="209"/>
      <c r="BN25" s="1478"/>
      <c r="BO25" s="212"/>
      <c r="BP25" s="211"/>
      <c r="BQ25" s="210"/>
      <c r="BR25" s="209"/>
      <c r="BW25" s="27"/>
      <c r="BX25" s="27"/>
      <c r="BY25" s="27"/>
      <c r="BZ25" s="27"/>
      <c r="CA25" s="27"/>
      <c r="CB25" s="27"/>
      <c r="CC25" s="27"/>
      <c r="CD25" s="27"/>
      <c r="CE25" s="27"/>
    </row>
    <row r="26" spans="1:138" ht="63" customHeight="1" thickTop="1" thickBot="1" x14ac:dyDescent="0.3">
      <c r="A26" s="1539" t="s">
        <v>764</v>
      </c>
      <c r="B26" s="1540"/>
      <c r="C26" s="1540"/>
      <c r="D26" s="1540"/>
      <c r="E26" s="1540"/>
      <c r="F26" s="1540"/>
      <c r="G26" s="1540"/>
      <c r="H26" s="1540"/>
      <c r="I26" s="1540"/>
      <c r="J26" s="1540"/>
      <c r="K26" s="1540"/>
      <c r="L26" s="1540"/>
      <c r="M26" s="1540"/>
      <c r="N26" s="1540"/>
      <c r="O26" s="1541"/>
      <c r="P26" s="1540" t="s">
        <v>765</v>
      </c>
      <c r="Q26" s="1540"/>
      <c r="R26" s="1540"/>
      <c r="S26" s="1540"/>
      <c r="T26" s="1540"/>
      <c r="U26" s="1540"/>
      <c r="V26" s="1540"/>
      <c r="W26" s="1540"/>
      <c r="X26" s="1540"/>
      <c r="Y26" s="1540"/>
      <c r="Z26" s="1540"/>
      <c r="AA26" s="1540"/>
      <c r="AB26" s="1540"/>
      <c r="AC26" s="1540"/>
      <c r="AD26" s="1541"/>
      <c r="AE26" s="1539" t="s">
        <v>766</v>
      </c>
      <c r="AF26" s="1540"/>
      <c r="AG26" s="1540"/>
      <c r="AH26" s="1540"/>
      <c r="AI26" s="1540"/>
      <c r="AJ26" s="1540"/>
      <c r="AK26" s="1540"/>
      <c r="AL26" s="1540"/>
      <c r="AM26" s="1540"/>
      <c r="AN26" s="1540"/>
      <c r="AO26" s="1540"/>
      <c r="AP26" s="1540"/>
      <c r="AQ26" s="1540"/>
      <c r="AR26" s="1540"/>
      <c r="AS26" s="1541"/>
      <c r="AT26" s="1539" t="s">
        <v>767</v>
      </c>
      <c r="AU26" s="1540"/>
      <c r="AV26" s="1540"/>
      <c r="AW26" s="1540"/>
      <c r="AX26" s="1540"/>
      <c r="AY26" s="1540"/>
      <c r="AZ26" s="1540"/>
      <c r="BA26" s="1540"/>
      <c r="BB26" s="1540"/>
      <c r="BC26" s="1540"/>
      <c r="BD26" s="1540"/>
      <c r="BE26" s="1540"/>
      <c r="BF26" s="1540"/>
      <c r="BG26" s="1540"/>
      <c r="BH26" s="1541"/>
      <c r="BI26" s="1489"/>
      <c r="BJ26" s="1487"/>
      <c r="BK26" s="1488"/>
      <c r="BL26" s="1488"/>
      <c r="BM26" s="1488"/>
      <c r="BN26" s="1487"/>
      <c r="BO26" s="1487"/>
      <c r="BP26" s="1488"/>
      <c r="BQ26" s="1488"/>
      <c r="BR26" s="1488"/>
    </row>
    <row r="27" spans="1:138" ht="66.75" customHeight="1" thickBot="1" x14ac:dyDescent="0.3">
      <c r="A27" s="1536" t="s">
        <v>772</v>
      </c>
      <c r="B27" s="1537"/>
      <c r="C27" s="1537"/>
      <c r="D27" s="1537"/>
      <c r="E27" s="1537"/>
      <c r="F27" s="1537" t="s">
        <v>773</v>
      </c>
      <c r="G27" s="1537"/>
      <c r="H27" s="1537"/>
      <c r="I27" s="1537"/>
      <c r="J27" s="1537"/>
      <c r="K27" s="1537" t="s">
        <v>774</v>
      </c>
      <c r="L27" s="1537"/>
      <c r="M27" s="1537"/>
      <c r="N27" s="1537"/>
      <c r="O27" s="1538"/>
      <c r="P27" s="1547" t="s">
        <v>772</v>
      </c>
      <c r="Q27" s="1537"/>
      <c r="R27" s="1537"/>
      <c r="S27" s="1537"/>
      <c r="T27" s="1537"/>
      <c r="U27" s="1537" t="s">
        <v>773</v>
      </c>
      <c r="V27" s="1537"/>
      <c r="W27" s="1537"/>
      <c r="X27" s="1537"/>
      <c r="Y27" s="1537"/>
      <c r="Z27" s="1537" t="s">
        <v>774</v>
      </c>
      <c r="AA27" s="1537"/>
      <c r="AB27" s="1537"/>
      <c r="AC27" s="1537"/>
      <c r="AD27" s="1538"/>
      <c r="AE27" s="1536" t="s">
        <v>772</v>
      </c>
      <c r="AF27" s="1537"/>
      <c r="AG27" s="1537"/>
      <c r="AH27" s="1537"/>
      <c r="AI27" s="1537"/>
      <c r="AJ27" s="1537" t="s">
        <v>773</v>
      </c>
      <c r="AK27" s="1537"/>
      <c r="AL27" s="1537"/>
      <c r="AM27" s="1537"/>
      <c r="AN27" s="1537"/>
      <c r="AO27" s="1537" t="s">
        <v>774</v>
      </c>
      <c r="AP27" s="1537"/>
      <c r="AQ27" s="1537"/>
      <c r="AR27" s="1537"/>
      <c r="AS27" s="1538"/>
      <c r="AT27" s="1536" t="s">
        <v>772</v>
      </c>
      <c r="AU27" s="1537"/>
      <c r="AV27" s="1537"/>
      <c r="AW27" s="1537"/>
      <c r="AX27" s="1537"/>
      <c r="AY27" s="1537" t="s">
        <v>773</v>
      </c>
      <c r="AZ27" s="1537"/>
      <c r="BA27" s="1537"/>
      <c r="BB27" s="1537"/>
      <c r="BC27" s="1537"/>
      <c r="BD27" s="1537" t="s">
        <v>774</v>
      </c>
      <c r="BE27" s="1537"/>
      <c r="BF27" s="1537"/>
      <c r="BG27" s="1537"/>
      <c r="BH27" s="1538"/>
      <c r="BI27" s="1477"/>
      <c r="BJ27" s="1475"/>
      <c r="BK27" s="1476"/>
      <c r="BL27" s="1476"/>
      <c r="BM27" s="1476"/>
      <c r="BN27" s="1475"/>
      <c r="BO27" s="1475"/>
      <c r="BP27" s="1476"/>
      <c r="BQ27" s="1476"/>
      <c r="BR27" s="1476"/>
    </row>
    <row r="28" spans="1:138" s="228" customFormat="1" ht="107.25" customHeight="1" x14ac:dyDescent="0.5">
      <c r="A28" s="1506" t="s">
        <v>110</v>
      </c>
      <c r="B28" s="1507"/>
      <c r="C28" s="1508">
        <f t="shared" ref="C28" si="24">B31/((42*3.1415/59)*(80/3.281))</f>
        <v>0</v>
      </c>
      <c r="D28" s="1508"/>
      <c r="E28" s="1509"/>
      <c r="F28" s="1510" t="s">
        <v>110</v>
      </c>
      <c r="G28" s="1511"/>
      <c r="H28" s="1512">
        <f t="shared" ref="H28" si="25">G31/((42*3.1415/59)*(35/3.281))</f>
        <v>0</v>
      </c>
      <c r="I28" s="1512"/>
      <c r="J28" s="1513"/>
      <c r="K28" s="1529" t="s">
        <v>110</v>
      </c>
      <c r="L28" s="1530"/>
      <c r="M28" s="1531">
        <f t="shared" ref="M28" si="26">L31/((42*3.1415/59)*(55/3.281))</f>
        <v>0</v>
      </c>
      <c r="N28" s="1531"/>
      <c r="O28" s="1532"/>
      <c r="P28" s="1507" t="s">
        <v>110</v>
      </c>
      <c r="Q28" s="1507"/>
      <c r="R28" s="1508">
        <f t="shared" ref="R28" si="27">Q31/((42*3.1415/59)*(80/3.281))</f>
        <v>0</v>
      </c>
      <c r="S28" s="1508"/>
      <c r="T28" s="1509"/>
      <c r="U28" s="1510" t="s">
        <v>110</v>
      </c>
      <c r="V28" s="1511"/>
      <c r="W28" s="1512">
        <f t="shared" ref="W28" si="28">V31/((42*3.1415/59)*(35/3.281))</f>
        <v>0</v>
      </c>
      <c r="X28" s="1512"/>
      <c r="Y28" s="1513"/>
      <c r="Z28" s="1529" t="s">
        <v>110</v>
      </c>
      <c r="AA28" s="1530"/>
      <c r="AB28" s="1531">
        <f t="shared" ref="AB28" si="29">AA31/((42*3.1415/59)*(55/3.281))</f>
        <v>5.4204195337793932E-3</v>
      </c>
      <c r="AC28" s="1531"/>
      <c r="AD28" s="1532"/>
      <c r="AE28" s="1506" t="s">
        <v>110</v>
      </c>
      <c r="AF28" s="1507"/>
      <c r="AG28" s="1508">
        <f t="shared" ref="AG28" si="30">AF31/((42*3.1415/59)*(80/3.281))</f>
        <v>0</v>
      </c>
      <c r="AH28" s="1508"/>
      <c r="AI28" s="1509"/>
      <c r="AJ28" s="1510" t="s">
        <v>110</v>
      </c>
      <c r="AK28" s="1511"/>
      <c r="AL28" s="1512">
        <f t="shared" ref="AL28" si="31">AK31/((42*3.1415/59)*(35/3.281))</f>
        <v>0</v>
      </c>
      <c r="AM28" s="1512"/>
      <c r="AN28" s="1513"/>
      <c r="AO28" s="1529" t="s">
        <v>110</v>
      </c>
      <c r="AP28" s="1530"/>
      <c r="AQ28" s="1531">
        <f t="shared" ref="AQ28" si="32">AP31/((42*3.1415/59)*(55/3.281))</f>
        <v>0</v>
      </c>
      <c r="AR28" s="1531"/>
      <c r="AS28" s="1532"/>
      <c r="AT28" s="1506" t="s">
        <v>110</v>
      </c>
      <c r="AU28" s="1507"/>
      <c r="AV28" s="1508">
        <f t="shared" ref="AV28" si="33">AU31/((42*3.1415/59)*(80/3.281))</f>
        <v>0</v>
      </c>
      <c r="AW28" s="1508"/>
      <c r="AX28" s="1509"/>
      <c r="AY28" s="1510" t="s">
        <v>110</v>
      </c>
      <c r="AZ28" s="1511"/>
      <c r="BA28" s="1512">
        <f t="shared" ref="BA28" si="34">AZ31/((42*3.1415/59)*(35/3.281))</f>
        <v>0</v>
      </c>
      <c r="BB28" s="1512"/>
      <c r="BC28" s="1513"/>
      <c r="BD28" s="1529" t="s">
        <v>110</v>
      </c>
      <c r="BE28" s="1530"/>
      <c r="BF28" s="1531">
        <f t="shared" ref="BF28" si="35">BE31/((42*3.1415/59)*(55/3.281))</f>
        <v>3.7942936736455754E-2</v>
      </c>
      <c r="BG28" s="1531"/>
      <c r="BH28" s="1532"/>
      <c r="BI28" s="1477"/>
      <c r="BJ28" s="1475"/>
      <c r="BK28" s="1476"/>
      <c r="BL28" s="1476"/>
      <c r="BM28" s="1476"/>
      <c r="BN28" s="1475"/>
      <c r="BO28" s="1475"/>
      <c r="BP28" s="1476"/>
      <c r="BQ28" s="1476"/>
      <c r="BR28" s="1476"/>
      <c r="ED28" s="547"/>
      <c r="EE28" s="547"/>
      <c r="EF28" s="547"/>
      <c r="EG28" s="547"/>
      <c r="EH28" s="547"/>
    </row>
    <row r="29" spans="1:138" ht="102.75" customHeight="1" x14ac:dyDescent="0.25">
      <c r="A29" s="1490" t="s">
        <v>775</v>
      </c>
      <c r="B29" s="1491"/>
      <c r="C29" s="1491"/>
      <c r="D29" s="1491"/>
      <c r="E29" s="1492"/>
      <c r="F29" s="1493" t="s">
        <v>776</v>
      </c>
      <c r="G29" s="1494"/>
      <c r="H29" s="1495" t="s">
        <v>777</v>
      </c>
      <c r="I29" s="1496"/>
      <c r="J29" s="1497"/>
      <c r="K29" s="1498" t="s">
        <v>776</v>
      </c>
      <c r="L29" s="1499"/>
      <c r="M29" s="1500" t="s">
        <v>777</v>
      </c>
      <c r="N29" s="1501"/>
      <c r="O29" s="1502"/>
      <c r="P29" s="1491" t="s">
        <v>775</v>
      </c>
      <c r="Q29" s="1491"/>
      <c r="R29" s="1491"/>
      <c r="S29" s="1491"/>
      <c r="T29" s="1492"/>
      <c r="U29" s="1493" t="s">
        <v>776</v>
      </c>
      <c r="V29" s="1494"/>
      <c r="W29" s="1495" t="s">
        <v>777</v>
      </c>
      <c r="X29" s="1496"/>
      <c r="Y29" s="1497"/>
      <c r="Z29" s="1498" t="s">
        <v>776</v>
      </c>
      <c r="AA29" s="1499"/>
      <c r="AB29" s="1500" t="s">
        <v>777</v>
      </c>
      <c r="AC29" s="1501"/>
      <c r="AD29" s="1502"/>
      <c r="AE29" s="1490" t="s">
        <v>775</v>
      </c>
      <c r="AF29" s="1491"/>
      <c r="AG29" s="1491"/>
      <c r="AH29" s="1491"/>
      <c r="AI29" s="1492"/>
      <c r="AJ29" s="1493" t="s">
        <v>776</v>
      </c>
      <c r="AK29" s="1494"/>
      <c r="AL29" s="1495" t="s">
        <v>777</v>
      </c>
      <c r="AM29" s="1496"/>
      <c r="AN29" s="1497"/>
      <c r="AO29" s="1498" t="s">
        <v>776</v>
      </c>
      <c r="AP29" s="1499"/>
      <c r="AQ29" s="1500" t="s">
        <v>777</v>
      </c>
      <c r="AR29" s="1501"/>
      <c r="AS29" s="1502"/>
      <c r="AT29" s="1490" t="s">
        <v>775</v>
      </c>
      <c r="AU29" s="1491"/>
      <c r="AV29" s="1491"/>
      <c r="AW29" s="1491"/>
      <c r="AX29" s="1492"/>
      <c r="AY29" s="1493" t="s">
        <v>776</v>
      </c>
      <c r="AZ29" s="1494"/>
      <c r="BA29" s="1495" t="s">
        <v>777</v>
      </c>
      <c r="BB29" s="1496"/>
      <c r="BC29" s="1497"/>
      <c r="BD29" s="1498" t="s">
        <v>776</v>
      </c>
      <c r="BE29" s="1499"/>
      <c r="BF29" s="1500" t="s">
        <v>777</v>
      </c>
      <c r="BG29" s="1501"/>
      <c r="BH29" s="1502"/>
      <c r="BI29" s="1477"/>
      <c r="BJ29" s="1475"/>
      <c r="BK29" s="1476"/>
      <c r="BL29" s="1476"/>
      <c r="BM29" s="1476"/>
      <c r="BN29" s="1475"/>
      <c r="BO29" s="1475"/>
      <c r="BP29" s="1476"/>
      <c r="BQ29" s="1476"/>
      <c r="BR29" s="1476"/>
      <c r="ED29" s="13"/>
      <c r="EE29" s="13"/>
      <c r="EF29" s="13"/>
      <c r="EG29" s="13"/>
      <c r="EH29" s="13"/>
    </row>
    <row r="30" spans="1:138" s="562" customFormat="1" ht="134.25" customHeight="1" x14ac:dyDescent="1.5">
      <c r="A30" s="1484" t="s">
        <v>751</v>
      </c>
      <c r="B30" s="1481">
        <v>7</v>
      </c>
      <c r="C30" s="1482"/>
      <c r="D30" s="1482"/>
      <c r="E30" s="1486"/>
      <c r="F30" s="1504" t="s">
        <v>490</v>
      </c>
      <c r="G30" s="1481">
        <v>64</v>
      </c>
      <c r="H30" s="1482"/>
      <c r="I30" s="1482"/>
      <c r="J30" s="1486"/>
      <c r="K30" s="1524" t="s">
        <v>492</v>
      </c>
      <c r="L30" s="1481">
        <v>48</v>
      </c>
      <c r="M30" s="1482"/>
      <c r="N30" s="1482"/>
      <c r="O30" s="1483"/>
      <c r="P30" s="1545" t="s">
        <v>751</v>
      </c>
      <c r="Q30" s="1481">
        <v>9</v>
      </c>
      <c r="R30" s="1482"/>
      <c r="S30" s="1482"/>
      <c r="T30" s="1486"/>
      <c r="U30" s="1504" t="s">
        <v>490</v>
      </c>
      <c r="V30" s="1481">
        <v>63</v>
      </c>
      <c r="W30" s="1482"/>
      <c r="X30" s="1482"/>
      <c r="Y30" s="1486"/>
      <c r="Z30" s="1524" t="s">
        <v>492</v>
      </c>
      <c r="AA30" s="1526">
        <v>51</v>
      </c>
      <c r="AB30" s="1527"/>
      <c r="AC30" s="1527"/>
      <c r="AD30" s="1528"/>
      <c r="AE30" s="1484" t="s">
        <v>751</v>
      </c>
      <c r="AF30" s="1481">
        <v>10</v>
      </c>
      <c r="AG30" s="1482"/>
      <c r="AH30" s="1482"/>
      <c r="AI30" s="1486"/>
      <c r="AJ30" s="1504" t="s">
        <v>490</v>
      </c>
      <c r="AK30" s="1481">
        <v>66</v>
      </c>
      <c r="AL30" s="1482"/>
      <c r="AM30" s="1482"/>
      <c r="AN30" s="1486"/>
      <c r="AO30" s="1524" t="s">
        <v>492</v>
      </c>
      <c r="AP30" s="1481">
        <v>52</v>
      </c>
      <c r="AQ30" s="1482"/>
      <c r="AR30" s="1482"/>
      <c r="AS30" s="1483"/>
      <c r="AT30" s="1484" t="s">
        <v>751</v>
      </c>
      <c r="AU30" s="1481">
        <v>15</v>
      </c>
      <c r="AV30" s="1482"/>
      <c r="AW30" s="1482"/>
      <c r="AX30" s="1486"/>
      <c r="AY30" s="1504" t="s">
        <v>490</v>
      </c>
      <c r="AZ30" s="1481">
        <v>65</v>
      </c>
      <c r="BA30" s="1482"/>
      <c r="BB30" s="1482"/>
      <c r="BC30" s="1486"/>
      <c r="BD30" s="1524" t="s">
        <v>492</v>
      </c>
      <c r="BE30" s="1526">
        <v>39</v>
      </c>
      <c r="BF30" s="1527"/>
      <c r="BG30" s="1527"/>
      <c r="BH30" s="1528"/>
      <c r="BI30" s="1473"/>
      <c r="BJ30" s="1503"/>
      <c r="BK30" s="1503"/>
      <c r="BL30" s="1503"/>
      <c r="BM30" s="1503"/>
      <c r="BN30" s="1478"/>
      <c r="BO30" s="1503"/>
      <c r="BP30" s="1503"/>
      <c r="BQ30" s="1503"/>
      <c r="BR30" s="1503"/>
      <c r="ED30" s="563"/>
      <c r="EE30" s="563"/>
      <c r="EF30" s="563"/>
      <c r="EG30" s="563"/>
      <c r="EH30" s="563"/>
    </row>
    <row r="31" spans="1:138" ht="65.25" customHeight="1" thickBot="1" x14ac:dyDescent="0.3">
      <c r="A31" s="1485"/>
      <c r="B31" s="550"/>
      <c r="C31" s="551" t="s">
        <v>113</v>
      </c>
      <c r="D31" s="552"/>
      <c r="E31" s="553" t="s">
        <v>114</v>
      </c>
      <c r="F31" s="1505"/>
      <c r="G31" s="550"/>
      <c r="H31" s="551" t="s">
        <v>113</v>
      </c>
      <c r="I31" s="552"/>
      <c r="J31" s="553" t="s">
        <v>114</v>
      </c>
      <c r="K31" s="1525"/>
      <c r="L31" s="550"/>
      <c r="M31" s="551" t="s">
        <v>113</v>
      </c>
      <c r="N31" s="552"/>
      <c r="O31" s="554" t="s">
        <v>114</v>
      </c>
      <c r="P31" s="1546"/>
      <c r="Q31" s="550"/>
      <c r="R31" s="551" t="s">
        <v>113</v>
      </c>
      <c r="S31" s="552"/>
      <c r="T31" s="553" t="s">
        <v>114</v>
      </c>
      <c r="U31" s="1505"/>
      <c r="V31" s="550"/>
      <c r="W31" s="551" t="s">
        <v>113</v>
      </c>
      <c r="X31" s="552"/>
      <c r="Y31" s="553" t="s">
        <v>114</v>
      </c>
      <c r="Z31" s="1525"/>
      <c r="AA31" s="550">
        <v>0.20319999999999999</v>
      </c>
      <c r="AB31" s="551" t="s">
        <v>113</v>
      </c>
      <c r="AC31" s="552"/>
      <c r="AD31" s="554" t="s">
        <v>114</v>
      </c>
      <c r="AE31" s="1485"/>
      <c r="AF31" s="550"/>
      <c r="AG31" s="551" t="s">
        <v>113</v>
      </c>
      <c r="AH31" s="552"/>
      <c r="AI31" s="553" t="s">
        <v>114</v>
      </c>
      <c r="AJ31" s="1505"/>
      <c r="AK31" s="550"/>
      <c r="AL31" s="551" t="s">
        <v>113</v>
      </c>
      <c r="AM31" s="552"/>
      <c r="AN31" s="553" t="s">
        <v>114</v>
      </c>
      <c r="AO31" s="1525"/>
      <c r="AP31" s="550"/>
      <c r="AQ31" s="551" t="s">
        <v>113</v>
      </c>
      <c r="AR31" s="552"/>
      <c r="AS31" s="554" t="s">
        <v>114</v>
      </c>
      <c r="AT31" s="1485"/>
      <c r="AU31" s="550"/>
      <c r="AV31" s="551" t="s">
        <v>113</v>
      </c>
      <c r="AW31" s="552"/>
      <c r="AX31" s="553" t="s">
        <v>114</v>
      </c>
      <c r="AY31" s="1505"/>
      <c r="AZ31" s="550"/>
      <c r="BA31" s="551" t="s">
        <v>113</v>
      </c>
      <c r="BB31" s="552"/>
      <c r="BC31" s="553" t="s">
        <v>114</v>
      </c>
      <c r="BD31" s="1525"/>
      <c r="BE31" s="550">
        <v>1.4224000000000001</v>
      </c>
      <c r="BF31" s="551" t="s">
        <v>113</v>
      </c>
      <c r="BG31" s="552">
        <v>1</v>
      </c>
      <c r="BH31" s="554" t="s">
        <v>114</v>
      </c>
      <c r="BI31" s="1473"/>
      <c r="BJ31" s="212"/>
      <c r="BK31" s="211"/>
      <c r="BL31" s="210"/>
      <c r="BM31" s="209"/>
      <c r="BN31" s="1478"/>
      <c r="BO31" s="212"/>
      <c r="BP31" s="211"/>
      <c r="BQ31" s="210"/>
      <c r="BR31" s="209"/>
      <c r="BW31" s="27"/>
      <c r="BX31" s="27"/>
      <c r="BY31" s="27"/>
      <c r="BZ31" s="27"/>
      <c r="CA31" s="27"/>
      <c r="CB31" s="27"/>
      <c r="CC31" s="27"/>
      <c r="CD31" s="27"/>
      <c r="CE31" s="27"/>
      <c r="ED31" s="13"/>
      <c r="EE31" s="13"/>
      <c r="EF31" s="13"/>
      <c r="EG31" s="13"/>
      <c r="EH31" s="13"/>
    </row>
    <row r="32" spans="1:138" ht="63" customHeight="1" thickTop="1" thickBot="1" x14ac:dyDescent="0.3">
      <c r="A32" s="1539" t="s">
        <v>768</v>
      </c>
      <c r="B32" s="1540"/>
      <c r="C32" s="1540"/>
      <c r="D32" s="1540"/>
      <c r="E32" s="1540"/>
      <c r="F32" s="1540"/>
      <c r="G32" s="1540"/>
      <c r="H32" s="1540"/>
      <c r="I32" s="1540"/>
      <c r="J32" s="1540"/>
      <c r="K32" s="1540"/>
      <c r="L32" s="1540"/>
      <c r="M32" s="1540"/>
      <c r="N32" s="1540"/>
      <c r="O32" s="1541"/>
      <c r="P32" s="1542" t="s">
        <v>769</v>
      </c>
      <c r="Q32" s="1543"/>
      <c r="R32" s="1543"/>
      <c r="S32" s="1543"/>
      <c r="T32" s="1543"/>
      <c r="U32" s="1543"/>
      <c r="V32" s="1543"/>
      <c r="W32" s="1543"/>
      <c r="X32" s="1543"/>
      <c r="Y32" s="1543"/>
      <c r="Z32" s="1543"/>
      <c r="AA32" s="1543"/>
      <c r="AB32" s="1543"/>
      <c r="AC32" s="1543"/>
      <c r="AD32" s="1544"/>
      <c r="AE32" s="1542" t="s">
        <v>770</v>
      </c>
      <c r="AF32" s="1543"/>
      <c r="AG32" s="1543"/>
      <c r="AH32" s="1543"/>
      <c r="AI32" s="1543"/>
      <c r="AJ32" s="1543"/>
      <c r="AK32" s="1543"/>
      <c r="AL32" s="1543"/>
      <c r="AM32" s="1543"/>
      <c r="AN32" s="1543"/>
      <c r="AO32" s="1543"/>
      <c r="AP32" s="1543"/>
      <c r="AQ32" s="1543"/>
      <c r="AR32" s="1543"/>
      <c r="AS32" s="1544"/>
      <c r="AT32" s="1542" t="s">
        <v>771</v>
      </c>
      <c r="AU32" s="1543"/>
      <c r="AV32" s="1543"/>
      <c r="AW32" s="1543"/>
      <c r="AX32" s="1543"/>
      <c r="AY32" s="1543"/>
      <c r="AZ32" s="1543"/>
      <c r="BA32" s="1543"/>
      <c r="BB32" s="1543"/>
      <c r="BC32" s="1543"/>
      <c r="BD32" s="1543"/>
      <c r="BE32" s="1543"/>
      <c r="BF32" s="1543"/>
      <c r="BG32" s="1543"/>
      <c r="BH32" s="1544"/>
      <c r="BI32" s="1489"/>
      <c r="BJ32" s="1487"/>
      <c r="BK32" s="1488"/>
      <c r="BL32" s="1488"/>
      <c r="BM32" s="1488"/>
      <c r="BN32" s="1487"/>
      <c r="BO32" s="1487"/>
      <c r="BP32" s="1488"/>
      <c r="BQ32" s="1488"/>
      <c r="BR32" s="1488"/>
      <c r="ED32" s="13"/>
      <c r="EE32" s="13"/>
      <c r="EF32" s="13"/>
      <c r="EG32" s="13"/>
      <c r="EH32" s="13"/>
    </row>
    <row r="33" spans="1:138" ht="65.25" customHeight="1" thickBot="1" x14ac:dyDescent="0.3">
      <c r="A33" s="1536" t="s">
        <v>772</v>
      </c>
      <c r="B33" s="1537"/>
      <c r="C33" s="1537"/>
      <c r="D33" s="1537"/>
      <c r="E33" s="1537"/>
      <c r="F33" s="1537" t="s">
        <v>773</v>
      </c>
      <c r="G33" s="1537"/>
      <c r="H33" s="1537"/>
      <c r="I33" s="1537"/>
      <c r="J33" s="1537"/>
      <c r="K33" s="1537" t="s">
        <v>774</v>
      </c>
      <c r="L33" s="1537"/>
      <c r="M33" s="1537"/>
      <c r="N33" s="1537"/>
      <c r="O33" s="1538"/>
      <c r="P33" s="1533" t="s">
        <v>772</v>
      </c>
      <c r="Q33" s="1534"/>
      <c r="R33" s="1534"/>
      <c r="S33" s="1534"/>
      <c r="T33" s="1534"/>
      <c r="U33" s="1534" t="s">
        <v>773</v>
      </c>
      <c r="V33" s="1534"/>
      <c r="W33" s="1534"/>
      <c r="X33" s="1534"/>
      <c r="Y33" s="1534"/>
      <c r="Z33" s="1534" t="s">
        <v>774</v>
      </c>
      <c r="AA33" s="1534"/>
      <c r="AB33" s="1534"/>
      <c r="AC33" s="1534"/>
      <c r="AD33" s="1535"/>
      <c r="AE33" s="1533" t="s">
        <v>772</v>
      </c>
      <c r="AF33" s="1534"/>
      <c r="AG33" s="1534"/>
      <c r="AH33" s="1534"/>
      <c r="AI33" s="1534"/>
      <c r="AJ33" s="1534" t="s">
        <v>773</v>
      </c>
      <c r="AK33" s="1534"/>
      <c r="AL33" s="1534"/>
      <c r="AM33" s="1534"/>
      <c r="AN33" s="1534"/>
      <c r="AO33" s="1534" t="s">
        <v>774</v>
      </c>
      <c r="AP33" s="1534"/>
      <c r="AQ33" s="1534"/>
      <c r="AR33" s="1534"/>
      <c r="AS33" s="1535"/>
      <c r="AT33" s="1533" t="s">
        <v>772</v>
      </c>
      <c r="AU33" s="1534"/>
      <c r="AV33" s="1534"/>
      <c r="AW33" s="1534"/>
      <c r="AX33" s="1534"/>
      <c r="AY33" s="1534" t="s">
        <v>773</v>
      </c>
      <c r="AZ33" s="1534"/>
      <c r="BA33" s="1534"/>
      <c r="BB33" s="1534"/>
      <c r="BC33" s="1534"/>
      <c r="BD33" s="1534" t="s">
        <v>774</v>
      </c>
      <c r="BE33" s="1534"/>
      <c r="BF33" s="1534"/>
      <c r="BG33" s="1534"/>
      <c r="BH33" s="1535"/>
      <c r="BI33" s="1477"/>
      <c r="BJ33" s="1475"/>
      <c r="BK33" s="1476"/>
      <c r="BL33" s="1476"/>
      <c r="BM33" s="1476"/>
      <c r="BN33" s="1475"/>
      <c r="BO33" s="1475"/>
      <c r="BP33" s="1476"/>
      <c r="BQ33" s="1476"/>
      <c r="BR33" s="1476"/>
      <c r="ED33" s="57"/>
      <c r="EE33" s="57"/>
      <c r="EF33" s="57"/>
      <c r="EG33" s="57"/>
      <c r="EH33" s="57"/>
    </row>
    <row r="34" spans="1:138" s="228" customFormat="1" ht="107.25" customHeight="1" x14ac:dyDescent="0.5">
      <c r="A34" s="1506" t="s">
        <v>110</v>
      </c>
      <c r="B34" s="1507"/>
      <c r="C34" s="1508">
        <f t="shared" ref="C34" si="36">B37/((42*3.1415/59)*(80/3.281))</f>
        <v>0</v>
      </c>
      <c r="D34" s="1508"/>
      <c r="E34" s="1509"/>
      <c r="F34" s="1510" t="s">
        <v>110</v>
      </c>
      <c r="G34" s="1511"/>
      <c r="H34" s="1512">
        <f t="shared" ref="H34" si="37">G37/((42*3.1415/59)*(35/3.281))</f>
        <v>0</v>
      </c>
      <c r="I34" s="1512"/>
      <c r="J34" s="1513"/>
      <c r="K34" s="1529" t="s">
        <v>110</v>
      </c>
      <c r="L34" s="1530"/>
      <c r="M34" s="1531">
        <f t="shared" ref="M34" si="38">L37/((42*3.1415/59)*(55/3.281))</f>
        <v>0</v>
      </c>
      <c r="N34" s="1531"/>
      <c r="O34" s="1532"/>
      <c r="P34" s="1506" t="s">
        <v>110</v>
      </c>
      <c r="Q34" s="1507"/>
      <c r="R34" s="1508">
        <f t="shared" ref="R34" si="39">Q37/((42*3.1415/59)*(80/3.281))</f>
        <v>0</v>
      </c>
      <c r="S34" s="1508"/>
      <c r="T34" s="1509"/>
      <c r="U34" s="1510" t="s">
        <v>110</v>
      </c>
      <c r="V34" s="1511"/>
      <c r="W34" s="1512">
        <f t="shared" ref="W34" si="40">V37/((42*3.1415/59)*(35/3.281))</f>
        <v>0</v>
      </c>
      <c r="X34" s="1512"/>
      <c r="Y34" s="1513"/>
      <c r="Z34" s="1514" t="str">
        <f>"Repair R: " &amp; TEXT(AA37/((42*3.1415/59)*(65/3.281)), "0.00%")</f>
        <v>Repair R: 0.00%</v>
      </c>
      <c r="AA34" s="1515"/>
      <c r="AB34" s="1516" t="s">
        <v>111</v>
      </c>
      <c r="AC34" s="1517"/>
      <c r="AD34" s="1518"/>
      <c r="AE34" s="1506" t="s">
        <v>110</v>
      </c>
      <c r="AF34" s="1507"/>
      <c r="AG34" s="1508">
        <f t="shared" ref="AG34" si="41">AF37/((42*3.1415/59)*(80/3.281))</f>
        <v>0</v>
      </c>
      <c r="AH34" s="1508"/>
      <c r="AI34" s="1509"/>
      <c r="AJ34" s="1510" t="s">
        <v>110</v>
      </c>
      <c r="AK34" s="1511"/>
      <c r="AL34" s="1512">
        <f t="shared" ref="AL34" si="42">AK37/((42*3.1415/59)*(35/3.281))</f>
        <v>0</v>
      </c>
      <c r="AM34" s="1512"/>
      <c r="AN34" s="1513"/>
      <c r="AO34" s="1514" t="str">
        <f>"Repair R: " &amp; TEXT(AP37/((42*3.1415/59)*(65/3.281)), "0.00%")</f>
        <v>Repair R: 0.00%</v>
      </c>
      <c r="AP34" s="1515"/>
      <c r="AQ34" s="1516" t="s">
        <v>111</v>
      </c>
      <c r="AR34" s="1517"/>
      <c r="AS34" s="1518"/>
      <c r="AT34" s="1506" t="s">
        <v>110</v>
      </c>
      <c r="AU34" s="1507"/>
      <c r="AV34" s="1508">
        <f t="shared" ref="AV34" si="43">AU37/((42*3.1415/59)*(80/3.281))</f>
        <v>0</v>
      </c>
      <c r="AW34" s="1508"/>
      <c r="AX34" s="1509"/>
      <c r="AY34" s="1510" t="s">
        <v>110</v>
      </c>
      <c r="AZ34" s="1511"/>
      <c r="BA34" s="1512">
        <f t="shared" ref="BA34" si="44">AZ37/((42*3.1415/59)*(35/3.281))</f>
        <v>0</v>
      </c>
      <c r="BB34" s="1512"/>
      <c r="BC34" s="1513"/>
      <c r="BD34" s="1514" t="str">
        <f>"Repair R: " &amp; TEXT(BE37/((42*3.1415/59)*(65/3.281)), "0.00%")</f>
        <v>Repair R: 0.00%</v>
      </c>
      <c r="BE34" s="1515"/>
      <c r="BF34" s="1516" t="s">
        <v>111</v>
      </c>
      <c r="BG34" s="1517"/>
      <c r="BH34" s="1518"/>
      <c r="BI34" s="1477"/>
      <c r="BJ34" s="1475"/>
      <c r="BK34" s="1476"/>
      <c r="BL34" s="1476"/>
      <c r="BM34" s="1476"/>
      <c r="BN34" s="1475"/>
      <c r="BO34" s="1475"/>
      <c r="BP34" s="1476"/>
      <c r="BQ34" s="1476"/>
      <c r="BR34" s="1476"/>
      <c r="ED34" s="561"/>
      <c r="EE34" s="561"/>
      <c r="EF34" s="561"/>
      <c r="EG34" s="561"/>
      <c r="EH34" s="561"/>
    </row>
    <row r="35" spans="1:138" ht="102.75" customHeight="1" x14ac:dyDescent="0.25">
      <c r="A35" s="1490" t="s">
        <v>775</v>
      </c>
      <c r="B35" s="1491"/>
      <c r="C35" s="1491"/>
      <c r="D35" s="1491"/>
      <c r="E35" s="1492"/>
      <c r="F35" s="1493" t="s">
        <v>776</v>
      </c>
      <c r="G35" s="1494"/>
      <c r="H35" s="1495" t="s">
        <v>777</v>
      </c>
      <c r="I35" s="1496"/>
      <c r="J35" s="1497"/>
      <c r="K35" s="1498" t="s">
        <v>776</v>
      </c>
      <c r="L35" s="1499"/>
      <c r="M35" s="1500" t="s">
        <v>777</v>
      </c>
      <c r="N35" s="1501"/>
      <c r="O35" s="1502"/>
      <c r="P35" s="1490" t="s">
        <v>775</v>
      </c>
      <c r="Q35" s="1491"/>
      <c r="R35" s="1491"/>
      <c r="S35" s="1491"/>
      <c r="T35" s="1492"/>
      <c r="U35" s="1493" t="s">
        <v>776</v>
      </c>
      <c r="V35" s="1494"/>
      <c r="W35" s="1495" t="s">
        <v>777</v>
      </c>
      <c r="X35" s="1496"/>
      <c r="Y35" s="1497"/>
      <c r="Z35" s="1519" t="s">
        <v>776</v>
      </c>
      <c r="AA35" s="1520"/>
      <c r="AB35" s="1521" t="s">
        <v>777</v>
      </c>
      <c r="AC35" s="1522"/>
      <c r="AD35" s="1523"/>
      <c r="AE35" s="1490" t="s">
        <v>775</v>
      </c>
      <c r="AF35" s="1491"/>
      <c r="AG35" s="1491"/>
      <c r="AH35" s="1491"/>
      <c r="AI35" s="1492"/>
      <c r="AJ35" s="1493" t="s">
        <v>776</v>
      </c>
      <c r="AK35" s="1494"/>
      <c r="AL35" s="1495" t="s">
        <v>777</v>
      </c>
      <c r="AM35" s="1496"/>
      <c r="AN35" s="1497"/>
      <c r="AO35" s="1519" t="s">
        <v>776</v>
      </c>
      <c r="AP35" s="1520"/>
      <c r="AQ35" s="1521" t="s">
        <v>777</v>
      </c>
      <c r="AR35" s="1522"/>
      <c r="AS35" s="1523"/>
      <c r="AT35" s="1490" t="s">
        <v>775</v>
      </c>
      <c r="AU35" s="1491"/>
      <c r="AV35" s="1491"/>
      <c r="AW35" s="1491"/>
      <c r="AX35" s="1492"/>
      <c r="AY35" s="1493" t="s">
        <v>776</v>
      </c>
      <c r="AZ35" s="1494"/>
      <c r="BA35" s="1495" t="s">
        <v>777</v>
      </c>
      <c r="BB35" s="1496"/>
      <c r="BC35" s="1497"/>
      <c r="BD35" s="1519" t="s">
        <v>776</v>
      </c>
      <c r="BE35" s="1520"/>
      <c r="BF35" s="1521" t="s">
        <v>777</v>
      </c>
      <c r="BG35" s="1522"/>
      <c r="BH35" s="1523"/>
      <c r="BI35" s="1477"/>
      <c r="BJ35" s="1475"/>
      <c r="BK35" s="1476"/>
      <c r="BL35" s="1476"/>
      <c r="BM35" s="1476"/>
      <c r="BN35" s="1475"/>
      <c r="BO35" s="1475"/>
      <c r="BP35" s="1476"/>
      <c r="BQ35" s="1476"/>
      <c r="BR35" s="1476"/>
      <c r="ED35" s="57"/>
      <c r="EE35" s="57"/>
      <c r="EF35" s="57"/>
      <c r="EG35" s="57"/>
      <c r="EH35" s="57"/>
    </row>
    <row r="36" spans="1:138" s="562" customFormat="1" ht="134.25" customHeight="1" x14ac:dyDescent="1.5">
      <c r="A36" s="1484" t="s">
        <v>751</v>
      </c>
      <c r="B36" s="1481">
        <v>20</v>
      </c>
      <c r="C36" s="1482"/>
      <c r="D36" s="1482"/>
      <c r="E36" s="1486"/>
      <c r="F36" s="1504" t="s">
        <v>490</v>
      </c>
      <c r="G36" s="1481">
        <v>67</v>
      </c>
      <c r="H36" s="1482"/>
      <c r="I36" s="1482"/>
      <c r="J36" s="1486"/>
      <c r="K36" s="1524" t="s">
        <v>492</v>
      </c>
      <c r="L36" s="1481">
        <v>45</v>
      </c>
      <c r="M36" s="1482"/>
      <c r="N36" s="1482"/>
      <c r="O36" s="1483"/>
      <c r="P36" s="1484" t="s">
        <v>751</v>
      </c>
      <c r="Q36" s="1481">
        <v>22</v>
      </c>
      <c r="R36" s="1482"/>
      <c r="S36" s="1482"/>
      <c r="T36" s="1486"/>
      <c r="U36" s="1504" t="s">
        <v>490</v>
      </c>
      <c r="V36" s="1481">
        <v>71</v>
      </c>
      <c r="W36" s="1482"/>
      <c r="X36" s="1482"/>
      <c r="Y36" s="1486"/>
      <c r="Z36" s="1479" t="s">
        <v>165</v>
      </c>
      <c r="AA36" s="1481">
        <v>27</v>
      </c>
      <c r="AB36" s="1482"/>
      <c r="AC36" s="1482"/>
      <c r="AD36" s="1483"/>
      <c r="AE36" s="1484" t="s">
        <v>751</v>
      </c>
      <c r="AF36" s="1481">
        <v>6</v>
      </c>
      <c r="AG36" s="1482"/>
      <c r="AH36" s="1482"/>
      <c r="AI36" s="1486"/>
      <c r="AJ36" s="1504" t="s">
        <v>490</v>
      </c>
      <c r="AK36" s="1481">
        <v>62</v>
      </c>
      <c r="AL36" s="1482"/>
      <c r="AM36" s="1482"/>
      <c r="AN36" s="1486"/>
      <c r="AO36" s="1479" t="s">
        <v>165</v>
      </c>
      <c r="AP36" s="1481">
        <v>29</v>
      </c>
      <c r="AQ36" s="1482"/>
      <c r="AR36" s="1482"/>
      <c r="AS36" s="1483"/>
      <c r="AT36" s="1484" t="s">
        <v>751</v>
      </c>
      <c r="AU36" s="1481">
        <v>8</v>
      </c>
      <c r="AV36" s="1482"/>
      <c r="AW36" s="1482"/>
      <c r="AX36" s="1486"/>
      <c r="AY36" s="1504" t="s">
        <v>490</v>
      </c>
      <c r="AZ36" s="1481">
        <v>56</v>
      </c>
      <c r="BA36" s="1482"/>
      <c r="BB36" s="1482"/>
      <c r="BC36" s="1486"/>
      <c r="BD36" s="1479" t="s">
        <v>165</v>
      </c>
      <c r="BE36" s="1481">
        <v>28</v>
      </c>
      <c r="BF36" s="1482"/>
      <c r="BG36" s="1482"/>
      <c r="BH36" s="1483"/>
      <c r="BI36" s="1473"/>
      <c r="BJ36" s="1503"/>
      <c r="BK36" s="1503"/>
      <c r="BL36" s="1503"/>
      <c r="BM36" s="1503"/>
      <c r="BN36" s="1478"/>
      <c r="BO36" s="1503"/>
      <c r="BP36" s="1503"/>
      <c r="BQ36" s="1503"/>
      <c r="BR36" s="1503"/>
      <c r="ED36" s="563"/>
      <c r="EE36" s="563"/>
      <c r="EF36" s="563"/>
      <c r="EG36" s="563"/>
      <c r="EH36" s="563"/>
    </row>
    <row r="37" spans="1:138" ht="65.25" customHeight="1" thickBot="1" x14ac:dyDescent="0.3">
      <c r="A37" s="1485"/>
      <c r="B37" s="550"/>
      <c r="C37" s="551" t="s">
        <v>113</v>
      </c>
      <c r="D37" s="552"/>
      <c r="E37" s="553" t="s">
        <v>114</v>
      </c>
      <c r="F37" s="1505"/>
      <c r="G37" s="550"/>
      <c r="H37" s="551" t="s">
        <v>113</v>
      </c>
      <c r="I37" s="552"/>
      <c r="J37" s="553" t="s">
        <v>114</v>
      </c>
      <c r="K37" s="1525"/>
      <c r="L37" s="550"/>
      <c r="M37" s="551" t="s">
        <v>113</v>
      </c>
      <c r="N37" s="552"/>
      <c r="O37" s="554" t="s">
        <v>114</v>
      </c>
      <c r="P37" s="1485"/>
      <c r="Q37" s="550"/>
      <c r="R37" s="551" t="s">
        <v>113</v>
      </c>
      <c r="S37" s="552"/>
      <c r="T37" s="553" t="s">
        <v>114</v>
      </c>
      <c r="U37" s="1505"/>
      <c r="V37" s="550"/>
      <c r="W37" s="551" t="s">
        <v>113</v>
      </c>
      <c r="X37" s="552"/>
      <c r="Y37" s="553" t="s">
        <v>114</v>
      </c>
      <c r="Z37" s="1480"/>
      <c r="AA37" s="550"/>
      <c r="AB37" s="551" t="s">
        <v>113</v>
      </c>
      <c r="AC37" s="552"/>
      <c r="AD37" s="554" t="s">
        <v>114</v>
      </c>
      <c r="AE37" s="1485"/>
      <c r="AF37" s="550"/>
      <c r="AG37" s="551" t="s">
        <v>113</v>
      </c>
      <c r="AH37" s="552"/>
      <c r="AI37" s="553" t="s">
        <v>114</v>
      </c>
      <c r="AJ37" s="1505"/>
      <c r="AK37" s="550"/>
      <c r="AL37" s="551" t="s">
        <v>113</v>
      </c>
      <c r="AM37" s="552"/>
      <c r="AN37" s="553" t="s">
        <v>114</v>
      </c>
      <c r="AO37" s="1480"/>
      <c r="AP37" s="550"/>
      <c r="AQ37" s="551" t="s">
        <v>113</v>
      </c>
      <c r="AR37" s="552"/>
      <c r="AS37" s="554" t="s">
        <v>114</v>
      </c>
      <c r="AT37" s="1485"/>
      <c r="AU37" s="550"/>
      <c r="AV37" s="551" t="s">
        <v>113</v>
      </c>
      <c r="AW37" s="552"/>
      <c r="AX37" s="553" t="s">
        <v>114</v>
      </c>
      <c r="AY37" s="1505"/>
      <c r="AZ37" s="550"/>
      <c r="BA37" s="551" t="s">
        <v>113</v>
      </c>
      <c r="BB37" s="552"/>
      <c r="BC37" s="553" t="s">
        <v>114</v>
      </c>
      <c r="BD37" s="1480"/>
      <c r="BE37" s="550"/>
      <c r="BF37" s="551" t="s">
        <v>113</v>
      </c>
      <c r="BG37" s="552"/>
      <c r="BH37" s="554" t="s">
        <v>114</v>
      </c>
      <c r="BI37" s="1473"/>
      <c r="BJ37" s="212"/>
      <c r="BK37" s="211"/>
      <c r="BL37" s="210"/>
      <c r="BM37" s="209"/>
      <c r="BN37" s="1478"/>
      <c r="BO37" s="212"/>
      <c r="BP37" s="211"/>
      <c r="BQ37" s="210"/>
      <c r="BR37" s="209"/>
      <c r="BW37" s="27"/>
      <c r="BX37" s="27"/>
      <c r="BY37" s="27"/>
      <c r="BZ37" s="27"/>
      <c r="CA37" s="27"/>
      <c r="CB37" s="27"/>
      <c r="CC37" s="27"/>
      <c r="CD37" s="27"/>
      <c r="CE37" s="27"/>
      <c r="ED37" s="13"/>
      <c r="EE37" s="13"/>
      <c r="EF37" s="13"/>
      <c r="EG37" s="13"/>
      <c r="EH37" s="13"/>
    </row>
    <row r="38" spans="1:138" ht="36" hidden="1" customHeight="1" thickTop="1" x14ac:dyDescent="0.25">
      <c r="A38" s="719"/>
      <c r="B38" s="719"/>
      <c r="C38" s="720"/>
      <c r="D38" s="720"/>
      <c r="E38" s="720"/>
      <c r="F38" s="719"/>
      <c r="G38" s="719"/>
      <c r="H38" s="720"/>
      <c r="I38" s="720"/>
      <c r="J38" s="720"/>
      <c r="K38" s="719"/>
      <c r="L38" s="719"/>
      <c r="M38" s="720"/>
      <c r="N38" s="720"/>
      <c r="O38" s="720"/>
      <c r="P38" s="719"/>
      <c r="Q38" s="719"/>
      <c r="R38" s="720"/>
      <c r="S38" s="720"/>
      <c r="T38" s="720"/>
      <c r="U38" s="719"/>
      <c r="V38" s="719"/>
      <c r="W38" s="720"/>
      <c r="X38" s="720"/>
      <c r="Y38" s="720"/>
      <c r="Z38" s="719"/>
      <c r="AA38" s="719"/>
      <c r="AB38" s="720"/>
      <c r="AC38" s="720"/>
      <c r="AD38" s="720"/>
      <c r="AE38" s="719"/>
      <c r="AF38" s="719"/>
      <c r="AG38" s="720"/>
      <c r="AH38" s="720"/>
      <c r="AI38" s="720"/>
      <c r="AJ38" s="719"/>
      <c r="AK38" s="719"/>
      <c r="AL38" s="720"/>
      <c r="AM38" s="720"/>
      <c r="AN38" s="720"/>
      <c r="AO38" s="719"/>
      <c r="AP38" s="719"/>
      <c r="AQ38" s="720"/>
      <c r="AR38" s="720"/>
      <c r="AS38" s="720"/>
      <c r="AT38" s="719"/>
      <c r="AU38" s="719"/>
      <c r="AV38" s="720"/>
      <c r="AW38" s="720"/>
      <c r="AX38" s="720"/>
      <c r="AY38" s="719"/>
      <c r="AZ38" s="719"/>
      <c r="BA38" s="720"/>
      <c r="BB38" s="720"/>
      <c r="BC38" s="720"/>
      <c r="BD38" s="719"/>
      <c r="BE38" s="719"/>
      <c r="BF38" s="720"/>
      <c r="BG38" s="720"/>
      <c r="BH38" s="720"/>
      <c r="BI38" s="1489"/>
      <c r="BJ38" s="1487"/>
      <c r="BK38" s="1488"/>
      <c r="BL38" s="1488"/>
      <c r="BM38" s="1488"/>
      <c r="BN38" s="1487"/>
      <c r="BO38" s="1487"/>
      <c r="BP38" s="1488"/>
      <c r="BQ38" s="1488"/>
      <c r="BR38" s="1488"/>
      <c r="ED38" s="13"/>
      <c r="EE38" s="13"/>
      <c r="EF38" s="13"/>
      <c r="EG38" s="13"/>
      <c r="EH38" s="13"/>
    </row>
    <row r="39" spans="1:138" ht="6.75" hidden="1" customHeight="1" x14ac:dyDescent="0.25">
      <c r="A39" s="713"/>
      <c r="B39" s="713"/>
      <c r="C39" s="714"/>
      <c r="D39" s="714"/>
      <c r="E39" s="714"/>
      <c r="F39" s="713"/>
      <c r="G39" s="713"/>
      <c r="H39" s="714"/>
      <c r="I39" s="714"/>
      <c r="J39" s="714"/>
      <c r="K39" s="713"/>
      <c r="L39" s="713"/>
      <c r="M39" s="714"/>
      <c r="N39" s="714"/>
      <c r="O39" s="714"/>
      <c r="P39" s="713"/>
      <c r="Q39" s="713"/>
      <c r="R39" s="714"/>
      <c r="S39" s="714"/>
      <c r="T39" s="714"/>
      <c r="U39" s="713"/>
      <c r="V39" s="713"/>
      <c r="W39" s="714"/>
      <c r="X39" s="714"/>
      <c r="Y39" s="714"/>
      <c r="Z39" s="713"/>
      <c r="AA39" s="713"/>
      <c r="AB39" s="714"/>
      <c r="AC39" s="714"/>
      <c r="AD39" s="714"/>
      <c r="AE39" s="713"/>
      <c r="AF39" s="713"/>
      <c r="AG39" s="714"/>
      <c r="AH39" s="714"/>
      <c r="AI39" s="714"/>
      <c r="AJ39" s="713"/>
      <c r="AK39" s="713"/>
      <c r="AL39" s="714"/>
      <c r="AM39" s="714"/>
      <c r="AN39" s="714"/>
      <c r="AO39" s="713"/>
      <c r="AP39" s="713"/>
      <c r="AQ39" s="714"/>
      <c r="AR39" s="714"/>
      <c r="AS39" s="714"/>
      <c r="AT39" s="713"/>
      <c r="AU39" s="713"/>
      <c r="AV39" s="714"/>
      <c r="AW39" s="714"/>
      <c r="AX39" s="714"/>
      <c r="AY39" s="713"/>
      <c r="AZ39" s="713"/>
      <c r="BA39" s="714"/>
      <c r="BB39" s="714"/>
      <c r="BC39" s="714"/>
      <c r="BD39" s="713"/>
      <c r="BE39" s="713"/>
      <c r="BF39" s="714"/>
      <c r="BG39" s="714"/>
      <c r="BH39" s="714"/>
      <c r="BI39" s="1477"/>
      <c r="BJ39" s="1475"/>
      <c r="BK39" s="1476"/>
      <c r="BL39" s="1476"/>
      <c r="BM39" s="1476"/>
      <c r="BN39" s="1475"/>
      <c r="BO39" s="1475"/>
      <c r="BP39" s="1476"/>
      <c r="BQ39" s="1476"/>
      <c r="BR39" s="1476"/>
      <c r="ED39" s="13"/>
      <c r="EE39" s="13"/>
      <c r="EF39" s="13"/>
      <c r="EG39" s="13"/>
      <c r="EH39" s="13"/>
    </row>
    <row r="40" spans="1:138" ht="15.75" hidden="1" customHeight="1" x14ac:dyDescent="0.25">
      <c r="A40" s="713"/>
      <c r="B40" s="713"/>
      <c r="C40" s="714"/>
      <c r="D40" s="714"/>
      <c r="E40" s="714"/>
      <c r="F40" s="713"/>
      <c r="G40" s="713"/>
      <c r="H40" s="714"/>
      <c r="I40" s="714"/>
      <c r="J40" s="714"/>
      <c r="K40" s="713"/>
      <c r="L40" s="713"/>
      <c r="M40" s="714"/>
      <c r="N40" s="714"/>
      <c r="O40" s="714"/>
      <c r="P40" s="713"/>
      <c r="Q40" s="713"/>
      <c r="R40" s="714"/>
      <c r="S40" s="714"/>
      <c r="T40" s="714"/>
      <c r="U40" s="713"/>
      <c r="V40" s="713"/>
      <c r="W40" s="714"/>
      <c r="X40" s="714"/>
      <c r="Y40" s="714"/>
      <c r="Z40" s="713"/>
      <c r="AA40" s="713"/>
      <c r="AB40" s="714"/>
      <c r="AC40" s="714"/>
      <c r="AD40" s="714"/>
      <c r="AE40" s="713"/>
      <c r="AF40" s="713"/>
      <c r="AG40" s="714"/>
      <c r="AH40" s="714"/>
      <c r="AI40" s="714"/>
      <c r="AJ40" s="713"/>
      <c r="AK40" s="713"/>
      <c r="AL40" s="714"/>
      <c r="AM40" s="714"/>
      <c r="AN40" s="714"/>
      <c r="AO40" s="713"/>
      <c r="AP40" s="713"/>
      <c r="AQ40" s="714"/>
      <c r="AR40" s="714"/>
      <c r="AS40" s="714"/>
      <c r="AT40" s="713"/>
      <c r="AU40" s="713"/>
      <c r="AV40" s="714"/>
      <c r="AW40" s="714"/>
      <c r="AX40" s="714"/>
      <c r="AY40" s="713"/>
      <c r="AZ40" s="713"/>
      <c r="BA40" s="714"/>
      <c r="BB40" s="714"/>
      <c r="BC40" s="714"/>
      <c r="BD40" s="713"/>
      <c r="BE40" s="713"/>
      <c r="BF40" s="714"/>
      <c r="BG40" s="714"/>
      <c r="BH40" s="714"/>
      <c r="BI40" s="1477"/>
      <c r="BJ40" s="1475"/>
      <c r="BK40" s="1476"/>
      <c r="BL40" s="1476"/>
      <c r="BM40" s="1476"/>
      <c r="BN40" s="1475"/>
      <c r="BO40" s="1475"/>
      <c r="BP40" s="1476"/>
      <c r="BQ40" s="1476"/>
      <c r="BR40" s="1476"/>
      <c r="ED40" s="13"/>
      <c r="EE40" s="13"/>
      <c r="EF40" s="13"/>
      <c r="EG40" s="13"/>
      <c r="EH40" s="13"/>
    </row>
    <row r="41" spans="1:138" ht="6" hidden="1" customHeight="1" x14ac:dyDescent="0.25">
      <c r="A41" s="713"/>
      <c r="B41" s="713"/>
      <c r="C41" s="714"/>
      <c r="D41" s="714"/>
      <c r="E41" s="714"/>
      <c r="F41" s="713"/>
      <c r="G41" s="713"/>
      <c r="H41" s="714"/>
      <c r="I41" s="714"/>
      <c r="J41" s="714"/>
      <c r="K41" s="713"/>
      <c r="L41" s="713"/>
      <c r="M41" s="714"/>
      <c r="N41" s="714"/>
      <c r="O41" s="714"/>
      <c r="P41" s="713"/>
      <c r="Q41" s="713"/>
      <c r="R41" s="714"/>
      <c r="S41" s="714"/>
      <c r="T41" s="714"/>
      <c r="U41" s="713"/>
      <c r="V41" s="713"/>
      <c r="W41" s="714"/>
      <c r="X41" s="714"/>
      <c r="Y41" s="714"/>
      <c r="Z41" s="713"/>
      <c r="AA41" s="713"/>
      <c r="AB41" s="714"/>
      <c r="AC41" s="714"/>
      <c r="AD41" s="714"/>
      <c r="AE41" s="713"/>
      <c r="AF41" s="713"/>
      <c r="AG41" s="714"/>
      <c r="AH41" s="714"/>
      <c r="AI41" s="714"/>
      <c r="AJ41" s="713"/>
      <c r="AK41" s="713"/>
      <c r="AL41" s="714"/>
      <c r="AM41" s="714"/>
      <c r="AN41" s="714"/>
      <c r="AO41" s="713"/>
      <c r="AP41" s="713"/>
      <c r="AQ41" s="714"/>
      <c r="AR41" s="714"/>
      <c r="AS41" s="714"/>
      <c r="AT41" s="713"/>
      <c r="AU41" s="713"/>
      <c r="AV41" s="714"/>
      <c r="AW41" s="714"/>
      <c r="AX41" s="714"/>
      <c r="AY41" s="713"/>
      <c r="AZ41" s="713"/>
      <c r="BA41" s="714"/>
      <c r="BB41" s="714"/>
      <c r="BC41" s="714"/>
      <c r="BD41" s="713"/>
      <c r="BE41" s="713"/>
      <c r="BF41" s="714"/>
      <c r="BG41" s="714"/>
      <c r="BH41" s="714"/>
      <c r="BI41" s="1477"/>
      <c r="BJ41" s="1475"/>
      <c r="BK41" s="1476"/>
      <c r="BL41" s="1476"/>
      <c r="BM41" s="1476"/>
      <c r="BN41" s="1475"/>
      <c r="BO41" s="1475"/>
      <c r="BP41" s="1476"/>
      <c r="BQ41" s="1476"/>
      <c r="BR41" s="1476"/>
      <c r="ED41" s="13"/>
      <c r="EE41" s="13"/>
      <c r="EF41" s="13"/>
      <c r="EG41" s="13"/>
      <c r="EH41" s="13"/>
    </row>
    <row r="42" spans="1:138" s="22" customFormat="1" ht="111.75" hidden="1" customHeight="1" x14ac:dyDescent="1.35">
      <c r="A42" s="1469"/>
      <c r="B42" s="717"/>
      <c r="C42" s="717"/>
      <c r="D42" s="717"/>
      <c r="E42" s="717"/>
      <c r="F42" s="1469"/>
      <c r="G42" s="717"/>
      <c r="H42" s="717"/>
      <c r="I42" s="717"/>
      <c r="J42" s="717"/>
      <c r="K42" s="1469"/>
      <c r="L42" s="717"/>
      <c r="M42" s="717"/>
      <c r="N42" s="717"/>
      <c r="O42" s="717"/>
      <c r="P42" s="1469"/>
      <c r="Q42" s="717"/>
      <c r="R42" s="717"/>
      <c r="S42" s="717"/>
      <c r="T42" s="717"/>
      <c r="U42" s="1469"/>
      <c r="V42" s="717"/>
      <c r="W42" s="717"/>
      <c r="X42" s="717"/>
      <c r="Y42" s="717"/>
      <c r="Z42" s="1469"/>
      <c r="AA42" s="717"/>
      <c r="AB42" s="717"/>
      <c r="AC42" s="717"/>
      <c r="AD42" s="717"/>
      <c r="AE42" s="1469"/>
      <c r="AF42" s="717"/>
      <c r="AG42" s="717"/>
      <c r="AH42" s="717"/>
      <c r="AI42" s="717"/>
      <c r="AJ42" s="1469"/>
      <c r="AK42" s="717"/>
      <c r="AL42" s="717"/>
      <c r="AM42" s="717"/>
      <c r="AN42" s="717"/>
      <c r="AO42" s="1469"/>
      <c r="AP42" s="717"/>
      <c r="AQ42" s="717"/>
      <c r="AR42" s="717"/>
      <c r="AS42" s="717"/>
      <c r="AT42" s="1469"/>
      <c r="AU42" s="717"/>
      <c r="AV42" s="717"/>
      <c r="AW42" s="717"/>
      <c r="AX42" s="717"/>
      <c r="AY42" s="1469"/>
      <c r="AZ42" s="717"/>
      <c r="BA42" s="717"/>
      <c r="BB42" s="717"/>
      <c r="BC42" s="717"/>
      <c r="BD42" s="1469"/>
      <c r="BE42" s="717"/>
      <c r="BF42" s="717"/>
      <c r="BG42" s="717"/>
      <c r="BH42" s="717"/>
      <c r="BI42" s="1473"/>
      <c r="BJ42" s="1474"/>
      <c r="BK42" s="1474"/>
      <c r="BL42" s="1474"/>
      <c r="BM42" s="1474"/>
      <c r="BN42" s="1478"/>
      <c r="BO42" s="1474"/>
      <c r="BP42" s="1474"/>
      <c r="BQ42" s="1474"/>
      <c r="BR42" s="1474"/>
      <c r="ED42" s="379"/>
      <c r="EE42" s="379"/>
      <c r="EF42" s="379"/>
      <c r="EG42" s="379"/>
      <c r="EH42" s="379"/>
    </row>
    <row r="43" spans="1:138" ht="50.25" hidden="1" customHeight="1" thickBot="1" x14ac:dyDescent="0.3">
      <c r="A43" s="1469"/>
      <c r="B43" s="32"/>
      <c r="C43" s="33"/>
      <c r="D43" s="34"/>
      <c r="E43" s="35"/>
      <c r="F43" s="1469"/>
      <c r="G43" s="32"/>
      <c r="H43" s="33"/>
      <c r="I43" s="34"/>
      <c r="J43" s="35"/>
      <c r="K43" s="1469"/>
      <c r="L43" s="32"/>
      <c r="M43" s="33"/>
      <c r="N43" s="34"/>
      <c r="O43" s="35"/>
      <c r="P43" s="1469"/>
      <c r="Q43" s="32"/>
      <c r="R43" s="33"/>
      <c r="S43" s="34"/>
      <c r="T43" s="35"/>
      <c r="U43" s="1469"/>
      <c r="V43" s="32"/>
      <c r="W43" s="33"/>
      <c r="X43" s="34"/>
      <c r="Y43" s="35"/>
      <c r="Z43" s="1469"/>
      <c r="AA43" s="32"/>
      <c r="AB43" s="33"/>
      <c r="AC43" s="34"/>
      <c r="AD43" s="35"/>
      <c r="AE43" s="1469"/>
      <c r="AF43" s="32"/>
      <c r="AG43" s="33"/>
      <c r="AH43" s="34"/>
      <c r="AI43" s="35"/>
      <c r="AJ43" s="1469"/>
      <c r="AK43" s="32"/>
      <c r="AL43" s="33"/>
      <c r="AM43" s="34"/>
      <c r="AN43" s="35"/>
      <c r="AO43" s="1469"/>
      <c r="AP43" s="32"/>
      <c r="AQ43" s="33"/>
      <c r="AR43" s="34"/>
      <c r="AS43" s="35"/>
      <c r="AT43" s="1469"/>
      <c r="AU43" s="32"/>
      <c r="AV43" s="33"/>
      <c r="AW43" s="34"/>
      <c r="AX43" s="35"/>
      <c r="AY43" s="1469"/>
      <c r="AZ43" s="32"/>
      <c r="BA43" s="33"/>
      <c r="BB43" s="34"/>
      <c r="BC43" s="35"/>
      <c r="BD43" s="1469"/>
      <c r="BE43" s="32"/>
      <c r="BF43" s="33"/>
      <c r="BG43" s="34"/>
      <c r="BH43" s="35"/>
      <c r="BI43" s="1473"/>
      <c r="BJ43" s="212"/>
      <c r="BK43" s="211"/>
      <c r="BL43" s="210"/>
      <c r="BM43" s="209"/>
      <c r="BN43" s="1478"/>
      <c r="BO43" s="212"/>
      <c r="BP43" s="211"/>
      <c r="BQ43" s="210"/>
      <c r="BR43" s="209"/>
      <c r="BW43" s="27"/>
      <c r="BX43" s="27"/>
      <c r="BY43" s="27"/>
      <c r="BZ43" s="27"/>
      <c r="CA43" s="27"/>
      <c r="CB43" s="27"/>
      <c r="CC43" s="27"/>
      <c r="CD43" s="27"/>
      <c r="CE43" s="27"/>
      <c r="ED43" s="57"/>
      <c r="EE43" s="57"/>
      <c r="EF43" s="57"/>
      <c r="EG43" s="57"/>
      <c r="EH43" s="57"/>
    </row>
    <row r="44" spans="1:138" ht="36" hidden="1" customHeight="1" thickTop="1" x14ac:dyDescent="0.25">
      <c r="A44" s="719"/>
      <c r="B44" s="719"/>
      <c r="C44" s="720"/>
      <c r="D44" s="720"/>
      <c r="E44" s="720"/>
      <c r="F44" s="719"/>
      <c r="G44" s="719"/>
      <c r="H44" s="720"/>
      <c r="I44" s="720"/>
      <c r="J44" s="720"/>
      <c r="K44" s="719"/>
      <c r="L44" s="719"/>
      <c r="M44" s="720"/>
      <c r="N44" s="720"/>
      <c r="O44" s="720"/>
      <c r="P44" s="719"/>
      <c r="Q44" s="719"/>
      <c r="R44" s="720"/>
      <c r="S44" s="720"/>
      <c r="T44" s="720"/>
      <c r="U44" s="719"/>
      <c r="V44" s="719"/>
      <c r="W44" s="720"/>
      <c r="X44" s="720"/>
      <c r="Y44" s="720"/>
      <c r="Z44" s="719"/>
      <c r="AA44" s="719"/>
      <c r="AB44" s="720"/>
      <c r="AC44" s="720"/>
      <c r="AD44" s="720"/>
      <c r="AE44" s="719"/>
      <c r="AF44" s="719"/>
      <c r="AG44" s="720"/>
      <c r="AH44" s="720"/>
      <c r="AI44" s="720"/>
      <c r="AJ44" s="719"/>
      <c r="AK44" s="719"/>
      <c r="AL44" s="720"/>
      <c r="AM44" s="720"/>
      <c r="AN44" s="720"/>
      <c r="AO44" s="719"/>
      <c r="AP44" s="719"/>
      <c r="AQ44" s="720"/>
      <c r="AR44" s="720"/>
      <c r="AS44" s="720"/>
      <c r="AT44" s="719"/>
      <c r="AU44" s="719"/>
      <c r="AV44" s="720"/>
      <c r="AW44" s="720"/>
      <c r="AX44" s="720"/>
      <c r="AY44" s="719"/>
      <c r="AZ44" s="719"/>
      <c r="BA44" s="720"/>
      <c r="BB44" s="720"/>
      <c r="BC44" s="720"/>
      <c r="BD44" s="719"/>
      <c r="BE44" s="719"/>
      <c r="BF44" s="720"/>
      <c r="BG44" s="720"/>
      <c r="BH44" s="720"/>
      <c r="BI44" s="710"/>
      <c r="BJ44" s="710"/>
      <c r="BK44" s="711"/>
      <c r="BL44" s="711"/>
      <c r="BM44" s="711"/>
      <c r="BN44" s="719"/>
      <c r="BO44" s="719"/>
      <c r="BP44" s="720"/>
      <c r="BQ44" s="720"/>
      <c r="BR44" s="720"/>
      <c r="ED44" s="57"/>
      <c r="EE44" s="57"/>
      <c r="EF44" s="57"/>
      <c r="EG44" s="57"/>
      <c r="EH44" s="57"/>
    </row>
    <row r="45" spans="1:138" ht="6.75" hidden="1" customHeight="1" x14ac:dyDescent="0.25">
      <c r="A45" s="713"/>
      <c r="B45" s="713"/>
      <c r="C45" s="714"/>
      <c r="D45" s="714"/>
      <c r="E45" s="714"/>
      <c r="F45" s="713"/>
      <c r="G45" s="713"/>
      <c r="H45" s="714"/>
      <c r="I45" s="714"/>
      <c r="J45" s="714"/>
      <c r="K45" s="713"/>
      <c r="L45" s="713"/>
      <c r="M45" s="714"/>
      <c r="N45" s="714"/>
      <c r="O45" s="714"/>
      <c r="P45" s="713"/>
      <c r="Q45" s="713"/>
      <c r="R45" s="714"/>
      <c r="S45" s="714"/>
      <c r="T45" s="714"/>
      <c r="U45" s="713"/>
      <c r="V45" s="713"/>
      <c r="W45" s="714"/>
      <c r="X45" s="714"/>
      <c r="Y45" s="714"/>
      <c r="Z45" s="713"/>
      <c r="AA45" s="713"/>
      <c r="AB45" s="714"/>
      <c r="AC45" s="714"/>
      <c r="AD45" s="714"/>
      <c r="AE45" s="713"/>
      <c r="AF45" s="713"/>
      <c r="AG45" s="714"/>
      <c r="AH45" s="714"/>
      <c r="AI45" s="714"/>
      <c r="AJ45" s="713"/>
      <c r="AK45" s="713"/>
      <c r="AL45" s="714"/>
      <c r="AM45" s="714"/>
      <c r="AN45" s="714"/>
      <c r="AO45" s="713"/>
      <c r="AP45" s="713"/>
      <c r="AQ45" s="714"/>
      <c r="AR45" s="714"/>
      <c r="AS45" s="714"/>
      <c r="AT45" s="713"/>
      <c r="AU45" s="713"/>
      <c r="AV45" s="714"/>
      <c r="AW45" s="714"/>
      <c r="AX45" s="714"/>
      <c r="AY45" s="713"/>
      <c r="AZ45" s="713"/>
      <c r="BA45" s="714"/>
      <c r="BB45" s="714"/>
      <c r="BC45" s="714"/>
      <c r="BD45" s="713"/>
      <c r="BE45" s="713"/>
      <c r="BF45" s="714"/>
      <c r="BG45" s="714"/>
      <c r="BH45" s="714"/>
      <c r="BI45" s="713"/>
      <c r="BJ45" s="713"/>
      <c r="BK45" s="714"/>
      <c r="BL45" s="714"/>
      <c r="BM45" s="714"/>
      <c r="BN45" s="713"/>
      <c r="BO45" s="713"/>
      <c r="BP45" s="714"/>
      <c r="BQ45" s="714"/>
      <c r="BR45" s="714"/>
      <c r="ED45" s="57"/>
      <c r="EE45" s="57"/>
      <c r="EF45" s="57"/>
      <c r="EG45" s="57"/>
      <c r="EH45" s="57"/>
    </row>
    <row r="46" spans="1:138" ht="18" hidden="1" customHeight="1" x14ac:dyDescent="0.25">
      <c r="A46" s="713"/>
      <c r="B46" s="713"/>
      <c r="C46" s="714"/>
      <c r="D46" s="714"/>
      <c r="E46" s="714"/>
      <c r="F46" s="713"/>
      <c r="G46" s="713"/>
      <c r="H46" s="714"/>
      <c r="I46" s="714"/>
      <c r="J46" s="714"/>
      <c r="K46" s="713"/>
      <c r="L46" s="713"/>
      <c r="M46" s="714"/>
      <c r="N46" s="714"/>
      <c r="O46" s="714"/>
      <c r="P46" s="713"/>
      <c r="Q46" s="713"/>
      <c r="R46" s="714"/>
      <c r="S46" s="714"/>
      <c r="T46" s="714"/>
      <c r="U46" s="713"/>
      <c r="V46" s="713"/>
      <c r="W46" s="714"/>
      <c r="X46" s="714"/>
      <c r="Y46" s="714"/>
      <c r="Z46" s="713"/>
      <c r="AA46" s="713"/>
      <c r="AB46" s="714"/>
      <c r="AC46" s="714"/>
      <c r="AD46" s="714"/>
      <c r="AE46" s="713"/>
      <c r="AF46" s="713"/>
      <c r="AG46" s="714"/>
      <c r="AH46" s="714"/>
      <c r="AI46" s="714"/>
      <c r="AJ46" s="713"/>
      <c r="AK46" s="713"/>
      <c r="AL46" s="714"/>
      <c r="AM46" s="714"/>
      <c r="AN46" s="714"/>
      <c r="AO46" s="713"/>
      <c r="AP46" s="713"/>
      <c r="AQ46" s="714"/>
      <c r="AR46" s="714"/>
      <c r="AS46" s="714"/>
      <c r="AT46" s="713"/>
      <c r="AU46" s="713"/>
      <c r="AV46" s="714"/>
      <c r="AW46" s="714"/>
      <c r="AX46" s="714"/>
      <c r="AY46" s="713"/>
      <c r="AZ46" s="713"/>
      <c r="BA46" s="714"/>
      <c r="BB46" s="714"/>
      <c r="BC46" s="714"/>
      <c r="BD46" s="713"/>
      <c r="BE46" s="713"/>
      <c r="BF46" s="714"/>
      <c r="BG46" s="714"/>
      <c r="BH46" s="714"/>
      <c r="BI46" s="713"/>
      <c r="BJ46" s="713"/>
      <c r="BK46" s="714"/>
      <c r="BL46" s="714"/>
      <c r="BM46" s="714"/>
      <c r="BN46" s="713"/>
      <c r="BO46" s="713"/>
      <c r="BP46" s="714"/>
      <c r="BQ46" s="714"/>
      <c r="BR46" s="714"/>
      <c r="ED46" s="57"/>
      <c r="EE46" s="57"/>
      <c r="EF46" s="57"/>
      <c r="EG46" s="57"/>
      <c r="EH46" s="57"/>
    </row>
    <row r="47" spans="1:138" ht="6" hidden="1" customHeight="1" x14ac:dyDescent="0.25">
      <c r="A47" s="713"/>
      <c r="B47" s="713"/>
      <c r="C47" s="714"/>
      <c r="D47" s="714"/>
      <c r="E47" s="714"/>
      <c r="F47" s="713"/>
      <c r="G47" s="713"/>
      <c r="H47" s="714"/>
      <c r="I47" s="714"/>
      <c r="J47" s="714"/>
      <c r="K47" s="713"/>
      <c r="L47" s="713"/>
      <c r="M47" s="714"/>
      <c r="N47" s="714"/>
      <c r="O47" s="714"/>
      <c r="P47" s="713"/>
      <c r="Q47" s="713"/>
      <c r="R47" s="714"/>
      <c r="S47" s="714"/>
      <c r="T47" s="714"/>
      <c r="U47" s="713"/>
      <c r="V47" s="713"/>
      <c r="W47" s="714"/>
      <c r="X47" s="714"/>
      <c r="Y47" s="714"/>
      <c r="Z47" s="713"/>
      <c r="AA47" s="713"/>
      <c r="AB47" s="714"/>
      <c r="AC47" s="714"/>
      <c r="AD47" s="714"/>
      <c r="AE47" s="713"/>
      <c r="AF47" s="713"/>
      <c r="AG47" s="714"/>
      <c r="AH47" s="714"/>
      <c r="AI47" s="714"/>
      <c r="AJ47" s="713"/>
      <c r="AK47" s="713"/>
      <c r="AL47" s="714"/>
      <c r="AM47" s="714"/>
      <c r="AN47" s="714"/>
      <c r="AO47" s="713"/>
      <c r="AP47" s="713"/>
      <c r="AQ47" s="714"/>
      <c r="AR47" s="714"/>
      <c r="AS47" s="714"/>
      <c r="AT47" s="713"/>
      <c r="AU47" s="713"/>
      <c r="AV47" s="714"/>
      <c r="AW47" s="714"/>
      <c r="AX47" s="714"/>
      <c r="AY47" s="713"/>
      <c r="AZ47" s="713"/>
      <c r="BA47" s="714"/>
      <c r="BB47" s="714"/>
      <c r="BC47" s="714"/>
      <c r="BD47" s="713"/>
      <c r="BE47" s="713"/>
      <c r="BF47" s="714"/>
      <c r="BG47" s="714"/>
      <c r="BH47" s="714"/>
      <c r="BI47" s="713"/>
      <c r="BJ47" s="713"/>
      <c r="BK47" s="714"/>
      <c r="BL47" s="714"/>
      <c r="BM47" s="714"/>
      <c r="BN47" s="713"/>
      <c r="BO47" s="713"/>
      <c r="BP47" s="714"/>
      <c r="BQ47" s="714"/>
      <c r="BR47" s="714"/>
    </row>
    <row r="48" spans="1:138" s="22" customFormat="1" ht="111.75" hidden="1" customHeight="1" x14ac:dyDescent="1.35">
      <c r="A48" s="1469"/>
      <c r="B48" s="717"/>
      <c r="C48" s="717"/>
      <c r="D48" s="717"/>
      <c r="E48" s="717"/>
      <c r="F48" s="1469"/>
      <c r="G48" s="717"/>
      <c r="H48" s="717"/>
      <c r="I48" s="717"/>
      <c r="J48" s="717"/>
      <c r="K48" s="1469"/>
      <c r="L48" s="717"/>
      <c r="M48" s="717"/>
      <c r="N48" s="717"/>
      <c r="O48" s="717"/>
      <c r="P48" s="1469"/>
      <c r="Q48" s="717"/>
      <c r="R48" s="717"/>
      <c r="S48" s="717"/>
      <c r="T48" s="717"/>
      <c r="U48" s="1469"/>
      <c r="V48" s="717"/>
      <c r="W48" s="717"/>
      <c r="X48" s="717"/>
      <c r="Y48" s="717"/>
      <c r="Z48" s="1469"/>
      <c r="AA48" s="717"/>
      <c r="AB48" s="717"/>
      <c r="AC48" s="717"/>
      <c r="AD48" s="717"/>
      <c r="AE48" s="1469"/>
      <c r="AF48" s="717"/>
      <c r="AG48" s="717"/>
      <c r="AH48" s="717"/>
      <c r="AI48" s="717"/>
      <c r="AJ48" s="1469"/>
      <c r="AK48" s="717"/>
      <c r="AL48" s="717"/>
      <c r="AM48" s="717"/>
      <c r="AN48" s="717"/>
      <c r="AO48" s="1469"/>
      <c r="AP48" s="717"/>
      <c r="AQ48" s="717"/>
      <c r="AR48" s="717"/>
      <c r="AS48" s="717"/>
      <c r="AT48" s="1469"/>
      <c r="AU48" s="717"/>
      <c r="AV48" s="717"/>
      <c r="AW48" s="717"/>
      <c r="AX48" s="717"/>
      <c r="AY48" s="1469"/>
      <c r="AZ48" s="717"/>
      <c r="BA48" s="717"/>
      <c r="BB48" s="717"/>
      <c r="BC48" s="717"/>
      <c r="BD48" s="1469"/>
      <c r="BE48" s="717"/>
      <c r="BF48" s="717"/>
      <c r="BG48" s="717"/>
      <c r="BH48" s="717"/>
      <c r="BI48" s="716"/>
      <c r="BJ48" s="717"/>
      <c r="BK48" s="717"/>
      <c r="BL48" s="717"/>
      <c r="BM48" s="717"/>
      <c r="BN48" s="716"/>
      <c r="BO48" s="717"/>
      <c r="BP48" s="717"/>
      <c r="BQ48" s="717"/>
      <c r="BR48" s="717"/>
    </row>
    <row r="49" spans="1:83" ht="50.25" hidden="1" customHeight="1" thickBot="1" x14ac:dyDescent="0.3">
      <c r="A49" s="1469"/>
      <c r="B49" s="32"/>
      <c r="C49" s="33"/>
      <c r="D49" s="34"/>
      <c r="E49" s="35"/>
      <c r="F49" s="1469"/>
      <c r="G49" s="32"/>
      <c r="H49" s="33"/>
      <c r="I49" s="34"/>
      <c r="J49" s="35"/>
      <c r="K49" s="1469"/>
      <c r="L49" s="32"/>
      <c r="M49" s="33"/>
      <c r="N49" s="34"/>
      <c r="O49" s="35"/>
      <c r="P49" s="1469"/>
      <c r="Q49" s="32"/>
      <c r="R49" s="33"/>
      <c r="S49" s="34"/>
      <c r="T49" s="35"/>
      <c r="U49" s="1469"/>
      <c r="V49" s="32"/>
      <c r="W49" s="33"/>
      <c r="X49" s="34"/>
      <c r="Y49" s="35"/>
      <c r="Z49" s="1469"/>
      <c r="AA49" s="32"/>
      <c r="AB49" s="33"/>
      <c r="AC49" s="34"/>
      <c r="AD49" s="35"/>
      <c r="AE49" s="1469"/>
      <c r="AF49" s="32"/>
      <c r="AG49" s="33"/>
      <c r="AH49" s="34"/>
      <c r="AI49" s="35"/>
      <c r="AJ49" s="1469"/>
      <c r="AK49" s="32"/>
      <c r="AL49" s="33"/>
      <c r="AM49" s="34"/>
      <c r="AN49" s="35"/>
      <c r="AO49" s="1469"/>
      <c r="AP49" s="32"/>
      <c r="AQ49" s="33"/>
      <c r="AR49" s="34"/>
      <c r="AS49" s="35"/>
      <c r="AT49" s="1469"/>
      <c r="AU49" s="32"/>
      <c r="AV49" s="33"/>
      <c r="AW49" s="34"/>
      <c r="AX49" s="35"/>
      <c r="AY49" s="1469"/>
      <c r="AZ49" s="32"/>
      <c r="BA49" s="33"/>
      <c r="BB49" s="34"/>
      <c r="BC49" s="35"/>
      <c r="BD49" s="1469"/>
      <c r="BE49" s="32"/>
      <c r="BF49" s="33"/>
      <c r="BG49" s="34"/>
      <c r="BH49" s="35"/>
      <c r="BI49" s="716"/>
      <c r="BJ49" s="32"/>
      <c r="BK49" s="33"/>
      <c r="BL49" s="34"/>
      <c r="BM49" s="35"/>
      <c r="BN49" s="716"/>
      <c r="BO49" s="32"/>
      <c r="BP49" s="33"/>
      <c r="BQ49" s="34"/>
      <c r="BR49" s="35"/>
      <c r="BW49" s="27"/>
      <c r="BX49" s="27"/>
      <c r="BY49" s="27"/>
      <c r="BZ49" s="27"/>
      <c r="CA49" s="27"/>
      <c r="CB49" s="27"/>
      <c r="CC49" s="27"/>
      <c r="CD49" s="27"/>
      <c r="CE49" s="27"/>
    </row>
    <row r="50" spans="1:83" ht="26.1" hidden="1" customHeight="1" thickTop="1" x14ac:dyDescent="0.25">
      <c r="A50" s="672"/>
      <c r="B50" s="672"/>
      <c r="C50" s="672"/>
      <c r="D50" s="673"/>
      <c r="E50" s="673"/>
      <c r="F50" s="672"/>
      <c r="G50" s="672"/>
      <c r="H50" s="672"/>
      <c r="I50" s="673"/>
      <c r="J50" s="673"/>
      <c r="K50" s="672"/>
      <c r="L50" s="672"/>
      <c r="M50" s="672"/>
      <c r="N50" s="673"/>
      <c r="O50" s="673"/>
      <c r="P50" s="672"/>
      <c r="Q50" s="672"/>
      <c r="R50" s="672"/>
      <c r="S50" s="673"/>
      <c r="T50" s="673"/>
      <c r="U50" s="674"/>
      <c r="V50" s="674"/>
      <c r="W50" s="674"/>
      <c r="X50" s="675"/>
      <c r="Y50" s="675"/>
      <c r="Z50" s="674"/>
      <c r="AA50" s="674"/>
      <c r="AB50" s="674"/>
      <c r="AC50" s="675"/>
      <c r="AD50" s="675"/>
      <c r="AE50" s="674"/>
      <c r="AF50" s="674"/>
      <c r="AG50" s="674"/>
      <c r="AH50" s="675"/>
      <c r="AI50" s="675"/>
      <c r="AJ50" s="674"/>
      <c r="AK50" s="674"/>
      <c r="AL50" s="674"/>
      <c r="AM50" s="675"/>
      <c r="AN50" s="675"/>
      <c r="AO50" s="674"/>
      <c r="AP50" s="674"/>
      <c r="AQ50" s="674"/>
      <c r="AR50" s="675"/>
      <c r="AS50" s="675"/>
      <c r="AT50" s="674"/>
      <c r="AU50" s="674"/>
      <c r="AV50" s="674"/>
      <c r="AW50" s="675"/>
      <c r="AX50" s="675"/>
      <c r="AY50" s="674"/>
      <c r="AZ50" s="674"/>
      <c r="BA50" s="674"/>
      <c r="BB50" s="675"/>
      <c r="BC50" s="675"/>
      <c r="BD50" s="674"/>
      <c r="BE50" s="674"/>
      <c r="BF50" s="674"/>
      <c r="BG50" s="675"/>
      <c r="BH50" s="675"/>
      <c r="BI50" s="674"/>
      <c r="BJ50" s="674"/>
      <c r="BK50" s="674"/>
      <c r="BL50" s="675"/>
      <c r="BM50" s="675"/>
      <c r="BN50" s="674"/>
      <c r="BO50" s="674"/>
      <c r="BP50" s="674"/>
      <c r="BQ50" s="675"/>
      <c r="BR50" s="675"/>
    </row>
    <row r="51" spans="1:83" ht="6.75" hidden="1" customHeight="1" x14ac:dyDescent="0.25">
      <c r="A51" s="676"/>
      <c r="B51" s="676"/>
      <c r="C51" s="676"/>
      <c r="D51" s="29"/>
      <c r="E51" s="29"/>
      <c r="F51" s="676"/>
      <c r="G51" s="676"/>
      <c r="H51" s="676"/>
      <c r="I51" s="29"/>
      <c r="J51" s="29"/>
      <c r="K51" s="676"/>
      <c r="L51" s="676"/>
      <c r="M51" s="676"/>
      <c r="N51" s="29"/>
      <c r="O51" s="29"/>
      <c r="P51" s="676"/>
      <c r="Q51" s="676"/>
      <c r="R51" s="676"/>
      <c r="S51" s="29"/>
      <c r="T51" s="29"/>
      <c r="U51" s="676"/>
      <c r="V51" s="676"/>
      <c r="W51" s="676"/>
      <c r="X51" s="29"/>
      <c r="Y51" s="29"/>
      <c r="Z51" s="676"/>
      <c r="AA51" s="676"/>
      <c r="AB51" s="676"/>
      <c r="AC51" s="29"/>
      <c r="AD51" s="29"/>
      <c r="AE51" s="676"/>
      <c r="AF51" s="676"/>
      <c r="AG51" s="676"/>
      <c r="AH51" s="29"/>
      <c r="AI51" s="29"/>
      <c r="AJ51" s="676"/>
      <c r="AK51" s="676"/>
      <c r="AL51" s="676"/>
      <c r="AM51" s="29"/>
      <c r="AN51" s="29"/>
      <c r="AO51" s="676"/>
      <c r="AP51" s="676"/>
      <c r="AQ51" s="676"/>
      <c r="AR51" s="29"/>
      <c r="AS51" s="29"/>
      <c r="AT51" s="676"/>
      <c r="AU51" s="676"/>
      <c r="AV51" s="676"/>
      <c r="AW51" s="29"/>
      <c r="AX51" s="29"/>
      <c r="AY51" s="676"/>
      <c r="AZ51" s="676"/>
      <c r="BA51" s="676"/>
      <c r="BB51" s="29"/>
      <c r="BC51" s="29"/>
      <c r="BD51" s="676"/>
      <c r="BE51" s="676"/>
      <c r="BF51" s="676"/>
      <c r="BG51" s="29"/>
      <c r="BH51" s="29"/>
      <c r="BI51" s="676"/>
      <c r="BJ51" s="676"/>
      <c r="BK51" s="676"/>
      <c r="BL51" s="29"/>
      <c r="BM51" s="29"/>
      <c r="BN51" s="676"/>
      <c r="BO51" s="676"/>
      <c r="BP51" s="676"/>
      <c r="BQ51" s="29"/>
      <c r="BR51" s="29"/>
    </row>
    <row r="52" spans="1:83" ht="21.95" hidden="1" customHeight="1" x14ac:dyDescent="0.25">
      <c r="A52" s="676"/>
      <c r="B52" s="676"/>
      <c r="C52" s="676"/>
      <c r="D52" s="30"/>
      <c r="E52" s="29"/>
      <c r="F52" s="676"/>
      <c r="G52" s="676"/>
      <c r="H52" s="676"/>
      <c r="I52" s="30"/>
      <c r="J52" s="29"/>
      <c r="K52" s="676"/>
      <c r="L52" s="676"/>
      <c r="M52" s="676"/>
      <c r="N52" s="30"/>
      <c r="O52" s="29"/>
      <c r="P52" s="676"/>
      <c r="Q52" s="676"/>
      <c r="R52" s="676"/>
      <c r="S52" s="30"/>
      <c r="T52" s="29"/>
      <c r="U52" s="676"/>
      <c r="V52" s="676"/>
      <c r="W52" s="676"/>
      <c r="X52" s="30"/>
      <c r="Y52" s="29"/>
      <c r="Z52" s="676"/>
      <c r="AA52" s="676"/>
      <c r="AB52" s="676"/>
      <c r="AC52" s="30"/>
      <c r="AD52" s="29"/>
      <c r="AE52" s="676"/>
      <c r="AF52" s="676"/>
      <c r="AG52" s="676"/>
      <c r="AH52" s="30"/>
      <c r="AI52" s="29"/>
      <c r="AJ52" s="676"/>
      <c r="AK52" s="676"/>
      <c r="AL52" s="676"/>
      <c r="AM52" s="30"/>
      <c r="AN52" s="29"/>
      <c r="AO52" s="676"/>
      <c r="AP52" s="676"/>
      <c r="AQ52" s="676"/>
      <c r="AR52" s="30"/>
      <c r="AS52" s="29"/>
      <c r="AT52" s="676"/>
      <c r="AU52" s="676"/>
      <c r="AV52" s="676"/>
      <c r="AW52" s="30"/>
      <c r="AX52" s="29"/>
      <c r="AY52" s="676"/>
      <c r="AZ52" s="676"/>
      <c r="BA52" s="676"/>
      <c r="BB52" s="30"/>
      <c r="BC52" s="29"/>
      <c r="BD52" s="676"/>
      <c r="BE52" s="676"/>
      <c r="BF52" s="676"/>
      <c r="BG52" s="30"/>
      <c r="BH52" s="29"/>
      <c r="BI52" s="676"/>
      <c r="BJ52" s="676"/>
      <c r="BK52" s="676"/>
      <c r="BL52" s="30"/>
      <c r="BM52" s="29"/>
      <c r="BN52" s="676"/>
      <c r="BO52" s="676"/>
      <c r="BP52" s="676"/>
      <c r="BQ52" s="30"/>
      <c r="BR52" s="29"/>
    </row>
    <row r="53" spans="1:83" ht="6" hidden="1" customHeight="1" x14ac:dyDescent="0.25">
      <c r="A53" s="676"/>
      <c r="B53" s="676"/>
      <c r="C53" s="676"/>
      <c r="D53" s="675"/>
      <c r="E53" s="675"/>
      <c r="F53" s="676"/>
      <c r="G53" s="676"/>
      <c r="H53" s="676"/>
      <c r="I53" s="675"/>
      <c r="J53" s="675"/>
      <c r="K53" s="676"/>
      <c r="L53" s="676"/>
      <c r="M53" s="676"/>
      <c r="N53" s="675"/>
      <c r="O53" s="675"/>
      <c r="P53" s="676"/>
      <c r="Q53" s="676"/>
      <c r="R53" s="676"/>
      <c r="S53" s="675"/>
      <c r="T53" s="675"/>
      <c r="U53" s="676"/>
      <c r="V53" s="676"/>
      <c r="W53" s="676"/>
      <c r="X53" s="675"/>
      <c r="Y53" s="675"/>
      <c r="Z53" s="676"/>
      <c r="AA53" s="676"/>
      <c r="AB53" s="676"/>
      <c r="AC53" s="675"/>
      <c r="AD53" s="675"/>
      <c r="AE53" s="676"/>
      <c r="AF53" s="676"/>
      <c r="AG53" s="676"/>
      <c r="AH53" s="675"/>
      <c r="AI53" s="675"/>
      <c r="AJ53" s="676"/>
      <c r="AK53" s="676"/>
      <c r="AL53" s="676"/>
      <c r="AM53" s="675"/>
      <c r="AN53" s="675"/>
      <c r="AO53" s="676"/>
      <c r="AP53" s="676"/>
      <c r="AQ53" s="676"/>
      <c r="AR53" s="675"/>
      <c r="AS53" s="675"/>
      <c r="AT53" s="676"/>
      <c r="AU53" s="676"/>
      <c r="AV53" s="676"/>
      <c r="AW53" s="675"/>
      <c r="AX53" s="675"/>
      <c r="AY53" s="676"/>
      <c r="AZ53" s="676"/>
      <c r="BA53" s="676"/>
      <c r="BB53" s="675"/>
      <c r="BC53" s="675"/>
      <c r="BD53" s="676"/>
      <c r="BE53" s="676"/>
      <c r="BF53" s="676"/>
      <c r="BG53" s="675"/>
      <c r="BH53" s="675"/>
      <c r="BI53" s="676"/>
      <c r="BJ53" s="676"/>
      <c r="BK53" s="676"/>
      <c r="BL53" s="675"/>
      <c r="BM53" s="675"/>
      <c r="BN53" s="676"/>
      <c r="BO53" s="676"/>
      <c r="BP53" s="676"/>
      <c r="BQ53" s="675"/>
      <c r="BR53" s="675"/>
    </row>
    <row r="54" spans="1:83" ht="60" hidden="1" thickTop="1" thickBot="1" x14ac:dyDescent="0.3">
      <c r="A54" s="1469"/>
      <c r="B54" s="678"/>
      <c r="C54" s="678"/>
      <c r="D54" s="678"/>
      <c r="E54" s="678"/>
      <c r="F54" s="1469"/>
      <c r="G54" s="678"/>
      <c r="H54" s="678"/>
      <c r="I54" s="678"/>
      <c r="J54" s="678"/>
      <c r="K54" s="1469"/>
      <c r="L54" s="678"/>
      <c r="M54" s="678"/>
      <c r="N54" s="678"/>
      <c r="O54" s="678"/>
      <c r="P54" s="1469"/>
      <c r="Q54" s="678"/>
      <c r="R54" s="678"/>
      <c r="S54" s="678"/>
      <c r="T54" s="678"/>
      <c r="U54" s="1469"/>
      <c r="V54" s="678"/>
      <c r="W54" s="678"/>
      <c r="X54" s="678"/>
      <c r="Y54" s="678"/>
      <c r="Z54" s="1469"/>
      <c r="AA54" s="678"/>
      <c r="AB54" s="678"/>
      <c r="AC54" s="678"/>
      <c r="AD54" s="678"/>
      <c r="AE54" s="1469"/>
      <c r="AF54" s="678"/>
      <c r="AG54" s="678"/>
      <c r="AH54" s="678"/>
      <c r="AI54" s="678"/>
      <c r="AJ54" s="1469"/>
      <c r="AK54" s="678"/>
      <c r="AL54" s="678"/>
      <c r="AM54" s="678"/>
      <c r="AN54" s="678"/>
      <c r="AO54" s="1469"/>
      <c r="AP54" s="678"/>
      <c r="AQ54" s="678"/>
      <c r="AR54" s="678"/>
      <c r="AS54" s="678"/>
      <c r="AT54" s="1469"/>
      <c r="AU54" s="678"/>
      <c r="AV54" s="678"/>
      <c r="AW54" s="678"/>
      <c r="AX54" s="678"/>
      <c r="AY54" s="1469"/>
      <c r="AZ54" s="678"/>
      <c r="BA54" s="678"/>
      <c r="BB54" s="678"/>
      <c r="BC54" s="678"/>
      <c r="BD54" s="1469"/>
      <c r="BE54" s="678"/>
      <c r="BF54" s="678"/>
      <c r="BG54" s="678"/>
      <c r="BH54" s="678"/>
      <c r="BI54" s="677"/>
      <c r="BJ54" s="678"/>
      <c r="BK54" s="678"/>
      <c r="BL54" s="678"/>
      <c r="BM54" s="678"/>
      <c r="BN54" s="677"/>
      <c r="BO54" s="678"/>
      <c r="BP54" s="678"/>
      <c r="BQ54" s="678"/>
      <c r="BR54" s="678"/>
    </row>
    <row r="55" spans="1:83" ht="27.75" hidden="1" thickTop="1" thickBot="1" x14ac:dyDescent="0.3">
      <c r="A55" s="1469"/>
      <c r="B55" s="32"/>
      <c r="C55" s="33"/>
      <c r="D55" s="34"/>
      <c r="E55" s="35"/>
      <c r="F55" s="1469"/>
      <c r="G55" s="32"/>
      <c r="H55" s="33"/>
      <c r="I55" s="34"/>
      <c r="J55" s="35"/>
      <c r="K55" s="1469"/>
      <c r="L55" s="32"/>
      <c r="M55" s="33"/>
      <c r="N55" s="34"/>
      <c r="O55" s="35"/>
      <c r="P55" s="1469"/>
      <c r="Q55" s="32"/>
      <c r="R55" s="33"/>
      <c r="S55" s="34"/>
      <c r="T55" s="35"/>
      <c r="U55" s="1469"/>
      <c r="V55" s="32"/>
      <c r="W55" s="33"/>
      <c r="X55" s="34"/>
      <c r="Y55" s="35"/>
      <c r="Z55" s="1469"/>
      <c r="AA55" s="32"/>
      <c r="AB55" s="33"/>
      <c r="AC55" s="34"/>
      <c r="AD55" s="35"/>
      <c r="AE55" s="1469"/>
      <c r="AF55" s="32"/>
      <c r="AG55" s="33"/>
      <c r="AH55" s="34"/>
      <c r="AI55" s="35"/>
      <c r="AJ55" s="1469"/>
      <c r="AK55" s="32"/>
      <c r="AL55" s="33"/>
      <c r="AM55" s="34"/>
      <c r="AN55" s="35"/>
      <c r="AO55" s="1469"/>
      <c r="AP55" s="32"/>
      <c r="AQ55" s="33"/>
      <c r="AR55" s="34"/>
      <c r="AS55" s="35"/>
      <c r="AT55" s="1469"/>
      <c r="AU55" s="32"/>
      <c r="AV55" s="33"/>
      <c r="AW55" s="34"/>
      <c r="AX55" s="35"/>
      <c r="AY55" s="1469"/>
      <c r="AZ55" s="32"/>
      <c r="BA55" s="33"/>
      <c r="BB55" s="34"/>
      <c r="BC55" s="35"/>
      <c r="BD55" s="1469"/>
      <c r="BE55" s="32"/>
      <c r="BF55" s="33"/>
      <c r="BG55" s="34"/>
      <c r="BH55" s="35"/>
      <c r="BI55" s="677"/>
      <c r="BJ55" s="32"/>
      <c r="BK55" s="33"/>
      <c r="BL55" s="34"/>
      <c r="BM55" s="35"/>
      <c r="BN55" s="677"/>
      <c r="BO55" s="32"/>
      <c r="BP55" s="33"/>
      <c r="BQ55" s="34"/>
      <c r="BR55" s="35"/>
      <c r="BW55" s="27"/>
      <c r="BX55" s="27"/>
      <c r="BY55" s="27"/>
      <c r="BZ55" s="27"/>
      <c r="CA55" s="27"/>
      <c r="CB55" s="27"/>
      <c r="CC55" s="27"/>
      <c r="CD55" s="27"/>
      <c r="CE55" s="27"/>
    </row>
    <row r="56" spans="1:83" ht="26.1" hidden="1" customHeight="1" x14ac:dyDescent="0.25">
      <c r="A56" s="674"/>
      <c r="B56" s="674"/>
      <c r="C56" s="674"/>
      <c r="D56" s="675"/>
      <c r="E56" s="675"/>
      <c r="F56" s="674"/>
      <c r="G56" s="674"/>
      <c r="H56" s="674"/>
      <c r="I56" s="675"/>
      <c r="J56" s="675"/>
      <c r="K56" s="674"/>
      <c r="L56" s="674"/>
      <c r="M56" s="674"/>
      <c r="N56" s="675"/>
      <c r="O56" s="675"/>
      <c r="P56" s="674"/>
      <c r="Q56" s="674"/>
      <c r="R56" s="674"/>
      <c r="S56" s="675"/>
      <c r="T56" s="675"/>
      <c r="U56" s="674"/>
      <c r="V56" s="674"/>
      <c r="W56" s="674"/>
      <c r="X56" s="675"/>
      <c r="Y56" s="675"/>
      <c r="Z56" s="674"/>
      <c r="AA56" s="674"/>
      <c r="AB56" s="674"/>
      <c r="AC56" s="675"/>
      <c r="AD56" s="675"/>
      <c r="AE56" s="674"/>
      <c r="AF56" s="674"/>
      <c r="AG56" s="674"/>
      <c r="AH56" s="675"/>
      <c r="AI56" s="675"/>
      <c r="AJ56" s="674"/>
      <c r="AK56" s="674"/>
      <c r="AL56" s="674"/>
      <c r="AM56" s="675"/>
      <c r="AN56" s="675"/>
      <c r="AO56" s="674"/>
      <c r="AP56" s="674"/>
      <c r="AQ56" s="674"/>
      <c r="AR56" s="675"/>
      <c r="AS56" s="675"/>
      <c r="AT56" s="674"/>
      <c r="AU56" s="674"/>
      <c r="AV56" s="674"/>
      <c r="AW56" s="675"/>
      <c r="AX56" s="675"/>
      <c r="AY56" s="674"/>
      <c r="AZ56" s="674"/>
      <c r="BA56" s="674"/>
      <c r="BB56" s="675"/>
      <c r="BC56" s="675"/>
      <c r="BD56" s="674"/>
      <c r="BE56" s="674"/>
      <c r="BF56" s="674"/>
      <c r="BG56" s="675"/>
      <c r="BH56" s="675"/>
      <c r="BI56" s="674"/>
      <c r="BJ56" s="674"/>
      <c r="BK56" s="674"/>
      <c r="BL56" s="675"/>
      <c r="BM56" s="675"/>
      <c r="BN56" s="674"/>
      <c r="BO56" s="674"/>
      <c r="BP56" s="674"/>
      <c r="BQ56" s="675"/>
      <c r="BR56" s="675"/>
    </row>
    <row r="57" spans="1:83" ht="6.75" hidden="1" customHeight="1" x14ac:dyDescent="0.25">
      <c r="A57" s="676"/>
      <c r="B57" s="676"/>
      <c r="C57" s="676"/>
      <c r="D57" s="29"/>
      <c r="E57" s="29"/>
      <c r="F57" s="676"/>
      <c r="G57" s="676"/>
      <c r="H57" s="676"/>
      <c r="I57" s="29"/>
      <c r="J57" s="29"/>
      <c r="K57" s="676"/>
      <c r="L57" s="676"/>
      <c r="M57" s="676"/>
      <c r="N57" s="29"/>
      <c r="O57" s="29"/>
      <c r="P57" s="676"/>
      <c r="Q57" s="676"/>
      <c r="R57" s="676"/>
      <c r="S57" s="29"/>
      <c r="T57" s="29"/>
      <c r="U57" s="676"/>
      <c r="V57" s="676"/>
      <c r="W57" s="676"/>
      <c r="X57" s="29"/>
      <c r="Y57" s="29"/>
      <c r="Z57" s="676"/>
      <c r="AA57" s="676"/>
      <c r="AB57" s="676"/>
      <c r="AC57" s="29"/>
      <c r="AD57" s="29"/>
      <c r="AE57" s="676"/>
      <c r="AF57" s="676"/>
      <c r="AG57" s="676"/>
      <c r="AH57" s="29"/>
      <c r="AI57" s="29"/>
      <c r="AJ57" s="676"/>
      <c r="AK57" s="676"/>
      <c r="AL57" s="676"/>
      <c r="AM57" s="29"/>
      <c r="AN57" s="29"/>
      <c r="AO57" s="676"/>
      <c r="AP57" s="676"/>
      <c r="AQ57" s="676"/>
      <c r="AR57" s="29"/>
      <c r="AS57" s="29"/>
      <c r="AT57" s="676"/>
      <c r="AU57" s="676"/>
      <c r="AV57" s="676"/>
      <c r="AW57" s="29"/>
      <c r="AX57" s="29"/>
      <c r="AY57" s="676"/>
      <c r="AZ57" s="676"/>
      <c r="BA57" s="676"/>
      <c r="BB57" s="29"/>
      <c r="BC57" s="29"/>
      <c r="BD57" s="676"/>
      <c r="BE57" s="676"/>
      <c r="BF57" s="676"/>
      <c r="BG57" s="29"/>
      <c r="BH57" s="29"/>
      <c r="BI57" s="676"/>
      <c r="BJ57" s="676"/>
      <c r="BK57" s="676"/>
      <c r="BL57" s="29"/>
      <c r="BM57" s="29"/>
      <c r="BN57" s="676"/>
      <c r="BO57" s="676"/>
      <c r="BP57" s="676"/>
      <c r="BQ57" s="29"/>
      <c r="BR57" s="29"/>
    </row>
    <row r="58" spans="1:83" ht="21.95" hidden="1" customHeight="1" x14ac:dyDescent="0.25">
      <c r="A58" s="676"/>
      <c r="B58" s="676"/>
      <c r="C58" s="676"/>
      <c r="D58" s="30"/>
      <c r="E58" s="29"/>
      <c r="F58" s="676"/>
      <c r="G58" s="676"/>
      <c r="H58" s="676"/>
      <c r="I58" s="30"/>
      <c r="J58" s="29"/>
      <c r="K58" s="676"/>
      <c r="L58" s="676"/>
      <c r="M58" s="676"/>
      <c r="N58" s="30"/>
      <c r="O58" s="29"/>
      <c r="P58" s="676"/>
      <c r="Q58" s="676"/>
      <c r="R58" s="676"/>
      <c r="S58" s="30"/>
      <c r="T58" s="29"/>
      <c r="U58" s="676"/>
      <c r="V58" s="676"/>
      <c r="W58" s="676"/>
      <c r="X58" s="30"/>
      <c r="Y58" s="29"/>
      <c r="Z58" s="676"/>
      <c r="AA58" s="676"/>
      <c r="AB58" s="676"/>
      <c r="AC58" s="30"/>
      <c r="AD58" s="29"/>
      <c r="AE58" s="676"/>
      <c r="AF58" s="676"/>
      <c r="AG58" s="676"/>
      <c r="AH58" s="30"/>
      <c r="AI58" s="29"/>
      <c r="AJ58" s="676"/>
      <c r="AK58" s="676"/>
      <c r="AL58" s="676"/>
      <c r="AM58" s="30"/>
      <c r="AN58" s="29"/>
      <c r="AO58" s="676"/>
      <c r="AP58" s="676"/>
      <c r="AQ58" s="676"/>
      <c r="AR58" s="30"/>
      <c r="AS58" s="29"/>
      <c r="AT58" s="676"/>
      <c r="AU58" s="676"/>
      <c r="AV58" s="676"/>
      <c r="AW58" s="30"/>
      <c r="AX58" s="29"/>
      <c r="AY58" s="676"/>
      <c r="AZ58" s="676"/>
      <c r="BA58" s="676"/>
      <c r="BB58" s="30"/>
      <c r="BC58" s="29"/>
      <c r="BD58" s="676"/>
      <c r="BE58" s="676"/>
      <c r="BF58" s="676"/>
      <c r="BG58" s="30"/>
      <c r="BH58" s="29"/>
      <c r="BI58" s="676"/>
      <c r="BJ58" s="676"/>
      <c r="BK58" s="676"/>
      <c r="BL58" s="30"/>
      <c r="BM58" s="29"/>
      <c r="BN58" s="676"/>
      <c r="BO58" s="676"/>
      <c r="BP58" s="676"/>
      <c r="BQ58" s="30"/>
      <c r="BR58" s="29"/>
    </row>
    <row r="59" spans="1:83" ht="6" hidden="1" customHeight="1" x14ac:dyDescent="0.25">
      <c r="A59" s="676"/>
      <c r="B59" s="676"/>
      <c r="C59" s="676"/>
      <c r="D59" s="675"/>
      <c r="E59" s="675"/>
      <c r="F59" s="676"/>
      <c r="G59" s="676"/>
      <c r="H59" s="676"/>
      <c r="I59" s="675"/>
      <c r="J59" s="675"/>
      <c r="K59" s="676"/>
      <c r="L59" s="676"/>
      <c r="M59" s="676"/>
      <c r="N59" s="675"/>
      <c r="O59" s="675"/>
      <c r="P59" s="676"/>
      <c r="Q59" s="676"/>
      <c r="R59" s="676"/>
      <c r="S59" s="675"/>
      <c r="T59" s="675"/>
      <c r="U59" s="676"/>
      <c r="V59" s="676"/>
      <c r="W59" s="676"/>
      <c r="X59" s="675"/>
      <c r="Y59" s="675"/>
      <c r="Z59" s="676"/>
      <c r="AA59" s="676"/>
      <c r="AB59" s="676"/>
      <c r="AC59" s="675"/>
      <c r="AD59" s="675"/>
      <c r="AE59" s="676"/>
      <c r="AF59" s="676"/>
      <c r="AG59" s="676"/>
      <c r="AH59" s="675"/>
      <c r="AI59" s="675"/>
      <c r="AJ59" s="676"/>
      <c r="AK59" s="676"/>
      <c r="AL59" s="676"/>
      <c r="AM59" s="675"/>
      <c r="AN59" s="675"/>
      <c r="AO59" s="676"/>
      <c r="AP59" s="676"/>
      <c r="AQ59" s="676"/>
      <c r="AR59" s="675"/>
      <c r="AS59" s="675"/>
      <c r="AT59" s="676"/>
      <c r="AU59" s="676"/>
      <c r="AV59" s="676"/>
      <c r="AW59" s="675"/>
      <c r="AX59" s="675"/>
      <c r="AY59" s="676"/>
      <c r="AZ59" s="676"/>
      <c r="BA59" s="676"/>
      <c r="BB59" s="675"/>
      <c r="BC59" s="675"/>
      <c r="BD59" s="676"/>
      <c r="BE59" s="676"/>
      <c r="BF59" s="676"/>
      <c r="BG59" s="675"/>
      <c r="BH59" s="675"/>
      <c r="BI59" s="676"/>
      <c r="BJ59" s="676"/>
      <c r="BK59" s="676"/>
      <c r="BL59" s="675"/>
      <c r="BM59" s="675"/>
      <c r="BN59" s="676"/>
      <c r="BO59" s="676"/>
      <c r="BP59" s="676"/>
      <c r="BQ59" s="675"/>
      <c r="BR59" s="675"/>
    </row>
    <row r="60" spans="1:83" ht="60" hidden="1" thickTop="1" thickBot="1" x14ac:dyDescent="0.3">
      <c r="A60" s="1469"/>
      <c r="B60" s="678"/>
      <c r="C60" s="678"/>
      <c r="D60" s="678"/>
      <c r="E60" s="678"/>
      <c r="F60" s="1469"/>
      <c r="G60" s="678"/>
      <c r="H60" s="678"/>
      <c r="I60" s="678"/>
      <c r="J60" s="678"/>
      <c r="K60" s="1469"/>
      <c r="L60" s="678"/>
      <c r="M60" s="678"/>
      <c r="N60" s="678"/>
      <c r="O60" s="678"/>
      <c r="P60" s="1469"/>
      <c r="Q60" s="678"/>
      <c r="R60" s="678"/>
      <c r="S60" s="678"/>
      <c r="T60" s="678"/>
      <c r="U60" s="1469"/>
      <c r="V60" s="678"/>
      <c r="W60" s="678"/>
      <c r="X60" s="678"/>
      <c r="Y60" s="678"/>
      <c r="Z60" s="1469"/>
      <c r="AA60" s="678"/>
      <c r="AB60" s="678"/>
      <c r="AC60" s="678"/>
      <c r="AD60" s="678"/>
      <c r="AE60" s="1469"/>
      <c r="AF60" s="678"/>
      <c r="AG60" s="678"/>
      <c r="AH60" s="678"/>
      <c r="AI60" s="678"/>
      <c r="AJ60" s="1469"/>
      <c r="AK60" s="678"/>
      <c r="AL60" s="678"/>
      <c r="AM60" s="678"/>
      <c r="AN60" s="678"/>
      <c r="AO60" s="1469"/>
      <c r="AP60" s="678"/>
      <c r="AQ60" s="678"/>
      <c r="AR60" s="678"/>
      <c r="AS60" s="678"/>
      <c r="AT60" s="1469"/>
      <c r="AU60" s="678"/>
      <c r="AV60" s="678"/>
      <c r="AW60" s="678"/>
      <c r="AX60" s="678"/>
      <c r="AY60" s="1469"/>
      <c r="AZ60" s="678"/>
      <c r="BA60" s="678"/>
      <c r="BB60" s="678"/>
      <c r="BC60" s="678"/>
      <c r="BD60" s="1469"/>
      <c r="BE60" s="678"/>
      <c r="BF60" s="678"/>
      <c r="BG60" s="678"/>
      <c r="BH60" s="678"/>
      <c r="BI60" s="677"/>
      <c r="BJ60" s="678"/>
      <c r="BK60" s="678"/>
      <c r="BL60" s="678"/>
      <c r="BM60" s="678"/>
      <c r="BN60" s="677"/>
      <c r="BO60" s="678"/>
      <c r="BP60" s="678"/>
      <c r="BQ60" s="678"/>
      <c r="BR60" s="678"/>
    </row>
    <row r="61" spans="1:83" ht="27.75" hidden="1" thickTop="1" thickBot="1" x14ac:dyDescent="0.3">
      <c r="A61" s="1469"/>
      <c r="B61" s="32"/>
      <c r="C61" s="33"/>
      <c r="D61" s="34"/>
      <c r="E61" s="35"/>
      <c r="F61" s="1469"/>
      <c r="G61" s="32"/>
      <c r="H61" s="33"/>
      <c r="I61" s="34"/>
      <c r="J61" s="35"/>
      <c r="K61" s="1469"/>
      <c r="L61" s="32"/>
      <c r="M61" s="33"/>
      <c r="N61" s="34"/>
      <c r="O61" s="35"/>
      <c r="P61" s="1469"/>
      <c r="Q61" s="32"/>
      <c r="R61" s="33"/>
      <c r="S61" s="34"/>
      <c r="T61" s="35"/>
      <c r="U61" s="1469"/>
      <c r="V61" s="32"/>
      <c r="W61" s="33"/>
      <c r="X61" s="34"/>
      <c r="Y61" s="35"/>
      <c r="Z61" s="1469"/>
      <c r="AA61" s="32"/>
      <c r="AB61" s="33"/>
      <c r="AC61" s="34"/>
      <c r="AD61" s="35"/>
      <c r="AE61" s="1469"/>
      <c r="AF61" s="32"/>
      <c r="AG61" s="33"/>
      <c r="AH61" s="34"/>
      <c r="AI61" s="35"/>
      <c r="AJ61" s="1469"/>
      <c r="AK61" s="32"/>
      <c r="AL61" s="33"/>
      <c r="AM61" s="34"/>
      <c r="AN61" s="35"/>
      <c r="AO61" s="1469"/>
      <c r="AP61" s="32"/>
      <c r="AQ61" s="33"/>
      <c r="AR61" s="34"/>
      <c r="AS61" s="35"/>
      <c r="AT61" s="1469"/>
      <c r="AU61" s="32"/>
      <c r="AV61" s="33"/>
      <c r="AW61" s="34"/>
      <c r="AX61" s="35"/>
      <c r="AY61" s="1469"/>
      <c r="AZ61" s="32"/>
      <c r="BA61" s="33"/>
      <c r="BB61" s="34"/>
      <c r="BC61" s="35"/>
      <c r="BD61" s="1469"/>
      <c r="BE61" s="32"/>
      <c r="BF61" s="33"/>
      <c r="BG61" s="34"/>
      <c r="BH61" s="35"/>
      <c r="BI61" s="677"/>
      <c r="BJ61" s="32"/>
      <c r="BK61" s="33"/>
      <c r="BL61" s="34"/>
      <c r="BM61" s="35"/>
      <c r="BN61" s="677"/>
      <c r="BO61" s="32"/>
      <c r="BP61" s="33"/>
      <c r="BQ61" s="34"/>
      <c r="BR61" s="35"/>
      <c r="BW61" s="27"/>
      <c r="BX61" s="27"/>
      <c r="BY61" s="27"/>
      <c r="BZ61" s="27"/>
      <c r="CA61" s="27"/>
      <c r="CB61" s="27"/>
      <c r="CC61" s="27"/>
      <c r="CD61" s="27"/>
      <c r="CE61" s="27"/>
    </row>
    <row r="62" spans="1:83" s="42" customFormat="1" ht="3" customHeight="1" thickTop="1" x14ac:dyDescent="0.25">
      <c r="A62" s="549"/>
      <c r="B62"/>
      <c r="C62"/>
      <c r="D62"/>
      <c r="E62"/>
      <c r="F62" s="549"/>
      <c r="G62"/>
      <c r="H62"/>
      <c r="I62"/>
      <c r="J62"/>
      <c r="K62" s="549"/>
      <c r="L62"/>
      <c r="M62"/>
      <c r="N62"/>
      <c r="O62"/>
      <c r="P62" s="549"/>
      <c r="Q62"/>
      <c r="R62"/>
      <c r="S62"/>
      <c r="T62"/>
      <c r="U62" s="549"/>
      <c r="V62"/>
      <c r="W62"/>
      <c r="X62"/>
      <c r="Y62"/>
      <c r="Z62" s="549"/>
      <c r="AA62"/>
      <c r="AB62"/>
      <c r="AC62"/>
      <c r="AD62"/>
      <c r="AE62" s="549"/>
      <c r="AF62"/>
      <c r="AG62"/>
      <c r="AH62"/>
      <c r="AI62"/>
      <c r="AJ62" s="549"/>
      <c r="AK62"/>
      <c r="AL62"/>
      <c r="AM62"/>
      <c r="AN62"/>
      <c r="AO62" s="549"/>
      <c r="AP62"/>
      <c r="AQ62"/>
      <c r="AR62"/>
      <c r="AS62"/>
      <c r="AT62" s="549"/>
      <c r="AU62"/>
      <c r="AV62"/>
      <c r="AW62"/>
      <c r="AX62"/>
      <c r="AY62" s="549"/>
      <c r="AZ62"/>
      <c r="BA62"/>
      <c r="BB62"/>
      <c r="BC62"/>
      <c r="BD62" s="549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W62" s="43"/>
      <c r="BX62" s="43"/>
      <c r="BY62" s="43"/>
      <c r="BZ62" s="43"/>
      <c r="CA62" s="43"/>
      <c r="CB62" s="43"/>
      <c r="CC62" s="43"/>
      <c r="CD62" s="43"/>
      <c r="CE62" s="43"/>
    </row>
    <row r="63" spans="1:83" ht="36" hidden="1" customHeight="1" thickTop="1" x14ac:dyDescent="0.25">
      <c r="A63" s="582" t="s">
        <v>110</v>
      </c>
      <c r="B63" s="583"/>
      <c r="C63" s="584">
        <f t="shared" ref="C63" si="45">B68/((72*3.1415/59)*(129.67/3.281))</f>
        <v>0</v>
      </c>
      <c r="D63" s="584"/>
      <c r="E63" s="585"/>
      <c r="F63" s="582" t="s">
        <v>110</v>
      </c>
      <c r="G63" s="583"/>
      <c r="H63" s="584">
        <f t="shared" ref="H63" si="46">G68/((72*3.1415/59)*(129.67/3.281))</f>
        <v>0</v>
      </c>
      <c r="I63" s="584"/>
      <c r="J63" s="585"/>
      <c r="K63" s="582" t="s">
        <v>110</v>
      </c>
      <c r="L63" s="583"/>
      <c r="M63" s="584">
        <f t="shared" ref="M63" si="47">L68/((72*3.1415/59)*(129.67/3.281))</f>
        <v>0</v>
      </c>
      <c r="N63" s="584"/>
      <c r="O63" s="585"/>
      <c r="P63" s="582" t="s">
        <v>110</v>
      </c>
      <c r="Q63" s="583"/>
      <c r="R63" s="584">
        <f t="shared" ref="R63" si="48">Q68/((72*3.1415/59)*(129.67/3.281))</f>
        <v>0</v>
      </c>
      <c r="S63" s="584"/>
      <c r="T63" s="585"/>
      <c r="U63" s="582" t="s">
        <v>110</v>
      </c>
      <c r="V63" s="583"/>
      <c r="W63" s="584">
        <f t="shared" ref="W63" si="49">V68/((72*3.1415/59)*(129.67/3.281))</f>
        <v>0</v>
      </c>
      <c r="X63" s="584"/>
      <c r="Y63" s="585"/>
      <c r="Z63" s="582" t="s">
        <v>110</v>
      </c>
      <c r="AA63" s="583"/>
      <c r="AB63" s="584">
        <f t="shared" ref="AB63" si="50">AA68/((72*3.1415/59)*(129.67/3.281))</f>
        <v>0</v>
      </c>
      <c r="AC63" s="584"/>
      <c r="AD63" s="585"/>
      <c r="AE63" s="582" t="s">
        <v>110</v>
      </c>
      <c r="AF63" s="583"/>
      <c r="AG63" s="584">
        <f t="shared" ref="AG63" si="51">AF68/((72*3.1415/59)*(129.67/3.281))</f>
        <v>0</v>
      </c>
      <c r="AH63" s="584"/>
      <c r="AI63" s="585"/>
      <c r="AJ63" s="582" t="s">
        <v>110</v>
      </c>
      <c r="AK63" s="583"/>
      <c r="AL63" s="584">
        <f t="shared" ref="AL63" si="52">AK68/((72*3.1415/59)*(129.67/3.281))</f>
        <v>0</v>
      </c>
      <c r="AM63" s="584"/>
      <c r="AN63" s="585"/>
      <c r="AO63" s="582" t="s">
        <v>110</v>
      </c>
      <c r="AP63" s="583"/>
      <c r="AQ63" s="584">
        <f t="shared" ref="AQ63" si="53">AP68/((72*3.1415/59)*(129.67/3.281))</f>
        <v>0</v>
      </c>
      <c r="AR63" s="584"/>
      <c r="AS63" s="585"/>
      <c r="AT63" s="582" t="s">
        <v>110</v>
      </c>
      <c r="AU63" s="583"/>
      <c r="AV63" s="584">
        <f t="shared" ref="AV63" si="54">AU68/((72*3.1415/59)*(129.67/3.281))</f>
        <v>0</v>
      </c>
      <c r="AW63" s="584"/>
      <c r="AX63" s="585"/>
      <c r="AY63" s="582" t="s">
        <v>110</v>
      </c>
      <c r="AZ63" s="583"/>
      <c r="BA63" s="584">
        <f t="shared" ref="BA63" si="55">AZ68/((72*3.1415/59)*(129.67/3.281))</f>
        <v>0</v>
      </c>
      <c r="BB63" s="584"/>
      <c r="BC63" s="585"/>
      <c r="BD63" s="582" t="s">
        <v>110</v>
      </c>
      <c r="BE63" s="583"/>
      <c r="BF63" s="584">
        <f t="shared" ref="BF63" si="56">BE68/((72*3.1415/59)*(129.67/3.281))</f>
        <v>0</v>
      </c>
      <c r="BG63" s="584"/>
      <c r="BH63" s="585"/>
      <c r="BI63" s="582" t="s">
        <v>110</v>
      </c>
      <c r="BJ63" s="583"/>
      <c r="BK63" s="584">
        <f t="shared" ref="BK63" si="57">BJ68/((72*3.1415/59)*(129.67/3.281))</f>
        <v>0</v>
      </c>
      <c r="BL63" s="584"/>
      <c r="BM63" s="585"/>
      <c r="BN63" s="582" t="s">
        <v>110</v>
      </c>
      <c r="BO63" s="583"/>
      <c r="BP63" s="584">
        <f t="shared" ref="BP63" si="58">BO68/((72*3.1415/59)*(129.67/3.281))</f>
        <v>0</v>
      </c>
      <c r="BQ63" s="584"/>
      <c r="BR63" s="585"/>
    </row>
    <row r="64" spans="1:83" ht="6.75" hidden="1" customHeight="1" x14ac:dyDescent="0.25">
      <c r="A64" s="679" t="s">
        <v>489</v>
      </c>
      <c r="B64" s="680"/>
      <c r="C64" s="685" t="s">
        <v>504</v>
      </c>
      <c r="D64" s="686"/>
      <c r="E64" s="687"/>
      <c r="F64" s="679" t="s">
        <v>489</v>
      </c>
      <c r="G64" s="680"/>
      <c r="H64" s="685" t="s">
        <v>504</v>
      </c>
      <c r="I64" s="686"/>
      <c r="J64" s="687"/>
      <c r="K64" s="679" t="s">
        <v>489</v>
      </c>
      <c r="L64" s="680"/>
      <c r="M64" s="685" t="s">
        <v>504</v>
      </c>
      <c r="N64" s="686"/>
      <c r="O64" s="687"/>
      <c r="P64" s="679" t="s">
        <v>489</v>
      </c>
      <c r="Q64" s="680"/>
      <c r="R64" s="685" t="s">
        <v>504</v>
      </c>
      <c r="S64" s="686"/>
      <c r="T64" s="687"/>
      <c r="U64" s="679" t="s">
        <v>489</v>
      </c>
      <c r="V64" s="680"/>
      <c r="W64" s="685" t="s">
        <v>504</v>
      </c>
      <c r="X64" s="686"/>
      <c r="Y64" s="687"/>
      <c r="Z64" s="679" t="s">
        <v>489</v>
      </c>
      <c r="AA64" s="680"/>
      <c r="AB64" s="685" t="s">
        <v>504</v>
      </c>
      <c r="AC64" s="686"/>
      <c r="AD64" s="687"/>
      <c r="AE64" s="679" t="s">
        <v>489</v>
      </c>
      <c r="AF64" s="680"/>
      <c r="AG64" s="685" t="s">
        <v>504</v>
      </c>
      <c r="AH64" s="686"/>
      <c r="AI64" s="687"/>
      <c r="AJ64" s="679" t="s">
        <v>489</v>
      </c>
      <c r="AK64" s="680"/>
      <c r="AL64" s="685" t="s">
        <v>504</v>
      </c>
      <c r="AM64" s="686"/>
      <c r="AN64" s="687"/>
      <c r="AO64" s="679" t="s">
        <v>489</v>
      </c>
      <c r="AP64" s="680"/>
      <c r="AQ64" s="685" t="s">
        <v>504</v>
      </c>
      <c r="AR64" s="686"/>
      <c r="AS64" s="687"/>
      <c r="AT64" s="679" t="s">
        <v>489</v>
      </c>
      <c r="AU64" s="680"/>
      <c r="AV64" s="685" t="s">
        <v>504</v>
      </c>
      <c r="AW64" s="686"/>
      <c r="AX64" s="687"/>
      <c r="AY64" s="679" t="s">
        <v>489</v>
      </c>
      <c r="AZ64" s="680"/>
      <c r="BA64" s="685" t="s">
        <v>504</v>
      </c>
      <c r="BB64" s="686"/>
      <c r="BC64" s="687"/>
      <c r="BD64" s="679" t="s">
        <v>489</v>
      </c>
      <c r="BE64" s="680"/>
      <c r="BF64" s="685" t="s">
        <v>504</v>
      </c>
      <c r="BG64" s="686"/>
      <c r="BH64" s="687"/>
      <c r="BI64" s="679" t="s">
        <v>489</v>
      </c>
      <c r="BJ64" s="680"/>
      <c r="BK64" s="685" t="s">
        <v>504</v>
      </c>
      <c r="BL64" s="686"/>
      <c r="BM64" s="687"/>
      <c r="BN64" s="679" t="s">
        <v>489</v>
      </c>
      <c r="BO64" s="680"/>
      <c r="BP64" s="685" t="s">
        <v>504</v>
      </c>
      <c r="BQ64" s="686"/>
      <c r="BR64" s="687"/>
    </row>
    <row r="65" spans="1:172" ht="9.75" hidden="1" customHeight="1" x14ac:dyDescent="0.25">
      <c r="A65" s="681"/>
      <c r="B65" s="682"/>
      <c r="C65" s="688"/>
      <c r="D65" s="689"/>
      <c r="E65" s="690"/>
      <c r="F65" s="681"/>
      <c r="G65" s="682"/>
      <c r="H65" s="688"/>
      <c r="I65" s="689"/>
      <c r="J65" s="690"/>
      <c r="K65" s="681"/>
      <c r="L65" s="682"/>
      <c r="M65" s="688"/>
      <c r="N65" s="689"/>
      <c r="O65" s="690"/>
      <c r="P65" s="681"/>
      <c r="Q65" s="682"/>
      <c r="R65" s="688"/>
      <c r="S65" s="689"/>
      <c r="T65" s="690"/>
      <c r="U65" s="681"/>
      <c r="V65" s="682"/>
      <c r="W65" s="688"/>
      <c r="X65" s="689"/>
      <c r="Y65" s="690"/>
      <c r="Z65" s="681"/>
      <c r="AA65" s="682"/>
      <c r="AB65" s="688"/>
      <c r="AC65" s="689"/>
      <c r="AD65" s="690"/>
      <c r="AE65" s="681"/>
      <c r="AF65" s="682"/>
      <c r="AG65" s="688"/>
      <c r="AH65" s="689"/>
      <c r="AI65" s="690"/>
      <c r="AJ65" s="681"/>
      <c r="AK65" s="682"/>
      <c r="AL65" s="688"/>
      <c r="AM65" s="689"/>
      <c r="AN65" s="690"/>
      <c r="AO65" s="681"/>
      <c r="AP65" s="682"/>
      <c r="AQ65" s="688"/>
      <c r="AR65" s="689"/>
      <c r="AS65" s="690"/>
      <c r="AT65" s="681"/>
      <c r="AU65" s="682"/>
      <c r="AV65" s="688"/>
      <c r="AW65" s="689"/>
      <c r="AX65" s="690"/>
      <c r="AY65" s="681"/>
      <c r="AZ65" s="682"/>
      <c r="BA65" s="688"/>
      <c r="BB65" s="689"/>
      <c r="BC65" s="690"/>
      <c r="BD65" s="681"/>
      <c r="BE65" s="682"/>
      <c r="BF65" s="688"/>
      <c r="BG65" s="689"/>
      <c r="BH65" s="690"/>
      <c r="BI65" s="681"/>
      <c r="BJ65" s="682"/>
      <c r="BK65" s="688"/>
      <c r="BL65" s="689"/>
      <c r="BM65" s="690"/>
      <c r="BN65" s="681"/>
      <c r="BO65" s="682"/>
      <c r="BP65" s="688"/>
      <c r="BQ65" s="689"/>
      <c r="BR65" s="690"/>
      <c r="CY65" s="37"/>
      <c r="CZ65" s="38"/>
      <c r="DA65" s="39"/>
      <c r="DB65" s="40"/>
      <c r="DC65" s="41"/>
      <c r="DD65" s="37"/>
      <c r="DE65" s="38"/>
      <c r="DF65" s="39"/>
      <c r="DG65" s="40"/>
      <c r="DH65" s="41"/>
      <c r="DI65" s="37"/>
      <c r="DJ65" s="38"/>
      <c r="DK65" s="39"/>
      <c r="DL65" s="40"/>
      <c r="DM65" s="41"/>
      <c r="DN65" s="37"/>
      <c r="DO65" s="38"/>
      <c r="DP65" s="39"/>
      <c r="DQ65" s="40"/>
      <c r="DR65" s="41"/>
      <c r="DS65" s="37"/>
      <c r="DT65" s="38"/>
      <c r="DU65" s="39"/>
      <c r="DV65" s="697"/>
      <c r="DW65" s="697"/>
      <c r="DX65" s="697"/>
      <c r="DY65" s="697"/>
      <c r="DZ65" s="697"/>
      <c r="EA65" s="697"/>
      <c r="EB65" s="697"/>
      <c r="EC65" s="697"/>
      <c r="ED65" s="697"/>
      <c r="EE65" s="697"/>
      <c r="EF65" s="697"/>
      <c r="EG65" s="697"/>
      <c r="EH65" s="37"/>
      <c r="EI65" s="38"/>
      <c r="EJ65" s="39"/>
      <c r="EK65" s="40"/>
      <c r="EL65" s="41"/>
      <c r="EM65" s="37"/>
      <c r="EN65" s="38"/>
      <c r="EO65" s="39"/>
      <c r="EP65" s="40"/>
      <c r="EQ65" s="41"/>
      <c r="ER65" s="37"/>
      <c r="ES65" s="38"/>
      <c r="ET65" s="39"/>
      <c r="EU65" s="40"/>
      <c r="EV65" s="41"/>
      <c r="EW65" s="37"/>
      <c r="EX65" s="38"/>
      <c r="EY65" s="39"/>
      <c r="EZ65" s="40"/>
      <c r="FA65" s="41"/>
      <c r="FB65" s="37"/>
      <c r="FC65" s="38"/>
      <c r="FD65" s="39"/>
      <c r="FE65" s="40"/>
      <c r="FF65" s="41"/>
      <c r="FG65" s="37"/>
      <c r="FH65" s="38"/>
      <c r="FI65" s="39"/>
      <c r="FJ65" s="40"/>
      <c r="FK65" s="41"/>
      <c r="FL65" s="37"/>
      <c r="FM65" s="38"/>
      <c r="FN65" s="39"/>
      <c r="FO65" s="40"/>
      <c r="FP65" s="41"/>
    </row>
    <row r="66" spans="1:172" ht="6" hidden="1" customHeight="1" x14ac:dyDescent="0.25">
      <c r="A66" s="683"/>
      <c r="B66" s="684"/>
      <c r="C66" s="691"/>
      <c r="D66" s="692"/>
      <c r="E66" s="693"/>
      <c r="F66" s="683"/>
      <c r="G66" s="684"/>
      <c r="H66" s="691"/>
      <c r="I66" s="692"/>
      <c r="J66" s="693"/>
      <c r="K66" s="683"/>
      <c r="L66" s="684"/>
      <c r="M66" s="691"/>
      <c r="N66" s="692"/>
      <c r="O66" s="693"/>
      <c r="P66" s="683"/>
      <c r="Q66" s="684"/>
      <c r="R66" s="691"/>
      <c r="S66" s="692"/>
      <c r="T66" s="693"/>
      <c r="U66" s="683"/>
      <c r="V66" s="684"/>
      <c r="W66" s="691"/>
      <c r="X66" s="692"/>
      <c r="Y66" s="693"/>
      <c r="Z66" s="683"/>
      <c r="AA66" s="684"/>
      <c r="AB66" s="691"/>
      <c r="AC66" s="692"/>
      <c r="AD66" s="693"/>
      <c r="AE66" s="683"/>
      <c r="AF66" s="684"/>
      <c r="AG66" s="691"/>
      <c r="AH66" s="692"/>
      <c r="AI66" s="693"/>
      <c r="AJ66" s="683"/>
      <c r="AK66" s="684"/>
      <c r="AL66" s="691"/>
      <c r="AM66" s="692"/>
      <c r="AN66" s="693"/>
      <c r="AO66" s="683"/>
      <c r="AP66" s="684"/>
      <c r="AQ66" s="691"/>
      <c r="AR66" s="692"/>
      <c r="AS66" s="693"/>
      <c r="AT66" s="683"/>
      <c r="AU66" s="684"/>
      <c r="AV66" s="691"/>
      <c r="AW66" s="692"/>
      <c r="AX66" s="693"/>
      <c r="AY66" s="683"/>
      <c r="AZ66" s="684"/>
      <c r="BA66" s="691"/>
      <c r="BB66" s="692"/>
      <c r="BC66" s="693"/>
      <c r="BD66" s="683"/>
      <c r="BE66" s="684"/>
      <c r="BF66" s="691"/>
      <c r="BG66" s="692"/>
      <c r="BH66" s="693"/>
      <c r="BI66" s="683"/>
      <c r="BJ66" s="684"/>
      <c r="BK66" s="691"/>
      <c r="BL66" s="692"/>
      <c r="BM66" s="693"/>
      <c r="BN66" s="683"/>
      <c r="BO66" s="684"/>
      <c r="BP66" s="691"/>
      <c r="BQ66" s="692"/>
      <c r="BR66" s="693"/>
      <c r="CY66" s="674"/>
      <c r="CZ66" s="674"/>
      <c r="DA66" s="674"/>
      <c r="DB66" s="675"/>
      <c r="DC66" s="675"/>
      <c r="DD66" s="44"/>
      <c r="DE66" s="702"/>
      <c r="DF66" s="702"/>
      <c r="DG66" s="702"/>
      <c r="DI66" s="45"/>
      <c r="DJ66" s="45"/>
      <c r="DK66" s="45"/>
      <c r="DL66" s="45"/>
      <c r="DM66" s="45"/>
      <c r="DN66" s="45"/>
      <c r="DO66" s="45"/>
      <c r="DP66" s="45"/>
      <c r="DQ66" s="45"/>
      <c r="DR66" s="45"/>
      <c r="DS66" s="45"/>
      <c r="DT66" s="45"/>
      <c r="DU66" s="45"/>
      <c r="DV66" s="697"/>
      <c r="DW66" s="697"/>
      <c r="DX66" s="697"/>
      <c r="DY66" s="697"/>
      <c r="DZ66" s="697"/>
      <c r="EA66" s="697"/>
      <c r="EB66" s="697"/>
      <c r="EC66" s="697"/>
      <c r="ED66" s="697"/>
      <c r="EE66" s="697"/>
      <c r="EF66" s="697"/>
      <c r="EG66" s="697"/>
      <c r="EH66" s="697"/>
      <c r="EI66" s="697"/>
      <c r="EJ66" s="697"/>
      <c r="EK66" s="697"/>
      <c r="EL66" s="697"/>
      <c r="EM66" s="697"/>
      <c r="EN66" s="697"/>
      <c r="EO66" s="697"/>
      <c r="EP66" s="697"/>
      <c r="EQ66" s="697"/>
      <c r="ER66" s="46"/>
      <c r="ES66" s="698"/>
      <c r="ET66" s="698"/>
      <c r="EU66" s="698"/>
      <c r="EV66" s="698"/>
      <c r="EW66" s="698"/>
      <c r="EX66" s="698"/>
      <c r="EY66" s="698"/>
      <c r="EZ66" s="698"/>
      <c r="FA66" s="698"/>
      <c r="FB66" s="698"/>
      <c r="FC66" s="698"/>
      <c r="FD66" s="698"/>
      <c r="FE66" s="699"/>
      <c r="FF66" s="699"/>
      <c r="FG66" s="699"/>
      <c r="FH66" s="699"/>
      <c r="FI66" s="699"/>
      <c r="FJ66" s="700"/>
      <c r="FK66" s="700"/>
      <c r="FL66" s="700"/>
      <c r="FM66" s="700"/>
      <c r="FN66" s="701"/>
      <c r="FO66" s="701"/>
      <c r="FP66" s="701"/>
    </row>
    <row r="67" spans="1:172" s="22" customFormat="1" ht="111.75" hidden="1" customHeight="1" x14ac:dyDescent="1.35">
      <c r="A67" s="1470" t="s">
        <v>500</v>
      </c>
      <c r="B67" s="694"/>
      <c r="C67" s="695"/>
      <c r="D67" s="695"/>
      <c r="E67" s="696"/>
      <c r="F67" s="1470" t="s">
        <v>500</v>
      </c>
      <c r="G67" s="694"/>
      <c r="H67" s="695"/>
      <c r="I67" s="695"/>
      <c r="J67" s="696"/>
      <c r="K67" s="1470" t="s">
        <v>500</v>
      </c>
      <c r="L67" s="694"/>
      <c r="M67" s="695"/>
      <c r="N67" s="695"/>
      <c r="O67" s="696"/>
      <c r="P67" s="1470" t="s">
        <v>500</v>
      </c>
      <c r="Q67" s="694"/>
      <c r="R67" s="695"/>
      <c r="S67" s="695"/>
      <c r="T67" s="696"/>
      <c r="U67" s="1470" t="s">
        <v>500</v>
      </c>
      <c r="V67" s="694"/>
      <c r="W67" s="695"/>
      <c r="X67" s="695"/>
      <c r="Y67" s="696"/>
      <c r="Z67" s="1470" t="s">
        <v>500</v>
      </c>
      <c r="AA67" s="694"/>
      <c r="AB67" s="695"/>
      <c r="AC67" s="695"/>
      <c r="AD67" s="696"/>
      <c r="AE67" s="1470" t="s">
        <v>500</v>
      </c>
      <c r="AF67" s="694"/>
      <c r="AG67" s="695"/>
      <c r="AH67" s="695"/>
      <c r="AI67" s="696"/>
      <c r="AJ67" s="1470" t="s">
        <v>500</v>
      </c>
      <c r="AK67" s="694"/>
      <c r="AL67" s="695"/>
      <c r="AM67" s="695"/>
      <c r="AN67" s="696"/>
      <c r="AO67" s="1470" t="s">
        <v>500</v>
      </c>
      <c r="AP67" s="694"/>
      <c r="AQ67" s="695"/>
      <c r="AR67" s="695"/>
      <c r="AS67" s="696"/>
      <c r="AT67" s="1470" t="s">
        <v>500</v>
      </c>
      <c r="AU67" s="694"/>
      <c r="AV67" s="695"/>
      <c r="AW67" s="695"/>
      <c r="AX67" s="696"/>
      <c r="AY67" s="1470" t="s">
        <v>500</v>
      </c>
      <c r="AZ67" s="694"/>
      <c r="BA67" s="695"/>
      <c r="BB67" s="695"/>
      <c r="BC67" s="696"/>
      <c r="BD67" s="1470" t="s">
        <v>500</v>
      </c>
      <c r="BE67" s="694"/>
      <c r="BF67" s="695"/>
      <c r="BG67" s="695"/>
      <c r="BH67" s="696"/>
      <c r="BI67" s="586" t="s">
        <v>500</v>
      </c>
      <c r="BJ67" s="694"/>
      <c r="BK67" s="695"/>
      <c r="BL67" s="695"/>
      <c r="BM67" s="696"/>
      <c r="BN67" s="586" t="s">
        <v>500</v>
      </c>
      <c r="BO67" s="694"/>
      <c r="BP67" s="695"/>
      <c r="BQ67" s="695"/>
      <c r="BR67" s="696"/>
      <c r="BS67" s="367"/>
      <c r="BT67" s="367"/>
      <c r="BW67" s="368"/>
      <c r="BX67" s="368"/>
      <c r="BY67" s="368"/>
      <c r="BZ67" s="368"/>
      <c r="CA67" s="368"/>
      <c r="CB67" s="368"/>
      <c r="CC67" s="369"/>
      <c r="CD67" s="369"/>
      <c r="CE67" s="369"/>
      <c r="CG67" s="369"/>
      <c r="CH67" s="369"/>
      <c r="CI67" s="369"/>
      <c r="CJ67" s="369"/>
      <c r="CK67" s="369"/>
      <c r="CL67" s="369"/>
      <c r="CY67" s="676"/>
      <c r="CZ67" s="676"/>
      <c r="DA67" s="676"/>
      <c r="DB67" s="370"/>
      <c r="DC67" s="370"/>
      <c r="DD67" s="371"/>
      <c r="DE67" s="702"/>
      <c r="DF67" s="702"/>
      <c r="DG67" s="702"/>
      <c r="DH67" s="372"/>
      <c r="DI67" s="373"/>
      <c r="DJ67" s="373"/>
      <c r="DK67" s="373"/>
      <c r="DL67" s="373"/>
      <c r="DM67" s="373"/>
      <c r="DN67" s="373"/>
      <c r="DO67" s="373"/>
      <c r="DP67" s="373"/>
      <c r="DQ67" s="373"/>
      <c r="DR67" s="373"/>
      <c r="DS67" s="373"/>
      <c r="DT67" s="373"/>
      <c r="DU67" s="373"/>
      <c r="DV67" s="697"/>
      <c r="DW67" s="697"/>
      <c r="DX67" s="697"/>
      <c r="DY67" s="697"/>
      <c r="DZ67" s="697"/>
      <c r="EA67" s="697"/>
      <c r="EB67" s="697"/>
      <c r="EC67" s="697"/>
      <c r="ED67" s="697"/>
      <c r="EE67" s="697"/>
      <c r="EF67" s="697"/>
      <c r="EG67" s="697"/>
      <c r="EH67" s="697"/>
      <c r="EI67" s="697"/>
      <c r="EJ67" s="697"/>
      <c r="EK67" s="697"/>
      <c r="EL67" s="697"/>
      <c r="EM67" s="697"/>
      <c r="EN67" s="697"/>
      <c r="EO67" s="697"/>
      <c r="EP67" s="697"/>
      <c r="EQ67" s="697"/>
      <c r="ER67" s="374"/>
      <c r="ES67" s="698"/>
      <c r="ET67" s="698"/>
      <c r="EU67" s="698"/>
      <c r="EV67" s="698"/>
      <c r="EW67" s="698"/>
      <c r="EX67" s="698"/>
      <c r="EY67" s="698"/>
      <c r="EZ67" s="698"/>
      <c r="FA67" s="698"/>
      <c r="FB67" s="698"/>
      <c r="FC67" s="698"/>
      <c r="FD67" s="698"/>
      <c r="FE67" s="699"/>
      <c r="FF67" s="699"/>
      <c r="FG67" s="699"/>
      <c r="FH67" s="699"/>
      <c r="FI67" s="699"/>
      <c r="FJ67" s="700"/>
      <c r="FK67" s="700"/>
      <c r="FL67" s="700"/>
      <c r="FM67" s="700"/>
      <c r="FN67" s="701"/>
      <c r="FO67" s="701"/>
      <c r="FP67" s="701"/>
    </row>
    <row r="68" spans="1:172" ht="50.25" hidden="1" customHeight="1" thickBot="1" x14ac:dyDescent="0.3">
      <c r="A68" s="1471"/>
      <c r="B68" s="334"/>
      <c r="C68" s="335" t="s">
        <v>113</v>
      </c>
      <c r="D68" s="336"/>
      <c r="E68" s="337" t="s">
        <v>114</v>
      </c>
      <c r="F68" s="1471"/>
      <c r="G68" s="334"/>
      <c r="H68" s="335" t="s">
        <v>113</v>
      </c>
      <c r="I68" s="336"/>
      <c r="J68" s="337" t="s">
        <v>114</v>
      </c>
      <c r="K68" s="1471"/>
      <c r="L68" s="334"/>
      <c r="M68" s="335" t="s">
        <v>113</v>
      </c>
      <c r="N68" s="336"/>
      <c r="O68" s="337" t="s">
        <v>114</v>
      </c>
      <c r="P68" s="1471"/>
      <c r="Q68" s="334"/>
      <c r="R68" s="335" t="s">
        <v>113</v>
      </c>
      <c r="S68" s="336"/>
      <c r="T68" s="337" t="s">
        <v>114</v>
      </c>
      <c r="U68" s="1471"/>
      <c r="V68" s="334"/>
      <c r="W68" s="335" t="s">
        <v>113</v>
      </c>
      <c r="X68" s="336"/>
      <c r="Y68" s="337" t="s">
        <v>114</v>
      </c>
      <c r="Z68" s="1471"/>
      <c r="AA68" s="334"/>
      <c r="AB68" s="335" t="s">
        <v>113</v>
      </c>
      <c r="AC68" s="336"/>
      <c r="AD68" s="337" t="s">
        <v>114</v>
      </c>
      <c r="AE68" s="1471"/>
      <c r="AF68" s="334"/>
      <c r="AG68" s="335" t="s">
        <v>113</v>
      </c>
      <c r="AH68" s="336"/>
      <c r="AI68" s="337" t="s">
        <v>114</v>
      </c>
      <c r="AJ68" s="1471"/>
      <c r="AK68" s="334"/>
      <c r="AL68" s="335" t="s">
        <v>113</v>
      </c>
      <c r="AM68" s="336"/>
      <c r="AN68" s="337" t="s">
        <v>114</v>
      </c>
      <c r="AO68" s="1471"/>
      <c r="AP68" s="334"/>
      <c r="AQ68" s="335" t="s">
        <v>113</v>
      </c>
      <c r="AR68" s="336"/>
      <c r="AS68" s="337" t="s">
        <v>114</v>
      </c>
      <c r="AT68" s="1471"/>
      <c r="AU68" s="334"/>
      <c r="AV68" s="335" t="s">
        <v>113</v>
      </c>
      <c r="AW68" s="336"/>
      <c r="AX68" s="337" t="s">
        <v>114</v>
      </c>
      <c r="AY68" s="1471"/>
      <c r="AZ68" s="334"/>
      <c r="BA68" s="335" t="s">
        <v>113</v>
      </c>
      <c r="BB68" s="336"/>
      <c r="BC68" s="337" t="s">
        <v>114</v>
      </c>
      <c r="BD68" s="1471"/>
      <c r="BE68" s="334"/>
      <c r="BF68" s="335" t="s">
        <v>113</v>
      </c>
      <c r="BG68" s="336"/>
      <c r="BH68" s="337" t="s">
        <v>114</v>
      </c>
      <c r="BI68" s="587"/>
      <c r="BJ68" s="334"/>
      <c r="BK68" s="335" t="s">
        <v>113</v>
      </c>
      <c r="BL68" s="336"/>
      <c r="BM68" s="337" t="s">
        <v>114</v>
      </c>
      <c r="BN68" s="587"/>
      <c r="BO68" s="334"/>
      <c r="BP68" s="335" t="s">
        <v>113</v>
      </c>
      <c r="BQ68" s="336"/>
      <c r="BR68" s="337" t="s">
        <v>114</v>
      </c>
      <c r="BS68" s="50"/>
      <c r="BT68" s="50"/>
      <c r="BW68" s="27"/>
      <c r="BX68" s="27"/>
      <c r="BY68" s="27"/>
      <c r="BZ68" s="27"/>
      <c r="CA68" s="27"/>
      <c r="CB68" s="27"/>
      <c r="CC68" s="27"/>
      <c r="CD68" s="27"/>
      <c r="CE68" s="27"/>
      <c r="CG68" s="27"/>
      <c r="CH68" s="27"/>
      <c r="CI68" s="27"/>
      <c r="CJ68" s="27"/>
      <c r="CK68" s="27"/>
      <c r="CL68" s="27"/>
      <c r="CY68" s="676"/>
      <c r="CZ68" s="676"/>
      <c r="DA68" s="676"/>
      <c r="DB68" s="29"/>
      <c r="DC68" s="29"/>
      <c r="DD68" s="47"/>
      <c r="DE68" s="702"/>
      <c r="DF68" s="702"/>
      <c r="DG68" s="702"/>
      <c r="DH68" s="48"/>
      <c r="DI68" s="45"/>
      <c r="DJ68" s="45"/>
      <c r="DK68" s="45"/>
      <c r="DL68" s="45"/>
      <c r="DM68" s="45"/>
      <c r="DN68" s="45"/>
      <c r="DO68" s="45"/>
      <c r="DP68" s="45"/>
      <c r="DQ68" s="45"/>
      <c r="DR68" s="45"/>
      <c r="DS68" s="45"/>
      <c r="DT68" s="45"/>
      <c r="DU68" s="45"/>
      <c r="DV68" s="697"/>
      <c r="DW68" s="697"/>
      <c r="DX68" s="697"/>
      <c r="DY68" s="697"/>
      <c r="DZ68" s="697"/>
      <c r="EA68" s="697"/>
      <c r="EB68" s="697"/>
      <c r="EC68" s="697"/>
      <c r="ED68" s="697"/>
      <c r="EE68" s="697"/>
      <c r="EF68" s="697"/>
      <c r="EG68" s="697"/>
      <c r="EH68" s="697"/>
      <c r="EI68" s="697"/>
      <c r="EJ68" s="697"/>
      <c r="EK68" s="697"/>
      <c r="EL68" s="697"/>
      <c r="EM68" s="697"/>
      <c r="EN68" s="697"/>
      <c r="EO68" s="697"/>
      <c r="EP68" s="697"/>
      <c r="EQ68" s="697"/>
      <c r="ER68" s="46"/>
      <c r="ES68" s="698"/>
      <c r="ET68" s="698"/>
      <c r="EU68" s="698"/>
      <c r="EV68" s="698"/>
      <c r="EW68" s="698"/>
      <c r="EX68" s="698"/>
      <c r="EY68" s="698"/>
      <c r="EZ68" s="698"/>
      <c r="FA68" s="698"/>
      <c r="FB68" s="698"/>
      <c r="FC68" s="698"/>
      <c r="FD68" s="698"/>
      <c r="FE68" s="699"/>
      <c r="FF68" s="699"/>
      <c r="FG68" s="699"/>
      <c r="FH68" s="699"/>
      <c r="FI68" s="699"/>
      <c r="FJ68" s="700"/>
      <c r="FK68" s="700"/>
      <c r="FL68" s="700"/>
      <c r="FM68" s="700"/>
      <c r="FN68" s="701"/>
      <c r="FO68" s="701"/>
      <c r="FP68" s="701"/>
    </row>
    <row r="69" spans="1:172" ht="53.25" hidden="1" customHeight="1" thickTop="1" x14ac:dyDescent="0.25">
      <c r="A69" s="582" t="s">
        <v>110</v>
      </c>
      <c r="B69" s="583"/>
      <c r="C69" s="584">
        <f t="shared" ref="C69" si="59">B74/((72*3.1415/59)*(129.67/3.281))</f>
        <v>0</v>
      </c>
      <c r="D69" s="584"/>
      <c r="E69" s="585"/>
      <c r="F69" s="582" t="s">
        <v>110</v>
      </c>
      <c r="G69" s="583"/>
      <c r="H69" s="584">
        <f t="shared" ref="H69" si="60">G74/((72*3.1415/59)*(129.67/3.281))</f>
        <v>0</v>
      </c>
      <c r="I69" s="584"/>
      <c r="J69" s="585"/>
      <c r="K69" s="582" t="s">
        <v>110</v>
      </c>
      <c r="L69" s="583"/>
      <c r="M69" s="584">
        <f t="shared" ref="M69" si="61">L74/((72*3.1415/59)*(129.67/3.281))</f>
        <v>0</v>
      </c>
      <c r="N69" s="584"/>
      <c r="O69" s="585"/>
      <c r="P69" s="582" t="s">
        <v>110</v>
      </c>
      <c r="Q69" s="583"/>
      <c r="R69" s="584">
        <f t="shared" ref="R69" si="62">Q74/((72*3.1415/59)*(129.67/3.281))</f>
        <v>0</v>
      </c>
      <c r="S69" s="584"/>
      <c r="T69" s="585"/>
      <c r="U69" s="582" t="s">
        <v>110</v>
      </c>
      <c r="V69" s="583"/>
      <c r="W69" s="584">
        <f t="shared" ref="W69" si="63">V74/((72*3.1415/59)*(129.67/3.281))</f>
        <v>0</v>
      </c>
      <c r="X69" s="584"/>
      <c r="Y69" s="585"/>
      <c r="Z69" s="582" t="s">
        <v>110</v>
      </c>
      <c r="AA69" s="583"/>
      <c r="AB69" s="584">
        <f t="shared" ref="AB69" si="64">AA74/((72*3.1415/59)*(129.67/3.281))</f>
        <v>0</v>
      </c>
      <c r="AC69" s="584"/>
      <c r="AD69" s="585"/>
      <c r="AE69" s="582" t="s">
        <v>110</v>
      </c>
      <c r="AF69" s="583"/>
      <c r="AG69" s="584">
        <f t="shared" ref="AG69" si="65">AF74/((72*3.1415/59)*(129.67/3.281))</f>
        <v>0</v>
      </c>
      <c r="AH69" s="584"/>
      <c r="AI69" s="585"/>
      <c r="AJ69" s="582" t="s">
        <v>110</v>
      </c>
      <c r="AK69" s="583"/>
      <c r="AL69" s="584">
        <f t="shared" ref="AL69" si="66">AK74/((72*3.1415/59)*(129.67/3.281))</f>
        <v>0</v>
      </c>
      <c r="AM69" s="584"/>
      <c r="AN69" s="585"/>
      <c r="AO69" s="582" t="s">
        <v>110</v>
      </c>
      <c r="AP69" s="583"/>
      <c r="AQ69" s="584">
        <f t="shared" ref="AQ69" si="67">AP74/((72*3.1415/59)*(129.67/3.281))</f>
        <v>0</v>
      </c>
      <c r="AR69" s="584"/>
      <c r="AS69" s="585"/>
      <c r="AT69" s="582" t="s">
        <v>110</v>
      </c>
      <c r="AU69" s="583"/>
      <c r="AV69" s="584">
        <f t="shared" ref="AV69" si="68">AU74/((72*3.1415/59)*(129.67/3.281))</f>
        <v>0</v>
      </c>
      <c r="AW69" s="584"/>
      <c r="AX69" s="585"/>
      <c r="AY69" s="582" t="s">
        <v>110</v>
      </c>
      <c r="AZ69" s="583"/>
      <c r="BA69" s="584">
        <f t="shared" ref="BA69" si="69">AZ74/((72*3.1415/59)*(129.67/3.281))</f>
        <v>0</v>
      </c>
      <c r="BB69" s="584"/>
      <c r="BC69" s="585"/>
      <c r="BD69" s="582" t="s">
        <v>110</v>
      </c>
      <c r="BE69" s="583"/>
      <c r="BF69" s="584">
        <f t="shared" ref="BF69" si="70">BE74/((72*3.1415/59)*(129.67/3.281))</f>
        <v>0</v>
      </c>
      <c r="BG69" s="584"/>
      <c r="BH69" s="585"/>
      <c r="BI69" s="582" t="s">
        <v>110</v>
      </c>
      <c r="BJ69" s="583"/>
      <c r="BK69" s="584">
        <f t="shared" ref="BK69" si="71">BJ74/((72*3.1415/59)*(129.67/3.281))</f>
        <v>0</v>
      </c>
      <c r="BL69" s="584"/>
      <c r="BM69" s="585"/>
      <c r="BN69" s="582" t="s">
        <v>110</v>
      </c>
      <c r="BO69" s="583"/>
      <c r="BP69" s="584">
        <f t="shared" ref="BP69" si="72">BO74/((72*3.1415/59)*(129.67/3.281))</f>
        <v>0</v>
      </c>
      <c r="BQ69" s="584"/>
      <c r="BR69" s="585"/>
      <c r="BS69" s="50"/>
      <c r="BT69" s="50"/>
      <c r="BW69" s="27"/>
      <c r="BX69" s="27"/>
      <c r="BY69" s="27"/>
      <c r="BZ69" s="27"/>
      <c r="CA69" s="27"/>
      <c r="CB69" s="27"/>
      <c r="CC69" s="27"/>
      <c r="CD69" s="27"/>
      <c r="CE69" s="27"/>
      <c r="CG69" s="27"/>
      <c r="CH69" s="27"/>
      <c r="CI69" s="27"/>
      <c r="CJ69" s="27"/>
      <c r="CK69" s="27"/>
      <c r="CL69" s="27"/>
      <c r="CY69" s="676"/>
      <c r="CZ69" s="676"/>
      <c r="DA69" s="676"/>
      <c r="DB69" s="675"/>
      <c r="DC69" s="675"/>
      <c r="DD69" s="47"/>
      <c r="DE69" s="703"/>
      <c r="DF69" s="703"/>
      <c r="DG69" s="703"/>
      <c r="DH69" s="48"/>
      <c r="DI69" s="45"/>
      <c r="DJ69" s="45"/>
      <c r="DK69" s="45"/>
      <c r="DL69" s="45"/>
      <c r="DM69" s="45"/>
      <c r="DN69" s="45"/>
      <c r="DO69" s="45"/>
      <c r="DP69" s="45"/>
      <c r="DQ69" s="45"/>
      <c r="DR69" s="45"/>
      <c r="DS69" s="45"/>
      <c r="DT69" s="45"/>
      <c r="DU69" s="45"/>
      <c r="DV69" s="697"/>
      <c r="DW69" s="697"/>
      <c r="DX69" s="697"/>
      <c r="DY69" s="697"/>
      <c r="DZ69" s="697"/>
      <c r="EA69" s="697"/>
      <c r="EB69" s="697"/>
      <c r="EC69" s="697"/>
      <c r="ED69" s="697"/>
      <c r="EE69" s="697"/>
      <c r="EF69" s="697"/>
      <c r="EG69" s="697"/>
      <c r="EH69" s="697"/>
      <c r="EI69" s="697"/>
      <c r="EJ69" s="697"/>
      <c r="EK69" s="697"/>
      <c r="EL69" s="697"/>
      <c r="EM69" s="697"/>
      <c r="EN69" s="697"/>
      <c r="EO69" s="697"/>
      <c r="EP69" s="697"/>
      <c r="EQ69" s="697"/>
      <c r="ER69" s="46"/>
      <c r="ES69" s="698"/>
      <c r="ET69" s="698"/>
      <c r="EU69" s="698"/>
      <c r="EV69" s="698"/>
      <c r="EW69" s="698"/>
      <c r="EX69" s="698"/>
      <c r="EY69" s="698"/>
      <c r="EZ69" s="698"/>
      <c r="FA69" s="698"/>
      <c r="FB69" s="698"/>
      <c r="FC69" s="698"/>
      <c r="FD69" s="698"/>
      <c r="FE69" s="699"/>
      <c r="FF69" s="699"/>
      <c r="FG69" s="699"/>
      <c r="FH69" s="699"/>
      <c r="FI69" s="699"/>
      <c r="FJ69" s="700"/>
      <c r="FK69" s="700"/>
      <c r="FL69" s="700"/>
      <c r="FM69" s="700"/>
      <c r="FN69" s="701"/>
      <c r="FO69" s="701"/>
      <c r="FP69" s="701"/>
    </row>
    <row r="70" spans="1:172" ht="15" hidden="1" customHeight="1" x14ac:dyDescent="0.25">
      <c r="A70" s="679" t="s">
        <v>489</v>
      </c>
      <c r="B70" s="680"/>
      <c r="C70" s="685" t="s">
        <v>504</v>
      </c>
      <c r="D70" s="686"/>
      <c r="E70" s="687"/>
      <c r="F70" s="679" t="s">
        <v>489</v>
      </c>
      <c r="G70" s="680"/>
      <c r="H70" s="685" t="s">
        <v>504</v>
      </c>
      <c r="I70" s="686"/>
      <c r="J70" s="687"/>
      <c r="K70" s="679" t="s">
        <v>489</v>
      </c>
      <c r="L70" s="680"/>
      <c r="M70" s="685" t="s">
        <v>504</v>
      </c>
      <c r="N70" s="686"/>
      <c r="O70" s="687"/>
      <c r="P70" s="679" t="s">
        <v>489</v>
      </c>
      <c r="Q70" s="680"/>
      <c r="R70" s="685" t="s">
        <v>504</v>
      </c>
      <c r="S70" s="686"/>
      <c r="T70" s="687"/>
      <c r="U70" s="679" t="s">
        <v>489</v>
      </c>
      <c r="V70" s="680"/>
      <c r="W70" s="685" t="s">
        <v>504</v>
      </c>
      <c r="X70" s="686"/>
      <c r="Y70" s="687"/>
      <c r="Z70" s="679" t="s">
        <v>489</v>
      </c>
      <c r="AA70" s="680"/>
      <c r="AB70" s="685" t="s">
        <v>504</v>
      </c>
      <c r="AC70" s="686"/>
      <c r="AD70" s="687"/>
      <c r="AE70" s="679" t="s">
        <v>489</v>
      </c>
      <c r="AF70" s="680"/>
      <c r="AG70" s="685" t="s">
        <v>504</v>
      </c>
      <c r="AH70" s="686"/>
      <c r="AI70" s="687"/>
      <c r="AJ70" s="679" t="s">
        <v>489</v>
      </c>
      <c r="AK70" s="680"/>
      <c r="AL70" s="685" t="s">
        <v>504</v>
      </c>
      <c r="AM70" s="686"/>
      <c r="AN70" s="687"/>
      <c r="AO70" s="679" t="s">
        <v>489</v>
      </c>
      <c r="AP70" s="680"/>
      <c r="AQ70" s="685" t="s">
        <v>504</v>
      </c>
      <c r="AR70" s="686"/>
      <c r="AS70" s="687"/>
      <c r="AT70" s="679" t="s">
        <v>489</v>
      </c>
      <c r="AU70" s="680"/>
      <c r="AV70" s="685" t="s">
        <v>504</v>
      </c>
      <c r="AW70" s="686"/>
      <c r="AX70" s="687"/>
      <c r="AY70" s="679" t="s">
        <v>489</v>
      </c>
      <c r="AZ70" s="680"/>
      <c r="BA70" s="685" t="s">
        <v>504</v>
      </c>
      <c r="BB70" s="686"/>
      <c r="BC70" s="687"/>
      <c r="BD70" s="679" t="s">
        <v>489</v>
      </c>
      <c r="BE70" s="680"/>
      <c r="BF70" s="685" t="s">
        <v>504</v>
      </c>
      <c r="BG70" s="686"/>
      <c r="BH70" s="687"/>
      <c r="BI70" s="679" t="s">
        <v>489</v>
      </c>
      <c r="BJ70" s="680"/>
      <c r="BK70" s="685" t="s">
        <v>504</v>
      </c>
      <c r="BL70" s="686"/>
      <c r="BM70" s="687"/>
      <c r="BN70" s="679" t="s">
        <v>489</v>
      </c>
      <c r="BO70" s="680"/>
      <c r="BP70" s="685" t="s">
        <v>504</v>
      </c>
      <c r="BQ70" s="686"/>
      <c r="BR70" s="687"/>
      <c r="BS70" s="50"/>
      <c r="BT70" s="50"/>
      <c r="BW70" s="27"/>
      <c r="BX70" s="27"/>
      <c r="BY70" s="27"/>
      <c r="BZ70" s="27"/>
      <c r="CA70" s="27"/>
      <c r="CB70" s="27"/>
      <c r="CC70" s="27"/>
      <c r="CD70" s="27"/>
      <c r="CE70" s="27"/>
      <c r="CG70" s="27"/>
      <c r="CH70" s="27"/>
      <c r="CI70" s="27"/>
      <c r="CJ70" s="27"/>
      <c r="CK70" s="27"/>
      <c r="CL70" s="27"/>
      <c r="CZ70" s="17"/>
      <c r="DE70" s="703"/>
      <c r="DF70" s="703"/>
      <c r="DG70" s="703"/>
      <c r="DH70" s="48"/>
      <c r="DI70" s="49"/>
      <c r="DJ70" s="49"/>
      <c r="DK70" s="49"/>
      <c r="DL70" s="49"/>
      <c r="DM70" s="49"/>
      <c r="DN70" s="49"/>
      <c r="DO70" s="49"/>
      <c r="DP70" s="49"/>
      <c r="DQ70" s="49"/>
      <c r="DR70" s="49"/>
      <c r="DS70" s="49"/>
      <c r="DT70" s="49"/>
      <c r="DU70" s="49"/>
      <c r="DV70" s="704"/>
      <c r="DW70" s="705"/>
      <c r="DX70" s="705"/>
      <c r="DY70" s="705"/>
      <c r="DZ70" s="705"/>
      <c r="EA70" s="705"/>
      <c r="EB70" s="705"/>
      <c r="EC70" s="705"/>
      <c r="ED70" s="705"/>
      <c r="EE70" s="705"/>
      <c r="EF70" s="705"/>
      <c r="EG70" s="705"/>
      <c r="EH70" s="706"/>
      <c r="EI70" s="706"/>
      <c r="EJ70" s="706"/>
      <c r="EK70" s="706"/>
      <c r="EL70" s="706"/>
      <c r="EM70" s="706"/>
      <c r="EN70" s="706"/>
      <c r="EO70" s="706"/>
      <c r="EP70" s="706"/>
      <c r="EQ70" s="706"/>
      <c r="ER70" s="706"/>
      <c r="ES70" s="707"/>
      <c r="ET70" s="707"/>
      <c r="EU70" s="707"/>
      <c r="EV70" s="707"/>
      <c r="EW70" s="707"/>
      <c r="EX70" s="707"/>
      <c r="EY70" s="707"/>
      <c r="EZ70" s="707"/>
      <c r="FA70" s="707"/>
      <c r="FB70" s="707"/>
      <c r="FC70" s="707"/>
      <c r="FD70" s="707"/>
      <c r="FE70" s="699"/>
      <c r="FF70" s="699"/>
      <c r="FG70" s="699"/>
      <c r="FH70" s="699"/>
      <c r="FI70" s="699"/>
      <c r="FJ70" s="708"/>
      <c r="FK70" s="708"/>
      <c r="FL70" s="708"/>
      <c r="FM70" s="708"/>
      <c r="FN70" s="708"/>
      <c r="FO70" s="708"/>
      <c r="FP70" s="708"/>
    </row>
    <row r="71" spans="1:172" ht="9" hidden="1" customHeight="1" x14ac:dyDescent="0.25">
      <c r="A71" s="681"/>
      <c r="B71" s="682"/>
      <c r="C71" s="688"/>
      <c r="D71" s="689"/>
      <c r="E71" s="690"/>
      <c r="F71" s="681"/>
      <c r="G71" s="682"/>
      <c r="H71" s="688"/>
      <c r="I71" s="689"/>
      <c r="J71" s="690"/>
      <c r="K71" s="681"/>
      <c r="L71" s="682"/>
      <c r="M71" s="688"/>
      <c r="N71" s="689"/>
      <c r="O71" s="690"/>
      <c r="P71" s="681"/>
      <c r="Q71" s="682"/>
      <c r="R71" s="688"/>
      <c r="S71" s="689"/>
      <c r="T71" s="690"/>
      <c r="U71" s="681"/>
      <c r="V71" s="682"/>
      <c r="W71" s="688"/>
      <c r="X71" s="689"/>
      <c r="Y71" s="690"/>
      <c r="Z71" s="681"/>
      <c r="AA71" s="682"/>
      <c r="AB71" s="688"/>
      <c r="AC71" s="689"/>
      <c r="AD71" s="690"/>
      <c r="AE71" s="681"/>
      <c r="AF71" s="682"/>
      <c r="AG71" s="688"/>
      <c r="AH71" s="689"/>
      <c r="AI71" s="690"/>
      <c r="AJ71" s="681"/>
      <c r="AK71" s="682"/>
      <c r="AL71" s="688"/>
      <c r="AM71" s="689"/>
      <c r="AN71" s="690"/>
      <c r="AO71" s="681"/>
      <c r="AP71" s="682"/>
      <c r="AQ71" s="688"/>
      <c r="AR71" s="689"/>
      <c r="AS71" s="690"/>
      <c r="AT71" s="681"/>
      <c r="AU71" s="682"/>
      <c r="AV71" s="688"/>
      <c r="AW71" s="689"/>
      <c r="AX71" s="690"/>
      <c r="AY71" s="681"/>
      <c r="AZ71" s="682"/>
      <c r="BA71" s="688"/>
      <c r="BB71" s="689"/>
      <c r="BC71" s="690"/>
      <c r="BD71" s="681"/>
      <c r="BE71" s="682"/>
      <c r="BF71" s="688"/>
      <c r="BG71" s="689"/>
      <c r="BH71" s="690"/>
      <c r="BI71" s="681"/>
      <c r="BJ71" s="682"/>
      <c r="BK71" s="688"/>
      <c r="BL71" s="689"/>
      <c r="BM71" s="690"/>
      <c r="BN71" s="681"/>
      <c r="BO71" s="682"/>
      <c r="BP71" s="688"/>
      <c r="BQ71" s="689"/>
      <c r="BR71" s="690"/>
      <c r="BS71" s="53"/>
      <c r="BT71" s="53"/>
      <c r="DE71" s="703"/>
      <c r="DF71" s="703"/>
      <c r="DG71" s="703"/>
      <c r="DH71" s="52"/>
      <c r="DI71" s="45"/>
      <c r="DJ71" s="45"/>
      <c r="DK71" s="45"/>
      <c r="DL71" s="45"/>
      <c r="DM71" s="45"/>
      <c r="DN71" s="45"/>
      <c r="DO71" s="45"/>
      <c r="DP71" s="45"/>
      <c r="DQ71" s="45"/>
      <c r="DR71" s="45"/>
      <c r="DS71" s="45"/>
      <c r="DT71" s="45"/>
      <c r="DU71" s="45"/>
      <c r="DV71" s="705"/>
      <c r="DW71" s="705"/>
      <c r="DX71" s="705"/>
      <c r="DY71" s="705"/>
      <c r="DZ71" s="705"/>
      <c r="EA71" s="705"/>
      <c r="EB71" s="705"/>
      <c r="EC71" s="705"/>
      <c r="ED71" s="705"/>
      <c r="EE71" s="705"/>
      <c r="EF71" s="705"/>
      <c r="EG71" s="705"/>
      <c r="EH71" s="706"/>
      <c r="EI71" s="706"/>
      <c r="EJ71" s="706"/>
      <c r="EK71" s="706"/>
      <c r="EL71" s="706"/>
      <c r="EM71" s="706"/>
      <c r="EN71" s="706"/>
      <c r="EO71" s="706"/>
      <c r="EP71" s="706"/>
      <c r="EQ71" s="706"/>
      <c r="ER71" s="706"/>
      <c r="ES71" s="707"/>
      <c r="ET71" s="707"/>
      <c r="EU71" s="707"/>
      <c r="EV71" s="707"/>
      <c r="EW71" s="707"/>
      <c r="EX71" s="707"/>
      <c r="EY71" s="707"/>
      <c r="EZ71" s="707"/>
      <c r="FA71" s="707"/>
      <c r="FB71" s="707"/>
      <c r="FC71" s="707"/>
      <c r="FD71" s="707"/>
      <c r="FE71" s="699"/>
      <c r="FF71" s="699"/>
      <c r="FG71" s="699"/>
      <c r="FH71" s="699"/>
      <c r="FI71" s="699"/>
      <c r="FJ71" s="708"/>
      <c r="FK71" s="708"/>
      <c r="FL71" s="708"/>
      <c r="FM71" s="708"/>
      <c r="FN71" s="708"/>
      <c r="FO71" s="708"/>
      <c r="FP71" s="708"/>
    </row>
    <row r="72" spans="1:172" ht="3.75" hidden="1" customHeight="1" x14ac:dyDescent="0.25">
      <c r="A72" s="683"/>
      <c r="B72" s="684"/>
      <c r="C72" s="691"/>
      <c r="D72" s="692"/>
      <c r="E72" s="693"/>
      <c r="F72" s="683"/>
      <c r="G72" s="684"/>
      <c r="H72" s="691"/>
      <c r="I72" s="692"/>
      <c r="J72" s="693"/>
      <c r="K72" s="683"/>
      <c r="L72" s="684"/>
      <c r="M72" s="691"/>
      <c r="N72" s="692"/>
      <c r="O72" s="693"/>
      <c r="P72" s="683"/>
      <c r="Q72" s="684"/>
      <c r="R72" s="691"/>
      <c r="S72" s="692"/>
      <c r="T72" s="693"/>
      <c r="U72" s="683"/>
      <c r="V72" s="684"/>
      <c r="W72" s="691"/>
      <c r="X72" s="692"/>
      <c r="Y72" s="693"/>
      <c r="Z72" s="683"/>
      <c r="AA72" s="684"/>
      <c r="AB72" s="691"/>
      <c r="AC72" s="692"/>
      <c r="AD72" s="693"/>
      <c r="AE72" s="683"/>
      <c r="AF72" s="684"/>
      <c r="AG72" s="691"/>
      <c r="AH72" s="692"/>
      <c r="AI72" s="693"/>
      <c r="AJ72" s="683"/>
      <c r="AK72" s="684"/>
      <c r="AL72" s="691"/>
      <c r="AM72" s="692"/>
      <c r="AN72" s="693"/>
      <c r="AO72" s="683"/>
      <c r="AP72" s="684"/>
      <c r="AQ72" s="691"/>
      <c r="AR72" s="692"/>
      <c r="AS72" s="693"/>
      <c r="AT72" s="683"/>
      <c r="AU72" s="684"/>
      <c r="AV72" s="691"/>
      <c r="AW72" s="692"/>
      <c r="AX72" s="693"/>
      <c r="AY72" s="683"/>
      <c r="AZ72" s="684"/>
      <c r="BA72" s="691"/>
      <c r="BB72" s="692"/>
      <c r="BC72" s="693"/>
      <c r="BD72" s="683"/>
      <c r="BE72" s="684"/>
      <c r="BF72" s="691"/>
      <c r="BG72" s="692"/>
      <c r="BH72" s="693"/>
      <c r="BI72" s="683"/>
      <c r="BJ72" s="684"/>
      <c r="BK72" s="691"/>
      <c r="BL72" s="692"/>
      <c r="BM72" s="693"/>
      <c r="BN72" s="683"/>
      <c r="BO72" s="684"/>
      <c r="BP72" s="691"/>
      <c r="BQ72" s="692"/>
      <c r="BR72" s="693"/>
      <c r="BS72" s="53"/>
      <c r="BT72" s="53"/>
      <c r="DE72" s="709"/>
      <c r="DF72" s="709"/>
      <c r="DG72" s="709"/>
      <c r="DH72" s="52"/>
      <c r="DI72" s="45"/>
      <c r="DJ72" s="45"/>
      <c r="DK72" s="45"/>
      <c r="DL72" s="45"/>
      <c r="DM72" s="45"/>
      <c r="DN72" s="45"/>
      <c r="DO72" s="45"/>
      <c r="DP72" s="45"/>
      <c r="DQ72" s="45"/>
      <c r="DR72" s="45"/>
      <c r="DS72" s="45"/>
      <c r="DT72" s="45"/>
      <c r="DU72" s="45"/>
      <c r="DV72" s="705"/>
      <c r="DW72" s="705"/>
      <c r="DX72" s="705"/>
      <c r="DY72" s="705"/>
      <c r="DZ72" s="705"/>
      <c r="EA72" s="705"/>
      <c r="EB72" s="705"/>
      <c r="EC72" s="705"/>
      <c r="ED72" s="705"/>
      <c r="EE72" s="705"/>
      <c r="EF72" s="705"/>
      <c r="EG72" s="705"/>
      <c r="EH72" s="706"/>
      <c r="EI72" s="706"/>
      <c r="EJ72" s="706"/>
      <c r="EK72" s="706"/>
      <c r="EL72" s="706"/>
      <c r="EM72" s="706"/>
      <c r="EN72" s="706"/>
      <c r="EO72" s="706"/>
      <c r="EP72" s="706"/>
      <c r="EQ72" s="706"/>
      <c r="ER72" s="706"/>
      <c r="ES72" s="707"/>
      <c r="ET72" s="707"/>
      <c r="EU72" s="707"/>
      <c r="EV72" s="707"/>
      <c r="EW72" s="707"/>
      <c r="EX72" s="707"/>
      <c r="EY72" s="707"/>
      <c r="EZ72" s="707"/>
      <c r="FA72" s="707"/>
      <c r="FB72" s="707"/>
      <c r="FC72" s="707"/>
      <c r="FD72" s="707"/>
      <c r="FE72" s="699"/>
      <c r="FF72" s="699"/>
      <c r="FG72" s="699"/>
      <c r="FH72" s="699"/>
      <c r="FI72" s="699"/>
      <c r="FJ72" s="708"/>
      <c r="FK72" s="708"/>
      <c r="FL72" s="708"/>
      <c r="FM72" s="708"/>
      <c r="FN72" s="708"/>
      <c r="FO72" s="708"/>
      <c r="FP72" s="708"/>
    </row>
    <row r="73" spans="1:172" s="22" customFormat="1" ht="111.75" hidden="1" customHeight="1" x14ac:dyDescent="1.35">
      <c r="A73" s="1470" t="s">
        <v>500</v>
      </c>
      <c r="B73" s="694"/>
      <c r="C73" s="695"/>
      <c r="D73" s="695"/>
      <c r="E73" s="696"/>
      <c r="F73" s="1470" t="s">
        <v>500</v>
      </c>
      <c r="G73" s="694"/>
      <c r="H73" s="695"/>
      <c r="I73" s="695"/>
      <c r="J73" s="696"/>
      <c r="K73" s="1470" t="s">
        <v>500</v>
      </c>
      <c r="L73" s="694"/>
      <c r="M73" s="695"/>
      <c r="N73" s="695"/>
      <c r="O73" s="696"/>
      <c r="P73" s="1470" t="s">
        <v>500</v>
      </c>
      <c r="Q73" s="694"/>
      <c r="R73" s="695"/>
      <c r="S73" s="695"/>
      <c r="T73" s="696"/>
      <c r="U73" s="1470" t="s">
        <v>500</v>
      </c>
      <c r="V73" s="694"/>
      <c r="W73" s="695"/>
      <c r="X73" s="695"/>
      <c r="Y73" s="696"/>
      <c r="Z73" s="1470" t="s">
        <v>500</v>
      </c>
      <c r="AA73" s="694"/>
      <c r="AB73" s="695"/>
      <c r="AC73" s="695"/>
      <c r="AD73" s="696"/>
      <c r="AE73" s="1470" t="s">
        <v>500</v>
      </c>
      <c r="AF73" s="694"/>
      <c r="AG73" s="695"/>
      <c r="AH73" s="695"/>
      <c r="AI73" s="696"/>
      <c r="AJ73" s="1470" t="s">
        <v>500</v>
      </c>
      <c r="AK73" s="694"/>
      <c r="AL73" s="695"/>
      <c r="AM73" s="695"/>
      <c r="AN73" s="696"/>
      <c r="AO73" s="1470" t="s">
        <v>500</v>
      </c>
      <c r="AP73" s="694"/>
      <c r="AQ73" s="695"/>
      <c r="AR73" s="695"/>
      <c r="AS73" s="696"/>
      <c r="AT73" s="1470" t="s">
        <v>500</v>
      </c>
      <c r="AU73" s="694"/>
      <c r="AV73" s="695"/>
      <c r="AW73" s="695"/>
      <c r="AX73" s="696"/>
      <c r="AY73" s="1470" t="s">
        <v>500</v>
      </c>
      <c r="AZ73" s="694"/>
      <c r="BA73" s="695"/>
      <c r="BB73" s="695"/>
      <c r="BC73" s="696"/>
      <c r="BD73" s="1470" t="s">
        <v>500</v>
      </c>
      <c r="BE73" s="694"/>
      <c r="BF73" s="695"/>
      <c r="BG73" s="695"/>
      <c r="BH73" s="696"/>
      <c r="BI73" s="586" t="s">
        <v>500</v>
      </c>
      <c r="BJ73" s="694"/>
      <c r="BK73" s="695"/>
      <c r="BL73" s="695"/>
      <c r="BM73" s="696"/>
      <c r="BN73" s="586" t="s">
        <v>500</v>
      </c>
      <c r="BO73" s="694"/>
      <c r="BP73" s="695"/>
      <c r="BQ73" s="695"/>
      <c r="BR73" s="696"/>
      <c r="DE73" s="709"/>
      <c r="DF73" s="709"/>
      <c r="DG73" s="709"/>
      <c r="DH73" s="375"/>
      <c r="DI73" s="373"/>
      <c r="DJ73" s="373"/>
      <c r="DK73" s="373"/>
      <c r="DL73" s="373"/>
      <c r="DM73" s="373"/>
      <c r="DN73" s="373"/>
      <c r="DO73" s="373"/>
      <c r="DP73" s="373"/>
      <c r="DQ73" s="373"/>
      <c r="DR73" s="373"/>
      <c r="DS73" s="373"/>
      <c r="DT73" s="373"/>
      <c r="DU73" s="373"/>
      <c r="DV73" s="705"/>
      <c r="DW73" s="705"/>
      <c r="DX73" s="705"/>
      <c r="DY73" s="705"/>
      <c r="DZ73" s="705"/>
      <c r="EA73" s="705"/>
      <c r="EB73" s="705"/>
      <c r="EC73" s="705"/>
      <c r="ED73" s="705"/>
      <c r="EE73" s="705"/>
      <c r="EF73" s="705"/>
      <c r="EG73" s="705"/>
      <c r="EH73" s="706"/>
      <c r="EI73" s="706"/>
      <c r="EJ73" s="706"/>
      <c r="EK73" s="706"/>
      <c r="EL73" s="706"/>
      <c r="EM73" s="706"/>
      <c r="EN73" s="706"/>
      <c r="EO73" s="706"/>
      <c r="EP73" s="706"/>
      <c r="EQ73" s="706"/>
      <c r="ER73" s="706"/>
      <c r="ES73" s="707"/>
      <c r="ET73" s="707"/>
      <c r="EU73" s="707"/>
      <c r="EV73" s="707"/>
      <c r="EW73" s="707"/>
      <c r="EX73" s="707"/>
      <c r="EY73" s="707"/>
      <c r="EZ73" s="707"/>
      <c r="FA73" s="707"/>
      <c r="FB73" s="707"/>
      <c r="FC73" s="707"/>
      <c r="FD73" s="707"/>
      <c r="FE73" s="699"/>
      <c r="FF73" s="699"/>
      <c r="FG73" s="699"/>
      <c r="FH73" s="699"/>
      <c r="FI73" s="699"/>
      <c r="FJ73" s="708"/>
      <c r="FK73" s="708"/>
      <c r="FL73" s="708"/>
      <c r="FM73" s="708"/>
      <c r="FN73" s="708"/>
      <c r="FO73" s="708"/>
      <c r="FP73" s="708"/>
    </row>
    <row r="74" spans="1:172" ht="50.25" hidden="1" customHeight="1" thickBot="1" x14ac:dyDescent="0.3">
      <c r="A74" s="1471"/>
      <c r="B74" s="334"/>
      <c r="C74" s="335" t="s">
        <v>113</v>
      </c>
      <c r="D74" s="336"/>
      <c r="E74" s="337" t="s">
        <v>114</v>
      </c>
      <c r="F74" s="1471"/>
      <c r="G74" s="334"/>
      <c r="H74" s="335" t="s">
        <v>113</v>
      </c>
      <c r="I74" s="336"/>
      <c r="J74" s="337" t="s">
        <v>114</v>
      </c>
      <c r="K74" s="1471"/>
      <c r="L74" s="334"/>
      <c r="M74" s="335" t="s">
        <v>113</v>
      </c>
      <c r="N74" s="336"/>
      <c r="O74" s="337" t="s">
        <v>114</v>
      </c>
      <c r="P74" s="1471"/>
      <c r="Q74" s="334"/>
      <c r="R74" s="335" t="s">
        <v>113</v>
      </c>
      <c r="S74" s="336"/>
      <c r="T74" s="337" t="s">
        <v>114</v>
      </c>
      <c r="U74" s="1471"/>
      <c r="V74" s="334"/>
      <c r="W74" s="335" t="s">
        <v>113</v>
      </c>
      <c r="X74" s="336"/>
      <c r="Y74" s="337" t="s">
        <v>114</v>
      </c>
      <c r="Z74" s="1471"/>
      <c r="AA74" s="334"/>
      <c r="AB74" s="335" t="s">
        <v>113</v>
      </c>
      <c r="AC74" s="336"/>
      <c r="AD74" s="337" t="s">
        <v>114</v>
      </c>
      <c r="AE74" s="1471"/>
      <c r="AF74" s="334"/>
      <c r="AG74" s="335" t="s">
        <v>113</v>
      </c>
      <c r="AH74" s="336"/>
      <c r="AI74" s="337" t="s">
        <v>114</v>
      </c>
      <c r="AJ74" s="1471"/>
      <c r="AK74" s="334"/>
      <c r="AL74" s="335" t="s">
        <v>113</v>
      </c>
      <c r="AM74" s="336"/>
      <c r="AN74" s="337" t="s">
        <v>114</v>
      </c>
      <c r="AO74" s="1471"/>
      <c r="AP74" s="334"/>
      <c r="AQ74" s="335" t="s">
        <v>113</v>
      </c>
      <c r="AR74" s="336"/>
      <c r="AS74" s="337" t="s">
        <v>114</v>
      </c>
      <c r="AT74" s="1471"/>
      <c r="AU74" s="334"/>
      <c r="AV74" s="335" t="s">
        <v>113</v>
      </c>
      <c r="AW74" s="336"/>
      <c r="AX74" s="337" t="s">
        <v>114</v>
      </c>
      <c r="AY74" s="1471"/>
      <c r="AZ74" s="334"/>
      <c r="BA74" s="335" t="s">
        <v>113</v>
      </c>
      <c r="BB74" s="336"/>
      <c r="BC74" s="337" t="s">
        <v>114</v>
      </c>
      <c r="BD74" s="1471"/>
      <c r="BE74" s="334"/>
      <c r="BF74" s="335" t="s">
        <v>113</v>
      </c>
      <c r="BG74" s="336"/>
      <c r="BH74" s="337" t="s">
        <v>114</v>
      </c>
      <c r="BI74" s="587"/>
      <c r="BJ74" s="334"/>
      <c r="BK74" s="335" t="s">
        <v>113</v>
      </c>
      <c r="BL74" s="336"/>
      <c r="BM74" s="337" t="s">
        <v>114</v>
      </c>
      <c r="BN74" s="587"/>
      <c r="BO74" s="334"/>
      <c r="BP74" s="335" t="s">
        <v>113</v>
      </c>
      <c r="BQ74" s="336"/>
      <c r="BR74" s="337" t="s">
        <v>114</v>
      </c>
      <c r="DE74" s="709"/>
      <c r="DF74" s="709"/>
      <c r="DG74" s="709"/>
      <c r="DH74" s="52"/>
      <c r="DI74" s="45"/>
      <c r="DJ74" s="45"/>
      <c r="DK74" s="45"/>
      <c r="DL74" s="45"/>
      <c r="DM74" s="45"/>
      <c r="DN74" s="45"/>
      <c r="DO74" s="45"/>
      <c r="DP74" s="45"/>
      <c r="DQ74" s="45"/>
      <c r="DR74" s="45"/>
      <c r="DS74" s="45"/>
      <c r="DT74" s="45"/>
      <c r="DU74" s="45"/>
      <c r="DV74" s="705"/>
      <c r="DW74" s="705"/>
      <c r="DX74" s="705"/>
      <c r="DY74" s="705"/>
      <c r="DZ74" s="705"/>
      <c r="EA74" s="705"/>
      <c r="EB74" s="705"/>
      <c r="EC74" s="705"/>
      <c r="ED74" s="705"/>
      <c r="EE74" s="705"/>
      <c r="EF74" s="705"/>
      <c r="EG74" s="705"/>
      <c r="EH74" s="706"/>
      <c r="EI74" s="706"/>
      <c r="EJ74" s="706"/>
      <c r="EK74" s="706"/>
      <c r="EL74" s="706"/>
      <c r="EM74" s="706"/>
      <c r="EN74" s="706"/>
      <c r="EO74" s="706"/>
      <c r="EP74" s="706"/>
      <c r="EQ74" s="706"/>
      <c r="ER74" s="706"/>
      <c r="ES74" s="707"/>
      <c r="ET74" s="707"/>
      <c r="EU74" s="707"/>
      <c r="EV74" s="707"/>
      <c r="EW74" s="707"/>
      <c r="EX74" s="707"/>
      <c r="EY74" s="707"/>
      <c r="EZ74" s="707"/>
      <c r="FA74" s="707"/>
      <c r="FB74" s="707"/>
      <c r="FC74" s="707"/>
      <c r="FD74" s="707"/>
      <c r="FE74" s="699"/>
      <c r="FF74" s="699"/>
      <c r="FG74" s="699"/>
      <c r="FH74" s="699"/>
      <c r="FI74" s="699"/>
      <c r="FJ74" s="699"/>
      <c r="FK74" s="699"/>
      <c r="FL74" s="699"/>
      <c r="FM74" s="699"/>
      <c r="FN74" s="699"/>
      <c r="FO74" s="699"/>
      <c r="FP74" s="699"/>
    </row>
    <row r="75" spans="1:172" ht="45.75" hidden="1" customHeight="1" thickTop="1" x14ac:dyDescent="0.25">
      <c r="A75" s="582" t="s">
        <v>110</v>
      </c>
      <c r="B75" s="583"/>
      <c r="C75" s="584">
        <f>B80/((72*3.1415/59)*(129.67/3.281))</f>
        <v>0</v>
      </c>
      <c r="D75" s="584"/>
      <c r="E75" s="585"/>
      <c r="F75" s="582" t="s">
        <v>110</v>
      </c>
      <c r="G75" s="583"/>
      <c r="H75" s="584">
        <f t="shared" ref="H75" si="73">G80/((72*3.1415/59)*(129.67/3.281))</f>
        <v>0</v>
      </c>
      <c r="I75" s="584"/>
      <c r="J75" s="585"/>
      <c r="K75" s="582" t="s">
        <v>110</v>
      </c>
      <c r="L75" s="583"/>
      <c r="M75" s="584">
        <f t="shared" ref="M75" si="74">L80/((72*3.1415/59)*(129.67/3.281))</f>
        <v>0</v>
      </c>
      <c r="N75" s="584"/>
      <c r="O75" s="585"/>
      <c r="P75" s="582" t="s">
        <v>110</v>
      </c>
      <c r="Q75" s="583"/>
      <c r="R75" s="584">
        <f t="shared" ref="R75" si="75">Q80/((72*3.1415/59)*(129.67/3.281))</f>
        <v>0</v>
      </c>
      <c r="S75" s="584"/>
      <c r="T75" s="585"/>
      <c r="U75" s="582" t="s">
        <v>110</v>
      </c>
      <c r="V75" s="583"/>
      <c r="W75" s="584">
        <f t="shared" ref="W75" si="76">V80/((72*3.1415/59)*(129.67/3.281))</f>
        <v>0</v>
      </c>
      <c r="X75" s="584"/>
      <c r="Y75" s="585"/>
      <c r="Z75" s="582" t="s">
        <v>110</v>
      </c>
      <c r="AA75" s="583"/>
      <c r="AB75" s="584">
        <f t="shared" ref="AB75" si="77">AA80/((72*3.1415/59)*(129.67/3.281))</f>
        <v>0</v>
      </c>
      <c r="AC75" s="584"/>
      <c r="AD75" s="585"/>
      <c r="AE75" s="582" t="s">
        <v>110</v>
      </c>
      <c r="AF75" s="583"/>
      <c r="AG75" s="584">
        <f t="shared" ref="AG75" si="78">AF80/((72*3.1415/59)*(129.67/3.281))</f>
        <v>0</v>
      </c>
      <c r="AH75" s="584"/>
      <c r="AI75" s="585"/>
      <c r="AJ75" s="582" t="s">
        <v>110</v>
      </c>
      <c r="AK75" s="583"/>
      <c r="AL75" s="584">
        <f t="shared" ref="AL75" si="79">AK80/((72*3.1415/59)*(129.67/3.281))</f>
        <v>0</v>
      </c>
      <c r="AM75" s="584"/>
      <c r="AN75" s="585"/>
      <c r="AO75" s="582" t="s">
        <v>110</v>
      </c>
      <c r="AP75" s="583"/>
      <c r="AQ75" s="584">
        <f t="shared" ref="AQ75" si="80">AP80/((72*3.1415/59)*(129.67/3.281))</f>
        <v>0</v>
      </c>
      <c r="AR75" s="584"/>
      <c r="AS75" s="585"/>
      <c r="AT75" s="582" t="s">
        <v>110</v>
      </c>
      <c r="AU75" s="583"/>
      <c r="AV75" s="584">
        <f t="shared" ref="AV75" si="81">AU80/((72*3.1415/59)*(129.67/3.281))</f>
        <v>0</v>
      </c>
      <c r="AW75" s="584"/>
      <c r="AX75" s="585"/>
      <c r="AY75" s="582" t="s">
        <v>110</v>
      </c>
      <c r="AZ75" s="583"/>
      <c r="BA75" s="584">
        <f t="shared" ref="BA75" si="82">AZ80/((72*3.1415/59)*(129.67/3.281))</f>
        <v>0</v>
      </c>
      <c r="BB75" s="584"/>
      <c r="BC75" s="585"/>
      <c r="BD75" s="582" t="s">
        <v>110</v>
      </c>
      <c r="BE75" s="583"/>
      <c r="BF75" s="584">
        <f t="shared" ref="BF75" si="83">BE80/((72*3.1415/59)*(129.67/3.281))</f>
        <v>0</v>
      </c>
      <c r="BG75" s="584"/>
      <c r="BH75" s="585"/>
      <c r="BI75" s="582" t="s">
        <v>110</v>
      </c>
      <c r="BJ75" s="583"/>
      <c r="BK75" s="584">
        <f t="shared" ref="BK75" si="84">BJ80/((72*3.1415/59)*(129.67/3.281))</f>
        <v>0</v>
      </c>
      <c r="BL75" s="584"/>
      <c r="BM75" s="585"/>
      <c r="BN75" s="582" t="s">
        <v>110</v>
      </c>
      <c r="BO75" s="583"/>
      <c r="BP75" s="584">
        <f t="shared" ref="BP75" si="85">BO80/((72*3.1415/59)*(129.67/3.281))</f>
        <v>0</v>
      </c>
      <c r="BQ75" s="584"/>
      <c r="BR75" s="585"/>
      <c r="DE75" s="709"/>
      <c r="DF75" s="709"/>
      <c r="DG75" s="709"/>
      <c r="DH75" s="52"/>
      <c r="DI75" s="49"/>
      <c r="DJ75" s="49"/>
      <c r="DK75" s="49"/>
      <c r="DL75" s="49"/>
      <c r="DM75" s="49"/>
      <c r="DN75" s="49"/>
      <c r="DO75" s="49"/>
      <c r="DP75" s="49"/>
      <c r="DQ75" s="49"/>
      <c r="DR75" s="49"/>
      <c r="DS75" s="49"/>
      <c r="DT75" s="49"/>
      <c r="DU75" s="49"/>
      <c r="DV75" s="705"/>
      <c r="DW75" s="705"/>
      <c r="DX75" s="705"/>
      <c r="DY75" s="705"/>
      <c r="DZ75" s="705"/>
      <c r="EA75" s="705"/>
      <c r="EB75" s="705"/>
      <c r="EC75" s="705"/>
      <c r="ED75" s="705"/>
      <c r="EE75" s="705"/>
      <c r="EF75" s="705"/>
      <c r="EG75" s="705"/>
      <c r="EH75" s="706"/>
      <c r="EI75" s="706"/>
      <c r="EJ75" s="706"/>
      <c r="EK75" s="706"/>
      <c r="EL75" s="706"/>
      <c r="EM75" s="706"/>
      <c r="EN75" s="706"/>
      <c r="EO75" s="706"/>
      <c r="EP75" s="706"/>
      <c r="EQ75" s="706"/>
      <c r="ER75" s="706"/>
      <c r="ES75" s="707"/>
      <c r="ET75" s="707"/>
      <c r="EU75" s="707"/>
      <c r="EV75" s="707"/>
      <c r="EW75" s="707"/>
      <c r="EX75" s="707"/>
      <c r="EY75" s="707"/>
      <c r="EZ75" s="707"/>
      <c r="FA75" s="707"/>
      <c r="FB75" s="707"/>
      <c r="FC75" s="707"/>
      <c r="FD75" s="707"/>
      <c r="FE75" s="699"/>
      <c r="FF75" s="699"/>
      <c r="FG75" s="699"/>
      <c r="FH75" s="699"/>
      <c r="FI75" s="699"/>
      <c r="FJ75" s="699"/>
      <c r="FK75" s="699"/>
      <c r="FL75" s="699"/>
      <c r="FM75" s="699"/>
      <c r="FN75" s="699"/>
      <c r="FO75" s="699"/>
      <c r="FP75" s="699"/>
    </row>
    <row r="76" spans="1:172" ht="9.75" hidden="1" customHeight="1" x14ac:dyDescent="0.25">
      <c r="A76" s="679" t="s">
        <v>489</v>
      </c>
      <c r="B76" s="680"/>
      <c r="C76" s="685" t="s">
        <v>504</v>
      </c>
      <c r="D76" s="686"/>
      <c r="E76" s="687"/>
      <c r="F76" s="679" t="s">
        <v>489</v>
      </c>
      <c r="G76" s="680"/>
      <c r="H76" s="685" t="s">
        <v>504</v>
      </c>
      <c r="I76" s="686"/>
      <c r="J76" s="687"/>
      <c r="K76" s="679" t="s">
        <v>489</v>
      </c>
      <c r="L76" s="680"/>
      <c r="M76" s="685" t="s">
        <v>504</v>
      </c>
      <c r="N76" s="686"/>
      <c r="O76" s="687"/>
      <c r="P76" s="679" t="s">
        <v>489</v>
      </c>
      <c r="Q76" s="680"/>
      <c r="R76" s="685" t="s">
        <v>504</v>
      </c>
      <c r="S76" s="686"/>
      <c r="T76" s="687"/>
      <c r="U76" s="679" t="s">
        <v>489</v>
      </c>
      <c r="V76" s="680"/>
      <c r="W76" s="685" t="s">
        <v>504</v>
      </c>
      <c r="X76" s="686"/>
      <c r="Y76" s="687"/>
      <c r="Z76" s="679" t="s">
        <v>489</v>
      </c>
      <c r="AA76" s="680"/>
      <c r="AB76" s="685" t="s">
        <v>504</v>
      </c>
      <c r="AC76" s="686"/>
      <c r="AD76" s="687"/>
      <c r="AE76" s="679" t="s">
        <v>489</v>
      </c>
      <c r="AF76" s="680"/>
      <c r="AG76" s="685" t="s">
        <v>504</v>
      </c>
      <c r="AH76" s="686"/>
      <c r="AI76" s="687"/>
      <c r="AJ76" s="679" t="s">
        <v>489</v>
      </c>
      <c r="AK76" s="680"/>
      <c r="AL76" s="685" t="s">
        <v>504</v>
      </c>
      <c r="AM76" s="686"/>
      <c r="AN76" s="687"/>
      <c r="AO76" s="679" t="s">
        <v>489</v>
      </c>
      <c r="AP76" s="680"/>
      <c r="AQ76" s="685" t="s">
        <v>504</v>
      </c>
      <c r="AR76" s="686"/>
      <c r="AS76" s="687"/>
      <c r="AT76" s="679" t="s">
        <v>489</v>
      </c>
      <c r="AU76" s="680"/>
      <c r="AV76" s="685" t="s">
        <v>504</v>
      </c>
      <c r="AW76" s="686"/>
      <c r="AX76" s="687"/>
      <c r="AY76" s="679" t="s">
        <v>489</v>
      </c>
      <c r="AZ76" s="680"/>
      <c r="BA76" s="685" t="s">
        <v>504</v>
      </c>
      <c r="BB76" s="686"/>
      <c r="BC76" s="687"/>
      <c r="BD76" s="679" t="s">
        <v>489</v>
      </c>
      <c r="BE76" s="680"/>
      <c r="BF76" s="685" t="s">
        <v>504</v>
      </c>
      <c r="BG76" s="686"/>
      <c r="BH76" s="687"/>
      <c r="BI76" s="679" t="s">
        <v>489</v>
      </c>
      <c r="BJ76" s="680"/>
      <c r="BK76" s="685" t="s">
        <v>504</v>
      </c>
      <c r="BL76" s="686"/>
      <c r="BM76" s="687"/>
      <c r="BN76" s="679" t="s">
        <v>489</v>
      </c>
      <c r="BO76" s="680"/>
      <c r="BP76" s="685" t="s">
        <v>504</v>
      </c>
      <c r="BQ76" s="686"/>
      <c r="BR76" s="687"/>
    </row>
    <row r="77" spans="1:172" ht="9.75" hidden="1" customHeight="1" x14ac:dyDescent="0.25">
      <c r="A77" s="681"/>
      <c r="B77" s="682"/>
      <c r="C77" s="688"/>
      <c r="D77" s="689"/>
      <c r="E77" s="690"/>
      <c r="F77" s="681"/>
      <c r="G77" s="682"/>
      <c r="H77" s="688"/>
      <c r="I77" s="689"/>
      <c r="J77" s="690"/>
      <c r="K77" s="681"/>
      <c r="L77" s="682"/>
      <c r="M77" s="688"/>
      <c r="N77" s="689"/>
      <c r="O77" s="690"/>
      <c r="P77" s="681"/>
      <c r="Q77" s="682"/>
      <c r="R77" s="688"/>
      <c r="S77" s="689"/>
      <c r="T77" s="690"/>
      <c r="U77" s="681"/>
      <c r="V77" s="682"/>
      <c r="W77" s="688"/>
      <c r="X77" s="689"/>
      <c r="Y77" s="690"/>
      <c r="Z77" s="681"/>
      <c r="AA77" s="682"/>
      <c r="AB77" s="688"/>
      <c r="AC77" s="689"/>
      <c r="AD77" s="690"/>
      <c r="AE77" s="681"/>
      <c r="AF77" s="682"/>
      <c r="AG77" s="688"/>
      <c r="AH77" s="689"/>
      <c r="AI77" s="690"/>
      <c r="AJ77" s="681"/>
      <c r="AK77" s="682"/>
      <c r="AL77" s="688"/>
      <c r="AM77" s="689"/>
      <c r="AN77" s="690"/>
      <c r="AO77" s="681"/>
      <c r="AP77" s="682"/>
      <c r="AQ77" s="688"/>
      <c r="AR77" s="689"/>
      <c r="AS77" s="690"/>
      <c r="AT77" s="681"/>
      <c r="AU77" s="682"/>
      <c r="AV77" s="688"/>
      <c r="AW77" s="689"/>
      <c r="AX77" s="690"/>
      <c r="AY77" s="681"/>
      <c r="AZ77" s="682"/>
      <c r="BA77" s="688"/>
      <c r="BB77" s="689"/>
      <c r="BC77" s="690"/>
      <c r="BD77" s="681"/>
      <c r="BE77" s="682"/>
      <c r="BF77" s="688"/>
      <c r="BG77" s="689"/>
      <c r="BH77" s="690"/>
      <c r="BI77" s="681"/>
      <c r="BJ77" s="682"/>
      <c r="BK77" s="688"/>
      <c r="BL77" s="689"/>
      <c r="BM77" s="690"/>
      <c r="BN77" s="681"/>
      <c r="BO77" s="682"/>
      <c r="BP77" s="688"/>
      <c r="BQ77" s="689"/>
      <c r="BR77" s="690"/>
    </row>
    <row r="78" spans="1:172" ht="9.75" hidden="1" customHeight="1" x14ac:dyDescent="0.25">
      <c r="A78" s="683"/>
      <c r="B78" s="684"/>
      <c r="C78" s="691"/>
      <c r="D78" s="692"/>
      <c r="E78" s="693"/>
      <c r="F78" s="683"/>
      <c r="G78" s="684"/>
      <c r="H78" s="691"/>
      <c r="I78" s="692"/>
      <c r="J78" s="693"/>
      <c r="K78" s="683"/>
      <c r="L78" s="684"/>
      <c r="M78" s="691"/>
      <c r="N78" s="692"/>
      <c r="O78" s="693"/>
      <c r="P78" s="683"/>
      <c r="Q78" s="684"/>
      <c r="R78" s="691"/>
      <c r="S78" s="692"/>
      <c r="T78" s="693"/>
      <c r="U78" s="683"/>
      <c r="V78" s="684"/>
      <c r="W78" s="691"/>
      <c r="X78" s="692"/>
      <c r="Y78" s="693"/>
      <c r="Z78" s="683"/>
      <c r="AA78" s="684"/>
      <c r="AB78" s="691"/>
      <c r="AC78" s="692"/>
      <c r="AD78" s="693"/>
      <c r="AE78" s="683"/>
      <c r="AF78" s="684"/>
      <c r="AG78" s="691"/>
      <c r="AH78" s="692"/>
      <c r="AI78" s="693"/>
      <c r="AJ78" s="683"/>
      <c r="AK78" s="684"/>
      <c r="AL78" s="691"/>
      <c r="AM78" s="692"/>
      <c r="AN78" s="693"/>
      <c r="AO78" s="683"/>
      <c r="AP78" s="684"/>
      <c r="AQ78" s="691"/>
      <c r="AR78" s="692"/>
      <c r="AS78" s="693"/>
      <c r="AT78" s="683"/>
      <c r="AU78" s="684"/>
      <c r="AV78" s="691"/>
      <c r="AW78" s="692"/>
      <c r="AX78" s="693"/>
      <c r="AY78" s="683"/>
      <c r="AZ78" s="684"/>
      <c r="BA78" s="691"/>
      <c r="BB78" s="692"/>
      <c r="BC78" s="693"/>
      <c r="BD78" s="683"/>
      <c r="BE78" s="684"/>
      <c r="BF78" s="691"/>
      <c r="BG78" s="692"/>
      <c r="BH78" s="693"/>
      <c r="BI78" s="683"/>
      <c r="BJ78" s="684"/>
      <c r="BK78" s="691"/>
      <c r="BL78" s="692"/>
      <c r="BM78" s="693"/>
      <c r="BN78" s="683"/>
      <c r="BO78" s="684"/>
      <c r="BP78" s="691"/>
      <c r="BQ78" s="692"/>
      <c r="BR78" s="693"/>
    </row>
    <row r="79" spans="1:172" s="22" customFormat="1" ht="111.75" hidden="1" customHeight="1" x14ac:dyDescent="1.35">
      <c r="A79" s="1470" t="s">
        <v>500</v>
      </c>
      <c r="B79" s="694"/>
      <c r="C79" s="695"/>
      <c r="D79" s="695"/>
      <c r="E79" s="696"/>
      <c r="F79" s="1470" t="s">
        <v>500</v>
      </c>
      <c r="G79" s="694"/>
      <c r="H79" s="695"/>
      <c r="I79" s="695"/>
      <c r="J79" s="696"/>
      <c r="K79" s="1470" t="s">
        <v>500</v>
      </c>
      <c r="L79" s="694"/>
      <c r="M79" s="695"/>
      <c r="N79" s="695"/>
      <c r="O79" s="696"/>
      <c r="P79" s="1470" t="s">
        <v>500</v>
      </c>
      <c r="Q79" s="694"/>
      <c r="R79" s="695"/>
      <c r="S79" s="695"/>
      <c r="T79" s="696"/>
      <c r="U79" s="1470" t="s">
        <v>500</v>
      </c>
      <c r="V79" s="694"/>
      <c r="W79" s="695"/>
      <c r="X79" s="695"/>
      <c r="Y79" s="696"/>
      <c r="Z79" s="1470" t="s">
        <v>500</v>
      </c>
      <c r="AA79" s="694"/>
      <c r="AB79" s="695"/>
      <c r="AC79" s="695"/>
      <c r="AD79" s="696"/>
      <c r="AE79" s="1470" t="s">
        <v>500</v>
      </c>
      <c r="AF79" s="694"/>
      <c r="AG79" s="695"/>
      <c r="AH79" s="695"/>
      <c r="AI79" s="696"/>
      <c r="AJ79" s="1470" t="s">
        <v>500</v>
      </c>
      <c r="AK79" s="694"/>
      <c r="AL79" s="695"/>
      <c r="AM79" s="695"/>
      <c r="AN79" s="696"/>
      <c r="AO79" s="1470" t="s">
        <v>500</v>
      </c>
      <c r="AP79" s="694"/>
      <c r="AQ79" s="695"/>
      <c r="AR79" s="695"/>
      <c r="AS79" s="696"/>
      <c r="AT79" s="1470" t="s">
        <v>500</v>
      </c>
      <c r="AU79" s="694"/>
      <c r="AV79" s="695"/>
      <c r="AW79" s="695"/>
      <c r="AX79" s="696"/>
      <c r="AY79" s="1470" t="s">
        <v>500</v>
      </c>
      <c r="AZ79" s="694"/>
      <c r="BA79" s="695"/>
      <c r="BB79" s="695"/>
      <c r="BC79" s="696"/>
      <c r="BD79" s="1470" t="s">
        <v>500</v>
      </c>
      <c r="BE79" s="694"/>
      <c r="BF79" s="695"/>
      <c r="BG79" s="695"/>
      <c r="BH79" s="696"/>
      <c r="BI79" s="586" t="s">
        <v>500</v>
      </c>
      <c r="BJ79" s="694"/>
      <c r="BK79" s="695"/>
      <c r="BL79" s="695"/>
      <c r="BM79" s="696"/>
      <c r="BN79" s="586" t="s">
        <v>500</v>
      </c>
      <c r="BO79" s="694"/>
      <c r="BP79" s="695"/>
      <c r="BQ79" s="695"/>
      <c r="BR79" s="696"/>
    </row>
    <row r="80" spans="1:172" ht="50.25" hidden="1" customHeight="1" thickBot="1" x14ac:dyDescent="0.3">
      <c r="A80" s="1471"/>
      <c r="B80" s="334"/>
      <c r="C80" s="335" t="s">
        <v>113</v>
      </c>
      <c r="D80" s="336"/>
      <c r="E80" s="337" t="s">
        <v>114</v>
      </c>
      <c r="F80" s="1471"/>
      <c r="G80" s="334"/>
      <c r="H80" s="335" t="s">
        <v>113</v>
      </c>
      <c r="I80" s="336"/>
      <c r="J80" s="337" t="s">
        <v>114</v>
      </c>
      <c r="K80" s="1471"/>
      <c r="L80" s="334"/>
      <c r="M80" s="335" t="s">
        <v>113</v>
      </c>
      <c r="N80" s="336"/>
      <c r="O80" s="337" t="s">
        <v>114</v>
      </c>
      <c r="P80" s="1471"/>
      <c r="Q80" s="334"/>
      <c r="R80" s="335" t="s">
        <v>113</v>
      </c>
      <c r="S80" s="336"/>
      <c r="T80" s="337" t="s">
        <v>114</v>
      </c>
      <c r="U80" s="1471"/>
      <c r="V80" s="334"/>
      <c r="W80" s="335" t="s">
        <v>113</v>
      </c>
      <c r="X80" s="336"/>
      <c r="Y80" s="337" t="s">
        <v>114</v>
      </c>
      <c r="Z80" s="1471"/>
      <c r="AA80" s="334"/>
      <c r="AB80" s="335" t="s">
        <v>113</v>
      </c>
      <c r="AC80" s="336"/>
      <c r="AD80" s="337" t="s">
        <v>114</v>
      </c>
      <c r="AE80" s="1471"/>
      <c r="AF80" s="334"/>
      <c r="AG80" s="335" t="s">
        <v>113</v>
      </c>
      <c r="AH80" s="336"/>
      <c r="AI80" s="337" t="s">
        <v>114</v>
      </c>
      <c r="AJ80" s="1471"/>
      <c r="AK80" s="334"/>
      <c r="AL80" s="335" t="s">
        <v>113</v>
      </c>
      <c r="AM80" s="336"/>
      <c r="AN80" s="337" t="s">
        <v>114</v>
      </c>
      <c r="AO80" s="1471"/>
      <c r="AP80" s="334"/>
      <c r="AQ80" s="335" t="s">
        <v>113</v>
      </c>
      <c r="AR80" s="336"/>
      <c r="AS80" s="337" t="s">
        <v>114</v>
      </c>
      <c r="AT80" s="1471"/>
      <c r="AU80" s="334"/>
      <c r="AV80" s="335" t="s">
        <v>113</v>
      </c>
      <c r="AW80" s="336"/>
      <c r="AX80" s="337" t="s">
        <v>114</v>
      </c>
      <c r="AY80" s="1471"/>
      <c r="AZ80" s="334"/>
      <c r="BA80" s="335" t="s">
        <v>113</v>
      </c>
      <c r="BB80" s="336"/>
      <c r="BC80" s="337" t="s">
        <v>114</v>
      </c>
      <c r="BD80" s="1471"/>
      <c r="BE80" s="334"/>
      <c r="BF80" s="335" t="s">
        <v>113</v>
      </c>
      <c r="BG80" s="336"/>
      <c r="BH80" s="337" t="s">
        <v>114</v>
      </c>
      <c r="BI80" s="587"/>
      <c r="BJ80" s="334"/>
      <c r="BK80" s="335" t="s">
        <v>113</v>
      </c>
      <c r="BL80" s="336"/>
      <c r="BM80" s="337" t="s">
        <v>114</v>
      </c>
      <c r="BN80" s="587"/>
      <c r="BO80" s="334"/>
      <c r="BP80" s="335" t="s">
        <v>113</v>
      </c>
      <c r="BQ80" s="336"/>
      <c r="BR80" s="337" t="s">
        <v>114</v>
      </c>
    </row>
    <row r="81" spans="1:70" ht="53.25" hidden="1" customHeight="1" thickTop="1" x14ac:dyDescent="0.25">
      <c r="A81" s="582" t="s">
        <v>110</v>
      </c>
      <c r="B81" s="583"/>
      <c r="C81" s="584">
        <f t="shared" ref="C81" si="86">B86/((72*3.1415/59)*(129.67/3.281))</f>
        <v>0</v>
      </c>
      <c r="D81" s="584"/>
      <c r="E81" s="585"/>
      <c r="F81" s="582" t="s">
        <v>110</v>
      </c>
      <c r="G81" s="583"/>
      <c r="H81" s="584">
        <f t="shared" ref="H81" si="87">G86/((72*3.1415/59)*(129.67/3.281))</f>
        <v>0</v>
      </c>
      <c r="I81" s="584"/>
      <c r="J81" s="585"/>
      <c r="K81" s="582" t="s">
        <v>110</v>
      </c>
      <c r="L81" s="583"/>
      <c r="M81" s="584">
        <f t="shared" ref="M81" si="88">L86/((72*3.1415/59)*(129.67/3.281))</f>
        <v>0</v>
      </c>
      <c r="N81" s="584"/>
      <c r="O81" s="585"/>
      <c r="P81" s="582" t="s">
        <v>110</v>
      </c>
      <c r="Q81" s="583"/>
      <c r="R81" s="584">
        <f t="shared" ref="R81" si="89">Q86/((72*3.1415/59)*(129.67/3.281))</f>
        <v>0</v>
      </c>
      <c r="S81" s="584"/>
      <c r="T81" s="585"/>
      <c r="U81" s="582" t="s">
        <v>110</v>
      </c>
      <c r="V81" s="583"/>
      <c r="W81" s="584">
        <f t="shared" ref="W81" si="90">V86/((72*3.1415/59)*(129.67/3.281))</f>
        <v>0</v>
      </c>
      <c r="X81" s="584"/>
      <c r="Y81" s="585"/>
      <c r="Z81" s="582" t="s">
        <v>110</v>
      </c>
      <c r="AA81" s="583"/>
      <c r="AB81" s="584">
        <f t="shared" ref="AB81" si="91">AA86/((72*3.1415/59)*(129.67/3.281))</f>
        <v>0</v>
      </c>
      <c r="AC81" s="584"/>
      <c r="AD81" s="585"/>
      <c r="AE81" s="582" t="s">
        <v>110</v>
      </c>
      <c r="AF81" s="583"/>
      <c r="AG81" s="584">
        <f t="shared" ref="AG81" si="92">AF86/((72*3.1415/59)*(129.67/3.281))</f>
        <v>0</v>
      </c>
      <c r="AH81" s="584"/>
      <c r="AI81" s="585"/>
      <c r="AJ81" s="582" t="s">
        <v>110</v>
      </c>
      <c r="AK81" s="583"/>
      <c r="AL81" s="584">
        <f t="shared" ref="AL81" si="93">AK86/((72*3.1415/59)*(129.67/3.281))</f>
        <v>0</v>
      </c>
      <c r="AM81" s="584"/>
      <c r="AN81" s="585"/>
      <c r="AO81" s="582" t="s">
        <v>110</v>
      </c>
      <c r="AP81" s="583"/>
      <c r="AQ81" s="584">
        <f t="shared" ref="AQ81" si="94">AP86/((72*3.1415/59)*(129.67/3.281))</f>
        <v>0</v>
      </c>
      <c r="AR81" s="584"/>
      <c r="AS81" s="585"/>
      <c r="AT81" s="582" t="s">
        <v>110</v>
      </c>
      <c r="AU81" s="583"/>
      <c r="AV81" s="584">
        <f t="shared" ref="AV81" si="95">AU86/((72*3.1415/59)*(129.67/3.281))</f>
        <v>0</v>
      </c>
      <c r="AW81" s="584"/>
      <c r="AX81" s="585"/>
      <c r="AY81" s="582" t="s">
        <v>110</v>
      </c>
      <c r="AZ81" s="583"/>
      <c r="BA81" s="584">
        <f t="shared" ref="BA81" si="96">AZ86/((72*3.1415/59)*(129.67/3.281))</f>
        <v>0</v>
      </c>
      <c r="BB81" s="584"/>
      <c r="BC81" s="585"/>
      <c r="BD81" s="582" t="s">
        <v>110</v>
      </c>
      <c r="BE81" s="583"/>
      <c r="BF81" s="584">
        <f t="shared" ref="BF81" si="97">BE86/((72*3.1415/59)*(129.67/3.281))</f>
        <v>0</v>
      </c>
      <c r="BG81" s="584"/>
      <c r="BH81" s="585"/>
      <c r="BI81" s="582" t="s">
        <v>110</v>
      </c>
      <c r="BJ81" s="583"/>
      <c r="BK81" s="584">
        <f t="shared" ref="BK81" si="98">BJ86/((72*3.1415/59)*(129.67/3.281))</f>
        <v>0</v>
      </c>
      <c r="BL81" s="584"/>
      <c r="BM81" s="585"/>
      <c r="BN81" s="582" t="s">
        <v>110</v>
      </c>
      <c r="BO81" s="583"/>
      <c r="BP81" s="584">
        <f t="shared" ref="BP81" si="99">BO86/((72*3.1415/59)*(129.67/3.281))</f>
        <v>0</v>
      </c>
      <c r="BQ81" s="584"/>
      <c r="BR81" s="585"/>
    </row>
    <row r="82" spans="1:70" ht="15.75" hidden="1" customHeight="1" x14ac:dyDescent="0.25">
      <c r="A82" s="679" t="s">
        <v>489</v>
      </c>
      <c r="B82" s="680"/>
      <c r="C82" s="685" t="s">
        <v>504</v>
      </c>
      <c r="D82" s="686"/>
      <c r="E82" s="687"/>
      <c r="F82" s="679" t="s">
        <v>489</v>
      </c>
      <c r="G82" s="680"/>
      <c r="H82" s="685" t="s">
        <v>504</v>
      </c>
      <c r="I82" s="686"/>
      <c r="J82" s="687"/>
      <c r="K82" s="679" t="s">
        <v>489</v>
      </c>
      <c r="L82" s="680"/>
      <c r="M82" s="685" t="s">
        <v>504</v>
      </c>
      <c r="N82" s="686"/>
      <c r="O82" s="687"/>
      <c r="P82" s="679" t="s">
        <v>489</v>
      </c>
      <c r="Q82" s="680"/>
      <c r="R82" s="685" t="s">
        <v>504</v>
      </c>
      <c r="S82" s="686"/>
      <c r="T82" s="687"/>
      <c r="U82" s="679" t="s">
        <v>489</v>
      </c>
      <c r="V82" s="680"/>
      <c r="W82" s="685" t="s">
        <v>504</v>
      </c>
      <c r="X82" s="686"/>
      <c r="Y82" s="687"/>
      <c r="Z82" s="679" t="s">
        <v>489</v>
      </c>
      <c r="AA82" s="680"/>
      <c r="AB82" s="685" t="s">
        <v>504</v>
      </c>
      <c r="AC82" s="686"/>
      <c r="AD82" s="687"/>
      <c r="AE82" s="679" t="s">
        <v>489</v>
      </c>
      <c r="AF82" s="680"/>
      <c r="AG82" s="685" t="s">
        <v>504</v>
      </c>
      <c r="AH82" s="686"/>
      <c r="AI82" s="687"/>
      <c r="AJ82" s="679" t="s">
        <v>489</v>
      </c>
      <c r="AK82" s="680"/>
      <c r="AL82" s="685" t="s">
        <v>504</v>
      </c>
      <c r="AM82" s="686"/>
      <c r="AN82" s="687"/>
      <c r="AO82" s="679" t="s">
        <v>489</v>
      </c>
      <c r="AP82" s="680"/>
      <c r="AQ82" s="685" t="s">
        <v>504</v>
      </c>
      <c r="AR82" s="686"/>
      <c r="AS82" s="687"/>
      <c r="AT82" s="679" t="s">
        <v>489</v>
      </c>
      <c r="AU82" s="680"/>
      <c r="AV82" s="685" t="s">
        <v>504</v>
      </c>
      <c r="AW82" s="686"/>
      <c r="AX82" s="687"/>
      <c r="AY82" s="679" t="s">
        <v>489</v>
      </c>
      <c r="AZ82" s="680"/>
      <c r="BA82" s="685" t="s">
        <v>504</v>
      </c>
      <c r="BB82" s="686"/>
      <c r="BC82" s="687"/>
      <c r="BD82" s="679" t="s">
        <v>489</v>
      </c>
      <c r="BE82" s="680"/>
      <c r="BF82" s="685" t="s">
        <v>504</v>
      </c>
      <c r="BG82" s="686"/>
      <c r="BH82" s="687"/>
      <c r="BI82" s="679" t="s">
        <v>489</v>
      </c>
      <c r="BJ82" s="680"/>
      <c r="BK82" s="685" t="s">
        <v>504</v>
      </c>
      <c r="BL82" s="686"/>
      <c r="BM82" s="687"/>
      <c r="BN82" s="679" t="s">
        <v>489</v>
      </c>
      <c r="BO82" s="680"/>
      <c r="BP82" s="685" t="s">
        <v>504</v>
      </c>
      <c r="BQ82" s="686"/>
      <c r="BR82" s="687"/>
    </row>
    <row r="83" spans="1:70" ht="12" hidden="1" customHeight="1" x14ac:dyDescent="0.25">
      <c r="A83" s="681"/>
      <c r="B83" s="682"/>
      <c r="C83" s="688"/>
      <c r="D83" s="689"/>
      <c r="E83" s="690"/>
      <c r="F83" s="681"/>
      <c r="G83" s="682"/>
      <c r="H83" s="688"/>
      <c r="I83" s="689"/>
      <c r="J83" s="690"/>
      <c r="K83" s="681"/>
      <c r="L83" s="682"/>
      <c r="M83" s="688"/>
      <c r="N83" s="689"/>
      <c r="O83" s="690"/>
      <c r="P83" s="681"/>
      <c r="Q83" s="682"/>
      <c r="R83" s="688"/>
      <c r="S83" s="689"/>
      <c r="T83" s="690"/>
      <c r="U83" s="681"/>
      <c r="V83" s="682"/>
      <c r="W83" s="688"/>
      <c r="X83" s="689"/>
      <c r="Y83" s="690"/>
      <c r="Z83" s="681"/>
      <c r="AA83" s="682"/>
      <c r="AB83" s="688"/>
      <c r="AC83" s="689"/>
      <c r="AD83" s="690"/>
      <c r="AE83" s="681"/>
      <c r="AF83" s="682"/>
      <c r="AG83" s="688"/>
      <c r="AH83" s="689"/>
      <c r="AI83" s="690"/>
      <c r="AJ83" s="681"/>
      <c r="AK83" s="682"/>
      <c r="AL83" s="688"/>
      <c r="AM83" s="689"/>
      <c r="AN83" s="690"/>
      <c r="AO83" s="681"/>
      <c r="AP83" s="682"/>
      <c r="AQ83" s="688"/>
      <c r="AR83" s="689"/>
      <c r="AS83" s="690"/>
      <c r="AT83" s="681"/>
      <c r="AU83" s="682"/>
      <c r="AV83" s="688"/>
      <c r="AW83" s="689"/>
      <c r="AX83" s="690"/>
      <c r="AY83" s="681"/>
      <c r="AZ83" s="682"/>
      <c r="BA83" s="688"/>
      <c r="BB83" s="689"/>
      <c r="BC83" s="690"/>
      <c r="BD83" s="681"/>
      <c r="BE83" s="682"/>
      <c r="BF83" s="688"/>
      <c r="BG83" s="689"/>
      <c r="BH83" s="690"/>
      <c r="BI83" s="681"/>
      <c r="BJ83" s="682"/>
      <c r="BK83" s="688"/>
      <c r="BL83" s="689"/>
      <c r="BM83" s="690"/>
      <c r="BN83" s="681"/>
      <c r="BO83" s="682"/>
      <c r="BP83" s="688"/>
      <c r="BQ83" s="689"/>
      <c r="BR83" s="690"/>
    </row>
    <row r="84" spans="1:70" ht="15" hidden="1" customHeight="1" x14ac:dyDescent="0.25">
      <c r="A84" s="683"/>
      <c r="B84" s="684"/>
      <c r="C84" s="691"/>
      <c r="D84" s="692"/>
      <c r="E84" s="693"/>
      <c r="F84" s="683"/>
      <c r="G84" s="684"/>
      <c r="H84" s="691"/>
      <c r="I84" s="692"/>
      <c r="J84" s="693"/>
      <c r="K84" s="683"/>
      <c r="L84" s="684"/>
      <c r="M84" s="691"/>
      <c r="N84" s="692"/>
      <c r="O84" s="693"/>
      <c r="P84" s="683"/>
      <c r="Q84" s="684"/>
      <c r="R84" s="691"/>
      <c r="S84" s="692"/>
      <c r="T84" s="693"/>
      <c r="U84" s="683"/>
      <c r="V84" s="684"/>
      <c r="W84" s="691"/>
      <c r="X84" s="692"/>
      <c r="Y84" s="693"/>
      <c r="Z84" s="683"/>
      <c r="AA84" s="684"/>
      <c r="AB84" s="691"/>
      <c r="AC84" s="692"/>
      <c r="AD84" s="693"/>
      <c r="AE84" s="683"/>
      <c r="AF84" s="684"/>
      <c r="AG84" s="691"/>
      <c r="AH84" s="692"/>
      <c r="AI84" s="693"/>
      <c r="AJ84" s="683"/>
      <c r="AK84" s="684"/>
      <c r="AL84" s="691"/>
      <c r="AM84" s="692"/>
      <c r="AN84" s="693"/>
      <c r="AO84" s="683"/>
      <c r="AP84" s="684"/>
      <c r="AQ84" s="691"/>
      <c r="AR84" s="692"/>
      <c r="AS84" s="693"/>
      <c r="AT84" s="683"/>
      <c r="AU84" s="684"/>
      <c r="AV84" s="691"/>
      <c r="AW84" s="692"/>
      <c r="AX84" s="693"/>
      <c r="AY84" s="683"/>
      <c r="AZ84" s="684"/>
      <c r="BA84" s="691"/>
      <c r="BB84" s="692"/>
      <c r="BC84" s="693"/>
      <c r="BD84" s="683"/>
      <c r="BE84" s="684"/>
      <c r="BF84" s="691"/>
      <c r="BG84" s="692"/>
      <c r="BH84" s="693"/>
      <c r="BI84" s="683"/>
      <c r="BJ84" s="684"/>
      <c r="BK84" s="691"/>
      <c r="BL84" s="692"/>
      <c r="BM84" s="693"/>
      <c r="BN84" s="683"/>
      <c r="BO84" s="684"/>
      <c r="BP84" s="691"/>
      <c r="BQ84" s="692"/>
      <c r="BR84" s="693"/>
    </row>
    <row r="85" spans="1:70" s="22" customFormat="1" ht="111.75" hidden="1" customHeight="1" x14ac:dyDescent="1.35">
      <c r="A85" s="1470" t="s">
        <v>500</v>
      </c>
      <c r="B85" s="694"/>
      <c r="C85" s="695"/>
      <c r="D85" s="695"/>
      <c r="E85" s="696"/>
      <c r="F85" s="1470" t="s">
        <v>500</v>
      </c>
      <c r="G85" s="694"/>
      <c r="H85" s="695"/>
      <c r="I85" s="695"/>
      <c r="J85" s="696"/>
      <c r="K85" s="1470" t="s">
        <v>500</v>
      </c>
      <c r="L85" s="694"/>
      <c r="M85" s="695"/>
      <c r="N85" s="695"/>
      <c r="O85" s="696"/>
      <c r="P85" s="1470" t="s">
        <v>500</v>
      </c>
      <c r="Q85" s="694"/>
      <c r="R85" s="695"/>
      <c r="S85" s="695"/>
      <c r="T85" s="696"/>
      <c r="U85" s="1470" t="s">
        <v>500</v>
      </c>
      <c r="V85" s="694"/>
      <c r="W85" s="695"/>
      <c r="X85" s="695"/>
      <c r="Y85" s="696"/>
      <c r="Z85" s="1470" t="s">
        <v>500</v>
      </c>
      <c r="AA85" s="694"/>
      <c r="AB85" s="695"/>
      <c r="AC85" s="695"/>
      <c r="AD85" s="696"/>
      <c r="AE85" s="1470" t="s">
        <v>500</v>
      </c>
      <c r="AF85" s="694"/>
      <c r="AG85" s="695"/>
      <c r="AH85" s="695"/>
      <c r="AI85" s="696"/>
      <c r="AJ85" s="1470" t="s">
        <v>500</v>
      </c>
      <c r="AK85" s="694"/>
      <c r="AL85" s="695"/>
      <c r="AM85" s="695"/>
      <c r="AN85" s="696"/>
      <c r="AO85" s="1470" t="s">
        <v>500</v>
      </c>
      <c r="AP85" s="694"/>
      <c r="AQ85" s="695"/>
      <c r="AR85" s="695"/>
      <c r="AS85" s="696"/>
      <c r="AT85" s="1470" t="s">
        <v>500</v>
      </c>
      <c r="AU85" s="694"/>
      <c r="AV85" s="695"/>
      <c r="AW85" s="695"/>
      <c r="AX85" s="696"/>
      <c r="AY85" s="1470" t="s">
        <v>500</v>
      </c>
      <c r="AZ85" s="694"/>
      <c r="BA85" s="695"/>
      <c r="BB85" s="695"/>
      <c r="BC85" s="696"/>
      <c r="BD85" s="1470" t="s">
        <v>500</v>
      </c>
      <c r="BE85" s="694"/>
      <c r="BF85" s="695"/>
      <c r="BG85" s="695"/>
      <c r="BH85" s="696"/>
      <c r="BI85" s="586" t="s">
        <v>500</v>
      </c>
      <c r="BJ85" s="694"/>
      <c r="BK85" s="695"/>
      <c r="BL85" s="695"/>
      <c r="BM85" s="696"/>
      <c r="BN85" s="586" t="s">
        <v>500</v>
      </c>
      <c r="BO85" s="694"/>
      <c r="BP85" s="695"/>
      <c r="BQ85" s="695"/>
      <c r="BR85" s="696"/>
    </row>
    <row r="86" spans="1:70" ht="50.25" hidden="1" customHeight="1" thickBot="1" x14ac:dyDescent="0.3">
      <c r="A86" s="1471"/>
      <c r="B86" s="334"/>
      <c r="C86" s="335" t="s">
        <v>113</v>
      </c>
      <c r="D86" s="336"/>
      <c r="E86" s="337" t="s">
        <v>114</v>
      </c>
      <c r="F86" s="1471"/>
      <c r="G86" s="334"/>
      <c r="H86" s="335" t="s">
        <v>113</v>
      </c>
      <c r="I86" s="336"/>
      <c r="J86" s="337" t="s">
        <v>114</v>
      </c>
      <c r="K86" s="1471"/>
      <c r="L86" s="334"/>
      <c r="M86" s="335" t="s">
        <v>113</v>
      </c>
      <c r="N86" s="336"/>
      <c r="O86" s="337" t="s">
        <v>114</v>
      </c>
      <c r="P86" s="1471"/>
      <c r="Q86" s="334"/>
      <c r="R86" s="335" t="s">
        <v>113</v>
      </c>
      <c r="S86" s="336"/>
      <c r="T86" s="337" t="s">
        <v>114</v>
      </c>
      <c r="U86" s="1471"/>
      <c r="V86" s="334"/>
      <c r="W86" s="335" t="s">
        <v>113</v>
      </c>
      <c r="X86" s="336"/>
      <c r="Y86" s="337" t="s">
        <v>114</v>
      </c>
      <c r="Z86" s="1471"/>
      <c r="AA86" s="334"/>
      <c r="AB86" s="335" t="s">
        <v>113</v>
      </c>
      <c r="AC86" s="336"/>
      <c r="AD86" s="337" t="s">
        <v>114</v>
      </c>
      <c r="AE86" s="1471"/>
      <c r="AF86" s="334"/>
      <c r="AG86" s="335" t="s">
        <v>113</v>
      </c>
      <c r="AH86" s="336"/>
      <c r="AI86" s="337" t="s">
        <v>114</v>
      </c>
      <c r="AJ86" s="1471"/>
      <c r="AK86" s="334"/>
      <c r="AL86" s="335" t="s">
        <v>113</v>
      </c>
      <c r="AM86" s="336"/>
      <c r="AN86" s="337" t="s">
        <v>114</v>
      </c>
      <c r="AO86" s="1471"/>
      <c r="AP86" s="334"/>
      <c r="AQ86" s="335" t="s">
        <v>113</v>
      </c>
      <c r="AR86" s="336"/>
      <c r="AS86" s="337" t="s">
        <v>114</v>
      </c>
      <c r="AT86" s="1471"/>
      <c r="AU86" s="334"/>
      <c r="AV86" s="335" t="s">
        <v>113</v>
      </c>
      <c r="AW86" s="336"/>
      <c r="AX86" s="337" t="s">
        <v>114</v>
      </c>
      <c r="AY86" s="1471"/>
      <c r="AZ86" s="334"/>
      <c r="BA86" s="335" t="s">
        <v>113</v>
      </c>
      <c r="BB86" s="336"/>
      <c r="BC86" s="337" t="s">
        <v>114</v>
      </c>
      <c r="BD86" s="1471"/>
      <c r="BE86" s="334"/>
      <c r="BF86" s="335" t="s">
        <v>113</v>
      </c>
      <c r="BG86" s="336"/>
      <c r="BH86" s="337" t="s">
        <v>114</v>
      </c>
      <c r="BI86" s="587"/>
      <c r="BJ86" s="334"/>
      <c r="BK86" s="335" t="s">
        <v>113</v>
      </c>
      <c r="BL86" s="336"/>
      <c r="BM86" s="337" t="s">
        <v>114</v>
      </c>
      <c r="BN86" s="587"/>
      <c r="BO86" s="334"/>
      <c r="BP86" s="335" t="s">
        <v>113</v>
      </c>
      <c r="BQ86" s="336"/>
      <c r="BR86" s="337" t="s">
        <v>114</v>
      </c>
    </row>
    <row r="87" spans="1:70" ht="53.25" hidden="1" customHeight="1" thickTop="1" x14ac:dyDescent="0.25">
      <c r="A87" s="582" t="s">
        <v>110</v>
      </c>
      <c r="B87" s="583"/>
      <c r="C87" s="584">
        <f t="shared" ref="C87" si="100">B92/((72*3.1415/59)*(129.67/3.281))</f>
        <v>0</v>
      </c>
      <c r="D87" s="584"/>
      <c r="E87" s="585"/>
      <c r="F87" s="582" t="s">
        <v>110</v>
      </c>
      <c r="G87" s="583"/>
      <c r="H87" s="584">
        <f t="shared" ref="H87" si="101">G92/((72*3.1415/59)*(129.67/3.281))</f>
        <v>0</v>
      </c>
      <c r="I87" s="584"/>
      <c r="J87" s="585"/>
      <c r="K87" s="582" t="s">
        <v>110</v>
      </c>
      <c r="L87" s="583"/>
      <c r="M87" s="584">
        <f t="shared" ref="M87" si="102">L92/((72*3.1415/59)*(129.67/3.281))</f>
        <v>0</v>
      </c>
      <c r="N87" s="584"/>
      <c r="O87" s="585"/>
      <c r="P87" s="582" t="s">
        <v>110</v>
      </c>
      <c r="Q87" s="583"/>
      <c r="R87" s="584">
        <f t="shared" ref="R87" si="103">Q92/((72*3.1415/59)*(129.67/3.281))</f>
        <v>0</v>
      </c>
      <c r="S87" s="584"/>
      <c r="T87" s="585"/>
      <c r="U87" s="582" t="s">
        <v>110</v>
      </c>
      <c r="V87" s="583"/>
      <c r="W87" s="584">
        <f t="shared" ref="W87" si="104">V92/((72*3.1415/59)*(129.67/3.281))</f>
        <v>0</v>
      </c>
      <c r="X87" s="584"/>
      <c r="Y87" s="585"/>
      <c r="Z87" s="582" t="s">
        <v>110</v>
      </c>
      <c r="AA87" s="583"/>
      <c r="AB87" s="584">
        <f t="shared" ref="AB87" si="105">AA92/((72*3.1415/59)*(129.67/3.281))</f>
        <v>0</v>
      </c>
      <c r="AC87" s="584"/>
      <c r="AD87" s="585"/>
      <c r="AE87" s="582" t="s">
        <v>110</v>
      </c>
      <c r="AF87" s="583"/>
      <c r="AG87" s="584">
        <f t="shared" ref="AG87" si="106">AF92/((72*3.1415/59)*(129.67/3.281))</f>
        <v>0</v>
      </c>
      <c r="AH87" s="584"/>
      <c r="AI87" s="585"/>
      <c r="AJ87" s="582" t="s">
        <v>110</v>
      </c>
      <c r="AK87" s="583"/>
      <c r="AL87" s="584">
        <f t="shared" ref="AL87" si="107">AK92/((72*3.1415/59)*(129.67/3.281))</f>
        <v>0</v>
      </c>
      <c r="AM87" s="584"/>
      <c r="AN87" s="585"/>
      <c r="AO87" s="582" t="s">
        <v>110</v>
      </c>
      <c r="AP87" s="583"/>
      <c r="AQ87" s="584">
        <f t="shared" ref="AQ87" si="108">AP92/((72*3.1415/59)*(129.67/3.281))</f>
        <v>0</v>
      </c>
      <c r="AR87" s="584"/>
      <c r="AS87" s="585"/>
      <c r="AT87" s="582" t="s">
        <v>110</v>
      </c>
      <c r="AU87" s="583"/>
      <c r="AV87" s="584">
        <f t="shared" ref="AV87" si="109">AU92/((72*3.1415/59)*(129.67/3.281))</f>
        <v>0</v>
      </c>
      <c r="AW87" s="584"/>
      <c r="AX87" s="585"/>
      <c r="AY87" s="582" t="s">
        <v>110</v>
      </c>
      <c r="AZ87" s="583"/>
      <c r="BA87" s="584">
        <f t="shared" ref="BA87" si="110">AZ92/((72*3.1415/59)*(129.67/3.281))</f>
        <v>0</v>
      </c>
      <c r="BB87" s="584"/>
      <c r="BC87" s="585"/>
      <c r="BD87" s="582" t="s">
        <v>110</v>
      </c>
      <c r="BE87" s="583"/>
      <c r="BF87" s="584">
        <f t="shared" ref="BF87" si="111">BE92/((72*3.1415/59)*(129.67/3.281))</f>
        <v>0</v>
      </c>
      <c r="BG87" s="584"/>
      <c r="BH87" s="585"/>
      <c r="BI87" s="582" t="s">
        <v>110</v>
      </c>
      <c r="BJ87" s="583"/>
      <c r="BK87" s="584">
        <f t="shared" ref="BK87" si="112">BJ92/((72*3.1415/59)*(129.67/3.281))</f>
        <v>0</v>
      </c>
      <c r="BL87" s="584"/>
      <c r="BM87" s="585"/>
      <c r="BN87" s="582" t="s">
        <v>110</v>
      </c>
      <c r="BO87" s="583"/>
      <c r="BP87" s="584">
        <f t="shared" ref="BP87" si="113">BO92/((72*3.1415/59)*(129.67/3.281))</f>
        <v>0</v>
      </c>
      <c r="BQ87" s="584"/>
      <c r="BR87" s="585"/>
    </row>
    <row r="88" spans="1:70" ht="15" hidden="1" customHeight="1" x14ac:dyDescent="0.25">
      <c r="A88" s="679" t="s">
        <v>489</v>
      </c>
      <c r="B88" s="680"/>
      <c r="C88" s="685" t="s">
        <v>504</v>
      </c>
      <c r="D88" s="686"/>
      <c r="E88" s="687"/>
      <c r="F88" s="679" t="s">
        <v>489</v>
      </c>
      <c r="G88" s="680"/>
      <c r="H88" s="685" t="s">
        <v>504</v>
      </c>
      <c r="I88" s="686"/>
      <c r="J88" s="687"/>
      <c r="K88" s="679" t="s">
        <v>489</v>
      </c>
      <c r="L88" s="680"/>
      <c r="M88" s="685" t="s">
        <v>504</v>
      </c>
      <c r="N88" s="686"/>
      <c r="O88" s="687"/>
      <c r="P88" s="679" t="s">
        <v>489</v>
      </c>
      <c r="Q88" s="680"/>
      <c r="R88" s="685" t="s">
        <v>504</v>
      </c>
      <c r="S88" s="686"/>
      <c r="T88" s="687"/>
      <c r="U88" s="679" t="s">
        <v>489</v>
      </c>
      <c r="V88" s="680"/>
      <c r="W88" s="685" t="s">
        <v>504</v>
      </c>
      <c r="X88" s="686"/>
      <c r="Y88" s="687"/>
      <c r="Z88" s="679" t="s">
        <v>489</v>
      </c>
      <c r="AA88" s="680"/>
      <c r="AB88" s="685" t="s">
        <v>504</v>
      </c>
      <c r="AC88" s="686"/>
      <c r="AD88" s="687"/>
      <c r="AE88" s="679" t="s">
        <v>489</v>
      </c>
      <c r="AF88" s="680"/>
      <c r="AG88" s="685" t="s">
        <v>504</v>
      </c>
      <c r="AH88" s="686"/>
      <c r="AI88" s="687"/>
      <c r="AJ88" s="679" t="s">
        <v>489</v>
      </c>
      <c r="AK88" s="680"/>
      <c r="AL88" s="685" t="s">
        <v>504</v>
      </c>
      <c r="AM88" s="686"/>
      <c r="AN88" s="687"/>
      <c r="AO88" s="679" t="s">
        <v>489</v>
      </c>
      <c r="AP88" s="680"/>
      <c r="AQ88" s="685" t="s">
        <v>504</v>
      </c>
      <c r="AR88" s="686"/>
      <c r="AS88" s="687"/>
      <c r="AT88" s="679" t="s">
        <v>489</v>
      </c>
      <c r="AU88" s="680"/>
      <c r="AV88" s="685" t="s">
        <v>504</v>
      </c>
      <c r="AW88" s="686"/>
      <c r="AX88" s="687"/>
      <c r="AY88" s="679" t="s">
        <v>489</v>
      </c>
      <c r="AZ88" s="680"/>
      <c r="BA88" s="685" t="s">
        <v>504</v>
      </c>
      <c r="BB88" s="686"/>
      <c r="BC88" s="687"/>
      <c r="BD88" s="679" t="s">
        <v>489</v>
      </c>
      <c r="BE88" s="680"/>
      <c r="BF88" s="685" t="s">
        <v>504</v>
      </c>
      <c r="BG88" s="686"/>
      <c r="BH88" s="687"/>
      <c r="BI88" s="679" t="s">
        <v>489</v>
      </c>
      <c r="BJ88" s="680"/>
      <c r="BK88" s="685" t="s">
        <v>504</v>
      </c>
      <c r="BL88" s="686"/>
      <c r="BM88" s="687"/>
      <c r="BN88" s="679" t="s">
        <v>489</v>
      </c>
      <c r="BO88" s="680"/>
      <c r="BP88" s="685" t="s">
        <v>504</v>
      </c>
      <c r="BQ88" s="686"/>
      <c r="BR88" s="687"/>
    </row>
    <row r="89" spans="1:70" ht="6" hidden="1" customHeight="1" x14ac:dyDescent="0.25">
      <c r="A89" s="681"/>
      <c r="B89" s="682"/>
      <c r="C89" s="688"/>
      <c r="D89" s="689"/>
      <c r="E89" s="690"/>
      <c r="F89" s="681"/>
      <c r="G89" s="682"/>
      <c r="H89" s="688"/>
      <c r="I89" s="689"/>
      <c r="J89" s="690"/>
      <c r="K89" s="681"/>
      <c r="L89" s="682"/>
      <c r="M89" s="688"/>
      <c r="N89" s="689"/>
      <c r="O89" s="690"/>
      <c r="P89" s="681"/>
      <c r="Q89" s="682"/>
      <c r="R89" s="688"/>
      <c r="S89" s="689"/>
      <c r="T89" s="690"/>
      <c r="U89" s="681"/>
      <c r="V89" s="682"/>
      <c r="W89" s="688"/>
      <c r="X89" s="689"/>
      <c r="Y89" s="690"/>
      <c r="Z89" s="681"/>
      <c r="AA89" s="682"/>
      <c r="AB89" s="688"/>
      <c r="AC89" s="689"/>
      <c r="AD89" s="690"/>
      <c r="AE89" s="681"/>
      <c r="AF89" s="682"/>
      <c r="AG89" s="688"/>
      <c r="AH89" s="689"/>
      <c r="AI89" s="690"/>
      <c r="AJ89" s="681"/>
      <c r="AK89" s="682"/>
      <c r="AL89" s="688"/>
      <c r="AM89" s="689"/>
      <c r="AN89" s="690"/>
      <c r="AO89" s="681"/>
      <c r="AP89" s="682"/>
      <c r="AQ89" s="688"/>
      <c r="AR89" s="689"/>
      <c r="AS89" s="690"/>
      <c r="AT89" s="681"/>
      <c r="AU89" s="682"/>
      <c r="AV89" s="688"/>
      <c r="AW89" s="689"/>
      <c r="AX89" s="690"/>
      <c r="AY89" s="681"/>
      <c r="AZ89" s="682"/>
      <c r="BA89" s="688"/>
      <c r="BB89" s="689"/>
      <c r="BC89" s="690"/>
      <c r="BD89" s="681"/>
      <c r="BE89" s="682"/>
      <c r="BF89" s="688"/>
      <c r="BG89" s="689"/>
      <c r="BH89" s="690"/>
      <c r="BI89" s="681"/>
      <c r="BJ89" s="682"/>
      <c r="BK89" s="688"/>
      <c r="BL89" s="689"/>
      <c r="BM89" s="690"/>
      <c r="BN89" s="681"/>
      <c r="BO89" s="682"/>
      <c r="BP89" s="688"/>
      <c r="BQ89" s="689"/>
      <c r="BR89" s="690"/>
    </row>
    <row r="90" spans="1:70" ht="15" hidden="1" customHeight="1" x14ac:dyDescent="0.25">
      <c r="A90" s="683"/>
      <c r="B90" s="684"/>
      <c r="C90" s="691"/>
      <c r="D90" s="692"/>
      <c r="E90" s="693"/>
      <c r="F90" s="683"/>
      <c r="G90" s="684"/>
      <c r="H90" s="691"/>
      <c r="I90" s="692"/>
      <c r="J90" s="693"/>
      <c r="K90" s="683"/>
      <c r="L90" s="684"/>
      <c r="M90" s="691"/>
      <c r="N90" s="692"/>
      <c r="O90" s="693"/>
      <c r="P90" s="683"/>
      <c r="Q90" s="684"/>
      <c r="R90" s="691"/>
      <c r="S90" s="692"/>
      <c r="T90" s="693"/>
      <c r="U90" s="683"/>
      <c r="V90" s="684"/>
      <c r="W90" s="691"/>
      <c r="X90" s="692"/>
      <c r="Y90" s="693"/>
      <c r="Z90" s="683"/>
      <c r="AA90" s="684"/>
      <c r="AB90" s="691"/>
      <c r="AC90" s="692"/>
      <c r="AD90" s="693"/>
      <c r="AE90" s="683"/>
      <c r="AF90" s="684"/>
      <c r="AG90" s="691"/>
      <c r="AH90" s="692"/>
      <c r="AI90" s="693"/>
      <c r="AJ90" s="683"/>
      <c r="AK90" s="684"/>
      <c r="AL90" s="691"/>
      <c r="AM90" s="692"/>
      <c r="AN90" s="693"/>
      <c r="AO90" s="683"/>
      <c r="AP90" s="684"/>
      <c r="AQ90" s="691"/>
      <c r="AR90" s="692"/>
      <c r="AS90" s="693"/>
      <c r="AT90" s="683"/>
      <c r="AU90" s="684"/>
      <c r="AV90" s="691"/>
      <c r="AW90" s="692"/>
      <c r="AX90" s="693"/>
      <c r="AY90" s="683"/>
      <c r="AZ90" s="684"/>
      <c r="BA90" s="691"/>
      <c r="BB90" s="692"/>
      <c r="BC90" s="693"/>
      <c r="BD90" s="683"/>
      <c r="BE90" s="684"/>
      <c r="BF90" s="691"/>
      <c r="BG90" s="692"/>
      <c r="BH90" s="693"/>
      <c r="BI90" s="683"/>
      <c r="BJ90" s="684"/>
      <c r="BK90" s="691"/>
      <c r="BL90" s="692"/>
      <c r="BM90" s="693"/>
      <c r="BN90" s="683"/>
      <c r="BO90" s="684"/>
      <c r="BP90" s="691"/>
      <c r="BQ90" s="692"/>
      <c r="BR90" s="693"/>
    </row>
    <row r="91" spans="1:70" s="22" customFormat="1" ht="111.75" hidden="1" customHeight="1" x14ac:dyDescent="1.35">
      <c r="A91" s="1470" t="s">
        <v>500</v>
      </c>
      <c r="B91" s="694"/>
      <c r="C91" s="695"/>
      <c r="D91" s="695"/>
      <c r="E91" s="696"/>
      <c r="F91" s="1470" t="s">
        <v>500</v>
      </c>
      <c r="G91" s="694"/>
      <c r="H91" s="695"/>
      <c r="I91" s="695"/>
      <c r="J91" s="696"/>
      <c r="K91" s="1470" t="s">
        <v>500</v>
      </c>
      <c r="L91" s="694"/>
      <c r="M91" s="695"/>
      <c r="N91" s="695"/>
      <c r="O91" s="696"/>
      <c r="P91" s="1470" t="s">
        <v>500</v>
      </c>
      <c r="Q91" s="694"/>
      <c r="R91" s="695"/>
      <c r="S91" s="695"/>
      <c r="T91" s="696"/>
      <c r="U91" s="1470" t="s">
        <v>500</v>
      </c>
      <c r="V91" s="694"/>
      <c r="W91" s="695"/>
      <c r="X91" s="695"/>
      <c r="Y91" s="696"/>
      <c r="Z91" s="1470" t="s">
        <v>500</v>
      </c>
      <c r="AA91" s="694"/>
      <c r="AB91" s="695"/>
      <c r="AC91" s="695"/>
      <c r="AD91" s="696"/>
      <c r="AE91" s="1470" t="s">
        <v>500</v>
      </c>
      <c r="AF91" s="694"/>
      <c r="AG91" s="695"/>
      <c r="AH91" s="695"/>
      <c r="AI91" s="696"/>
      <c r="AJ91" s="1470" t="s">
        <v>500</v>
      </c>
      <c r="AK91" s="694"/>
      <c r="AL91" s="695"/>
      <c r="AM91" s="695"/>
      <c r="AN91" s="696"/>
      <c r="AO91" s="1470" t="s">
        <v>500</v>
      </c>
      <c r="AP91" s="694"/>
      <c r="AQ91" s="695"/>
      <c r="AR91" s="695"/>
      <c r="AS91" s="696"/>
      <c r="AT91" s="1470" t="s">
        <v>500</v>
      </c>
      <c r="AU91" s="694"/>
      <c r="AV91" s="695"/>
      <c r="AW91" s="695"/>
      <c r="AX91" s="696"/>
      <c r="AY91" s="1470" t="s">
        <v>500</v>
      </c>
      <c r="AZ91" s="694"/>
      <c r="BA91" s="695"/>
      <c r="BB91" s="695"/>
      <c r="BC91" s="696"/>
      <c r="BD91" s="1470" t="s">
        <v>500</v>
      </c>
      <c r="BE91" s="694"/>
      <c r="BF91" s="695"/>
      <c r="BG91" s="695"/>
      <c r="BH91" s="696"/>
      <c r="BI91" s="586" t="s">
        <v>500</v>
      </c>
      <c r="BJ91" s="694"/>
      <c r="BK91" s="695"/>
      <c r="BL91" s="695"/>
      <c r="BM91" s="696"/>
      <c r="BN91" s="586" t="s">
        <v>500</v>
      </c>
      <c r="BO91" s="694"/>
      <c r="BP91" s="695"/>
      <c r="BQ91" s="695"/>
      <c r="BR91" s="696"/>
    </row>
    <row r="92" spans="1:70" ht="50.25" hidden="1" customHeight="1" thickBot="1" x14ac:dyDescent="0.3">
      <c r="A92" s="1471"/>
      <c r="B92" s="334"/>
      <c r="C92" s="335" t="s">
        <v>113</v>
      </c>
      <c r="D92" s="336"/>
      <c r="E92" s="337" t="s">
        <v>114</v>
      </c>
      <c r="F92" s="1471"/>
      <c r="G92" s="334"/>
      <c r="H92" s="335" t="s">
        <v>113</v>
      </c>
      <c r="I92" s="336"/>
      <c r="J92" s="337" t="s">
        <v>114</v>
      </c>
      <c r="K92" s="1471"/>
      <c r="L92" s="334"/>
      <c r="M92" s="335" t="s">
        <v>113</v>
      </c>
      <c r="N92" s="336"/>
      <c r="O92" s="337" t="s">
        <v>114</v>
      </c>
      <c r="P92" s="1471"/>
      <c r="Q92" s="334"/>
      <c r="R92" s="335" t="s">
        <v>113</v>
      </c>
      <c r="S92" s="336"/>
      <c r="T92" s="337" t="s">
        <v>114</v>
      </c>
      <c r="U92" s="1471"/>
      <c r="V92" s="334"/>
      <c r="W92" s="335" t="s">
        <v>113</v>
      </c>
      <c r="X92" s="336"/>
      <c r="Y92" s="337" t="s">
        <v>114</v>
      </c>
      <c r="Z92" s="1471"/>
      <c r="AA92" s="334"/>
      <c r="AB92" s="335" t="s">
        <v>113</v>
      </c>
      <c r="AC92" s="336"/>
      <c r="AD92" s="337" t="s">
        <v>114</v>
      </c>
      <c r="AE92" s="1471"/>
      <c r="AF92" s="334"/>
      <c r="AG92" s="335" t="s">
        <v>113</v>
      </c>
      <c r="AH92" s="336"/>
      <c r="AI92" s="337" t="s">
        <v>114</v>
      </c>
      <c r="AJ92" s="1471"/>
      <c r="AK92" s="334"/>
      <c r="AL92" s="335" t="s">
        <v>113</v>
      </c>
      <c r="AM92" s="336"/>
      <c r="AN92" s="337" t="s">
        <v>114</v>
      </c>
      <c r="AO92" s="1471"/>
      <c r="AP92" s="334"/>
      <c r="AQ92" s="335" t="s">
        <v>113</v>
      </c>
      <c r="AR92" s="336"/>
      <c r="AS92" s="337" t="s">
        <v>114</v>
      </c>
      <c r="AT92" s="1471"/>
      <c r="AU92" s="334"/>
      <c r="AV92" s="335" t="s">
        <v>113</v>
      </c>
      <c r="AW92" s="336"/>
      <c r="AX92" s="337" t="s">
        <v>114</v>
      </c>
      <c r="AY92" s="1471"/>
      <c r="AZ92" s="334"/>
      <c r="BA92" s="335" t="s">
        <v>113</v>
      </c>
      <c r="BB92" s="336"/>
      <c r="BC92" s="337" t="s">
        <v>114</v>
      </c>
      <c r="BD92" s="1471"/>
      <c r="BE92" s="334"/>
      <c r="BF92" s="335" t="s">
        <v>113</v>
      </c>
      <c r="BG92" s="336"/>
      <c r="BH92" s="337" t="s">
        <v>114</v>
      </c>
      <c r="BI92" s="587"/>
      <c r="BJ92" s="334"/>
      <c r="BK92" s="335" t="s">
        <v>113</v>
      </c>
      <c r="BL92" s="336"/>
      <c r="BM92" s="337" t="s">
        <v>114</v>
      </c>
      <c r="BN92" s="587"/>
      <c r="BO92" s="334"/>
      <c r="BP92" s="335" t="s">
        <v>113</v>
      </c>
      <c r="BQ92" s="336"/>
      <c r="BR92" s="337" t="s">
        <v>114</v>
      </c>
    </row>
    <row r="93" spans="1:70" ht="47.25" hidden="1" customHeight="1" thickTop="1" x14ac:dyDescent="0.25">
      <c r="A93" s="582" t="s">
        <v>110</v>
      </c>
      <c r="B93" s="583"/>
      <c r="C93" s="584">
        <f t="shared" ref="C93" si="114">B98/((72*3.1415/59)*(129.67/3.281))</f>
        <v>0</v>
      </c>
      <c r="D93" s="584"/>
      <c r="E93" s="585"/>
      <c r="F93" s="582" t="s">
        <v>110</v>
      </c>
      <c r="G93" s="583"/>
      <c r="H93" s="584">
        <f t="shared" ref="H93" si="115">G98/((72*3.1415/59)*(129.67/3.281))</f>
        <v>0</v>
      </c>
      <c r="I93" s="584"/>
      <c r="J93" s="585"/>
      <c r="K93" s="582" t="s">
        <v>110</v>
      </c>
      <c r="L93" s="583"/>
      <c r="M93" s="584">
        <f t="shared" ref="M93" si="116">L98/((72*3.1415/59)*(129.67/3.281))</f>
        <v>0</v>
      </c>
      <c r="N93" s="584"/>
      <c r="O93" s="585"/>
      <c r="P93" s="582" t="s">
        <v>110</v>
      </c>
      <c r="Q93" s="583"/>
      <c r="R93" s="584">
        <f t="shared" ref="R93" si="117">Q98/((72*3.1415/59)*(129.67/3.281))</f>
        <v>0</v>
      </c>
      <c r="S93" s="584"/>
      <c r="T93" s="585"/>
      <c r="U93" s="582" t="s">
        <v>110</v>
      </c>
      <c r="V93" s="583"/>
      <c r="W93" s="584">
        <f t="shared" ref="W93" si="118">V98/((72*3.1415/59)*(129.67/3.281))</f>
        <v>0</v>
      </c>
      <c r="X93" s="584"/>
      <c r="Y93" s="585"/>
      <c r="Z93" s="582" t="s">
        <v>110</v>
      </c>
      <c r="AA93" s="583"/>
      <c r="AB93" s="584">
        <f t="shared" ref="AB93" si="119">AA98/((72*3.1415/59)*(129.67/3.281))</f>
        <v>0</v>
      </c>
      <c r="AC93" s="584"/>
      <c r="AD93" s="585"/>
      <c r="AE93" s="582" t="s">
        <v>110</v>
      </c>
      <c r="AF93" s="583"/>
      <c r="AG93" s="584">
        <f t="shared" ref="AG93" si="120">AF98/((72*3.1415/59)*(129.67/3.281))</f>
        <v>0</v>
      </c>
      <c r="AH93" s="584"/>
      <c r="AI93" s="585"/>
      <c r="AJ93" s="582" t="s">
        <v>110</v>
      </c>
      <c r="AK93" s="583"/>
      <c r="AL93" s="584">
        <f t="shared" ref="AL93" si="121">AK98/((72*3.1415/59)*(129.67/3.281))</f>
        <v>0</v>
      </c>
      <c r="AM93" s="584"/>
      <c r="AN93" s="585"/>
      <c r="AO93" s="582" t="s">
        <v>110</v>
      </c>
      <c r="AP93" s="583"/>
      <c r="AQ93" s="584">
        <f t="shared" ref="AQ93" si="122">AP98/((72*3.1415/59)*(129.67/3.281))</f>
        <v>0</v>
      </c>
      <c r="AR93" s="584"/>
      <c r="AS93" s="585"/>
      <c r="AT93" s="582" t="s">
        <v>110</v>
      </c>
      <c r="AU93" s="583"/>
      <c r="AV93" s="584">
        <f t="shared" ref="AV93" si="123">AU98/((72*3.1415/59)*(129.67/3.281))</f>
        <v>0</v>
      </c>
      <c r="AW93" s="584"/>
      <c r="AX93" s="585"/>
      <c r="AY93" s="582" t="s">
        <v>110</v>
      </c>
      <c r="AZ93" s="583"/>
      <c r="BA93" s="584">
        <f t="shared" ref="BA93" si="124">AZ98/((72*3.1415/59)*(129.67/3.281))</f>
        <v>0</v>
      </c>
      <c r="BB93" s="584"/>
      <c r="BC93" s="585"/>
      <c r="BD93" s="582" t="s">
        <v>110</v>
      </c>
      <c r="BE93" s="583"/>
      <c r="BF93" s="584">
        <f t="shared" ref="BF93" si="125">BE98/((72*3.1415/59)*(129.67/3.281))</f>
        <v>0</v>
      </c>
      <c r="BG93" s="584"/>
      <c r="BH93" s="585"/>
      <c r="BI93" s="582" t="s">
        <v>110</v>
      </c>
      <c r="BJ93" s="583"/>
      <c r="BK93" s="584">
        <f t="shared" ref="BK93" si="126">BJ98/((72*3.1415/59)*(129.67/3.281))</f>
        <v>0</v>
      </c>
      <c r="BL93" s="584"/>
      <c r="BM93" s="585"/>
      <c r="BN93" s="582" t="s">
        <v>110</v>
      </c>
      <c r="BO93" s="583"/>
      <c r="BP93" s="584">
        <f t="shared" ref="BP93" si="127">BO98/((72*3.1415/59)*(129.67/3.281))</f>
        <v>0</v>
      </c>
      <c r="BQ93" s="584"/>
      <c r="BR93" s="585"/>
    </row>
    <row r="94" spans="1:70" ht="20.25" hidden="1" customHeight="1" x14ac:dyDescent="0.25">
      <c r="A94" s="679" t="s">
        <v>489</v>
      </c>
      <c r="B94" s="680"/>
      <c r="C94" s="685" t="s">
        <v>504</v>
      </c>
      <c r="D94" s="686"/>
      <c r="E94" s="687"/>
      <c r="F94" s="679" t="s">
        <v>489</v>
      </c>
      <c r="G94" s="680"/>
      <c r="H94" s="685" t="s">
        <v>504</v>
      </c>
      <c r="I94" s="686"/>
      <c r="J94" s="687"/>
      <c r="K94" s="679" t="s">
        <v>489</v>
      </c>
      <c r="L94" s="680"/>
      <c r="M94" s="685" t="s">
        <v>504</v>
      </c>
      <c r="N94" s="686"/>
      <c r="O94" s="687"/>
      <c r="P94" s="679" t="s">
        <v>489</v>
      </c>
      <c r="Q94" s="680"/>
      <c r="R94" s="685" t="s">
        <v>504</v>
      </c>
      <c r="S94" s="686"/>
      <c r="T94" s="687"/>
      <c r="U94" s="679" t="s">
        <v>489</v>
      </c>
      <c r="V94" s="680"/>
      <c r="W94" s="685" t="s">
        <v>504</v>
      </c>
      <c r="X94" s="686"/>
      <c r="Y94" s="687"/>
      <c r="Z94" s="679" t="s">
        <v>489</v>
      </c>
      <c r="AA94" s="680"/>
      <c r="AB94" s="685" t="s">
        <v>504</v>
      </c>
      <c r="AC94" s="686"/>
      <c r="AD94" s="687"/>
      <c r="AE94" s="679" t="s">
        <v>489</v>
      </c>
      <c r="AF94" s="680"/>
      <c r="AG94" s="685" t="s">
        <v>504</v>
      </c>
      <c r="AH94" s="686"/>
      <c r="AI94" s="687"/>
      <c r="AJ94" s="679" t="s">
        <v>489</v>
      </c>
      <c r="AK94" s="680"/>
      <c r="AL94" s="685" t="s">
        <v>504</v>
      </c>
      <c r="AM94" s="686"/>
      <c r="AN94" s="687"/>
      <c r="AO94" s="679" t="s">
        <v>489</v>
      </c>
      <c r="AP94" s="680"/>
      <c r="AQ94" s="685" t="s">
        <v>504</v>
      </c>
      <c r="AR94" s="686"/>
      <c r="AS94" s="687"/>
      <c r="AT94" s="679" t="s">
        <v>489</v>
      </c>
      <c r="AU94" s="680"/>
      <c r="AV94" s="685" t="s">
        <v>504</v>
      </c>
      <c r="AW94" s="686"/>
      <c r="AX94" s="687"/>
      <c r="AY94" s="679" t="s">
        <v>489</v>
      </c>
      <c r="AZ94" s="680"/>
      <c r="BA94" s="685" t="s">
        <v>504</v>
      </c>
      <c r="BB94" s="686"/>
      <c r="BC94" s="687"/>
      <c r="BD94" s="679" t="s">
        <v>489</v>
      </c>
      <c r="BE94" s="680"/>
      <c r="BF94" s="685" t="s">
        <v>504</v>
      </c>
      <c r="BG94" s="686"/>
      <c r="BH94" s="687"/>
      <c r="BI94" s="679" t="s">
        <v>489</v>
      </c>
      <c r="BJ94" s="680"/>
      <c r="BK94" s="685" t="s">
        <v>504</v>
      </c>
      <c r="BL94" s="686"/>
      <c r="BM94" s="687"/>
      <c r="BN94" s="679" t="s">
        <v>489</v>
      </c>
      <c r="BO94" s="680"/>
      <c r="BP94" s="685" t="s">
        <v>504</v>
      </c>
      <c r="BQ94" s="686"/>
      <c r="BR94" s="687"/>
    </row>
    <row r="95" spans="1:70" ht="3.75" hidden="1" customHeight="1" x14ac:dyDescent="0.25">
      <c r="A95" s="681"/>
      <c r="B95" s="682"/>
      <c r="C95" s="688"/>
      <c r="D95" s="689"/>
      <c r="E95" s="690"/>
      <c r="F95" s="681"/>
      <c r="G95" s="682"/>
      <c r="H95" s="688"/>
      <c r="I95" s="689"/>
      <c r="J95" s="690"/>
      <c r="K95" s="681"/>
      <c r="L95" s="682"/>
      <c r="M95" s="688"/>
      <c r="N95" s="689"/>
      <c r="O95" s="690"/>
      <c r="P95" s="681"/>
      <c r="Q95" s="682"/>
      <c r="R95" s="688"/>
      <c r="S95" s="689"/>
      <c r="T95" s="690"/>
      <c r="U95" s="681"/>
      <c r="V95" s="682"/>
      <c r="W95" s="688"/>
      <c r="X95" s="689"/>
      <c r="Y95" s="690"/>
      <c r="Z95" s="681"/>
      <c r="AA95" s="682"/>
      <c r="AB95" s="688"/>
      <c r="AC95" s="689"/>
      <c r="AD95" s="690"/>
      <c r="AE95" s="681"/>
      <c r="AF95" s="682"/>
      <c r="AG95" s="688"/>
      <c r="AH95" s="689"/>
      <c r="AI95" s="690"/>
      <c r="AJ95" s="681"/>
      <c r="AK95" s="682"/>
      <c r="AL95" s="688"/>
      <c r="AM95" s="689"/>
      <c r="AN95" s="690"/>
      <c r="AO95" s="681"/>
      <c r="AP95" s="682"/>
      <c r="AQ95" s="688"/>
      <c r="AR95" s="689"/>
      <c r="AS95" s="690"/>
      <c r="AT95" s="681"/>
      <c r="AU95" s="682"/>
      <c r="AV95" s="688"/>
      <c r="AW95" s="689"/>
      <c r="AX95" s="690"/>
      <c r="AY95" s="681"/>
      <c r="AZ95" s="682"/>
      <c r="BA95" s="688"/>
      <c r="BB95" s="689"/>
      <c r="BC95" s="690"/>
      <c r="BD95" s="681"/>
      <c r="BE95" s="682"/>
      <c r="BF95" s="688"/>
      <c r="BG95" s="689"/>
      <c r="BH95" s="690"/>
      <c r="BI95" s="681"/>
      <c r="BJ95" s="682"/>
      <c r="BK95" s="688"/>
      <c r="BL95" s="689"/>
      <c r="BM95" s="690"/>
      <c r="BN95" s="681"/>
      <c r="BO95" s="682"/>
      <c r="BP95" s="688"/>
      <c r="BQ95" s="689"/>
      <c r="BR95" s="690"/>
    </row>
    <row r="96" spans="1:70" ht="15" hidden="1" customHeight="1" x14ac:dyDescent="0.25">
      <c r="A96" s="683"/>
      <c r="B96" s="684"/>
      <c r="C96" s="691"/>
      <c r="D96" s="692"/>
      <c r="E96" s="693"/>
      <c r="F96" s="683"/>
      <c r="G96" s="684"/>
      <c r="H96" s="691"/>
      <c r="I96" s="692"/>
      <c r="J96" s="693"/>
      <c r="K96" s="683"/>
      <c r="L96" s="684"/>
      <c r="M96" s="691"/>
      <c r="N96" s="692"/>
      <c r="O96" s="693"/>
      <c r="P96" s="683"/>
      <c r="Q96" s="684"/>
      <c r="R96" s="691"/>
      <c r="S96" s="692"/>
      <c r="T96" s="693"/>
      <c r="U96" s="683"/>
      <c r="V96" s="684"/>
      <c r="W96" s="691"/>
      <c r="X96" s="692"/>
      <c r="Y96" s="693"/>
      <c r="Z96" s="683"/>
      <c r="AA96" s="684"/>
      <c r="AB96" s="691"/>
      <c r="AC96" s="692"/>
      <c r="AD96" s="693"/>
      <c r="AE96" s="683"/>
      <c r="AF96" s="684"/>
      <c r="AG96" s="691"/>
      <c r="AH96" s="692"/>
      <c r="AI96" s="693"/>
      <c r="AJ96" s="683"/>
      <c r="AK96" s="684"/>
      <c r="AL96" s="691"/>
      <c r="AM96" s="692"/>
      <c r="AN96" s="693"/>
      <c r="AO96" s="683"/>
      <c r="AP96" s="684"/>
      <c r="AQ96" s="691"/>
      <c r="AR96" s="692"/>
      <c r="AS96" s="693"/>
      <c r="AT96" s="683"/>
      <c r="AU96" s="684"/>
      <c r="AV96" s="691"/>
      <c r="AW96" s="692"/>
      <c r="AX96" s="693"/>
      <c r="AY96" s="683"/>
      <c r="AZ96" s="684"/>
      <c r="BA96" s="691"/>
      <c r="BB96" s="692"/>
      <c r="BC96" s="693"/>
      <c r="BD96" s="683"/>
      <c r="BE96" s="684"/>
      <c r="BF96" s="691"/>
      <c r="BG96" s="692"/>
      <c r="BH96" s="693"/>
      <c r="BI96" s="683"/>
      <c r="BJ96" s="684"/>
      <c r="BK96" s="691"/>
      <c r="BL96" s="692"/>
      <c r="BM96" s="693"/>
      <c r="BN96" s="683"/>
      <c r="BO96" s="684"/>
      <c r="BP96" s="691"/>
      <c r="BQ96" s="692"/>
      <c r="BR96" s="693"/>
    </row>
    <row r="97" spans="1:70" s="22" customFormat="1" ht="111.75" hidden="1" customHeight="1" x14ac:dyDescent="1.35">
      <c r="A97" s="1470" t="s">
        <v>500</v>
      </c>
      <c r="B97" s="694"/>
      <c r="C97" s="695"/>
      <c r="D97" s="695"/>
      <c r="E97" s="696"/>
      <c r="F97" s="1470" t="s">
        <v>500</v>
      </c>
      <c r="G97" s="694"/>
      <c r="H97" s="695"/>
      <c r="I97" s="695"/>
      <c r="J97" s="696"/>
      <c r="K97" s="1470" t="s">
        <v>500</v>
      </c>
      <c r="L97" s="694"/>
      <c r="M97" s="695"/>
      <c r="N97" s="695"/>
      <c r="O97" s="696"/>
      <c r="P97" s="1470" t="s">
        <v>500</v>
      </c>
      <c r="Q97" s="694"/>
      <c r="R97" s="695"/>
      <c r="S97" s="695"/>
      <c r="T97" s="696"/>
      <c r="U97" s="1470" t="s">
        <v>500</v>
      </c>
      <c r="V97" s="694"/>
      <c r="W97" s="695"/>
      <c r="X97" s="695"/>
      <c r="Y97" s="696"/>
      <c r="Z97" s="1470" t="s">
        <v>500</v>
      </c>
      <c r="AA97" s="694"/>
      <c r="AB97" s="695"/>
      <c r="AC97" s="695"/>
      <c r="AD97" s="696"/>
      <c r="AE97" s="1470" t="s">
        <v>500</v>
      </c>
      <c r="AF97" s="694"/>
      <c r="AG97" s="695"/>
      <c r="AH97" s="695"/>
      <c r="AI97" s="696"/>
      <c r="AJ97" s="1470" t="s">
        <v>500</v>
      </c>
      <c r="AK97" s="694"/>
      <c r="AL97" s="695"/>
      <c r="AM97" s="695"/>
      <c r="AN97" s="696"/>
      <c r="AO97" s="1470" t="s">
        <v>500</v>
      </c>
      <c r="AP97" s="694"/>
      <c r="AQ97" s="695"/>
      <c r="AR97" s="695"/>
      <c r="AS97" s="696"/>
      <c r="AT97" s="1470" t="s">
        <v>500</v>
      </c>
      <c r="AU97" s="694"/>
      <c r="AV97" s="695"/>
      <c r="AW97" s="695"/>
      <c r="AX97" s="696"/>
      <c r="AY97" s="1470" t="s">
        <v>500</v>
      </c>
      <c r="AZ97" s="694"/>
      <c r="BA97" s="695"/>
      <c r="BB97" s="695"/>
      <c r="BC97" s="696"/>
      <c r="BD97" s="1470" t="s">
        <v>500</v>
      </c>
      <c r="BE97" s="694"/>
      <c r="BF97" s="695"/>
      <c r="BG97" s="695"/>
      <c r="BH97" s="696"/>
      <c r="BI97" s="586" t="s">
        <v>500</v>
      </c>
      <c r="BJ97" s="694"/>
      <c r="BK97" s="695"/>
      <c r="BL97" s="695"/>
      <c r="BM97" s="696"/>
      <c r="BN97" s="586" t="s">
        <v>500</v>
      </c>
      <c r="BO97" s="694"/>
      <c r="BP97" s="695"/>
      <c r="BQ97" s="695"/>
      <c r="BR97" s="696"/>
    </row>
    <row r="98" spans="1:70" ht="50.25" hidden="1" customHeight="1" thickBot="1" x14ac:dyDescent="0.3">
      <c r="A98" s="1471"/>
      <c r="B98" s="334"/>
      <c r="C98" s="335" t="s">
        <v>113</v>
      </c>
      <c r="D98" s="336"/>
      <c r="E98" s="337" t="s">
        <v>114</v>
      </c>
      <c r="F98" s="1471"/>
      <c r="G98" s="334"/>
      <c r="H98" s="335" t="s">
        <v>113</v>
      </c>
      <c r="I98" s="336"/>
      <c r="J98" s="337" t="s">
        <v>114</v>
      </c>
      <c r="K98" s="1471"/>
      <c r="L98" s="334"/>
      <c r="M98" s="335" t="s">
        <v>113</v>
      </c>
      <c r="N98" s="336"/>
      <c r="O98" s="337" t="s">
        <v>114</v>
      </c>
      <c r="P98" s="1471"/>
      <c r="Q98" s="334"/>
      <c r="R98" s="335" t="s">
        <v>113</v>
      </c>
      <c r="S98" s="336"/>
      <c r="T98" s="337" t="s">
        <v>114</v>
      </c>
      <c r="U98" s="1471"/>
      <c r="V98" s="334"/>
      <c r="W98" s="335" t="s">
        <v>113</v>
      </c>
      <c r="X98" s="336"/>
      <c r="Y98" s="337" t="s">
        <v>114</v>
      </c>
      <c r="Z98" s="1471"/>
      <c r="AA98" s="334"/>
      <c r="AB98" s="335" t="s">
        <v>113</v>
      </c>
      <c r="AC98" s="336"/>
      <c r="AD98" s="337" t="s">
        <v>114</v>
      </c>
      <c r="AE98" s="1471"/>
      <c r="AF98" s="334"/>
      <c r="AG98" s="335" t="s">
        <v>113</v>
      </c>
      <c r="AH98" s="336"/>
      <c r="AI98" s="337" t="s">
        <v>114</v>
      </c>
      <c r="AJ98" s="1471"/>
      <c r="AK98" s="334"/>
      <c r="AL98" s="335" t="s">
        <v>113</v>
      </c>
      <c r="AM98" s="336"/>
      <c r="AN98" s="337" t="s">
        <v>114</v>
      </c>
      <c r="AO98" s="1471"/>
      <c r="AP98" s="334"/>
      <c r="AQ98" s="335" t="s">
        <v>113</v>
      </c>
      <c r="AR98" s="336"/>
      <c r="AS98" s="337" t="s">
        <v>114</v>
      </c>
      <c r="AT98" s="1471"/>
      <c r="AU98" s="334"/>
      <c r="AV98" s="335" t="s">
        <v>113</v>
      </c>
      <c r="AW98" s="336"/>
      <c r="AX98" s="337" t="s">
        <v>114</v>
      </c>
      <c r="AY98" s="1471"/>
      <c r="AZ98" s="334"/>
      <c r="BA98" s="335" t="s">
        <v>113</v>
      </c>
      <c r="BB98" s="336"/>
      <c r="BC98" s="337" t="s">
        <v>114</v>
      </c>
      <c r="BD98" s="1471"/>
      <c r="BE98" s="334"/>
      <c r="BF98" s="335" t="s">
        <v>113</v>
      </c>
      <c r="BG98" s="336"/>
      <c r="BH98" s="337" t="s">
        <v>114</v>
      </c>
      <c r="BI98" s="587"/>
      <c r="BJ98" s="334"/>
      <c r="BK98" s="335" t="s">
        <v>113</v>
      </c>
      <c r="BL98" s="336"/>
      <c r="BM98" s="337" t="s">
        <v>114</v>
      </c>
      <c r="BN98" s="587"/>
      <c r="BO98" s="334"/>
      <c r="BP98" s="335" t="s">
        <v>113</v>
      </c>
      <c r="BQ98" s="336"/>
      <c r="BR98" s="337" t="s">
        <v>114</v>
      </c>
    </row>
    <row r="99" spans="1:70" ht="53.25" hidden="1" customHeight="1" thickTop="1" x14ac:dyDescent="0.25">
      <c r="A99" s="582" t="s">
        <v>110</v>
      </c>
      <c r="B99" s="583"/>
      <c r="C99" s="584">
        <f t="shared" ref="C99" si="128">B104/((72*3.1415/59)*(129.67/3.281))</f>
        <v>0</v>
      </c>
      <c r="D99" s="584"/>
      <c r="E99" s="585"/>
      <c r="F99" s="582" t="s">
        <v>110</v>
      </c>
      <c r="G99" s="583"/>
      <c r="H99" s="584">
        <f t="shared" ref="H99" si="129">G104/((72*3.1415/59)*(129.67/3.281))</f>
        <v>0</v>
      </c>
      <c r="I99" s="584"/>
      <c r="J99" s="585"/>
      <c r="K99" s="582" t="s">
        <v>110</v>
      </c>
      <c r="L99" s="583"/>
      <c r="M99" s="584">
        <f t="shared" ref="M99" si="130">L104/((72*3.1415/59)*(129.67/3.281))</f>
        <v>0</v>
      </c>
      <c r="N99" s="584"/>
      <c r="O99" s="585"/>
      <c r="P99" s="582" t="s">
        <v>110</v>
      </c>
      <c r="Q99" s="583"/>
      <c r="R99" s="584">
        <f t="shared" ref="R99" si="131">Q104/((72*3.1415/59)*(129.67/3.281))</f>
        <v>0</v>
      </c>
      <c r="S99" s="584"/>
      <c r="T99" s="585"/>
      <c r="U99" s="582" t="s">
        <v>110</v>
      </c>
      <c r="V99" s="583"/>
      <c r="W99" s="584">
        <f t="shared" ref="W99" si="132">V104/((72*3.1415/59)*(129.67/3.281))</f>
        <v>0</v>
      </c>
      <c r="X99" s="584"/>
      <c r="Y99" s="585"/>
      <c r="Z99" s="582" t="s">
        <v>110</v>
      </c>
      <c r="AA99" s="583"/>
      <c r="AB99" s="584">
        <f t="shared" ref="AB99" si="133">AA104/((72*3.1415/59)*(129.67/3.281))</f>
        <v>0</v>
      </c>
      <c r="AC99" s="584"/>
      <c r="AD99" s="585"/>
      <c r="AE99" s="582" t="s">
        <v>110</v>
      </c>
      <c r="AF99" s="583"/>
      <c r="AG99" s="584">
        <f t="shared" ref="AG99" si="134">AF104/((72*3.1415/59)*(129.67/3.281))</f>
        <v>0</v>
      </c>
      <c r="AH99" s="584"/>
      <c r="AI99" s="585"/>
      <c r="AJ99" s="582" t="s">
        <v>110</v>
      </c>
      <c r="AK99" s="583"/>
      <c r="AL99" s="584">
        <f t="shared" ref="AL99" si="135">AK104/((72*3.1415/59)*(129.67/3.281))</f>
        <v>0</v>
      </c>
      <c r="AM99" s="584"/>
      <c r="AN99" s="585"/>
      <c r="AO99" s="582" t="s">
        <v>110</v>
      </c>
      <c r="AP99" s="583"/>
      <c r="AQ99" s="584">
        <f t="shared" ref="AQ99" si="136">AP104/((72*3.1415/59)*(129.67/3.281))</f>
        <v>0</v>
      </c>
      <c r="AR99" s="584"/>
      <c r="AS99" s="585"/>
      <c r="AT99" s="582" t="s">
        <v>110</v>
      </c>
      <c r="AU99" s="583"/>
      <c r="AV99" s="584">
        <f t="shared" ref="AV99" si="137">AU104/((72*3.1415/59)*(129.67/3.281))</f>
        <v>0</v>
      </c>
      <c r="AW99" s="584"/>
      <c r="AX99" s="585"/>
      <c r="AY99" s="582" t="s">
        <v>110</v>
      </c>
      <c r="AZ99" s="583"/>
      <c r="BA99" s="584">
        <f t="shared" ref="BA99" si="138">AZ104/((72*3.1415/59)*(129.67/3.281))</f>
        <v>0</v>
      </c>
      <c r="BB99" s="584"/>
      <c r="BC99" s="585"/>
      <c r="BD99" s="582" t="s">
        <v>110</v>
      </c>
      <c r="BE99" s="583"/>
      <c r="BF99" s="584">
        <f t="shared" ref="BF99" si="139">BE104/((72*3.1415/59)*(129.67/3.281))</f>
        <v>0</v>
      </c>
      <c r="BG99" s="584"/>
      <c r="BH99" s="585"/>
      <c r="BI99" s="582" t="s">
        <v>110</v>
      </c>
      <c r="BJ99" s="583"/>
      <c r="BK99" s="584">
        <f t="shared" ref="BK99" si="140">BJ104/((72*3.1415/59)*(129.67/3.281))</f>
        <v>0</v>
      </c>
      <c r="BL99" s="584"/>
      <c r="BM99" s="585"/>
      <c r="BN99" s="582" t="s">
        <v>110</v>
      </c>
      <c r="BO99" s="583"/>
      <c r="BP99" s="584">
        <f t="shared" ref="BP99" si="141">BO104/((72*3.1415/59)*(129.67/3.281))</f>
        <v>0</v>
      </c>
      <c r="BQ99" s="584"/>
      <c r="BR99" s="585"/>
    </row>
    <row r="100" spans="1:70" ht="15" hidden="1" customHeight="1" x14ac:dyDescent="0.25">
      <c r="A100" s="679" t="s">
        <v>489</v>
      </c>
      <c r="B100" s="680"/>
      <c r="C100" s="685" t="s">
        <v>504</v>
      </c>
      <c r="D100" s="686"/>
      <c r="E100" s="687"/>
      <c r="F100" s="679" t="s">
        <v>489</v>
      </c>
      <c r="G100" s="680"/>
      <c r="H100" s="685" t="s">
        <v>504</v>
      </c>
      <c r="I100" s="686"/>
      <c r="J100" s="687"/>
      <c r="K100" s="679" t="s">
        <v>489</v>
      </c>
      <c r="L100" s="680"/>
      <c r="M100" s="685" t="s">
        <v>504</v>
      </c>
      <c r="N100" s="686"/>
      <c r="O100" s="687"/>
      <c r="P100" s="679" t="s">
        <v>489</v>
      </c>
      <c r="Q100" s="680"/>
      <c r="R100" s="685" t="s">
        <v>504</v>
      </c>
      <c r="S100" s="686"/>
      <c r="T100" s="687"/>
      <c r="U100" s="679" t="s">
        <v>489</v>
      </c>
      <c r="V100" s="680"/>
      <c r="W100" s="685" t="s">
        <v>504</v>
      </c>
      <c r="X100" s="686"/>
      <c r="Y100" s="687"/>
      <c r="Z100" s="679" t="s">
        <v>489</v>
      </c>
      <c r="AA100" s="680"/>
      <c r="AB100" s="685" t="s">
        <v>504</v>
      </c>
      <c r="AC100" s="686"/>
      <c r="AD100" s="687"/>
      <c r="AE100" s="679" t="s">
        <v>489</v>
      </c>
      <c r="AF100" s="680"/>
      <c r="AG100" s="685" t="s">
        <v>504</v>
      </c>
      <c r="AH100" s="686"/>
      <c r="AI100" s="687"/>
      <c r="AJ100" s="679" t="s">
        <v>489</v>
      </c>
      <c r="AK100" s="680"/>
      <c r="AL100" s="685" t="s">
        <v>504</v>
      </c>
      <c r="AM100" s="686"/>
      <c r="AN100" s="687"/>
      <c r="AO100" s="679" t="s">
        <v>489</v>
      </c>
      <c r="AP100" s="680"/>
      <c r="AQ100" s="685" t="s">
        <v>504</v>
      </c>
      <c r="AR100" s="686"/>
      <c r="AS100" s="687"/>
      <c r="AT100" s="679" t="s">
        <v>489</v>
      </c>
      <c r="AU100" s="680"/>
      <c r="AV100" s="685" t="s">
        <v>504</v>
      </c>
      <c r="AW100" s="686"/>
      <c r="AX100" s="687"/>
      <c r="AY100" s="679" t="s">
        <v>489</v>
      </c>
      <c r="AZ100" s="680"/>
      <c r="BA100" s="685" t="s">
        <v>504</v>
      </c>
      <c r="BB100" s="686"/>
      <c r="BC100" s="687"/>
      <c r="BD100" s="679" t="s">
        <v>489</v>
      </c>
      <c r="BE100" s="680"/>
      <c r="BF100" s="685" t="s">
        <v>504</v>
      </c>
      <c r="BG100" s="686"/>
      <c r="BH100" s="687"/>
      <c r="BI100" s="679" t="s">
        <v>489</v>
      </c>
      <c r="BJ100" s="680"/>
      <c r="BK100" s="685" t="s">
        <v>504</v>
      </c>
      <c r="BL100" s="686"/>
      <c r="BM100" s="687"/>
      <c r="BN100" s="679" t="s">
        <v>489</v>
      </c>
      <c r="BO100" s="680"/>
      <c r="BP100" s="685" t="s">
        <v>504</v>
      </c>
      <c r="BQ100" s="686"/>
      <c r="BR100" s="687"/>
    </row>
    <row r="101" spans="1:70" ht="6" hidden="1" customHeight="1" x14ac:dyDescent="0.25">
      <c r="A101" s="681"/>
      <c r="B101" s="682"/>
      <c r="C101" s="688"/>
      <c r="D101" s="689"/>
      <c r="E101" s="690"/>
      <c r="F101" s="681"/>
      <c r="G101" s="682"/>
      <c r="H101" s="688"/>
      <c r="I101" s="689"/>
      <c r="J101" s="690"/>
      <c r="K101" s="681"/>
      <c r="L101" s="682"/>
      <c r="M101" s="688"/>
      <c r="N101" s="689"/>
      <c r="O101" s="690"/>
      <c r="P101" s="681"/>
      <c r="Q101" s="682"/>
      <c r="R101" s="688"/>
      <c r="S101" s="689"/>
      <c r="T101" s="690"/>
      <c r="U101" s="681"/>
      <c r="V101" s="682"/>
      <c r="W101" s="688"/>
      <c r="X101" s="689"/>
      <c r="Y101" s="690"/>
      <c r="Z101" s="681"/>
      <c r="AA101" s="682"/>
      <c r="AB101" s="688"/>
      <c r="AC101" s="689"/>
      <c r="AD101" s="690"/>
      <c r="AE101" s="681"/>
      <c r="AF101" s="682"/>
      <c r="AG101" s="688"/>
      <c r="AH101" s="689"/>
      <c r="AI101" s="690"/>
      <c r="AJ101" s="681"/>
      <c r="AK101" s="682"/>
      <c r="AL101" s="688"/>
      <c r="AM101" s="689"/>
      <c r="AN101" s="690"/>
      <c r="AO101" s="681"/>
      <c r="AP101" s="682"/>
      <c r="AQ101" s="688"/>
      <c r="AR101" s="689"/>
      <c r="AS101" s="690"/>
      <c r="AT101" s="681"/>
      <c r="AU101" s="682"/>
      <c r="AV101" s="688"/>
      <c r="AW101" s="689"/>
      <c r="AX101" s="690"/>
      <c r="AY101" s="681"/>
      <c r="AZ101" s="682"/>
      <c r="BA101" s="688"/>
      <c r="BB101" s="689"/>
      <c r="BC101" s="690"/>
      <c r="BD101" s="681"/>
      <c r="BE101" s="682"/>
      <c r="BF101" s="688"/>
      <c r="BG101" s="689"/>
      <c r="BH101" s="690"/>
      <c r="BI101" s="681"/>
      <c r="BJ101" s="682"/>
      <c r="BK101" s="688"/>
      <c r="BL101" s="689"/>
      <c r="BM101" s="690"/>
      <c r="BN101" s="681"/>
      <c r="BO101" s="682"/>
      <c r="BP101" s="688"/>
      <c r="BQ101" s="689"/>
      <c r="BR101" s="690"/>
    </row>
    <row r="102" spans="1:70" ht="15" hidden="1" customHeight="1" x14ac:dyDescent="0.25">
      <c r="A102" s="683"/>
      <c r="B102" s="684"/>
      <c r="C102" s="691"/>
      <c r="D102" s="692"/>
      <c r="E102" s="693"/>
      <c r="F102" s="683"/>
      <c r="G102" s="684"/>
      <c r="H102" s="691"/>
      <c r="I102" s="692"/>
      <c r="J102" s="693"/>
      <c r="K102" s="683"/>
      <c r="L102" s="684"/>
      <c r="M102" s="691"/>
      <c r="N102" s="692"/>
      <c r="O102" s="693"/>
      <c r="P102" s="683"/>
      <c r="Q102" s="684"/>
      <c r="R102" s="691"/>
      <c r="S102" s="692"/>
      <c r="T102" s="693"/>
      <c r="U102" s="683"/>
      <c r="V102" s="684"/>
      <c r="W102" s="691"/>
      <c r="X102" s="692"/>
      <c r="Y102" s="693"/>
      <c r="Z102" s="683"/>
      <c r="AA102" s="684"/>
      <c r="AB102" s="691"/>
      <c r="AC102" s="692"/>
      <c r="AD102" s="693"/>
      <c r="AE102" s="683"/>
      <c r="AF102" s="684"/>
      <c r="AG102" s="691"/>
      <c r="AH102" s="692"/>
      <c r="AI102" s="693"/>
      <c r="AJ102" s="683"/>
      <c r="AK102" s="684"/>
      <c r="AL102" s="691"/>
      <c r="AM102" s="692"/>
      <c r="AN102" s="693"/>
      <c r="AO102" s="683"/>
      <c r="AP102" s="684"/>
      <c r="AQ102" s="691"/>
      <c r="AR102" s="692"/>
      <c r="AS102" s="693"/>
      <c r="AT102" s="683"/>
      <c r="AU102" s="684"/>
      <c r="AV102" s="691"/>
      <c r="AW102" s="692"/>
      <c r="AX102" s="693"/>
      <c r="AY102" s="683"/>
      <c r="AZ102" s="684"/>
      <c r="BA102" s="691"/>
      <c r="BB102" s="692"/>
      <c r="BC102" s="693"/>
      <c r="BD102" s="683"/>
      <c r="BE102" s="684"/>
      <c r="BF102" s="691"/>
      <c r="BG102" s="692"/>
      <c r="BH102" s="693"/>
      <c r="BI102" s="683"/>
      <c r="BJ102" s="684"/>
      <c r="BK102" s="691"/>
      <c r="BL102" s="692"/>
      <c r="BM102" s="693"/>
      <c r="BN102" s="683"/>
      <c r="BO102" s="684"/>
      <c r="BP102" s="691"/>
      <c r="BQ102" s="692"/>
      <c r="BR102" s="693"/>
    </row>
    <row r="103" spans="1:70" ht="111.75" hidden="1" customHeight="1" x14ac:dyDescent="0.25">
      <c r="A103" s="1470" t="s">
        <v>500</v>
      </c>
      <c r="B103" s="694"/>
      <c r="C103" s="695"/>
      <c r="D103" s="695"/>
      <c r="E103" s="696"/>
      <c r="F103" s="1470" t="s">
        <v>500</v>
      </c>
      <c r="G103" s="694"/>
      <c r="H103" s="695"/>
      <c r="I103" s="695"/>
      <c r="J103" s="696"/>
      <c r="K103" s="1470" t="s">
        <v>500</v>
      </c>
      <c r="L103" s="694"/>
      <c r="M103" s="695"/>
      <c r="N103" s="695"/>
      <c r="O103" s="696"/>
      <c r="P103" s="1470" t="s">
        <v>500</v>
      </c>
      <c r="Q103" s="694"/>
      <c r="R103" s="695"/>
      <c r="S103" s="695"/>
      <c r="T103" s="696"/>
      <c r="U103" s="1470" t="s">
        <v>500</v>
      </c>
      <c r="V103" s="694"/>
      <c r="W103" s="695"/>
      <c r="X103" s="695"/>
      <c r="Y103" s="696"/>
      <c r="Z103" s="1470" t="s">
        <v>500</v>
      </c>
      <c r="AA103" s="694"/>
      <c r="AB103" s="695"/>
      <c r="AC103" s="695"/>
      <c r="AD103" s="696"/>
      <c r="AE103" s="1470" t="s">
        <v>500</v>
      </c>
      <c r="AF103" s="694"/>
      <c r="AG103" s="695"/>
      <c r="AH103" s="695"/>
      <c r="AI103" s="696"/>
      <c r="AJ103" s="1470" t="s">
        <v>500</v>
      </c>
      <c r="AK103" s="694"/>
      <c r="AL103" s="695"/>
      <c r="AM103" s="695"/>
      <c r="AN103" s="696"/>
      <c r="AO103" s="1470" t="s">
        <v>500</v>
      </c>
      <c r="AP103" s="694"/>
      <c r="AQ103" s="695"/>
      <c r="AR103" s="695"/>
      <c r="AS103" s="696"/>
      <c r="AT103" s="1470" t="s">
        <v>500</v>
      </c>
      <c r="AU103" s="694"/>
      <c r="AV103" s="695"/>
      <c r="AW103" s="695"/>
      <c r="AX103" s="696"/>
      <c r="AY103" s="1470" t="s">
        <v>500</v>
      </c>
      <c r="AZ103" s="694"/>
      <c r="BA103" s="695"/>
      <c r="BB103" s="695"/>
      <c r="BC103" s="696"/>
      <c r="BD103" s="1470" t="s">
        <v>500</v>
      </c>
      <c r="BE103" s="694"/>
      <c r="BF103" s="695"/>
      <c r="BG103" s="695"/>
      <c r="BH103" s="696"/>
      <c r="BI103" s="586" t="s">
        <v>500</v>
      </c>
      <c r="BJ103" s="694"/>
      <c r="BK103" s="695"/>
      <c r="BL103" s="695"/>
      <c r="BM103" s="696"/>
      <c r="BN103" s="586" t="s">
        <v>500</v>
      </c>
      <c r="BO103" s="694"/>
      <c r="BP103" s="695"/>
      <c r="BQ103" s="695"/>
      <c r="BR103" s="696"/>
    </row>
    <row r="104" spans="1:70" ht="50.25" hidden="1" customHeight="1" thickBot="1" x14ac:dyDescent="0.3">
      <c r="A104" s="1471"/>
      <c r="B104" s="334"/>
      <c r="C104" s="335" t="s">
        <v>113</v>
      </c>
      <c r="D104" s="336"/>
      <c r="E104" s="337" t="s">
        <v>114</v>
      </c>
      <c r="F104" s="1471"/>
      <c r="G104" s="334"/>
      <c r="H104" s="335" t="s">
        <v>113</v>
      </c>
      <c r="I104" s="336"/>
      <c r="J104" s="337" t="s">
        <v>114</v>
      </c>
      <c r="K104" s="1471"/>
      <c r="L104" s="334"/>
      <c r="M104" s="335" t="s">
        <v>113</v>
      </c>
      <c r="N104" s="336"/>
      <c r="O104" s="337" t="s">
        <v>114</v>
      </c>
      <c r="P104" s="1471"/>
      <c r="Q104" s="334"/>
      <c r="R104" s="335" t="s">
        <v>113</v>
      </c>
      <c r="S104" s="336"/>
      <c r="T104" s="337" t="s">
        <v>114</v>
      </c>
      <c r="U104" s="1471"/>
      <c r="V104" s="334"/>
      <c r="W104" s="335" t="s">
        <v>113</v>
      </c>
      <c r="X104" s="336"/>
      <c r="Y104" s="337" t="s">
        <v>114</v>
      </c>
      <c r="Z104" s="1471"/>
      <c r="AA104" s="334"/>
      <c r="AB104" s="335" t="s">
        <v>113</v>
      </c>
      <c r="AC104" s="336"/>
      <c r="AD104" s="337" t="s">
        <v>114</v>
      </c>
      <c r="AE104" s="1471"/>
      <c r="AF104" s="334"/>
      <c r="AG104" s="335" t="s">
        <v>113</v>
      </c>
      <c r="AH104" s="336"/>
      <c r="AI104" s="337" t="s">
        <v>114</v>
      </c>
      <c r="AJ104" s="1471"/>
      <c r="AK104" s="334"/>
      <c r="AL104" s="335" t="s">
        <v>113</v>
      </c>
      <c r="AM104" s="336"/>
      <c r="AN104" s="337" t="s">
        <v>114</v>
      </c>
      <c r="AO104" s="1471"/>
      <c r="AP104" s="334"/>
      <c r="AQ104" s="335" t="s">
        <v>113</v>
      </c>
      <c r="AR104" s="336"/>
      <c r="AS104" s="337" t="s">
        <v>114</v>
      </c>
      <c r="AT104" s="1471"/>
      <c r="AU104" s="334"/>
      <c r="AV104" s="335" t="s">
        <v>113</v>
      </c>
      <c r="AW104" s="336"/>
      <c r="AX104" s="337" t="s">
        <v>114</v>
      </c>
      <c r="AY104" s="1471"/>
      <c r="AZ104" s="334"/>
      <c r="BA104" s="335" t="s">
        <v>113</v>
      </c>
      <c r="BB104" s="336"/>
      <c r="BC104" s="337" t="s">
        <v>114</v>
      </c>
      <c r="BD104" s="1471"/>
      <c r="BE104" s="334"/>
      <c r="BF104" s="335" t="s">
        <v>113</v>
      </c>
      <c r="BG104" s="336"/>
      <c r="BH104" s="337" t="s">
        <v>114</v>
      </c>
      <c r="BI104" s="587"/>
      <c r="BJ104" s="334"/>
      <c r="BK104" s="335" t="s">
        <v>113</v>
      </c>
      <c r="BL104" s="336"/>
      <c r="BM104" s="337" t="s">
        <v>114</v>
      </c>
      <c r="BN104" s="587"/>
      <c r="BO104" s="334"/>
      <c r="BP104" s="335" t="s">
        <v>113</v>
      </c>
      <c r="BQ104" s="336"/>
      <c r="BR104" s="337" t="s">
        <v>114</v>
      </c>
    </row>
    <row r="105" spans="1:70" ht="47.25" hidden="1" customHeight="1" thickTop="1" x14ac:dyDescent="0.25">
      <c r="A105" s="582" t="s">
        <v>110</v>
      </c>
      <c r="B105" s="583"/>
      <c r="C105" s="584">
        <f t="shared" ref="C105" si="142">B110/((72*3.1415/59)*(129.67/3.281))</f>
        <v>0</v>
      </c>
      <c r="D105" s="584"/>
      <c r="E105" s="585"/>
      <c r="F105" s="582" t="s">
        <v>110</v>
      </c>
      <c r="G105" s="583"/>
      <c r="H105" s="584">
        <f t="shared" ref="H105" si="143">G110/((72*3.1415/59)*(129.67/3.281))</f>
        <v>0</v>
      </c>
      <c r="I105" s="584"/>
      <c r="J105" s="585"/>
      <c r="K105" s="582" t="s">
        <v>110</v>
      </c>
      <c r="L105" s="583"/>
      <c r="M105" s="584">
        <f t="shared" ref="M105" si="144">L110/((72*3.1415/59)*(129.67/3.281))</f>
        <v>0</v>
      </c>
      <c r="N105" s="584"/>
      <c r="O105" s="585"/>
      <c r="P105" s="582" t="s">
        <v>110</v>
      </c>
      <c r="Q105" s="583"/>
      <c r="R105" s="584">
        <f t="shared" ref="R105" si="145">Q110/((72*3.1415/59)*(129.67/3.281))</f>
        <v>0</v>
      </c>
      <c r="S105" s="584"/>
      <c r="T105" s="585"/>
      <c r="U105" s="582" t="s">
        <v>110</v>
      </c>
      <c r="V105" s="583"/>
      <c r="W105" s="584">
        <f t="shared" ref="W105" si="146">V110/((72*3.1415/59)*(129.67/3.281))</f>
        <v>0</v>
      </c>
      <c r="X105" s="584"/>
      <c r="Y105" s="585"/>
      <c r="Z105" s="582" t="s">
        <v>110</v>
      </c>
      <c r="AA105" s="583"/>
      <c r="AB105" s="584">
        <f t="shared" ref="AB105" si="147">AA110/((72*3.1415/59)*(129.67/3.281))</f>
        <v>0</v>
      </c>
      <c r="AC105" s="584"/>
      <c r="AD105" s="585"/>
      <c r="AE105" s="582" t="s">
        <v>110</v>
      </c>
      <c r="AF105" s="583"/>
      <c r="AG105" s="584">
        <f t="shared" ref="AG105" si="148">AF110/((72*3.1415/59)*(129.67/3.281))</f>
        <v>0</v>
      </c>
      <c r="AH105" s="584"/>
      <c r="AI105" s="585"/>
      <c r="AJ105" s="582" t="s">
        <v>110</v>
      </c>
      <c r="AK105" s="583"/>
      <c r="AL105" s="584">
        <f t="shared" ref="AL105" si="149">AK110/((72*3.1415/59)*(129.67/3.281))</f>
        <v>0</v>
      </c>
      <c r="AM105" s="584"/>
      <c r="AN105" s="585"/>
      <c r="AO105" s="582" t="s">
        <v>110</v>
      </c>
      <c r="AP105" s="583"/>
      <c r="AQ105" s="584">
        <f t="shared" ref="AQ105" si="150">AP110/((72*3.1415/59)*(129.67/3.281))</f>
        <v>0</v>
      </c>
      <c r="AR105" s="584"/>
      <c r="AS105" s="585"/>
      <c r="AT105" s="582" t="s">
        <v>110</v>
      </c>
      <c r="AU105" s="583"/>
      <c r="AV105" s="584">
        <f t="shared" ref="AV105" si="151">AU110/((72*3.1415/59)*(129.67/3.281))</f>
        <v>0</v>
      </c>
      <c r="AW105" s="584"/>
      <c r="AX105" s="585"/>
      <c r="AY105" s="582" t="s">
        <v>110</v>
      </c>
      <c r="AZ105" s="583"/>
      <c r="BA105" s="584">
        <f t="shared" ref="BA105" si="152">AZ110/((72*3.1415/59)*(129.67/3.281))</f>
        <v>0</v>
      </c>
      <c r="BB105" s="584"/>
      <c r="BC105" s="585"/>
      <c r="BD105" s="582" t="s">
        <v>110</v>
      </c>
      <c r="BE105" s="583"/>
      <c r="BF105" s="584">
        <f t="shared" ref="BF105" si="153">BE110/((72*3.1415/59)*(129.67/3.281))</f>
        <v>0</v>
      </c>
      <c r="BG105" s="584"/>
      <c r="BH105" s="585"/>
      <c r="BI105" s="582" t="s">
        <v>110</v>
      </c>
      <c r="BJ105" s="583"/>
      <c r="BK105" s="584">
        <f t="shared" ref="BK105" si="154">BJ110/((72*3.1415/59)*(129.67/3.281))</f>
        <v>0</v>
      </c>
      <c r="BL105" s="584"/>
      <c r="BM105" s="585"/>
      <c r="BN105" s="582" t="s">
        <v>110</v>
      </c>
      <c r="BO105" s="583"/>
      <c r="BP105" s="584">
        <f t="shared" ref="BP105" si="155">BO110/((72*3.1415/59)*(129.67/3.281))</f>
        <v>0</v>
      </c>
      <c r="BQ105" s="584"/>
      <c r="BR105" s="585"/>
    </row>
    <row r="106" spans="1:70" ht="20.25" hidden="1" customHeight="1" x14ac:dyDescent="0.25">
      <c r="A106" s="679" t="s">
        <v>489</v>
      </c>
      <c r="B106" s="680"/>
      <c r="C106" s="685" t="s">
        <v>504</v>
      </c>
      <c r="D106" s="686"/>
      <c r="E106" s="687"/>
      <c r="F106" s="679" t="s">
        <v>489</v>
      </c>
      <c r="G106" s="680"/>
      <c r="H106" s="685" t="s">
        <v>504</v>
      </c>
      <c r="I106" s="686"/>
      <c r="J106" s="687"/>
      <c r="K106" s="679" t="s">
        <v>489</v>
      </c>
      <c r="L106" s="680"/>
      <c r="M106" s="685" t="s">
        <v>504</v>
      </c>
      <c r="N106" s="686"/>
      <c r="O106" s="687"/>
      <c r="P106" s="679" t="s">
        <v>489</v>
      </c>
      <c r="Q106" s="680"/>
      <c r="R106" s="685" t="s">
        <v>504</v>
      </c>
      <c r="S106" s="686"/>
      <c r="T106" s="687"/>
      <c r="U106" s="679" t="s">
        <v>489</v>
      </c>
      <c r="V106" s="680"/>
      <c r="W106" s="685" t="s">
        <v>504</v>
      </c>
      <c r="X106" s="686"/>
      <c r="Y106" s="687"/>
      <c r="Z106" s="679" t="s">
        <v>489</v>
      </c>
      <c r="AA106" s="680"/>
      <c r="AB106" s="685" t="s">
        <v>504</v>
      </c>
      <c r="AC106" s="686"/>
      <c r="AD106" s="687"/>
      <c r="AE106" s="679" t="s">
        <v>489</v>
      </c>
      <c r="AF106" s="680"/>
      <c r="AG106" s="685" t="s">
        <v>504</v>
      </c>
      <c r="AH106" s="686"/>
      <c r="AI106" s="687"/>
      <c r="AJ106" s="679" t="s">
        <v>489</v>
      </c>
      <c r="AK106" s="680"/>
      <c r="AL106" s="685" t="s">
        <v>504</v>
      </c>
      <c r="AM106" s="686"/>
      <c r="AN106" s="687"/>
      <c r="AO106" s="679" t="s">
        <v>489</v>
      </c>
      <c r="AP106" s="680"/>
      <c r="AQ106" s="685" t="s">
        <v>504</v>
      </c>
      <c r="AR106" s="686"/>
      <c r="AS106" s="687"/>
      <c r="AT106" s="679" t="s">
        <v>489</v>
      </c>
      <c r="AU106" s="680"/>
      <c r="AV106" s="685" t="s">
        <v>504</v>
      </c>
      <c r="AW106" s="686"/>
      <c r="AX106" s="687"/>
      <c r="AY106" s="679" t="s">
        <v>489</v>
      </c>
      <c r="AZ106" s="680"/>
      <c r="BA106" s="685" t="s">
        <v>504</v>
      </c>
      <c r="BB106" s="686"/>
      <c r="BC106" s="687"/>
      <c r="BD106" s="679" t="s">
        <v>489</v>
      </c>
      <c r="BE106" s="680"/>
      <c r="BF106" s="685" t="s">
        <v>504</v>
      </c>
      <c r="BG106" s="686"/>
      <c r="BH106" s="687"/>
      <c r="BI106" s="679" t="s">
        <v>489</v>
      </c>
      <c r="BJ106" s="680"/>
      <c r="BK106" s="685" t="s">
        <v>504</v>
      </c>
      <c r="BL106" s="686"/>
      <c r="BM106" s="687"/>
      <c r="BN106" s="679" t="s">
        <v>489</v>
      </c>
      <c r="BO106" s="680"/>
      <c r="BP106" s="685" t="s">
        <v>504</v>
      </c>
      <c r="BQ106" s="686"/>
      <c r="BR106" s="687"/>
    </row>
    <row r="107" spans="1:70" ht="3.75" hidden="1" customHeight="1" x14ac:dyDescent="0.25">
      <c r="A107" s="681"/>
      <c r="B107" s="682"/>
      <c r="C107" s="688"/>
      <c r="D107" s="689"/>
      <c r="E107" s="690"/>
      <c r="F107" s="681"/>
      <c r="G107" s="682"/>
      <c r="H107" s="688"/>
      <c r="I107" s="689"/>
      <c r="J107" s="690"/>
      <c r="K107" s="681"/>
      <c r="L107" s="682"/>
      <c r="M107" s="688"/>
      <c r="N107" s="689"/>
      <c r="O107" s="690"/>
      <c r="P107" s="681"/>
      <c r="Q107" s="682"/>
      <c r="R107" s="688"/>
      <c r="S107" s="689"/>
      <c r="T107" s="690"/>
      <c r="U107" s="681"/>
      <c r="V107" s="682"/>
      <c r="W107" s="688"/>
      <c r="X107" s="689"/>
      <c r="Y107" s="690"/>
      <c r="Z107" s="681"/>
      <c r="AA107" s="682"/>
      <c r="AB107" s="688"/>
      <c r="AC107" s="689"/>
      <c r="AD107" s="690"/>
      <c r="AE107" s="681"/>
      <c r="AF107" s="682"/>
      <c r="AG107" s="688"/>
      <c r="AH107" s="689"/>
      <c r="AI107" s="690"/>
      <c r="AJ107" s="681"/>
      <c r="AK107" s="682"/>
      <c r="AL107" s="688"/>
      <c r="AM107" s="689"/>
      <c r="AN107" s="690"/>
      <c r="AO107" s="681"/>
      <c r="AP107" s="682"/>
      <c r="AQ107" s="688"/>
      <c r="AR107" s="689"/>
      <c r="AS107" s="690"/>
      <c r="AT107" s="681"/>
      <c r="AU107" s="682"/>
      <c r="AV107" s="688"/>
      <c r="AW107" s="689"/>
      <c r="AX107" s="690"/>
      <c r="AY107" s="681"/>
      <c r="AZ107" s="682"/>
      <c r="BA107" s="688"/>
      <c r="BB107" s="689"/>
      <c r="BC107" s="690"/>
      <c r="BD107" s="681"/>
      <c r="BE107" s="682"/>
      <c r="BF107" s="688"/>
      <c r="BG107" s="689"/>
      <c r="BH107" s="690"/>
      <c r="BI107" s="681"/>
      <c r="BJ107" s="682"/>
      <c r="BK107" s="688"/>
      <c r="BL107" s="689"/>
      <c r="BM107" s="690"/>
      <c r="BN107" s="681"/>
      <c r="BO107" s="682"/>
      <c r="BP107" s="688"/>
      <c r="BQ107" s="689"/>
      <c r="BR107" s="690"/>
    </row>
    <row r="108" spans="1:70" ht="15" hidden="1" customHeight="1" x14ac:dyDescent="0.25">
      <c r="A108" s="683"/>
      <c r="B108" s="684"/>
      <c r="C108" s="691"/>
      <c r="D108" s="692"/>
      <c r="E108" s="693"/>
      <c r="F108" s="683"/>
      <c r="G108" s="684"/>
      <c r="H108" s="691"/>
      <c r="I108" s="692"/>
      <c r="J108" s="693"/>
      <c r="K108" s="683"/>
      <c r="L108" s="684"/>
      <c r="M108" s="691"/>
      <c r="N108" s="692"/>
      <c r="O108" s="693"/>
      <c r="P108" s="683"/>
      <c r="Q108" s="684"/>
      <c r="R108" s="691"/>
      <c r="S108" s="692"/>
      <c r="T108" s="693"/>
      <c r="U108" s="683"/>
      <c r="V108" s="684"/>
      <c r="W108" s="691"/>
      <c r="X108" s="692"/>
      <c r="Y108" s="693"/>
      <c r="Z108" s="683"/>
      <c r="AA108" s="684"/>
      <c r="AB108" s="691"/>
      <c r="AC108" s="692"/>
      <c r="AD108" s="693"/>
      <c r="AE108" s="683"/>
      <c r="AF108" s="684"/>
      <c r="AG108" s="691"/>
      <c r="AH108" s="692"/>
      <c r="AI108" s="693"/>
      <c r="AJ108" s="683"/>
      <c r="AK108" s="684"/>
      <c r="AL108" s="691"/>
      <c r="AM108" s="692"/>
      <c r="AN108" s="693"/>
      <c r="AO108" s="683"/>
      <c r="AP108" s="684"/>
      <c r="AQ108" s="691"/>
      <c r="AR108" s="692"/>
      <c r="AS108" s="693"/>
      <c r="AT108" s="683"/>
      <c r="AU108" s="684"/>
      <c r="AV108" s="691"/>
      <c r="AW108" s="692"/>
      <c r="AX108" s="693"/>
      <c r="AY108" s="683"/>
      <c r="AZ108" s="684"/>
      <c r="BA108" s="691"/>
      <c r="BB108" s="692"/>
      <c r="BC108" s="693"/>
      <c r="BD108" s="683"/>
      <c r="BE108" s="684"/>
      <c r="BF108" s="691"/>
      <c r="BG108" s="692"/>
      <c r="BH108" s="693"/>
      <c r="BI108" s="683"/>
      <c r="BJ108" s="684"/>
      <c r="BK108" s="691"/>
      <c r="BL108" s="692"/>
      <c r="BM108" s="693"/>
      <c r="BN108" s="683"/>
      <c r="BO108" s="684"/>
      <c r="BP108" s="691"/>
      <c r="BQ108" s="692"/>
      <c r="BR108" s="693"/>
    </row>
    <row r="109" spans="1:70" s="22" customFormat="1" ht="111.75" hidden="1" customHeight="1" x14ac:dyDescent="1.35">
      <c r="A109" s="1470" t="s">
        <v>500</v>
      </c>
      <c r="B109" s="694"/>
      <c r="C109" s="695"/>
      <c r="D109" s="695"/>
      <c r="E109" s="696"/>
      <c r="F109" s="1470" t="s">
        <v>500</v>
      </c>
      <c r="G109" s="694"/>
      <c r="H109" s="695"/>
      <c r="I109" s="695"/>
      <c r="J109" s="696"/>
      <c r="K109" s="1470" t="s">
        <v>500</v>
      </c>
      <c r="L109" s="694"/>
      <c r="M109" s="695"/>
      <c r="N109" s="695"/>
      <c r="O109" s="696"/>
      <c r="P109" s="1470" t="s">
        <v>500</v>
      </c>
      <c r="Q109" s="694"/>
      <c r="R109" s="695"/>
      <c r="S109" s="695"/>
      <c r="T109" s="696"/>
      <c r="U109" s="1470" t="s">
        <v>500</v>
      </c>
      <c r="V109" s="694"/>
      <c r="W109" s="695"/>
      <c r="X109" s="695"/>
      <c r="Y109" s="696"/>
      <c r="Z109" s="1470" t="s">
        <v>500</v>
      </c>
      <c r="AA109" s="694"/>
      <c r="AB109" s="695"/>
      <c r="AC109" s="695"/>
      <c r="AD109" s="696"/>
      <c r="AE109" s="1470" t="s">
        <v>500</v>
      </c>
      <c r="AF109" s="694"/>
      <c r="AG109" s="695"/>
      <c r="AH109" s="695"/>
      <c r="AI109" s="696"/>
      <c r="AJ109" s="1470" t="s">
        <v>500</v>
      </c>
      <c r="AK109" s="694"/>
      <c r="AL109" s="695"/>
      <c r="AM109" s="695"/>
      <c r="AN109" s="696"/>
      <c r="AO109" s="1470" t="s">
        <v>500</v>
      </c>
      <c r="AP109" s="694"/>
      <c r="AQ109" s="695"/>
      <c r="AR109" s="695"/>
      <c r="AS109" s="696"/>
      <c r="AT109" s="1470" t="s">
        <v>500</v>
      </c>
      <c r="AU109" s="694"/>
      <c r="AV109" s="695"/>
      <c r="AW109" s="695"/>
      <c r="AX109" s="696"/>
      <c r="AY109" s="1470" t="s">
        <v>500</v>
      </c>
      <c r="AZ109" s="694"/>
      <c r="BA109" s="695"/>
      <c r="BB109" s="695"/>
      <c r="BC109" s="696"/>
      <c r="BD109" s="1470" t="s">
        <v>500</v>
      </c>
      <c r="BE109" s="694"/>
      <c r="BF109" s="695"/>
      <c r="BG109" s="695"/>
      <c r="BH109" s="696"/>
      <c r="BI109" s="586" t="s">
        <v>500</v>
      </c>
      <c r="BJ109" s="694"/>
      <c r="BK109" s="695"/>
      <c r="BL109" s="695"/>
      <c r="BM109" s="696"/>
      <c r="BN109" s="586" t="s">
        <v>500</v>
      </c>
      <c r="BO109" s="694"/>
      <c r="BP109" s="695"/>
      <c r="BQ109" s="695"/>
      <c r="BR109" s="696"/>
    </row>
    <row r="110" spans="1:70" ht="50.25" hidden="1" customHeight="1" thickBot="1" x14ac:dyDescent="0.3">
      <c r="A110" s="1471"/>
      <c r="B110" s="334"/>
      <c r="C110" s="335" t="s">
        <v>113</v>
      </c>
      <c r="D110" s="336"/>
      <c r="E110" s="337" t="s">
        <v>114</v>
      </c>
      <c r="F110" s="1471"/>
      <c r="G110" s="334"/>
      <c r="H110" s="335" t="s">
        <v>113</v>
      </c>
      <c r="I110" s="336"/>
      <c r="J110" s="337" t="s">
        <v>114</v>
      </c>
      <c r="K110" s="1471"/>
      <c r="L110" s="334"/>
      <c r="M110" s="335" t="s">
        <v>113</v>
      </c>
      <c r="N110" s="336"/>
      <c r="O110" s="337" t="s">
        <v>114</v>
      </c>
      <c r="P110" s="1471"/>
      <c r="Q110" s="334"/>
      <c r="R110" s="335" t="s">
        <v>113</v>
      </c>
      <c r="S110" s="336"/>
      <c r="T110" s="337" t="s">
        <v>114</v>
      </c>
      <c r="U110" s="1471"/>
      <c r="V110" s="334"/>
      <c r="W110" s="335" t="s">
        <v>113</v>
      </c>
      <c r="X110" s="336"/>
      <c r="Y110" s="337" t="s">
        <v>114</v>
      </c>
      <c r="Z110" s="1471"/>
      <c r="AA110" s="334"/>
      <c r="AB110" s="335" t="s">
        <v>113</v>
      </c>
      <c r="AC110" s="336"/>
      <c r="AD110" s="337" t="s">
        <v>114</v>
      </c>
      <c r="AE110" s="1471"/>
      <c r="AF110" s="334"/>
      <c r="AG110" s="335" t="s">
        <v>113</v>
      </c>
      <c r="AH110" s="336"/>
      <c r="AI110" s="337" t="s">
        <v>114</v>
      </c>
      <c r="AJ110" s="1471"/>
      <c r="AK110" s="334"/>
      <c r="AL110" s="335" t="s">
        <v>113</v>
      </c>
      <c r="AM110" s="336"/>
      <c r="AN110" s="337" t="s">
        <v>114</v>
      </c>
      <c r="AO110" s="1471"/>
      <c r="AP110" s="334"/>
      <c r="AQ110" s="335" t="s">
        <v>113</v>
      </c>
      <c r="AR110" s="336"/>
      <c r="AS110" s="337" t="s">
        <v>114</v>
      </c>
      <c r="AT110" s="1471"/>
      <c r="AU110" s="334"/>
      <c r="AV110" s="335" t="s">
        <v>113</v>
      </c>
      <c r="AW110" s="336"/>
      <c r="AX110" s="337" t="s">
        <v>114</v>
      </c>
      <c r="AY110" s="1471"/>
      <c r="AZ110" s="334"/>
      <c r="BA110" s="335" t="s">
        <v>113</v>
      </c>
      <c r="BB110" s="336"/>
      <c r="BC110" s="337" t="s">
        <v>114</v>
      </c>
      <c r="BD110" s="1471"/>
      <c r="BE110" s="334"/>
      <c r="BF110" s="335" t="s">
        <v>113</v>
      </c>
      <c r="BG110" s="336"/>
      <c r="BH110" s="337" t="s">
        <v>114</v>
      </c>
      <c r="BI110" s="587"/>
      <c r="BJ110" s="334"/>
      <c r="BK110" s="335" t="s">
        <v>113</v>
      </c>
      <c r="BL110" s="336"/>
      <c r="BM110" s="337" t="s">
        <v>114</v>
      </c>
      <c r="BN110" s="587"/>
      <c r="BO110" s="334"/>
      <c r="BP110" s="335" t="s">
        <v>113</v>
      </c>
      <c r="BQ110" s="336"/>
      <c r="BR110" s="337" t="s">
        <v>114</v>
      </c>
    </row>
    <row r="111" spans="1:70" ht="53.25" hidden="1" customHeight="1" thickTop="1" x14ac:dyDescent="0.25">
      <c r="A111" s="582" t="s">
        <v>110</v>
      </c>
      <c r="B111" s="583"/>
      <c r="C111" s="584">
        <f t="shared" ref="C111" si="156">B116/((72*3.1415/59)*(129.67/3.281))</f>
        <v>0</v>
      </c>
      <c r="D111" s="584"/>
      <c r="E111" s="585"/>
      <c r="F111" s="582" t="s">
        <v>110</v>
      </c>
      <c r="G111" s="583"/>
      <c r="H111" s="584">
        <f t="shared" ref="H111" si="157">G116/((72*3.1415/59)*(129.67/3.281))</f>
        <v>0</v>
      </c>
      <c r="I111" s="584"/>
      <c r="J111" s="585"/>
      <c r="K111" s="712"/>
      <c r="L111" s="710"/>
      <c r="M111" s="711"/>
      <c r="N111" s="711"/>
      <c r="O111" s="711"/>
      <c r="P111" s="710"/>
      <c r="Q111" s="710"/>
      <c r="R111" s="711"/>
      <c r="S111" s="711"/>
      <c r="T111" s="711"/>
      <c r="U111" s="710"/>
      <c r="V111" s="710"/>
      <c r="W111" s="711"/>
      <c r="X111" s="711"/>
      <c r="Y111" s="711"/>
      <c r="Z111" s="710"/>
      <c r="AA111" s="710"/>
      <c r="AB111" s="711"/>
      <c r="AC111" s="711"/>
      <c r="AD111" s="711"/>
      <c r="AE111" s="710"/>
      <c r="AF111" s="710"/>
      <c r="AG111" s="711"/>
      <c r="AH111" s="711"/>
      <c r="AI111" s="711"/>
      <c r="AJ111" s="710"/>
      <c r="AK111" s="710"/>
      <c r="AL111" s="711"/>
      <c r="AM111" s="711"/>
      <c r="AN111" s="711"/>
      <c r="AO111" s="710"/>
      <c r="AP111" s="710"/>
      <c r="AQ111" s="711"/>
      <c r="AR111" s="711"/>
      <c r="AS111" s="711"/>
      <c r="AT111" s="710"/>
      <c r="AU111" s="710"/>
      <c r="AV111" s="711"/>
      <c r="AW111" s="711"/>
      <c r="AX111" s="711"/>
      <c r="AY111" s="710"/>
      <c r="AZ111" s="710"/>
      <c r="BA111" s="711"/>
      <c r="BB111" s="711"/>
      <c r="BC111" s="711"/>
      <c r="BD111" s="710"/>
      <c r="BE111" s="710"/>
      <c r="BF111" s="711"/>
      <c r="BG111" s="711"/>
      <c r="BH111" s="711"/>
      <c r="BI111" s="710"/>
      <c r="BJ111" s="710"/>
      <c r="BK111" s="711"/>
      <c r="BL111" s="711"/>
      <c r="BM111" s="711"/>
      <c r="BN111" s="710"/>
      <c r="BO111" s="710"/>
      <c r="BP111" s="711"/>
      <c r="BQ111" s="711"/>
      <c r="BR111" s="711"/>
    </row>
    <row r="112" spans="1:70" ht="15" hidden="1" customHeight="1" x14ac:dyDescent="0.25">
      <c r="A112" s="679" t="s">
        <v>489</v>
      </c>
      <c r="B112" s="680"/>
      <c r="C112" s="685" t="s">
        <v>504</v>
      </c>
      <c r="D112" s="686"/>
      <c r="E112" s="687"/>
      <c r="F112" s="679" t="s">
        <v>489</v>
      </c>
      <c r="G112" s="680"/>
      <c r="H112" s="685" t="s">
        <v>504</v>
      </c>
      <c r="I112" s="686"/>
      <c r="J112" s="687"/>
      <c r="K112" s="721"/>
      <c r="L112" s="714"/>
      <c r="M112" s="714"/>
      <c r="N112" s="714"/>
      <c r="O112" s="714"/>
      <c r="P112" s="714"/>
      <c r="Q112" s="714"/>
      <c r="R112" s="714"/>
      <c r="S112" s="714"/>
      <c r="T112" s="714"/>
      <c r="U112" s="714"/>
      <c r="V112" s="714"/>
      <c r="W112" s="714"/>
      <c r="X112" s="714"/>
      <c r="Y112" s="714"/>
      <c r="Z112" s="714"/>
      <c r="AA112" s="714"/>
      <c r="AB112" s="714"/>
      <c r="AC112" s="714"/>
      <c r="AD112" s="714"/>
      <c r="AE112" s="714"/>
      <c r="AF112" s="714"/>
      <c r="AG112" s="714"/>
      <c r="AH112" s="714"/>
      <c r="AI112" s="714"/>
      <c r="AJ112" s="714"/>
      <c r="AK112" s="714"/>
      <c r="AL112" s="714"/>
      <c r="AM112" s="714"/>
      <c r="AN112" s="714"/>
      <c r="AO112" s="714"/>
      <c r="AP112" s="714"/>
      <c r="AQ112" s="714"/>
      <c r="AR112" s="714"/>
      <c r="AS112" s="714"/>
      <c r="AT112" s="714"/>
      <c r="AU112" s="714"/>
      <c r="AV112" s="714"/>
      <c r="AW112" s="714"/>
      <c r="AX112" s="714"/>
      <c r="AY112" s="714"/>
      <c r="AZ112" s="714"/>
      <c r="BA112" s="714"/>
      <c r="BB112" s="714"/>
      <c r="BC112" s="714"/>
      <c r="BD112" s="714"/>
      <c r="BE112" s="714"/>
      <c r="BF112" s="714"/>
      <c r="BG112" s="714"/>
      <c r="BH112" s="714"/>
      <c r="BI112" s="714"/>
      <c r="BJ112" s="714"/>
      <c r="BK112" s="714"/>
      <c r="BL112" s="714"/>
      <c r="BM112" s="714"/>
      <c r="BN112" s="714"/>
      <c r="BO112" s="714"/>
      <c r="BP112" s="714"/>
      <c r="BQ112" s="714"/>
      <c r="BR112" s="714"/>
    </row>
    <row r="113" spans="1:70" ht="6" hidden="1" customHeight="1" x14ac:dyDescent="0.25">
      <c r="A113" s="681"/>
      <c r="B113" s="682"/>
      <c r="C113" s="688"/>
      <c r="D113" s="689"/>
      <c r="E113" s="690"/>
      <c r="F113" s="681"/>
      <c r="G113" s="682"/>
      <c r="H113" s="688"/>
      <c r="I113" s="689"/>
      <c r="J113" s="690"/>
      <c r="K113" s="721"/>
      <c r="L113" s="714"/>
      <c r="M113" s="714"/>
      <c r="N113" s="714"/>
      <c r="O113" s="714"/>
      <c r="P113" s="714"/>
      <c r="Q113" s="714"/>
      <c r="R113" s="714"/>
      <c r="S113" s="714"/>
      <c r="T113" s="714"/>
      <c r="U113" s="714"/>
      <c r="V113" s="714"/>
      <c r="W113" s="714"/>
      <c r="X113" s="714"/>
      <c r="Y113" s="714"/>
      <c r="Z113" s="714"/>
      <c r="AA113" s="714"/>
      <c r="AB113" s="714"/>
      <c r="AC113" s="714"/>
      <c r="AD113" s="714"/>
      <c r="AE113" s="714"/>
      <c r="AF113" s="714"/>
      <c r="AG113" s="714"/>
      <c r="AH113" s="714"/>
      <c r="AI113" s="714"/>
      <c r="AJ113" s="714"/>
      <c r="AK113" s="714"/>
      <c r="AL113" s="714"/>
      <c r="AM113" s="714"/>
      <c r="AN113" s="714"/>
      <c r="AO113" s="714"/>
      <c r="AP113" s="714"/>
      <c r="AQ113" s="714"/>
      <c r="AR113" s="714"/>
      <c r="AS113" s="714"/>
      <c r="AT113" s="714"/>
      <c r="AU113" s="714"/>
      <c r="AV113" s="714"/>
      <c r="AW113" s="714"/>
      <c r="AX113" s="714"/>
      <c r="AY113" s="714"/>
      <c r="AZ113" s="714"/>
      <c r="BA113" s="714"/>
      <c r="BB113" s="714"/>
      <c r="BC113" s="714"/>
      <c r="BD113" s="714"/>
      <c r="BE113" s="714"/>
      <c r="BF113" s="714"/>
      <c r="BG113" s="714"/>
      <c r="BH113" s="714"/>
      <c r="BI113" s="714"/>
      <c r="BJ113" s="714"/>
      <c r="BK113" s="714"/>
      <c r="BL113" s="714"/>
      <c r="BM113" s="714"/>
      <c r="BN113" s="714"/>
      <c r="BO113" s="714"/>
      <c r="BP113" s="714"/>
      <c r="BQ113" s="714"/>
      <c r="BR113" s="714"/>
    </row>
    <row r="114" spans="1:70" ht="15" hidden="1" customHeight="1" x14ac:dyDescent="0.25">
      <c r="A114" s="683"/>
      <c r="B114" s="684"/>
      <c r="C114" s="691"/>
      <c r="D114" s="692"/>
      <c r="E114" s="693"/>
      <c r="F114" s="683"/>
      <c r="G114" s="684"/>
      <c r="H114" s="691"/>
      <c r="I114" s="692"/>
      <c r="J114" s="693"/>
      <c r="K114" s="721"/>
      <c r="L114" s="714"/>
      <c r="M114" s="714"/>
      <c r="N114" s="714"/>
      <c r="O114" s="714"/>
      <c r="P114" s="714"/>
      <c r="Q114" s="714"/>
      <c r="R114" s="714"/>
      <c r="S114" s="714"/>
      <c r="T114" s="714"/>
      <c r="U114" s="714"/>
      <c r="V114" s="714"/>
      <c r="W114" s="714"/>
      <c r="X114" s="714"/>
      <c r="Y114" s="714"/>
      <c r="Z114" s="714"/>
      <c r="AA114" s="714"/>
      <c r="AB114" s="714"/>
      <c r="AC114" s="714"/>
      <c r="AD114" s="714"/>
      <c r="AE114" s="714"/>
      <c r="AF114" s="714"/>
      <c r="AG114" s="714"/>
      <c r="AH114" s="714"/>
      <c r="AI114" s="714"/>
      <c r="AJ114" s="714"/>
      <c r="AK114" s="714"/>
      <c r="AL114" s="714"/>
      <c r="AM114" s="714"/>
      <c r="AN114" s="714"/>
      <c r="AO114" s="714"/>
      <c r="AP114" s="714"/>
      <c r="AQ114" s="714"/>
      <c r="AR114" s="714"/>
      <c r="AS114" s="714"/>
      <c r="AT114" s="714"/>
      <c r="AU114" s="714"/>
      <c r="AV114" s="714"/>
      <c r="AW114" s="714"/>
      <c r="AX114" s="714"/>
      <c r="AY114" s="714"/>
      <c r="AZ114" s="714"/>
      <c r="BA114" s="714"/>
      <c r="BB114" s="714"/>
      <c r="BC114" s="714"/>
      <c r="BD114" s="714"/>
      <c r="BE114" s="714"/>
      <c r="BF114" s="714"/>
      <c r="BG114" s="714"/>
      <c r="BH114" s="714"/>
      <c r="BI114" s="714"/>
      <c r="BJ114" s="714"/>
      <c r="BK114" s="714"/>
      <c r="BL114" s="714"/>
      <c r="BM114" s="714"/>
      <c r="BN114" s="714"/>
      <c r="BO114" s="714"/>
      <c r="BP114" s="714"/>
      <c r="BQ114" s="714"/>
      <c r="BR114" s="714"/>
    </row>
    <row r="115" spans="1:70" ht="111.75" hidden="1" customHeight="1" x14ac:dyDescent="0.25">
      <c r="A115" s="1470" t="s">
        <v>500</v>
      </c>
      <c r="B115" s="694"/>
      <c r="C115" s="695"/>
      <c r="D115" s="695"/>
      <c r="E115" s="696"/>
      <c r="F115" s="1470" t="s">
        <v>500</v>
      </c>
      <c r="G115" s="694"/>
      <c r="H115" s="695"/>
      <c r="I115" s="695"/>
      <c r="J115" s="696"/>
      <c r="K115" s="1472"/>
      <c r="L115" s="717"/>
      <c r="M115" s="717"/>
      <c r="N115" s="717"/>
      <c r="O115" s="717"/>
      <c r="P115" s="1469"/>
      <c r="Q115" s="717"/>
      <c r="R115" s="717"/>
      <c r="S115" s="717"/>
      <c r="T115" s="717"/>
      <c r="U115" s="1469"/>
      <c r="V115" s="717"/>
      <c r="W115" s="717"/>
      <c r="X115" s="717"/>
      <c r="Y115" s="717"/>
      <c r="Z115" s="1469"/>
      <c r="AA115" s="717"/>
      <c r="AB115" s="717"/>
      <c r="AC115" s="717"/>
      <c r="AD115" s="717"/>
      <c r="AE115" s="1469"/>
      <c r="AF115" s="717"/>
      <c r="AG115" s="717"/>
      <c r="AH115" s="717"/>
      <c r="AI115" s="717"/>
      <c r="AJ115" s="1469"/>
      <c r="AK115" s="717"/>
      <c r="AL115" s="717"/>
      <c r="AM115" s="717"/>
      <c r="AN115" s="717"/>
      <c r="AO115" s="1469"/>
      <c r="AP115" s="717"/>
      <c r="AQ115" s="717"/>
      <c r="AR115" s="717"/>
      <c r="AS115" s="717"/>
      <c r="AT115" s="1469"/>
      <c r="AU115" s="717"/>
      <c r="AV115" s="717"/>
      <c r="AW115" s="717"/>
      <c r="AX115" s="717"/>
      <c r="AY115" s="1469"/>
      <c r="AZ115" s="717"/>
      <c r="BA115" s="717"/>
      <c r="BB115" s="717"/>
      <c r="BC115" s="717"/>
      <c r="BD115" s="1469"/>
      <c r="BE115" s="717"/>
      <c r="BF115" s="717"/>
      <c r="BG115" s="717"/>
      <c r="BH115" s="717"/>
      <c r="BI115" s="716"/>
      <c r="BJ115" s="717"/>
      <c r="BK115" s="717"/>
      <c r="BL115" s="717"/>
      <c r="BM115" s="717"/>
      <c r="BN115" s="716"/>
      <c r="BO115" s="717"/>
      <c r="BP115" s="717"/>
      <c r="BQ115" s="717"/>
      <c r="BR115" s="717"/>
    </row>
    <row r="116" spans="1:70" ht="18.75" hidden="1" customHeight="1" thickBot="1" x14ac:dyDescent="0.3">
      <c r="A116" s="1471"/>
      <c r="B116" s="334"/>
      <c r="C116" s="335" t="s">
        <v>113</v>
      </c>
      <c r="D116" s="336"/>
      <c r="E116" s="337" t="s">
        <v>114</v>
      </c>
      <c r="F116" s="1471"/>
      <c r="G116" s="334"/>
      <c r="H116" s="335" t="s">
        <v>113</v>
      </c>
      <c r="I116" s="336"/>
      <c r="J116" s="337" t="s">
        <v>114</v>
      </c>
      <c r="K116" s="1472"/>
      <c r="L116" s="32"/>
      <c r="M116" s="33"/>
      <c r="N116" s="34"/>
      <c r="O116" s="35"/>
      <c r="P116" s="1469"/>
      <c r="Q116" s="32"/>
      <c r="R116" s="33"/>
      <c r="S116" s="34"/>
      <c r="T116" s="35"/>
      <c r="U116" s="1469"/>
      <c r="V116" s="32"/>
      <c r="W116" s="33"/>
      <c r="X116" s="34"/>
      <c r="Y116" s="35"/>
      <c r="Z116" s="1469"/>
      <c r="AA116" s="32"/>
      <c r="AB116" s="33"/>
      <c r="AC116" s="34"/>
      <c r="AD116" s="35"/>
      <c r="AE116" s="1469"/>
      <c r="AF116" s="32"/>
      <c r="AG116" s="33"/>
      <c r="AH116" s="34"/>
      <c r="AI116" s="35"/>
      <c r="AJ116" s="1469"/>
      <c r="AK116" s="32"/>
      <c r="AL116" s="33"/>
      <c r="AM116" s="34"/>
      <c r="AN116" s="35"/>
      <c r="AO116" s="1469"/>
      <c r="AP116" s="32"/>
      <c r="AQ116" s="33"/>
      <c r="AR116" s="34"/>
      <c r="AS116" s="35"/>
      <c r="AT116" s="1469"/>
      <c r="AU116" s="32"/>
      <c r="AV116" s="33"/>
      <c r="AW116" s="34"/>
      <c r="AX116" s="35"/>
      <c r="AY116" s="1469"/>
      <c r="AZ116" s="32"/>
      <c r="BA116" s="33"/>
      <c r="BB116" s="34"/>
      <c r="BC116" s="35"/>
      <c r="BD116" s="1469"/>
      <c r="BE116" s="32"/>
      <c r="BF116" s="33"/>
      <c r="BG116" s="34"/>
      <c r="BH116" s="35"/>
      <c r="BI116" s="716"/>
      <c r="BJ116" s="32"/>
      <c r="BK116" s="33"/>
      <c r="BL116" s="34"/>
      <c r="BM116" s="35"/>
      <c r="BN116" s="716"/>
      <c r="BO116" s="32"/>
      <c r="BP116" s="33"/>
      <c r="BQ116" s="34"/>
      <c r="BR116" s="35"/>
    </row>
    <row r="117" spans="1:70" ht="51" customHeight="1" x14ac:dyDescent="0.25"/>
    <row r="118" spans="1:70" ht="20.25" customHeight="1" x14ac:dyDescent="0.25"/>
    <row r="119" spans="1:70" ht="3.75" customHeight="1" x14ac:dyDescent="0.25"/>
    <row r="120" spans="1:70" ht="15" hidden="1" customHeight="1" x14ac:dyDescent="0.25"/>
    <row r="121" spans="1:70" ht="111.75" hidden="1" customHeight="1" x14ac:dyDescent="0.25"/>
    <row r="122" spans="1:70" ht="50.25" hidden="1" customHeight="1" x14ac:dyDescent="0.25"/>
    <row r="123" spans="1:70" ht="123" hidden="1" customHeight="1" x14ac:dyDescent="0.25">
      <c r="A123" s="564"/>
      <c r="B123" s="38"/>
      <c r="C123" s="39"/>
      <c r="D123" s="40"/>
      <c r="E123" s="41"/>
      <c r="F123" s="564"/>
      <c r="G123" s="38"/>
      <c r="H123" s="39"/>
      <c r="I123" s="40"/>
      <c r="J123" s="41"/>
      <c r="K123" s="564"/>
      <c r="L123" s="38"/>
      <c r="M123" s="39"/>
      <c r="N123" s="40"/>
      <c r="O123" s="41"/>
      <c r="P123" s="564"/>
      <c r="Q123" s="38"/>
      <c r="R123" s="39"/>
      <c r="S123" s="40"/>
      <c r="T123" s="41"/>
      <c r="U123" s="564"/>
      <c r="V123" s="38"/>
      <c r="W123" s="39"/>
      <c r="X123" s="45"/>
      <c r="Y123" s="45"/>
      <c r="Z123" s="515"/>
      <c r="AA123" s="45"/>
      <c r="AB123" s="45"/>
      <c r="AC123" s="45"/>
      <c r="AD123" s="45"/>
      <c r="AE123" s="515"/>
      <c r="AF123" s="45"/>
      <c r="AG123" s="45"/>
      <c r="AH123" s="45"/>
      <c r="AI123" s="45"/>
      <c r="AJ123" s="564"/>
      <c r="AK123" s="38"/>
      <c r="AL123" s="39"/>
      <c r="AM123" s="40"/>
      <c r="AN123" s="41"/>
      <c r="AO123" s="564"/>
      <c r="AP123" s="38"/>
      <c r="AQ123" s="39"/>
      <c r="AR123" s="40"/>
      <c r="AS123" s="41"/>
      <c r="AT123" s="564"/>
      <c r="AU123" s="38"/>
      <c r="AV123" s="39"/>
      <c r="AW123" s="40"/>
      <c r="AX123" s="41"/>
      <c r="AY123" s="564"/>
      <c r="AZ123" s="38"/>
      <c r="BA123" s="39"/>
      <c r="BB123" s="40"/>
      <c r="BC123" s="41"/>
      <c r="BD123" s="564"/>
      <c r="BE123" s="38"/>
      <c r="BF123" s="39"/>
      <c r="BG123" s="40"/>
      <c r="BH123" s="41"/>
      <c r="BI123" s="37"/>
      <c r="BJ123" s="38"/>
      <c r="BK123" s="39"/>
      <c r="BL123" s="40"/>
      <c r="BM123" s="41"/>
      <c r="BN123" s="37"/>
      <c r="BO123" s="38"/>
      <c r="BP123" s="39"/>
      <c r="BQ123" s="40"/>
      <c r="BR123" s="41"/>
    </row>
    <row r="124" spans="1:70" ht="33.75" customHeight="1" x14ac:dyDescent="0.25">
      <c r="A124" s="674"/>
      <c r="B124" s="674"/>
      <c r="C124" s="674"/>
      <c r="D124" s="675"/>
      <c r="E124" s="675"/>
      <c r="F124" s="565"/>
      <c r="G124" s="1468" cm="1">
        <f t="array" aca="1" ref="G124" ca="1">SUM(COUNTIF(INDIRECT({"B6","G6","L6","Q6","V6","AA6","AF6","AK6","AP6","AU6","AZ6","BE6","BJ6","BO6","B12","G12","L12","Q12","V12","AA12","AF12","AK12","AP12","AU12","AZ12","BE12","BJ12","BO12","B18","G18","L18","Q18","V18","AA18","AF18","AK18","AP18","AU18","AZ18","BE18","BJ18","BO18","B24","G24","L24","Q24","V24","AA24","AF24","AK24","AP24","AU24","AZ24","BE24","BJ24","BO24","B30","G30","L30","Q30","V30","AA30","AF30","AK30","AP30","AU30","AZ30","BE30","BJ30","BO30","B36","G36","L36","Q36","V36","AA36","AF36","AK36","AP36","AU36","AZ36","BE36","BJ36","BO36","B42","G42","L42","Q42","V42","AA42","AF42","AK42","AP42","AU42","AZ42","BE42","BJ42","BO42","B48","G48","L48","Q48","V48","AA48","AF48","AK48","AP48","AU48","AZ48","BE48","BJ48","BO48","B67","G67","L67","Q67","V67","AA67","AF67","AK67","AP67","AU67","AZ67","BE67","BJ67","BO67","B73","G73","L73","Q73","V73","AA73","AF73","AK73","AP73","AU73","AZ73","BE73","BJ73","BO73","B79","G79","L79","Q79","V79","AA79","AF79","AK79","AP79","AU79","AZ79","BE79","BJ79","BO79","B85","G85","L85","Q85","V85","AA85","AF85","AK85","AP85","AU85","AZ85","BE85","BJ85","BO85","B91","G91","L91","Q91","V91","AA91","AF91","AK91","AP91","AU91","AZ91","BE91","BJ91","BO91","B97","G97","L97","Q97","V97","AA97","AF97","AK97","AP97","AU97","AZ97","BE97","BJ97","BO97","B103","G103","L103","Q103","V103","AA103"}),"&gt;0"))</f>
        <v>72</v>
      </c>
      <c r="H124" s="1468"/>
      <c r="I124" s="1468"/>
      <c r="K124" s="515"/>
      <c r="L124" s="45"/>
      <c r="M124" s="45"/>
      <c r="N124" s="45"/>
      <c r="O124" s="45"/>
      <c r="P124" s="515"/>
      <c r="Q124" s="45"/>
      <c r="R124" s="45"/>
      <c r="S124" s="45"/>
      <c r="T124" s="45"/>
      <c r="U124" s="515"/>
      <c r="V124" s="45"/>
      <c r="W124" s="45"/>
      <c r="X124" s="724" t="s">
        <v>515</v>
      </c>
      <c r="Y124" s="724"/>
      <c r="Z124" s="724"/>
      <c r="AA124" s="724"/>
      <c r="AB124" s="724"/>
      <c r="AC124" s="724"/>
      <c r="AD124" s="724"/>
      <c r="AE124" s="724"/>
      <c r="AF124" s="724"/>
      <c r="AG124" s="724"/>
      <c r="AH124" s="724"/>
      <c r="AI124" s="724"/>
      <c r="AJ124" s="724" t="s">
        <v>117</v>
      </c>
      <c r="AK124" s="724"/>
      <c r="AL124" s="724"/>
      <c r="AM124" s="724"/>
      <c r="AN124" s="724"/>
      <c r="AO124" s="724"/>
      <c r="AP124" s="724"/>
      <c r="AQ124" s="724"/>
      <c r="AR124" s="724"/>
      <c r="AS124" s="724"/>
      <c r="AT124" s="568"/>
      <c r="AU124" s="725" t="s">
        <v>118</v>
      </c>
      <c r="AV124" s="725"/>
      <c r="AW124" s="725"/>
      <c r="AX124" s="725"/>
      <c r="AY124" s="725"/>
      <c r="AZ124" s="725"/>
      <c r="BA124" s="725"/>
      <c r="BB124" s="725"/>
      <c r="BC124" s="725"/>
      <c r="BD124" s="725"/>
      <c r="BE124" s="725"/>
      <c r="BF124" s="725"/>
      <c r="BG124" s="725"/>
      <c r="BH124" s="725"/>
      <c r="BI124" s="555"/>
      <c r="BJ124" s="555"/>
      <c r="BK124" s="555"/>
    </row>
    <row r="125" spans="1:70" ht="25.5" customHeight="1" x14ac:dyDescent="0.25">
      <c r="A125" s="676"/>
      <c r="B125" s="676"/>
      <c r="C125" s="676"/>
      <c r="D125" s="29"/>
      <c r="E125" s="29"/>
      <c r="F125" s="565"/>
      <c r="G125" s="1468"/>
      <c r="H125" s="1468"/>
      <c r="I125" s="1468"/>
      <c r="J125" s="48"/>
      <c r="K125" s="515"/>
      <c r="L125" s="45"/>
      <c r="M125" s="45"/>
      <c r="N125" s="45"/>
      <c r="O125" s="45"/>
      <c r="P125" s="515"/>
      <c r="Q125" s="45"/>
      <c r="R125" s="45"/>
      <c r="S125" s="45"/>
      <c r="T125" s="45"/>
      <c r="U125" s="515"/>
      <c r="V125" s="45"/>
      <c r="W125" s="45"/>
      <c r="X125" s="724"/>
      <c r="Y125" s="724"/>
      <c r="Z125" s="724"/>
      <c r="AA125" s="724"/>
      <c r="AB125" s="724"/>
      <c r="AC125" s="724"/>
      <c r="AD125" s="724"/>
      <c r="AE125" s="724"/>
      <c r="AF125" s="724"/>
      <c r="AG125" s="724"/>
      <c r="AH125" s="724"/>
      <c r="AI125" s="724"/>
      <c r="AJ125" s="724"/>
      <c r="AK125" s="724"/>
      <c r="AL125" s="724"/>
      <c r="AM125" s="724"/>
      <c r="AN125" s="724"/>
      <c r="AO125" s="724"/>
      <c r="AP125" s="724"/>
      <c r="AQ125" s="724"/>
      <c r="AR125" s="724"/>
      <c r="AS125" s="724"/>
      <c r="AT125" s="568"/>
      <c r="AU125" s="725"/>
      <c r="AV125" s="725"/>
      <c r="AW125" s="725"/>
      <c r="AX125" s="725"/>
      <c r="AY125" s="725"/>
      <c r="AZ125" s="725"/>
      <c r="BA125" s="725"/>
      <c r="BB125" s="725"/>
      <c r="BC125" s="725"/>
      <c r="BD125" s="725"/>
      <c r="BE125" s="725"/>
      <c r="BF125" s="725"/>
      <c r="BG125" s="725"/>
      <c r="BH125" s="725"/>
      <c r="BI125" s="555"/>
      <c r="BJ125" s="555"/>
      <c r="BK125" s="555"/>
    </row>
    <row r="126" spans="1:70" ht="24" customHeight="1" x14ac:dyDescent="0.25">
      <c r="A126" s="676"/>
      <c r="B126" s="676"/>
      <c r="C126" s="676"/>
      <c r="D126" s="29"/>
      <c r="E126" s="29"/>
      <c r="F126" s="565"/>
      <c r="G126" s="1468"/>
      <c r="H126" s="1468"/>
      <c r="I126" s="1468"/>
      <c r="J126" s="48"/>
      <c r="K126" s="515"/>
      <c r="L126" s="45"/>
      <c r="M126" s="45"/>
      <c r="N126" s="45"/>
      <c r="O126" s="45"/>
      <c r="P126" s="515"/>
      <c r="Q126" s="45"/>
      <c r="R126" s="45"/>
      <c r="S126" s="45"/>
      <c r="T126" s="45"/>
      <c r="U126" s="515"/>
      <c r="V126" s="45"/>
      <c r="W126" s="45"/>
      <c r="X126" s="724"/>
      <c r="Y126" s="724"/>
      <c r="Z126" s="724"/>
      <c r="AA126" s="724"/>
      <c r="AB126" s="724"/>
      <c r="AC126" s="724"/>
      <c r="AD126" s="724"/>
      <c r="AE126" s="724"/>
      <c r="AF126" s="724"/>
      <c r="AG126" s="724"/>
      <c r="AH126" s="724"/>
      <c r="AI126" s="724"/>
      <c r="AJ126" s="724"/>
      <c r="AK126" s="724"/>
      <c r="AL126" s="724"/>
      <c r="AM126" s="724"/>
      <c r="AN126" s="724"/>
      <c r="AO126" s="724"/>
      <c r="AP126" s="724"/>
      <c r="AQ126" s="724"/>
      <c r="AR126" s="724"/>
      <c r="AS126" s="724"/>
      <c r="AT126" s="568"/>
      <c r="AU126" s="725"/>
      <c r="AV126" s="725"/>
      <c r="AW126" s="725"/>
      <c r="AX126" s="725"/>
      <c r="AY126" s="725"/>
      <c r="AZ126" s="725"/>
      <c r="BA126" s="725"/>
      <c r="BB126" s="725"/>
      <c r="BC126" s="725"/>
      <c r="BD126" s="725"/>
      <c r="BE126" s="725"/>
      <c r="BF126" s="725"/>
      <c r="BG126" s="725"/>
      <c r="BH126" s="725"/>
      <c r="BI126" s="555"/>
      <c r="BJ126" s="555"/>
      <c r="BK126" s="555"/>
    </row>
    <row r="127" spans="1:70" ht="21.75" customHeight="1" x14ac:dyDescent="0.25">
      <c r="A127" s="676"/>
      <c r="B127" s="676"/>
      <c r="C127" s="676"/>
      <c r="D127" s="675"/>
      <c r="E127" s="675"/>
      <c r="F127" s="565"/>
      <c r="G127" s="1468"/>
      <c r="H127" s="1468"/>
      <c r="I127" s="1468"/>
      <c r="J127" s="48"/>
      <c r="K127" s="515"/>
      <c r="L127" s="45"/>
      <c r="M127" s="45"/>
      <c r="N127" s="45"/>
      <c r="O127" s="45"/>
      <c r="P127" s="515"/>
      <c r="Q127" s="45"/>
      <c r="R127" s="45"/>
      <c r="S127" s="45"/>
      <c r="T127" s="45"/>
      <c r="U127" s="515"/>
      <c r="V127" s="45"/>
      <c r="W127" s="45"/>
      <c r="X127" s="724"/>
      <c r="Y127" s="724"/>
      <c r="Z127" s="724"/>
      <c r="AA127" s="724"/>
      <c r="AB127" s="724"/>
      <c r="AC127" s="724"/>
      <c r="AD127" s="724"/>
      <c r="AE127" s="724"/>
      <c r="AF127" s="724"/>
      <c r="AG127" s="724"/>
      <c r="AH127" s="724"/>
      <c r="AI127" s="724"/>
      <c r="AJ127" s="724"/>
      <c r="AK127" s="724"/>
      <c r="AL127" s="724"/>
      <c r="AM127" s="724"/>
      <c r="AN127" s="724"/>
      <c r="AO127" s="724"/>
      <c r="AP127" s="724"/>
      <c r="AQ127" s="724"/>
      <c r="AR127" s="724"/>
      <c r="AS127" s="724"/>
      <c r="AT127" s="568"/>
      <c r="AU127" s="725"/>
      <c r="AV127" s="725"/>
      <c r="AW127" s="725"/>
      <c r="AX127" s="725"/>
      <c r="AY127" s="725"/>
      <c r="AZ127" s="725"/>
      <c r="BA127" s="725"/>
      <c r="BB127" s="725"/>
      <c r="BC127" s="725"/>
      <c r="BD127" s="725"/>
      <c r="BE127" s="725"/>
      <c r="BF127" s="725"/>
      <c r="BG127" s="725"/>
      <c r="BH127" s="725"/>
      <c r="BI127" s="555"/>
      <c r="BJ127" s="555"/>
      <c r="BK127" s="555"/>
    </row>
    <row r="128" spans="1:70" ht="21.75" customHeight="1" x14ac:dyDescent="0.25">
      <c r="B128" s="17"/>
      <c r="G128" s="1462" cm="1">
        <f t="array" aca="1" ref="G128" ca="1">SUM(COUNTIF(INDIRECT({"B7","G7","L7","Q7","V7","AA7","AF7","AK7","AP7","AU7","AZ7","BE7","BJ7","BO7","B13","G13","L13","Q13","V13","AA13","AF13","AK13","AP13","AU13","AZ13","BE13","BJ13","BO13","B19","G19","L19","Q19","V19","AA19","AF19","AK19","AP19","AU19","AZ19","BE19","BJ19","BO19","B25","G25","L25","Q25","V25","AA25","AF25","AK25","AP25","AU25","AZ25","BE25","BJ25","BO25","B31","G31","L31","Q31","V31","AA31","AF31","AK31","AP31","AU31","AZ31","BE31","BJ31","BO31","B37","G37","L37","Q37","V37","AA37","AF37","AK37","AP37","AU37","AZ37","BE37","BJ37","BO37","B43","G43","L43","Q43","V43","AA43","AF43","AK43","AP43","AU43","AZ43","BE43","BJ43","BO43","B49","G49","L49","Q49","V49","AA49","AF49","AK49","AP49","AU49","AZ49","BE49","BJ49","BO49","B68","G68","L68","Q68","V68","AA68","AF68","AK68","AP68","AU68","AZ68","BE68","BJ68","BO68","B74","G74","L74","Q74","V74","AA74","AF74","AK74","AP74","AU74","AZ74","BE74","BJ74","BO74","B80","G80","L80","Q80","V80","AA80","AF80","AK80","AP80","AU80","AZ80","BE80","BJ80","BO80","B86","G86","L86","Q86","V86","AA86","AF86","AK86","AP86","AU86","AZ86","BE86","BJ86","BO86","B92","G92","L92","Q92","V92","AA92","AF92","AK92","AP92","AU92","AZ92","BE92","BJ92","BO92","B98","G98","L98","Q98","V98","AA98","AF98","AK98","AP98","AU98","AZ98","BE98","BJ98","BO98","B104","G104","L104","Q104","V104","AA104"}),"&gt;0"))</f>
        <v>19</v>
      </c>
      <c r="H128" s="1462"/>
      <c r="I128" s="1462"/>
      <c r="J128" s="48"/>
      <c r="K128" s="515"/>
      <c r="L128" s="49"/>
      <c r="M128" s="49"/>
      <c r="N128" s="49"/>
      <c r="O128" s="49"/>
      <c r="P128" s="515"/>
      <c r="Q128" s="49"/>
      <c r="R128" s="49"/>
      <c r="S128" s="49"/>
      <c r="T128" s="49"/>
      <c r="U128" s="515"/>
      <c r="V128" s="49"/>
      <c r="W128" s="49"/>
      <c r="X128" s="1463"/>
      <c r="Y128" s="1463"/>
      <c r="Z128" s="1463"/>
      <c r="AA128" s="1463"/>
      <c r="AB128" s="1463"/>
      <c r="AC128" s="1463"/>
      <c r="AD128" s="1463"/>
      <c r="AE128" s="1463"/>
      <c r="AF128" s="1463"/>
      <c r="AG128" s="1463"/>
      <c r="AH128" s="1463"/>
      <c r="AI128" s="1463"/>
      <c r="AJ128" s="1464">
        <f>AU128-Z140</f>
        <v>1.6255999999100013</v>
      </c>
      <c r="AK128" s="1464"/>
      <c r="AL128" s="1464"/>
      <c r="AM128" s="1464"/>
      <c r="AN128" s="1464"/>
      <c r="AO128" s="1464"/>
      <c r="AP128" s="1464"/>
      <c r="AQ128" s="1464"/>
      <c r="AR128" s="1464"/>
      <c r="AS128" s="1464"/>
      <c r="AT128" s="1464"/>
      <c r="AU128" s="1465">
        <f>B7+G7+L7+Q7+V7+AA7+AF7+AK7+AP7+AU7+AZ7+BE7+BJ7+BO7+BO13+BJ13+BE13+AZ13+AU13+AP13+AK13+AF13+AA13+V13+Q13+L13+G13+B13+B19+G19+L19+Q19+V19+AA19+AF19+AK19+AP19+AU19+AZ19+BE19+BJ19+BO19+BO25+BJ25+BE25+AZ25+AU25+AP25+AK25+AF25+AA25+V25+Q25+L25+G25+B31+B25+G31+L31+Q31+V31+AA31+AF31+AK31+AP31+AU31+AZ31+BE31+BJ31+BO31+BO37+BJ37+BE37+AZ37+AU37+AP37+AK37+AF37+AA37+V37+Q37+L37+G37+B37+B43+G43+L43+Q43+V43+AA43+AF43+AK43+AP43+AU43+AZ43+BE43+BJ43+BO43+BO49+BJ49+BE49+AZ49+AU49+AP49+AK49+AF49+AA49+V49+Q49+L49+G49+B49+B68+G68+L68+Q68+V68+AA68+AF68+AK68+AP68+AU68+AZ68+BE68+BJ68+BO68+BO74+BJ74+BE74+AZ74+AU74+AP74+AK74+AF74+AA74+V74+Q74+L74+G74+B74+B80+G80+L80+Q80+V80+AA80+AF80+AK80+AP80+AU80+AZ80+BE80+BJ80+BO80+BO86+BJ86+BE86+AZ86+AU86+AP86+AK86+AF86+AA86+V86+Q86+L86+G86+B86+B92+G92+L92+Q92+V92+AA92+AF92+AK92+AP92+AU92+AZ92+BE92+BJ92+BO92+B98+G98+L98+Q98+V98+AA98+AF98+AK98+AP98+AU98+AZ98+BE98+BJ98+BO98+B104+G104+L104+Q104+V104+AA104</f>
        <v>11.6840004100101</v>
      </c>
      <c r="AV128" s="1465"/>
      <c r="AW128" s="1465"/>
      <c r="AX128" s="1465"/>
      <c r="AY128" s="1465"/>
      <c r="AZ128" s="1465"/>
      <c r="BA128" s="1465"/>
      <c r="BB128" s="1465"/>
      <c r="BC128" s="1465"/>
      <c r="BD128" s="1465"/>
      <c r="BE128" s="1465"/>
      <c r="BF128" s="1465"/>
      <c r="BG128" s="1465"/>
      <c r="BH128" s="1465"/>
      <c r="BI128" s="555"/>
      <c r="BJ128" s="555"/>
      <c r="BK128" s="555"/>
    </row>
    <row r="129" spans="7:63" ht="21.75" customHeight="1" x14ac:dyDescent="0.25">
      <c r="G129" s="1462"/>
      <c r="H129" s="1462"/>
      <c r="I129" s="1462"/>
      <c r="J129" s="52"/>
      <c r="K129" s="515"/>
      <c r="L129" s="45"/>
      <c r="M129" s="45"/>
      <c r="N129" s="45"/>
      <c r="O129" s="45"/>
      <c r="P129" s="515"/>
      <c r="Q129" s="45"/>
      <c r="R129" s="45"/>
      <c r="S129" s="45"/>
      <c r="T129" s="45"/>
      <c r="U129" s="515"/>
      <c r="V129" s="45"/>
      <c r="W129" s="45"/>
      <c r="X129" s="1463"/>
      <c r="Y129" s="1463"/>
      <c r="Z129" s="1463"/>
      <c r="AA129" s="1463"/>
      <c r="AB129" s="1463"/>
      <c r="AC129" s="1463"/>
      <c r="AD129" s="1463"/>
      <c r="AE129" s="1463"/>
      <c r="AF129" s="1463"/>
      <c r="AG129" s="1463"/>
      <c r="AH129" s="1463"/>
      <c r="AI129" s="1463"/>
      <c r="AJ129" s="1464"/>
      <c r="AK129" s="1464"/>
      <c r="AL129" s="1464"/>
      <c r="AM129" s="1464"/>
      <c r="AN129" s="1464"/>
      <c r="AO129" s="1464"/>
      <c r="AP129" s="1464"/>
      <c r="AQ129" s="1464"/>
      <c r="AR129" s="1464"/>
      <c r="AS129" s="1464"/>
      <c r="AT129" s="1464"/>
      <c r="AU129" s="1465"/>
      <c r="AV129" s="1465"/>
      <c r="AW129" s="1465"/>
      <c r="AX129" s="1465"/>
      <c r="AY129" s="1465"/>
      <c r="AZ129" s="1465"/>
      <c r="BA129" s="1465"/>
      <c r="BB129" s="1465"/>
      <c r="BC129" s="1465"/>
      <c r="BD129" s="1465"/>
      <c r="BE129" s="1465"/>
      <c r="BF129" s="1465"/>
      <c r="BG129" s="1465"/>
      <c r="BH129" s="1465"/>
      <c r="BI129" s="555"/>
      <c r="BJ129" s="555"/>
      <c r="BK129" s="555"/>
    </row>
    <row r="130" spans="7:63" ht="25.5" customHeight="1" x14ac:dyDescent="0.25">
      <c r="G130" s="1462"/>
      <c r="H130" s="1462"/>
      <c r="I130" s="1462"/>
      <c r="J130" s="52"/>
      <c r="K130" s="515"/>
      <c r="L130" s="45"/>
      <c r="M130" s="45"/>
      <c r="N130" s="45"/>
      <c r="O130" s="45"/>
      <c r="P130" s="515"/>
      <c r="Q130" s="45"/>
      <c r="R130" s="45"/>
      <c r="S130" s="45"/>
      <c r="T130" s="45"/>
      <c r="U130" s="515"/>
      <c r="V130" s="45"/>
      <c r="W130" s="45"/>
      <c r="X130" s="1463"/>
      <c r="Y130" s="1463"/>
      <c r="Z130" s="1463"/>
      <c r="AA130" s="1463"/>
      <c r="AB130" s="1463"/>
      <c r="AC130" s="1463"/>
      <c r="AD130" s="1463"/>
      <c r="AE130" s="1463"/>
      <c r="AF130" s="1463"/>
      <c r="AG130" s="1463"/>
      <c r="AH130" s="1463"/>
      <c r="AI130" s="1463"/>
      <c r="AJ130" s="1464"/>
      <c r="AK130" s="1464"/>
      <c r="AL130" s="1464"/>
      <c r="AM130" s="1464"/>
      <c r="AN130" s="1464"/>
      <c r="AO130" s="1464"/>
      <c r="AP130" s="1464"/>
      <c r="AQ130" s="1464"/>
      <c r="AR130" s="1464"/>
      <c r="AS130" s="1464"/>
      <c r="AT130" s="1464"/>
      <c r="AU130" s="1465"/>
      <c r="AV130" s="1465"/>
      <c r="AW130" s="1465"/>
      <c r="AX130" s="1465"/>
      <c r="AY130" s="1465"/>
      <c r="AZ130" s="1465"/>
      <c r="BA130" s="1465"/>
      <c r="BB130" s="1465"/>
      <c r="BC130" s="1465"/>
      <c r="BD130" s="1465"/>
      <c r="BE130" s="1465"/>
      <c r="BF130" s="1465"/>
      <c r="BG130" s="1465"/>
      <c r="BH130" s="1465"/>
      <c r="BI130" s="555"/>
      <c r="BJ130" s="555"/>
      <c r="BK130" s="555"/>
    </row>
    <row r="131" spans="7:63" ht="26.25" customHeight="1" x14ac:dyDescent="0.25">
      <c r="G131" s="1462"/>
      <c r="H131" s="1462"/>
      <c r="I131" s="1462"/>
      <c r="J131" s="52"/>
      <c r="K131" s="515"/>
      <c r="L131" s="45"/>
      <c r="M131" s="45"/>
      <c r="N131" s="45"/>
      <c r="O131" s="45"/>
      <c r="P131" s="515"/>
      <c r="Q131" s="45"/>
      <c r="R131" s="45"/>
      <c r="S131" s="45"/>
      <c r="T131" s="45"/>
      <c r="U131" s="515"/>
      <c r="V131" s="45"/>
      <c r="W131" s="45"/>
      <c r="X131" s="1463"/>
      <c r="Y131" s="1463"/>
      <c r="Z131" s="1463"/>
      <c r="AA131" s="1463"/>
      <c r="AB131" s="1463"/>
      <c r="AC131" s="1463"/>
      <c r="AD131" s="1463"/>
      <c r="AE131" s="1463"/>
      <c r="AF131" s="1463"/>
      <c r="AG131" s="1463"/>
      <c r="AH131" s="1463"/>
      <c r="AI131" s="1463"/>
      <c r="AJ131" s="1464"/>
      <c r="AK131" s="1464"/>
      <c r="AL131" s="1464"/>
      <c r="AM131" s="1464"/>
      <c r="AN131" s="1464"/>
      <c r="AO131" s="1464"/>
      <c r="AP131" s="1464"/>
      <c r="AQ131" s="1464"/>
      <c r="AR131" s="1464"/>
      <c r="AS131" s="1464"/>
      <c r="AT131" s="1464"/>
      <c r="AU131" s="1465"/>
      <c r="AV131" s="1465"/>
      <c r="AW131" s="1465"/>
      <c r="AX131" s="1465"/>
      <c r="AY131" s="1465"/>
      <c r="AZ131" s="1465"/>
      <c r="BA131" s="1465"/>
      <c r="BB131" s="1465"/>
      <c r="BC131" s="1465"/>
      <c r="BD131" s="1465"/>
      <c r="BE131" s="1465"/>
      <c r="BF131" s="1465"/>
      <c r="BG131" s="1465"/>
      <c r="BH131" s="1465"/>
      <c r="BI131" s="555"/>
      <c r="BJ131" s="555"/>
      <c r="BK131" s="555"/>
    </row>
    <row r="132" spans="7:63" ht="129.75" customHeight="1" x14ac:dyDescent="0.25">
      <c r="G132" s="52"/>
      <c r="H132" s="52"/>
      <c r="I132" s="52"/>
      <c r="J132" s="52"/>
      <c r="K132" s="515"/>
      <c r="L132" s="45"/>
      <c r="M132" s="45"/>
      <c r="N132" s="45"/>
      <c r="O132" s="45"/>
      <c r="P132" s="515"/>
      <c r="Q132" s="45"/>
      <c r="R132" s="45"/>
      <c r="S132" s="45"/>
      <c r="T132" s="45"/>
      <c r="U132" s="515"/>
      <c r="V132" s="45"/>
      <c r="W132" s="45"/>
      <c r="X132" s="1463"/>
      <c r="Y132" s="1463"/>
      <c r="Z132" s="1463"/>
      <c r="AA132" s="1463"/>
      <c r="AB132" s="1463"/>
      <c r="AC132" s="1463"/>
      <c r="AD132" s="1463"/>
      <c r="AE132" s="1463"/>
      <c r="AF132" s="1463"/>
      <c r="AG132" s="1463"/>
      <c r="AH132" s="1463"/>
      <c r="AI132" s="1463"/>
      <c r="AJ132" s="1464"/>
      <c r="AK132" s="1464"/>
      <c r="AL132" s="1464"/>
      <c r="AM132" s="1464"/>
      <c r="AN132" s="1464"/>
      <c r="AO132" s="1464"/>
      <c r="AP132" s="1464"/>
      <c r="AQ132" s="1464"/>
      <c r="AR132" s="1464"/>
      <c r="AS132" s="1464"/>
      <c r="AT132" s="1464"/>
      <c r="AU132" s="724" t="s">
        <v>119</v>
      </c>
      <c r="AV132" s="724"/>
      <c r="AW132" s="724"/>
      <c r="AX132" s="724"/>
      <c r="AY132" s="1466">
        <f>D7+I7+N7+S7+X7+AH7+AM7+AR7+AW7+BB7+BG7+BL7+BQ7+D13+I13+N13+S13+X13+AC13+AH13+AM13+AR13+AW13+BB13+BG13+BL13+BQ13+D19+I19+N19+S19+X19+AC19+AH19+AM19+AR19+AW19+BB19+BG19+BL19+BQ19+D25+I25+N25+S25+X25+AC25+AH25+AM25+AR25+AW25+BB25+BG25+BL25+D31+I31+BQ25+N31+S31+X31+AC31+AH31+AM31+AR31+AW31+BB31+BG31+BL31+BQ31+BQ37+BL37+BG37+BB37+AW37+AR37+AM37+AH37+AC37+X37+S37+N37+I37+D37+D43+I43+N43+S43+X43+AC43+AH43+AM43+AR43+AW43+BB43+BG43+BL43+BQ43+BQ49+BL49+BG49+BB49+AW49+AR49+AM49+AH49+AC49+X49+S49+N49+I49+D49+D68+I68+N68+S68+X68+AC68+AH68+AM68+AR68+AW68+BB68+BG68+BL68+BQ68+BQ74+BL74+BG74+BB74+AW74+AR74+AM74+AH74+AC74+X74+S74+N74+I74+D74+D80+I80+N80+S80+X80+AC80+AH80+AM80+AR80+AW80+BB80+BG80+BL80+BQ80+BQ86+BL86+BG86+BB86+AW86+AR98+AW98+BB98+BG98+BL98+BQ98+D104+I104++AR86+AM86+AH86+AC86+X86+S86+N86+I86+D86+D92+I92+N92+S92+X92+AC92+AH92+AM92+AR92+AW92+BB92+BG92+BL92+BQ92+AM98+AH98+AC98+X98+S98+N98+I98+D98+N104+S104+X104+AC104+AC7</f>
        <v>6</v>
      </c>
      <c r="AZ132" s="1466"/>
      <c r="BA132" s="1466"/>
      <c r="BB132" s="1467" t="s">
        <v>120</v>
      </c>
      <c r="BC132" s="1467"/>
      <c r="BD132" s="1467"/>
      <c r="BE132" s="1467"/>
      <c r="BF132" s="1467"/>
      <c r="BG132" s="1467"/>
      <c r="BH132" s="1467"/>
      <c r="BI132" s="555"/>
      <c r="BJ132" s="555"/>
      <c r="BK132" s="555"/>
    </row>
    <row r="133" spans="7:63" ht="174.75" customHeight="1" x14ac:dyDescent="0.25">
      <c r="G133" s="678"/>
      <c r="H133" s="678"/>
      <c r="I133" s="678"/>
      <c r="J133" s="52"/>
      <c r="K133" s="515"/>
      <c r="L133" s="49"/>
      <c r="M133" s="49"/>
      <c r="N133" s="49"/>
      <c r="O133" s="49"/>
      <c r="P133" s="515"/>
      <c r="Q133" s="49"/>
      <c r="R133" s="49"/>
      <c r="S133" s="49"/>
      <c r="T133" s="49"/>
      <c r="U133" s="515"/>
      <c r="V133" s="49"/>
      <c r="W133" s="49"/>
      <c r="X133" s="1463"/>
      <c r="Y133" s="1463"/>
      <c r="Z133" s="1463"/>
      <c r="AA133" s="1463"/>
      <c r="AB133" s="1463"/>
      <c r="AC133" s="1463"/>
      <c r="AD133" s="1463"/>
      <c r="AE133" s="1463"/>
      <c r="AF133" s="1463"/>
      <c r="AG133" s="1463"/>
      <c r="AH133" s="1463"/>
      <c r="AI133" s="1463"/>
      <c r="AJ133" s="1464"/>
      <c r="AK133" s="1464"/>
      <c r="AL133" s="1464"/>
      <c r="AM133" s="1464"/>
      <c r="AN133" s="1464"/>
      <c r="AO133" s="1464"/>
      <c r="AP133" s="1464"/>
      <c r="AQ133" s="1464"/>
      <c r="AR133" s="1464"/>
      <c r="AS133" s="1464"/>
      <c r="AT133" s="1464"/>
      <c r="AU133" s="724"/>
      <c r="AV133" s="724"/>
      <c r="AW133" s="724"/>
      <c r="AX133" s="724"/>
      <c r="AY133" s="1460">
        <f>AY132*1.5</f>
        <v>9</v>
      </c>
      <c r="AZ133" s="1460"/>
      <c r="BA133" s="1460"/>
      <c r="BB133" s="1460"/>
      <c r="BC133" s="1460"/>
      <c r="BD133" s="1461" t="s">
        <v>121</v>
      </c>
      <c r="BE133" s="1461"/>
      <c r="BF133" s="1461"/>
      <c r="BG133" s="1461"/>
      <c r="BH133" s="1461"/>
      <c r="BI133" s="45"/>
      <c r="BJ133" s="45"/>
      <c r="BK133" s="555"/>
    </row>
    <row r="134" spans="7:63" ht="15" customHeight="1" x14ac:dyDescent="0.25">
      <c r="AY134" s="515"/>
      <c r="AZ134" s="95"/>
      <c r="BA134" s="95"/>
      <c r="BB134" s="95"/>
      <c r="BC134" s="95"/>
      <c r="BD134" s="515"/>
      <c r="BE134" s="45"/>
      <c r="BF134" s="45"/>
      <c r="BG134" s="45"/>
      <c r="BH134" s="45"/>
      <c r="BI134" s="45"/>
      <c r="BJ134" s="45"/>
    </row>
    <row r="135" spans="7:63" ht="15" customHeight="1" x14ac:dyDescent="0.25">
      <c r="AY135" s="515"/>
      <c r="AZ135" s="95"/>
      <c r="BA135" s="95"/>
      <c r="BB135" s="95"/>
      <c r="BC135" s="95"/>
      <c r="BD135" s="515"/>
      <c r="BE135" s="95"/>
    </row>
    <row r="136" spans="7:63" ht="15" customHeight="1" x14ac:dyDescent="0.25">
      <c r="AY136" s="515"/>
      <c r="AZ136" s="95"/>
      <c r="BA136" s="95"/>
      <c r="BB136" s="95"/>
      <c r="BC136" s="95"/>
      <c r="BD136" s="515"/>
      <c r="BE136" s="95"/>
    </row>
    <row r="138" spans="7:63" x14ac:dyDescent="0.25">
      <c r="AJ138" s="1454">
        <v>55</v>
      </c>
      <c r="AK138" s="1454"/>
      <c r="AL138" s="1454"/>
      <c r="AM138" s="746">
        <v>14</v>
      </c>
      <c r="AN138" s="746"/>
      <c r="AO138" s="746"/>
      <c r="AP138" s="747">
        <f>AM138*AJ138</f>
        <v>770</v>
      </c>
      <c r="AQ138" s="748"/>
      <c r="AR138" s="748"/>
      <c r="AS138" s="749"/>
    </row>
    <row r="139" spans="7:63" ht="36.75" thickBot="1" x14ac:dyDescent="0.3">
      <c r="AJ139" s="1454"/>
      <c r="AK139" s="1454"/>
      <c r="AL139" s="1454"/>
      <c r="AM139" s="746"/>
      <c r="AN139" s="746"/>
      <c r="AO139" s="746"/>
      <c r="AP139" s="747"/>
      <c r="AQ139" s="748"/>
      <c r="AR139" s="748"/>
      <c r="AS139" s="749"/>
      <c r="AU139" s="727" t="s">
        <v>122</v>
      </c>
      <c r="AV139" s="727"/>
      <c r="AW139" s="727"/>
      <c r="AX139" s="727" t="s">
        <v>123</v>
      </c>
      <c r="AY139" s="727"/>
      <c r="AZ139" s="727"/>
      <c r="BA139" s="727" t="s">
        <v>124</v>
      </c>
      <c r="BB139" s="727"/>
      <c r="BC139" s="727" t="s">
        <v>125</v>
      </c>
      <c r="BD139" s="727"/>
    </row>
    <row r="140" spans="7:63" ht="36.75" thickTop="1" x14ac:dyDescent="0.25">
      <c r="Z140" s="775">
        <v>10.058400410100099</v>
      </c>
      <c r="AA140" s="776"/>
      <c r="AB140" s="776"/>
      <c r="AC140" s="776"/>
      <c r="AD140" s="777"/>
      <c r="AJ140" s="1454"/>
      <c r="AK140" s="1454"/>
      <c r="AL140" s="1454"/>
      <c r="AM140" s="746"/>
      <c r="AN140" s="746"/>
      <c r="AO140" s="746"/>
      <c r="AP140" s="747"/>
      <c r="AQ140" s="748"/>
      <c r="AR140" s="748"/>
      <c r="AS140" s="749"/>
      <c r="AU140" s="727"/>
      <c r="AV140" s="727"/>
      <c r="AW140" s="727"/>
      <c r="AX140" s="727"/>
      <c r="AY140" s="727"/>
      <c r="AZ140" s="727"/>
      <c r="BA140" s="727"/>
      <c r="BB140" s="727"/>
      <c r="BC140" s="727"/>
      <c r="BD140" s="727"/>
      <c r="BE140" s="13"/>
    </row>
    <row r="141" spans="7:63" ht="15" customHeight="1" x14ac:dyDescent="0.25">
      <c r="Z141" s="778"/>
      <c r="AA141" s="779"/>
      <c r="AB141" s="779"/>
      <c r="AC141" s="779"/>
      <c r="AD141" s="780"/>
      <c r="AJ141" s="1454">
        <v>50</v>
      </c>
      <c r="AK141" s="1454"/>
      <c r="AL141" s="1454"/>
      <c r="AM141" s="746"/>
      <c r="AN141" s="746"/>
      <c r="AO141" s="746"/>
      <c r="AP141" s="747">
        <f t="shared" ref="AP141" si="158">AM141*AJ141</f>
        <v>0</v>
      </c>
      <c r="AQ141" s="748"/>
      <c r="AR141" s="748"/>
      <c r="AS141" s="749"/>
      <c r="AU141" s="727"/>
      <c r="AV141" s="727"/>
      <c r="AW141" s="727"/>
      <c r="AX141" s="727"/>
      <c r="AY141" s="727"/>
      <c r="AZ141" s="727"/>
      <c r="BA141" s="727"/>
      <c r="BB141" s="727"/>
      <c r="BC141" s="727"/>
      <c r="BD141" s="727"/>
      <c r="BE141" s="13"/>
    </row>
    <row r="142" spans="7:63" ht="15" customHeight="1" x14ac:dyDescent="0.25">
      <c r="Z142" s="778"/>
      <c r="AA142" s="779"/>
      <c r="AB142" s="779"/>
      <c r="AC142" s="779"/>
      <c r="AD142" s="780"/>
      <c r="AJ142" s="1454"/>
      <c r="AK142" s="1454"/>
      <c r="AL142" s="1454"/>
      <c r="AM142" s="746"/>
      <c r="AN142" s="746"/>
      <c r="AO142" s="746"/>
      <c r="AP142" s="747"/>
      <c r="AQ142" s="748"/>
      <c r="AR142" s="748"/>
      <c r="AS142" s="749"/>
      <c r="AU142" s="774">
        <v>4120</v>
      </c>
      <c r="AV142" s="774"/>
      <c r="AW142" s="774"/>
      <c r="AX142" s="774">
        <f>AJ156</f>
        <v>1150</v>
      </c>
      <c r="AY142" s="774"/>
      <c r="AZ142" s="774"/>
      <c r="BA142" s="726">
        <f>AU128</f>
        <v>11.6840004100101</v>
      </c>
      <c r="BB142" s="726"/>
      <c r="BC142" s="726">
        <f>AY133+AU128</f>
        <v>20.6840004100101</v>
      </c>
      <c r="BD142" s="726"/>
      <c r="BE142" s="13"/>
    </row>
    <row r="143" spans="7:63" ht="15" customHeight="1" x14ac:dyDescent="0.25">
      <c r="Z143" s="778"/>
      <c r="AA143" s="779"/>
      <c r="AB143" s="779"/>
      <c r="AC143" s="779"/>
      <c r="AD143" s="780"/>
      <c r="AJ143" s="1454"/>
      <c r="AK143" s="1454"/>
      <c r="AL143" s="1454"/>
      <c r="AM143" s="746"/>
      <c r="AN143" s="746"/>
      <c r="AO143" s="746"/>
      <c r="AP143" s="747"/>
      <c r="AQ143" s="748"/>
      <c r="AR143" s="748"/>
      <c r="AS143" s="749"/>
      <c r="AU143" s="774"/>
      <c r="AV143" s="774"/>
      <c r="AW143" s="774"/>
      <c r="AX143" s="774"/>
      <c r="AY143" s="774"/>
      <c r="AZ143" s="774"/>
      <c r="BA143" s="726"/>
      <c r="BB143" s="726"/>
      <c r="BC143" s="726"/>
      <c r="BD143" s="726"/>
      <c r="BE143" s="13"/>
    </row>
    <row r="144" spans="7:63" ht="15" customHeight="1" x14ac:dyDescent="0.25">
      <c r="Z144" s="778"/>
      <c r="AA144" s="779"/>
      <c r="AB144" s="779"/>
      <c r="AC144" s="779"/>
      <c r="AD144" s="780"/>
      <c r="AJ144" s="1454">
        <v>60</v>
      </c>
      <c r="AK144" s="1454"/>
      <c r="AL144" s="1454"/>
      <c r="AM144" s="746">
        <v>1</v>
      </c>
      <c r="AN144" s="746"/>
      <c r="AO144" s="746"/>
      <c r="AP144" s="747">
        <f t="shared" ref="AP144" si="159">AM144*AJ144</f>
        <v>60</v>
      </c>
      <c r="AQ144" s="748"/>
      <c r="AR144" s="748"/>
      <c r="AS144" s="749"/>
      <c r="AU144" s="774"/>
      <c r="AV144" s="774"/>
      <c r="AW144" s="774"/>
      <c r="AX144" s="774"/>
      <c r="AY144" s="774"/>
      <c r="AZ144" s="774"/>
      <c r="BA144" s="726"/>
      <c r="BB144" s="726"/>
      <c r="BC144" s="726"/>
      <c r="BD144" s="726"/>
      <c r="BE144" s="13"/>
    </row>
    <row r="145" spans="26:57" x14ac:dyDescent="0.25">
      <c r="Z145" s="778"/>
      <c r="AA145" s="779"/>
      <c r="AB145" s="779"/>
      <c r="AC145" s="779"/>
      <c r="AD145" s="780"/>
      <c r="AJ145" s="1454"/>
      <c r="AK145" s="1454"/>
      <c r="AL145" s="1454"/>
      <c r="AM145" s="746"/>
      <c r="AN145" s="746"/>
      <c r="AO145" s="746"/>
      <c r="AP145" s="747"/>
      <c r="AQ145" s="748"/>
      <c r="AR145" s="748"/>
      <c r="AS145" s="749"/>
      <c r="AU145" s="774"/>
      <c r="AV145" s="774"/>
      <c r="AW145" s="774"/>
      <c r="AX145" s="774"/>
      <c r="AY145" s="774"/>
      <c r="AZ145" s="774"/>
      <c r="BA145" s="726"/>
      <c r="BB145" s="726"/>
      <c r="BC145" s="726"/>
      <c r="BD145" s="726"/>
      <c r="BE145" s="57"/>
    </row>
    <row r="146" spans="26:57" ht="36.75" thickBot="1" x14ac:dyDescent="0.3">
      <c r="Z146" s="781"/>
      <c r="AA146" s="782"/>
      <c r="AB146" s="782"/>
      <c r="AC146" s="782"/>
      <c r="AD146" s="783"/>
      <c r="AJ146" s="1454"/>
      <c r="AK146" s="1454"/>
      <c r="AL146" s="1454"/>
      <c r="AM146" s="746"/>
      <c r="AN146" s="746"/>
      <c r="AO146" s="746"/>
      <c r="AP146" s="747"/>
      <c r="AQ146" s="748"/>
      <c r="AR146" s="748"/>
      <c r="AS146" s="749"/>
      <c r="BE146" s="57"/>
    </row>
    <row r="147" spans="26:57" ht="27" customHeight="1" thickTop="1" x14ac:dyDescent="0.25">
      <c r="AJ147" s="1454">
        <v>65</v>
      </c>
      <c r="AK147" s="1454"/>
      <c r="AL147" s="1454"/>
      <c r="AM147" s="746"/>
      <c r="AN147" s="746"/>
      <c r="AO147" s="746"/>
      <c r="AP147" s="747">
        <f t="shared" ref="AP147" si="160">AM147*AJ147</f>
        <v>0</v>
      </c>
      <c r="AQ147" s="748"/>
      <c r="AR147" s="748"/>
      <c r="AS147" s="749"/>
      <c r="BE147" s="57"/>
    </row>
    <row r="148" spans="26:57" ht="15" customHeight="1" x14ac:dyDescent="0.25">
      <c r="AJ148" s="1454"/>
      <c r="AK148" s="1454"/>
      <c r="AL148" s="1454"/>
      <c r="AM148" s="746"/>
      <c r="AN148" s="746"/>
      <c r="AO148" s="746"/>
      <c r="AP148" s="747"/>
      <c r="AQ148" s="748"/>
      <c r="AR148" s="748"/>
      <c r="AS148" s="749"/>
      <c r="AU148" s="739" t="s">
        <v>126</v>
      </c>
      <c r="AV148" s="740"/>
      <c r="AW148" s="740"/>
      <c r="AX148" s="740"/>
      <c r="AY148" s="740"/>
      <c r="AZ148" s="740"/>
      <c r="BA148" s="740"/>
      <c r="BB148" s="740"/>
      <c r="BC148" s="740"/>
      <c r="BD148" s="741"/>
      <c r="BE148" s="13"/>
    </row>
    <row r="149" spans="26:57" ht="15" customHeight="1" x14ac:dyDescent="0.25">
      <c r="AJ149" s="1454"/>
      <c r="AK149" s="1454"/>
      <c r="AL149" s="1454"/>
      <c r="AM149" s="746"/>
      <c r="AN149" s="746"/>
      <c r="AO149" s="746"/>
      <c r="AP149" s="747"/>
      <c r="AQ149" s="748"/>
      <c r="AR149" s="748"/>
      <c r="AS149" s="749"/>
      <c r="AU149" s="750"/>
      <c r="AV149" s="751"/>
      <c r="AW149" s="751"/>
      <c r="AX149" s="751"/>
      <c r="AY149" s="751"/>
      <c r="AZ149" s="751"/>
      <c r="BA149" s="751"/>
      <c r="BB149" s="751"/>
      <c r="BC149" s="751"/>
      <c r="BD149" s="752"/>
      <c r="BE149" s="13"/>
    </row>
    <row r="150" spans="26:57" ht="15" customHeight="1" x14ac:dyDescent="0.25">
      <c r="AJ150" s="1454">
        <v>35</v>
      </c>
      <c r="AK150" s="1454"/>
      <c r="AL150" s="1454"/>
      <c r="AM150" s="746"/>
      <c r="AN150" s="746"/>
      <c r="AO150" s="746"/>
      <c r="AP150" s="747">
        <f t="shared" ref="AP150" si="161">AM150*AJ150</f>
        <v>0</v>
      </c>
      <c r="AQ150" s="748"/>
      <c r="AR150" s="748"/>
      <c r="AS150" s="749"/>
      <c r="AU150" s="742"/>
      <c r="AV150" s="743"/>
      <c r="AW150" s="743"/>
      <c r="AX150" s="743"/>
      <c r="AY150" s="743"/>
      <c r="AZ150" s="743"/>
      <c r="BA150" s="743"/>
      <c r="BB150" s="743"/>
      <c r="BC150" s="743"/>
      <c r="BD150" s="744"/>
      <c r="BE150" s="13"/>
    </row>
    <row r="151" spans="26:57" ht="15" customHeight="1" x14ac:dyDescent="0.25">
      <c r="AJ151" s="1454"/>
      <c r="AK151" s="1454"/>
      <c r="AL151" s="1454"/>
      <c r="AM151" s="746"/>
      <c r="AN151" s="746"/>
      <c r="AO151" s="746"/>
      <c r="AP151" s="747"/>
      <c r="AQ151" s="748"/>
      <c r="AR151" s="748"/>
      <c r="AS151" s="749"/>
      <c r="AU151" s="727" t="s">
        <v>128</v>
      </c>
      <c r="AV151" s="727"/>
      <c r="AW151" s="727"/>
      <c r="AX151" s="727"/>
      <c r="AY151" s="727"/>
      <c r="AZ151" s="727"/>
      <c r="BA151" s="727"/>
      <c r="BB151" s="727"/>
      <c r="BC151" s="727"/>
      <c r="BD151" s="727"/>
      <c r="BE151" s="13"/>
    </row>
    <row r="152" spans="26:57" ht="15" customHeight="1" x14ac:dyDescent="0.25">
      <c r="AJ152" s="1454"/>
      <c r="AK152" s="1454"/>
      <c r="AL152" s="1454"/>
      <c r="AM152" s="746"/>
      <c r="AN152" s="746"/>
      <c r="AO152" s="746"/>
      <c r="AP152" s="747"/>
      <c r="AQ152" s="748"/>
      <c r="AR152" s="748"/>
      <c r="AS152" s="749"/>
      <c r="AU152" s="727"/>
      <c r="AV152" s="727"/>
      <c r="AW152" s="727"/>
      <c r="AX152" s="727"/>
      <c r="AY152" s="727"/>
      <c r="AZ152" s="727"/>
      <c r="BA152" s="727"/>
      <c r="BB152" s="727"/>
      <c r="BC152" s="727"/>
      <c r="BD152" s="727"/>
      <c r="BE152" s="13"/>
    </row>
    <row r="153" spans="26:57" ht="15" customHeight="1" x14ac:dyDescent="0.25">
      <c r="AJ153" s="1454">
        <v>80</v>
      </c>
      <c r="AK153" s="1454"/>
      <c r="AL153" s="1454"/>
      <c r="AM153" s="746">
        <v>4</v>
      </c>
      <c r="AN153" s="746"/>
      <c r="AO153" s="746"/>
      <c r="AP153" s="747">
        <f t="shared" ref="AP153" si="162">AM153*AJ153</f>
        <v>320</v>
      </c>
      <c r="AQ153" s="748"/>
      <c r="AR153" s="748"/>
      <c r="AS153" s="749"/>
      <c r="AU153" s="728">
        <f>BA142/((42*3.1415/59)*(AX142/3.281))</f>
        <v>1.4906154240973919E-2</v>
      </c>
      <c r="AV153" s="729"/>
      <c r="AW153" s="729"/>
      <c r="AX153" s="729"/>
      <c r="AY153" s="729"/>
      <c r="AZ153" s="729"/>
      <c r="BA153" s="729"/>
      <c r="BB153" s="729"/>
      <c r="BC153" s="729"/>
      <c r="BD153" s="730"/>
      <c r="BE153" s="13"/>
    </row>
    <row r="154" spans="26:57" x14ac:dyDescent="0.25">
      <c r="AJ154" s="1454"/>
      <c r="AK154" s="1454"/>
      <c r="AL154" s="1454"/>
      <c r="AM154" s="746"/>
      <c r="AN154" s="746"/>
      <c r="AO154" s="746"/>
      <c r="AP154" s="747"/>
      <c r="AQ154" s="748"/>
      <c r="AR154" s="748"/>
      <c r="AS154" s="749"/>
      <c r="AU154" s="731"/>
      <c r="AV154" s="732"/>
      <c r="AW154" s="732"/>
      <c r="AX154" s="732"/>
      <c r="AY154" s="732"/>
      <c r="AZ154" s="732"/>
      <c r="BA154" s="732"/>
      <c r="BB154" s="732"/>
      <c r="BC154" s="732"/>
      <c r="BD154" s="733"/>
      <c r="BE154" s="57"/>
    </row>
    <row r="155" spans="26:57" x14ac:dyDescent="0.25">
      <c r="AJ155" s="1455"/>
      <c r="AK155" s="1455"/>
      <c r="AL155" s="1455"/>
      <c r="AM155" s="1456"/>
      <c r="AN155" s="1456"/>
      <c r="AO155" s="1456"/>
      <c r="AP155" s="1457"/>
      <c r="AQ155" s="1458"/>
      <c r="AR155" s="1458"/>
      <c r="AS155" s="1459"/>
      <c r="AU155" s="734"/>
      <c r="AV155" s="735"/>
      <c r="AW155" s="735"/>
      <c r="AX155" s="735"/>
      <c r="AY155" s="735"/>
      <c r="AZ155" s="735"/>
      <c r="BA155" s="735"/>
      <c r="BB155" s="735"/>
      <c r="BC155" s="735"/>
      <c r="BD155" s="736"/>
      <c r="BE155" s="57"/>
    </row>
    <row r="156" spans="26:57" ht="26.25" customHeight="1" x14ac:dyDescent="0.25">
      <c r="AJ156" s="1445">
        <f>AP138+AP141+AP144+AP147+AP150+AP153+AP156+AP159</f>
        <v>1150</v>
      </c>
      <c r="AK156" s="1446"/>
      <c r="AL156" s="1446"/>
      <c r="AM156" s="1446"/>
      <c r="AN156" s="1446"/>
      <c r="AO156" s="1446"/>
      <c r="AP156" s="1446"/>
      <c r="AQ156" s="1446"/>
      <c r="AR156" s="1446"/>
      <c r="AS156" s="1447"/>
      <c r="AU156" s="739" t="s">
        <v>129</v>
      </c>
      <c r="AV156" s="740"/>
      <c r="AW156" s="740"/>
      <c r="AX156" s="740"/>
      <c r="AY156" s="740"/>
      <c r="AZ156" s="740"/>
      <c r="BA156" s="740"/>
      <c r="BB156" s="740"/>
      <c r="BC156" s="740"/>
      <c r="BD156" s="741"/>
      <c r="BE156" s="57"/>
    </row>
    <row r="157" spans="26:57" ht="26.25" customHeight="1" x14ac:dyDescent="0.25">
      <c r="AJ157" s="1448"/>
      <c r="AK157" s="1449"/>
      <c r="AL157" s="1449"/>
      <c r="AM157" s="1449"/>
      <c r="AN157" s="1449"/>
      <c r="AO157" s="1449"/>
      <c r="AP157" s="1449"/>
      <c r="AQ157" s="1449"/>
      <c r="AR157" s="1449"/>
      <c r="AS157" s="1450"/>
      <c r="AU157" s="742"/>
      <c r="AV157" s="743"/>
      <c r="AW157" s="743"/>
      <c r="AX157" s="743"/>
      <c r="AY157" s="743"/>
      <c r="AZ157" s="743"/>
      <c r="BA157" s="743"/>
      <c r="BB157" s="743"/>
      <c r="BC157" s="743"/>
      <c r="BD157" s="744"/>
      <c r="BE157" s="57"/>
    </row>
    <row r="158" spans="26:57" ht="26.25" customHeight="1" x14ac:dyDescent="0.25">
      <c r="AJ158" s="1448"/>
      <c r="AK158" s="1449"/>
      <c r="AL158" s="1449"/>
      <c r="AM158" s="1449"/>
      <c r="AN158" s="1449"/>
      <c r="AO158" s="1449"/>
      <c r="AP158" s="1449"/>
      <c r="AQ158" s="1449"/>
      <c r="AR158" s="1449"/>
      <c r="AS158" s="1450"/>
      <c r="AU158" s="739" t="s">
        <v>130</v>
      </c>
      <c r="AV158" s="740"/>
      <c r="AW158" s="740"/>
      <c r="AX158" s="740"/>
      <c r="AY158" s="740"/>
      <c r="AZ158" s="740"/>
      <c r="BA158" s="740"/>
      <c r="BB158" s="740"/>
      <c r="BC158" s="740"/>
      <c r="BD158" s="741"/>
      <c r="BE158" s="57"/>
    </row>
    <row r="159" spans="26:57" ht="15" customHeight="1" x14ac:dyDescent="0.25">
      <c r="AJ159" s="1448"/>
      <c r="AK159" s="1449"/>
      <c r="AL159" s="1449"/>
      <c r="AM159" s="1449"/>
      <c r="AN159" s="1449"/>
      <c r="AO159" s="1449"/>
      <c r="AP159" s="1449"/>
      <c r="AQ159" s="1449"/>
      <c r="AR159" s="1449"/>
      <c r="AS159" s="1450"/>
      <c r="AU159" s="750"/>
      <c r="AV159" s="751"/>
      <c r="AW159" s="751"/>
      <c r="AX159" s="751"/>
      <c r="AY159" s="751"/>
      <c r="AZ159" s="751"/>
      <c r="BA159" s="751"/>
      <c r="BB159" s="751"/>
      <c r="BC159" s="751"/>
      <c r="BD159" s="752"/>
    </row>
    <row r="160" spans="26:57" ht="15" customHeight="1" x14ac:dyDescent="0.25">
      <c r="AJ160" s="1448"/>
      <c r="AK160" s="1449"/>
      <c r="AL160" s="1449"/>
      <c r="AM160" s="1449"/>
      <c r="AN160" s="1449"/>
      <c r="AO160" s="1449"/>
      <c r="AP160" s="1449"/>
      <c r="AQ160" s="1449"/>
      <c r="AR160" s="1449"/>
      <c r="AS160" s="1450"/>
      <c r="AU160" s="750"/>
      <c r="AV160" s="751"/>
      <c r="AW160" s="751"/>
      <c r="AX160" s="751"/>
      <c r="AY160" s="751"/>
      <c r="AZ160" s="751"/>
      <c r="BA160" s="751"/>
      <c r="BB160" s="751"/>
      <c r="BC160" s="751"/>
      <c r="BD160" s="752"/>
    </row>
    <row r="161" spans="28:59" ht="15" customHeight="1" x14ac:dyDescent="0.25">
      <c r="AJ161" s="1451"/>
      <c r="AK161" s="1452"/>
      <c r="AL161" s="1452"/>
      <c r="AM161" s="1452"/>
      <c r="AN161" s="1452"/>
      <c r="AO161" s="1452"/>
      <c r="AP161" s="1452"/>
      <c r="AQ161" s="1452"/>
      <c r="AR161" s="1452"/>
      <c r="AS161" s="1453"/>
      <c r="AU161" s="742"/>
      <c r="AV161" s="743"/>
      <c r="AW161" s="743"/>
      <c r="AX161" s="743"/>
      <c r="AY161" s="743"/>
      <c r="AZ161" s="743"/>
      <c r="BA161" s="743"/>
      <c r="BB161" s="743"/>
      <c r="BC161" s="743"/>
      <c r="BD161" s="744"/>
    </row>
    <row r="162" spans="28:59" ht="15" customHeight="1" x14ac:dyDescent="0.25">
      <c r="AK162" s="369"/>
      <c r="AL162" s="369"/>
      <c r="AM162" s="369"/>
      <c r="AN162" s="369"/>
      <c r="AP162" s="369"/>
      <c r="AQ162" s="369"/>
      <c r="AR162" s="369"/>
      <c r="AS162" s="369"/>
      <c r="AU162" s="728">
        <f>BC142/((42*3.1415/59)*(AX142/3.281))</f>
        <v>2.6388128176359063E-2</v>
      </c>
      <c r="AV162" s="729"/>
      <c r="AW162" s="729"/>
      <c r="AX162" s="729"/>
      <c r="AY162" s="729"/>
      <c r="AZ162" s="729"/>
      <c r="BA162" s="729"/>
      <c r="BB162" s="729"/>
      <c r="BC162" s="729"/>
      <c r="BD162" s="730"/>
    </row>
    <row r="163" spans="28:59" ht="15" customHeight="1" x14ac:dyDescent="0.25">
      <c r="AK163" s="369"/>
      <c r="AL163" s="369"/>
      <c r="AM163" s="369"/>
      <c r="AN163" s="369"/>
      <c r="AP163" s="369"/>
      <c r="AQ163" s="369"/>
      <c r="AR163" s="369"/>
      <c r="AS163" s="369"/>
      <c r="AU163" s="731"/>
      <c r="AV163" s="732"/>
      <c r="AW163" s="732"/>
      <c r="AX163" s="732"/>
      <c r="AY163" s="732"/>
      <c r="AZ163" s="732"/>
      <c r="BA163" s="732"/>
      <c r="BB163" s="732"/>
      <c r="BC163" s="732"/>
      <c r="BD163" s="733"/>
    </row>
    <row r="164" spans="28:59" ht="15.75" customHeight="1" x14ac:dyDescent="0.25">
      <c r="AB164" s="86"/>
      <c r="AC164" s="86"/>
      <c r="AD164" s="86"/>
      <c r="AI164" s="27"/>
      <c r="AK164" s="369"/>
      <c r="AL164" s="369"/>
      <c r="AM164" s="369"/>
      <c r="AN164" s="369"/>
      <c r="AP164" s="369"/>
      <c r="AQ164" s="369"/>
      <c r="AR164" s="369"/>
      <c r="AS164" s="369"/>
      <c r="AU164" s="731"/>
      <c r="AV164" s="732"/>
      <c r="AW164" s="732"/>
      <c r="AX164" s="732"/>
      <c r="AY164" s="732"/>
      <c r="AZ164" s="732"/>
      <c r="BA164" s="732"/>
      <c r="BB164" s="732"/>
      <c r="BC164" s="732"/>
      <c r="BD164" s="733"/>
      <c r="BE164" s="27"/>
      <c r="BF164" s="13"/>
      <c r="BG164" s="13"/>
    </row>
    <row r="165" spans="28:59" ht="15" customHeight="1" x14ac:dyDescent="0.25">
      <c r="AB165" s="86"/>
      <c r="AC165" s="86"/>
      <c r="AD165" s="86"/>
      <c r="AI165" s="27"/>
      <c r="AK165" s="27"/>
      <c r="AL165" s="27"/>
      <c r="AM165" s="27"/>
      <c r="AN165" s="27"/>
      <c r="AP165" s="27"/>
      <c r="AQ165" s="27"/>
      <c r="AR165" s="27"/>
      <c r="AU165" s="731"/>
      <c r="AV165" s="732"/>
      <c r="AW165" s="732"/>
      <c r="AX165" s="732"/>
      <c r="AY165" s="732"/>
      <c r="AZ165" s="732"/>
      <c r="BA165" s="732"/>
      <c r="BB165" s="732"/>
      <c r="BC165" s="732"/>
      <c r="BD165" s="733"/>
      <c r="BE165" s="27"/>
      <c r="BF165" s="13"/>
      <c r="BG165" s="13"/>
    </row>
    <row r="166" spans="28:59" ht="15" customHeight="1" x14ac:dyDescent="0.25">
      <c r="AB166" s="86"/>
      <c r="AC166" s="86"/>
      <c r="AD166" s="86"/>
      <c r="AI166" s="27"/>
      <c r="AK166" s="27"/>
      <c r="AL166" s="27"/>
      <c r="AM166" s="27"/>
      <c r="AN166" s="27"/>
      <c r="AP166" s="27"/>
      <c r="AQ166" s="27"/>
      <c r="AR166" s="27"/>
      <c r="AU166" s="734"/>
      <c r="AV166" s="735"/>
      <c r="AW166" s="735"/>
      <c r="AX166" s="735"/>
      <c r="AY166" s="735"/>
      <c r="AZ166" s="735"/>
      <c r="BA166" s="735"/>
      <c r="BB166" s="735"/>
      <c r="BC166" s="735"/>
      <c r="BD166" s="736"/>
      <c r="BE166" s="27"/>
      <c r="BF166" s="13"/>
      <c r="BG166" s="13"/>
    </row>
    <row r="167" spans="28:59" ht="15" customHeight="1" x14ac:dyDescent="0.25">
      <c r="AB167" s="86"/>
      <c r="AC167" s="86"/>
      <c r="AD167" s="86"/>
      <c r="AI167" s="556"/>
      <c r="AK167" s="556"/>
      <c r="AL167" s="556"/>
      <c r="AM167" s="556"/>
      <c r="AN167" s="556"/>
      <c r="AO167" s="566"/>
      <c r="AP167" s="557"/>
      <c r="AQ167" s="557"/>
      <c r="AR167" s="557"/>
      <c r="AV167" s="27"/>
      <c r="AW167" s="27"/>
      <c r="AX167" s="27"/>
      <c r="AZ167" s="27"/>
      <c r="BA167" s="27"/>
      <c r="BB167" s="27"/>
      <c r="BC167" s="27"/>
      <c r="BE167" s="27"/>
      <c r="BF167" s="13"/>
      <c r="BG167" s="13"/>
    </row>
    <row r="168" spans="28:59" ht="15" customHeight="1" x14ac:dyDescent="0.25">
      <c r="AB168" s="86"/>
      <c r="AC168" s="86"/>
      <c r="AD168" s="86"/>
      <c r="AI168" s="556"/>
      <c r="AK168" s="556"/>
      <c r="AL168" s="556"/>
      <c r="AM168" s="556"/>
      <c r="AN168" s="556"/>
      <c r="AO168" s="566"/>
      <c r="AP168" s="557"/>
      <c r="AQ168" s="557"/>
      <c r="AR168" s="557"/>
      <c r="AV168" s="51"/>
      <c r="AW168" s="51"/>
      <c r="AX168" s="51"/>
      <c r="AY168" s="569"/>
      <c r="AZ168" s="51"/>
      <c r="BA168" s="51"/>
      <c r="BB168" s="51"/>
      <c r="BC168" s="51"/>
      <c r="BE168" s="27"/>
      <c r="BF168" s="13"/>
      <c r="BG168" s="13"/>
    </row>
    <row r="169" spans="28:59" ht="26.25" customHeight="1" x14ac:dyDescent="0.25">
      <c r="AB169" s="86"/>
      <c r="AC169" s="86"/>
      <c r="AD169" s="86"/>
      <c r="AI169" s="556"/>
      <c r="AK169" s="556"/>
      <c r="AL169" s="556"/>
      <c r="AM169" s="556"/>
      <c r="AN169" s="556"/>
      <c r="AO169" s="566"/>
      <c r="AP169" s="557"/>
      <c r="AQ169" s="557"/>
      <c r="AR169" s="557"/>
      <c r="AV169" s="51"/>
      <c r="AW169" s="51"/>
      <c r="AX169" s="51"/>
      <c r="AY169" s="569"/>
      <c r="AZ169" s="51"/>
      <c r="BA169" s="51"/>
      <c r="BB169" s="51"/>
      <c r="BC169" s="51"/>
      <c r="BD169" s="569"/>
      <c r="BE169" s="51"/>
      <c r="BF169" s="57"/>
      <c r="BG169" s="57"/>
    </row>
    <row r="170" spans="28:59" ht="27" customHeight="1" x14ac:dyDescent="0.25">
      <c r="AB170" s="86"/>
      <c r="AC170" s="86"/>
      <c r="AD170" s="86"/>
      <c r="AI170" s="556"/>
      <c r="AK170" s="556"/>
      <c r="AL170" s="556"/>
      <c r="AM170" s="556"/>
      <c r="AN170" s="556"/>
      <c r="AO170" s="566"/>
      <c r="AP170" s="557"/>
      <c r="AQ170" s="557"/>
      <c r="AR170" s="557"/>
      <c r="AV170" s="51"/>
      <c r="AW170" s="51"/>
      <c r="AX170" s="51"/>
      <c r="AY170" s="569"/>
      <c r="AZ170" s="51"/>
      <c r="BA170" s="51"/>
      <c r="BB170" s="51"/>
      <c r="BC170" s="51"/>
      <c r="BD170" s="569"/>
      <c r="BE170" s="51"/>
      <c r="BF170" s="57"/>
      <c r="BG170" s="57"/>
    </row>
    <row r="171" spans="28:59" x14ac:dyDescent="0.25">
      <c r="AB171" s="86"/>
      <c r="AC171" s="86"/>
      <c r="AD171" s="86"/>
      <c r="AV171" s="27"/>
      <c r="AW171" s="27"/>
      <c r="AX171" s="27"/>
      <c r="AZ171" s="27"/>
      <c r="BA171" s="27"/>
      <c r="BB171" s="27"/>
      <c r="BC171" s="27"/>
      <c r="BD171" s="569"/>
      <c r="BE171" s="51"/>
      <c r="BF171" s="57"/>
      <c r="BG171" s="57"/>
    </row>
    <row r="172" spans="28:59" x14ac:dyDescent="0.25">
      <c r="AB172" s="86"/>
      <c r="AC172" s="86"/>
      <c r="AD172" s="86"/>
      <c r="AV172" s="27"/>
      <c r="AW172" s="27"/>
      <c r="AX172" s="27"/>
      <c r="AZ172" s="27"/>
      <c r="BA172" s="27"/>
      <c r="BB172" s="27"/>
      <c r="BC172" s="27"/>
      <c r="BE172" s="27"/>
      <c r="BF172" s="13"/>
      <c r="BG172" s="13"/>
    </row>
    <row r="173" spans="28:59" x14ac:dyDescent="0.25">
      <c r="AB173" s="86"/>
      <c r="AC173" s="86"/>
      <c r="AD173" s="86"/>
      <c r="AV173" s="27"/>
      <c r="AW173" s="27"/>
      <c r="AX173" s="27"/>
      <c r="AZ173" s="27"/>
      <c r="BA173" s="27"/>
      <c r="BB173" s="27"/>
      <c r="BC173" s="27"/>
      <c r="BE173" s="27"/>
      <c r="BF173" s="13"/>
      <c r="BG173" s="13"/>
    </row>
    <row r="174" spans="28:59" ht="15" customHeight="1" x14ac:dyDescent="0.25">
      <c r="AB174" s="86"/>
      <c r="AC174" s="86"/>
      <c r="AD174" s="86"/>
      <c r="AK174" s="558"/>
      <c r="AL174" s="558"/>
      <c r="AM174" s="558"/>
      <c r="AN174" s="559"/>
      <c r="AO174" s="567"/>
      <c r="AP174" s="559"/>
      <c r="AQ174" s="559"/>
      <c r="AR174" s="559"/>
      <c r="AS174" s="559"/>
      <c r="AT174" s="567"/>
      <c r="AV174" s="27"/>
      <c r="AW174" s="27"/>
      <c r="AX174" s="27"/>
      <c r="AZ174" s="27"/>
      <c r="BA174" s="27"/>
      <c r="BB174" s="27"/>
      <c r="BC174" s="27"/>
      <c r="BE174" s="27"/>
      <c r="BF174" s="13"/>
      <c r="BG174" s="13"/>
    </row>
    <row r="175" spans="28:59" ht="15" customHeight="1" x14ac:dyDescent="0.25">
      <c r="AB175" s="86"/>
      <c r="AC175" s="86"/>
      <c r="AD175" s="86"/>
      <c r="AK175" s="558"/>
      <c r="AL175" s="558"/>
      <c r="AM175" s="558"/>
      <c r="AN175" s="559"/>
      <c r="AO175" s="567"/>
      <c r="AP175" s="559"/>
      <c r="AQ175" s="559"/>
      <c r="AR175" s="559"/>
      <c r="AS175" s="559"/>
      <c r="AT175" s="567"/>
      <c r="AV175" s="27"/>
      <c r="AW175" s="27"/>
      <c r="AX175" s="27"/>
      <c r="AZ175" s="27"/>
      <c r="BA175" s="27"/>
      <c r="BB175" s="27"/>
      <c r="BC175" s="27"/>
      <c r="BE175" s="27"/>
      <c r="BF175" s="13"/>
      <c r="BG175" s="13"/>
    </row>
    <row r="176" spans="28:59" ht="15" customHeight="1" x14ac:dyDescent="0.25">
      <c r="AB176" s="86"/>
      <c r="AC176" s="86"/>
      <c r="AD176" s="86"/>
      <c r="AK176" s="558"/>
      <c r="AL176" s="558"/>
      <c r="AM176" s="558"/>
      <c r="AN176" s="559"/>
      <c r="AO176" s="567"/>
      <c r="AP176" s="559"/>
      <c r="AQ176" s="559"/>
      <c r="AR176" s="559"/>
      <c r="AS176" s="559"/>
      <c r="AT176" s="567"/>
      <c r="AV176" s="27"/>
      <c r="AW176" s="27"/>
      <c r="AX176" s="27"/>
      <c r="AZ176" s="27"/>
      <c r="BA176" s="27"/>
      <c r="BB176" s="27"/>
      <c r="BC176" s="27"/>
      <c r="BE176" s="27"/>
      <c r="BF176" s="13"/>
      <c r="BG176" s="13"/>
    </row>
    <row r="177" spans="28:59" ht="15" customHeight="1" x14ac:dyDescent="0.25">
      <c r="AB177" s="86"/>
      <c r="AC177" s="86"/>
      <c r="AD177" s="86"/>
      <c r="AK177" s="27"/>
      <c r="AL177" s="27"/>
      <c r="AM177" s="27"/>
      <c r="AN177" s="559"/>
      <c r="AO177" s="567"/>
      <c r="AP177" s="559"/>
      <c r="AQ177" s="559"/>
      <c r="AR177" s="559"/>
      <c r="AS177" s="559"/>
      <c r="AT177" s="567"/>
      <c r="AV177" s="51"/>
      <c r="AW177" s="51"/>
      <c r="AX177" s="51"/>
      <c r="AY177" s="569"/>
      <c r="AZ177" s="51"/>
      <c r="BA177" s="51"/>
      <c r="BB177" s="51"/>
      <c r="BC177" s="51"/>
      <c r="BE177" s="27"/>
      <c r="BF177" s="13"/>
      <c r="BG177" s="13"/>
    </row>
    <row r="178" spans="28:59" x14ac:dyDescent="0.25">
      <c r="AB178" s="86"/>
      <c r="AC178" s="86"/>
      <c r="AD178" s="86"/>
      <c r="AK178" s="27"/>
      <c r="AL178" s="27"/>
      <c r="AM178" s="27"/>
      <c r="AN178" s="559"/>
      <c r="AO178" s="567"/>
      <c r="AP178" s="559"/>
      <c r="AQ178" s="559"/>
      <c r="AR178" s="559"/>
      <c r="AS178" s="559"/>
      <c r="AT178" s="567"/>
      <c r="AV178" s="51"/>
      <c r="AW178" s="51"/>
      <c r="AX178" s="51"/>
      <c r="AY178" s="569"/>
      <c r="AZ178" s="51"/>
      <c r="BA178" s="51"/>
      <c r="BB178" s="51"/>
      <c r="BC178" s="51"/>
      <c r="BD178" s="569"/>
      <c r="BE178" s="51"/>
      <c r="BF178" s="57"/>
      <c r="BG178" s="57"/>
    </row>
    <row r="179" spans="28:59" x14ac:dyDescent="0.25">
      <c r="AB179" s="86"/>
      <c r="AC179" s="86"/>
      <c r="AD179" s="86"/>
      <c r="AK179" s="27"/>
      <c r="AL179" s="27"/>
      <c r="AM179" s="27"/>
      <c r="AN179" s="559"/>
      <c r="AO179" s="567"/>
      <c r="AP179" s="559"/>
      <c r="AQ179" s="559"/>
      <c r="AR179" s="559"/>
      <c r="AS179" s="559"/>
      <c r="AT179" s="567"/>
      <c r="AV179" s="51"/>
      <c r="AW179" s="51"/>
      <c r="AX179" s="51"/>
      <c r="AY179" s="569"/>
      <c r="AZ179" s="51"/>
      <c r="BA179" s="51"/>
      <c r="BB179" s="51"/>
      <c r="BC179" s="51"/>
      <c r="BD179" s="569"/>
      <c r="BE179" s="51"/>
      <c r="BF179" s="57"/>
      <c r="BG179" s="57"/>
    </row>
    <row r="180" spans="28:59" x14ac:dyDescent="0.25">
      <c r="AB180" s="86"/>
      <c r="AC180" s="86"/>
      <c r="AD180" s="86"/>
      <c r="AK180" s="27"/>
      <c r="AL180" s="27"/>
      <c r="AM180" s="27"/>
      <c r="AN180" s="559"/>
      <c r="AO180" s="567"/>
      <c r="AP180" s="559"/>
      <c r="AQ180" s="559"/>
      <c r="AR180" s="559"/>
      <c r="AS180" s="559"/>
      <c r="AT180" s="567"/>
      <c r="AV180" s="51"/>
      <c r="AW180" s="51"/>
      <c r="AX180" s="51"/>
      <c r="AY180" s="569"/>
      <c r="AZ180" s="51"/>
      <c r="BA180" s="51"/>
      <c r="BB180" s="51"/>
      <c r="BC180" s="51"/>
      <c r="BD180" s="569"/>
      <c r="BE180" s="51"/>
      <c r="BF180" s="57"/>
      <c r="BG180" s="57"/>
    </row>
    <row r="181" spans="28:59" x14ac:dyDescent="0.25">
      <c r="AB181" s="86"/>
      <c r="AC181" s="86"/>
      <c r="AD181" s="86"/>
      <c r="AK181" s="27"/>
      <c r="AL181" s="27"/>
      <c r="AM181" s="27"/>
      <c r="AN181" s="559"/>
      <c r="AO181" s="567"/>
      <c r="AP181" s="559"/>
      <c r="AQ181" s="559"/>
      <c r="AR181" s="559"/>
      <c r="AS181" s="559"/>
      <c r="AT181" s="567"/>
      <c r="AV181" s="51"/>
      <c r="AW181" s="51"/>
      <c r="AX181" s="51"/>
      <c r="AY181" s="569"/>
      <c r="AZ181" s="51"/>
      <c r="BA181" s="51"/>
      <c r="BB181" s="51"/>
      <c r="BC181" s="51"/>
      <c r="BD181" s="569"/>
      <c r="BE181" s="51"/>
      <c r="BF181" s="57"/>
      <c r="BG181" s="57"/>
    </row>
    <row r="182" spans="28:59" x14ac:dyDescent="0.25">
      <c r="AB182" s="86"/>
      <c r="AC182" s="86"/>
      <c r="AD182" s="86"/>
      <c r="AK182" s="27"/>
      <c r="AL182" s="27"/>
      <c r="AM182" s="27"/>
      <c r="AN182" s="559"/>
      <c r="AO182" s="567"/>
      <c r="AP182" s="559"/>
      <c r="AQ182" s="559"/>
      <c r="AR182" s="559"/>
      <c r="AS182" s="559"/>
      <c r="AT182" s="567"/>
      <c r="BD182" s="569"/>
      <c r="BE182" s="51"/>
      <c r="BF182" s="57"/>
      <c r="BG182" s="57"/>
    </row>
    <row r="183" spans="28:59" ht="15" customHeight="1" x14ac:dyDescent="0.25">
      <c r="AB183" s="86"/>
      <c r="AC183" s="86"/>
      <c r="AD183" s="86"/>
      <c r="AN183" s="560"/>
      <c r="AO183" s="567"/>
      <c r="AP183" s="560"/>
      <c r="AQ183" s="559"/>
      <c r="AR183" s="559"/>
      <c r="AS183" s="559"/>
      <c r="AT183" s="567"/>
    </row>
    <row r="184" spans="28:59" ht="15" customHeight="1" x14ac:dyDescent="0.25">
      <c r="AB184" s="86"/>
      <c r="AC184" s="86"/>
      <c r="AD184" s="86"/>
      <c r="AN184" s="560"/>
      <c r="AO184" s="567"/>
      <c r="AP184" s="560"/>
      <c r="AQ184" s="559"/>
      <c r="AR184" s="559"/>
      <c r="AS184" s="559"/>
      <c r="AT184" s="567"/>
    </row>
    <row r="185" spans="28:59" ht="15" customHeight="1" x14ac:dyDescent="0.25">
      <c r="AB185" s="86"/>
      <c r="AC185" s="86"/>
      <c r="AD185" s="86"/>
      <c r="AN185" s="560"/>
      <c r="AO185" s="567"/>
      <c r="AP185" s="560"/>
      <c r="AQ185" s="559"/>
      <c r="AR185" s="559"/>
      <c r="AS185" s="559"/>
      <c r="AT185" s="567"/>
    </row>
    <row r="186" spans="28:59" x14ac:dyDescent="0.25">
      <c r="AB186" s="86"/>
      <c r="AC186" s="86"/>
      <c r="AD186" s="86"/>
    </row>
    <row r="187" spans="28:59" x14ac:dyDescent="0.25">
      <c r="AB187" s="86"/>
      <c r="AC187" s="86"/>
      <c r="AD187" s="86"/>
    </row>
    <row r="188" spans="28:59" x14ac:dyDescent="0.25">
      <c r="AB188" s="86"/>
      <c r="AC188" s="86"/>
      <c r="AD188" s="86"/>
    </row>
  </sheetData>
  <mergeCells count="1726">
    <mergeCell ref="BE6:BH6"/>
    <mergeCell ref="BN2:BO2"/>
    <mergeCell ref="BP2:BR2"/>
    <mergeCell ref="A3:E3"/>
    <mergeCell ref="F3:J3"/>
    <mergeCell ref="K3:O3"/>
    <mergeCell ref="P3:T3"/>
    <mergeCell ref="U3:Y3"/>
    <mergeCell ref="Z3:AD3"/>
    <mergeCell ref="AE3:AI3"/>
    <mergeCell ref="AJ3:AN3"/>
    <mergeCell ref="A2:O2"/>
    <mergeCell ref="P2:AD2"/>
    <mergeCell ref="AE2:AS2"/>
    <mergeCell ref="AT2:BH2"/>
    <mergeCell ref="BI2:BJ2"/>
    <mergeCell ref="BK2:BM2"/>
    <mergeCell ref="AJ4:AK4"/>
    <mergeCell ref="AL4:AN4"/>
    <mergeCell ref="AO4:AP4"/>
    <mergeCell ref="AQ4:AS4"/>
    <mergeCell ref="AT4:AU4"/>
    <mergeCell ref="AV4:AX4"/>
    <mergeCell ref="U4:V4"/>
    <mergeCell ref="W4:Y4"/>
    <mergeCell ref="Z4:AA4"/>
    <mergeCell ref="AB4:AD4"/>
    <mergeCell ref="AE4:AF4"/>
    <mergeCell ref="AG4:AI4"/>
    <mergeCell ref="BN3:BO5"/>
    <mergeCell ref="BP3:BR5"/>
    <mergeCell ref="A4:B4"/>
    <mergeCell ref="C4:E4"/>
    <mergeCell ref="F4:G4"/>
    <mergeCell ref="H4:J4"/>
    <mergeCell ref="K4:L4"/>
    <mergeCell ref="M4:O4"/>
    <mergeCell ref="P4:Q4"/>
    <mergeCell ref="R4:T4"/>
    <mergeCell ref="AO3:AS3"/>
    <mergeCell ref="AT3:AX3"/>
    <mergeCell ref="AY3:BC3"/>
    <mergeCell ref="BD3:BH3"/>
    <mergeCell ref="BI3:BJ5"/>
    <mergeCell ref="BK3:BM5"/>
    <mergeCell ref="AY4:AZ4"/>
    <mergeCell ref="BA4:BC4"/>
    <mergeCell ref="BD4:BE4"/>
    <mergeCell ref="BF4:BH4"/>
    <mergeCell ref="BD5:BE5"/>
    <mergeCell ref="BF5:BH5"/>
    <mergeCell ref="K6:K7"/>
    <mergeCell ref="L6:O6"/>
    <mergeCell ref="P6:P7"/>
    <mergeCell ref="Q6:T6"/>
    <mergeCell ref="AL5:AN5"/>
    <mergeCell ref="AO5:AP5"/>
    <mergeCell ref="AQ5:AS5"/>
    <mergeCell ref="AT5:AX5"/>
    <mergeCell ref="AY5:AZ5"/>
    <mergeCell ref="BA5:BC5"/>
    <mergeCell ref="U5:V5"/>
    <mergeCell ref="W5:Y5"/>
    <mergeCell ref="Z5:AA5"/>
    <mergeCell ref="AB5:AD5"/>
    <mergeCell ref="AE5:AI5"/>
    <mergeCell ref="AJ5:AK5"/>
    <mergeCell ref="A5:E5"/>
    <mergeCell ref="F5:G5"/>
    <mergeCell ref="H5:J5"/>
    <mergeCell ref="K5:L5"/>
    <mergeCell ref="M5:O5"/>
    <mergeCell ref="P5:T5"/>
    <mergeCell ref="BN6:BN7"/>
    <mergeCell ref="BO6:BR6"/>
    <mergeCell ref="A8:O8"/>
    <mergeCell ref="P8:AD8"/>
    <mergeCell ref="AE8:AS8"/>
    <mergeCell ref="AT8:BH8"/>
    <mergeCell ref="BI8:BJ8"/>
    <mergeCell ref="BK8:BM8"/>
    <mergeCell ref="BN8:BO8"/>
    <mergeCell ref="BP8:BR8"/>
    <mergeCell ref="AY6:AY7"/>
    <mergeCell ref="AZ6:BC6"/>
    <mergeCell ref="BD6:BD7"/>
    <mergeCell ref="AA18:AD18"/>
    <mergeCell ref="BI6:BI7"/>
    <mergeCell ref="BJ6:BM6"/>
    <mergeCell ref="AJ6:AJ7"/>
    <mergeCell ref="AK6:AN6"/>
    <mergeCell ref="AO6:AO7"/>
    <mergeCell ref="AP6:AS6"/>
    <mergeCell ref="AT6:AT7"/>
    <mergeCell ref="AU6:AX6"/>
    <mergeCell ref="U6:U7"/>
    <mergeCell ref="V6:Y6"/>
    <mergeCell ref="Z6:Z7"/>
    <mergeCell ref="AA6:AD6"/>
    <mergeCell ref="AE6:AE7"/>
    <mergeCell ref="AF6:AI6"/>
    <mergeCell ref="A6:A7"/>
    <mergeCell ref="B6:E6"/>
    <mergeCell ref="F6:F7"/>
    <mergeCell ref="G6:J6"/>
    <mergeCell ref="BI9:BJ11"/>
    <mergeCell ref="BK9:BM11"/>
    <mergeCell ref="BN9:BO11"/>
    <mergeCell ref="BP9:BR11"/>
    <mergeCell ref="A10:B10"/>
    <mergeCell ref="C10:E10"/>
    <mergeCell ref="F10:G10"/>
    <mergeCell ref="H10:J10"/>
    <mergeCell ref="K10:L10"/>
    <mergeCell ref="M10:O10"/>
    <mergeCell ref="AE9:AI9"/>
    <mergeCell ref="AJ9:AN9"/>
    <mergeCell ref="AO9:AS9"/>
    <mergeCell ref="AT9:AX9"/>
    <mergeCell ref="AY9:BC9"/>
    <mergeCell ref="BD9:BH9"/>
    <mergeCell ref="A9:E9"/>
    <mergeCell ref="F9:J9"/>
    <mergeCell ref="K9:O9"/>
    <mergeCell ref="P9:T9"/>
    <mergeCell ref="U9:Y9"/>
    <mergeCell ref="Z9:AD9"/>
    <mergeCell ref="AT10:AU10"/>
    <mergeCell ref="AV10:AX10"/>
    <mergeCell ref="AY10:AZ10"/>
    <mergeCell ref="BA10:BC10"/>
    <mergeCell ref="BD10:BE10"/>
    <mergeCell ref="BF10:BH10"/>
    <mergeCell ref="AE10:AF10"/>
    <mergeCell ref="AG10:AI10"/>
    <mergeCell ref="AJ10:AK10"/>
    <mergeCell ref="AL10:AN10"/>
    <mergeCell ref="AO10:AP10"/>
    <mergeCell ref="AQ10:AS10"/>
    <mergeCell ref="P10:Q10"/>
    <mergeCell ref="R10:T10"/>
    <mergeCell ref="U10:V10"/>
    <mergeCell ref="W10:Y10"/>
    <mergeCell ref="Z10:AA10"/>
    <mergeCell ref="AB10:AD10"/>
    <mergeCell ref="BD11:BE11"/>
    <mergeCell ref="BF11:BH11"/>
    <mergeCell ref="A12:A13"/>
    <mergeCell ref="B12:E12"/>
    <mergeCell ref="F12:F13"/>
    <mergeCell ref="G12:J12"/>
    <mergeCell ref="K12:K13"/>
    <mergeCell ref="L12:O12"/>
    <mergeCell ref="P12:P13"/>
    <mergeCell ref="Q12:T12"/>
    <mergeCell ref="AL11:AN11"/>
    <mergeCell ref="AO11:AP11"/>
    <mergeCell ref="AQ11:AS11"/>
    <mergeCell ref="AT11:AX11"/>
    <mergeCell ref="AY11:AZ11"/>
    <mergeCell ref="BA11:BC11"/>
    <mergeCell ref="U11:V11"/>
    <mergeCell ref="W11:Y11"/>
    <mergeCell ref="Z11:AA11"/>
    <mergeCell ref="AB11:AD11"/>
    <mergeCell ref="AE11:AI11"/>
    <mergeCell ref="AJ11:AK11"/>
    <mergeCell ref="A11:E11"/>
    <mergeCell ref="F11:G11"/>
    <mergeCell ref="H11:J11"/>
    <mergeCell ref="K11:L11"/>
    <mergeCell ref="M11:O11"/>
    <mergeCell ref="P11:T11"/>
    <mergeCell ref="BN12:BN13"/>
    <mergeCell ref="BO12:BR12"/>
    <mergeCell ref="A14:O14"/>
    <mergeCell ref="P14:AD14"/>
    <mergeCell ref="AE14:AS14"/>
    <mergeCell ref="AT14:BH14"/>
    <mergeCell ref="BI14:BJ14"/>
    <mergeCell ref="BK14:BM14"/>
    <mergeCell ref="BN14:BO14"/>
    <mergeCell ref="BP14:BR14"/>
    <mergeCell ref="AY12:AY13"/>
    <mergeCell ref="AZ12:BC12"/>
    <mergeCell ref="BD12:BD13"/>
    <mergeCell ref="BE12:BH12"/>
    <mergeCell ref="BI12:BI13"/>
    <mergeCell ref="BJ12:BM12"/>
    <mergeCell ref="AJ12:AJ13"/>
    <mergeCell ref="AK12:AN12"/>
    <mergeCell ref="AO12:AO13"/>
    <mergeCell ref="AP12:AS12"/>
    <mergeCell ref="AT12:AT13"/>
    <mergeCell ref="AU12:AX12"/>
    <mergeCell ref="U12:U13"/>
    <mergeCell ref="V12:Y12"/>
    <mergeCell ref="Z12:Z13"/>
    <mergeCell ref="AA12:AD12"/>
    <mergeCell ref="AE12:AE13"/>
    <mergeCell ref="AF12:AI12"/>
    <mergeCell ref="BK15:BM17"/>
    <mergeCell ref="BN15:BO17"/>
    <mergeCell ref="BP15:BR17"/>
    <mergeCell ref="A16:B16"/>
    <mergeCell ref="C16:E16"/>
    <mergeCell ref="F16:G16"/>
    <mergeCell ref="H16:J16"/>
    <mergeCell ref="K16:L16"/>
    <mergeCell ref="M16:O16"/>
    <mergeCell ref="AE15:AI15"/>
    <mergeCell ref="AJ15:AN15"/>
    <mergeCell ref="AO15:AS15"/>
    <mergeCell ref="AT15:AX15"/>
    <mergeCell ref="AY15:BC15"/>
    <mergeCell ref="BD15:BH15"/>
    <mergeCell ref="A15:E15"/>
    <mergeCell ref="F15:J15"/>
    <mergeCell ref="K15:O15"/>
    <mergeCell ref="P15:T15"/>
    <mergeCell ref="U15:Y15"/>
    <mergeCell ref="Z15:AD15"/>
    <mergeCell ref="AT16:AU16"/>
    <mergeCell ref="AV16:AX16"/>
    <mergeCell ref="AY16:AZ16"/>
    <mergeCell ref="BA16:BC16"/>
    <mergeCell ref="BD16:BE16"/>
    <mergeCell ref="BF16:BH16"/>
    <mergeCell ref="AE16:AF16"/>
    <mergeCell ref="AG16:AI16"/>
    <mergeCell ref="AJ16:AK16"/>
    <mergeCell ref="AL16:AN16"/>
    <mergeCell ref="AO16:AP16"/>
    <mergeCell ref="U16:V16"/>
    <mergeCell ref="W16:Y16"/>
    <mergeCell ref="Z16:AA16"/>
    <mergeCell ref="AB16:AD16"/>
    <mergeCell ref="BD17:BE17"/>
    <mergeCell ref="BF17:BH17"/>
    <mergeCell ref="A18:A19"/>
    <mergeCell ref="B18:E18"/>
    <mergeCell ref="F18:F19"/>
    <mergeCell ref="G18:J18"/>
    <mergeCell ref="K18:K19"/>
    <mergeCell ref="L18:O18"/>
    <mergeCell ref="P18:P19"/>
    <mergeCell ref="Q18:T18"/>
    <mergeCell ref="AL17:AN17"/>
    <mergeCell ref="AO17:AP17"/>
    <mergeCell ref="AQ17:AS17"/>
    <mergeCell ref="AT17:AX17"/>
    <mergeCell ref="AY17:AZ17"/>
    <mergeCell ref="BA17:BC17"/>
    <mergeCell ref="U17:V17"/>
    <mergeCell ref="W17:Y17"/>
    <mergeCell ref="Z17:AA17"/>
    <mergeCell ref="AB17:AD17"/>
    <mergeCell ref="AE17:AI17"/>
    <mergeCell ref="AJ17:AK17"/>
    <mergeCell ref="A17:E17"/>
    <mergeCell ref="F17:G17"/>
    <mergeCell ref="H17:J17"/>
    <mergeCell ref="K17:L17"/>
    <mergeCell ref="M17:O17"/>
    <mergeCell ref="P17:T17"/>
    <mergeCell ref="BN18:BN19"/>
    <mergeCell ref="BO18:BR18"/>
    <mergeCell ref="A20:O20"/>
    <mergeCell ref="P20:AD20"/>
    <mergeCell ref="AE20:AS20"/>
    <mergeCell ref="AT20:BH20"/>
    <mergeCell ref="BI20:BJ20"/>
    <mergeCell ref="BK20:BM20"/>
    <mergeCell ref="BN20:BO20"/>
    <mergeCell ref="BP20:BR20"/>
    <mergeCell ref="AY18:AY19"/>
    <mergeCell ref="AZ18:BC18"/>
    <mergeCell ref="BD18:BD19"/>
    <mergeCell ref="BE18:BH18"/>
    <mergeCell ref="BI18:BI19"/>
    <mergeCell ref="BJ18:BM18"/>
    <mergeCell ref="AJ18:AJ19"/>
    <mergeCell ref="AK18:AN18"/>
    <mergeCell ref="AO18:AO19"/>
    <mergeCell ref="AP18:AS18"/>
    <mergeCell ref="AT18:AT19"/>
    <mergeCell ref="AU18:AX18"/>
    <mergeCell ref="U18:U19"/>
    <mergeCell ref="V18:Y18"/>
    <mergeCell ref="Z18:Z19"/>
    <mergeCell ref="AE18:AE19"/>
    <mergeCell ref="AF18:AI18"/>
    <mergeCell ref="BI15:BJ17"/>
    <mergeCell ref="AQ16:AS16"/>
    <mergeCell ref="P16:Q16"/>
    <mergeCell ref="R16:T16"/>
    <mergeCell ref="BI21:BJ23"/>
    <mergeCell ref="BK21:BM23"/>
    <mergeCell ref="BN21:BO23"/>
    <mergeCell ref="BP21:BR23"/>
    <mergeCell ref="A22:B22"/>
    <mergeCell ref="C22:E22"/>
    <mergeCell ref="F22:G22"/>
    <mergeCell ref="H22:J22"/>
    <mergeCell ref="K22:L22"/>
    <mergeCell ref="M22:O22"/>
    <mergeCell ref="AE21:AI21"/>
    <mergeCell ref="AJ21:AN21"/>
    <mergeCell ref="AO21:AS21"/>
    <mergeCell ref="AT21:AX21"/>
    <mergeCell ref="AY21:BC21"/>
    <mergeCell ref="BD21:BH21"/>
    <mergeCell ref="A21:E21"/>
    <mergeCell ref="F21:J21"/>
    <mergeCell ref="K21:O21"/>
    <mergeCell ref="P21:T21"/>
    <mergeCell ref="U21:Y21"/>
    <mergeCell ref="Z21:AD21"/>
    <mergeCell ref="AT22:AU22"/>
    <mergeCell ref="AV22:AX22"/>
    <mergeCell ref="AY22:AZ22"/>
    <mergeCell ref="BA22:BC22"/>
    <mergeCell ref="BD22:BE22"/>
    <mergeCell ref="BF22:BH22"/>
    <mergeCell ref="AE22:AF22"/>
    <mergeCell ref="AG22:AI22"/>
    <mergeCell ref="AJ22:AK22"/>
    <mergeCell ref="AL22:AN22"/>
    <mergeCell ref="AO22:AP22"/>
    <mergeCell ref="AQ22:AS22"/>
    <mergeCell ref="P22:Q22"/>
    <mergeCell ref="R22:T22"/>
    <mergeCell ref="U22:V22"/>
    <mergeCell ref="W22:Y22"/>
    <mergeCell ref="Z22:AA22"/>
    <mergeCell ref="AB22:AD22"/>
    <mergeCell ref="BD23:BE23"/>
    <mergeCell ref="BF23:BH23"/>
    <mergeCell ref="A24:A25"/>
    <mergeCell ref="B24:E24"/>
    <mergeCell ref="F24:F25"/>
    <mergeCell ref="G24:J24"/>
    <mergeCell ref="K24:K25"/>
    <mergeCell ref="L24:O24"/>
    <mergeCell ref="P24:P25"/>
    <mergeCell ref="Q24:T24"/>
    <mergeCell ref="AL23:AN23"/>
    <mergeCell ref="AO23:AP23"/>
    <mergeCell ref="AQ23:AS23"/>
    <mergeCell ref="AT23:AX23"/>
    <mergeCell ref="AY23:AZ23"/>
    <mergeCell ref="BA23:BC23"/>
    <mergeCell ref="U23:V23"/>
    <mergeCell ref="W23:Y23"/>
    <mergeCell ref="Z23:AA23"/>
    <mergeCell ref="AB23:AD23"/>
    <mergeCell ref="AE23:AI23"/>
    <mergeCell ref="AJ23:AK23"/>
    <mergeCell ref="A23:E23"/>
    <mergeCell ref="F23:G23"/>
    <mergeCell ref="H23:J23"/>
    <mergeCell ref="K23:L23"/>
    <mergeCell ref="M23:O23"/>
    <mergeCell ref="P23:T23"/>
    <mergeCell ref="BN24:BN25"/>
    <mergeCell ref="BO24:BR24"/>
    <mergeCell ref="A26:O26"/>
    <mergeCell ref="P26:AD26"/>
    <mergeCell ref="AE26:AS26"/>
    <mergeCell ref="AT26:BH26"/>
    <mergeCell ref="BI26:BJ26"/>
    <mergeCell ref="BK26:BM26"/>
    <mergeCell ref="BN26:BO26"/>
    <mergeCell ref="BP26:BR26"/>
    <mergeCell ref="AY24:AY25"/>
    <mergeCell ref="AZ24:BC24"/>
    <mergeCell ref="BD24:BD25"/>
    <mergeCell ref="BE24:BH24"/>
    <mergeCell ref="BI24:BI25"/>
    <mergeCell ref="BJ24:BM24"/>
    <mergeCell ref="AJ24:AJ25"/>
    <mergeCell ref="AK24:AN24"/>
    <mergeCell ref="AO24:AO25"/>
    <mergeCell ref="AP24:AS24"/>
    <mergeCell ref="AT24:AT25"/>
    <mergeCell ref="AU24:AX24"/>
    <mergeCell ref="U24:U25"/>
    <mergeCell ref="V24:Y24"/>
    <mergeCell ref="Z24:Z25"/>
    <mergeCell ref="AA24:AD24"/>
    <mergeCell ref="AE24:AE25"/>
    <mergeCell ref="AF24:AI24"/>
    <mergeCell ref="BI27:BJ29"/>
    <mergeCell ref="BK27:BM29"/>
    <mergeCell ref="BN27:BO29"/>
    <mergeCell ref="BP27:BR29"/>
    <mergeCell ref="A28:B28"/>
    <mergeCell ref="C28:E28"/>
    <mergeCell ref="F28:G28"/>
    <mergeCell ref="H28:J28"/>
    <mergeCell ref="K28:L28"/>
    <mergeCell ref="M28:O28"/>
    <mergeCell ref="AE27:AI27"/>
    <mergeCell ref="AJ27:AN27"/>
    <mergeCell ref="AO27:AS27"/>
    <mergeCell ref="AT27:AX27"/>
    <mergeCell ref="AY27:BC27"/>
    <mergeCell ref="BD27:BH27"/>
    <mergeCell ref="A27:E27"/>
    <mergeCell ref="F27:J27"/>
    <mergeCell ref="K27:O27"/>
    <mergeCell ref="P27:T27"/>
    <mergeCell ref="U27:Y27"/>
    <mergeCell ref="Z27:AD27"/>
    <mergeCell ref="AT28:AU28"/>
    <mergeCell ref="AV28:AX28"/>
    <mergeCell ref="AY28:AZ28"/>
    <mergeCell ref="BA28:BC28"/>
    <mergeCell ref="BD28:BE28"/>
    <mergeCell ref="BF28:BH28"/>
    <mergeCell ref="AE28:AF28"/>
    <mergeCell ref="AG28:AI28"/>
    <mergeCell ref="AJ28:AK28"/>
    <mergeCell ref="AL28:AN28"/>
    <mergeCell ref="AO28:AP28"/>
    <mergeCell ref="AQ28:AS28"/>
    <mergeCell ref="P28:Q28"/>
    <mergeCell ref="R28:T28"/>
    <mergeCell ref="U28:V28"/>
    <mergeCell ref="W28:Y28"/>
    <mergeCell ref="Z28:AA28"/>
    <mergeCell ref="AB28:AD28"/>
    <mergeCell ref="BD29:BE29"/>
    <mergeCell ref="BF29:BH29"/>
    <mergeCell ref="A30:A31"/>
    <mergeCell ref="B30:E30"/>
    <mergeCell ref="F30:F31"/>
    <mergeCell ref="G30:J30"/>
    <mergeCell ref="K30:K31"/>
    <mergeCell ref="L30:O30"/>
    <mergeCell ref="P30:P31"/>
    <mergeCell ref="Q30:T30"/>
    <mergeCell ref="AL29:AN29"/>
    <mergeCell ref="AO29:AP29"/>
    <mergeCell ref="AQ29:AS29"/>
    <mergeCell ref="AT29:AX29"/>
    <mergeCell ref="AY29:AZ29"/>
    <mergeCell ref="BA29:BC29"/>
    <mergeCell ref="U29:V29"/>
    <mergeCell ref="W29:Y29"/>
    <mergeCell ref="Z29:AA29"/>
    <mergeCell ref="AB29:AD29"/>
    <mergeCell ref="AE29:AI29"/>
    <mergeCell ref="AJ29:AK29"/>
    <mergeCell ref="A29:E29"/>
    <mergeCell ref="F29:G29"/>
    <mergeCell ref="H29:J29"/>
    <mergeCell ref="K29:L29"/>
    <mergeCell ref="M29:O29"/>
    <mergeCell ref="P29:T29"/>
    <mergeCell ref="BN30:BN31"/>
    <mergeCell ref="BO30:BR30"/>
    <mergeCell ref="A32:O32"/>
    <mergeCell ref="P32:AD32"/>
    <mergeCell ref="AE32:AS32"/>
    <mergeCell ref="AT32:BH32"/>
    <mergeCell ref="BI32:BJ32"/>
    <mergeCell ref="BK32:BM32"/>
    <mergeCell ref="BN32:BO32"/>
    <mergeCell ref="BP32:BR32"/>
    <mergeCell ref="AY30:AY31"/>
    <mergeCell ref="AZ30:BC30"/>
    <mergeCell ref="BD30:BD31"/>
    <mergeCell ref="BE30:BH30"/>
    <mergeCell ref="BI30:BI31"/>
    <mergeCell ref="BJ30:BM30"/>
    <mergeCell ref="AJ30:AJ31"/>
    <mergeCell ref="AK30:AN30"/>
    <mergeCell ref="AO30:AO31"/>
    <mergeCell ref="AP30:AS30"/>
    <mergeCell ref="AT30:AT31"/>
    <mergeCell ref="AU30:AX30"/>
    <mergeCell ref="U30:U31"/>
    <mergeCell ref="V30:Y30"/>
    <mergeCell ref="Z30:Z31"/>
    <mergeCell ref="AA30:AD30"/>
    <mergeCell ref="AE30:AE31"/>
    <mergeCell ref="AF30:AI30"/>
    <mergeCell ref="BI33:BJ35"/>
    <mergeCell ref="BK33:BM35"/>
    <mergeCell ref="BN33:BO35"/>
    <mergeCell ref="BP33:BR35"/>
    <mergeCell ref="A34:B34"/>
    <mergeCell ref="C34:E34"/>
    <mergeCell ref="F34:G34"/>
    <mergeCell ref="H34:J34"/>
    <mergeCell ref="K34:L34"/>
    <mergeCell ref="M34:O34"/>
    <mergeCell ref="AE33:AI33"/>
    <mergeCell ref="AJ33:AN33"/>
    <mergeCell ref="AO33:AS33"/>
    <mergeCell ref="AT33:AX33"/>
    <mergeCell ref="AY33:BC33"/>
    <mergeCell ref="BD33:BH33"/>
    <mergeCell ref="A33:E33"/>
    <mergeCell ref="F33:J33"/>
    <mergeCell ref="K33:O33"/>
    <mergeCell ref="P33:T33"/>
    <mergeCell ref="U33:Y33"/>
    <mergeCell ref="Z33:AD33"/>
    <mergeCell ref="AT34:AU34"/>
    <mergeCell ref="AV34:AX34"/>
    <mergeCell ref="AY34:AZ34"/>
    <mergeCell ref="BA34:BC34"/>
    <mergeCell ref="BD34:BE34"/>
    <mergeCell ref="BF34:BH34"/>
    <mergeCell ref="AE34:AF34"/>
    <mergeCell ref="AG34:AI34"/>
    <mergeCell ref="AJ34:AK34"/>
    <mergeCell ref="AL34:AN34"/>
    <mergeCell ref="AO34:AP34"/>
    <mergeCell ref="AQ34:AS34"/>
    <mergeCell ref="P34:Q34"/>
    <mergeCell ref="R34:T34"/>
    <mergeCell ref="U34:V34"/>
    <mergeCell ref="W34:Y34"/>
    <mergeCell ref="Z34:AA34"/>
    <mergeCell ref="AB34:AD34"/>
    <mergeCell ref="BD35:BE35"/>
    <mergeCell ref="BF35:BH35"/>
    <mergeCell ref="A36:A37"/>
    <mergeCell ref="B36:E36"/>
    <mergeCell ref="F36:F37"/>
    <mergeCell ref="G36:J36"/>
    <mergeCell ref="K36:K37"/>
    <mergeCell ref="L36:O36"/>
    <mergeCell ref="P36:P37"/>
    <mergeCell ref="Q36:T36"/>
    <mergeCell ref="AL35:AN35"/>
    <mergeCell ref="AO35:AP35"/>
    <mergeCell ref="AQ35:AS35"/>
    <mergeCell ref="AT35:AX35"/>
    <mergeCell ref="AY35:AZ35"/>
    <mergeCell ref="BA35:BC35"/>
    <mergeCell ref="U35:V35"/>
    <mergeCell ref="W35:Y35"/>
    <mergeCell ref="Z35:AA35"/>
    <mergeCell ref="AB35:AD35"/>
    <mergeCell ref="AE35:AI35"/>
    <mergeCell ref="AJ35:AK35"/>
    <mergeCell ref="A35:E35"/>
    <mergeCell ref="F35:G35"/>
    <mergeCell ref="H35:J35"/>
    <mergeCell ref="K35:L35"/>
    <mergeCell ref="M35:O35"/>
    <mergeCell ref="P35:T35"/>
    <mergeCell ref="BN36:BN37"/>
    <mergeCell ref="BO36:BR36"/>
    <mergeCell ref="A38:B38"/>
    <mergeCell ref="C38:E38"/>
    <mergeCell ref="F38:G38"/>
    <mergeCell ref="H38:J38"/>
    <mergeCell ref="K38:L38"/>
    <mergeCell ref="M38:O38"/>
    <mergeCell ref="P38:Q38"/>
    <mergeCell ref="R38:T38"/>
    <mergeCell ref="AY36:AY37"/>
    <mergeCell ref="AZ36:BC36"/>
    <mergeCell ref="BD36:BD37"/>
    <mergeCell ref="BE36:BH36"/>
    <mergeCell ref="BI36:BI37"/>
    <mergeCell ref="BJ36:BM36"/>
    <mergeCell ref="AJ36:AJ37"/>
    <mergeCell ref="AK36:AN36"/>
    <mergeCell ref="AO36:AO37"/>
    <mergeCell ref="AP36:AS36"/>
    <mergeCell ref="AT36:AT37"/>
    <mergeCell ref="AU36:AX36"/>
    <mergeCell ref="U36:U37"/>
    <mergeCell ref="V36:Y36"/>
    <mergeCell ref="Z36:Z37"/>
    <mergeCell ref="AA36:AD36"/>
    <mergeCell ref="AE36:AE37"/>
    <mergeCell ref="AF36:AI36"/>
    <mergeCell ref="BN38:BO38"/>
    <mergeCell ref="BP38:BR38"/>
    <mergeCell ref="A39:B41"/>
    <mergeCell ref="C39:E41"/>
    <mergeCell ref="F39:G41"/>
    <mergeCell ref="H39:J41"/>
    <mergeCell ref="K39:L41"/>
    <mergeCell ref="M39:O41"/>
    <mergeCell ref="P39:Q41"/>
    <mergeCell ref="R39:T41"/>
    <mergeCell ref="AY38:AZ38"/>
    <mergeCell ref="BA38:BC38"/>
    <mergeCell ref="BD38:BE38"/>
    <mergeCell ref="BF38:BH38"/>
    <mergeCell ref="BI38:BJ38"/>
    <mergeCell ref="BK38:BM38"/>
    <mergeCell ref="AJ38:AK38"/>
    <mergeCell ref="AL38:AN38"/>
    <mergeCell ref="AO38:AP38"/>
    <mergeCell ref="AQ38:AS38"/>
    <mergeCell ref="AT38:AU38"/>
    <mergeCell ref="AV38:AX38"/>
    <mergeCell ref="U38:V38"/>
    <mergeCell ref="W38:Y38"/>
    <mergeCell ref="Z38:AA38"/>
    <mergeCell ref="AB38:AD38"/>
    <mergeCell ref="AE38:AF38"/>
    <mergeCell ref="AG38:AI38"/>
    <mergeCell ref="BN39:BO41"/>
    <mergeCell ref="BP39:BR41"/>
    <mergeCell ref="F42:F43"/>
    <mergeCell ref="G42:J42"/>
    <mergeCell ref="K42:K43"/>
    <mergeCell ref="L42:O42"/>
    <mergeCell ref="P42:P43"/>
    <mergeCell ref="Q42:T42"/>
    <mergeCell ref="AY39:AZ41"/>
    <mergeCell ref="BA39:BC41"/>
    <mergeCell ref="BD39:BE41"/>
    <mergeCell ref="BF39:BH41"/>
    <mergeCell ref="BI39:BJ41"/>
    <mergeCell ref="BK39:BM41"/>
    <mergeCell ref="AJ39:AK41"/>
    <mergeCell ref="AL39:AN41"/>
    <mergeCell ref="AO39:AP41"/>
    <mergeCell ref="AQ39:AS41"/>
    <mergeCell ref="AT39:AU41"/>
    <mergeCell ref="AV39:AX41"/>
    <mergeCell ref="U39:V41"/>
    <mergeCell ref="W39:Y41"/>
    <mergeCell ref="Z39:AA41"/>
    <mergeCell ref="AB39:AD41"/>
    <mergeCell ref="AE39:AF41"/>
    <mergeCell ref="AG39:AI41"/>
    <mergeCell ref="BN42:BN43"/>
    <mergeCell ref="BO42:BR42"/>
    <mergeCell ref="F44:G44"/>
    <mergeCell ref="H44:J44"/>
    <mergeCell ref="K44:L44"/>
    <mergeCell ref="M44:O44"/>
    <mergeCell ref="P44:Q44"/>
    <mergeCell ref="R44:T44"/>
    <mergeCell ref="AY42:AY43"/>
    <mergeCell ref="AZ42:BC42"/>
    <mergeCell ref="BD42:BD43"/>
    <mergeCell ref="BE42:BH42"/>
    <mergeCell ref="BI42:BI43"/>
    <mergeCell ref="BJ42:BM42"/>
    <mergeCell ref="AJ42:AJ43"/>
    <mergeCell ref="AK42:AN42"/>
    <mergeCell ref="AO42:AO43"/>
    <mergeCell ref="AP42:AS42"/>
    <mergeCell ref="AT42:AT43"/>
    <mergeCell ref="AU42:AX42"/>
    <mergeCell ref="U42:U43"/>
    <mergeCell ref="V42:Y42"/>
    <mergeCell ref="Z42:Z43"/>
    <mergeCell ref="AA42:AD42"/>
    <mergeCell ref="AE42:AE43"/>
    <mergeCell ref="AF42:AI42"/>
    <mergeCell ref="BN44:BO44"/>
    <mergeCell ref="BP44:BR44"/>
    <mergeCell ref="A42:A43"/>
    <mergeCell ref="B42:E42"/>
    <mergeCell ref="F45:G47"/>
    <mergeCell ref="H45:J47"/>
    <mergeCell ref="K45:L47"/>
    <mergeCell ref="M45:O47"/>
    <mergeCell ref="P45:Q47"/>
    <mergeCell ref="R45:T47"/>
    <mergeCell ref="AY44:AZ44"/>
    <mergeCell ref="BA44:BC44"/>
    <mergeCell ref="BD44:BE44"/>
    <mergeCell ref="BF44:BH44"/>
    <mergeCell ref="BI44:BJ44"/>
    <mergeCell ref="BK44:BM44"/>
    <mergeCell ref="AJ44:AK44"/>
    <mergeCell ref="AL44:AN44"/>
    <mergeCell ref="AO44:AP44"/>
    <mergeCell ref="AQ44:AS44"/>
    <mergeCell ref="AT44:AU44"/>
    <mergeCell ref="AV44:AX44"/>
    <mergeCell ref="U44:V44"/>
    <mergeCell ref="W44:Y44"/>
    <mergeCell ref="Z44:AA44"/>
    <mergeCell ref="AB44:AD44"/>
    <mergeCell ref="AE44:AF44"/>
    <mergeCell ref="AG44:AI44"/>
    <mergeCell ref="BN45:BO47"/>
    <mergeCell ref="BP45:BR47"/>
    <mergeCell ref="A44:B44"/>
    <mergeCell ref="C44:E44"/>
    <mergeCell ref="A48:A49"/>
    <mergeCell ref="B48:E48"/>
    <mergeCell ref="F48:F49"/>
    <mergeCell ref="G48:J48"/>
    <mergeCell ref="K48:K49"/>
    <mergeCell ref="L48:O48"/>
    <mergeCell ref="P48:P49"/>
    <mergeCell ref="Q48:T48"/>
    <mergeCell ref="AY45:AZ47"/>
    <mergeCell ref="BA45:BC47"/>
    <mergeCell ref="BD45:BE47"/>
    <mergeCell ref="BF45:BH47"/>
    <mergeCell ref="BI45:BJ47"/>
    <mergeCell ref="BK45:BM47"/>
    <mergeCell ref="AJ45:AK47"/>
    <mergeCell ref="AL45:AN47"/>
    <mergeCell ref="AO45:AP47"/>
    <mergeCell ref="AQ45:AS47"/>
    <mergeCell ref="AT45:AU47"/>
    <mergeCell ref="AV45:AX47"/>
    <mergeCell ref="U45:V47"/>
    <mergeCell ref="W45:Y47"/>
    <mergeCell ref="Z45:AA47"/>
    <mergeCell ref="AB45:AD47"/>
    <mergeCell ref="AE45:AF47"/>
    <mergeCell ref="AG45:AI47"/>
    <mergeCell ref="BN48:BN49"/>
    <mergeCell ref="BO48:BR48"/>
    <mergeCell ref="A45:B47"/>
    <mergeCell ref="C45:E47"/>
    <mergeCell ref="A50:C50"/>
    <mergeCell ref="D50:E50"/>
    <mergeCell ref="F50:H50"/>
    <mergeCell ref="I50:J50"/>
    <mergeCell ref="K50:M50"/>
    <mergeCell ref="N50:O50"/>
    <mergeCell ref="P50:R50"/>
    <mergeCell ref="S50:T50"/>
    <mergeCell ref="AY48:AY49"/>
    <mergeCell ref="AZ48:BC48"/>
    <mergeCell ref="BD48:BD49"/>
    <mergeCell ref="BE48:BH48"/>
    <mergeCell ref="BI48:BI49"/>
    <mergeCell ref="BJ48:BM48"/>
    <mergeCell ref="AJ48:AJ49"/>
    <mergeCell ref="AK48:AN48"/>
    <mergeCell ref="AO48:AO49"/>
    <mergeCell ref="AP48:AS48"/>
    <mergeCell ref="AT48:AT49"/>
    <mergeCell ref="AU48:AX48"/>
    <mergeCell ref="U48:U49"/>
    <mergeCell ref="V48:Y48"/>
    <mergeCell ref="Z48:Z49"/>
    <mergeCell ref="AA48:AD48"/>
    <mergeCell ref="AE48:AE49"/>
    <mergeCell ref="AF48:AI48"/>
    <mergeCell ref="BN50:BP50"/>
    <mergeCell ref="BQ50:BR50"/>
    <mergeCell ref="A51:C53"/>
    <mergeCell ref="F51:H53"/>
    <mergeCell ref="K51:M53"/>
    <mergeCell ref="P51:R53"/>
    <mergeCell ref="U51:W53"/>
    <mergeCell ref="Z51:AB53"/>
    <mergeCell ref="AE51:AG53"/>
    <mergeCell ref="AJ51:AL53"/>
    <mergeCell ref="AY50:BA50"/>
    <mergeCell ref="BB50:BC50"/>
    <mergeCell ref="BD50:BF50"/>
    <mergeCell ref="BG50:BH50"/>
    <mergeCell ref="BI50:BK50"/>
    <mergeCell ref="BL50:BM50"/>
    <mergeCell ref="AJ50:AL50"/>
    <mergeCell ref="AM50:AN50"/>
    <mergeCell ref="AO50:AQ50"/>
    <mergeCell ref="AR50:AS50"/>
    <mergeCell ref="AT50:AV50"/>
    <mergeCell ref="AW50:AX50"/>
    <mergeCell ref="U50:W50"/>
    <mergeCell ref="X50:Y50"/>
    <mergeCell ref="Z50:AB50"/>
    <mergeCell ref="AC50:AD50"/>
    <mergeCell ref="AE50:AG50"/>
    <mergeCell ref="AH50:AI50"/>
    <mergeCell ref="BQ53:BR53"/>
    <mergeCell ref="BI51:BK53"/>
    <mergeCell ref="BN51:BP53"/>
    <mergeCell ref="BL53:BM53"/>
    <mergeCell ref="G54:J54"/>
    <mergeCell ref="K54:K55"/>
    <mergeCell ref="L54:O54"/>
    <mergeCell ref="P54:P55"/>
    <mergeCell ref="Q54:T54"/>
    <mergeCell ref="U54:U55"/>
    <mergeCell ref="AH53:AI53"/>
    <mergeCell ref="AM53:AN53"/>
    <mergeCell ref="AR53:AS53"/>
    <mergeCell ref="AW53:AX53"/>
    <mergeCell ref="BB53:BC53"/>
    <mergeCell ref="BG53:BH53"/>
    <mergeCell ref="D53:E53"/>
    <mergeCell ref="I53:J53"/>
    <mergeCell ref="N53:O53"/>
    <mergeCell ref="S53:T53"/>
    <mergeCell ref="X53:Y53"/>
    <mergeCell ref="AC53:AD53"/>
    <mergeCell ref="AO51:AQ53"/>
    <mergeCell ref="AT51:AV53"/>
    <mergeCell ref="AY51:BA53"/>
    <mergeCell ref="BD51:BF53"/>
    <mergeCell ref="BO54:BR54"/>
    <mergeCell ref="K56:M56"/>
    <mergeCell ref="N56:O56"/>
    <mergeCell ref="P56:R56"/>
    <mergeCell ref="S56:T56"/>
    <mergeCell ref="U56:W56"/>
    <mergeCell ref="AZ54:BC54"/>
    <mergeCell ref="BD54:BD55"/>
    <mergeCell ref="BE54:BH54"/>
    <mergeCell ref="BI54:BI55"/>
    <mergeCell ref="BJ54:BM54"/>
    <mergeCell ref="BN54:BN55"/>
    <mergeCell ref="AK54:AN54"/>
    <mergeCell ref="AO54:AO55"/>
    <mergeCell ref="AP54:AS54"/>
    <mergeCell ref="AT54:AT55"/>
    <mergeCell ref="AU54:AX54"/>
    <mergeCell ref="AY54:AY55"/>
    <mergeCell ref="V54:Y54"/>
    <mergeCell ref="Z54:Z55"/>
    <mergeCell ref="AA54:AD54"/>
    <mergeCell ref="AE54:AE55"/>
    <mergeCell ref="AF54:AI54"/>
    <mergeCell ref="AJ54:AJ55"/>
    <mergeCell ref="BQ56:BR56"/>
    <mergeCell ref="A54:A55"/>
    <mergeCell ref="B54:E54"/>
    <mergeCell ref="F54:F55"/>
    <mergeCell ref="P57:R59"/>
    <mergeCell ref="U57:W59"/>
    <mergeCell ref="Z57:AB59"/>
    <mergeCell ref="AE57:AG59"/>
    <mergeCell ref="AJ57:AL59"/>
    <mergeCell ref="AO57:AQ59"/>
    <mergeCell ref="BB56:BC56"/>
    <mergeCell ref="BD56:BF56"/>
    <mergeCell ref="BG56:BH56"/>
    <mergeCell ref="BI56:BK56"/>
    <mergeCell ref="BL56:BM56"/>
    <mergeCell ref="BN56:BP56"/>
    <mergeCell ref="AM56:AN56"/>
    <mergeCell ref="AO56:AQ56"/>
    <mergeCell ref="AR56:AS56"/>
    <mergeCell ref="AT56:AV56"/>
    <mergeCell ref="AW56:AX56"/>
    <mergeCell ref="AY56:BA56"/>
    <mergeCell ref="X56:Y56"/>
    <mergeCell ref="Z56:AB56"/>
    <mergeCell ref="AC56:AD56"/>
    <mergeCell ref="AE56:AG56"/>
    <mergeCell ref="AH56:AI56"/>
    <mergeCell ref="AJ56:AL56"/>
    <mergeCell ref="A56:C56"/>
    <mergeCell ref="D56:E56"/>
    <mergeCell ref="F56:H56"/>
    <mergeCell ref="I56:J56"/>
    <mergeCell ref="Z60:Z61"/>
    <mergeCell ref="AA60:AD60"/>
    <mergeCell ref="AE60:AE61"/>
    <mergeCell ref="BG59:BH59"/>
    <mergeCell ref="BL59:BM59"/>
    <mergeCell ref="BQ59:BR59"/>
    <mergeCell ref="A60:A61"/>
    <mergeCell ref="B60:E60"/>
    <mergeCell ref="F60:F61"/>
    <mergeCell ref="G60:J60"/>
    <mergeCell ref="K60:K61"/>
    <mergeCell ref="L60:O60"/>
    <mergeCell ref="P60:P61"/>
    <mergeCell ref="AC59:AD59"/>
    <mergeCell ref="AH59:AI59"/>
    <mergeCell ref="AM59:AN59"/>
    <mergeCell ref="AR59:AS59"/>
    <mergeCell ref="AW59:AX59"/>
    <mergeCell ref="BB59:BC59"/>
    <mergeCell ref="AT57:AV59"/>
    <mergeCell ref="AY57:BA59"/>
    <mergeCell ref="BD57:BF59"/>
    <mergeCell ref="BI57:BK59"/>
    <mergeCell ref="BN57:BP59"/>
    <mergeCell ref="D59:E59"/>
    <mergeCell ref="I59:J59"/>
    <mergeCell ref="N59:O59"/>
    <mergeCell ref="S59:T59"/>
    <mergeCell ref="X59:Y59"/>
    <mergeCell ref="A57:C59"/>
    <mergeCell ref="F57:H59"/>
    <mergeCell ref="K57:M59"/>
    <mergeCell ref="AT63:AU63"/>
    <mergeCell ref="R63:T63"/>
    <mergeCell ref="U63:V63"/>
    <mergeCell ref="W63:Y63"/>
    <mergeCell ref="Z63:AA63"/>
    <mergeCell ref="AB63:AD63"/>
    <mergeCell ref="AE63:AF63"/>
    <mergeCell ref="BJ60:BM60"/>
    <mergeCell ref="BN60:BN61"/>
    <mergeCell ref="BO60:BR60"/>
    <mergeCell ref="A63:B63"/>
    <mergeCell ref="C63:E63"/>
    <mergeCell ref="F63:G63"/>
    <mergeCell ref="H63:J63"/>
    <mergeCell ref="K63:L63"/>
    <mergeCell ref="M63:O63"/>
    <mergeCell ref="P63:Q63"/>
    <mergeCell ref="AU60:AX60"/>
    <mergeCell ref="AY60:AY61"/>
    <mergeCell ref="AZ60:BC60"/>
    <mergeCell ref="BD60:BD61"/>
    <mergeCell ref="BE60:BH60"/>
    <mergeCell ref="BI60:BI61"/>
    <mergeCell ref="AF60:AI60"/>
    <mergeCell ref="AJ60:AJ61"/>
    <mergeCell ref="AK60:AN60"/>
    <mergeCell ref="AO60:AO61"/>
    <mergeCell ref="AP60:AS60"/>
    <mergeCell ref="AT60:AT61"/>
    <mergeCell ref="Q60:T60"/>
    <mergeCell ref="U60:U61"/>
    <mergeCell ref="V60:Y60"/>
    <mergeCell ref="AJ64:AK66"/>
    <mergeCell ref="AL64:AN66"/>
    <mergeCell ref="AO64:AP66"/>
    <mergeCell ref="AQ64:AS66"/>
    <mergeCell ref="AT64:AU66"/>
    <mergeCell ref="R64:T66"/>
    <mergeCell ref="U64:V66"/>
    <mergeCell ref="W64:Y66"/>
    <mergeCell ref="Z64:AA66"/>
    <mergeCell ref="AB64:AD66"/>
    <mergeCell ref="AE64:AF66"/>
    <mergeCell ref="BK63:BM63"/>
    <mergeCell ref="BN63:BO63"/>
    <mergeCell ref="BP63:BR63"/>
    <mergeCell ref="A64:B66"/>
    <mergeCell ref="C64:E66"/>
    <mergeCell ref="F64:G66"/>
    <mergeCell ref="H64:J66"/>
    <mergeCell ref="K64:L66"/>
    <mergeCell ref="M64:O66"/>
    <mergeCell ref="P64:Q66"/>
    <mergeCell ref="AV63:AX63"/>
    <mergeCell ref="AY63:AZ63"/>
    <mergeCell ref="BA63:BC63"/>
    <mergeCell ref="BD63:BE63"/>
    <mergeCell ref="BF63:BH63"/>
    <mergeCell ref="BI63:BJ63"/>
    <mergeCell ref="AG63:AI63"/>
    <mergeCell ref="AJ63:AK63"/>
    <mergeCell ref="AL63:AN63"/>
    <mergeCell ref="AO63:AP63"/>
    <mergeCell ref="AQ63:AS63"/>
    <mergeCell ref="L67:O67"/>
    <mergeCell ref="P67:P68"/>
    <mergeCell ref="Q67:T67"/>
    <mergeCell ref="U67:U68"/>
    <mergeCell ref="V67:Y67"/>
    <mergeCell ref="Z67:Z68"/>
    <mergeCell ref="EH66:EQ69"/>
    <mergeCell ref="ES66:FD69"/>
    <mergeCell ref="FE66:FI75"/>
    <mergeCell ref="FJ66:FM69"/>
    <mergeCell ref="FN66:FP69"/>
    <mergeCell ref="A67:A68"/>
    <mergeCell ref="B67:E67"/>
    <mergeCell ref="F67:F68"/>
    <mergeCell ref="G67:J67"/>
    <mergeCell ref="K67:K68"/>
    <mergeCell ref="BK64:BM66"/>
    <mergeCell ref="BN64:BO66"/>
    <mergeCell ref="BP64:BR66"/>
    <mergeCell ref="DV65:EG69"/>
    <mergeCell ref="CY66:DA66"/>
    <mergeCell ref="DB66:DC66"/>
    <mergeCell ref="DE66:DG68"/>
    <mergeCell ref="DB69:DC69"/>
    <mergeCell ref="DE69:DG71"/>
    <mergeCell ref="AV64:AX66"/>
    <mergeCell ref="AY64:AZ66"/>
    <mergeCell ref="BA64:BC66"/>
    <mergeCell ref="BD64:BE66"/>
    <mergeCell ref="BF64:BH66"/>
    <mergeCell ref="BI64:BJ66"/>
    <mergeCell ref="AG64:AI66"/>
    <mergeCell ref="BE67:BH67"/>
    <mergeCell ref="BI67:BI68"/>
    <mergeCell ref="BJ67:BM67"/>
    <mergeCell ref="BN67:BN68"/>
    <mergeCell ref="BO67:BR67"/>
    <mergeCell ref="CY67:DA69"/>
    <mergeCell ref="BI69:BJ69"/>
    <mergeCell ref="BK69:BM69"/>
    <mergeCell ref="BN69:BO69"/>
    <mergeCell ref="BP69:BR69"/>
    <mergeCell ref="AP67:AS67"/>
    <mergeCell ref="AT67:AT68"/>
    <mergeCell ref="AU67:AX67"/>
    <mergeCell ref="AY67:AY68"/>
    <mergeCell ref="AZ67:BC67"/>
    <mergeCell ref="BD67:BD68"/>
    <mergeCell ref="AA67:AD67"/>
    <mergeCell ref="AE67:AE68"/>
    <mergeCell ref="AF67:AI67"/>
    <mergeCell ref="AJ67:AJ68"/>
    <mergeCell ref="AK67:AN67"/>
    <mergeCell ref="AO67:AO68"/>
    <mergeCell ref="Z70:AA72"/>
    <mergeCell ref="AB70:AD72"/>
    <mergeCell ref="A70:B72"/>
    <mergeCell ref="C70:E72"/>
    <mergeCell ref="F70:G72"/>
    <mergeCell ref="H70:J72"/>
    <mergeCell ref="K70:L72"/>
    <mergeCell ref="M70:O72"/>
    <mergeCell ref="AT69:AU69"/>
    <mergeCell ref="AV69:AX69"/>
    <mergeCell ref="AY69:AZ69"/>
    <mergeCell ref="BA69:BC69"/>
    <mergeCell ref="BD69:BE69"/>
    <mergeCell ref="BF69:BH69"/>
    <mergeCell ref="AE69:AF69"/>
    <mergeCell ref="AG69:AI69"/>
    <mergeCell ref="AJ69:AK69"/>
    <mergeCell ref="AL69:AN69"/>
    <mergeCell ref="AO69:AP69"/>
    <mergeCell ref="AQ69:AS69"/>
    <mergeCell ref="P69:Q69"/>
    <mergeCell ref="R69:T69"/>
    <mergeCell ref="U69:V69"/>
    <mergeCell ref="W69:Y69"/>
    <mergeCell ref="Z69:AA69"/>
    <mergeCell ref="AB69:AD69"/>
    <mergeCell ref="A69:B69"/>
    <mergeCell ref="C69:E69"/>
    <mergeCell ref="F69:G69"/>
    <mergeCell ref="H69:J69"/>
    <mergeCell ref="K69:L69"/>
    <mergeCell ref="M69:O69"/>
    <mergeCell ref="B73:E73"/>
    <mergeCell ref="F73:F74"/>
    <mergeCell ref="G73:J73"/>
    <mergeCell ref="K73:K74"/>
    <mergeCell ref="L73:O73"/>
    <mergeCell ref="P73:P74"/>
    <mergeCell ref="BI70:BJ72"/>
    <mergeCell ref="BK70:BM72"/>
    <mergeCell ref="BN70:BO72"/>
    <mergeCell ref="BP70:BR72"/>
    <mergeCell ref="DV70:EG75"/>
    <mergeCell ref="EH70:ER75"/>
    <mergeCell ref="BJ73:BM73"/>
    <mergeCell ref="BN73:BN74"/>
    <mergeCell ref="BO73:BR73"/>
    <mergeCell ref="BP75:BR75"/>
    <mergeCell ref="AT70:AU72"/>
    <mergeCell ref="AV70:AX72"/>
    <mergeCell ref="AY70:AZ72"/>
    <mergeCell ref="BA70:BC72"/>
    <mergeCell ref="BD70:BE72"/>
    <mergeCell ref="BF70:BH72"/>
    <mergeCell ref="AE70:AF72"/>
    <mergeCell ref="AG70:AI72"/>
    <mergeCell ref="AJ70:AK72"/>
    <mergeCell ref="AL70:AN72"/>
    <mergeCell ref="AO70:AP72"/>
    <mergeCell ref="AQ70:AS72"/>
    <mergeCell ref="P70:Q72"/>
    <mergeCell ref="R70:T72"/>
    <mergeCell ref="U70:V72"/>
    <mergeCell ref="W70:Y72"/>
    <mergeCell ref="FJ74:FP75"/>
    <mergeCell ref="A75:B75"/>
    <mergeCell ref="C75:E75"/>
    <mergeCell ref="F75:G75"/>
    <mergeCell ref="H75:J75"/>
    <mergeCell ref="K75:L75"/>
    <mergeCell ref="M75:O75"/>
    <mergeCell ref="P75:Q75"/>
    <mergeCell ref="R75:T75"/>
    <mergeCell ref="U75:V75"/>
    <mergeCell ref="AU73:AX73"/>
    <mergeCell ref="AY73:AY74"/>
    <mergeCell ref="AZ73:BC73"/>
    <mergeCell ref="BD73:BD74"/>
    <mergeCell ref="BE73:BH73"/>
    <mergeCell ref="BI73:BI74"/>
    <mergeCell ref="AF73:AI73"/>
    <mergeCell ref="AJ73:AJ74"/>
    <mergeCell ref="AK73:AN73"/>
    <mergeCell ref="AO73:AO74"/>
    <mergeCell ref="AP73:AS73"/>
    <mergeCell ref="AT73:AT74"/>
    <mergeCell ref="Q73:T73"/>
    <mergeCell ref="U73:U74"/>
    <mergeCell ref="V73:Y73"/>
    <mergeCell ref="Z73:Z74"/>
    <mergeCell ref="AA73:AD73"/>
    <mergeCell ref="AE73:AE74"/>
    <mergeCell ref="ES70:FD75"/>
    <mergeCell ref="FJ70:FP73"/>
    <mergeCell ref="DE72:DG75"/>
    <mergeCell ref="A73:A74"/>
    <mergeCell ref="K76:L78"/>
    <mergeCell ref="M76:O78"/>
    <mergeCell ref="BA75:BC75"/>
    <mergeCell ref="BD75:BE75"/>
    <mergeCell ref="BF75:BH75"/>
    <mergeCell ref="BI75:BJ75"/>
    <mergeCell ref="BK75:BM75"/>
    <mergeCell ref="BN75:BO75"/>
    <mergeCell ref="AL75:AN75"/>
    <mergeCell ref="AO75:AP75"/>
    <mergeCell ref="AQ75:AS75"/>
    <mergeCell ref="AT75:AU75"/>
    <mergeCell ref="AV75:AX75"/>
    <mergeCell ref="AY75:AZ75"/>
    <mergeCell ref="W75:Y75"/>
    <mergeCell ref="Z75:AA75"/>
    <mergeCell ref="AB75:AD75"/>
    <mergeCell ref="AE75:AF75"/>
    <mergeCell ref="AG75:AI75"/>
    <mergeCell ref="AJ75:AK75"/>
    <mergeCell ref="BI76:BJ78"/>
    <mergeCell ref="BK76:BM78"/>
    <mergeCell ref="BN76:BO78"/>
    <mergeCell ref="BP76:BR78"/>
    <mergeCell ref="A79:A80"/>
    <mergeCell ref="B79:E79"/>
    <mergeCell ref="F79:F80"/>
    <mergeCell ref="G79:J79"/>
    <mergeCell ref="K79:K80"/>
    <mergeCell ref="L79:O79"/>
    <mergeCell ref="AT76:AU78"/>
    <mergeCell ref="AV76:AX78"/>
    <mergeCell ref="AY76:AZ78"/>
    <mergeCell ref="BA76:BC78"/>
    <mergeCell ref="BD76:BE78"/>
    <mergeCell ref="BF76:BH78"/>
    <mergeCell ref="AE76:AF78"/>
    <mergeCell ref="AG76:AI78"/>
    <mergeCell ref="AJ76:AK78"/>
    <mergeCell ref="AL76:AN78"/>
    <mergeCell ref="AO76:AP78"/>
    <mergeCell ref="AQ76:AS78"/>
    <mergeCell ref="P76:Q78"/>
    <mergeCell ref="R76:T78"/>
    <mergeCell ref="U76:V78"/>
    <mergeCell ref="W76:Y78"/>
    <mergeCell ref="Z76:AA78"/>
    <mergeCell ref="AB76:AD78"/>
    <mergeCell ref="A76:B78"/>
    <mergeCell ref="C76:E78"/>
    <mergeCell ref="F76:G78"/>
    <mergeCell ref="H76:J78"/>
    <mergeCell ref="BI79:BI80"/>
    <mergeCell ref="BJ79:BM79"/>
    <mergeCell ref="BN79:BN80"/>
    <mergeCell ref="BO79:BR79"/>
    <mergeCell ref="A81:B81"/>
    <mergeCell ref="C81:E81"/>
    <mergeCell ref="F81:G81"/>
    <mergeCell ref="H81:J81"/>
    <mergeCell ref="K81:L81"/>
    <mergeCell ref="M81:O81"/>
    <mergeCell ref="AT79:AT80"/>
    <mergeCell ref="AU79:AX79"/>
    <mergeCell ref="AY79:AY80"/>
    <mergeCell ref="AZ79:BC79"/>
    <mergeCell ref="BD79:BD80"/>
    <mergeCell ref="BE79:BH79"/>
    <mergeCell ref="AE79:AE80"/>
    <mergeCell ref="AF79:AI79"/>
    <mergeCell ref="AJ79:AJ80"/>
    <mergeCell ref="AK79:AN79"/>
    <mergeCell ref="AO79:AO80"/>
    <mergeCell ref="AP79:AS79"/>
    <mergeCell ref="P79:P80"/>
    <mergeCell ref="Q79:T79"/>
    <mergeCell ref="U79:U80"/>
    <mergeCell ref="V79:Y79"/>
    <mergeCell ref="Z79:Z80"/>
    <mergeCell ref="AA79:AD79"/>
    <mergeCell ref="BI81:BJ81"/>
    <mergeCell ref="BK81:BM81"/>
    <mergeCell ref="BN81:BO81"/>
    <mergeCell ref="BP81:BR81"/>
    <mergeCell ref="A82:B84"/>
    <mergeCell ref="C82:E84"/>
    <mergeCell ref="F82:G84"/>
    <mergeCell ref="H82:J84"/>
    <mergeCell ref="K82:L84"/>
    <mergeCell ref="M82:O84"/>
    <mergeCell ref="AT81:AU81"/>
    <mergeCell ref="AV81:AX81"/>
    <mergeCell ref="AY81:AZ81"/>
    <mergeCell ref="BA81:BC81"/>
    <mergeCell ref="BD81:BE81"/>
    <mergeCell ref="BF81:BH81"/>
    <mergeCell ref="AE81:AF81"/>
    <mergeCell ref="AG81:AI81"/>
    <mergeCell ref="AJ81:AK81"/>
    <mergeCell ref="AL81:AN81"/>
    <mergeCell ref="AO81:AP81"/>
    <mergeCell ref="AQ81:AS81"/>
    <mergeCell ref="P81:Q81"/>
    <mergeCell ref="R81:T81"/>
    <mergeCell ref="U81:V81"/>
    <mergeCell ref="W81:Y81"/>
    <mergeCell ref="Z81:AA81"/>
    <mergeCell ref="AB81:AD81"/>
    <mergeCell ref="BI82:BJ84"/>
    <mergeCell ref="BK82:BM84"/>
    <mergeCell ref="BN82:BO84"/>
    <mergeCell ref="BP82:BR84"/>
    <mergeCell ref="A85:A86"/>
    <mergeCell ref="B85:E85"/>
    <mergeCell ref="F85:F86"/>
    <mergeCell ref="G85:J85"/>
    <mergeCell ref="K85:K86"/>
    <mergeCell ref="L85:O85"/>
    <mergeCell ref="AT82:AU84"/>
    <mergeCell ref="AV82:AX84"/>
    <mergeCell ref="AY82:AZ84"/>
    <mergeCell ref="BA82:BC84"/>
    <mergeCell ref="BD82:BE84"/>
    <mergeCell ref="BF82:BH84"/>
    <mergeCell ref="AE82:AF84"/>
    <mergeCell ref="AG82:AI84"/>
    <mergeCell ref="AJ82:AK84"/>
    <mergeCell ref="AL82:AN84"/>
    <mergeCell ref="AO82:AP84"/>
    <mergeCell ref="AQ82:AS84"/>
    <mergeCell ref="P82:Q84"/>
    <mergeCell ref="R82:T84"/>
    <mergeCell ref="U82:V84"/>
    <mergeCell ref="W82:Y84"/>
    <mergeCell ref="Z82:AA84"/>
    <mergeCell ref="AB82:AD84"/>
    <mergeCell ref="BI85:BI86"/>
    <mergeCell ref="BJ85:BM85"/>
    <mergeCell ref="BN85:BN86"/>
    <mergeCell ref="BO85:BR85"/>
    <mergeCell ref="A87:B87"/>
    <mergeCell ref="C87:E87"/>
    <mergeCell ref="F87:G87"/>
    <mergeCell ref="H87:J87"/>
    <mergeCell ref="K87:L87"/>
    <mergeCell ref="M87:O87"/>
    <mergeCell ref="AT85:AT86"/>
    <mergeCell ref="AU85:AX85"/>
    <mergeCell ref="AY85:AY86"/>
    <mergeCell ref="AZ85:BC85"/>
    <mergeCell ref="BD85:BD86"/>
    <mergeCell ref="BE85:BH85"/>
    <mergeCell ref="AE85:AE86"/>
    <mergeCell ref="AF85:AI85"/>
    <mergeCell ref="AJ85:AJ86"/>
    <mergeCell ref="AK85:AN85"/>
    <mergeCell ref="AO85:AO86"/>
    <mergeCell ref="AP85:AS85"/>
    <mergeCell ref="P85:P86"/>
    <mergeCell ref="Q85:T85"/>
    <mergeCell ref="U85:U86"/>
    <mergeCell ref="V85:Y85"/>
    <mergeCell ref="Z85:Z86"/>
    <mergeCell ref="AA85:AD85"/>
    <mergeCell ref="BI87:BJ87"/>
    <mergeCell ref="BK87:BM87"/>
    <mergeCell ref="BN87:BO87"/>
    <mergeCell ref="BP87:BR87"/>
    <mergeCell ref="A88:B90"/>
    <mergeCell ref="C88:E90"/>
    <mergeCell ref="F88:G90"/>
    <mergeCell ref="H88:J90"/>
    <mergeCell ref="K88:L90"/>
    <mergeCell ref="M88:O90"/>
    <mergeCell ref="AT87:AU87"/>
    <mergeCell ref="AV87:AX87"/>
    <mergeCell ref="AY87:AZ87"/>
    <mergeCell ref="BA87:BC87"/>
    <mergeCell ref="BD87:BE87"/>
    <mergeCell ref="BF87:BH87"/>
    <mergeCell ref="AE87:AF87"/>
    <mergeCell ref="AG87:AI87"/>
    <mergeCell ref="AJ87:AK87"/>
    <mergeCell ref="AL87:AN87"/>
    <mergeCell ref="AO87:AP87"/>
    <mergeCell ref="AQ87:AS87"/>
    <mergeCell ref="P87:Q87"/>
    <mergeCell ref="R87:T87"/>
    <mergeCell ref="U87:V87"/>
    <mergeCell ref="W87:Y87"/>
    <mergeCell ref="Z87:AA87"/>
    <mergeCell ref="AB87:AD87"/>
    <mergeCell ref="BI88:BJ90"/>
    <mergeCell ref="BK88:BM90"/>
    <mergeCell ref="BN88:BO90"/>
    <mergeCell ref="BP88:BR90"/>
    <mergeCell ref="A91:A92"/>
    <mergeCell ref="B91:E91"/>
    <mergeCell ref="F91:F92"/>
    <mergeCell ref="G91:J91"/>
    <mergeCell ref="K91:K92"/>
    <mergeCell ref="L91:O91"/>
    <mergeCell ref="AT88:AU90"/>
    <mergeCell ref="AV88:AX90"/>
    <mergeCell ref="AY88:AZ90"/>
    <mergeCell ref="BA88:BC90"/>
    <mergeCell ref="BD88:BE90"/>
    <mergeCell ref="BF88:BH90"/>
    <mergeCell ref="AE88:AF90"/>
    <mergeCell ref="AG88:AI90"/>
    <mergeCell ref="AJ88:AK90"/>
    <mergeCell ref="AL88:AN90"/>
    <mergeCell ref="AO88:AP90"/>
    <mergeCell ref="AQ88:AS90"/>
    <mergeCell ref="P88:Q90"/>
    <mergeCell ref="R88:T90"/>
    <mergeCell ref="U88:V90"/>
    <mergeCell ref="W88:Y90"/>
    <mergeCell ref="Z88:AA90"/>
    <mergeCell ref="AB88:AD90"/>
    <mergeCell ref="BI91:BI92"/>
    <mergeCell ref="BJ91:BM91"/>
    <mergeCell ref="BN91:BN92"/>
    <mergeCell ref="BO91:BR91"/>
    <mergeCell ref="A93:B93"/>
    <mergeCell ref="C93:E93"/>
    <mergeCell ref="F93:G93"/>
    <mergeCell ref="H93:J93"/>
    <mergeCell ref="K93:L93"/>
    <mergeCell ref="M93:O93"/>
    <mergeCell ref="AT91:AT92"/>
    <mergeCell ref="AU91:AX91"/>
    <mergeCell ref="AY91:AY92"/>
    <mergeCell ref="AZ91:BC91"/>
    <mergeCell ref="BD91:BD92"/>
    <mergeCell ref="BE91:BH91"/>
    <mergeCell ref="AE91:AE92"/>
    <mergeCell ref="AF91:AI91"/>
    <mergeCell ref="AJ91:AJ92"/>
    <mergeCell ref="AK91:AN91"/>
    <mergeCell ref="AO91:AO92"/>
    <mergeCell ref="AP91:AS91"/>
    <mergeCell ref="P91:P92"/>
    <mergeCell ref="Q91:T91"/>
    <mergeCell ref="U91:U92"/>
    <mergeCell ref="V91:Y91"/>
    <mergeCell ref="Z91:Z92"/>
    <mergeCell ref="AA91:AD91"/>
    <mergeCell ref="BI93:BJ93"/>
    <mergeCell ref="BK93:BM93"/>
    <mergeCell ref="BN93:BO93"/>
    <mergeCell ref="BP93:BR93"/>
    <mergeCell ref="A94:B96"/>
    <mergeCell ref="C94:E96"/>
    <mergeCell ref="F94:G96"/>
    <mergeCell ref="H94:J96"/>
    <mergeCell ref="K94:L96"/>
    <mergeCell ref="M94:O96"/>
    <mergeCell ref="AT93:AU93"/>
    <mergeCell ref="AV93:AX93"/>
    <mergeCell ref="AY93:AZ93"/>
    <mergeCell ref="BA93:BC93"/>
    <mergeCell ref="BD93:BE93"/>
    <mergeCell ref="BF93:BH93"/>
    <mergeCell ref="AE93:AF93"/>
    <mergeCell ref="AG93:AI93"/>
    <mergeCell ref="AJ93:AK93"/>
    <mergeCell ref="AL93:AN93"/>
    <mergeCell ref="AO93:AP93"/>
    <mergeCell ref="AQ93:AS93"/>
    <mergeCell ref="P93:Q93"/>
    <mergeCell ref="R93:T93"/>
    <mergeCell ref="U93:V93"/>
    <mergeCell ref="W93:Y93"/>
    <mergeCell ref="Z93:AA93"/>
    <mergeCell ref="AB93:AD93"/>
    <mergeCell ref="BI94:BJ96"/>
    <mergeCell ref="BK94:BM96"/>
    <mergeCell ref="BN94:BO96"/>
    <mergeCell ref="BP94:BR96"/>
    <mergeCell ref="A97:A98"/>
    <mergeCell ref="B97:E97"/>
    <mergeCell ref="F97:F98"/>
    <mergeCell ref="G97:J97"/>
    <mergeCell ref="K97:K98"/>
    <mergeCell ref="L97:O97"/>
    <mergeCell ref="AT94:AU96"/>
    <mergeCell ref="AV94:AX96"/>
    <mergeCell ref="AY94:AZ96"/>
    <mergeCell ref="BA94:BC96"/>
    <mergeCell ref="BD94:BE96"/>
    <mergeCell ref="BF94:BH96"/>
    <mergeCell ref="AE94:AF96"/>
    <mergeCell ref="AG94:AI96"/>
    <mergeCell ref="AJ94:AK96"/>
    <mergeCell ref="AL94:AN96"/>
    <mergeCell ref="AO94:AP96"/>
    <mergeCell ref="AQ94:AS96"/>
    <mergeCell ref="P94:Q96"/>
    <mergeCell ref="R94:T96"/>
    <mergeCell ref="U94:V96"/>
    <mergeCell ref="W94:Y96"/>
    <mergeCell ref="Z94:AA96"/>
    <mergeCell ref="AB94:AD96"/>
    <mergeCell ref="BI97:BI98"/>
    <mergeCell ref="BJ97:BM97"/>
    <mergeCell ref="BN97:BN98"/>
    <mergeCell ref="BO97:BR97"/>
    <mergeCell ref="A99:B99"/>
    <mergeCell ref="C99:E99"/>
    <mergeCell ref="F99:G99"/>
    <mergeCell ref="H99:J99"/>
    <mergeCell ref="K99:L99"/>
    <mergeCell ref="M99:O99"/>
    <mergeCell ref="AT97:AT98"/>
    <mergeCell ref="AU97:AX97"/>
    <mergeCell ref="AY97:AY98"/>
    <mergeCell ref="AZ97:BC97"/>
    <mergeCell ref="BD97:BD98"/>
    <mergeCell ref="BE97:BH97"/>
    <mergeCell ref="AE97:AE98"/>
    <mergeCell ref="AF97:AI97"/>
    <mergeCell ref="AJ97:AJ98"/>
    <mergeCell ref="AK97:AN97"/>
    <mergeCell ref="AO97:AO98"/>
    <mergeCell ref="AP97:AS97"/>
    <mergeCell ref="P97:P98"/>
    <mergeCell ref="Q97:T97"/>
    <mergeCell ref="U97:U98"/>
    <mergeCell ref="V97:Y97"/>
    <mergeCell ref="Z97:Z98"/>
    <mergeCell ref="AA97:AD97"/>
    <mergeCell ref="BI99:BJ99"/>
    <mergeCell ref="BK99:BM99"/>
    <mergeCell ref="BN99:BO99"/>
    <mergeCell ref="BP99:BR99"/>
    <mergeCell ref="A100:B102"/>
    <mergeCell ref="C100:E102"/>
    <mergeCell ref="F100:G102"/>
    <mergeCell ref="H100:J102"/>
    <mergeCell ref="K100:L102"/>
    <mergeCell ref="M100:O102"/>
    <mergeCell ref="AT99:AU99"/>
    <mergeCell ref="AV99:AX99"/>
    <mergeCell ref="AY99:AZ99"/>
    <mergeCell ref="BA99:BC99"/>
    <mergeCell ref="BD99:BE99"/>
    <mergeCell ref="BF99:BH99"/>
    <mergeCell ref="AE99:AF99"/>
    <mergeCell ref="AG99:AI99"/>
    <mergeCell ref="AJ99:AK99"/>
    <mergeCell ref="AL99:AN99"/>
    <mergeCell ref="AO99:AP99"/>
    <mergeCell ref="AQ99:AS99"/>
    <mergeCell ref="P99:Q99"/>
    <mergeCell ref="R99:T99"/>
    <mergeCell ref="U99:V99"/>
    <mergeCell ref="W99:Y99"/>
    <mergeCell ref="Z99:AA99"/>
    <mergeCell ref="AB99:AD99"/>
    <mergeCell ref="BI100:BJ102"/>
    <mergeCell ref="BK100:BM102"/>
    <mergeCell ref="BN100:BO102"/>
    <mergeCell ref="BP100:BR102"/>
    <mergeCell ref="K103:K104"/>
    <mergeCell ref="L103:O103"/>
    <mergeCell ref="AT100:AU102"/>
    <mergeCell ref="AV100:AX102"/>
    <mergeCell ref="AY100:AZ102"/>
    <mergeCell ref="BA100:BC102"/>
    <mergeCell ref="BD100:BE102"/>
    <mergeCell ref="BF100:BH102"/>
    <mergeCell ref="AE100:AF102"/>
    <mergeCell ref="AG100:AI102"/>
    <mergeCell ref="AJ100:AK102"/>
    <mergeCell ref="AL100:AN102"/>
    <mergeCell ref="AO100:AP102"/>
    <mergeCell ref="AQ100:AS102"/>
    <mergeCell ref="P100:Q102"/>
    <mergeCell ref="R100:T102"/>
    <mergeCell ref="U100:V102"/>
    <mergeCell ref="W100:Y102"/>
    <mergeCell ref="Z100:AA102"/>
    <mergeCell ref="AB100:AD102"/>
    <mergeCell ref="BI103:BI104"/>
    <mergeCell ref="BJ103:BM103"/>
    <mergeCell ref="BN103:BN104"/>
    <mergeCell ref="BO103:BR103"/>
    <mergeCell ref="A105:B105"/>
    <mergeCell ref="C105:E105"/>
    <mergeCell ref="F105:G105"/>
    <mergeCell ref="H105:J105"/>
    <mergeCell ref="K105:L105"/>
    <mergeCell ref="M105:O105"/>
    <mergeCell ref="AT103:AT104"/>
    <mergeCell ref="AU103:AX103"/>
    <mergeCell ref="AY103:AY104"/>
    <mergeCell ref="AZ103:BC103"/>
    <mergeCell ref="BD103:BD104"/>
    <mergeCell ref="BE103:BH103"/>
    <mergeCell ref="AE103:AE104"/>
    <mergeCell ref="AF103:AI103"/>
    <mergeCell ref="AJ103:AJ104"/>
    <mergeCell ref="AK103:AN103"/>
    <mergeCell ref="AO103:AO104"/>
    <mergeCell ref="AP103:AS103"/>
    <mergeCell ref="P103:P104"/>
    <mergeCell ref="Q103:T103"/>
    <mergeCell ref="U103:U104"/>
    <mergeCell ref="V103:Y103"/>
    <mergeCell ref="Z103:Z104"/>
    <mergeCell ref="AA103:AD103"/>
    <mergeCell ref="A103:A104"/>
    <mergeCell ref="B103:E103"/>
    <mergeCell ref="F103:F104"/>
    <mergeCell ref="G103:J103"/>
    <mergeCell ref="U106:V108"/>
    <mergeCell ref="W106:Y108"/>
    <mergeCell ref="Z106:AA108"/>
    <mergeCell ref="AB106:AD108"/>
    <mergeCell ref="BI105:BJ105"/>
    <mergeCell ref="BK105:BM105"/>
    <mergeCell ref="BN105:BO105"/>
    <mergeCell ref="BP105:BR105"/>
    <mergeCell ref="A106:B108"/>
    <mergeCell ref="C106:E108"/>
    <mergeCell ref="F106:G108"/>
    <mergeCell ref="H106:J108"/>
    <mergeCell ref="K106:L108"/>
    <mergeCell ref="M106:O108"/>
    <mergeCell ref="AT105:AU105"/>
    <mergeCell ref="AV105:AX105"/>
    <mergeCell ref="AY105:AZ105"/>
    <mergeCell ref="BA105:BC105"/>
    <mergeCell ref="BD105:BE105"/>
    <mergeCell ref="BF105:BH105"/>
    <mergeCell ref="AE105:AF105"/>
    <mergeCell ref="AG105:AI105"/>
    <mergeCell ref="AJ105:AK105"/>
    <mergeCell ref="AL105:AN105"/>
    <mergeCell ref="AO105:AP105"/>
    <mergeCell ref="AQ105:AS105"/>
    <mergeCell ref="P105:Q105"/>
    <mergeCell ref="R105:T105"/>
    <mergeCell ref="U105:V105"/>
    <mergeCell ref="W105:Y105"/>
    <mergeCell ref="Z105:AA105"/>
    <mergeCell ref="AB105:AD105"/>
    <mergeCell ref="AO109:AO110"/>
    <mergeCell ref="AP109:AS109"/>
    <mergeCell ref="P109:P110"/>
    <mergeCell ref="Q109:T109"/>
    <mergeCell ref="U109:U110"/>
    <mergeCell ref="V109:Y109"/>
    <mergeCell ref="Z109:Z110"/>
    <mergeCell ref="AA109:AD109"/>
    <mergeCell ref="BI106:BJ108"/>
    <mergeCell ref="BK106:BM108"/>
    <mergeCell ref="BN106:BO108"/>
    <mergeCell ref="BP106:BR108"/>
    <mergeCell ref="A109:A110"/>
    <mergeCell ref="B109:E109"/>
    <mergeCell ref="F109:F110"/>
    <mergeCell ref="G109:J109"/>
    <mergeCell ref="K109:K110"/>
    <mergeCell ref="L109:O109"/>
    <mergeCell ref="AT106:AU108"/>
    <mergeCell ref="AV106:AX108"/>
    <mergeCell ref="AY106:AZ108"/>
    <mergeCell ref="BA106:BC108"/>
    <mergeCell ref="BD106:BE108"/>
    <mergeCell ref="BF106:BH108"/>
    <mergeCell ref="AE106:AF108"/>
    <mergeCell ref="AG106:AI108"/>
    <mergeCell ref="AJ106:AK108"/>
    <mergeCell ref="AL106:AN108"/>
    <mergeCell ref="AO106:AP108"/>
    <mergeCell ref="AQ106:AS108"/>
    <mergeCell ref="P106:Q108"/>
    <mergeCell ref="R106:T108"/>
    <mergeCell ref="AE111:AF111"/>
    <mergeCell ref="AG111:AI111"/>
    <mergeCell ref="AJ111:AK111"/>
    <mergeCell ref="AL111:AN111"/>
    <mergeCell ref="AO111:AP111"/>
    <mergeCell ref="AQ111:AS111"/>
    <mergeCell ref="P111:Q111"/>
    <mergeCell ref="R111:T111"/>
    <mergeCell ref="U111:V111"/>
    <mergeCell ref="W111:Y111"/>
    <mergeCell ref="Z111:AA111"/>
    <mergeCell ref="AB111:AD111"/>
    <mergeCell ref="BI109:BI110"/>
    <mergeCell ref="BJ109:BM109"/>
    <mergeCell ref="BN109:BN110"/>
    <mergeCell ref="BO109:BR109"/>
    <mergeCell ref="A111:B111"/>
    <mergeCell ref="C111:E111"/>
    <mergeCell ref="F111:G111"/>
    <mergeCell ref="H111:J111"/>
    <mergeCell ref="K111:L111"/>
    <mergeCell ref="M111:O111"/>
    <mergeCell ref="AT109:AT110"/>
    <mergeCell ref="AU109:AX109"/>
    <mergeCell ref="AY109:AY110"/>
    <mergeCell ref="AZ109:BC109"/>
    <mergeCell ref="BD109:BD110"/>
    <mergeCell ref="BE109:BH109"/>
    <mergeCell ref="AE109:AE110"/>
    <mergeCell ref="AF109:AI109"/>
    <mergeCell ref="AJ109:AJ110"/>
    <mergeCell ref="AK109:AN109"/>
    <mergeCell ref="AY112:BC114"/>
    <mergeCell ref="BD112:BH114"/>
    <mergeCell ref="BI112:BM114"/>
    <mergeCell ref="BN112:BR114"/>
    <mergeCell ref="A115:A116"/>
    <mergeCell ref="B115:E115"/>
    <mergeCell ref="F115:F116"/>
    <mergeCell ref="G115:J115"/>
    <mergeCell ref="K115:K116"/>
    <mergeCell ref="L115:O115"/>
    <mergeCell ref="U112:Y114"/>
    <mergeCell ref="Z112:AD114"/>
    <mergeCell ref="AE112:AI114"/>
    <mergeCell ref="AJ112:AN114"/>
    <mergeCell ref="AO112:AS114"/>
    <mergeCell ref="AT112:AX114"/>
    <mergeCell ref="BI111:BJ111"/>
    <mergeCell ref="BK111:BM111"/>
    <mergeCell ref="BN111:BO111"/>
    <mergeCell ref="BP111:BR111"/>
    <mergeCell ref="A112:B114"/>
    <mergeCell ref="C112:E114"/>
    <mergeCell ref="F112:G114"/>
    <mergeCell ref="H112:J114"/>
    <mergeCell ref="K112:O114"/>
    <mergeCell ref="P112:T114"/>
    <mergeCell ref="AT111:AU111"/>
    <mergeCell ref="AV111:AX111"/>
    <mergeCell ref="AY111:AZ111"/>
    <mergeCell ref="BA111:BC111"/>
    <mergeCell ref="BD111:BE111"/>
    <mergeCell ref="BF111:BH111"/>
    <mergeCell ref="BI115:BI116"/>
    <mergeCell ref="BJ115:BM115"/>
    <mergeCell ref="BN115:BN116"/>
    <mergeCell ref="BO115:BR115"/>
    <mergeCell ref="A124:C124"/>
    <mergeCell ref="D124:E124"/>
    <mergeCell ref="G124:I127"/>
    <mergeCell ref="X124:AI127"/>
    <mergeCell ref="AJ124:AS127"/>
    <mergeCell ref="AU124:BH127"/>
    <mergeCell ref="AT115:AT116"/>
    <mergeCell ref="AU115:AX115"/>
    <mergeCell ref="AY115:AY116"/>
    <mergeCell ref="AZ115:BC115"/>
    <mergeCell ref="BD115:BD116"/>
    <mergeCell ref="BE115:BH115"/>
    <mergeCell ref="AE115:AE116"/>
    <mergeCell ref="AF115:AI115"/>
    <mergeCell ref="AJ115:AJ116"/>
    <mergeCell ref="AK115:AN115"/>
    <mergeCell ref="AO115:AO116"/>
    <mergeCell ref="AP115:AS115"/>
    <mergeCell ref="P115:P116"/>
    <mergeCell ref="Q115:T115"/>
    <mergeCell ref="U115:U116"/>
    <mergeCell ref="V115:Y115"/>
    <mergeCell ref="Z115:Z116"/>
    <mergeCell ref="AA115:AD115"/>
    <mergeCell ref="Z140:AD146"/>
    <mergeCell ref="AJ141:AL143"/>
    <mergeCell ref="AM141:AO143"/>
    <mergeCell ref="AP141:AS143"/>
    <mergeCell ref="AU142:AW145"/>
    <mergeCell ref="AX142:AZ145"/>
    <mergeCell ref="AY133:BC133"/>
    <mergeCell ref="BD133:BH133"/>
    <mergeCell ref="AJ138:AL140"/>
    <mergeCell ref="AM138:AO140"/>
    <mergeCell ref="AP138:AS140"/>
    <mergeCell ref="AU139:AW141"/>
    <mergeCell ref="AX139:AZ141"/>
    <mergeCell ref="BA139:BB141"/>
    <mergeCell ref="BC139:BD141"/>
    <mergeCell ref="A125:C127"/>
    <mergeCell ref="D127:E127"/>
    <mergeCell ref="G128:I131"/>
    <mergeCell ref="X128:AI133"/>
    <mergeCell ref="AJ128:AT133"/>
    <mergeCell ref="AU128:BH131"/>
    <mergeCell ref="AU132:AX133"/>
    <mergeCell ref="AY132:BA132"/>
    <mergeCell ref="BB132:BH132"/>
    <mergeCell ref="G133:I133"/>
    <mergeCell ref="AJ156:AS161"/>
    <mergeCell ref="AU156:BD157"/>
    <mergeCell ref="AU158:BD161"/>
    <mergeCell ref="AU162:BD166"/>
    <mergeCell ref="AM150:AO152"/>
    <mergeCell ref="AP150:AS152"/>
    <mergeCell ref="AU151:BD152"/>
    <mergeCell ref="AJ153:AL155"/>
    <mergeCell ref="AM153:AO155"/>
    <mergeCell ref="AP153:AS155"/>
    <mergeCell ref="AU153:BD155"/>
    <mergeCell ref="BA142:BB145"/>
    <mergeCell ref="BC142:BD145"/>
    <mergeCell ref="AJ144:AL146"/>
    <mergeCell ref="AM144:AO146"/>
    <mergeCell ref="AP144:AS146"/>
    <mergeCell ref="AJ147:AL149"/>
    <mergeCell ref="AM147:AO149"/>
    <mergeCell ref="AP147:AS149"/>
    <mergeCell ref="AU148:BD150"/>
    <mergeCell ref="AJ150:AL152"/>
  </mergeCells>
  <pageMargins left="0.85" right="0" top="0.7" bottom="0" header="0.3" footer="0.3"/>
  <pageSetup paperSize="8" scale="27" orientation="portrait" r:id="rId1"/>
  <headerFooter>
    <oddFooter>&amp;C&amp;"-,Bold Italic"&amp;16Prepared by Emir Cebecioglu&amp;RQuality Control Department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7052E-BC4C-4CD8-BCD9-0BC186F90774}">
  <sheetPr>
    <tabColor rgb="FF92D050"/>
    <pageSetUpPr fitToPage="1"/>
  </sheetPr>
  <dimension ref="A1:FP187"/>
  <sheetViews>
    <sheetView view="pageBreakPreview" topLeftCell="A30" zoomScale="40" zoomScaleNormal="55" zoomScaleSheetLayoutView="40" zoomScalePageLayoutView="25" workbookViewId="0">
      <selection activeCell="U15" sqref="U15:Y17"/>
    </sheetView>
  </sheetViews>
  <sheetFormatPr defaultRowHeight="15" x14ac:dyDescent="0.25"/>
  <cols>
    <col min="1" max="1" width="4" customWidth="1"/>
    <col min="2" max="2" width="16" customWidth="1"/>
    <col min="3" max="3" width="4.28515625" customWidth="1"/>
    <col min="4" max="4" width="5.5703125" customWidth="1"/>
    <col min="5" max="5" width="10.28515625" customWidth="1"/>
    <col min="6" max="6" width="4.140625" customWidth="1"/>
    <col min="7" max="7" width="16" customWidth="1"/>
    <col min="8" max="8" width="4.28515625" customWidth="1"/>
    <col min="9" max="9" width="9.140625" customWidth="1"/>
    <col min="10" max="10" width="7.7109375" customWidth="1"/>
    <col min="11" max="11" width="4.140625" customWidth="1"/>
    <col min="12" max="12" width="16" customWidth="1"/>
    <col min="13" max="13" width="4.28515625" customWidth="1"/>
    <col min="14" max="14" width="5.5703125" customWidth="1"/>
    <col min="15" max="15" width="9.85546875" customWidth="1"/>
    <col min="16" max="16" width="4.140625" customWidth="1"/>
    <col min="17" max="17" width="16" customWidth="1"/>
    <col min="18" max="18" width="5" customWidth="1"/>
    <col min="19" max="19" width="8.42578125" customWidth="1"/>
    <col min="20" max="20" width="7.42578125" customWidth="1"/>
    <col min="21" max="21" width="4.140625" customWidth="1"/>
    <col min="22" max="22" width="16" customWidth="1"/>
    <col min="23" max="23" width="4.28515625" customWidth="1"/>
    <col min="24" max="24" width="5.5703125" customWidth="1"/>
    <col min="25" max="25" width="10" customWidth="1"/>
    <col min="26" max="26" width="4.140625" customWidth="1"/>
    <col min="27" max="27" width="16" customWidth="1"/>
    <col min="28" max="28" width="4.28515625" customWidth="1"/>
    <col min="29" max="29" width="9.5703125" customWidth="1"/>
    <col min="30" max="30" width="5.5703125" customWidth="1"/>
    <col min="31" max="31" width="4.140625" customWidth="1"/>
    <col min="32" max="32" width="16" customWidth="1"/>
    <col min="33" max="33" width="4.28515625" customWidth="1"/>
    <col min="34" max="34" width="9.5703125" customWidth="1"/>
    <col min="35" max="35" width="5.5703125" customWidth="1"/>
    <col min="36" max="36" width="4.140625" customWidth="1"/>
    <col min="37" max="37" width="16" customWidth="1"/>
    <col min="38" max="38" width="8.5703125" customWidth="1"/>
    <col min="39" max="40" width="5.5703125" customWidth="1"/>
    <col min="41" max="41" width="4.140625" customWidth="1"/>
    <col min="42" max="42" width="16" customWidth="1"/>
    <col min="43" max="43" width="5.7109375" customWidth="1"/>
    <col min="44" max="44" width="5.5703125" customWidth="1"/>
    <col min="45" max="45" width="8.7109375" customWidth="1"/>
    <col min="46" max="46" width="4.140625" customWidth="1"/>
    <col min="47" max="47" width="16" customWidth="1"/>
    <col min="48" max="48" width="4.28515625" customWidth="1"/>
    <col min="49" max="49" width="5.5703125" customWidth="1"/>
    <col min="50" max="50" width="9.140625" customWidth="1"/>
    <col min="51" max="51" width="4.140625" customWidth="1"/>
    <col min="52" max="52" width="16" customWidth="1"/>
    <col min="53" max="53" width="5.42578125" customWidth="1"/>
    <col min="54" max="54" width="8.140625" customWidth="1"/>
    <col min="55" max="55" width="5.5703125" customWidth="1"/>
    <col min="56" max="56" width="4.140625" customWidth="1"/>
    <col min="57" max="57" width="16" customWidth="1"/>
    <col min="58" max="58" width="4.28515625" customWidth="1"/>
    <col min="59" max="59" width="5.5703125" customWidth="1"/>
    <col min="60" max="60" width="9.85546875" customWidth="1"/>
    <col min="61" max="61" width="4.140625" customWidth="1"/>
    <col min="62" max="62" width="16" customWidth="1"/>
    <col min="63" max="63" width="4.28515625" customWidth="1"/>
    <col min="64" max="64" width="5.5703125" customWidth="1"/>
    <col min="65" max="65" width="10.28515625" customWidth="1"/>
    <col min="66" max="66" width="4.140625" customWidth="1"/>
    <col min="67" max="67" width="16" customWidth="1"/>
    <col min="68" max="68" width="4.28515625" customWidth="1"/>
    <col min="69" max="69" width="5.5703125" customWidth="1"/>
    <col min="70" max="70" width="9.42578125" bestFit="1" customWidth="1"/>
    <col min="71" max="71" width="1" customWidth="1"/>
    <col min="72" max="72" width="56.7109375" customWidth="1"/>
    <col min="73" max="73" width="13" customWidth="1"/>
    <col min="74" max="74" width="7" customWidth="1"/>
  </cols>
  <sheetData>
    <row r="1" spans="1:83" ht="158.25" customHeight="1" thickBot="1" x14ac:dyDescent="0.3"/>
    <row r="2" spans="1:83" ht="44.25" customHeight="1" thickTop="1" x14ac:dyDescent="0.25">
      <c r="A2" s="582" t="s">
        <v>110</v>
      </c>
      <c r="B2" s="583"/>
      <c r="C2" s="584">
        <f>B7/((72*3.1415/59)*(129.67/3.281))</f>
        <v>3.5706430416883789E-2</v>
      </c>
      <c r="D2" s="584"/>
      <c r="E2" s="585"/>
      <c r="F2" s="582" t="s">
        <v>110</v>
      </c>
      <c r="G2" s="583"/>
      <c r="H2" s="584">
        <f>G7/((72*3.1415/59)*(129.67/3.281))</f>
        <v>4.2412111249333688E-2</v>
      </c>
      <c r="I2" s="584"/>
      <c r="J2" s="585"/>
      <c r="K2" s="582" t="s">
        <v>110</v>
      </c>
      <c r="L2" s="583"/>
      <c r="M2" s="584">
        <f t="shared" ref="M2" si="0">L7/((72*3.1415/59)*(129.67/3.281))</f>
        <v>8.712105018537265E-3</v>
      </c>
      <c r="N2" s="584"/>
      <c r="O2" s="585"/>
      <c r="P2" s="582" t="s">
        <v>110</v>
      </c>
      <c r="Q2" s="583"/>
      <c r="R2" s="584">
        <f t="shared" ref="R2" si="1">Q7/((72*3.1415/59)*(129.67/3.281))</f>
        <v>3.3363402173262023E-2</v>
      </c>
      <c r="S2" s="584"/>
      <c r="T2" s="585"/>
      <c r="U2" s="582" t="s">
        <v>110</v>
      </c>
      <c r="V2" s="583"/>
      <c r="W2" s="584">
        <f t="shared" ref="W2" si="2">V7/((72*3.1415/59)*(129.67/3.281))</f>
        <v>2.112289462221717E-2</v>
      </c>
      <c r="X2" s="584"/>
      <c r="Y2" s="585"/>
      <c r="Z2" s="582" t="s">
        <v>110</v>
      </c>
      <c r="AA2" s="583"/>
      <c r="AB2" s="584">
        <f t="shared" ref="AB2" si="3">AA7/((72*3.1415/59)*(129.67/3.281))</f>
        <v>2.3430282436217643E-3</v>
      </c>
      <c r="AC2" s="584"/>
      <c r="AD2" s="585"/>
      <c r="AE2" s="582" t="s">
        <v>110</v>
      </c>
      <c r="AF2" s="583"/>
      <c r="AG2" s="584">
        <f t="shared" ref="AG2" si="4">AF7/((72*3.1415/59)*(129.67/3.281))</f>
        <v>2.9502355630955737E-2</v>
      </c>
      <c r="AH2" s="584"/>
      <c r="AI2" s="585"/>
      <c r="AJ2" s="582" t="s">
        <v>110</v>
      </c>
      <c r="AK2" s="583"/>
      <c r="AL2" s="584">
        <f t="shared" ref="AL2" si="5">AK7/((72*3.1415/59)*(129.67/3.281))</f>
        <v>6.2027547700161521E-2</v>
      </c>
      <c r="AM2" s="584"/>
      <c r="AN2" s="585"/>
      <c r="AO2" s="582" t="s">
        <v>110</v>
      </c>
      <c r="AP2" s="583"/>
      <c r="AQ2" s="584">
        <f t="shared" ref="AQ2" si="6">AP7/((72*3.1415/59)*(129.67/3.281))</f>
        <v>4.6596561690055369E-2</v>
      </c>
      <c r="AR2" s="584"/>
      <c r="AS2" s="585"/>
      <c r="AT2" s="582" t="s">
        <v>110</v>
      </c>
      <c r="AU2" s="583"/>
      <c r="AV2" s="584">
        <f t="shared" ref="AV2" si="7">AU7/((72*3.1415/59)*(129.67/3.281))</f>
        <v>0.17904035821050029</v>
      </c>
      <c r="AW2" s="584"/>
      <c r="AX2" s="585"/>
      <c r="AY2" s="582" t="s">
        <v>110</v>
      </c>
      <c r="AZ2" s="583"/>
      <c r="BA2" s="584">
        <f t="shared" ref="BA2" si="8">AZ7/((72*3.1415/59)*(129.67/3.281))</f>
        <v>3.3059798513525127E-2</v>
      </c>
      <c r="BB2" s="584"/>
      <c r="BC2" s="585"/>
      <c r="BD2" s="582" t="s">
        <v>110</v>
      </c>
      <c r="BE2" s="583"/>
      <c r="BF2" s="584">
        <f t="shared" ref="BF2" si="9">BE7/((72*3.1415/59)*(129.67/3.281))</f>
        <v>4.576627168147053E-2</v>
      </c>
      <c r="BG2" s="584"/>
      <c r="BH2" s="585"/>
      <c r="BI2" s="582" t="s">
        <v>110</v>
      </c>
      <c r="BJ2" s="583"/>
      <c r="BK2" s="584">
        <f t="shared" ref="BK2" si="10">BJ7/((72*3.1415/59)*(129.67/3.281))</f>
        <v>7.2072868789717377E-3</v>
      </c>
      <c r="BL2" s="584"/>
      <c r="BM2" s="585"/>
      <c r="BN2" s="582" t="s">
        <v>110</v>
      </c>
      <c r="BO2" s="583"/>
      <c r="BP2" s="584">
        <f t="shared" ref="BP2" si="11">BO7/((72*3.1415/59)*(129.67/3.281))</f>
        <v>1.003212093043685E-3</v>
      </c>
      <c r="BQ2" s="584"/>
      <c r="BR2" s="585"/>
    </row>
    <row r="3" spans="1:83" ht="6.75" customHeight="1" x14ac:dyDescent="0.25">
      <c r="A3" s="1603" t="s">
        <v>489</v>
      </c>
      <c r="B3" s="1604"/>
      <c r="C3" s="1609" t="s">
        <v>504</v>
      </c>
      <c r="D3" s="1610"/>
      <c r="E3" s="1611"/>
      <c r="F3" s="1603" t="s">
        <v>489</v>
      </c>
      <c r="G3" s="1604"/>
      <c r="H3" s="1609" t="s">
        <v>504</v>
      </c>
      <c r="I3" s="1610"/>
      <c r="J3" s="1611"/>
      <c r="K3" s="1603" t="s">
        <v>489</v>
      </c>
      <c r="L3" s="1604"/>
      <c r="M3" s="1609" t="s">
        <v>504</v>
      </c>
      <c r="N3" s="1610"/>
      <c r="O3" s="1611"/>
      <c r="P3" s="1603" t="s">
        <v>489</v>
      </c>
      <c r="Q3" s="1604"/>
      <c r="R3" s="1609" t="s">
        <v>504</v>
      </c>
      <c r="S3" s="1610"/>
      <c r="T3" s="1611"/>
      <c r="U3" s="1603" t="s">
        <v>489</v>
      </c>
      <c r="V3" s="1604"/>
      <c r="W3" s="1609" t="s">
        <v>504</v>
      </c>
      <c r="X3" s="1610"/>
      <c r="Y3" s="1611"/>
      <c r="Z3" s="1603" t="s">
        <v>489</v>
      </c>
      <c r="AA3" s="1604"/>
      <c r="AB3" s="1609" t="s">
        <v>504</v>
      </c>
      <c r="AC3" s="1610"/>
      <c r="AD3" s="1611"/>
      <c r="AE3" s="1603" t="s">
        <v>489</v>
      </c>
      <c r="AF3" s="1604"/>
      <c r="AG3" s="1609" t="s">
        <v>504</v>
      </c>
      <c r="AH3" s="1610"/>
      <c r="AI3" s="1611"/>
      <c r="AJ3" s="1603" t="s">
        <v>489</v>
      </c>
      <c r="AK3" s="1604"/>
      <c r="AL3" s="1609" t="s">
        <v>504</v>
      </c>
      <c r="AM3" s="1610"/>
      <c r="AN3" s="1611"/>
      <c r="AO3" s="1603" t="s">
        <v>489</v>
      </c>
      <c r="AP3" s="1604"/>
      <c r="AQ3" s="1609" t="s">
        <v>504</v>
      </c>
      <c r="AR3" s="1610"/>
      <c r="AS3" s="1611"/>
      <c r="AT3" s="1603" t="s">
        <v>489</v>
      </c>
      <c r="AU3" s="1604"/>
      <c r="AV3" s="1609" t="s">
        <v>504</v>
      </c>
      <c r="AW3" s="1610"/>
      <c r="AX3" s="1611"/>
      <c r="AY3" s="1603" t="s">
        <v>489</v>
      </c>
      <c r="AZ3" s="1604"/>
      <c r="BA3" s="1609" t="s">
        <v>504</v>
      </c>
      <c r="BB3" s="1610"/>
      <c r="BC3" s="1611"/>
      <c r="BD3" s="1603" t="s">
        <v>489</v>
      </c>
      <c r="BE3" s="1604"/>
      <c r="BF3" s="1609" t="s">
        <v>504</v>
      </c>
      <c r="BG3" s="1610"/>
      <c r="BH3" s="1611"/>
      <c r="BI3" s="1603" t="s">
        <v>489</v>
      </c>
      <c r="BJ3" s="1604"/>
      <c r="BK3" s="1609" t="s">
        <v>504</v>
      </c>
      <c r="BL3" s="1610"/>
      <c r="BM3" s="1611"/>
      <c r="BN3" s="1603" t="s">
        <v>489</v>
      </c>
      <c r="BO3" s="1604"/>
      <c r="BP3" s="1609" t="s">
        <v>504</v>
      </c>
      <c r="BQ3" s="1610"/>
      <c r="BR3" s="1611"/>
    </row>
    <row r="4" spans="1:83" ht="18" customHeight="1" x14ac:dyDescent="0.25">
      <c r="A4" s="1605"/>
      <c r="B4" s="1606"/>
      <c r="C4" s="1612"/>
      <c r="D4" s="1613"/>
      <c r="E4" s="1614"/>
      <c r="F4" s="1605"/>
      <c r="G4" s="1606"/>
      <c r="H4" s="1612"/>
      <c r="I4" s="1613"/>
      <c r="J4" s="1614"/>
      <c r="K4" s="1605"/>
      <c r="L4" s="1606"/>
      <c r="M4" s="1612"/>
      <c r="N4" s="1613"/>
      <c r="O4" s="1614"/>
      <c r="P4" s="1605"/>
      <c r="Q4" s="1606"/>
      <c r="R4" s="1612"/>
      <c r="S4" s="1613"/>
      <c r="T4" s="1614"/>
      <c r="U4" s="1605"/>
      <c r="V4" s="1606"/>
      <c r="W4" s="1612"/>
      <c r="X4" s="1613"/>
      <c r="Y4" s="1614"/>
      <c r="Z4" s="1605"/>
      <c r="AA4" s="1606"/>
      <c r="AB4" s="1612"/>
      <c r="AC4" s="1613"/>
      <c r="AD4" s="1614"/>
      <c r="AE4" s="1605"/>
      <c r="AF4" s="1606"/>
      <c r="AG4" s="1612"/>
      <c r="AH4" s="1613"/>
      <c r="AI4" s="1614"/>
      <c r="AJ4" s="1605"/>
      <c r="AK4" s="1606"/>
      <c r="AL4" s="1612"/>
      <c r="AM4" s="1613"/>
      <c r="AN4" s="1614"/>
      <c r="AO4" s="1605"/>
      <c r="AP4" s="1606"/>
      <c r="AQ4" s="1612"/>
      <c r="AR4" s="1613"/>
      <c r="AS4" s="1614"/>
      <c r="AT4" s="1605"/>
      <c r="AU4" s="1606"/>
      <c r="AV4" s="1612"/>
      <c r="AW4" s="1613"/>
      <c r="AX4" s="1614"/>
      <c r="AY4" s="1605"/>
      <c r="AZ4" s="1606"/>
      <c r="BA4" s="1612"/>
      <c r="BB4" s="1613"/>
      <c r="BC4" s="1614"/>
      <c r="BD4" s="1605"/>
      <c r="BE4" s="1606"/>
      <c r="BF4" s="1612"/>
      <c r="BG4" s="1613"/>
      <c r="BH4" s="1614"/>
      <c r="BI4" s="1605"/>
      <c r="BJ4" s="1606"/>
      <c r="BK4" s="1612"/>
      <c r="BL4" s="1613"/>
      <c r="BM4" s="1614"/>
      <c r="BN4" s="1605"/>
      <c r="BO4" s="1606"/>
      <c r="BP4" s="1612"/>
      <c r="BQ4" s="1613"/>
      <c r="BR4" s="1614"/>
    </row>
    <row r="5" spans="1:83" ht="6" customHeight="1" x14ac:dyDescent="0.25">
      <c r="A5" s="1607"/>
      <c r="B5" s="1608"/>
      <c r="C5" s="1615"/>
      <c r="D5" s="1616"/>
      <c r="E5" s="1617"/>
      <c r="F5" s="1607"/>
      <c r="G5" s="1608"/>
      <c r="H5" s="1615"/>
      <c r="I5" s="1616"/>
      <c r="J5" s="1617"/>
      <c r="K5" s="1607"/>
      <c r="L5" s="1608"/>
      <c r="M5" s="1615"/>
      <c r="N5" s="1616"/>
      <c r="O5" s="1617"/>
      <c r="P5" s="1607"/>
      <c r="Q5" s="1608"/>
      <c r="R5" s="1615"/>
      <c r="S5" s="1616"/>
      <c r="T5" s="1617"/>
      <c r="U5" s="1607"/>
      <c r="V5" s="1608"/>
      <c r="W5" s="1615"/>
      <c r="X5" s="1616"/>
      <c r="Y5" s="1617"/>
      <c r="Z5" s="1607"/>
      <c r="AA5" s="1608"/>
      <c r="AB5" s="1615"/>
      <c r="AC5" s="1616"/>
      <c r="AD5" s="1617"/>
      <c r="AE5" s="1607"/>
      <c r="AF5" s="1608"/>
      <c r="AG5" s="1615"/>
      <c r="AH5" s="1616"/>
      <c r="AI5" s="1617"/>
      <c r="AJ5" s="1607"/>
      <c r="AK5" s="1608"/>
      <c r="AL5" s="1615"/>
      <c r="AM5" s="1616"/>
      <c r="AN5" s="1617"/>
      <c r="AO5" s="1607"/>
      <c r="AP5" s="1608"/>
      <c r="AQ5" s="1615"/>
      <c r="AR5" s="1616"/>
      <c r="AS5" s="1617"/>
      <c r="AT5" s="1607"/>
      <c r="AU5" s="1608"/>
      <c r="AV5" s="1615"/>
      <c r="AW5" s="1616"/>
      <c r="AX5" s="1617"/>
      <c r="AY5" s="1607"/>
      <c r="AZ5" s="1608"/>
      <c r="BA5" s="1615"/>
      <c r="BB5" s="1616"/>
      <c r="BC5" s="1617"/>
      <c r="BD5" s="1607"/>
      <c r="BE5" s="1608"/>
      <c r="BF5" s="1615"/>
      <c r="BG5" s="1616"/>
      <c r="BH5" s="1617"/>
      <c r="BI5" s="1607"/>
      <c r="BJ5" s="1608"/>
      <c r="BK5" s="1615"/>
      <c r="BL5" s="1616"/>
      <c r="BM5" s="1617"/>
      <c r="BN5" s="1607"/>
      <c r="BO5" s="1608"/>
      <c r="BP5" s="1615"/>
      <c r="BQ5" s="1616"/>
      <c r="BR5" s="1617"/>
    </row>
    <row r="6" spans="1:83" s="22" customFormat="1" ht="111.75" customHeight="1" x14ac:dyDescent="1.35">
      <c r="A6" s="586" t="s">
        <v>500</v>
      </c>
      <c r="B6" s="588">
        <v>1</v>
      </c>
      <c r="C6" s="589"/>
      <c r="D6" s="589"/>
      <c r="E6" s="590"/>
      <c r="F6" s="586" t="s">
        <v>500</v>
      </c>
      <c r="G6" s="588">
        <v>2</v>
      </c>
      <c r="H6" s="589"/>
      <c r="I6" s="589"/>
      <c r="J6" s="590"/>
      <c r="K6" s="586" t="s">
        <v>500</v>
      </c>
      <c r="L6" s="588">
        <v>3</v>
      </c>
      <c r="M6" s="589"/>
      <c r="N6" s="589"/>
      <c r="O6" s="590"/>
      <c r="P6" s="586" t="s">
        <v>500</v>
      </c>
      <c r="Q6" s="588">
        <v>4</v>
      </c>
      <c r="R6" s="589"/>
      <c r="S6" s="589"/>
      <c r="T6" s="590"/>
      <c r="U6" s="586" t="s">
        <v>500</v>
      </c>
      <c r="V6" s="588">
        <v>5</v>
      </c>
      <c r="W6" s="589"/>
      <c r="X6" s="589"/>
      <c r="Y6" s="590"/>
      <c r="Z6" s="586" t="s">
        <v>500</v>
      </c>
      <c r="AA6" s="588">
        <v>6</v>
      </c>
      <c r="AB6" s="589"/>
      <c r="AC6" s="589"/>
      <c r="AD6" s="590"/>
      <c r="AE6" s="586" t="s">
        <v>500</v>
      </c>
      <c r="AF6" s="588">
        <v>7</v>
      </c>
      <c r="AG6" s="589"/>
      <c r="AH6" s="589"/>
      <c r="AI6" s="590"/>
      <c r="AJ6" s="586" t="s">
        <v>500</v>
      </c>
      <c r="AK6" s="588">
        <v>8</v>
      </c>
      <c r="AL6" s="589"/>
      <c r="AM6" s="589"/>
      <c r="AN6" s="590"/>
      <c r="AO6" s="586" t="s">
        <v>500</v>
      </c>
      <c r="AP6" s="588">
        <v>9</v>
      </c>
      <c r="AQ6" s="589"/>
      <c r="AR6" s="589"/>
      <c r="AS6" s="590"/>
      <c r="AT6" s="586" t="s">
        <v>500</v>
      </c>
      <c r="AU6" s="588">
        <v>10</v>
      </c>
      <c r="AV6" s="589"/>
      <c r="AW6" s="589"/>
      <c r="AX6" s="590"/>
      <c r="AY6" s="586" t="s">
        <v>500</v>
      </c>
      <c r="AZ6" s="588">
        <v>11</v>
      </c>
      <c r="BA6" s="589"/>
      <c r="BB6" s="589"/>
      <c r="BC6" s="590"/>
      <c r="BD6" s="586" t="s">
        <v>500</v>
      </c>
      <c r="BE6" s="588">
        <v>12</v>
      </c>
      <c r="BF6" s="589"/>
      <c r="BG6" s="589"/>
      <c r="BH6" s="590"/>
      <c r="BI6" s="586" t="s">
        <v>500</v>
      </c>
      <c r="BJ6" s="588">
        <v>13</v>
      </c>
      <c r="BK6" s="589"/>
      <c r="BL6" s="589"/>
      <c r="BM6" s="590"/>
      <c r="BN6" s="586" t="s">
        <v>500</v>
      </c>
      <c r="BO6" s="588">
        <v>14</v>
      </c>
      <c r="BP6" s="589"/>
      <c r="BQ6" s="589"/>
      <c r="BR6" s="590"/>
    </row>
    <row r="7" spans="1:83" ht="50.25" customHeight="1" thickBot="1" x14ac:dyDescent="0.3">
      <c r="A7" s="587"/>
      <c r="B7" s="61">
        <v>5.41</v>
      </c>
      <c r="C7" s="62" t="s">
        <v>113</v>
      </c>
      <c r="D7" s="63">
        <v>2</v>
      </c>
      <c r="E7" s="64" t="s">
        <v>114</v>
      </c>
      <c r="F7" s="587"/>
      <c r="G7" s="61">
        <v>6.4260000000000002</v>
      </c>
      <c r="H7" s="62" t="s">
        <v>113</v>
      </c>
      <c r="I7" s="63">
        <v>2</v>
      </c>
      <c r="J7" s="64" t="s">
        <v>114</v>
      </c>
      <c r="K7" s="587"/>
      <c r="L7" s="61">
        <v>1.32</v>
      </c>
      <c r="M7" s="62" t="s">
        <v>113</v>
      </c>
      <c r="N7" s="63">
        <v>2</v>
      </c>
      <c r="O7" s="64" t="s">
        <v>114</v>
      </c>
      <c r="P7" s="587"/>
      <c r="Q7" s="61">
        <v>5.0549999999999997</v>
      </c>
      <c r="R7" s="62" t="s">
        <v>113</v>
      </c>
      <c r="S7" s="63">
        <v>2</v>
      </c>
      <c r="T7" s="64" t="s">
        <v>114</v>
      </c>
      <c r="U7" s="587"/>
      <c r="V7" s="61">
        <v>3.2004000000000001</v>
      </c>
      <c r="W7" s="62" t="s">
        <v>113</v>
      </c>
      <c r="X7" s="63">
        <v>1</v>
      </c>
      <c r="Y7" s="64" t="s">
        <v>114</v>
      </c>
      <c r="Z7" s="587"/>
      <c r="AA7" s="61">
        <v>0.35499999999999998</v>
      </c>
      <c r="AB7" s="62" t="s">
        <v>113</v>
      </c>
      <c r="AC7" s="63">
        <v>2</v>
      </c>
      <c r="AD7" s="64" t="s">
        <v>114</v>
      </c>
      <c r="AE7" s="587"/>
      <c r="AF7" s="61">
        <v>4.47</v>
      </c>
      <c r="AG7" s="62" t="s">
        <v>113</v>
      </c>
      <c r="AH7" s="63">
        <v>2</v>
      </c>
      <c r="AI7" s="64" t="s">
        <v>114</v>
      </c>
      <c r="AJ7" s="587"/>
      <c r="AK7" s="61">
        <v>9.3979999999999997</v>
      </c>
      <c r="AL7" s="62" t="s">
        <v>113</v>
      </c>
      <c r="AM7" s="63">
        <v>2</v>
      </c>
      <c r="AN7" s="64" t="s">
        <v>114</v>
      </c>
      <c r="AO7" s="587"/>
      <c r="AP7" s="61">
        <v>7.06</v>
      </c>
      <c r="AQ7" s="62" t="s">
        <v>113</v>
      </c>
      <c r="AR7" s="63">
        <v>2</v>
      </c>
      <c r="AS7" s="64" t="s">
        <v>114</v>
      </c>
      <c r="AT7" s="587"/>
      <c r="AU7" s="61">
        <v>27.126999999999999</v>
      </c>
      <c r="AV7" s="62" t="s">
        <v>113</v>
      </c>
      <c r="AW7" s="63">
        <v>2</v>
      </c>
      <c r="AX7" s="64" t="s">
        <v>114</v>
      </c>
      <c r="AY7" s="587"/>
      <c r="AZ7" s="61">
        <v>5.0090000000000003</v>
      </c>
      <c r="BA7" s="62" t="s">
        <v>113</v>
      </c>
      <c r="BB7" s="63">
        <v>2</v>
      </c>
      <c r="BC7" s="64" t="s">
        <v>114</v>
      </c>
      <c r="BD7" s="587"/>
      <c r="BE7" s="61">
        <v>6.9341999999999997</v>
      </c>
      <c r="BF7" s="62" t="s">
        <v>113</v>
      </c>
      <c r="BG7" s="63">
        <v>1</v>
      </c>
      <c r="BH7" s="64" t="s">
        <v>114</v>
      </c>
      <c r="BI7" s="587"/>
      <c r="BJ7" s="61">
        <v>1.0920000000000001</v>
      </c>
      <c r="BK7" s="62" t="s">
        <v>113</v>
      </c>
      <c r="BL7" s="63">
        <v>2</v>
      </c>
      <c r="BM7" s="64" t="s">
        <v>114</v>
      </c>
      <c r="BN7" s="587"/>
      <c r="BO7" s="61">
        <v>0.152</v>
      </c>
      <c r="BP7" s="62" t="s">
        <v>113</v>
      </c>
      <c r="BQ7" s="63">
        <v>2</v>
      </c>
      <c r="BR7" s="64" t="s">
        <v>114</v>
      </c>
      <c r="BW7" s="27"/>
      <c r="BX7" s="27"/>
      <c r="BY7" s="27"/>
      <c r="BZ7" s="27"/>
      <c r="CA7" s="27"/>
      <c r="CB7" s="27"/>
      <c r="CC7" s="27"/>
      <c r="CD7" s="27"/>
      <c r="CE7" s="27"/>
    </row>
    <row r="8" spans="1:83" ht="44.25" customHeight="1" thickTop="1" x14ac:dyDescent="0.25">
      <c r="A8" s="582" t="s">
        <v>110</v>
      </c>
      <c r="B8" s="583"/>
      <c r="C8" s="584">
        <f t="shared" ref="C8" si="12">B13/((72*3.1415/59)*(129.67/3.281))</f>
        <v>1.2064945434762213E-2</v>
      </c>
      <c r="D8" s="584"/>
      <c r="E8" s="585"/>
      <c r="F8" s="582" t="s">
        <v>110</v>
      </c>
      <c r="G8" s="583"/>
      <c r="H8" s="584">
        <f t="shared" ref="H8" si="13">G13/((72*3.1415/59)*(129.67/3.281))</f>
        <v>1.7602412185180973E-2</v>
      </c>
      <c r="I8" s="584"/>
      <c r="J8" s="585"/>
      <c r="K8" s="582" t="s">
        <v>110</v>
      </c>
      <c r="L8" s="583"/>
      <c r="M8" s="584">
        <f t="shared" ref="M8" si="14">L13/((72*3.1415/59)*(129.67/3.281))</f>
        <v>1.5087781873012263E-2</v>
      </c>
      <c r="N8" s="584"/>
      <c r="O8" s="585"/>
      <c r="P8" s="582" t="s">
        <v>110</v>
      </c>
      <c r="Q8" s="583"/>
      <c r="R8" s="584">
        <f t="shared" ref="R8" si="15">Q13/((72*3.1415/59)*(129.67/3.281))</f>
        <v>1.5048181395655275E-3</v>
      </c>
      <c r="S8" s="584"/>
      <c r="T8" s="585"/>
      <c r="U8" s="582" t="s">
        <v>110</v>
      </c>
      <c r="V8" s="583"/>
      <c r="W8" s="584">
        <f t="shared" ref="W8" si="16">V13/((72*3.1415/59)*(129.67/3.281))</f>
        <v>1.3398161505780795E-3</v>
      </c>
      <c r="X8" s="584"/>
      <c r="Y8" s="585"/>
      <c r="Z8" s="582" t="s">
        <v>110</v>
      </c>
      <c r="AA8" s="583"/>
      <c r="AB8" s="584">
        <f t="shared" ref="AB8" si="17">AA13/((72*3.1415/59)*(129.67/3.281))</f>
        <v>7.71153295731738E-3</v>
      </c>
      <c r="AC8" s="584"/>
      <c r="AD8" s="585"/>
      <c r="AE8" s="582" t="s">
        <v>110</v>
      </c>
      <c r="AF8" s="583"/>
      <c r="AG8" s="584">
        <f t="shared" ref="AG8" si="18">AF13/((72*3.1415/59)*(129.67/3.281))</f>
        <v>5.6998287075824107E-3</v>
      </c>
      <c r="AH8" s="584"/>
      <c r="AI8" s="585"/>
      <c r="AJ8" s="582" t="s">
        <v>110</v>
      </c>
      <c r="AK8" s="583"/>
      <c r="AL8" s="584">
        <f t="shared" ref="AL8" si="19">AK13/((72*3.1415/59)*(129.67/3.281))</f>
        <v>2.0117042497349684E-3</v>
      </c>
      <c r="AM8" s="584"/>
      <c r="AN8" s="585"/>
      <c r="AO8" s="582" t="s">
        <v>110</v>
      </c>
      <c r="AP8" s="583"/>
      <c r="AQ8" s="584">
        <f t="shared" ref="AQ8" si="20">AP13/((72*3.1415/59)*(129.67/3.281))</f>
        <v>3.682844394199844E-3</v>
      </c>
      <c r="AR8" s="584"/>
      <c r="AS8" s="585"/>
      <c r="AT8" s="582" t="s">
        <v>110</v>
      </c>
      <c r="AU8" s="583"/>
      <c r="AV8" s="584">
        <f t="shared" ref="AV8" si="21">AU13/((72*3.1415/59)*(129.67/3.281))</f>
        <v>4.3586925410924312E-3</v>
      </c>
      <c r="AW8" s="584"/>
      <c r="AX8" s="585"/>
      <c r="AY8" s="582" t="s">
        <v>110</v>
      </c>
      <c r="AZ8" s="583"/>
      <c r="BA8" s="584">
        <f t="shared" ref="BA8" si="22">AZ13/((72*3.1415/59)*(129.67/3.281))</f>
        <v>1.1064373373542326E-2</v>
      </c>
      <c r="BB8" s="584"/>
      <c r="BC8" s="585"/>
      <c r="BD8" s="582" t="s">
        <v>110</v>
      </c>
      <c r="BE8" s="583"/>
      <c r="BF8" s="584">
        <f t="shared" ref="BF8" si="23">BE13/((72*3.1415/59)*(129.67/3.281))</f>
        <v>1.6764202081124737E-3</v>
      </c>
      <c r="BG8" s="584"/>
      <c r="BH8" s="585"/>
      <c r="BI8" s="582" t="s">
        <v>110</v>
      </c>
      <c r="BJ8" s="583"/>
      <c r="BK8" s="584">
        <f t="shared" ref="BK8" si="24">BJ13/((72*3.1415/59)*(129.67/3.281))</f>
        <v>1.3398161505780795E-3</v>
      </c>
      <c r="BL8" s="584"/>
      <c r="BM8" s="585"/>
      <c r="BN8" s="582" t="s">
        <v>110</v>
      </c>
      <c r="BO8" s="583"/>
      <c r="BP8" s="584">
        <f t="shared" ref="BP8" si="25">BO13/((72*3.1415/59)*(129.67/3.281))</f>
        <v>1.2738153549831E-2</v>
      </c>
      <c r="BQ8" s="584"/>
      <c r="BR8" s="585"/>
    </row>
    <row r="9" spans="1:83" ht="6.75" customHeight="1" x14ac:dyDescent="0.25">
      <c r="A9" s="1603" t="s">
        <v>489</v>
      </c>
      <c r="B9" s="1604"/>
      <c r="C9" s="1609" t="s">
        <v>504</v>
      </c>
      <c r="D9" s="1610"/>
      <c r="E9" s="1611"/>
      <c r="F9" s="1603" t="s">
        <v>489</v>
      </c>
      <c r="G9" s="1604"/>
      <c r="H9" s="1609" t="s">
        <v>504</v>
      </c>
      <c r="I9" s="1610"/>
      <c r="J9" s="1611"/>
      <c r="K9" s="1603" t="s">
        <v>489</v>
      </c>
      <c r="L9" s="1604"/>
      <c r="M9" s="1609" t="s">
        <v>504</v>
      </c>
      <c r="N9" s="1610"/>
      <c r="O9" s="1611"/>
      <c r="P9" s="1603" t="s">
        <v>489</v>
      </c>
      <c r="Q9" s="1604"/>
      <c r="R9" s="1609" t="s">
        <v>504</v>
      </c>
      <c r="S9" s="1610"/>
      <c r="T9" s="1611"/>
      <c r="U9" s="1603" t="s">
        <v>489</v>
      </c>
      <c r="V9" s="1604"/>
      <c r="W9" s="1609" t="s">
        <v>504</v>
      </c>
      <c r="X9" s="1610"/>
      <c r="Y9" s="1611"/>
      <c r="Z9" s="1603" t="s">
        <v>489</v>
      </c>
      <c r="AA9" s="1604"/>
      <c r="AB9" s="1609" t="s">
        <v>504</v>
      </c>
      <c r="AC9" s="1610"/>
      <c r="AD9" s="1611"/>
      <c r="AE9" s="1603" t="s">
        <v>489</v>
      </c>
      <c r="AF9" s="1604"/>
      <c r="AG9" s="1609" t="s">
        <v>504</v>
      </c>
      <c r="AH9" s="1610"/>
      <c r="AI9" s="1611"/>
      <c r="AJ9" s="1603" t="s">
        <v>489</v>
      </c>
      <c r="AK9" s="1604"/>
      <c r="AL9" s="1609" t="s">
        <v>504</v>
      </c>
      <c r="AM9" s="1610"/>
      <c r="AN9" s="1611"/>
      <c r="AO9" s="1603" t="s">
        <v>489</v>
      </c>
      <c r="AP9" s="1604"/>
      <c r="AQ9" s="1609" t="s">
        <v>504</v>
      </c>
      <c r="AR9" s="1610"/>
      <c r="AS9" s="1611"/>
      <c r="AT9" s="1603" t="s">
        <v>489</v>
      </c>
      <c r="AU9" s="1604"/>
      <c r="AV9" s="1609" t="s">
        <v>504</v>
      </c>
      <c r="AW9" s="1610"/>
      <c r="AX9" s="1611"/>
      <c r="AY9" s="1603" t="s">
        <v>489</v>
      </c>
      <c r="AZ9" s="1604"/>
      <c r="BA9" s="1609" t="s">
        <v>504</v>
      </c>
      <c r="BB9" s="1610"/>
      <c r="BC9" s="1611"/>
      <c r="BD9" s="1603" t="s">
        <v>489</v>
      </c>
      <c r="BE9" s="1604"/>
      <c r="BF9" s="1609" t="s">
        <v>504</v>
      </c>
      <c r="BG9" s="1610"/>
      <c r="BH9" s="1611"/>
      <c r="BI9" s="1603" t="s">
        <v>489</v>
      </c>
      <c r="BJ9" s="1604"/>
      <c r="BK9" s="1609" t="s">
        <v>504</v>
      </c>
      <c r="BL9" s="1610"/>
      <c r="BM9" s="1611"/>
      <c r="BN9" s="1603" t="s">
        <v>489</v>
      </c>
      <c r="BO9" s="1604"/>
      <c r="BP9" s="1609" t="s">
        <v>504</v>
      </c>
      <c r="BQ9" s="1610"/>
      <c r="BR9" s="1611"/>
    </row>
    <row r="10" spans="1:83" ht="15.75" customHeight="1" x14ac:dyDescent="0.25">
      <c r="A10" s="1605"/>
      <c r="B10" s="1606"/>
      <c r="C10" s="1612"/>
      <c r="D10" s="1613"/>
      <c r="E10" s="1614"/>
      <c r="F10" s="1605"/>
      <c r="G10" s="1606"/>
      <c r="H10" s="1612"/>
      <c r="I10" s="1613"/>
      <c r="J10" s="1614"/>
      <c r="K10" s="1605"/>
      <c r="L10" s="1606"/>
      <c r="M10" s="1612"/>
      <c r="N10" s="1613"/>
      <c r="O10" s="1614"/>
      <c r="P10" s="1605"/>
      <c r="Q10" s="1606"/>
      <c r="R10" s="1612"/>
      <c r="S10" s="1613"/>
      <c r="T10" s="1614"/>
      <c r="U10" s="1605"/>
      <c r="V10" s="1606"/>
      <c r="W10" s="1612"/>
      <c r="X10" s="1613"/>
      <c r="Y10" s="1614"/>
      <c r="Z10" s="1605"/>
      <c r="AA10" s="1606"/>
      <c r="AB10" s="1612"/>
      <c r="AC10" s="1613"/>
      <c r="AD10" s="1614"/>
      <c r="AE10" s="1605"/>
      <c r="AF10" s="1606"/>
      <c r="AG10" s="1612"/>
      <c r="AH10" s="1613"/>
      <c r="AI10" s="1614"/>
      <c r="AJ10" s="1605"/>
      <c r="AK10" s="1606"/>
      <c r="AL10" s="1612"/>
      <c r="AM10" s="1613"/>
      <c r="AN10" s="1614"/>
      <c r="AO10" s="1605"/>
      <c r="AP10" s="1606"/>
      <c r="AQ10" s="1612"/>
      <c r="AR10" s="1613"/>
      <c r="AS10" s="1614"/>
      <c r="AT10" s="1605"/>
      <c r="AU10" s="1606"/>
      <c r="AV10" s="1612"/>
      <c r="AW10" s="1613"/>
      <c r="AX10" s="1614"/>
      <c r="AY10" s="1605"/>
      <c r="AZ10" s="1606"/>
      <c r="BA10" s="1612"/>
      <c r="BB10" s="1613"/>
      <c r="BC10" s="1614"/>
      <c r="BD10" s="1605"/>
      <c r="BE10" s="1606"/>
      <c r="BF10" s="1612"/>
      <c r="BG10" s="1613"/>
      <c r="BH10" s="1614"/>
      <c r="BI10" s="1605"/>
      <c r="BJ10" s="1606"/>
      <c r="BK10" s="1612"/>
      <c r="BL10" s="1613"/>
      <c r="BM10" s="1614"/>
      <c r="BN10" s="1605"/>
      <c r="BO10" s="1606"/>
      <c r="BP10" s="1612"/>
      <c r="BQ10" s="1613"/>
      <c r="BR10" s="1614"/>
    </row>
    <row r="11" spans="1:83" ht="6" customHeight="1" x14ac:dyDescent="0.25">
      <c r="A11" s="1607"/>
      <c r="B11" s="1608"/>
      <c r="C11" s="1615"/>
      <c r="D11" s="1616"/>
      <c r="E11" s="1617"/>
      <c r="F11" s="1607"/>
      <c r="G11" s="1608"/>
      <c r="H11" s="1615"/>
      <c r="I11" s="1616"/>
      <c r="J11" s="1617"/>
      <c r="K11" s="1607"/>
      <c r="L11" s="1608"/>
      <c r="M11" s="1615"/>
      <c r="N11" s="1616"/>
      <c r="O11" s="1617"/>
      <c r="P11" s="1607"/>
      <c r="Q11" s="1608"/>
      <c r="R11" s="1615"/>
      <c r="S11" s="1616"/>
      <c r="T11" s="1617"/>
      <c r="U11" s="1607"/>
      <c r="V11" s="1608"/>
      <c r="W11" s="1615"/>
      <c r="X11" s="1616"/>
      <c r="Y11" s="1617"/>
      <c r="Z11" s="1607"/>
      <c r="AA11" s="1608"/>
      <c r="AB11" s="1615"/>
      <c r="AC11" s="1616"/>
      <c r="AD11" s="1617"/>
      <c r="AE11" s="1607"/>
      <c r="AF11" s="1608"/>
      <c r="AG11" s="1615"/>
      <c r="AH11" s="1616"/>
      <c r="AI11" s="1617"/>
      <c r="AJ11" s="1607"/>
      <c r="AK11" s="1608"/>
      <c r="AL11" s="1615"/>
      <c r="AM11" s="1616"/>
      <c r="AN11" s="1617"/>
      <c r="AO11" s="1607"/>
      <c r="AP11" s="1608"/>
      <c r="AQ11" s="1615"/>
      <c r="AR11" s="1616"/>
      <c r="AS11" s="1617"/>
      <c r="AT11" s="1607"/>
      <c r="AU11" s="1608"/>
      <c r="AV11" s="1615"/>
      <c r="AW11" s="1616"/>
      <c r="AX11" s="1617"/>
      <c r="AY11" s="1607"/>
      <c r="AZ11" s="1608"/>
      <c r="BA11" s="1615"/>
      <c r="BB11" s="1616"/>
      <c r="BC11" s="1617"/>
      <c r="BD11" s="1607"/>
      <c r="BE11" s="1608"/>
      <c r="BF11" s="1615"/>
      <c r="BG11" s="1616"/>
      <c r="BH11" s="1617"/>
      <c r="BI11" s="1607"/>
      <c r="BJ11" s="1608"/>
      <c r="BK11" s="1615"/>
      <c r="BL11" s="1616"/>
      <c r="BM11" s="1617"/>
      <c r="BN11" s="1607"/>
      <c r="BO11" s="1608"/>
      <c r="BP11" s="1615"/>
      <c r="BQ11" s="1616"/>
      <c r="BR11" s="1617"/>
    </row>
    <row r="12" spans="1:83" s="22" customFormat="1" ht="111.75" customHeight="1" x14ac:dyDescent="1.35">
      <c r="A12" s="586" t="s">
        <v>500</v>
      </c>
      <c r="B12" s="588">
        <v>15</v>
      </c>
      <c r="C12" s="589"/>
      <c r="D12" s="589"/>
      <c r="E12" s="590"/>
      <c r="F12" s="586" t="s">
        <v>500</v>
      </c>
      <c r="G12" s="588">
        <v>16</v>
      </c>
      <c r="H12" s="589"/>
      <c r="I12" s="589"/>
      <c r="J12" s="590"/>
      <c r="K12" s="586" t="s">
        <v>500</v>
      </c>
      <c r="L12" s="588">
        <v>17</v>
      </c>
      <c r="M12" s="589"/>
      <c r="N12" s="589"/>
      <c r="O12" s="590"/>
      <c r="P12" s="586" t="s">
        <v>500</v>
      </c>
      <c r="Q12" s="588">
        <v>18</v>
      </c>
      <c r="R12" s="589"/>
      <c r="S12" s="589"/>
      <c r="T12" s="590"/>
      <c r="U12" s="586" t="s">
        <v>500</v>
      </c>
      <c r="V12" s="588">
        <v>19</v>
      </c>
      <c r="W12" s="589"/>
      <c r="X12" s="589"/>
      <c r="Y12" s="590"/>
      <c r="Z12" s="586" t="s">
        <v>500</v>
      </c>
      <c r="AA12" s="588">
        <v>20</v>
      </c>
      <c r="AB12" s="589"/>
      <c r="AC12" s="589"/>
      <c r="AD12" s="590"/>
      <c r="AE12" s="586" t="s">
        <v>500</v>
      </c>
      <c r="AF12" s="588">
        <v>21</v>
      </c>
      <c r="AG12" s="589"/>
      <c r="AH12" s="589"/>
      <c r="AI12" s="590"/>
      <c r="AJ12" s="586" t="s">
        <v>500</v>
      </c>
      <c r="AK12" s="588">
        <v>22</v>
      </c>
      <c r="AL12" s="589"/>
      <c r="AM12" s="589"/>
      <c r="AN12" s="590"/>
      <c r="AO12" s="586" t="s">
        <v>500</v>
      </c>
      <c r="AP12" s="588">
        <v>23</v>
      </c>
      <c r="AQ12" s="589"/>
      <c r="AR12" s="589"/>
      <c r="AS12" s="590"/>
      <c r="AT12" s="586" t="s">
        <v>500</v>
      </c>
      <c r="AU12" s="588">
        <v>24</v>
      </c>
      <c r="AV12" s="589"/>
      <c r="AW12" s="589"/>
      <c r="AX12" s="590"/>
      <c r="AY12" s="586" t="s">
        <v>500</v>
      </c>
      <c r="AZ12" s="588">
        <v>25</v>
      </c>
      <c r="BA12" s="589"/>
      <c r="BB12" s="589"/>
      <c r="BC12" s="590"/>
      <c r="BD12" s="586" t="s">
        <v>500</v>
      </c>
      <c r="BE12" s="588">
        <v>26</v>
      </c>
      <c r="BF12" s="589"/>
      <c r="BG12" s="589"/>
      <c r="BH12" s="590"/>
      <c r="BI12" s="586" t="s">
        <v>500</v>
      </c>
      <c r="BJ12" s="588">
        <v>27</v>
      </c>
      <c r="BK12" s="589"/>
      <c r="BL12" s="589"/>
      <c r="BM12" s="590"/>
      <c r="BN12" s="586" t="s">
        <v>500</v>
      </c>
      <c r="BO12" s="1618">
        <v>28</v>
      </c>
      <c r="BP12" s="1619"/>
      <c r="BQ12" s="1619"/>
      <c r="BR12" s="1620"/>
    </row>
    <row r="13" spans="1:83" ht="50.25" customHeight="1" thickBot="1" x14ac:dyDescent="0.3">
      <c r="A13" s="587"/>
      <c r="B13" s="61">
        <v>1.8280000000000001</v>
      </c>
      <c r="C13" s="62" t="s">
        <v>113</v>
      </c>
      <c r="D13" s="63">
        <v>2</v>
      </c>
      <c r="E13" s="64" t="s">
        <v>114</v>
      </c>
      <c r="F13" s="587"/>
      <c r="G13" s="61">
        <v>2.6669999999999998</v>
      </c>
      <c r="H13" s="62" t="s">
        <v>113</v>
      </c>
      <c r="I13" s="63">
        <v>1</v>
      </c>
      <c r="J13" s="64" t="s">
        <v>114</v>
      </c>
      <c r="K13" s="587"/>
      <c r="L13" s="61">
        <v>2.286</v>
      </c>
      <c r="M13" s="62" t="s">
        <v>113</v>
      </c>
      <c r="N13" s="63">
        <v>2</v>
      </c>
      <c r="O13" s="64" t="s">
        <v>114</v>
      </c>
      <c r="P13" s="587"/>
      <c r="Q13" s="61">
        <v>0.22800000000000001</v>
      </c>
      <c r="R13" s="62" t="s">
        <v>113</v>
      </c>
      <c r="S13" s="63">
        <v>2</v>
      </c>
      <c r="T13" s="64" t="s">
        <v>114</v>
      </c>
      <c r="U13" s="587"/>
      <c r="V13" s="61">
        <v>0.20300000000000001</v>
      </c>
      <c r="W13" s="62" t="s">
        <v>113</v>
      </c>
      <c r="X13" s="63">
        <v>2</v>
      </c>
      <c r="Y13" s="64" t="s">
        <v>114</v>
      </c>
      <c r="Z13" s="587"/>
      <c r="AA13" s="61">
        <v>1.1684000000000001</v>
      </c>
      <c r="AB13" s="62" t="s">
        <v>113</v>
      </c>
      <c r="AC13" s="63">
        <v>1</v>
      </c>
      <c r="AD13" s="64" t="s">
        <v>114</v>
      </c>
      <c r="AE13" s="587"/>
      <c r="AF13" s="61">
        <v>0.86360000000000003</v>
      </c>
      <c r="AG13" s="62" t="s">
        <v>113</v>
      </c>
      <c r="AH13" s="63">
        <v>2</v>
      </c>
      <c r="AI13" s="64" t="s">
        <v>114</v>
      </c>
      <c r="AJ13" s="587"/>
      <c r="AK13" s="61">
        <v>0.30480000000000002</v>
      </c>
      <c r="AL13" s="62" t="s">
        <v>113</v>
      </c>
      <c r="AM13" s="63">
        <v>2</v>
      </c>
      <c r="AN13" s="64" t="s">
        <v>114</v>
      </c>
      <c r="AO13" s="587"/>
      <c r="AP13" s="61">
        <v>0.55800000000000005</v>
      </c>
      <c r="AQ13" s="62" t="s">
        <v>113</v>
      </c>
      <c r="AR13" s="63">
        <v>1</v>
      </c>
      <c r="AS13" s="64" t="s">
        <v>114</v>
      </c>
      <c r="AT13" s="587"/>
      <c r="AU13" s="61">
        <v>0.66039999999999999</v>
      </c>
      <c r="AV13" s="62" t="s">
        <v>113</v>
      </c>
      <c r="AW13" s="63">
        <v>2</v>
      </c>
      <c r="AX13" s="64" t="s">
        <v>114</v>
      </c>
      <c r="AY13" s="1621"/>
      <c r="AZ13" s="387">
        <v>1.6763999999999999</v>
      </c>
      <c r="BA13" s="388" t="s">
        <v>113</v>
      </c>
      <c r="BB13" s="389">
        <v>2</v>
      </c>
      <c r="BC13" s="390" t="s">
        <v>114</v>
      </c>
      <c r="BD13" s="587"/>
      <c r="BE13" s="61">
        <v>0.254</v>
      </c>
      <c r="BF13" s="62" t="s">
        <v>113</v>
      </c>
      <c r="BG13" s="63">
        <v>1</v>
      </c>
      <c r="BH13" s="64" t="s">
        <v>114</v>
      </c>
      <c r="BI13" s="587"/>
      <c r="BJ13" s="61">
        <v>0.20300000000000001</v>
      </c>
      <c r="BK13" s="62" t="s">
        <v>113</v>
      </c>
      <c r="BL13" s="63">
        <v>2</v>
      </c>
      <c r="BM13" s="64" t="s">
        <v>114</v>
      </c>
      <c r="BN13" s="587"/>
      <c r="BO13" s="391">
        <v>1.93</v>
      </c>
      <c r="BP13" s="392" t="s">
        <v>113</v>
      </c>
      <c r="BQ13" s="393">
        <v>2</v>
      </c>
      <c r="BR13" s="394" t="s">
        <v>114</v>
      </c>
      <c r="BW13" s="27"/>
      <c r="BX13" s="27"/>
      <c r="BY13" s="27"/>
      <c r="BZ13" s="27"/>
      <c r="CA13" s="27"/>
      <c r="CB13" s="27"/>
      <c r="CC13" s="27"/>
      <c r="CD13" s="27"/>
      <c r="CE13" s="27"/>
    </row>
    <row r="14" spans="1:83" ht="42.75" customHeight="1" thickTop="1" x14ac:dyDescent="0.25">
      <c r="A14" s="582" t="s">
        <v>110</v>
      </c>
      <c r="B14" s="583"/>
      <c r="C14" s="584">
        <f t="shared" ref="C14" si="26">B19/((72*3.1415/59)*(129.67/3.281))</f>
        <v>9.5503151225935015E-3</v>
      </c>
      <c r="D14" s="584"/>
      <c r="E14" s="585"/>
      <c r="F14" s="582" t="s">
        <v>110</v>
      </c>
      <c r="G14" s="583"/>
      <c r="H14" s="584">
        <f t="shared" ref="H14" si="27">G19/((72*3.1415/59)*(129.67/3.281))</f>
        <v>1.341136166489979E-2</v>
      </c>
      <c r="I14" s="584"/>
      <c r="J14" s="585"/>
      <c r="K14" s="582" t="s">
        <v>110</v>
      </c>
      <c r="L14" s="583"/>
      <c r="M14" s="584">
        <f t="shared" ref="M14" si="28">L19/((72*3.1415/59)*(129.67/3.281))</f>
        <v>5.1942626133248699E-3</v>
      </c>
      <c r="N14" s="584"/>
      <c r="O14" s="585"/>
      <c r="P14" s="582" t="s">
        <v>110</v>
      </c>
      <c r="Q14" s="583"/>
      <c r="R14" s="584">
        <f t="shared" ref="R14" si="29">Q19/((72*3.1415/59)*(129.67/3.281))</f>
        <v>1.0561447311108585E-2</v>
      </c>
      <c r="S14" s="584"/>
      <c r="T14" s="585"/>
      <c r="U14" s="582" t="s">
        <v>110</v>
      </c>
      <c r="V14" s="583"/>
      <c r="W14" s="584">
        <f t="shared" ref="W14" si="30">V19/((72*3.1415/59)*(129.67/3.281))</f>
        <v>5.6327718992579115E-2</v>
      </c>
      <c r="X14" s="584"/>
      <c r="Y14" s="585"/>
      <c r="Z14" s="582" t="s">
        <v>110</v>
      </c>
      <c r="AA14" s="583"/>
      <c r="AB14" s="584">
        <f t="shared" ref="AB14" si="31">AA19/((72*3.1415/59)*(129.67/3.281))</f>
        <v>6.1974747063685536E-3</v>
      </c>
      <c r="AC14" s="584"/>
      <c r="AD14" s="585"/>
      <c r="AE14" s="582" t="s">
        <v>110</v>
      </c>
      <c r="AF14" s="583"/>
      <c r="AG14" s="584">
        <f t="shared" ref="AG14" si="32">AF19/((72*3.1415/59)*(129.67/3.281))</f>
        <v>1.0896731352731078E-2</v>
      </c>
      <c r="AH14" s="584"/>
      <c r="AI14" s="585"/>
      <c r="AJ14" s="582" t="s">
        <v>110</v>
      </c>
      <c r="AK14" s="583"/>
      <c r="AL14" s="584">
        <f t="shared" ref="AL14" si="33">AK19/((72*3.1415/59)*(129.67/3.281))</f>
        <v>1.8440622289237211E-2</v>
      </c>
      <c r="AM14" s="584"/>
      <c r="AN14" s="585"/>
      <c r="AO14" s="582" t="s">
        <v>110</v>
      </c>
      <c r="AP14" s="583"/>
      <c r="AQ14" s="584">
        <f t="shared" ref="AQ14" si="34">AP19/((72*3.1415/59)*(129.67/3.281))</f>
        <v>3.1516699912514504E-2</v>
      </c>
      <c r="AR14" s="584"/>
      <c r="AS14" s="585"/>
      <c r="AT14" s="582" t="s">
        <v>110</v>
      </c>
      <c r="AU14" s="583"/>
      <c r="AV14" s="584">
        <f t="shared" ref="AV14" si="35">AU19/((72*3.1415/59)*(129.67/3.281))</f>
        <v>2.6655081308988329E-2</v>
      </c>
      <c r="AW14" s="584"/>
      <c r="AX14" s="584"/>
      <c r="AY14" s="1622" t="s">
        <v>110</v>
      </c>
      <c r="AZ14" s="1623"/>
      <c r="BA14" s="1624">
        <f t="shared" ref="BA14" si="36">AZ19/((72*3.1415/59)*(129.67/3.281))</f>
        <v>3.3696046183060727E-2</v>
      </c>
      <c r="BB14" s="1624"/>
      <c r="BC14" s="1625"/>
      <c r="BD14" s="583" t="s">
        <v>110</v>
      </c>
      <c r="BE14" s="583"/>
      <c r="BF14" s="584">
        <f t="shared" ref="BF14" si="37">BE19/((72*3.1415/59)*(129.67/3.281))</f>
        <v>2.3469882913574633E-3</v>
      </c>
      <c r="BG14" s="584"/>
      <c r="BH14" s="585"/>
      <c r="BI14" s="582" t="s">
        <v>110</v>
      </c>
      <c r="BJ14" s="583"/>
      <c r="BK14" s="584">
        <f t="shared" ref="BK14" si="38">BJ19/((72*3.1415/59)*(129.67/3.281))</f>
        <v>4.6939765827149265E-3</v>
      </c>
      <c r="BL14" s="584"/>
      <c r="BM14" s="585"/>
      <c r="BN14" s="582" t="s">
        <v>110</v>
      </c>
      <c r="BO14" s="583"/>
      <c r="BP14" s="584">
        <f t="shared" ref="BP14" si="39">BO19/((72*3.1415/59)*(129.67/3.281))</f>
        <v>5.0627890284996702E-2</v>
      </c>
      <c r="BQ14" s="584"/>
      <c r="BR14" s="585"/>
    </row>
    <row r="15" spans="1:83" ht="10.5" customHeight="1" x14ac:dyDescent="0.25">
      <c r="A15" s="1603" t="s">
        <v>489</v>
      </c>
      <c r="B15" s="1604"/>
      <c r="C15" s="1609" t="s">
        <v>504</v>
      </c>
      <c r="D15" s="1610"/>
      <c r="E15" s="1611"/>
      <c r="F15" s="1603" t="s">
        <v>489</v>
      </c>
      <c r="G15" s="1604"/>
      <c r="H15" s="1609" t="s">
        <v>504</v>
      </c>
      <c r="I15" s="1610"/>
      <c r="J15" s="1611"/>
      <c r="K15" s="1603" t="s">
        <v>489</v>
      </c>
      <c r="L15" s="1604"/>
      <c r="M15" s="1609" t="s">
        <v>504</v>
      </c>
      <c r="N15" s="1610"/>
      <c r="O15" s="1611"/>
      <c r="P15" s="1603" t="s">
        <v>489</v>
      </c>
      <c r="Q15" s="1604"/>
      <c r="R15" s="1609" t="s">
        <v>504</v>
      </c>
      <c r="S15" s="1610"/>
      <c r="T15" s="1611"/>
      <c r="U15" s="1603" t="s">
        <v>489</v>
      </c>
      <c r="V15" s="1604"/>
      <c r="W15" s="1647" t="s">
        <v>504</v>
      </c>
      <c r="X15" s="1648"/>
      <c r="Y15" s="1649"/>
      <c r="Z15" s="1603" t="s">
        <v>489</v>
      </c>
      <c r="AA15" s="1604"/>
      <c r="AB15" s="1609" t="s">
        <v>504</v>
      </c>
      <c r="AC15" s="1610"/>
      <c r="AD15" s="1611"/>
      <c r="AE15" s="1603" t="s">
        <v>489</v>
      </c>
      <c r="AF15" s="1604"/>
      <c r="AG15" s="1609" t="s">
        <v>504</v>
      </c>
      <c r="AH15" s="1610"/>
      <c r="AI15" s="1611"/>
      <c r="AJ15" s="1603" t="s">
        <v>489</v>
      </c>
      <c r="AK15" s="1604"/>
      <c r="AL15" s="1609" t="s">
        <v>504</v>
      </c>
      <c r="AM15" s="1610"/>
      <c r="AN15" s="1611"/>
      <c r="AO15" s="1603" t="s">
        <v>489</v>
      </c>
      <c r="AP15" s="1604"/>
      <c r="AQ15" s="1609" t="s">
        <v>504</v>
      </c>
      <c r="AR15" s="1610"/>
      <c r="AS15" s="1611"/>
      <c r="AT15" s="1603" t="s">
        <v>489</v>
      </c>
      <c r="AU15" s="1604"/>
      <c r="AV15" s="1609" t="s">
        <v>504</v>
      </c>
      <c r="AW15" s="1610"/>
      <c r="AX15" s="1610"/>
      <c r="AY15" s="1656" t="s">
        <v>489</v>
      </c>
      <c r="AZ15" s="1604"/>
      <c r="BA15" s="1609" t="s">
        <v>504</v>
      </c>
      <c r="BB15" s="1610"/>
      <c r="BC15" s="1659"/>
      <c r="BD15" s="1604" t="s">
        <v>489</v>
      </c>
      <c r="BE15" s="1604"/>
      <c r="BF15" s="1609" t="s">
        <v>504</v>
      </c>
      <c r="BG15" s="1610"/>
      <c r="BH15" s="1611"/>
      <c r="BI15" s="1603" t="s">
        <v>489</v>
      </c>
      <c r="BJ15" s="1604"/>
      <c r="BK15" s="1609" t="s">
        <v>504</v>
      </c>
      <c r="BL15" s="1610"/>
      <c r="BM15" s="1611"/>
      <c r="BN15" s="1603" t="s">
        <v>489</v>
      </c>
      <c r="BO15" s="1604"/>
      <c r="BP15" s="1609" t="s">
        <v>504</v>
      </c>
      <c r="BQ15" s="1610"/>
      <c r="BR15" s="1611"/>
    </row>
    <row r="16" spans="1:83" ht="12" customHeight="1" x14ac:dyDescent="0.25">
      <c r="A16" s="1605"/>
      <c r="B16" s="1606"/>
      <c r="C16" s="1612"/>
      <c r="D16" s="1613"/>
      <c r="E16" s="1614"/>
      <c r="F16" s="1605"/>
      <c r="G16" s="1606"/>
      <c r="H16" s="1612"/>
      <c r="I16" s="1613"/>
      <c r="J16" s="1614"/>
      <c r="K16" s="1605"/>
      <c r="L16" s="1606"/>
      <c r="M16" s="1612"/>
      <c r="N16" s="1613"/>
      <c r="O16" s="1614"/>
      <c r="P16" s="1605"/>
      <c r="Q16" s="1606"/>
      <c r="R16" s="1612"/>
      <c r="S16" s="1613"/>
      <c r="T16" s="1614"/>
      <c r="U16" s="1605"/>
      <c r="V16" s="1606"/>
      <c r="W16" s="1650"/>
      <c r="X16" s="1651"/>
      <c r="Y16" s="1652"/>
      <c r="Z16" s="1605"/>
      <c r="AA16" s="1606"/>
      <c r="AB16" s="1612"/>
      <c r="AC16" s="1613"/>
      <c r="AD16" s="1614"/>
      <c r="AE16" s="1605"/>
      <c r="AF16" s="1606"/>
      <c r="AG16" s="1612"/>
      <c r="AH16" s="1613"/>
      <c r="AI16" s="1614"/>
      <c r="AJ16" s="1605"/>
      <c r="AK16" s="1606"/>
      <c r="AL16" s="1612"/>
      <c r="AM16" s="1613"/>
      <c r="AN16" s="1614"/>
      <c r="AO16" s="1605"/>
      <c r="AP16" s="1606"/>
      <c r="AQ16" s="1612"/>
      <c r="AR16" s="1613"/>
      <c r="AS16" s="1614"/>
      <c r="AT16" s="1605"/>
      <c r="AU16" s="1606"/>
      <c r="AV16" s="1612"/>
      <c r="AW16" s="1613"/>
      <c r="AX16" s="1613"/>
      <c r="AY16" s="1657"/>
      <c r="AZ16" s="1606"/>
      <c r="BA16" s="1612"/>
      <c r="BB16" s="1613"/>
      <c r="BC16" s="1660"/>
      <c r="BD16" s="1606"/>
      <c r="BE16" s="1606"/>
      <c r="BF16" s="1612"/>
      <c r="BG16" s="1613"/>
      <c r="BH16" s="1614"/>
      <c r="BI16" s="1605"/>
      <c r="BJ16" s="1606"/>
      <c r="BK16" s="1612"/>
      <c r="BL16" s="1613"/>
      <c r="BM16" s="1614"/>
      <c r="BN16" s="1605"/>
      <c r="BO16" s="1606"/>
      <c r="BP16" s="1612"/>
      <c r="BQ16" s="1613"/>
      <c r="BR16" s="1614"/>
    </row>
    <row r="17" spans="1:138" ht="6" customHeight="1" x14ac:dyDescent="0.25">
      <c r="A17" s="1607"/>
      <c r="B17" s="1608"/>
      <c r="C17" s="1615"/>
      <c r="D17" s="1616"/>
      <c r="E17" s="1617"/>
      <c r="F17" s="1607"/>
      <c r="G17" s="1608"/>
      <c r="H17" s="1615"/>
      <c r="I17" s="1616"/>
      <c r="J17" s="1617"/>
      <c r="K17" s="1607"/>
      <c r="L17" s="1608"/>
      <c r="M17" s="1615"/>
      <c r="N17" s="1616"/>
      <c r="O17" s="1617"/>
      <c r="P17" s="1607"/>
      <c r="Q17" s="1608"/>
      <c r="R17" s="1615"/>
      <c r="S17" s="1616"/>
      <c r="T17" s="1617"/>
      <c r="U17" s="1607"/>
      <c r="V17" s="1608"/>
      <c r="W17" s="1653"/>
      <c r="X17" s="1654"/>
      <c r="Y17" s="1655"/>
      <c r="Z17" s="1607"/>
      <c r="AA17" s="1608"/>
      <c r="AB17" s="1615"/>
      <c r="AC17" s="1616"/>
      <c r="AD17" s="1617"/>
      <c r="AE17" s="1607"/>
      <c r="AF17" s="1608"/>
      <c r="AG17" s="1615"/>
      <c r="AH17" s="1616"/>
      <c r="AI17" s="1617"/>
      <c r="AJ17" s="1607"/>
      <c r="AK17" s="1608"/>
      <c r="AL17" s="1615"/>
      <c r="AM17" s="1616"/>
      <c r="AN17" s="1617"/>
      <c r="AO17" s="1607"/>
      <c r="AP17" s="1608"/>
      <c r="AQ17" s="1615"/>
      <c r="AR17" s="1616"/>
      <c r="AS17" s="1617"/>
      <c r="AT17" s="1607"/>
      <c r="AU17" s="1608"/>
      <c r="AV17" s="1615"/>
      <c r="AW17" s="1616"/>
      <c r="AX17" s="1616"/>
      <c r="AY17" s="1658"/>
      <c r="AZ17" s="1608"/>
      <c r="BA17" s="1615"/>
      <c r="BB17" s="1616"/>
      <c r="BC17" s="1661"/>
      <c r="BD17" s="1608"/>
      <c r="BE17" s="1608"/>
      <c r="BF17" s="1615"/>
      <c r="BG17" s="1616"/>
      <c r="BH17" s="1617"/>
      <c r="BI17" s="1607"/>
      <c r="BJ17" s="1608"/>
      <c r="BK17" s="1615"/>
      <c r="BL17" s="1616"/>
      <c r="BM17" s="1617"/>
      <c r="BN17" s="1607"/>
      <c r="BO17" s="1608"/>
      <c r="BP17" s="1615"/>
      <c r="BQ17" s="1616"/>
      <c r="BR17" s="1617"/>
    </row>
    <row r="18" spans="1:138" s="22" customFormat="1" ht="111.75" customHeight="1" x14ac:dyDescent="1.35">
      <c r="A18" s="586" t="s">
        <v>500</v>
      </c>
      <c r="B18" s="588">
        <v>29</v>
      </c>
      <c r="C18" s="589"/>
      <c r="D18" s="589"/>
      <c r="E18" s="590"/>
      <c r="F18" s="586" t="s">
        <v>500</v>
      </c>
      <c r="G18" s="588">
        <v>30</v>
      </c>
      <c r="H18" s="589"/>
      <c r="I18" s="589"/>
      <c r="J18" s="590"/>
      <c r="K18" s="586" t="s">
        <v>500</v>
      </c>
      <c r="L18" s="588">
        <v>31</v>
      </c>
      <c r="M18" s="589"/>
      <c r="N18" s="589"/>
      <c r="O18" s="590"/>
      <c r="P18" s="586" t="s">
        <v>500</v>
      </c>
      <c r="Q18" s="588">
        <v>32</v>
      </c>
      <c r="R18" s="589"/>
      <c r="S18" s="589"/>
      <c r="T18" s="590"/>
      <c r="U18" s="586" t="s">
        <v>500</v>
      </c>
      <c r="V18" s="588">
        <v>33</v>
      </c>
      <c r="W18" s="589"/>
      <c r="X18" s="589"/>
      <c r="Y18" s="590"/>
      <c r="Z18" s="586" t="s">
        <v>500</v>
      </c>
      <c r="AA18" s="588">
        <v>34</v>
      </c>
      <c r="AB18" s="589"/>
      <c r="AC18" s="589"/>
      <c r="AD18" s="590"/>
      <c r="AE18" s="586" t="s">
        <v>500</v>
      </c>
      <c r="AF18" s="588">
        <v>35</v>
      </c>
      <c r="AG18" s="589"/>
      <c r="AH18" s="589"/>
      <c r="AI18" s="590"/>
      <c r="AJ18" s="586" t="s">
        <v>500</v>
      </c>
      <c r="AK18" s="588">
        <v>36</v>
      </c>
      <c r="AL18" s="589"/>
      <c r="AM18" s="589"/>
      <c r="AN18" s="590"/>
      <c r="AO18" s="586" t="s">
        <v>500</v>
      </c>
      <c r="AP18" s="588">
        <v>37</v>
      </c>
      <c r="AQ18" s="589"/>
      <c r="AR18" s="589"/>
      <c r="AS18" s="590"/>
      <c r="AT18" s="586" t="s">
        <v>500</v>
      </c>
      <c r="AU18" s="588">
        <v>38</v>
      </c>
      <c r="AV18" s="589"/>
      <c r="AW18" s="589"/>
      <c r="AX18" s="589"/>
      <c r="AY18" s="1626" t="s">
        <v>500</v>
      </c>
      <c r="AZ18" s="588">
        <v>39</v>
      </c>
      <c r="BA18" s="589"/>
      <c r="BB18" s="589"/>
      <c r="BC18" s="1628"/>
      <c r="BD18" s="1629" t="s">
        <v>500</v>
      </c>
      <c r="BE18" s="588">
        <v>40</v>
      </c>
      <c r="BF18" s="589"/>
      <c r="BG18" s="589"/>
      <c r="BH18" s="590"/>
      <c r="BI18" s="586" t="s">
        <v>500</v>
      </c>
      <c r="BJ18" s="588">
        <v>41</v>
      </c>
      <c r="BK18" s="589"/>
      <c r="BL18" s="589"/>
      <c r="BM18" s="590"/>
      <c r="BN18" s="586" t="s">
        <v>500</v>
      </c>
      <c r="BO18" s="588">
        <v>42</v>
      </c>
      <c r="BP18" s="589"/>
      <c r="BQ18" s="589"/>
      <c r="BR18" s="590"/>
    </row>
    <row r="19" spans="1:138" ht="50.25" customHeight="1" thickBot="1" x14ac:dyDescent="0.3">
      <c r="A19" s="587"/>
      <c r="B19" s="61">
        <v>1.4470000000000001</v>
      </c>
      <c r="C19" s="62" t="s">
        <v>113</v>
      </c>
      <c r="D19" s="63">
        <v>2</v>
      </c>
      <c r="E19" s="64" t="s">
        <v>114</v>
      </c>
      <c r="F19" s="587"/>
      <c r="G19" s="61">
        <v>2.032</v>
      </c>
      <c r="H19" s="62" t="s">
        <v>113</v>
      </c>
      <c r="I19" s="63">
        <v>1</v>
      </c>
      <c r="J19" s="64" t="s">
        <v>114</v>
      </c>
      <c r="K19" s="587"/>
      <c r="L19" s="61">
        <v>0.78700000000000003</v>
      </c>
      <c r="M19" s="62" t="s">
        <v>113</v>
      </c>
      <c r="N19" s="63">
        <v>2</v>
      </c>
      <c r="O19" s="64" t="s">
        <v>114</v>
      </c>
      <c r="P19" s="587"/>
      <c r="Q19" s="61">
        <v>1.6002000000000001</v>
      </c>
      <c r="R19" s="62" t="s">
        <v>113</v>
      </c>
      <c r="S19" s="63">
        <v>2</v>
      </c>
      <c r="T19" s="64" t="s">
        <v>114</v>
      </c>
      <c r="U19" s="587"/>
      <c r="V19" s="61">
        <v>8.5343999999999998</v>
      </c>
      <c r="W19" s="62" t="s">
        <v>113</v>
      </c>
      <c r="X19" s="63">
        <v>2</v>
      </c>
      <c r="Y19" s="64" t="s">
        <v>114</v>
      </c>
      <c r="Z19" s="587"/>
      <c r="AA19" s="61">
        <v>0.93899999999999995</v>
      </c>
      <c r="AB19" s="62" t="s">
        <v>113</v>
      </c>
      <c r="AC19" s="63">
        <v>1</v>
      </c>
      <c r="AD19" s="64" t="s">
        <v>114</v>
      </c>
      <c r="AE19" s="587"/>
      <c r="AF19" s="61">
        <v>1.651</v>
      </c>
      <c r="AG19" s="62" t="s">
        <v>113</v>
      </c>
      <c r="AH19" s="63">
        <v>2</v>
      </c>
      <c r="AI19" s="64" t="s">
        <v>114</v>
      </c>
      <c r="AJ19" s="587"/>
      <c r="AK19" s="61">
        <v>2.794</v>
      </c>
      <c r="AL19" s="62" t="s">
        <v>113</v>
      </c>
      <c r="AM19" s="63">
        <v>2</v>
      </c>
      <c r="AN19" s="64" t="s">
        <v>114</v>
      </c>
      <c r="AO19" s="587"/>
      <c r="AP19" s="61">
        <v>4.7751999999999999</v>
      </c>
      <c r="AQ19" s="62" t="s">
        <v>113</v>
      </c>
      <c r="AR19" s="63">
        <v>1</v>
      </c>
      <c r="AS19" s="64" t="s">
        <v>114</v>
      </c>
      <c r="AT19" s="587"/>
      <c r="AU19" s="61">
        <v>4.0385999999999997</v>
      </c>
      <c r="AV19" s="62" t="s">
        <v>113</v>
      </c>
      <c r="AW19" s="63">
        <v>2</v>
      </c>
      <c r="AX19" s="395" t="s">
        <v>114</v>
      </c>
      <c r="AY19" s="1627"/>
      <c r="AZ19" s="396">
        <v>5.1054000000000004</v>
      </c>
      <c r="BA19" s="397" t="s">
        <v>113</v>
      </c>
      <c r="BB19" s="398">
        <v>1</v>
      </c>
      <c r="BC19" s="399" t="s">
        <v>114</v>
      </c>
      <c r="BD19" s="1630"/>
      <c r="BE19" s="61">
        <v>0.35560000000000003</v>
      </c>
      <c r="BF19" s="62" t="s">
        <v>113</v>
      </c>
      <c r="BG19" s="63">
        <v>2</v>
      </c>
      <c r="BH19" s="64" t="s">
        <v>114</v>
      </c>
      <c r="BI19" s="587"/>
      <c r="BJ19" s="61">
        <v>0.71120000000000005</v>
      </c>
      <c r="BK19" s="62" t="s">
        <v>113</v>
      </c>
      <c r="BL19" s="63">
        <v>2</v>
      </c>
      <c r="BM19" s="64" t="s">
        <v>114</v>
      </c>
      <c r="BN19" s="587"/>
      <c r="BO19" s="61">
        <v>7.6707999999999998</v>
      </c>
      <c r="BP19" s="62" t="s">
        <v>113</v>
      </c>
      <c r="BQ19" s="63">
        <v>1</v>
      </c>
      <c r="BR19" s="64" t="s">
        <v>114</v>
      </c>
      <c r="BW19" s="27"/>
      <c r="BX19" s="27"/>
      <c r="BY19" s="27"/>
      <c r="BZ19" s="27"/>
      <c r="CA19" s="27"/>
      <c r="CB19" s="27"/>
      <c r="CC19" s="27"/>
      <c r="CD19" s="27"/>
      <c r="CE19" s="27"/>
    </row>
    <row r="20" spans="1:138" ht="42.75" customHeight="1" thickTop="1" x14ac:dyDescent="0.25">
      <c r="A20" s="582" t="s">
        <v>110</v>
      </c>
      <c r="B20" s="583"/>
      <c r="C20" s="584">
        <f t="shared" ref="C20" si="40">B25/((72*3.1415/59)*(129.67/3.281))</f>
        <v>8.0468169989398736E-3</v>
      </c>
      <c r="D20" s="584"/>
      <c r="E20" s="585"/>
      <c r="F20" s="582" t="s">
        <v>110</v>
      </c>
      <c r="G20" s="583"/>
      <c r="H20" s="584">
        <f t="shared" ref="H20" si="41">G25/((72*3.1415/59)*(129.67/3.281))</f>
        <v>1.0393805290297337E-2</v>
      </c>
      <c r="I20" s="584"/>
      <c r="J20" s="585"/>
      <c r="K20" s="582" t="s">
        <v>110</v>
      </c>
      <c r="L20" s="583"/>
      <c r="M20" s="584">
        <f t="shared" ref="M20" si="42">L25/((72*3.1415/59)*(129.67/3.281))</f>
        <v>7.5438909365061315E-3</v>
      </c>
      <c r="N20" s="584"/>
      <c r="O20" s="585"/>
      <c r="P20" s="582" t="s">
        <v>110</v>
      </c>
      <c r="Q20" s="583"/>
      <c r="R20" s="584">
        <f t="shared" ref="R20" si="43">Q25/((72*3.1415/59)*(129.67/3.281))</f>
        <v>1.6428918039502242E-2</v>
      </c>
      <c r="S20" s="584"/>
      <c r="T20" s="585"/>
      <c r="U20" s="582" t="s">
        <v>110</v>
      </c>
      <c r="V20" s="583"/>
      <c r="W20" s="584">
        <f t="shared" ref="W20" si="44">V25/((72*3.1415/59)*(129.67/3.281))</f>
        <v>6.6000795594979274E-17</v>
      </c>
      <c r="X20" s="584"/>
      <c r="Y20" s="585"/>
      <c r="Z20" s="582" t="s">
        <v>110</v>
      </c>
      <c r="AA20" s="583"/>
      <c r="AB20" s="584">
        <f t="shared" ref="AB20" si="45">AA25/((72*3.1415/59)*(129.67/3.281))</f>
        <v>2.6822723329799577E-3</v>
      </c>
      <c r="AC20" s="584"/>
      <c r="AD20" s="585"/>
      <c r="AE20" s="582" t="s">
        <v>110</v>
      </c>
      <c r="AF20" s="583"/>
      <c r="AG20" s="584">
        <f t="shared" ref="AG20" si="46">AF25/((72*3.1415/59)*(129.67/3.281))</f>
        <v>1.0896731352731078E-2</v>
      </c>
      <c r="AH20" s="584"/>
      <c r="AI20" s="585"/>
      <c r="AJ20" s="582" t="s">
        <v>110</v>
      </c>
      <c r="AK20" s="583"/>
      <c r="AL20" s="584">
        <f t="shared" ref="AL20" si="47">AK25/((72*3.1415/59)*(129.67/3.281))</f>
        <v>0.21658821082448401</v>
      </c>
      <c r="AM20" s="584"/>
      <c r="AN20" s="585"/>
      <c r="AO20" s="582" t="s">
        <v>110</v>
      </c>
      <c r="AP20" s="583"/>
      <c r="AQ20" s="584">
        <f t="shared" ref="AQ20" si="48">AP25/((72*3.1415/59)*(129.67/3.281))</f>
        <v>3.8226340792700098E-2</v>
      </c>
      <c r="AR20" s="584"/>
      <c r="AS20" s="585"/>
      <c r="AT20" s="582" t="s">
        <v>110</v>
      </c>
      <c r="AU20" s="583"/>
      <c r="AV20" s="584">
        <f t="shared" ref="AV20" si="49">AU25/((72*3.1415/59)*(129.67/3.281))</f>
        <v>2.0619968559783427E-2</v>
      </c>
      <c r="AW20" s="584"/>
      <c r="AX20" s="585"/>
      <c r="AY20" s="1640" t="s">
        <v>110</v>
      </c>
      <c r="AZ20" s="1641"/>
      <c r="BA20" s="1642">
        <f t="shared" ref="BA20" si="50">AZ25/((72*3.1415/59)*(129.67/3.281))</f>
        <v>3.7719454682530656E-2</v>
      </c>
      <c r="BB20" s="1642"/>
      <c r="BC20" s="1643"/>
      <c r="BD20" s="582" t="s">
        <v>110</v>
      </c>
      <c r="BE20" s="583"/>
      <c r="BF20" s="584">
        <f t="shared" ref="BF20" si="51">BE25/((72*3.1415/59)*(129.67/3.281))</f>
        <v>9.3711889633487283E-2</v>
      </c>
      <c r="BG20" s="584"/>
      <c r="BH20" s="585"/>
      <c r="BI20" s="582" t="s">
        <v>110</v>
      </c>
      <c r="BJ20" s="583"/>
      <c r="BK20" s="584">
        <f t="shared" ref="BK20" si="52">BJ25/((72*3.1415/59)*(129.67/3.281))</f>
        <v>1.9278832393293446E-2</v>
      </c>
      <c r="BL20" s="584"/>
      <c r="BM20" s="585"/>
      <c r="BN20" s="582" t="s">
        <v>110</v>
      </c>
      <c r="BO20" s="583"/>
      <c r="BP20" s="584">
        <f t="shared" ref="BP20" si="53">BO25/((72*3.1415/59)*(129.67/3.281))</f>
        <v>4.2413431265245584E-2</v>
      </c>
      <c r="BQ20" s="584"/>
      <c r="BR20" s="585"/>
    </row>
    <row r="21" spans="1:138" ht="6.75" customHeight="1" x14ac:dyDescent="0.25">
      <c r="A21" s="1603" t="s">
        <v>489</v>
      </c>
      <c r="B21" s="1604"/>
      <c r="C21" s="1609" t="s">
        <v>504</v>
      </c>
      <c r="D21" s="1610"/>
      <c r="E21" s="1611"/>
      <c r="F21" s="1603" t="s">
        <v>489</v>
      </c>
      <c r="G21" s="1604"/>
      <c r="H21" s="1609" t="s">
        <v>504</v>
      </c>
      <c r="I21" s="1610"/>
      <c r="J21" s="1611"/>
      <c r="K21" s="1603" t="s">
        <v>489</v>
      </c>
      <c r="L21" s="1604"/>
      <c r="M21" s="1609" t="s">
        <v>504</v>
      </c>
      <c r="N21" s="1610"/>
      <c r="O21" s="1611"/>
      <c r="P21" s="1603" t="s">
        <v>489</v>
      </c>
      <c r="Q21" s="1604"/>
      <c r="R21" s="1609" t="s">
        <v>504</v>
      </c>
      <c r="S21" s="1610"/>
      <c r="T21" s="1611"/>
      <c r="U21" s="1603" t="s">
        <v>489</v>
      </c>
      <c r="V21" s="1604"/>
      <c r="W21" s="1609" t="s">
        <v>504</v>
      </c>
      <c r="X21" s="1610"/>
      <c r="Y21" s="1611"/>
      <c r="Z21" s="1603" t="s">
        <v>489</v>
      </c>
      <c r="AA21" s="1604"/>
      <c r="AB21" s="1609" t="s">
        <v>504</v>
      </c>
      <c r="AC21" s="1610"/>
      <c r="AD21" s="1611"/>
      <c r="AE21" s="1603" t="s">
        <v>489</v>
      </c>
      <c r="AF21" s="1604"/>
      <c r="AG21" s="1609" t="s">
        <v>504</v>
      </c>
      <c r="AH21" s="1610"/>
      <c r="AI21" s="1611"/>
      <c r="AJ21" s="591" t="s">
        <v>489</v>
      </c>
      <c r="AK21" s="592"/>
      <c r="AL21" s="1631" t="s">
        <v>504</v>
      </c>
      <c r="AM21" s="1632"/>
      <c r="AN21" s="1633"/>
      <c r="AO21" s="591" t="s">
        <v>489</v>
      </c>
      <c r="AP21" s="592"/>
      <c r="AQ21" s="1631" t="s">
        <v>504</v>
      </c>
      <c r="AR21" s="1632"/>
      <c r="AS21" s="1633"/>
      <c r="AT21" s="591" t="s">
        <v>489</v>
      </c>
      <c r="AU21" s="592"/>
      <c r="AV21" s="1631" t="s">
        <v>504</v>
      </c>
      <c r="AW21" s="1632"/>
      <c r="AX21" s="1633"/>
      <c r="AY21" s="591" t="s">
        <v>489</v>
      </c>
      <c r="AZ21" s="592"/>
      <c r="BA21" s="1631" t="s">
        <v>504</v>
      </c>
      <c r="BB21" s="1632"/>
      <c r="BC21" s="1633"/>
      <c r="BD21" s="591" t="s">
        <v>489</v>
      </c>
      <c r="BE21" s="592"/>
      <c r="BF21" s="1631" t="s">
        <v>504</v>
      </c>
      <c r="BG21" s="1632"/>
      <c r="BH21" s="1633"/>
      <c r="BI21" s="591" t="s">
        <v>489</v>
      </c>
      <c r="BJ21" s="592"/>
      <c r="BK21" s="1631" t="s">
        <v>504</v>
      </c>
      <c r="BL21" s="1632"/>
      <c r="BM21" s="1633"/>
      <c r="BN21" s="591" t="s">
        <v>489</v>
      </c>
      <c r="BO21" s="592"/>
      <c r="BP21" s="1631" t="s">
        <v>504</v>
      </c>
      <c r="BQ21" s="1632"/>
      <c r="BR21" s="1633"/>
    </row>
    <row r="22" spans="1:138" ht="18" customHeight="1" x14ac:dyDescent="0.25">
      <c r="A22" s="1605"/>
      <c r="B22" s="1606"/>
      <c r="C22" s="1612"/>
      <c r="D22" s="1613"/>
      <c r="E22" s="1614"/>
      <c r="F22" s="1605"/>
      <c r="G22" s="1606"/>
      <c r="H22" s="1612"/>
      <c r="I22" s="1613"/>
      <c r="J22" s="1614"/>
      <c r="K22" s="1605"/>
      <c r="L22" s="1606"/>
      <c r="M22" s="1612"/>
      <c r="N22" s="1613"/>
      <c r="O22" s="1614"/>
      <c r="P22" s="1605"/>
      <c r="Q22" s="1606"/>
      <c r="R22" s="1612"/>
      <c r="S22" s="1613"/>
      <c r="T22" s="1614"/>
      <c r="U22" s="1605"/>
      <c r="V22" s="1606"/>
      <c r="W22" s="1612"/>
      <c r="X22" s="1613"/>
      <c r="Y22" s="1614"/>
      <c r="Z22" s="1605"/>
      <c r="AA22" s="1606"/>
      <c r="AB22" s="1612"/>
      <c r="AC22" s="1613"/>
      <c r="AD22" s="1614"/>
      <c r="AE22" s="1605"/>
      <c r="AF22" s="1606"/>
      <c r="AG22" s="1612"/>
      <c r="AH22" s="1613"/>
      <c r="AI22" s="1614"/>
      <c r="AJ22" s="594"/>
      <c r="AK22" s="595"/>
      <c r="AL22" s="1634"/>
      <c r="AM22" s="1635"/>
      <c r="AN22" s="1636"/>
      <c r="AO22" s="594"/>
      <c r="AP22" s="595"/>
      <c r="AQ22" s="1634"/>
      <c r="AR22" s="1635"/>
      <c r="AS22" s="1636"/>
      <c r="AT22" s="594"/>
      <c r="AU22" s="595"/>
      <c r="AV22" s="1634"/>
      <c r="AW22" s="1635"/>
      <c r="AX22" s="1636"/>
      <c r="AY22" s="594"/>
      <c r="AZ22" s="595"/>
      <c r="BA22" s="1634"/>
      <c r="BB22" s="1635"/>
      <c r="BC22" s="1636"/>
      <c r="BD22" s="594"/>
      <c r="BE22" s="595"/>
      <c r="BF22" s="1634"/>
      <c r="BG22" s="1635"/>
      <c r="BH22" s="1636"/>
      <c r="BI22" s="594"/>
      <c r="BJ22" s="595"/>
      <c r="BK22" s="1634"/>
      <c r="BL22" s="1635"/>
      <c r="BM22" s="1636"/>
      <c r="BN22" s="594"/>
      <c r="BO22" s="595"/>
      <c r="BP22" s="1634"/>
      <c r="BQ22" s="1635"/>
      <c r="BR22" s="1636"/>
    </row>
    <row r="23" spans="1:138" ht="6" customHeight="1" x14ac:dyDescent="0.25">
      <c r="A23" s="1607"/>
      <c r="B23" s="1608"/>
      <c r="C23" s="1615"/>
      <c r="D23" s="1616"/>
      <c r="E23" s="1617"/>
      <c r="F23" s="1607"/>
      <c r="G23" s="1608"/>
      <c r="H23" s="1615"/>
      <c r="I23" s="1616"/>
      <c r="J23" s="1617"/>
      <c r="K23" s="1607"/>
      <c r="L23" s="1608"/>
      <c r="M23" s="1615"/>
      <c r="N23" s="1616"/>
      <c r="O23" s="1617"/>
      <c r="P23" s="1607"/>
      <c r="Q23" s="1608"/>
      <c r="R23" s="1615"/>
      <c r="S23" s="1616"/>
      <c r="T23" s="1617"/>
      <c r="U23" s="1607"/>
      <c r="V23" s="1608"/>
      <c r="W23" s="1615"/>
      <c r="X23" s="1616"/>
      <c r="Y23" s="1617"/>
      <c r="Z23" s="1607"/>
      <c r="AA23" s="1608"/>
      <c r="AB23" s="1615"/>
      <c r="AC23" s="1616"/>
      <c r="AD23" s="1617"/>
      <c r="AE23" s="1607"/>
      <c r="AF23" s="1608"/>
      <c r="AG23" s="1615"/>
      <c r="AH23" s="1616"/>
      <c r="AI23" s="1617"/>
      <c r="AJ23" s="597"/>
      <c r="AK23" s="598"/>
      <c r="AL23" s="1637"/>
      <c r="AM23" s="1638"/>
      <c r="AN23" s="1639"/>
      <c r="AO23" s="597"/>
      <c r="AP23" s="598"/>
      <c r="AQ23" s="1637"/>
      <c r="AR23" s="1638"/>
      <c r="AS23" s="1639"/>
      <c r="AT23" s="597"/>
      <c r="AU23" s="598"/>
      <c r="AV23" s="1637"/>
      <c r="AW23" s="1638"/>
      <c r="AX23" s="1639"/>
      <c r="AY23" s="597"/>
      <c r="AZ23" s="598"/>
      <c r="BA23" s="1637"/>
      <c r="BB23" s="1638"/>
      <c r="BC23" s="1639"/>
      <c r="BD23" s="597"/>
      <c r="BE23" s="598"/>
      <c r="BF23" s="1637"/>
      <c r="BG23" s="1638"/>
      <c r="BH23" s="1639"/>
      <c r="BI23" s="597"/>
      <c r="BJ23" s="598"/>
      <c r="BK23" s="1637"/>
      <c r="BL23" s="1638"/>
      <c r="BM23" s="1639"/>
      <c r="BN23" s="597"/>
      <c r="BO23" s="598"/>
      <c r="BP23" s="1637"/>
      <c r="BQ23" s="1638"/>
      <c r="BR23" s="1639"/>
    </row>
    <row r="24" spans="1:138" s="22" customFormat="1" ht="111.75" customHeight="1" x14ac:dyDescent="1.35">
      <c r="A24" s="586" t="s">
        <v>500</v>
      </c>
      <c r="B24" s="588">
        <v>43</v>
      </c>
      <c r="C24" s="589"/>
      <c r="D24" s="589"/>
      <c r="E24" s="590"/>
      <c r="F24" s="586" t="s">
        <v>500</v>
      </c>
      <c r="G24" s="588">
        <v>44</v>
      </c>
      <c r="H24" s="589"/>
      <c r="I24" s="589"/>
      <c r="J24" s="590"/>
      <c r="K24" s="586" t="s">
        <v>500</v>
      </c>
      <c r="L24" s="588">
        <v>45</v>
      </c>
      <c r="M24" s="589"/>
      <c r="N24" s="589"/>
      <c r="O24" s="590"/>
      <c r="P24" s="586" t="s">
        <v>500</v>
      </c>
      <c r="Q24" s="588">
        <v>46</v>
      </c>
      <c r="R24" s="589"/>
      <c r="S24" s="589"/>
      <c r="T24" s="590"/>
      <c r="U24" s="586" t="s">
        <v>500</v>
      </c>
      <c r="V24" s="588">
        <v>47</v>
      </c>
      <c r="W24" s="589"/>
      <c r="X24" s="589"/>
      <c r="Y24" s="590"/>
      <c r="Z24" s="586" t="s">
        <v>500</v>
      </c>
      <c r="AA24" s="588">
        <v>48</v>
      </c>
      <c r="AB24" s="589"/>
      <c r="AC24" s="589"/>
      <c r="AD24" s="590"/>
      <c r="AE24" s="586" t="s">
        <v>500</v>
      </c>
      <c r="AF24" s="588">
        <v>49</v>
      </c>
      <c r="AG24" s="589"/>
      <c r="AH24" s="589"/>
      <c r="AI24" s="590"/>
      <c r="AJ24" s="586" t="s">
        <v>500</v>
      </c>
      <c r="AK24" s="588">
        <v>50</v>
      </c>
      <c r="AL24" s="589"/>
      <c r="AM24" s="589"/>
      <c r="AN24" s="590"/>
      <c r="AO24" s="586" t="s">
        <v>500</v>
      </c>
      <c r="AP24" s="588">
        <v>51</v>
      </c>
      <c r="AQ24" s="589"/>
      <c r="AR24" s="589"/>
      <c r="AS24" s="590"/>
      <c r="AT24" s="586" t="s">
        <v>500</v>
      </c>
      <c r="AU24" s="588">
        <v>52</v>
      </c>
      <c r="AV24" s="589"/>
      <c r="AW24" s="589"/>
      <c r="AX24" s="590"/>
      <c r="AY24" s="586" t="s">
        <v>500</v>
      </c>
      <c r="AZ24" s="588">
        <v>53</v>
      </c>
      <c r="BA24" s="589"/>
      <c r="BB24" s="589"/>
      <c r="BC24" s="590"/>
      <c r="BD24" s="586" t="s">
        <v>500</v>
      </c>
      <c r="BE24" s="588">
        <v>54</v>
      </c>
      <c r="BF24" s="589"/>
      <c r="BG24" s="589"/>
      <c r="BH24" s="590"/>
      <c r="BI24" s="586" t="s">
        <v>500</v>
      </c>
      <c r="BJ24" s="588">
        <v>55</v>
      </c>
      <c r="BK24" s="589"/>
      <c r="BL24" s="589"/>
      <c r="BM24" s="590"/>
      <c r="BN24" s="586" t="s">
        <v>500</v>
      </c>
      <c r="BO24" s="588">
        <v>56</v>
      </c>
      <c r="BP24" s="589"/>
      <c r="BQ24" s="589"/>
      <c r="BR24" s="590"/>
    </row>
    <row r="25" spans="1:138" ht="50.25" customHeight="1" thickBot="1" x14ac:dyDescent="0.3">
      <c r="A25" s="587"/>
      <c r="B25" s="61">
        <v>1.2192000000000001</v>
      </c>
      <c r="C25" s="62" t="s">
        <v>113</v>
      </c>
      <c r="D25" s="63">
        <v>2</v>
      </c>
      <c r="E25" s="64" t="s">
        <v>114</v>
      </c>
      <c r="F25" s="587"/>
      <c r="G25" s="61">
        <v>1.5748</v>
      </c>
      <c r="H25" s="62" t="s">
        <v>113</v>
      </c>
      <c r="I25" s="63">
        <v>2</v>
      </c>
      <c r="J25" s="64" t="s">
        <v>114</v>
      </c>
      <c r="K25" s="587"/>
      <c r="L25" s="61">
        <v>1.143</v>
      </c>
      <c r="M25" s="62" t="s">
        <v>113</v>
      </c>
      <c r="N25" s="63">
        <v>1</v>
      </c>
      <c r="O25" s="64" t="s">
        <v>114</v>
      </c>
      <c r="P25" s="587"/>
      <c r="Q25" s="61">
        <v>2.4891999999999999</v>
      </c>
      <c r="R25" s="62" t="s">
        <v>113</v>
      </c>
      <c r="S25" s="63">
        <v>1</v>
      </c>
      <c r="T25" s="64" t="s">
        <v>114</v>
      </c>
      <c r="U25" s="587"/>
      <c r="V25" s="61">
        <v>1E-14</v>
      </c>
      <c r="W25" s="62" t="s">
        <v>113</v>
      </c>
      <c r="X25" s="63">
        <v>2</v>
      </c>
      <c r="Y25" s="64" t="s">
        <v>114</v>
      </c>
      <c r="Z25" s="587"/>
      <c r="AA25" s="61">
        <v>0.40639999999999998</v>
      </c>
      <c r="AB25" s="62" t="s">
        <v>113</v>
      </c>
      <c r="AC25" s="63">
        <v>2</v>
      </c>
      <c r="AD25" s="64" t="s">
        <v>114</v>
      </c>
      <c r="AE25" s="587"/>
      <c r="AF25" s="61">
        <v>1.651</v>
      </c>
      <c r="AG25" s="62" t="s">
        <v>113</v>
      </c>
      <c r="AH25" s="63">
        <v>1</v>
      </c>
      <c r="AI25" s="64" t="s">
        <v>114</v>
      </c>
      <c r="AJ25" s="587"/>
      <c r="AK25" s="61">
        <v>32.816000000000003</v>
      </c>
      <c r="AL25" s="62" t="s">
        <v>113</v>
      </c>
      <c r="AM25" s="63">
        <v>2</v>
      </c>
      <c r="AN25" s="64" t="s">
        <v>114</v>
      </c>
      <c r="AO25" s="587"/>
      <c r="AP25" s="61">
        <v>5.7918000000000003</v>
      </c>
      <c r="AQ25" s="62" t="s">
        <v>113</v>
      </c>
      <c r="AR25" s="63">
        <v>1</v>
      </c>
      <c r="AS25" s="64" t="s">
        <v>114</v>
      </c>
      <c r="AT25" s="587"/>
      <c r="AU25" s="61">
        <v>3.1242000000000001</v>
      </c>
      <c r="AV25" s="62" t="s">
        <v>113</v>
      </c>
      <c r="AW25" s="63">
        <v>2</v>
      </c>
      <c r="AX25" s="64" t="s">
        <v>114</v>
      </c>
      <c r="AY25" s="587"/>
      <c r="AZ25" s="61">
        <v>5.7149999999999999</v>
      </c>
      <c r="BA25" s="62" t="s">
        <v>113</v>
      </c>
      <c r="BB25" s="63">
        <v>2</v>
      </c>
      <c r="BC25" s="64" t="s">
        <v>114</v>
      </c>
      <c r="BD25" s="587"/>
      <c r="BE25" s="61">
        <v>14.198600000000001</v>
      </c>
      <c r="BF25" s="62" t="s">
        <v>113</v>
      </c>
      <c r="BG25" s="63">
        <v>2</v>
      </c>
      <c r="BH25" s="64" t="s">
        <v>114</v>
      </c>
      <c r="BI25" s="587"/>
      <c r="BJ25" s="61">
        <v>2.9209999999999998</v>
      </c>
      <c r="BK25" s="62" t="s">
        <v>113</v>
      </c>
      <c r="BL25" s="63">
        <v>1</v>
      </c>
      <c r="BM25" s="64" t="s">
        <v>114</v>
      </c>
      <c r="BN25" s="587"/>
      <c r="BO25" s="61">
        <v>6.4261999999999997</v>
      </c>
      <c r="BP25" s="62" t="s">
        <v>113</v>
      </c>
      <c r="BQ25" s="63">
        <v>2</v>
      </c>
      <c r="BR25" s="64" t="s">
        <v>114</v>
      </c>
      <c r="BW25" s="27"/>
      <c r="BX25" s="27"/>
      <c r="BY25" s="27"/>
      <c r="BZ25" s="27"/>
      <c r="CA25" s="27"/>
      <c r="CB25" s="27"/>
      <c r="CC25" s="27"/>
      <c r="CD25" s="27"/>
      <c r="CE25" s="27"/>
    </row>
    <row r="26" spans="1:138" ht="42.75" customHeight="1" thickTop="1" x14ac:dyDescent="0.25">
      <c r="A26" s="582" t="s">
        <v>110</v>
      </c>
      <c r="B26" s="583"/>
      <c r="C26" s="584">
        <f t="shared" ref="C26" si="54">B31/((72*3.1415/59)*(129.67/3.281))</f>
        <v>7.3594847136137606E-2</v>
      </c>
      <c r="D26" s="584"/>
      <c r="E26" s="585"/>
      <c r="F26" s="582" t="s">
        <v>110</v>
      </c>
      <c r="G26" s="583"/>
      <c r="H26" s="584">
        <f t="shared" ref="H26" si="55">G31/((72*3.1415/59)*(129.67/3.281))</f>
        <v>6.2529153746683372E-2</v>
      </c>
      <c r="I26" s="584"/>
      <c r="J26" s="585"/>
      <c r="K26" s="582" t="s">
        <v>110</v>
      </c>
      <c r="L26" s="583"/>
      <c r="M26" s="584">
        <f t="shared" ref="M26" si="56">L31/((72*3.1415/59)*(129.67/3.281))</f>
        <v>4.2913717295855525E-2</v>
      </c>
      <c r="N26" s="584"/>
      <c r="O26" s="585"/>
      <c r="P26" s="582" t="s">
        <v>110</v>
      </c>
      <c r="Q26" s="583"/>
      <c r="R26" s="584">
        <f t="shared" ref="R26" si="57">Q31/((72*3.1415/59)*(129.67/3.281))</f>
        <v>2.9672637683590783E-2</v>
      </c>
      <c r="S26" s="584"/>
      <c r="T26" s="585"/>
      <c r="U26" s="582" t="s">
        <v>110</v>
      </c>
      <c r="V26" s="583"/>
      <c r="W26" s="584">
        <f t="shared" ref="W26" si="58">V31/((72*3.1415/59)*(129.67/3.281))</f>
        <v>3.5372466391173196E-2</v>
      </c>
      <c r="X26" s="584"/>
      <c r="Y26" s="585"/>
      <c r="Z26" s="582" t="s">
        <v>110</v>
      </c>
      <c r="AA26" s="583"/>
      <c r="AB26" s="584">
        <f t="shared" ref="AB26" si="59">AA31/((72*3.1415/59)*(129.67/3.281))</f>
        <v>1.2740793581654799E-2</v>
      </c>
      <c r="AC26" s="584"/>
      <c r="AD26" s="585"/>
      <c r="AE26" s="582" t="s">
        <v>110</v>
      </c>
      <c r="AF26" s="583"/>
      <c r="AG26" s="584">
        <f t="shared" ref="AG26" si="60">AF31/((72*3.1415/59)*(129.67/3.281))</f>
        <v>2.9337353641968291E-2</v>
      </c>
      <c r="AH26" s="584"/>
      <c r="AI26" s="585"/>
      <c r="AJ26" s="582" t="s">
        <v>110</v>
      </c>
      <c r="AK26" s="583"/>
      <c r="AL26" s="584">
        <f t="shared" ref="AL26" si="61">AK31/((72*3.1415/59)*(129.67/3.281))</f>
        <v>9.1694905320104714E-2</v>
      </c>
      <c r="AM26" s="584"/>
      <c r="AN26" s="585"/>
      <c r="AO26" s="582" t="s">
        <v>110</v>
      </c>
      <c r="AP26" s="583"/>
      <c r="AQ26" s="584">
        <f t="shared" ref="AQ26" si="62">AP31/((72*3.1415/59)*(129.67/3.281))</f>
        <v>3.4868220312827554E-2</v>
      </c>
      <c r="AR26" s="584"/>
      <c r="AS26" s="585"/>
      <c r="AT26" s="582" t="s">
        <v>110</v>
      </c>
      <c r="AU26" s="583"/>
      <c r="AV26" s="584">
        <f t="shared" ref="AV26" si="63">AU31/((72*3.1415/59)*(129.67/3.281))</f>
        <v>9.3711889633487283E-2</v>
      </c>
      <c r="AW26" s="584"/>
      <c r="AX26" s="585"/>
      <c r="AY26" s="582" t="s">
        <v>110</v>
      </c>
      <c r="AZ26" s="583"/>
      <c r="BA26" s="584">
        <f t="shared" ref="BA26" si="64">AZ31/((72*3.1415/59)*(129.67/3.281))</f>
        <v>2.7660933433855815E-2</v>
      </c>
      <c r="BB26" s="584"/>
      <c r="BC26" s="585"/>
      <c r="BD26" s="582" t="s">
        <v>110</v>
      </c>
      <c r="BE26" s="583"/>
      <c r="BF26" s="584">
        <f t="shared" ref="BF26" si="65">BE31/((72*3.1415/59)*(129.67/3.281))</f>
        <v>3.8222380744964396E-2</v>
      </c>
      <c r="BG26" s="584"/>
      <c r="BH26" s="585"/>
      <c r="BI26" s="582" t="s">
        <v>110</v>
      </c>
      <c r="BJ26" s="583"/>
      <c r="BK26" s="584">
        <f t="shared" ref="BK26" si="66">BJ31/((72*3.1415/59)*(129.67/3.281))</f>
        <v>2.7325649392233323E-2</v>
      </c>
      <c r="BL26" s="584"/>
      <c r="BM26" s="585"/>
      <c r="BN26" s="582" t="s">
        <v>110</v>
      </c>
      <c r="BO26" s="583"/>
      <c r="BP26" s="584">
        <f t="shared" ref="BP26" si="67">BO31/((72*3.1415/59)*(129.67/3.281))</f>
        <v>2.7996217475478306E-2</v>
      </c>
      <c r="BQ26" s="584"/>
      <c r="BR26" s="585"/>
    </row>
    <row r="27" spans="1:138" ht="6.75" customHeight="1" x14ac:dyDescent="0.25">
      <c r="A27" s="591" t="s">
        <v>489</v>
      </c>
      <c r="B27" s="592"/>
      <c r="C27" s="1631" t="s">
        <v>504</v>
      </c>
      <c r="D27" s="1632"/>
      <c r="E27" s="1633"/>
      <c r="F27" s="591" t="s">
        <v>489</v>
      </c>
      <c r="G27" s="592"/>
      <c r="H27" s="1631" t="s">
        <v>504</v>
      </c>
      <c r="I27" s="1632"/>
      <c r="J27" s="1633"/>
      <c r="K27" s="591" t="s">
        <v>489</v>
      </c>
      <c r="L27" s="592"/>
      <c r="M27" s="1631" t="s">
        <v>504</v>
      </c>
      <c r="N27" s="1632"/>
      <c r="O27" s="1633"/>
      <c r="P27" s="591" t="s">
        <v>489</v>
      </c>
      <c r="Q27" s="592"/>
      <c r="R27" s="1631" t="s">
        <v>504</v>
      </c>
      <c r="S27" s="1632"/>
      <c r="T27" s="1633"/>
      <c r="U27" s="591" t="s">
        <v>489</v>
      </c>
      <c r="V27" s="592"/>
      <c r="W27" s="1631" t="s">
        <v>504</v>
      </c>
      <c r="X27" s="1632"/>
      <c r="Y27" s="1633"/>
      <c r="Z27" s="591" t="s">
        <v>489</v>
      </c>
      <c r="AA27" s="592"/>
      <c r="AB27" s="1631" t="s">
        <v>504</v>
      </c>
      <c r="AC27" s="1632"/>
      <c r="AD27" s="1633"/>
      <c r="AE27" s="591" t="s">
        <v>489</v>
      </c>
      <c r="AF27" s="592"/>
      <c r="AG27" s="1631" t="s">
        <v>504</v>
      </c>
      <c r="AH27" s="1632"/>
      <c r="AI27" s="1633"/>
      <c r="AJ27" s="591" t="s">
        <v>489</v>
      </c>
      <c r="AK27" s="592"/>
      <c r="AL27" s="1631" t="s">
        <v>504</v>
      </c>
      <c r="AM27" s="1632"/>
      <c r="AN27" s="1633"/>
      <c r="AO27" s="591" t="s">
        <v>489</v>
      </c>
      <c r="AP27" s="592"/>
      <c r="AQ27" s="1631" t="s">
        <v>504</v>
      </c>
      <c r="AR27" s="1632"/>
      <c r="AS27" s="1633"/>
      <c r="AT27" s="591" t="s">
        <v>489</v>
      </c>
      <c r="AU27" s="592"/>
      <c r="AV27" s="1631" t="s">
        <v>504</v>
      </c>
      <c r="AW27" s="1632"/>
      <c r="AX27" s="1633"/>
      <c r="AY27" s="591" t="s">
        <v>489</v>
      </c>
      <c r="AZ27" s="592"/>
      <c r="BA27" s="1631" t="s">
        <v>504</v>
      </c>
      <c r="BB27" s="1632"/>
      <c r="BC27" s="1633"/>
      <c r="BD27" s="591" t="s">
        <v>489</v>
      </c>
      <c r="BE27" s="592"/>
      <c r="BF27" s="1631" t="s">
        <v>504</v>
      </c>
      <c r="BG27" s="1632"/>
      <c r="BH27" s="1633"/>
      <c r="BI27" s="591" t="s">
        <v>489</v>
      </c>
      <c r="BJ27" s="592"/>
      <c r="BK27" s="1631" t="s">
        <v>504</v>
      </c>
      <c r="BL27" s="1632"/>
      <c r="BM27" s="1633"/>
      <c r="BN27" s="591" t="s">
        <v>489</v>
      </c>
      <c r="BO27" s="592"/>
      <c r="BP27" s="1631" t="s">
        <v>504</v>
      </c>
      <c r="BQ27" s="1632"/>
      <c r="BR27" s="1633"/>
    </row>
    <row r="28" spans="1:138" ht="14.25" customHeight="1" x14ac:dyDescent="0.25">
      <c r="A28" s="594"/>
      <c r="B28" s="595"/>
      <c r="C28" s="1634"/>
      <c r="D28" s="1635"/>
      <c r="E28" s="1636"/>
      <c r="F28" s="594"/>
      <c r="G28" s="595"/>
      <c r="H28" s="1634"/>
      <c r="I28" s="1635"/>
      <c r="J28" s="1636"/>
      <c r="K28" s="594"/>
      <c r="L28" s="595"/>
      <c r="M28" s="1634"/>
      <c r="N28" s="1635"/>
      <c r="O28" s="1636"/>
      <c r="P28" s="594"/>
      <c r="Q28" s="595"/>
      <c r="R28" s="1634"/>
      <c r="S28" s="1635"/>
      <c r="T28" s="1636"/>
      <c r="U28" s="594"/>
      <c r="V28" s="595"/>
      <c r="W28" s="1634"/>
      <c r="X28" s="1635"/>
      <c r="Y28" s="1636"/>
      <c r="Z28" s="594"/>
      <c r="AA28" s="595"/>
      <c r="AB28" s="1634"/>
      <c r="AC28" s="1635"/>
      <c r="AD28" s="1636"/>
      <c r="AE28" s="594"/>
      <c r="AF28" s="595"/>
      <c r="AG28" s="1634"/>
      <c r="AH28" s="1635"/>
      <c r="AI28" s="1636"/>
      <c r="AJ28" s="594"/>
      <c r="AK28" s="595"/>
      <c r="AL28" s="1634"/>
      <c r="AM28" s="1635"/>
      <c r="AN28" s="1636"/>
      <c r="AO28" s="594"/>
      <c r="AP28" s="595"/>
      <c r="AQ28" s="1634"/>
      <c r="AR28" s="1635"/>
      <c r="AS28" s="1636"/>
      <c r="AT28" s="594"/>
      <c r="AU28" s="595"/>
      <c r="AV28" s="1634"/>
      <c r="AW28" s="1635"/>
      <c r="AX28" s="1636"/>
      <c r="AY28" s="594"/>
      <c r="AZ28" s="595"/>
      <c r="BA28" s="1634"/>
      <c r="BB28" s="1635"/>
      <c r="BC28" s="1636"/>
      <c r="BD28" s="594"/>
      <c r="BE28" s="595"/>
      <c r="BF28" s="1634"/>
      <c r="BG28" s="1635"/>
      <c r="BH28" s="1636"/>
      <c r="BI28" s="594"/>
      <c r="BJ28" s="595"/>
      <c r="BK28" s="1634"/>
      <c r="BL28" s="1635"/>
      <c r="BM28" s="1636"/>
      <c r="BN28" s="594"/>
      <c r="BO28" s="595"/>
      <c r="BP28" s="1634"/>
      <c r="BQ28" s="1635"/>
      <c r="BR28" s="1636"/>
      <c r="ED28" s="13"/>
      <c r="EE28" s="13"/>
      <c r="EF28" s="13"/>
      <c r="EG28" s="13"/>
      <c r="EH28" s="13"/>
    </row>
    <row r="29" spans="1:138" ht="6" customHeight="1" x14ac:dyDescent="0.25">
      <c r="A29" s="597"/>
      <c r="B29" s="598"/>
      <c r="C29" s="1637"/>
      <c r="D29" s="1638"/>
      <c r="E29" s="1639"/>
      <c r="F29" s="597"/>
      <c r="G29" s="598"/>
      <c r="H29" s="1637"/>
      <c r="I29" s="1638"/>
      <c r="J29" s="1639"/>
      <c r="K29" s="597"/>
      <c r="L29" s="598"/>
      <c r="M29" s="1637"/>
      <c r="N29" s="1638"/>
      <c r="O29" s="1639"/>
      <c r="P29" s="597"/>
      <c r="Q29" s="598"/>
      <c r="R29" s="1637"/>
      <c r="S29" s="1638"/>
      <c r="T29" s="1639"/>
      <c r="U29" s="597"/>
      <c r="V29" s="598"/>
      <c r="W29" s="1637"/>
      <c r="X29" s="1638"/>
      <c r="Y29" s="1639"/>
      <c r="Z29" s="597"/>
      <c r="AA29" s="598"/>
      <c r="AB29" s="1637"/>
      <c r="AC29" s="1638"/>
      <c r="AD29" s="1639"/>
      <c r="AE29" s="597"/>
      <c r="AF29" s="598"/>
      <c r="AG29" s="1637"/>
      <c r="AH29" s="1638"/>
      <c r="AI29" s="1639"/>
      <c r="AJ29" s="597"/>
      <c r="AK29" s="598"/>
      <c r="AL29" s="1637"/>
      <c r="AM29" s="1638"/>
      <c r="AN29" s="1639"/>
      <c r="AO29" s="597"/>
      <c r="AP29" s="598"/>
      <c r="AQ29" s="1637"/>
      <c r="AR29" s="1638"/>
      <c r="AS29" s="1639"/>
      <c r="AT29" s="597"/>
      <c r="AU29" s="598"/>
      <c r="AV29" s="1637"/>
      <c r="AW29" s="1638"/>
      <c r="AX29" s="1639"/>
      <c r="AY29" s="597"/>
      <c r="AZ29" s="598"/>
      <c r="BA29" s="1637"/>
      <c r="BB29" s="1638"/>
      <c r="BC29" s="1639"/>
      <c r="BD29" s="597"/>
      <c r="BE29" s="598"/>
      <c r="BF29" s="1637"/>
      <c r="BG29" s="1638"/>
      <c r="BH29" s="1639"/>
      <c r="BI29" s="597"/>
      <c r="BJ29" s="598"/>
      <c r="BK29" s="1637"/>
      <c r="BL29" s="1638"/>
      <c r="BM29" s="1639"/>
      <c r="BN29" s="597"/>
      <c r="BO29" s="598"/>
      <c r="BP29" s="1637"/>
      <c r="BQ29" s="1638"/>
      <c r="BR29" s="1639"/>
      <c r="ED29" s="13"/>
      <c r="EE29" s="13"/>
      <c r="EF29" s="13"/>
      <c r="EG29" s="13"/>
      <c r="EH29" s="13"/>
    </row>
    <row r="30" spans="1:138" s="22" customFormat="1" ht="111.75" customHeight="1" x14ac:dyDescent="1.35">
      <c r="A30" s="586" t="s">
        <v>500</v>
      </c>
      <c r="B30" s="588">
        <v>57</v>
      </c>
      <c r="C30" s="589"/>
      <c r="D30" s="589"/>
      <c r="E30" s="590"/>
      <c r="F30" s="586" t="s">
        <v>500</v>
      </c>
      <c r="G30" s="588">
        <v>58</v>
      </c>
      <c r="H30" s="589"/>
      <c r="I30" s="589"/>
      <c r="J30" s="590"/>
      <c r="K30" s="586" t="s">
        <v>500</v>
      </c>
      <c r="L30" s="588">
        <v>59</v>
      </c>
      <c r="M30" s="589"/>
      <c r="N30" s="589"/>
      <c r="O30" s="590"/>
      <c r="P30" s="586" t="s">
        <v>500</v>
      </c>
      <c r="Q30" s="588">
        <v>60</v>
      </c>
      <c r="R30" s="589"/>
      <c r="S30" s="589"/>
      <c r="T30" s="590"/>
      <c r="U30" s="586" t="s">
        <v>500</v>
      </c>
      <c r="V30" s="588">
        <v>61</v>
      </c>
      <c r="W30" s="589"/>
      <c r="X30" s="589"/>
      <c r="Y30" s="590"/>
      <c r="Z30" s="586" t="s">
        <v>500</v>
      </c>
      <c r="AA30" s="588">
        <v>62</v>
      </c>
      <c r="AB30" s="589"/>
      <c r="AC30" s="589"/>
      <c r="AD30" s="590"/>
      <c r="AE30" s="586" t="s">
        <v>500</v>
      </c>
      <c r="AF30" s="588">
        <v>63</v>
      </c>
      <c r="AG30" s="589"/>
      <c r="AH30" s="589"/>
      <c r="AI30" s="590"/>
      <c r="AJ30" s="586" t="s">
        <v>500</v>
      </c>
      <c r="AK30" s="588">
        <v>64</v>
      </c>
      <c r="AL30" s="589"/>
      <c r="AM30" s="589"/>
      <c r="AN30" s="590"/>
      <c r="AO30" s="586" t="s">
        <v>500</v>
      </c>
      <c r="AP30" s="588">
        <v>65</v>
      </c>
      <c r="AQ30" s="589"/>
      <c r="AR30" s="589"/>
      <c r="AS30" s="590"/>
      <c r="AT30" s="586" t="s">
        <v>500</v>
      </c>
      <c r="AU30" s="588">
        <v>66</v>
      </c>
      <c r="AV30" s="589"/>
      <c r="AW30" s="589"/>
      <c r="AX30" s="590"/>
      <c r="AY30" s="586" t="s">
        <v>500</v>
      </c>
      <c r="AZ30" s="588">
        <v>67</v>
      </c>
      <c r="BA30" s="589"/>
      <c r="BB30" s="589"/>
      <c r="BC30" s="590"/>
      <c r="BD30" s="586" t="s">
        <v>500</v>
      </c>
      <c r="BE30" s="588">
        <v>68</v>
      </c>
      <c r="BF30" s="589"/>
      <c r="BG30" s="589"/>
      <c r="BH30" s="590"/>
      <c r="BI30" s="586" t="s">
        <v>500</v>
      </c>
      <c r="BJ30" s="588">
        <v>69</v>
      </c>
      <c r="BK30" s="589"/>
      <c r="BL30" s="589"/>
      <c r="BM30" s="590"/>
      <c r="BN30" s="586" t="s">
        <v>500</v>
      </c>
      <c r="BO30" s="588">
        <v>70</v>
      </c>
      <c r="BP30" s="589"/>
      <c r="BQ30" s="589"/>
      <c r="BR30" s="590"/>
      <c r="CU30" s="378"/>
      <c r="ED30" s="317"/>
      <c r="EE30" s="317"/>
      <c r="EF30" s="317"/>
      <c r="EG30" s="317"/>
      <c r="EH30" s="317"/>
    </row>
    <row r="31" spans="1:138" ht="50.25" customHeight="1" thickBot="1" x14ac:dyDescent="0.3">
      <c r="A31" s="587"/>
      <c r="B31" s="61">
        <v>11.150600000000001</v>
      </c>
      <c r="C31" s="62" t="s">
        <v>113</v>
      </c>
      <c r="D31" s="63">
        <v>2</v>
      </c>
      <c r="E31" s="64" t="s">
        <v>114</v>
      </c>
      <c r="F31" s="587"/>
      <c r="G31" s="61">
        <v>9.4740000000000002</v>
      </c>
      <c r="H31" s="62" t="s">
        <v>113</v>
      </c>
      <c r="I31" s="63">
        <v>2</v>
      </c>
      <c r="J31" s="64" t="s">
        <v>114</v>
      </c>
      <c r="K31" s="587"/>
      <c r="L31" s="61">
        <v>6.5019999999999998</v>
      </c>
      <c r="M31" s="62" t="s">
        <v>113</v>
      </c>
      <c r="N31" s="63">
        <v>1</v>
      </c>
      <c r="O31" s="64" t="s">
        <v>114</v>
      </c>
      <c r="P31" s="587"/>
      <c r="Q31" s="61">
        <v>4.4958</v>
      </c>
      <c r="R31" s="62" t="s">
        <v>113</v>
      </c>
      <c r="S31" s="63">
        <v>2</v>
      </c>
      <c r="T31" s="64" t="s">
        <v>114</v>
      </c>
      <c r="U31" s="587"/>
      <c r="V31" s="61">
        <v>5.3593999999999999</v>
      </c>
      <c r="W31" s="62" t="s">
        <v>113</v>
      </c>
      <c r="X31" s="63">
        <v>2</v>
      </c>
      <c r="Y31" s="64" t="s">
        <v>114</v>
      </c>
      <c r="Z31" s="587"/>
      <c r="AA31" s="61">
        <v>1.9303999999999999</v>
      </c>
      <c r="AB31" s="62" t="s">
        <v>113</v>
      </c>
      <c r="AC31" s="63">
        <v>2</v>
      </c>
      <c r="AD31" s="64" t="s">
        <v>114</v>
      </c>
      <c r="AE31" s="587"/>
      <c r="AF31" s="61">
        <v>4.4450000000000003</v>
      </c>
      <c r="AG31" s="62" t="s">
        <v>113</v>
      </c>
      <c r="AH31" s="63">
        <v>1</v>
      </c>
      <c r="AI31" s="64" t="s">
        <v>114</v>
      </c>
      <c r="AJ31" s="587"/>
      <c r="AK31" s="61">
        <v>13.893000000000001</v>
      </c>
      <c r="AL31" s="62" t="s">
        <v>113</v>
      </c>
      <c r="AM31" s="63">
        <v>2</v>
      </c>
      <c r="AN31" s="64" t="s">
        <v>114</v>
      </c>
      <c r="AO31" s="587"/>
      <c r="AP31" s="61">
        <v>5.2830000000000004</v>
      </c>
      <c r="AQ31" s="62" t="s">
        <v>113</v>
      </c>
      <c r="AR31" s="63">
        <v>2</v>
      </c>
      <c r="AS31" s="64" t="s">
        <v>114</v>
      </c>
      <c r="AT31" s="587"/>
      <c r="AU31" s="61">
        <v>14.198600000000001</v>
      </c>
      <c r="AV31" s="62" t="s">
        <v>113</v>
      </c>
      <c r="AW31" s="63">
        <v>2</v>
      </c>
      <c r="AX31" s="64" t="s">
        <v>114</v>
      </c>
      <c r="AY31" s="587"/>
      <c r="AZ31" s="61">
        <v>4.1909999999999998</v>
      </c>
      <c r="BA31" s="62" t="s">
        <v>113</v>
      </c>
      <c r="BB31" s="63">
        <v>1</v>
      </c>
      <c r="BC31" s="64" t="s">
        <v>114</v>
      </c>
      <c r="BD31" s="587"/>
      <c r="BE31" s="61">
        <v>5.7911999999999999</v>
      </c>
      <c r="BF31" s="62" t="s">
        <v>113</v>
      </c>
      <c r="BG31" s="63">
        <v>2</v>
      </c>
      <c r="BH31" s="64" t="s">
        <v>114</v>
      </c>
      <c r="BI31" s="587"/>
      <c r="BJ31" s="61">
        <v>4.1402000000000001</v>
      </c>
      <c r="BK31" s="62" t="s">
        <v>113</v>
      </c>
      <c r="BL31" s="63">
        <v>2</v>
      </c>
      <c r="BM31" s="64" t="s">
        <v>114</v>
      </c>
      <c r="BN31" s="587"/>
      <c r="BO31" s="61">
        <v>4.2417999999999996</v>
      </c>
      <c r="BP31" s="62" t="s">
        <v>113</v>
      </c>
      <c r="BQ31" s="63">
        <v>1</v>
      </c>
      <c r="BR31" s="64" t="s">
        <v>114</v>
      </c>
      <c r="BW31" s="27"/>
      <c r="BX31" s="27"/>
      <c r="BY31" s="27"/>
      <c r="BZ31" s="27"/>
      <c r="CA31" s="27"/>
      <c r="CB31" s="27"/>
      <c r="CC31" s="27"/>
      <c r="CD31" s="27"/>
      <c r="CE31" s="27"/>
      <c r="ED31" s="13"/>
      <c r="EE31" s="13"/>
      <c r="EF31" s="13"/>
      <c r="EG31" s="13"/>
      <c r="EH31" s="13"/>
    </row>
    <row r="32" spans="1:138" ht="42.75" customHeight="1" thickTop="1" x14ac:dyDescent="0.25">
      <c r="A32" s="582" t="s">
        <v>110</v>
      </c>
      <c r="B32" s="583"/>
      <c r="C32" s="584">
        <f t="shared" ref="C32" si="68">B37/((72*3.1415/59)*(129.67/3.281))</f>
        <v>0.11382497208310126</v>
      </c>
      <c r="D32" s="584"/>
      <c r="E32" s="585"/>
      <c r="F32" s="582" t="s">
        <v>110</v>
      </c>
      <c r="G32" s="583"/>
      <c r="H32" s="584">
        <f t="shared" ref="H32" si="69">G37/((72*3.1415/59)*(129.67/3.281))</f>
        <v>2.7325649392233323E-2</v>
      </c>
      <c r="I32" s="584"/>
      <c r="J32" s="585"/>
      <c r="K32" s="582" t="s">
        <v>110</v>
      </c>
      <c r="L32" s="583"/>
      <c r="M32" s="584">
        <f t="shared" ref="M32" si="70">L37/((72*3.1415/59)*(129.67/3.281))</f>
        <v>0.10041361041820147</v>
      </c>
      <c r="N32" s="584"/>
      <c r="O32" s="585"/>
      <c r="P32" s="582" t="s">
        <v>110</v>
      </c>
      <c r="Q32" s="583"/>
      <c r="R32" s="584">
        <f t="shared" ref="R32" si="71">Q37/((72*3.1415/59)*(129.67/3.281))</f>
        <v>2.4473095006618317E-2</v>
      </c>
      <c r="S32" s="584"/>
      <c r="T32" s="585"/>
      <c r="U32" s="582" t="s">
        <v>110</v>
      </c>
      <c r="V32" s="583"/>
      <c r="W32" s="584">
        <f t="shared" ref="W32" si="72">V37/((72*3.1415/59)*(129.67/3.281))</f>
        <v>3.8725306807398142E-2</v>
      </c>
      <c r="X32" s="584"/>
      <c r="Y32" s="585"/>
      <c r="Z32" s="582" t="s">
        <v>110</v>
      </c>
      <c r="AA32" s="583"/>
      <c r="AB32" s="584">
        <f t="shared" ref="AB32" si="73">AA37/((72*3.1415/59)*(129.67/3.281))</f>
        <v>3.7547852613983711E-2</v>
      </c>
      <c r="AC32" s="584"/>
      <c r="AD32" s="585"/>
      <c r="AE32" s="582" t="s">
        <v>110</v>
      </c>
      <c r="AF32" s="583"/>
      <c r="AG32" s="584">
        <f t="shared" ref="AG32" si="74">AF37/((72*3.1415/59)*(129.67/3.281))</f>
        <v>3.2690194058193241E-2</v>
      </c>
      <c r="AH32" s="584"/>
      <c r="AI32" s="585"/>
      <c r="AJ32" s="582" t="s">
        <v>110</v>
      </c>
      <c r="AK32" s="583"/>
      <c r="AL32" s="584">
        <f t="shared" ref="AL32" si="75">AK37/((72*3.1415/59)*(129.67/3.281))</f>
        <v>1.3243719644088544E-2</v>
      </c>
      <c r="AM32" s="584"/>
      <c r="AN32" s="585"/>
      <c r="AO32" s="582" t="s">
        <v>110</v>
      </c>
      <c r="AP32" s="583"/>
      <c r="AQ32" s="584">
        <f t="shared" ref="AQ32" si="76">AP37/((72*3.1415/59)*(129.67/3.281))</f>
        <v>2.5984513225743341E-2</v>
      </c>
      <c r="AR32" s="584"/>
      <c r="AS32" s="585"/>
      <c r="AT32" s="582" t="s">
        <v>110</v>
      </c>
      <c r="AU32" s="583"/>
      <c r="AV32" s="584">
        <f t="shared" ref="AV32" si="77">AU37/((72*3.1415/59)*(129.67/3.281))</f>
        <v>3.2187267995759494E-2</v>
      </c>
      <c r="AW32" s="584"/>
      <c r="AX32" s="585"/>
      <c r="AY32" s="582" t="s">
        <v>110</v>
      </c>
      <c r="AZ32" s="583"/>
      <c r="BA32" s="584">
        <f t="shared" ref="BA32" si="78">AZ37/((72*3.1415/59)*(129.67/3.281))</f>
        <v>0.15389537510472509</v>
      </c>
      <c r="BB32" s="584"/>
      <c r="BC32" s="585"/>
      <c r="BD32" s="582" t="s">
        <v>110</v>
      </c>
      <c r="BE32" s="583"/>
      <c r="BF32" s="584">
        <f t="shared" ref="BF32" si="79">BE37/((72*3.1415/59)*(129.67/3.281))</f>
        <v>3.1181415870892012E-2</v>
      </c>
      <c r="BG32" s="584"/>
      <c r="BH32" s="585"/>
      <c r="BI32" s="582" t="s">
        <v>110</v>
      </c>
      <c r="BJ32" s="583"/>
      <c r="BK32" s="584">
        <f t="shared" ref="BK32" si="80">BJ37/((72*3.1415/59)*(129.67/3.281))</f>
        <v>1.3579003685711036E-2</v>
      </c>
      <c r="BL32" s="584"/>
      <c r="BM32" s="585"/>
      <c r="BN32" s="582" t="s">
        <v>110</v>
      </c>
      <c r="BO32" s="583"/>
      <c r="BP32" s="584">
        <f t="shared" ref="BP32" si="81">BO37/((72*3.1415/59)*(129.67/3.281))</f>
        <v>5.8842349304747826E-2</v>
      </c>
      <c r="BQ32" s="584"/>
      <c r="BR32" s="585"/>
      <c r="ED32" s="13"/>
      <c r="EE32" s="13"/>
      <c r="EF32" s="13"/>
      <c r="EG32" s="13"/>
      <c r="EH32" s="13"/>
    </row>
    <row r="33" spans="1:138" ht="6.75" customHeight="1" x14ac:dyDescent="0.25">
      <c r="A33" s="591" t="s">
        <v>489</v>
      </c>
      <c r="B33" s="592"/>
      <c r="C33" s="1631" t="s">
        <v>504</v>
      </c>
      <c r="D33" s="1632"/>
      <c r="E33" s="1633"/>
      <c r="F33" s="591" t="s">
        <v>489</v>
      </c>
      <c r="G33" s="592"/>
      <c r="H33" s="1631" t="s">
        <v>504</v>
      </c>
      <c r="I33" s="1632"/>
      <c r="J33" s="1633"/>
      <c r="K33" s="591" t="s">
        <v>489</v>
      </c>
      <c r="L33" s="592"/>
      <c r="M33" s="1631" t="s">
        <v>504</v>
      </c>
      <c r="N33" s="1632"/>
      <c r="O33" s="1633"/>
      <c r="P33" s="591" t="s">
        <v>489</v>
      </c>
      <c r="Q33" s="592"/>
      <c r="R33" s="1631" t="s">
        <v>504</v>
      </c>
      <c r="S33" s="1632"/>
      <c r="T33" s="1633"/>
      <c r="U33" s="591" t="s">
        <v>489</v>
      </c>
      <c r="V33" s="592"/>
      <c r="W33" s="1631" t="s">
        <v>504</v>
      </c>
      <c r="X33" s="1632"/>
      <c r="Y33" s="1633"/>
      <c r="Z33" s="591" t="s">
        <v>489</v>
      </c>
      <c r="AA33" s="592"/>
      <c r="AB33" s="1631" t="s">
        <v>504</v>
      </c>
      <c r="AC33" s="1632"/>
      <c r="AD33" s="1633"/>
      <c r="AE33" s="591" t="s">
        <v>489</v>
      </c>
      <c r="AF33" s="592"/>
      <c r="AG33" s="1631" t="s">
        <v>504</v>
      </c>
      <c r="AH33" s="1632"/>
      <c r="AI33" s="1633"/>
      <c r="AJ33" s="591" t="s">
        <v>489</v>
      </c>
      <c r="AK33" s="592"/>
      <c r="AL33" s="1631" t="s">
        <v>504</v>
      </c>
      <c r="AM33" s="1632"/>
      <c r="AN33" s="1633"/>
      <c r="AO33" s="591" t="s">
        <v>489</v>
      </c>
      <c r="AP33" s="592"/>
      <c r="AQ33" s="1631" t="s">
        <v>504</v>
      </c>
      <c r="AR33" s="1632"/>
      <c r="AS33" s="1633"/>
      <c r="AT33" s="679" t="s">
        <v>489</v>
      </c>
      <c r="AU33" s="680"/>
      <c r="AV33" s="1662" t="s">
        <v>504</v>
      </c>
      <c r="AW33" s="1663"/>
      <c r="AX33" s="1664"/>
      <c r="AY33" s="591" t="s">
        <v>489</v>
      </c>
      <c r="AZ33" s="592"/>
      <c r="BA33" s="1631" t="s">
        <v>504</v>
      </c>
      <c r="BB33" s="1632"/>
      <c r="BC33" s="1633"/>
      <c r="BD33" s="591" t="s">
        <v>489</v>
      </c>
      <c r="BE33" s="592"/>
      <c r="BF33" s="1631" t="s">
        <v>504</v>
      </c>
      <c r="BG33" s="1632"/>
      <c r="BH33" s="1633"/>
      <c r="BI33" s="591" t="s">
        <v>489</v>
      </c>
      <c r="BJ33" s="592"/>
      <c r="BK33" s="1631" t="s">
        <v>504</v>
      </c>
      <c r="BL33" s="1632"/>
      <c r="BM33" s="1633"/>
      <c r="BN33" s="591" t="s">
        <v>489</v>
      </c>
      <c r="BO33" s="592"/>
      <c r="BP33" s="1671" t="s">
        <v>504</v>
      </c>
      <c r="BQ33" s="1672"/>
      <c r="BR33" s="1673"/>
      <c r="ED33" s="57"/>
      <c r="EE33" s="57"/>
      <c r="EF33" s="57"/>
      <c r="EG33" s="57"/>
      <c r="EH33" s="57"/>
    </row>
    <row r="34" spans="1:138" ht="18.75" customHeight="1" x14ac:dyDescent="0.25">
      <c r="A34" s="594"/>
      <c r="B34" s="595"/>
      <c r="C34" s="1634"/>
      <c r="D34" s="1635"/>
      <c r="E34" s="1636"/>
      <c r="F34" s="594"/>
      <c r="G34" s="595"/>
      <c r="H34" s="1634"/>
      <c r="I34" s="1635"/>
      <c r="J34" s="1636"/>
      <c r="K34" s="594"/>
      <c r="L34" s="595"/>
      <c r="M34" s="1634"/>
      <c r="N34" s="1635"/>
      <c r="O34" s="1636"/>
      <c r="P34" s="594"/>
      <c r="Q34" s="595"/>
      <c r="R34" s="1634"/>
      <c r="S34" s="1635"/>
      <c r="T34" s="1636"/>
      <c r="U34" s="594"/>
      <c r="V34" s="595"/>
      <c r="W34" s="1634"/>
      <c r="X34" s="1635"/>
      <c r="Y34" s="1636"/>
      <c r="Z34" s="594"/>
      <c r="AA34" s="595"/>
      <c r="AB34" s="1634"/>
      <c r="AC34" s="1635"/>
      <c r="AD34" s="1636"/>
      <c r="AE34" s="594"/>
      <c r="AF34" s="595"/>
      <c r="AG34" s="1634"/>
      <c r="AH34" s="1635"/>
      <c r="AI34" s="1636"/>
      <c r="AJ34" s="594"/>
      <c r="AK34" s="595"/>
      <c r="AL34" s="1634"/>
      <c r="AM34" s="1635"/>
      <c r="AN34" s="1636"/>
      <c r="AO34" s="594"/>
      <c r="AP34" s="595"/>
      <c r="AQ34" s="1634"/>
      <c r="AR34" s="1635"/>
      <c r="AS34" s="1636"/>
      <c r="AT34" s="681"/>
      <c r="AU34" s="682"/>
      <c r="AV34" s="1665"/>
      <c r="AW34" s="1666"/>
      <c r="AX34" s="1667"/>
      <c r="AY34" s="594"/>
      <c r="AZ34" s="595"/>
      <c r="BA34" s="1634"/>
      <c r="BB34" s="1635"/>
      <c r="BC34" s="1636"/>
      <c r="BD34" s="594"/>
      <c r="BE34" s="595"/>
      <c r="BF34" s="1634"/>
      <c r="BG34" s="1635"/>
      <c r="BH34" s="1636"/>
      <c r="BI34" s="594"/>
      <c r="BJ34" s="595"/>
      <c r="BK34" s="1634"/>
      <c r="BL34" s="1635"/>
      <c r="BM34" s="1636"/>
      <c r="BN34" s="594"/>
      <c r="BO34" s="595"/>
      <c r="BP34" s="1674"/>
      <c r="BQ34" s="1675"/>
      <c r="BR34" s="1676"/>
      <c r="ED34" s="57"/>
      <c r="EE34" s="57"/>
      <c r="EF34" s="57"/>
      <c r="EG34" s="57"/>
      <c r="EH34" s="57"/>
    </row>
    <row r="35" spans="1:138" ht="6" hidden="1" customHeight="1" x14ac:dyDescent="0.25">
      <c r="A35" s="597"/>
      <c r="B35" s="598"/>
      <c r="C35" s="1637"/>
      <c r="D35" s="1638"/>
      <c r="E35" s="1639"/>
      <c r="F35" s="597"/>
      <c r="G35" s="598"/>
      <c r="H35" s="1637"/>
      <c r="I35" s="1638"/>
      <c r="J35" s="1639"/>
      <c r="K35" s="597"/>
      <c r="L35" s="598"/>
      <c r="M35" s="1637"/>
      <c r="N35" s="1638"/>
      <c r="O35" s="1639"/>
      <c r="P35" s="597"/>
      <c r="Q35" s="598"/>
      <c r="R35" s="1637"/>
      <c r="S35" s="1638"/>
      <c r="T35" s="1639"/>
      <c r="U35" s="597"/>
      <c r="V35" s="598"/>
      <c r="W35" s="1637"/>
      <c r="X35" s="1638"/>
      <c r="Y35" s="1639"/>
      <c r="Z35" s="597"/>
      <c r="AA35" s="598"/>
      <c r="AB35" s="1637"/>
      <c r="AC35" s="1638"/>
      <c r="AD35" s="1639"/>
      <c r="AE35" s="597"/>
      <c r="AF35" s="598"/>
      <c r="AG35" s="1637"/>
      <c r="AH35" s="1638"/>
      <c r="AI35" s="1639"/>
      <c r="AJ35" s="597"/>
      <c r="AK35" s="598"/>
      <c r="AL35" s="1637"/>
      <c r="AM35" s="1638"/>
      <c r="AN35" s="1639"/>
      <c r="AO35" s="597"/>
      <c r="AP35" s="598"/>
      <c r="AQ35" s="1637"/>
      <c r="AR35" s="1638"/>
      <c r="AS35" s="1639"/>
      <c r="AT35" s="683"/>
      <c r="AU35" s="684"/>
      <c r="AV35" s="1668"/>
      <c r="AW35" s="1669"/>
      <c r="AX35" s="1670"/>
      <c r="AY35" s="597"/>
      <c r="AZ35" s="598"/>
      <c r="BA35" s="1637"/>
      <c r="BB35" s="1638"/>
      <c r="BC35" s="1639"/>
      <c r="BD35" s="597"/>
      <c r="BE35" s="598"/>
      <c r="BF35" s="1637"/>
      <c r="BG35" s="1638"/>
      <c r="BH35" s="1639"/>
      <c r="BI35" s="597"/>
      <c r="BJ35" s="598"/>
      <c r="BK35" s="1637"/>
      <c r="BL35" s="1638"/>
      <c r="BM35" s="1639"/>
      <c r="BN35" s="597"/>
      <c r="BO35" s="598"/>
      <c r="BP35" s="1677"/>
      <c r="BQ35" s="1678"/>
      <c r="BR35" s="1679"/>
      <c r="ED35" s="57"/>
      <c r="EE35" s="57"/>
      <c r="EF35" s="57"/>
      <c r="EG35" s="57"/>
      <c r="EH35" s="57"/>
    </row>
    <row r="36" spans="1:138" s="22" customFormat="1" ht="111.75" customHeight="1" x14ac:dyDescent="1.35">
      <c r="A36" s="586" t="s">
        <v>500</v>
      </c>
      <c r="B36" s="588">
        <v>71</v>
      </c>
      <c r="C36" s="589"/>
      <c r="D36" s="589"/>
      <c r="E36" s="590"/>
      <c r="F36" s="586" t="s">
        <v>500</v>
      </c>
      <c r="G36" s="588">
        <v>72</v>
      </c>
      <c r="H36" s="589"/>
      <c r="I36" s="589"/>
      <c r="J36" s="590"/>
      <c r="K36" s="586" t="s">
        <v>500</v>
      </c>
      <c r="L36" s="588">
        <v>73</v>
      </c>
      <c r="M36" s="589"/>
      <c r="N36" s="589"/>
      <c r="O36" s="590"/>
      <c r="P36" s="586" t="s">
        <v>500</v>
      </c>
      <c r="Q36" s="588">
        <v>74</v>
      </c>
      <c r="R36" s="589"/>
      <c r="S36" s="589"/>
      <c r="T36" s="590"/>
      <c r="U36" s="586" t="s">
        <v>500</v>
      </c>
      <c r="V36" s="588">
        <v>75</v>
      </c>
      <c r="W36" s="589"/>
      <c r="X36" s="589"/>
      <c r="Y36" s="590"/>
      <c r="Z36" s="586" t="s">
        <v>500</v>
      </c>
      <c r="AA36" s="588">
        <v>76</v>
      </c>
      <c r="AB36" s="589"/>
      <c r="AC36" s="589"/>
      <c r="AD36" s="590"/>
      <c r="AE36" s="586" t="s">
        <v>500</v>
      </c>
      <c r="AF36" s="588">
        <v>77</v>
      </c>
      <c r="AG36" s="589"/>
      <c r="AH36" s="589"/>
      <c r="AI36" s="590"/>
      <c r="AJ36" s="586" t="s">
        <v>500</v>
      </c>
      <c r="AK36" s="588">
        <v>78</v>
      </c>
      <c r="AL36" s="589"/>
      <c r="AM36" s="589"/>
      <c r="AN36" s="590"/>
      <c r="AO36" s="586" t="s">
        <v>500</v>
      </c>
      <c r="AP36" s="588">
        <v>79</v>
      </c>
      <c r="AQ36" s="589"/>
      <c r="AR36" s="589"/>
      <c r="AS36" s="590"/>
      <c r="AT36" s="586" t="s">
        <v>500</v>
      </c>
      <c r="AU36" s="694">
        <v>80</v>
      </c>
      <c r="AV36" s="695"/>
      <c r="AW36" s="695"/>
      <c r="AX36" s="696"/>
      <c r="AY36" s="586" t="s">
        <v>500</v>
      </c>
      <c r="AZ36" s="588">
        <v>81</v>
      </c>
      <c r="BA36" s="589"/>
      <c r="BB36" s="589"/>
      <c r="BC36" s="590"/>
      <c r="BD36" s="586" t="s">
        <v>500</v>
      </c>
      <c r="BE36" s="588">
        <v>82</v>
      </c>
      <c r="BF36" s="589"/>
      <c r="BG36" s="589"/>
      <c r="BH36" s="590"/>
      <c r="BI36" s="586" t="s">
        <v>500</v>
      </c>
      <c r="BJ36" s="588">
        <v>83</v>
      </c>
      <c r="BK36" s="589"/>
      <c r="BL36" s="589"/>
      <c r="BM36" s="590"/>
      <c r="BN36" s="586" t="s">
        <v>500</v>
      </c>
      <c r="BO36" s="588">
        <v>84</v>
      </c>
      <c r="BP36" s="589"/>
      <c r="BQ36" s="589"/>
      <c r="BR36" s="590"/>
      <c r="ED36" s="317"/>
      <c r="EE36" s="317"/>
      <c r="EF36" s="317"/>
      <c r="EG36" s="317"/>
      <c r="EH36" s="317"/>
    </row>
    <row r="37" spans="1:138" ht="50.25" customHeight="1" thickBot="1" x14ac:dyDescent="0.3">
      <c r="A37" s="587"/>
      <c r="B37" s="61">
        <v>17.245999999999999</v>
      </c>
      <c r="C37" s="62" t="s">
        <v>113</v>
      </c>
      <c r="D37" s="63">
        <v>2</v>
      </c>
      <c r="E37" s="64" t="s">
        <v>114</v>
      </c>
      <c r="F37" s="587"/>
      <c r="G37" s="61">
        <v>4.1402000000000001</v>
      </c>
      <c r="H37" s="62" t="s">
        <v>113</v>
      </c>
      <c r="I37" s="63">
        <v>2</v>
      </c>
      <c r="J37" s="64" t="s">
        <v>114</v>
      </c>
      <c r="K37" s="587"/>
      <c r="L37" s="61">
        <v>15.214</v>
      </c>
      <c r="M37" s="62" t="s">
        <v>113</v>
      </c>
      <c r="N37" s="63">
        <v>2</v>
      </c>
      <c r="O37" s="64" t="s">
        <v>114</v>
      </c>
      <c r="P37" s="587"/>
      <c r="Q37" s="61">
        <v>3.7080000000000002</v>
      </c>
      <c r="R37" s="62" t="s">
        <v>113</v>
      </c>
      <c r="S37" s="63">
        <v>1</v>
      </c>
      <c r="T37" s="64" t="s">
        <v>114</v>
      </c>
      <c r="U37" s="587"/>
      <c r="V37" s="61">
        <v>5.8673999999999999</v>
      </c>
      <c r="W37" s="62" t="s">
        <v>113</v>
      </c>
      <c r="X37" s="63">
        <v>2</v>
      </c>
      <c r="Y37" s="64" t="s">
        <v>114</v>
      </c>
      <c r="Z37" s="587"/>
      <c r="AA37" s="61">
        <v>5.6890000000000001</v>
      </c>
      <c r="AB37" s="62" t="s">
        <v>113</v>
      </c>
      <c r="AC37" s="63">
        <v>2</v>
      </c>
      <c r="AD37" s="64" t="s">
        <v>114</v>
      </c>
      <c r="AE37" s="587"/>
      <c r="AF37" s="61">
        <v>4.9530000000000003</v>
      </c>
      <c r="AG37" s="62" t="s">
        <v>113</v>
      </c>
      <c r="AH37" s="63">
        <v>2</v>
      </c>
      <c r="AI37" s="64" t="s">
        <v>114</v>
      </c>
      <c r="AJ37" s="587"/>
      <c r="AK37" s="61">
        <v>2.0066000000000002</v>
      </c>
      <c r="AL37" s="62" t="s">
        <v>113</v>
      </c>
      <c r="AM37" s="63">
        <v>1</v>
      </c>
      <c r="AN37" s="64" t="s">
        <v>114</v>
      </c>
      <c r="AO37" s="587"/>
      <c r="AP37" s="61">
        <v>3.9369999999999998</v>
      </c>
      <c r="AQ37" s="62" t="s">
        <v>113</v>
      </c>
      <c r="AR37" s="63">
        <v>2</v>
      </c>
      <c r="AS37" s="64" t="s">
        <v>114</v>
      </c>
      <c r="AT37" s="587"/>
      <c r="AU37" s="334">
        <v>4.8768000000000002</v>
      </c>
      <c r="AV37" s="335" t="s">
        <v>113</v>
      </c>
      <c r="AW37" s="336">
        <v>2</v>
      </c>
      <c r="AX37" s="337" t="s">
        <v>114</v>
      </c>
      <c r="AY37" s="587"/>
      <c r="AZ37" s="61">
        <v>23.3172</v>
      </c>
      <c r="BA37" s="62" t="s">
        <v>113</v>
      </c>
      <c r="BB37" s="63">
        <v>2</v>
      </c>
      <c r="BC37" s="64" t="s">
        <v>114</v>
      </c>
      <c r="BD37" s="587"/>
      <c r="BE37" s="61">
        <v>4.7244000000000002</v>
      </c>
      <c r="BF37" s="62" t="s">
        <v>113</v>
      </c>
      <c r="BG37" s="63">
        <v>1</v>
      </c>
      <c r="BH37" s="64" t="s">
        <v>114</v>
      </c>
      <c r="BI37" s="587"/>
      <c r="BJ37" s="61">
        <v>2.0573999999999999</v>
      </c>
      <c r="BK37" s="62" t="s">
        <v>113</v>
      </c>
      <c r="BL37" s="63">
        <v>2</v>
      </c>
      <c r="BM37" s="64" t="s">
        <v>114</v>
      </c>
      <c r="BN37" s="587"/>
      <c r="BO37" s="61">
        <v>8.9154</v>
      </c>
      <c r="BP37" s="62" t="s">
        <v>113</v>
      </c>
      <c r="BQ37" s="63">
        <v>2</v>
      </c>
      <c r="BR37" s="64" t="s">
        <v>114</v>
      </c>
      <c r="BW37" s="27"/>
      <c r="BX37" s="27"/>
      <c r="BY37" s="27"/>
      <c r="BZ37" s="27"/>
      <c r="CA37" s="27"/>
      <c r="CB37" s="27"/>
      <c r="CC37" s="27"/>
      <c r="CD37" s="27"/>
      <c r="CE37" s="27"/>
      <c r="ED37" s="13"/>
      <c r="EE37" s="13"/>
      <c r="EF37" s="13"/>
      <c r="EG37" s="13"/>
      <c r="EH37" s="13"/>
    </row>
    <row r="38" spans="1:138" ht="36" customHeight="1" thickTop="1" x14ac:dyDescent="0.25">
      <c r="A38" s="582" t="s">
        <v>110</v>
      </c>
      <c r="B38" s="583"/>
      <c r="C38" s="584">
        <f t="shared" ref="C38" si="82">B43/((72*3.1415/59)*(129.67/3.281))</f>
        <v>1.6931844101935982E-2</v>
      </c>
      <c r="D38" s="584"/>
      <c r="E38" s="585"/>
      <c r="F38" s="582" t="s">
        <v>110</v>
      </c>
      <c r="G38" s="583"/>
      <c r="H38" s="584">
        <f t="shared" ref="H38" si="83">G43/((72*3.1415/59)*(129.67/3.281))</f>
        <v>4.7610333910394251E-2</v>
      </c>
      <c r="I38" s="584"/>
      <c r="J38" s="585"/>
      <c r="K38" s="582" t="s">
        <v>110</v>
      </c>
      <c r="L38" s="583"/>
      <c r="M38" s="584">
        <f t="shared" ref="M38" si="84">L43/((72*3.1415/59)*(129.67/3.281))</f>
        <v>7.8791749781286259E-3</v>
      </c>
      <c r="N38" s="584"/>
      <c r="O38" s="585"/>
      <c r="P38" s="582" t="s">
        <v>110</v>
      </c>
      <c r="Q38" s="583"/>
      <c r="R38" s="584">
        <f t="shared" ref="R38" si="85">Q43/((72*3.1415/59)*(129.67/3.281))</f>
        <v>5.2807236555542918E-2</v>
      </c>
      <c r="S38" s="584"/>
      <c r="T38" s="585"/>
      <c r="U38" s="582" t="s">
        <v>110</v>
      </c>
      <c r="V38" s="583"/>
      <c r="W38" s="584">
        <f t="shared" ref="W38" si="86">V43/((72*3.1415/59)*(129.67/3.281))</f>
        <v>2.6655081308988329E-2</v>
      </c>
      <c r="X38" s="584"/>
      <c r="Y38" s="585"/>
      <c r="Z38" s="582" t="s">
        <v>110</v>
      </c>
      <c r="AA38" s="583"/>
      <c r="AB38" s="584">
        <f t="shared" ref="AB38" si="87">AA43/((72*3.1415/59)*(129.67/3.281))</f>
        <v>2.5146303121687105E-3</v>
      </c>
      <c r="AC38" s="584"/>
      <c r="AD38" s="585"/>
      <c r="AE38" s="582" t="s">
        <v>110</v>
      </c>
      <c r="AF38" s="583"/>
      <c r="AG38" s="584">
        <f t="shared" ref="AG38" si="88">AF43/((72*3.1415/59)*(129.67/3.281))</f>
        <v>3.4534256287116961E-2</v>
      </c>
      <c r="AH38" s="584"/>
      <c r="AI38" s="585"/>
      <c r="AJ38" s="582" t="s">
        <v>110</v>
      </c>
      <c r="AK38" s="583"/>
      <c r="AL38" s="584">
        <f t="shared" ref="AL38" si="89">AK43/((72*3.1415/59)*(129.67/3.281))</f>
        <v>1.1232015394353574E-2</v>
      </c>
      <c r="AM38" s="584"/>
      <c r="AN38" s="585"/>
      <c r="AO38" s="582" t="s">
        <v>110</v>
      </c>
      <c r="AP38" s="583"/>
      <c r="AQ38" s="584">
        <f t="shared" ref="AQ38" si="90">AP43/((72*3.1415/59)*(129.67/3.281))</f>
        <v>1.2908435602466047E-2</v>
      </c>
      <c r="AR38" s="584"/>
      <c r="AS38" s="585"/>
      <c r="AT38" s="582" t="s">
        <v>110</v>
      </c>
      <c r="AU38" s="583"/>
      <c r="AV38" s="584">
        <f t="shared" ref="AV38" si="91">AU43/((72*3.1415/59)*(129.67/3.281))</f>
        <v>1.3914287727333533E-2</v>
      </c>
      <c r="AW38" s="584"/>
      <c r="AX38" s="585"/>
      <c r="AY38" s="582" t="s">
        <v>110</v>
      </c>
      <c r="AZ38" s="583"/>
      <c r="BA38" s="584">
        <f t="shared" ref="BA38" si="92">AZ43/((72*3.1415/59)*(129.67/3.281))</f>
        <v>1.5087781873012263E-3</v>
      </c>
      <c r="BB38" s="584"/>
      <c r="BC38" s="585"/>
      <c r="BD38" s="582" t="s">
        <v>110</v>
      </c>
      <c r="BE38" s="583"/>
      <c r="BF38" s="584">
        <f t="shared" ref="BF38" si="93">BE43/((72*3.1415/59)*(129.67/3.281))</f>
        <v>1.8942228335759054E-2</v>
      </c>
      <c r="BG38" s="584"/>
      <c r="BH38" s="585"/>
      <c r="BI38" s="582" t="s">
        <v>110</v>
      </c>
      <c r="BJ38" s="583"/>
      <c r="BK38" s="584">
        <f t="shared" ref="BK38" si="94">BJ43/((72*3.1415/59)*(129.67/3.281))</f>
        <v>9.8908792278635943E-3</v>
      </c>
      <c r="BL38" s="584"/>
      <c r="BM38" s="585"/>
      <c r="BN38" s="582" t="s">
        <v>110</v>
      </c>
      <c r="BO38" s="583"/>
      <c r="BP38" s="584">
        <f t="shared" ref="BP38" si="95">BO43/((72*3.1415/59)*(129.67/3.281))</f>
        <v>1.3398161505780795E-3</v>
      </c>
      <c r="BQ38" s="584"/>
      <c r="BR38" s="585"/>
      <c r="ED38" s="13"/>
      <c r="EE38" s="13"/>
      <c r="EF38" s="13"/>
      <c r="EG38" s="13"/>
      <c r="EH38" s="13"/>
    </row>
    <row r="39" spans="1:138" ht="6.75" customHeight="1" x14ac:dyDescent="0.25">
      <c r="A39" s="591" t="s">
        <v>489</v>
      </c>
      <c r="B39" s="592"/>
      <c r="C39" s="1631" t="s">
        <v>504</v>
      </c>
      <c r="D39" s="1632"/>
      <c r="E39" s="1633"/>
      <c r="F39" s="679" t="s">
        <v>489</v>
      </c>
      <c r="G39" s="680"/>
      <c r="H39" s="685" t="s">
        <v>504</v>
      </c>
      <c r="I39" s="686"/>
      <c r="J39" s="687"/>
      <c r="K39" s="591" t="s">
        <v>489</v>
      </c>
      <c r="L39" s="592"/>
      <c r="M39" s="1631" t="s">
        <v>504</v>
      </c>
      <c r="N39" s="1632"/>
      <c r="O39" s="1633"/>
      <c r="P39" s="679" t="s">
        <v>489</v>
      </c>
      <c r="Q39" s="680"/>
      <c r="R39" s="1662" t="s">
        <v>504</v>
      </c>
      <c r="S39" s="1663"/>
      <c r="T39" s="1664"/>
      <c r="U39" s="591" t="s">
        <v>489</v>
      </c>
      <c r="V39" s="592"/>
      <c r="W39" s="1631" t="s">
        <v>504</v>
      </c>
      <c r="X39" s="1632"/>
      <c r="Y39" s="1633"/>
      <c r="Z39" s="591" t="s">
        <v>489</v>
      </c>
      <c r="AA39" s="592"/>
      <c r="AB39" s="1631" t="s">
        <v>504</v>
      </c>
      <c r="AC39" s="1632"/>
      <c r="AD39" s="1633"/>
      <c r="AE39" s="591" t="s">
        <v>489</v>
      </c>
      <c r="AF39" s="592"/>
      <c r="AG39" s="1631" t="s">
        <v>504</v>
      </c>
      <c r="AH39" s="1632"/>
      <c r="AI39" s="1633"/>
      <c r="AJ39" s="591" t="s">
        <v>489</v>
      </c>
      <c r="AK39" s="592"/>
      <c r="AL39" s="1631" t="s">
        <v>504</v>
      </c>
      <c r="AM39" s="1632"/>
      <c r="AN39" s="1633"/>
      <c r="AO39" s="591" t="s">
        <v>489</v>
      </c>
      <c r="AP39" s="592"/>
      <c r="AQ39" s="1631" t="s">
        <v>504</v>
      </c>
      <c r="AR39" s="1632"/>
      <c r="AS39" s="1633"/>
      <c r="AT39" s="591" t="s">
        <v>489</v>
      </c>
      <c r="AU39" s="592"/>
      <c r="AV39" s="1631" t="s">
        <v>504</v>
      </c>
      <c r="AW39" s="1632"/>
      <c r="AX39" s="1633"/>
      <c r="AY39" s="591" t="s">
        <v>489</v>
      </c>
      <c r="AZ39" s="592"/>
      <c r="BA39" s="1631" t="s">
        <v>504</v>
      </c>
      <c r="BB39" s="1632"/>
      <c r="BC39" s="1633"/>
      <c r="BD39" s="591" t="s">
        <v>489</v>
      </c>
      <c r="BE39" s="592"/>
      <c r="BF39" s="1671" t="s">
        <v>504</v>
      </c>
      <c r="BG39" s="1672"/>
      <c r="BH39" s="1673"/>
      <c r="BI39" s="591" t="s">
        <v>489</v>
      </c>
      <c r="BJ39" s="592"/>
      <c r="BK39" s="1631" t="s">
        <v>504</v>
      </c>
      <c r="BL39" s="1632"/>
      <c r="BM39" s="1633"/>
      <c r="BN39" s="591" t="s">
        <v>489</v>
      </c>
      <c r="BO39" s="592"/>
      <c r="BP39" s="1631" t="s">
        <v>504</v>
      </c>
      <c r="BQ39" s="1632"/>
      <c r="BR39" s="1633"/>
      <c r="ED39" s="13"/>
      <c r="EE39" s="13"/>
      <c r="EF39" s="13"/>
      <c r="EG39" s="13"/>
      <c r="EH39" s="13"/>
    </row>
    <row r="40" spans="1:138" ht="15.75" customHeight="1" x14ac:dyDescent="0.25">
      <c r="A40" s="594"/>
      <c r="B40" s="595"/>
      <c r="C40" s="1634"/>
      <c r="D40" s="1635"/>
      <c r="E40" s="1636"/>
      <c r="F40" s="681"/>
      <c r="G40" s="682"/>
      <c r="H40" s="688"/>
      <c r="I40" s="689"/>
      <c r="J40" s="690"/>
      <c r="K40" s="594"/>
      <c r="L40" s="595"/>
      <c r="M40" s="1634"/>
      <c r="N40" s="1635"/>
      <c r="O40" s="1636"/>
      <c r="P40" s="681"/>
      <c r="Q40" s="682"/>
      <c r="R40" s="1665"/>
      <c r="S40" s="1666"/>
      <c r="T40" s="1667"/>
      <c r="U40" s="594"/>
      <c r="V40" s="595"/>
      <c r="W40" s="1634"/>
      <c r="X40" s="1635"/>
      <c r="Y40" s="1636"/>
      <c r="Z40" s="594"/>
      <c r="AA40" s="595"/>
      <c r="AB40" s="1634"/>
      <c r="AC40" s="1635"/>
      <c r="AD40" s="1636"/>
      <c r="AE40" s="594"/>
      <c r="AF40" s="595"/>
      <c r="AG40" s="1634"/>
      <c r="AH40" s="1635"/>
      <c r="AI40" s="1636"/>
      <c r="AJ40" s="594"/>
      <c r="AK40" s="595"/>
      <c r="AL40" s="1634"/>
      <c r="AM40" s="1635"/>
      <c r="AN40" s="1636"/>
      <c r="AO40" s="594"/>
      <c r="AP40" s="595"/>
      <c r="AQ40" s="1634"/>
      <c r="AR40" s="1635"/>
      <c r="AS40" s="1636"/>
      <c r="AT40" s="594"/>
      <c r="AU40" s="595"/>
      <c r="AV40" s="1634"/>
      <c r="AW40" s="1635"/>
      <c r="AX40" s="1636"/>
      <c r="AY40" s="594"/>
      <c r="AZ40" s="595"/>
      <c r="BA40" s="1634"/>
      <c r="BB40" s="1635"/>
      <c r="BC40" s="1636"/>
      <c r="BD40" s="594"/>
      <c r="BE40" s="595"/>
      <c r="BF40" s="1674"/>
      <c r="BG40" s="1675"/>
      <c r="BH40" s="1676"/>
      <c r="BI40" s="594"/>
      <c r="BJ40" s="595"/>
      <c r="BK40" s="1634"/>
      <c r="BL40" s="1635"/>
      <c r="BM40" s="1636"/>
      <c r="BN40" s="594"/>
      <c r="BO40" s="595"/>
      <c r="BP40" s="1634"/>
      <c r="BQ40" s="1635"/>
      <c r="BR40" s="1636"/>
      <c r="ED40" s="13"/>
      <c r="EE40" s="13"/>
      <c r="EF40" s="13"/>
      <c r="EG40" s="13"/>
      <c r="EH40" s="13"/>
    </row>
    <row r="41" spans="1:138" ht="6" customHeight="1" x14ac:dyDescent="0.25">
      <c r="A41" s="597"/>
      <c r="B41" s="598"/>
      <c r="C41" s="1637"/>
      <c r="D41" s="1638"/>
      <c r="E41" s="1639"/>
      <c r="F41" s="683"/>
      <c r="G41" s="684"/>
      <c r="H41" s="691"/>
      <c r="I41" s="692"/>
      <c r="J41" s="693"/>
      <c r="K41" s="597"/>
      <c r="L41" s="598"/>
      <c r="M41" s="1637"/>
      <c r="N41" s="1638"/>
      <c r="O41" s="1639"/>
      <c r="P41" s="683"/>
      <c r="Q41" s="684"/>
      <c r="R41" s="1668"/>
      <c r="S41" s="1669"/>
      <c r="T41" s="1670"/>
      <c r="U41" s="597"/>
      <c r="V41" s="598"/>
      <c r="W41" s="1637"/>
      <c r="X41" s="1638"/>
      <c r="Y41" s="1639"/>
      <c r="Z41" s="597"/>
      <c r="AA41" s="598"/>
      <c r="AB41" s="1637"/>
      <c r="AC41" s="1638"/>
      <c r="AD41" s="1639"/>
      <c r="AE41" s="597"/>
      <c r="AF41" s="598"/>
      <c r="AG41" s="1637"/>
      <c r="AH41" s="1638"/>
      <c r="AI41" s="1639"/>
      <c r="AJ41" s="597"/>
      <c r="AK41" s="598"/>
      <c r="AL41" s="1637"/>
      <c r="AM41" s="1638"/>
      <c r="AN41" s="1639"/>
      <c r="AO41" s="597"/>
      <c r="AP41" s="598"/>
      <c r="AQ41" s="1637"/>
      <c r="AR41" s="1638"/>
      <c r="AS41" s="1639"/>
      <c r="AT41" s="597"/>
      <c r="AU41" s="598"/>
      <c r="AV41" s="1637"/>
      <c r="AW41" s="1638"/>
      <c r="AX41" s="1639"/>
      <c r="AY41" s="597"/>
      <c r="AZ41" s="598"/>
      <c r="BA41" s="1637"/>
      <c r="BB41" s="1638"/>
      <c r="BC41" s="1639"/>
      <c r="BD41" s="597"/>
      <c r="BE41" s="598"/>
      <c r="BF41" s="1677"/>
      <c r="BG41" s="1678"/>
      <c r="BH41" s="1679"/>
      <c r="BI41" s="597"/>
      <c r="BJ41" s="598"/>
      <c r="BK41" s="1637"/>
      <c r="BL41" s="1638"/>
      <c r="BM41" s="1639"/>
      <c r="BN41" s="597"/>
      <c r="BO41" s="598"/>
      <c r="BP41" s="1637"/>
      <c r="BQ41" s="1638"/>
      <c r="BR41" s="1639"/>
      <c r="ED41" s="13"/>
      <c r="EE41" s="13"/>
      <c r="EF41" s="13"/>
      <c r="EG41" s="13"/>
      <c r="EH41" s="13"/>
    </row>
    <row r="42" spans="1:138" s="22" customFormat="1" ht="111.75" customHeight="1" x14ac:dyDescent="1.35">
      <c r="A42" s="586" t="s">
        <v>500</v>
      </c>
      <c r="B42" s="588">
        <v>85</v>
      </c>
      <c r="C42" s="589"/>
      <c r="D42" s="589"/>
      <c r="E42" s="590"/>
      <c r="F42" s="586" t="s">
        <v>500</v>
      </c>
      <c r="G42" s="694">
        <v>86</v>
      </c>
      <c r="H42" s="695"/>
      <c r="I42" s="695"/>
      <c r="J42" s="696"/>
      <c r="K42" s="586" t="s">
        <v>500</v>
      </c>
      <c r="L42" s="588">
        <v>87</v>
      </c>
      <c r="M42" s="589"/>
      <c r="N42" s="589"/>
      <c r="O42" s="590"/>
      <c r="P42" s="586" t="s">
        <v>500</v>
      </c>
      <c r="Q42" s="694">
        <v>88</v>
      </c>
      <c r="R42" s="695"/>
      <c r="S42" s="695"/>
      <c r="T42" s="696"/>
      <c r="U42" s="586" t="s">
        <v>500</v>
      </c>
      <c r="V42" s="694">
        <v>89</v>
      </c>
      <c r="W42" s="695"/>
      <c r="X42" s="695"/>
      <c r="Y42" s="696"/>
      <c r="Z42" s="586" t="s">
        <v>500</v>
      </c>
      <c r="AA42" s="588">
        <v>90</v>
      </c>
      <c r="AB42" s="589"/>
      <c r="AC42" s="589"/>
      <c r="AD42" s="590"/>
      <c r="AE42" s="586" t="s">
        <v>500</v>
      </c>
      <c r="AF42" s="588">
        <v>91</v>
      </c>
      <c r="AG42" s="589"/>
      <c r="AH42" s="589"/>
      <c r="AI42" s="590"/>
      <c r="AJ42" s="586" t="s">
        <v>500</v>
      </c>
      <c r="AK42" s="588">
        <v>92</v>
      </c>
      <c r="AL42" s="589"/>
      <c r="AM42" s="589"/>
      <c r="AN42" s="590"/>
      <c r="AO42" s="586" t="s">
        <v>500</v>
      </c>
      <c r="AP42" s="588">
        <v>93</v>
      </c>
      <c r="AQ42" s="589"/>
      <c r="AR42" s="589"/>
      <c r="AS42" s="590"/>
      <c r="AT42" s="586" t="s">
        <v>500</v>
      </c>
      <c r="AU42" s="588">
        <v>94</v>
      </c>
      <c r="AV42" s="589"/>
      <c r="AW42" s="589"/>
      <c r="AX42" s="590"/>
      <c r="AY42" s="586" t="s">
        <v>500</v>
      </c>
      <c r="AZ42" s="588">
        <v>95</v>
      </c>
      <c r="BA42" s="589"/>
      <c r="BB42" s="589"/>
      <c r="BC42" s="590"/>
      <c r="BD42" s="586" t="s">
        <v>500</v>
      </c>
      <c r="BE42" s="588">
        <v>96</v>
      </c>
      <c r="BF42" s="589"/>
      <c r="BG42" s="589"/>
      <c r="BH42" s="590"/>
      <c r="BI42" s="586" t="s">
        <v>500</v>
      </c>
      <c r="BJ42" s="588">
        <v>97</v>
      </c>
      <c r="BK42" s="589"/>
      <c r="BL42" s="589"/>
      <c r="BM42" s="590"/>
      <c r="BN42" s="586" t="s">
        <v>500</v>
      </c>
      <c r="BO42" s="588">
        <v>98</v>
      </c>
      <c r="BP42" s="589"/>
      <c r="BQ42" s="589"/>
      <c r="BR42" s="590"/>
      <c r="ED42" s="379"/>
      <c r="EE42" s="379"/>
      <c r="EF42" s="379"/>
      <c r="EG42" s="379"/>
      <c r="EH42" s="379"/>
    </row>
    <row r="43" spans="1:138" ht="50.25" customHeight="1" thickBot="1" x14ac:dyDescent="0.3">
      <c r="A43" s="587"/>
      <c r="B43" s="61">
        <v>2.5653999999999999</v>
      </c>
      <c r="C43" s="62" t="s">
        <v>113</v>
      </c>
      <c r="D43" s="63">
        <v>1</v>
      </c>
      <c r="E43" s="64" t="s">
        <v>114</v>
      </c>
      <c r="F43" s="587"/>
      <c r="G43" s="334">
        <v>7.2135999999999996</v>
      </c>
      <c r="H43" s="335" t="s">
        <v>113</v>
      </c>
      <c r="I43" s="336">
        <v>1</v>
      </c>
      <c r="J43" s="337" t="s">
        <v>114</v>
      </c>
      <c r="K43" s="587"/>
      <c r="L43" s="61">
        <v>1.1938</v>
      </c>
      <c r="M43" s="62" t="s">
        <v>113</v>
      </c>
      <c r="N43" s="63">
        <v>2</v>
      </c>
      <c r="O43" s="64" t="s">
        <v>114</v>
      </c>
      <c r="P43" s="587"/>
      <c r="Q43" s="334">
        <v>8.0009999999999994</v>
      </c>
      <c r="R43" s="335" t="s">
        <v>113</v>
      </c>
      <c r="S43" s="336">
        <v>1</v>
      </c>
      <c r="T43" s="337" t="s">
        <v>114</v>
      </c>
      <c r="U43" s="587"/>
      <c r="V43" s="334">
        <v>4.0385999999999997</v>
      </c>
      <c r="W43" s="335" t="s">
        <v>113</v>
      </c>
      <c r="X43" s="336">
        <v>2</v>
      </c>
      <c r="Y43" s="337" t="s">
        <v>114</v>
      </c>
      <c r="Z43" s="587"/>
      <c r="AA43" s="61">
        <v>0.38100000000000001</v>
      </c>
      <c r="AB43" s="62" t="s">
        <v>113</v>
      </c>
      <c r="AC43" s="63">
        <v>1</v>
      </c>
      <c r="AD43" s="64" t="s">
        <v>114</v>
      </c>
      <c r="AE43" s="587"/>
      <c r="AF43" s="61">
        <v>5.2324000000000002</v>
      </c>
      <c r="AG43" s="62" t="s">
        <v>113</v>
      </c>
      <c r="AH43" s="63">
        <v>2</v>
      </c>
      <c r="AI43" s="64" t="s">
        <v>114</v>
      </c>
      <c r="AJ43" s="587"/>
      <c r="AK43" s="61">
        <v>1.7018</v>
      </c>
      <c r="AL43" s="62" t="s">
        <v>113</v>
      </c>
      <c r="AM43" s="63">
        <v>2</v>
      </c>
      <c r="AN43" s="64" t="s">
        <v>114</v>
      </c>
      <c r="AO43" s="587"/>
      <c r="AP43" s="61">
        <v>1.9558</v>
      </c>
      <c r="AQ43" s="62" t="s">
        <v>113</v>
      </c>
      <c r="AR43" s="63">
        <v>1</v>
      </c>
      <c r="AS43" s="64" t="s">
        <v>114</v>
      </c>
      <c r="AT43" s="587"/>
      <c r="AU43" s="61">
        <v>2.1082000000000001</v>
      </c>
      <c r="AV43" s="62" t="s">
        <v>113</v>
      </c>
      <c r="AW43" s="63">
        <v>2</v>
      </c>
      <c r="AX43" s="64" t="s">
        <v>114</v>
      </c>
      <c r="AY43" s="587"/>
      <c r="AZ43" s="61">
        <v>0.2286</v>
      </c>
      <c r="BA43" s="62" t="s">
        <v>113</v>
      </c>
      <c r="BB43" s="63">
        <v>2</v>
      </c>
      <c r="BC43" s="64" t="s">
        <v>114</v>
      </c>
      <c r="BD43" s="587"/>
      <c r="BE43" s="61">
        <v>2.87</v>
      </c>
      <c r="BF43" s="62" t="s">
        <v>113</v>
      </c>
      <c r="BG43" s="63">
        <v>2</v>
      </c>
      <c r="BH43" s="64" t="s">
        <v>114</v>
      </c>
      <c r="BI43" s="587"/>
      <c r="BJ43" s="61">
        <v>1.4985999999999999</v>
      </c>
      <c r="BK43" s="62" t="s">
        <v>113</v>
      </c>
      <c r="BL43" s="63">
        <v>1</v>
      </c>
      <c r="BM43" s="64" t="s">
        <v>114</v>
      </c>
      <c r="BN43" s="587"/>
      <c r="BO43" s="61">
        <v>0.20300000000000001</v>
      </c>
      <c r="BP43" s="62" t="s">
        <v>113</v>
      </c>
      <c r="BQ43" s="63">
        <v>2</v>
      </c>
      <c r="BR43" s="64" t="s">
        <v>114</v>
      </c>
      <c r="BW43" s="27"/>
      <c r="BX43" s="27"/>
      <c r="BY43" s="27"/>
      <c r="BZ43" s="27"/>
      <c r="CA43" s="27"/>
      <c r="CB43" s="27"/>
      <c r="CC43" s="27"/>
      <c r="CD43" s="27"/>
      <c r="CE43" s="27"/>
      <c r="ED43" s="57"/>
      <c r="EE43" s="57"/>
      <c r="EF43" s="57"/>
      <c r="EG43" s="57"/>
      <c r="EH43" s="57"/>
    </row>
    <row r="44" spans="1:138" ht="36" customHeight="1" thickTop="1" x14ac:dyDescent="0.25">
      <c r="A44" s="582" t="s">
        <v>110</v>
      </c>
      <c r="B44" s="583"/>
      <c r="C44" s="584">
        <f t="shared" ref="C44" si="96">B49/((72*3.1415/59)*(129.67/3.281))</f>
        <v>1.7265808127646581E-2</v>
      </c>
      <c r="D44" s="584"/>
      <c r="E44" s="585"/>
      <c r="F44" s="582" t="s">
        <v>110</v>
      </c>
      <c r="G44" s="583"/>
      <c r="H44" s="584">
        <f t="shared" ref="H44" si="97">G49/((72*3.1415/59)*(129.67/3.281))</f>
        <v>7.8791749781286259E-3</v>
      </c>
      <c r="I44" s="584"/>
      <c r="J44" s="585"/>
      <c r="K44" s="582" t="s">
        <v>110</v>
      </c>
      <c r="L44" s="583"/>
      <c r="M44" s="584">
        <f t="shared" ref="M44" si="98">L49/((72*3.1415/59)*(129.67/3.281))</f>
        <v>2.7158007371422072E-2</v>
      </c>
      <c r="N44" s="584"/>
      <c r="O44" s="585"/>
      <c r="P44" s="582" t="s">
        <v>110</v>
      </c>
      <c r="Q44" s="583"/>
      <c r="R44" s="584">
        <f t="shared" ref="R44" si="99">Q49/((72*3.1415/59)*(129.67/3.281))</f>
        <v>3.3528404162249475E-3</v>
      </c>
      <c r="S44" s="584"/>
      <c r="T44" s="585"/>
      <c r="U44" s="582" t="s">
        <v>110</v>
      </c>
      <c r="V44" s="583"/>
      <c r="W44" s="584">
        <f t="shared" ref="W44" si="100">V49/((72*3.1415/59)*(129.67/3.281))</f>
        <v>1.3914287727333533E-2</v>
      </c>
      <c r="X44" s="584"/>
      <c r="Y44" s="585"/>
      <c r="Z44" s="582" t="s">
        <v>110</v>
      </c>
      <c r="AA44" s="583"/>
      <c r="AB44" s="584">
        <f t="shared" ref="AB44" si="101">AA49/((72*3.1415/59)*(129.67/3.281))</f>
        <v>1.1734941456787317E-2</v>
      </c>
      <c r="AC44" s="584"/>
      <c r="AD44" s="585"/>
      <c r="AE44" s="582" t="s">
        <v>110</v>
      </c>
      <c r="AF44" s="583"/>
      <c r="AG44" s="584">
        <f t="shared" ref="AG44" si="102">AF49/((72*3.1415/59)*(129.67/3.281))</f>
        <v>3.1851983954136998E-3</v>
      </c>
      <c r="AH44" s="584"/>
      <c r="AI44" s="585"/>
      <c r="AJ44" s="582" t="s">
        <v>110</v>
      </c>
      <c r="AK44" s="583"/>
      <c r="AL44" s="584">
        <f t="shared" ref="AL44" si="103">AK49/((72*3.1415/59)*(129.67/3.281))</f>
        <v>7.3762489156948838E-3</v>
      </c>
      <c r="AM44" s="584"/>
      <c r="AN44" s="585"/>
      <c r="AO44" s="582" t="s">
        <v>110</v>
      </c>
      <c r="AP44" s="583"/>
      <c r="AQ44" s="584">
        <f t="shared" ref="AQ44" si="104">AP49/((72*3.1415/59)*(129.67/3.281))</f>
        <v>1.6090993966055948E-2</v>
      </c>
      <c r="AR44" s="584"/>
      <c r="AS44" s="585"/>
      <c r="AT44" s="582" t="s">
        <v>110</v>
      </c>
      <c r="AU44" s="583"/>
      <c r="AV44" s="584">
        <f t="shared" ref="AV44" si="105">AU49/((72*3.1415/59)*(129.67/3.281))</f>
        <v>2.1793462705462156E-3</v>
      </c>
      <c r="AW44" s="584"/>
      <c r="AX44" s="585"/>
      <c r="AY44" s="712"/>
      <c r="AZ44" s="710"/>
      <c r="BA44" s="711"/>
      <c r="BB44" s="711"/>
      <c r="BC44" s="711"/>
      <c r="BD44" s="710"/>
      <c r="BE44" s="710"/>
      <c r="BF44" s="711"/>
      <c r="BG44" s="711"/>
      <c r="BH44" s="711"/>
      <c r="BI44" s="710"/>
      <c r="BJ44" s="710"/>
      <c r="BK44" s="711"/>
      <c r="BL44" s="711"/>
      <c r="BM44" s="711"/>
      <c r="BN44" s="710"/>
      <c r="BO44" s="710"/>
      <c r="BP44" s="711"/>
      <c r="BQ44" s="711"/>
      <c r="BR44" s="711"/>
      <c r="ED44" s="57"/>
      <c r="EE44" s="57"/>
      <c r="EF44" s="57"/>
      <c r="EG44" s="57"/>
      <c r="EH44" s="57"/>
    </row>
    <row r="45" spans="1:138" ht="6.75" customHeight="1" x14ac:dyDescent="0.25">
      <c r="A45" s="591" t="s">
        <v>489</v>
      </c>
      <c r="B45" s="592"/>
      <c r="C45" s="1631" t="s">
        <v>504</v>
      </c>
      <c r="D45" s="1632"/>
      <c r="E45" s="1633"/>
      <c r="F45" s="591" t="s">
        <v>489</v>
      </c>
      <c r="G45" s="592"/>
      <c r="H45" s="1631" t="s">
        <v>504</v>
      </c>
      <c r="I45" s="1632"/>
      <c r="J45" s="1633"/>
      <c r="K45" s="591" t="s">
        <v>489</v>
      </c>
      <c r="L45" s="592"/>
      <c r="M45" s="1631" t="s">
        <v>504</v>
      </c>
      <c r="N45" s="1632"/>
      <c r="O45" s="1633"/>
      <c r="P45" s="591" t="s">
        <v>489</v>
      </c>
      <c r="Q45" s="592"/>
      <c r="R45" s="1631" t="s">
        <v>504</v>
      </c>
      <c r="S45" s="1632"/>
      <c r="T45" s="1633"/>
      <c r="U45" s="591" t="s">
        <v>489</v>
      </c>
      <c r="V45" s="592"/>
      <c r="W45" s="1631" t="s">
        <v>504</v>
      </c>
      <c r="X45" s="1632"/>
      <c r="Y45" s="1633"/>
      <c r="Z45" s="591" t="s">
        <v>489</v>
      </c>
      <c r="AA45" s="592"/>
      <c r="AB45" s="1631" t="s">
        <v>504</v>
      </c>
      <c r="AC45" s="1632"/>
      <c r="AD45" s="1633"/>
      <c r="AE45" s="591" t="s">
        <v>489</v>
      </c>
      <c r="AF45" s="592"/>
      <c r="AG45" s="1631" t="s">
        <v>504</v>
      </c>
      <c r="AH45" s="1632"/>
      <c r="AI45" s="1633"/>
      <c r="AJ45" s="591" t="s">
        <v>489</v>
      </c>
      <c r="AK45" s="592"/>
      <c r="AL45" s="1631" t="s">
        <v>504</v>
      </c>
      <c r="AM45" s="1632"/>
      <c r="AN45" s="1633"/>
      <c r="AO45" s="591" t="s">
        <v>489</v>
      </c>
      <c r="AP45" s="592"/>
      <c r="AQ45" s="1631" t="s">
        <v>504</v>
      </c>
      <c r="AR45" s="1632"/>
      <c r="AS45" s="1633"/>
      <c r="AT45" s="591" t="s">
        <v>489</v>
      </c>
      <c r="AU45" s="592"/>
      <c r="AV45" s="1671" t="s">
        <v>504</v>
      </c>
      <c r="AW45" s="1672"/>
      <c r="AX45" s="1673"/>
      <c r="AY45" s="715"/>
      <c r="AZ45" s="713"/>
      <c r="BA45" s="714"/>
      <c r="BB45" s="714"/>
      <c r="BC45" s="714"/>
      <c r="BD45" s="713"/>
      <c r="BE45" s="713"/>
      <c r="BF45" s="714"/>
      <c r="BG45" s="714"/>
      <c r="BH45" s="714"/>
      <c r="BI45" s="713"/>
      <c r="BJ45" s="713"/>
      <c r="BK45" s="714"/>
      <c r="BL45" s="714"/>
      <c r="BM45" s="714"/>
      <c r="BN45" s="713"/>
      <c r="BO45" s="713"/>
      <c r="BP45" s="714"/>
      <c r="BQ45" s="714"/>
      <c r="BR45" s="714"/>
      <c r="ED45" s="57"/>
      <c r="EE45" s="57"/>
      <c r="EF45" s="57"/>
      <c r="EG45" s="57"/>
      <c r="EH45" s="57"/>
    </row>
    <row r="46" spans="1:138" ht="18" customHeight="1" x14ac:dyDescent="0.25">
      <c r="A46" s="594"/>
      <c r="B46" s="595"/>
      <c r="C46" s="1634"/>
      <c r="D46" s="1635"/>
      <c r="E46" s="1636"/>
      <c r="F46" s="594"/>
      <c r="G46" s="595"/>
      <c r="H46" s="1634"/>
      <c r="I46" s="1635"/>
      <c r="J46" s="1636"/>
      <c r="K46" s="594"/>
      <c r="L46" s="595"/>
      <c r="M46" s="1634"/>
      <c r="N46" s="1635"/>
      <c r="O46" s="1636"/>
      <c r="P46" s="594"/>
      <c r="Q46" s="595"/>
      <c r="R46" s="1634"/>
      <c r="S46" s="1635"/>
      <c r="T46" s="1636"/>
      <c r="U46" s="594"/>
      <c r="V46" s="595"/>
      <c r="W46" s="1634"/>
      <c r="X46" s="1635"/>
      <c r="Y46" s="1636"/>
      <c r="Z46" s="594"/>
      <c r="AA46" s="595"/>
      <c r="AB46" s="1634"/>
      <c r="AC46" s="1635"/>
      <c r="AD46" s="1636"/>
      <c r="AE46" s="594"/>
      <c r="AF46" s="595"/>
      <c r="AG46" s="1634"/>
      <c r="AH46" s="1635"/>
      <c r="AI46" s="1636"/>
      <c r="AJ46" s="594"/>
      <c r="AK46" s="595"/>
      <c r="AL46" s="1634"/>
      <c r="AM46" s="1635"/>
      <c r="AN46" s="1636"/>
      <c r="AO46" s="594"/>
      <c r="AP46" s="595"/>
      <c r="AQ46" s="1634"/>
      <c r="AR46" s="1635"/>
      <c r="AS46" s="1636"/>
      <c r="AT46" s="594"/>
      <c r="AU46" s="595"/>
      <c r="AV46" s="1674"/>
      <c r="AW46" s="1675"/>
      <c r="AX46" s="1676"/>
      <c r="AY46" s="715"/>
      <c r="AZ46" s="713"/>
      <c r="BA46" s="714"/>
      <c r="BB46" s="714"/>
      <c r="BC46" s="714"/>
      <c r="BD46" s="713"/>
      <c r="BE46" s="713"/>
      <c r="BF46" s="714"/>
      <c r="BG46" s="714"/>
      <c r="BH46" s="714"/>
      <c r="BI46" s="713"/>
      <c r="BJ46" s="713"/>
      <c r="BK46" s="714"/>
      <c r="BL46" s="714"/>
      <c r="BM46" s="714"/>
      <c r="BN46" s="713"/>
      <c r="BO46" s="713"/>
      <c r="BP46" s="714"/>
      <c r="BQ46" s="714"/>
      <c r="BR46" s="714"/>
      <c r="ED46" s="57"/>
      <c r="EE46" s="57"/>
      <c r="EF46" s="57"/>
      <c r="EG46" s="57"/>
      <c r="EH46" s="57"/>
    </row>
    <row r="47" spans="1:138" ht="6" customHeight="1" x14ac:dyDescent="0.25">
      <c r="A47" s="597"/>
      <c r="B47" s="598"/>
      <c r="C47" s="1637"/>
      <c r="D47" s="1638"/>
      <c r="E47" s="1639"/>
      <c r="F47" s="597"/>
      <c r="G47" s="598"/>
      <c r="H47" s="1637"/>
      <c r="I47" s="1638"/>
      <c r="J47" s="1639"/>
      <c r="K47" s="597"/>
      <c r="L47" s="598"/>
      <c r="M47" s="1637"/>
      <c r="N47" s="1638"/>
      <c r="O47" s="1639"/>
      <c r="P47" s="597"/>
      <c r="Q47" s="598"/>
      <c r="R47" s="1637"/>
      <c r="S47" s="1638"/>
      <c r="T47" s="1639"/>
      <c r="U47" s="597"/>
      <c r="V47" s="598"/>
      <c r="W47" s="1637"/>
      <c r="X47" s="1638"/>
      <c r="Y47" s="1639"/>
      <c r="Z47" s="597"/>
      <c r="AA47" s="598"/>
      <c r="AB47" s="1637"/>
      <c r="AC47" s="1638"/>
      <c r="AD47" s="1639"/>
      <c r="AE47" s="597"/>
      <c r="AF47" s="598"/>
      <c r="AG47" s="1637"/>
      <c r="AH47" s="1638"/>
      <c r="AI47" s="1639"/>
      <c r="AJ47" s="597"/>
      <c r="AK47" s="598"/>
      <c r="AL47" s="1637"/>
      <c r="AM47" s="1638"/>
      <c r="AN47" s="1639"/>
      <c r="AO47" s="597"/>
      <c r="AP47" s="598"/>
      <c r="AQ47" s="1637"/>
      <c r="AR47" s="1638"/>
      <c r="AS47" s="1639"/>
      <c r="AT47" s="597"/>
      <c r="AU47" s="598"/>
      <c r="AV47" s="1677"/>
      <c r="AW47" s="1678"/>
      <c r="AX47" s="1679"/>
      <c r="AY47" s="715"/>
      <c r="AZ47" s="713"/>
      <c r="BA47" s="714"/>
      <c r="BB47" s="714"/>
      <c r="BC47" s="714"/>
      <c r="BD47" s="713"/>
      <c r="BE47" s="713"/>
      <c r="BF47" s="714"/>
      <c r="BG47" s="714"/>
      <c r="BH47" s="714"/>
      <c r="BI47" s="713"/>
      <c r="BJ47" s="713"/>
      <c r="BK47" s="714"/>
      <c r="BL47" s="714"/>
      <c r="BM47" s="714"/>
      <c r="BN47" s="713"/>
      <c r="BO47" s="713"/>
      <c r="BP47" s="714"/>
      <c r="BQ47" s="714"/>
      <c r="BR47" s="714"/>
    </row>
    <row r="48" spans="1:138" s="22" customFormat="1" ht="111.75" customHeight="1" x14ac:dyDescent="1.35">
      <c r="A48" s="586" t="s">
        <v>500</v>
      </c>
      <c r="B48" s="588">
        <v>99</v>
      </c>
      <c r="C48" s="589"/>
      <c r="D48" s="589"/>
      <c r="E48" s="590"/>
      <c r="F48" s="586" t="s">
        <v>500</v>
      </c>
      <c r="G48" s="588">
        <v>100</v>
      </c>
      <c r="H48" s="589"/>
      <c r="I48" s="589"/>
      <c r="J48" s="590"/>
      <c r="K48" s="586" t="s">
        <v>500</v>
      </c>
      <c r="L48" s="588">
        <v>101</v>
      </c>
      <c r="M48" s="589"/>
      <c r="N48" s="589"/>
      <c r="O48" s="590"/>
      <c r="P48" s="586" t="s">
        <v>500</v>
      </c>
      <c r="Q48" s="588">
        <v>102</v>
      </c>
      <c r="R48" s="589"/>
      <c r="S48" s="589"/>
      <c r="T48" s="590"/>
      <c r="U48" s="586" t="s">
        <v>500</v>
      </c>
      <c r="V48" s="588">
        <v>103</v>
      </c>
      <c r="W48" s="589"/>
      <c r="X48" s="589"/>
      <c r="Y48" s="590"/>
      <c r="Z48" s="586" t="s">
        <v>500</v>
      </c>
      <c r="AA48" s="588">
        <v>104</v>
      </c>
      <c r="AB48" s="589"/>
      <c r="AC48" s="589"/>
      <c r="AD48" s="590"/>
      <c r="AE48" s="586" t="s">
        <v>500</v>
      </c>
      <c r="AF48" s="588">
        <v>105</v>
      </c>
      <c r="AG48" s="589"/>
      <c r="AH48" s="589"/>
      <c r="AI48" s="590"/>
      <c r="AJ48" s="586" t="s">
        <v>500</v>
      </c>
      <c r="AK48" s="588">
        <v>106</v>
      </c>
      <c r="AL48" s="589"/>
      <c r="AM48" s="589"/>
      <c r="AN48" s="590"/>
      <c r="AO48" s="586" t="s">
        <v>500</v>
      </c>
      <c r="AP48" s="588">
        <v>107</v>
      </c>
      <c r="AQ48" s="589"/>
      <c r="AR48" s="589"/>
      <c r="AS48" s="590"/>
      <c r="AT48" s="586" t="s">
        <v>500</v>
      </c>
      <c r="AU48" s="588">
        <v>108</v>
      </c>
      <c r="AV48" s="589"/>
      <c r="AW48" s="589"/>
      <c r="AX48" s="590"/>
      <c r="AY48" s="718"/>
      <c r="AZ48" s="717"/>
      <c r="BA48" s="717"/>
      <c r="BB48" s="717"/>
      <c r="BC48" s="717"/>
      <c r="BD48" s="716"/>
      <c r="BE48" s="717"/>
      <c r="BF48" s="717"/>
      <c r="BG48" s="717"/>
      <c r="BH48" s="717"/>
      <c r="BI48" s="716"/>
      <c r="BJ48" s="717"/>
      <c r="BK48" s="717"/>
      <c r="BL48" s="717"/>
      <c r="BM48" s="717"/>
      <c r="BN48" s="716"/>
      <c r="BO48" s="717"/>
      <c r="BP48" s="717"/>
      <c r="BQ48" s="717"/>
      <c r="BR48" s="717"/>
    </row>
    <row r="49" spans="1:83" ht="50.25" customHeight="1" thickBot="1" x14ac:dyDescent="0.3">
      <c r="A49" s="587"/>
      <c r="B49" s="61">
        <v>2.6160000000000001</v>
      </c>
      <c r="C49" s="62" t="s">
        <v>113</v>
      </c>
      <c r="D49" s="63">
        <v>2</v>
      </c>
      <c r="E49" s="64" t="s">
        <v>114</v>
      </c>
      <c r="F49" s="587"/>
      <c r="G49" s="61">
        <v>1.1938</v>
      </c>
      <c r="H49" s="62" t="s">
        <v>113</v>
      </c>
      <c r="I49" s="63">
        <v>1</v>
      </c>
      <c r="J49" s="64" t="s">
        <v>114</v>
      </c>
      <c r="K49" s="587"/>
      <c r="L49" s="61">
        <v>4.1147999999999998</v>
      </c>
      <c r="M49" s="62" t="s">
        <v>113</v>
      </c>
      <c r="N49" s="63">
        <v>2</v>
      </c>
      <c r="O49" s="64" t="s">
        <v>114</v>
      </c>
      <c r="P49" s="587"/>
      <c r="Q49" s="61">
        <v>0.50800000000000001</v>
      </c>
      <c r="R49" s="62" t="s">
        <v>113</v>
      </c>
      <c r="S49" s="63">
        <v>2</v>
      </c>
      <c r="T49" s="64" t="s">
        <v>114</v>
      </c>
      <c r="U49" s="587"/>
      <c r="V49" s="61">
        <v>2.1082000000000001</v>
      </c>
      <c r="W49" s="62" t="s">
        <v>113</v>
      </c>
      <c r="X49" s="63">
        <v>2</v>
      </c>
      <c r="Y49" s="64" t="s">
        <v>114</v>
      </c>
      <c r="Z49" s="587"/>
      <c r="AA49" s="61">
        <v>1.778</v>
      </c>
      <c r="AB49" s="62" t="s">
        <v>113</v>
      </c>
      <c r="AC49" s="63">
        <v>1</v>
      </c>
      <c r="AD49" s="64" t="s">
        <v>114</v>
      </c>
      <c r="AE49" s="587"/>
      <c r="AF49" s="61">
        <v>0.48259999999999997</v>
      </c>
      <c r="AG49" s="62" t="s">
        <v>113</v>
      </c>
      <c r="AH49" s="63">
        <v>2</v>
      </c>
      <c r="AI49" s="64" t="s">
        <v>114</v>
      </c>
      <c r="AJ49" s="587"/>
      <c r="AK49" s="61">
        <v>1.1175999999999999</v>
      </c>
      <c r="AL49" s="62" t="s">
        <v>113</v>
      </c>
      <c r="AM49" s="63">
        <v>2</v>
      </c>
      <c r="AN49" s="64" t="s">
        <v>114</v>
      </c>
      <c r="AO49" s="587"/>
      <c r="AP49" s="61">
        <v>2.4380000000000002</v>
      </c>
      <c r="AQ49" s="62" t="s">
        <v>113</v>
      </c>
      <c r="AR49" s="63">
        <v>1</v>
      </c>
      <c r="AS49" s="64" t="s">
        <v>114</v>
      </c>
      <c r="AT49" s="587"/>
      <c r="AU49" s="61">
        <v>0.33019999999999999</v>
      </c>
      <c r="AV49" s="62" t="s">
        <v>113</v>
      </c>
      <c r="AW49" s="63">
        <v>1</v>
      </c>
      <c r="AX49" s="64" t="s">
        <v>114</v>
      </c>
      <c r="AY49" s="718"/>
      <c r="AZ49" s="32"/>
      <c r="BA49" s="33"/>
      <c r="BB49" s="34"/>
      <c r="BC49" s="35"/>
      <c r="BD49" s="716"/>
      <c r="BE49" s="32"/>
      <c r="BF49" s="33"/>
      <c r="BG49" s="34"/>
      <c r="BH49" s="35"/>
      <c r="BI49" s="716"/>
      <c r="BJ49" s="32"/>
      <c r="BK49" s="33"/>
      <c r="BL49" s="34"/>
      <c r="BM49" s="35"/>
      <c r="BN49" s="716"/>
      <c r="BO49" s="32"/>
      <c r="BP49" s="33"/>
      <c r="BQ49" s="34"/>
      <c r="BR49" s="35"/>
      <c r="BW49" s="27"/>
      <c r="BX49" s="27"/>
      <c r="BY49" s="27"/>
      <c r="BZ49" s="27"/>
      <c r="CA49" s="27"/>
      <c r="CB49" s="27"/>
      <c r="CC49" s="27"/>
      <c r="CD49" s="27"/>
      <c r="CE49" s="27"/>
    </row>
    <row r="50" spans="1:83" ht="26.1" hidden="1" customHeight="1" thickTop="1" x14ac:dyDescent="0.25">
      <c r="A50" s="672"/>
      <c r="B50" s="672"/>
      <c r="C50" s="672"/>
      <c r="D50" s="673"/>
      <c r="E50" s="673"/>
      <c r="F50" s="672"/>
      <c r="G50" s="672"/>
      <c r="H50" s="672"/>
      <c r="I50" s="673"/>
      <c r="J50" s="673"/>
      <c r="K50" s="672"/>
      <c r="L50" s="672"/>
      <c r="M50" s="672"/>
      <c r="N50" s="673"/>
      <c r="O50" s="673"/>
      <c r="P50" s="672"/>
      <c r="Q50" s="672"/>
      <c r="R50" s="672"/>
      <c r="S50" s="673"/>
      <c r="T50" s="673"/>
      <c r="U50" s="674"/>
      <c r="V50" s="674"/>
      <c r="W50" s="674"/>
      <c r="X50" s="675"/>
      <c r="Y50" s="675"/>
      <c r="Z50" s="674"/>
      <c r="AA50" s="674"/>
      <c r="AB50" s="674"/>
      <c r="AC50" s="675"/>
      <c r="AD50" s="675"/>
      <c r="AE50" s="674"/>
      <c r="AF50" s="674"/>
      <c r="AG50" s="674"/>
      <c r="AH50" s="675"/>
      <c r="AI50" s="675"/>
      <c r="AJ50" s="674"/>
      <c r="AK50" s="674"/>
      <c r="AL50" s="674"/>
      <c r="AM50" s="675"/>
      <c r="AN50" s="675"/>
      <c r="AO50" s="674"/>
      <c r="AP50" s="674"/>
      <c r="AQ50" s="674"/>
      <c r="AR50" s="675"/>
      <c r="AS50" s="675"/>
      <c r="AT50" s="674"/>
      <c r="AU50" s="674"/>
      <c r="AV50" s="674"/>
      <c r="AW50" s="675"/>
      <c r="AX50" s="675"/>
      <c r="AY50" s="674"/>
      <c r="AZ50" s="674"/>
      <c r="BA50" s="674"/>
      <c r="BB50" s="675"/>
      <c r="BC50" s="675"/>
      <c r="BD50" s="674"/>
      <c r="BE50" s="674"/>
      <c r="BF50" s="674"/>
      <c r="BG50" s="675"/>
      <c r="BH50" s="675"/>
      <c r="BI50" s="674"/>
      <c r="BJ50" s="674"/>
      <c r="BK50" s="674"/>
      <c r="BL50" s="675"/>
      <c r="BM50" s="675"/>
      <c r="BN50" s="674"/>
      <c r="BO50" s="674"/>
      <c r="BP50" s="674"/>
      <c r="BQ50" s="675"/>
      <c r="BR50" s="675"/>
    </row>
    <row r="51" spans="1:83" ht="6.75" hidden="1" customHeight="1" x14ac:dyDescent="0.25">
      <c r="A51" s="676"/>
      <c r="B51" s="676"/>
      <c r="C51" s="676"/>
      <c r="D51" s="29"/>
      <c r="E51" s="29"/>
      <c r="F51" s="676"/>
      <c r="G51" s="676"/>
      <c r="H51" s="676"/>
      <c r="I51" s="29"/>
      <c r="J51" s="29"/>
      <c r="K51" s="676"/>
      <c r="L51" s="676"/>
      <c r="M51" s="676"/>
      <c r="N51" s="29"/>
      <c r="O51" s="29"/>
      <c r="P51" s="676"/>
      <c r="Q51" s="676"/>
      <c r="R51" s="676"/>
      <c r="S51" s="29"/>
      <c r="T51" s="29"/>
      <c r="U51" s="676"/>
      <c r="V51" s="676"/>
      <c r="W51" s="676"/>
      <c r="X51" s="29"/>
      <c r="Y51" s="29"/>
      <c r="Z51" s="676"/>
      <c r="AA51" s="676"/>
      <c r="AB51" s="676"/>
      <c r="AC51" s="29"/>
      <c r="AD51" s="29"/>
      <c r="AE51" s="676"/>
      <c r="AF51" s="676"/>
      <c r="AG51" s="676"/>
      <c r="AH51" s="29"/>
      <c r="AI51" s="29"/>
      <c r="AJ51" s="676"/>
      <c r="AK51" s="676"/>
      <c r="AL51" s="676"/>
      <c r="AM51" s="29"/>
      <c r="AN51" s="29"/>
      <c r="AO51" s="676"/>
      <c r="AP51" s="676"/>
      <c r="AQ51" s="676"/>
      <c r="AR51" s="29"/>
      <c r="AS51" s="29"/>
      <c r="AT51" s="676"/>
      <c r="AU51" s="676"/>
      <c r="AV51" s="676"/>
      <c r="AW51" s="29"/>
      <c r="AX51" s="29"/>
      <c r="AY51" s="676"/>
      <c r="AZ51" s="676"/>
      <c r="BA51" s="676"/>
      <c r="BB51" s="29"/>
      <c r="BC51" s="29"/>
      <c r="BD51" s="676"/>
      <c r="BE51" s="676"/>
      <c r="BF51" s="676"/>
      <c r="BG51" s="29"/>
      <c r="BH51" s="29"/>
      <c r="BI51" s="676"/>
      <c r="BJ51" s="676"/>
      <c r="BK51" s="676"/>
      <c r="BL51" s="29"/>
      <c r="BM51" s="29"/>
      <c r="BN51" s="676"/>
      <c r="BO51" s="676"/>
      <c r="BP51" s="676"/>
      <c r="BQ51" s="29"/>
      <c r="BR51" s="29"/>
    </row>
    <row r="52" spans="1:83" ht="21.95" hidden="1" customHeight="1" x14ac:dyDescent="0.25">
      <c r="A52" s="676"/>
      <c r="B52" s="676"/>
      <c r="C52" s="676"/>
      <c r="D52" s="30"/>
      <c r="E52" s="29"/>
      <c r="F52" s="676"/>
      <c r="G52" s="676"/>
      <c r="H52" s="676"/>
      <c r="I52" s="30"/>
      <c r="J52" s="29"/>
      <c r="K52" s="676"/>
      <c r="L52" s="676"/>
      <c r="M52" s="676"/>
      <c r="N52" s="30"/>
      <c r="O52" s="29"/>
      <c r="P52" s="676"/>
      <c r="Q52" s="676"/>
      <c r="R52" s="676"/>
      <c r="S52" s="30"/>
      <c r="T52" s="29"/>
      <c r="U52" s="676"/>
      <c r="V52" s="676"/>
      <c r="W52" s="676"/>
      <c r="X52" s="30"/>
      <c r="Y52" s="29"/>
      <c r="Z52" s="676"/>
      <c r="AA52" s="676"/>
      <c r="AB52" s="676"/>
      <c r="AC52" s="30"/>
      <c r="AD52" s="29"/>
      <c r="AE52" s="676"/>
      <c r="AF52" s="676"/>
      <c r="AG52" s="676"/>
      <c r="AH52" s="30"/>
      <c r="AI52" s="29"/>
      <c r="AJ52" s="676"/>
      <c r="AK52" s="676"/>
      <c r="AL52" s="676"/>
      <c r="AM52" s="30"/>
      <c r="AN52" s="29"/>
      <c r="AO52" s="676"/>
      <c r="AP52" s="676"/>
      <c r="AQ52" s="676"/>
      <c r="AR52" s="30"/>
      <c r="AS52" s="29"/>
      <c r="AT52" s="676"/>
      <c r="AU52" s="676"/>
      <c r="AV52" s="676"/>
      <c r="AW52" s="30"/>
      <c r="AX52" s="29"/>
      <c r="AY52" s="676"/>
      <c r="AZ52" s="676"/>
      <c r="BA52" s="676"/>
      <c r="BB52" s="30"/>
      <c r="BC52" s="29"/>
      <c r="BD52" s="676"/>
      <c r="BE52" s="676"/>
      <c r="BF52" s="676"/>
      <c r="BG52" s="30"/>
      <c r="BH52" s="29"/>
      <c r="BI52" s="676"/>
      <c r="BJ52" s="676"/>
      <c r="BK52" s="676"/>
      <c r="BL52" s="30"/>
      <c r="BM52" s="29"/>
      <c r="BN52" s="676"/>
      <c r="BO52" s="676"/>
      <c r="BP52" s="676"/>
      <c r="BQ52" s="30"/>
      <c r="BR52" s="29"/>
    </row>
    <row r="53" spans="1:83" ht="6" hidden="1" customHeight="1" x14ac:dyDescent="0.25">
      <c r="A53" s="676"/>
      <c r="B53" s="676"/>
      <c r="C53" s="676"/>
      <c r="D53" s="675"/>
      <c r="E53" s="675"/>
      <c r="F53" s="676"/>
      <c r="G53" s="676"/>
      <c r="H53" s="676"/>
      <c r="I53" s="675"/>
      <c r="J53" s="675"/>
      <c r="K53" s="676"/>
      <c r="L53" s="676"/>
      <c r="M53" s="676"/>
      <c r="N53" s="675"/>
      <c r="O53" s="675"/>
      <c r="P53" s="676"/>
      <c r="Q53" s="676"/>
      <c r="R53" s="676"/>
      <c r="S53" s="675"/>
      <c r="T53" s="675"/>
      <c r="U53" s="676"/>
      <c r="V53" s="676"/>
      <c r="W53" s="676"/>
      <c r="X53" s="675"/>
      <c r="Y53" s="675"/>
      <c r="Z53" s="676"/>
      <c r="AA53" s="676"/>
      <c r="AB53" s="676"/>
      <c r="AC53" s="675"/>
      <c r="AD53" s="675"/>
      <c r="AE53" s="676"/>
      <c r="AF53" s="676"/>
      <c r="AG53" s="676"/>
      <c r="AH53" s="675"/>
      <c r="AI53" s="675"/>
      <c r="AJ53" s="676"/>
      <c r="AK53" s="676"/>
      <c r="AL53" s="676"/>
      <c r="AM53" s="675"/>
      <c r="AN53" s="675"/>
      <c r="AO53" s="676"/>
      <c r="AP53" s="676"/>
      <c r="AQ53" s="676"/>
      <c r="AR53" s="675"/>
      <c r="AS53" s="675"/>
      <c r="AT53" s="676"/>
      <c r="AU53" s="676"/>
      <c r="AV53" s="676"/>
      <c r="AW53" s="675"/>
      <c r="AX53" s="675"/>
      <c r="AY53" s="676"/>
      <c r="AZ53" s="676"/>
      <c r="BA53" s="676"/>
      <c r="BB53" s="675"/>
      <c r="BC53" s="675"/>
      <c r="BD53" s="676"/>
      <c r="BE53" s="676"/>
      <c r="BF53" s="676"/>
      <c r="BG53" s="675"/>
      <c r="BH53" s="675"/>
      <c r="BI53" s="676"/>
      <c r="BJ53" s="676"/>
      <c r="BK53" s="676"/>
      <c r="BL53" s="675"/>
      <c r="BM53" s="675"/>
      <c r="BN53" s="676"/>
      <c r="BO53" s="676"/>
      <c r="BP53" s="676"/>
      <c r="BQ53" s="675"/>
      <c r="BR53" s="675"/>
    </row>
    <row r="54" spans="1:83" ht="60" hidden="1" thickTop="1" thickBot="1" x14ac:dyDescent="0.3">
      <c r="A54" s="677"/>
      <c r="B54" s="678"/>
      <c r="C54" s="678"/>
      <c r="D54" s="678"/>
      <c r="E54" s="678"/>
      <c r="F54" s="677"/>
      <c r="G54" s="678"/>
      <c r="H54" s="678"/>
      <c r="I54" s="678"/>
      <c r="J54" s="678"/>
      <c r="K54" s="677"/>
      <c r="L54" s="678"/>
      <c r="M54" s="678"/>
      <c r="N54" s="678"/>
      <c r="O54" s="678"/>
      <c r="P54" s="677"/>
      <c r="Q54" s="678"/>
      <c r="R54" s="678"/>
      <c r="S54" s="678"/>
      <c r="T54" s="678"/>
      <c r="U54" s="677"/>
      <c r="V54" s="678"/>
      <c r="W54" s="678"/>
      <c r="X54" s="678"/>
      <c r="Y54" s="678"/>
      <c r="Z54" s="677"/>
      <c r="AA54" s="678"/>
      <c r="AB54" s="678"/>
      <c r="AC54" s="678"/>
      <c r="AD54" s="678"/>
      <c r="AE54" s="677"/>
      <c r="AF54" s="678"/>
      <c r="AG54" s="678"/>
      <c r="AH54" s="678"/>
      <c r="AI54" s="678"/>
      <c r="AJ54" s="677"/>
      <c r="AK54" s="678"/>
      <c r="AL54" s="678"/>
      <c r="AM54" s="678"/>
      <c r="AN54" s="678"/>
      <c r="AO54" s="677"/>
      <c r="AP54" s="678"/>
      <c r="AQ54" s="678"/>
      <c r="AR54" s="678"/>
      <c r="AS54" s="678"/>
      <c r="AT54" s="677"/>
      <c r="AU54" s="678"/>
      <c r="AV54" s="678"/>
      <c r="AW54" s="678"/>
      <c r="AX54" s="678"/>
      <c r="AY54" s="677"/>
      <c r="AZ54" s="678"/>
      <c r="BA54" s="678"/>
      <c r="BB54" s="678"/>
      <c r="BC54" s="678"/>
      <c r="BD54" s="677"/>
      <c r="BE54" s="678"/>
      <c r="BF54" s="678"/>
      <c r="BG54" s="678"/>
      <c r="BH54" s="678"/>
      <c r="BI54" s="677"/>
      <c r="BJ54" s="678"/>
      <c r="BK54" s="678"/>
      <c r="BL54" s="678"/>
      <c r="BM54" s="678"/>
      <c r="BN54" s="677"/>
      <c r="BO54" s="678"/>
      <c r="BP54" s="678"/>
      <c r="BQ54" s="678"/>
      <c r="BR54" s="678"/>
    </row>
    <row r="55" spans="1:83" ht="27.75" hidden="1" thickTop="1" thickBot="1" x14ac:dyDescent="0.3">
      <c r="A55" s="677"/>
      <c r="B55" s="32"/>
      <c r="C55" s="33"/>
      <c r="D55" s="34"/>
      <c r="E55" s="35"/>
      <c r="F55" s="677"/>
      <c r="G55" s="32"/>
      <c r="H55" s="33"/>
      <c r="I55" s="34"/>
      <c r="J55" s="35"/>
      <c r="K55" s="677"/>
      <c r="L55" s="32"/>
      <c r="M55" s="33"/>
      <c r="N55" s="34"/>
      <c r="O55" s="35"/>
      <c r="P55" s="677"/>
      <c r="Q55" s="32"/>
      <c r="R55" s="33"/>
      <c r="S55" s="34"/>
      <c r="T55" s="35"/>
      <c r="U55" s="677"/>
      <c r="V55" s="32"/>
      <c r="W55" s="33"/>
      <c r="X55" s="34"/>
      <c r="Y55" s="35"/>
      <c r="Z55" s="677"/>
      <c r="AA55" s="32"/>
      <c r="AB55" s="33"/>
      <c r="AC55" s="34"/>
      <c r="AD55" s="35"/>
      <c r="AE55" s="677"/>
      <c r="AF55" s="32"/>
      <c r="AG55" s="33"/>
      <c r="AH55" s="34"/>
      <c r="AI55" s="35"/>
      <c r="AJ55" s="677"/>
      <c r="AK55" s="32"/>
      <c r="AL55" s="33"/>
      <c r="AM55" s="34"/>
      <c r="AN55" s="35"/>
      <c r="AO55" s="677"/>
      <c r="AP55" s="32"/>
      <c r="AQ55" s="33"/>
      <c r="AR55" s="34"/>
      <c r="AS55" s="35"/>
      <c r="AT55" s="677"/>
      <c r="AU55" s="32"/>
      <c r="AV55" s="33"/>
      <c r="AW55" s="34"/>
      <c r="AX55" s="35"/>
      <c r="AY55" s="677"/>
      <c r="AZ55" s="32"/>
      <c r="BA55" s="33"/>
      <c r="BB55" s="34"/>
      <c r="BC55" s="35"/>
      <c r="BD55" s="677"/>
      <c r="BE55" s="32"/>
      <c r="BF55" s="33"/>
      <c r="BG55" s="34"/>
      <c r="BH55" s="35"/>
      <c r="BI55" s="677"/>
      <c r="BJ55" s="32"/>
      <c r="BK55" s="33"/>
      <c r="BL55" s="34"/>
      <c r="BM55" s="35"/>
      <c r="BN55" s="677"/>
      <c r="BO55" s="32"/>
      <c r="BP55" s="33"/>
      <c r="BQ55" s="34"/>
      <c r="BR55" s="35"/>
      <c r="BW55" s="27"/>
      <c r="BX55" s="27"/>
      <c r="BY55" s="27"/>
      <c r="BZ55" s="27"/>
      <c r="CA55" s="27"/>
      <c r="CB55" s="27"/>
      <c r="CC55" s="27"/>
      <c r="CD55" s="27"/>
      <c r="CE55" s="27"/>
    </row>
    <row r="56" spans="1:83" ht="26.1" hidden="1" customHeight="1" x14ac:dyDescent="0.25">
      <c r="A56" s="674"/>
      <c r="B56" s="674"/>
      <c r="C56" s="674"/>
      <c r="D56" s="675"/>
      <c r="E56" s="675"/>
      <c r="F56" s="674"/>
      <c r="G56" s="674"/>
      <c r="H56" s="674"/>
      <c r="I56" s="675"/>
      <c r="J56" s="675"/>
      <c r="K56" s="674"/>
      <c r="L56" s="674"/>
      <c r="M56" s="674"/>
      <c r="N56" s="675"/>
      <c r="O56" s="675"/>
      <c r="P56" s="674"/>
      <c r="Q56" s="674"/>
      <c r="R56" s="674"/>
      <c r="S56" s="675"/>
      <c r="T56" s="675"/>
      <c r="U56" s="674"/>
      <c r="V56" s="674"/>
      <c r="W56" s="674"/>
      <c r="X56" s="675"/>
      <c r="Y56" s="675"/>
      <c r="Z56" s="674"/>
      <c r="AA56" s="674"/>
      <c r="AB56" s="674"/>
      <c r="AC56" s="675"/>
      <c r="AD56" s="675"/>
      <c r="AE56" s="674"/>
      <c r="AF56" s="674"/>
      <c r="AG56" s="674"/>
      <c r="AH56" s="675"/>
      <c r="AI56" s="675"/>
      <c r="AJ56" s="674"/>
      <c r="AK56" s="674"/>
      <c r="AL56" s="674"/>
      <c r="AM56" s="675"/>
      <c r="AN56" s="675"/>
      <c r="AO56" s="674"/>
      <c r="AP56" s="674"/>
      <c r="AQ56" s="674"/>
      <c r="AR56" s="675"/>
      <c r="AS56" s="675"/>
      <c r="AT56" s="674"/>
      <c r="AU56" s="674"/>
      <c r="AV56" s="674"/>
      <c r="AW56" s="675"/>
      <c r="AX56" s="675"/>
      <c r="AY56" s="674"/>
      <c r="AZ56" s="674"/>
      <c r="BA56" s="674"/>
      <c r="BB56" s="675"/>
      <c r="BC56" s="675"/>
      <c r="BD56" s="674"/>
      <c r="BE56" s="674"/>
      <c r="BF56" s="674"/>
      <c r="BG56" s="675"/>
      <c r="BH56" s="675"/>
      <c r="BI56" s="674"/>
      <c r="BJ56" s="674"/>
      <c r="BK56" s="674"/>
      <c r="BL56" s="675"/>
      <c r="BM56" s="675"/>
      <c r="BN56" s="674"/>
      <c r="BO56" s="674"/>
      <c r="BP56" s="674"/>
      <c r="BQ56" s="675"/>
      <c r="BR56" s="675"/>
    </row>
    <row r="57" spans="1:83" ht="6.75" hidden="1" customHeight="1" x14ac:dyDescent="0.25">
      <c r="A57" s="676"/>
      <c r="B57" s="676"/>
      <c r="C57" s="676"/>
      <c r="D57" s="29"/>
      <c r="E57" s="29"/>
      <c r="F57" s="676"/>
      <c r="G57" s="676"/>
      <c r="H57" s="676"/>
      <c r="I57" s="29"/>
      <c r="J57" s="29"/>
      <c r="K57" s="676"/>
      <c r="L57" s="676"/>
      <c r="M57" s="676"/>
      <c r="N57" s="29"/>
      <c r="O57" s="29"/>
      <c r="P57" s="676"/>
      <c r="Q57" s="676"/>
      <c r="R57" s="676"/>
      <c r="S57" s="29"/>
      <c r="T57" s="29"/>
      <c r="U57" s="676"/>
      <c r="V57" s="676"/>
      <c r="W57" s="676"/>
      <c r="X57" s="29"/>
      <c r="Y57" s="29"/>
      <c r="Z57" s="676"/>
      <c r="AA57" s="676"/>
      <c r="AB57" s="676"/>
      <c r="AC57" s="29"/>
      <c r="AD57" s="29"/>
      <c r="AE57" s="676"/>
      <c r="AF57" s="676"/>
      <c r="AG57" s="676"/>
      <c r="AH57" s="29"/>
      <c r="AI57" s="29"/>
      <c r="AJ57" s="676"/>
      <c r="AK57" s="676"/>
      <c r="AL57" s="676"/>
      <c r="AM57" s="29"/>
      <c r="AN57" s="29"/>
      <c r="AO57" s="676"/>
      <c r="AP57" s="676"/>
      <c r="AQ57" s="676"/>
      <c r="AR57" s="29"/>
      <c r="AS57" s="29"/>
      <c r="AT57" s="676"/>
      <c r="AU57" s="676"/>
      <c r="AV57" s="676"/>
      <c r="AW57" s="29"/>
      <c r="AX57" s="29"/>
      <c r="AY57" s="676"/>
      <c r="AZ57" s="676"/>
      <c r="BA57" s="676"/>
      <c r="BB57" s="29"/>
      <c r="BC57" s="29"/>
      <c r="BD57" s="676"/>
      <c r="BE57" s="676"/>
      <c r="BF57" s="676"/>
      <c r="BG57" s="29"/>
      <c r="BH57" s="29"/>
      <c r="BI57" s="676"/>
      <c r="BJ57" s="676"/>
      <c r="BK57" s="676"/>
      <c r="BL57" s="29"/>
      <c r="BM57" s="29"/>
      <c r="BN57" s="676"/>
      <c r="BO57" s="676"/>
      <c r="BP57" s="676"/>
      <c r="BQ57" s="29"/>
      <c r="BR57" s="29"/>
    </row>
    <row r="58" spans="1:83" ht="21.95" hidden="1" customHeight="1" x14ac:dyDescent="0.25">
      <c r="A58" s="676"/>
      <c r="B58" s="676"/>
      <c r="C58" s="676"/>
      <c r="D58" s="30"/>
      <c r="E58" s="29"/>
      <c r="F58" s="676"/>
      <c r="G58" s="676"/>
      <c r="H58" s="676"/>
      <c r="I58" s="30"/>
      <c r="J58" s="29"/>
      <c r="K58" s="676"/>
      <c r="L58" s="676"/>
      <c r="M58" s="676"/>
      <c r="N58" s="30"/>
      <c r="O58" s="29"/>
      <c r="P58" s="676"/>
      <c r="Q58" s="676"/>
      <c r="R58" s="676"/>
      <c r="S58" s="30"/>
      <c r="T58" s="29"/>
      <c r="U58" s="676"/>
      <c r="V58" s="676"/>
      <c r="W58" s="676"/>
      <c r="X58" s="30"/>
      <c r="Y58" s="29"/>
      <c r="Z58" s="676"/>
      <c r="AA58" s="676"/>
      <c r="AB58" s="676"/>
      <c r="AC58" s="30"/>
      <c r="AD58" s="29"/>
      <c r="AE58" s="676"/>
      <c r="AF58" s="676"/>
      <c r="AG58" s="676"/>
      <c r="AH58" s="30"/>
      <c r="AI58" s="29"/>
      <c r="AJ58" s="676"/>
      <c r="AK58" s="676"/>
      <c r="AL58" s="676"/>
      <c r="AM58" s="30"/>
      <c r="AN58" s="29"/>
      <c r="AO58" s="676"/>
      <c r="AP58" s="676"/>
      <c r="AQ58" s="676"/>
      <c r="AR58" s="30"/>
      <c r="AS58" s="29"/>
      <c r="AT58" s="676"/>
      <c r="AU58" s="676"/>
      <c r="AV58" s="676"/>
      <c r="AW58" s="30"/>
      <c r="AX58" s="29"/>
      <c r="AY58" s="676"/>
      <c r="AZ58" s="676"/>
      <c r="BA58" s="676"/>
      <c r="BB58" s="30"/>
      <c r="BC58" s="29"/>
      <c r="BD58" s="676"/>
      <c r="BE58" s="676"/>
      <c r="BF58" s="676"/>
      <c r="BG58" s="30"/>
      <c r="BH58" s="29"/>
      <c r="BI58" s="676"/>
      <c r="BJ58" s="676"/>
      <c r="BK58" s="676"/>
      <c r="BL58" s="30"/>
      <c r="BM58" s="29"/>
      <c r="BN58" s="676"/>
      <c r="BO58" s="676"/>
      <c r="BP58" s="676"/>
      <c r="BQ58" s="30"/>
      <c r="BR58" s="29"/>
    </row>
    <row r="59" spans="1:83" ht="6" hidden="1" customHeight="1" x14ac:dyDescent="0.25">
      <c r="A59" s="676"/>
      <c r="B59" s="676"/>
      <c r="C59" s="676"/>
      <c r="D59" s="675"/>
      <c r="E59" s="675"/>
      <c r="F59" s="676"/>
      <c r="G59" s="676"/>
      <c r="H59" s="676"/>
      <c r="I59" s="675"/>
      <c r="J59" s="675"/>
      <c r="K59" s="676"/>
      <c r="L59" s="676"/>
      <c r="M59" s="676"/>
      <c r="N59" s="675"/>
      <c r="O59" s="675"/>
      <c r="P59" s="676"/>
      <c r="Q59" s="676"/>
      <c r="R59" s="676"/>
      <c r="S59" s="675"/>
      <c r="T59" s="675"/>
      <c r="U59" s="676"/>
      <c r="V59" s="676"/>
      <c r="W59" s="676"/>
      <c r="X59" s="675"/>
      <c r="Y59" s="675"/>
      <c r="Z59" s="676"/>
      <c r="AA59" s="676"/>
      <c r="AB59" s="676"/>
      <c r="AC59" s="675"/>
      <c r="AD59" s="675"/>
      <c r="AE59" s="676"/>
      <c r="AF59" s="676"/>
      <c r="AG59" s="676"/>
      <c r="AH59" s="675"/>
      <c r="AI59" s="675"/>
      <c r="AJ59" s="676"/>
      <c r="AK59" s="676"/>
      <c r="AL59" s="676"/>
      <c r="AM59" s="675"/>
      <c r="AN59" s="675"/>
      <c r="AO59" s="676"/>
      <c r="AP59" s="676"/>
      <c r="AQ59" s="676"/>
      <c r="AR59" s="675"/>
      <c r="AS59" s="675"/>
      <c r="AT59" s="676"/>
      <c r="AU59" s="676"/>
      <c r="AV59" s="676"/>
      <c r="AW59" s="675"/>
      <c r="AX59" s="675"/>
      <c r="AY59" s="676"/>
      <c r="AZ59" s="676"/>
      <c r="BA59" s="676"/>
      <c r="BB59" s="675"/>
      <c r="BC59" s="675"/>
      <c r="BD59" s="676"/>
      <c r="BE59" s="676"/>
      <c r="BF59" s="676"/>
      <c r="BG59" s="675"/>
      <c r="BH59" s="675"/>
      <c r="BI59" s="676"/>
      <c r="BJ59" s="676"/>
      <c r="BK59" s="676"/>
      <c r="BL59" s="675"/>
      <c r="BM59" s="675"/>
      <c r="BN59" s="676"/>
      <c r="BO59" s="676"/>
      <c r="BP59" s="676"/>
      <c r="BQ59" s="675"/>
      <c r="BR59" s="675"/>
    </row>
    <row r="60" spans="1:83" ht="60" hidden="1" thickTop="1" thickBot="1" x14ac:dyDescent="0.3">
      <c r="A60" s="677"/>
      <c r="B60" s="678"/>
      <c r="C60" s="678"/>
      <c r="D60" s="678"/>
      <c r="E60" s="678"/>
      <c r="F60" s="677"/>
      <c r="G60" s="678"/>
      <c r="H60" s="678"/>
      <c r="I60" s="678"/>
      <c r="J60" s="678"/>
      <c r="K60" s="677"/>
      <c r="L60" s="678"/>
      <c r="M60" s="678"/>
      <c r="N60" s="678"/>
      <c r="O60" s="678"/>
      <c r="P60" s="677"/>
      <c r="Q60" s="678"/>
      <c r="R60" s="678"/>
      <c r="S60" s="678"/>
      <c r="T60" s="678"/>
      <c r="U60" s="677"/>
      <c r="V60" s="678"/>
      <c r="W60" s="678"/>
      <c r="X60" s="678"/>
      <c r="Y60" s="678"/>
      <c r="Z60" s="677"/>
      <c r="AA60" s="678"/>
      <c r="AB60" s="678"/>
      <c r="AC60" s="678"/>
      <c r="AD60" s="678"/>
      <c r="AE60" s="677"/>
      <c r="AF60" s="678"/>
      <c r="AG60" s="678"/>
      <c r="AH60" s="678"/>
      <c r="AI60" s="678"/>
      <c r="AJ60" s="677"/>
      <c r="AK60" s="678"/>
      <c r="AL60" s="678"/>
      <c r="AM60" s="678"/>
      <c r="AN60" s="678"/>
      <c r="AO60" s="677"/>
      <c r="AP60" s="678"/>
      <c r="AQ60" s="678"/>
      <c r="AR60" s="678"/>
      <c r="AS60" s="678"/>
      <c r="AT60" s="677"/>
      <c r="AU60" s="678"/>
      <c r="AV60" s="678"/>
      <c r="AW60" s="678"/>
      <c r="AX60" s="678"/>
      <c r="AY60" s="677"/>
      <c r="AZ60" s="678"/>
      <c r="BA60" s="678"/>
      <c r="BB60" s="678"/>
      <c r="BC60" s="678"/>
      <c r="BD60" s="677"/>
      <c r="BE60" s="678"/>
      <c r="BF60" s="678"/>
      <c r="BG60" s="678"/>
      <c r="BH60" s="678"/>
      <c r="BI60" s="677"/>
      <c r="BJ60" s="678"/>
      <c r="BK60" s="678"/>
      <c r="BL60" s="678"/>
      <c r="BM60" s="678"/>
      <c r="BN60" s="677"/>
      <c r="BO60" s="678"/>
      <c r="BP60" s="678"/>
      <c r="BQ60" s="678"/>
      <c r="BR60" s="678"/>
    </row>
    <row r="61" spans="1:83" ht="27.75" hidden="1" thickTop="1" thickBot="1" x14ac:dyDescent="0.3">
      <c r="A61" s="677"/>
      <c r="B61" s="32"/>
      <c r="C61" s="33"/>
      <c r="D61" s="34"/>
      <c r="E61" s="35"/>
      <c r="F61" s="677"/>
      <c r="G61" s="32"/>
      <c r="H61" s="33"/>
      <c r="I61" s="34"/>
      <c r="J61" s="35"/>
      <c r="K61" s="677"/>
      <c r="L61" s="32"/>
      <c r="M61" s="33"/>
      <c r="N61" s="34"/>
      <c r="O61" s="35"/>
      <c r="P61" s="677"/>
      <c r="Q61" s="32"/>
      <c r="R61" s="33"/>
      <c r="S61" s="34"/>
      <c r="T61" s="35"/>
      <c r="U61" s="677"/>
      <c r="V61" s="32"/>
      <c r="W61" s="33"/>
      <c r="X61" s="34"/>
      <c r="Y61" s="35"/>
      <c r="Z61" s="677"/>
      <c r="AA61" s="32"/>
      <c r="AB61" s="33"/>
      <c r="AC61" s="34"/>
      <c r="AD61" s="35"/>
      <c r="AE61" s="677"/>
      <c r="AF61" s="32"/>
      <c r="AG61" s="33"/>
      <c r="AH61" s="34"/>
      <c r="AI61" s="35"/>
      <c r="AJ61" s="677"/>
      <c r="AK61" s="32"/>
      <c r="AL61" s="33"/>
      <c r="AM61" s="34"/>
      <c r="AN61" s="35"/>
      <c r="AO61" s="677"/>
      <c r="AP61" s="32"/>
      <c r="AQ61" s="33"/>
      <c r="AR61" s="34"/>
      <c r="AS61" s="35"/>
      <c r="AT61" s="677"/>
      <c r="AU61" s="32"/>
      <c r="AV61" s="33"/>
      <c r="AW61" s="34"/>
      <c r="AX61" s="35"/>
      <c r="AY61" s="677"/>
      <c r="AZ61" s="32"/>
      <c r="BA61" s="33"/>
      <c r="BB61" s="34"/>
      <c r="BC61" s="35"/>
      <c r="BD61" s="677"/>
      <c r="BE61" s="32"/>
      <c r="BF61" s="33"/>
      <c r="BG61" s="34"/>
      <c r="BH61" s="35"/>
      <c r="BI61" s="677"/>
      <c r="BJ61" s="32"/>
      <c r="BK61" s="33"/>
      <c r="BL61" s="34"/>
      <c r="BM61" s="35"/>
      <c r="BN61" s="677"/>
      <c r="BO61" s="32"/>
      <c r="BP61" s="33"/>
      <c r="BQ61" s="34"/>
      <c r="BR61" s="35"/>
      <c r="BW61" s="27"/>
      <c r="BX61" s="27"/>
      <c r="BY61" s="27"/>
      <c r="BZ61" s="27"/>
      <c r="CA61" s="27"/>
      <c r="CB61" s="27"/>
      <c r="CC61" s="27"/>
      <c r="CD61" s="27"/>
      <c r="CE61" s="27"/>
    </row>
    <row r="62" spans="1:83" s="42" customFormat="1" ht="3" customHeight="1" thickTop="1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W62" s="43"/>
      <c r="BX62" s="43"/>
      <c r="BY62" s="43"/>
      <c r="BZ62" s="43"/>
      <c r="CA62" s="43"/>
      <c r="CB62" s="43"/>
      <c r="CC62" s="43"/>
      <c r="CD62" s="43"/>
      <c r="CE62" s="43"/>
    </row>
    <row r="63" spans="1:83" ht="36" hidden="1" customHeight="1" thickTop="1" x14ac:dyDescent="0.25">
      <c r="A63" s="582" t="s">
        <v>110</v>
      </c>
      <c r="B63" s="583"/>
      <c r="C63" s="584">
        <f t="shared" ref="C63" si="106">B68/((72*3.1415/59)*(129.67/3.281))</f>
        <v>0</v>
      </c>
      <c r="D63" s="584"/>
      <c r="E63" s="585"/>
      <c r="F63" s="582" t="s">
        <v>110</v>
      </c>
      <c r="G63" s="583"/>
      <c r="H63" s="584">
        <f t="shared" ref="H63" si="107">G68/((72*3.1415/59)*(129.67/3.281))</f>
        <v>0</v>
      </c>
      <c r="I63" s="584"/>
      <c r="J63" s="585"/>
      <c r="K63" s="582" t="s">
        <v>110</v>
      </c>
      <c r="L63" s="583"/>
      <c r="M63" s="584">
        <f t="shared" ref="M63" si="108">L68/((72*3.1415/59)*(129.67/3.281))</f>
        <v>0</v>
      </c>
      <c r="N63" s="584"/>
      <c r="O63" s="585"/>
      <c r="P63" s="582" t="s">
        <v>110</v>
      </c>
      <c r="Q63" s="583"/>
      <c r="R63" s="584">
        <f t="shared" ref="R63" si="109">Q68/((72*3.1415/59)*(129.67/3.281))</f>
        <v>0</v>
      </c>
      <c r="S63" s="584"/>
      <c r="T63" s="585"/>
      <c r="U63" s="582" t="s">
        <v>110</v>
      </c>
      <c r="V63" s="583"/>
      <c r="W63" s="584">
        <f t="shared" ref="W63" si="110">V68/((72*3.1415/59)*(129.67/3.281))</f>
        <v>0</v>
      </c>
      <c r="X63" s="584"/>
      <c r="Y63" s="585"/>
      <c r="Z63" s="582" t="s">
        <v>110</v>
      </c>
      <c r="AA63" s="583"/>
      <c r="AB63" s="584">
        <f t="shared" ref="AB63" si="111">AA68/((72*3.1415/59)*(129.67/3.281))</f>
        <v>0</v>
      </c>
      <c r="AC63" s="584"/>
      <c r="AD63" s="585"/>
      <c r="AE63" s="582" t="s">
        <v>110</v>
      </c>
      <c r="AF63" s="583"/>
      <c r="AG63" s="584">
        <f t="shared" ref="AG63" si="112">AF68/((72*3.1415/59)*(129.67/3.281))</f>
        <v>0</v>
      </c>
      <c r="AH63" s="584"/>
      <c r="AI63" s="585"/>
      <c r="AJ63" s="582" t="s">
        <v>110</v>
      </c>
      <c r="AK63" s="583"/>
      <c r="AL63" s="584">
        <f t="shared" ref="AL63" si="113">AK68/((72*3.1415/59)*(129.67/3.281))</f>
        <v>0</v>
      </c>
      <c r="AM63" s="584"/>
      <c r="AN63" s="585"/>
      <c r="AO63" s="582" t="s">
        <v>110</v>
      </c>
      <c r="AP63" s="583"/>
      <c r="AQ63" s="584">
        <f t="shared" ref="AQ63" si="114">AP68/((72*3.1415/59)*(129.67/3.281))</f>
        <v>0</v>
      </c>
      <c r="AR63" s="584"/>
      <c r="AS63" s="585"/>
      <c r="AT63" s="582" t="s">
        <v>110</v>
      </c>
      <c r="AU63" s="583"/>
      <c r="AV63" s="584">
        <f t="shared" ref="AV63" si="115">AU68/((72*3.1415/59)*(129.67/3.281))</f>
        <v>0</v>
      </c>
      <c r="AW63" s="584"/>
      <c r="AX63" s="585"/>
      <c r="AY63" s="582" t="s">
        <v>110</v>
      </c>
      <c r="AZ63" s="583"/>
      <c r="BA63" s="584">
        <f t="shared" ref="BA63" si="116">AZ68/((72*3.1415/59)*(129.67/3.281))</f>
        <v>0</v>
      </c>
      <c r="BB63" s="584"/>
      <c r="BC63" s="585"/>
      <c r="BD63" s="582" t="s">
        <v>110</v>
      </c>
      <c r="BE63" s="583"/>
      <c r="BF63" s="584">
        <f t="shared" ref="BF63" si="117">BE68/((72*3.1415/59)*(129.67/3.281))</f>
        <v>0</v>
      </c>
      <c r="BG63" s="584"/>
      <c r="BH63" s="585"/>
      <c r="BI63" s="582" t="s">
        <v>110</v>
      </c>
      <c r="BJ63" s="583"/>
      <c r="BK63" s="584">
        <f t="shared" ref="BK63" si="118">BJ68/((72*3.1415/59)*(129.67/3.281))</f>
        <v>0</v>
      </c>
      <c r="BL63" s="584"/>
      <c r="BM63" s="585"/>
      <c r="BN63" s="582" t="s">
        <v>110</v>
      </c>
      <c r="BO63" s="583"/>
      <c r="BP63" s="584">
        <f t="shared" ref="BP63" si="119">BO68/((72*3.1415/59)*(129.67/3.281))</f>
        <v>0</v>
      </c>
      <c r="BQ63" s="584"/>
      <c r="BR63" s="585"/>
    </row>
    <row r="64" spans="1:83" ht="6.75" hidden="1" customHeight="1" x14ac:dyDescent="0.25">
      <c r="A64" s="679" t="s">
        <v>489</v>
      </c>
      <c r="B64" s="680"/>
      <c r="C64" s="685" t="s">
        <v>504</v>
      </c>
      <c r="D64" s="686"/>
      <c r="E64" s="687"/>
      <c r="F64" s="679" t="s">
        <v>489</v>
      </c>
      <c r="G64" s="680"/>
      <c r="H64" s="685" t="s">
        <v>504</v>
      </c>
      <c r="I64" s="686"/>
      <c r="J64" s="687"/>
      <c r="K64" s="679" t="s">
        <v>489</v>
      </c>
      <c r="L64" s="680"/>
      <c r="M64" s="685" t="s">
        <v>504</v>
      </c>
      <c r="N64" s="686"/>
      <c r="O64" s="687"/>
      <c r="P64" s="679" t="s">
        <v>489</v>
      </c>
      <c r="Q64" s="680"/>
      <c r="R64" s="685" t="s">
        <v>504</v>
      </c>
      <c r="S64" s="686"/>
      <c r="T64" s="687"/>
      <c r="U64" s="679" t="s">
        <v>489</v>
      </c>
      <c r="V64" s="680"/>
      <c r="W64" s="685" t="s">
        <v>504</v>
      </c>
      <c r="X64" s="686"/>
      <c r="Y64" s="687"/>
      <c r="Z64" s="679" t="s">
        <v>489</v>
      </c>
      <c r="AA64" s="680"/>
      <c r="AB64" s="685" t="s">
        <v>504</v>
      </c>
      <c r="AC64" s="686"/>
      <c r="AD64" s="687"/>
      <c r="AE64" s="679" t="s">
        <v>489</v>
      </c>
      <c r="AF64" s="680"/>
      <c r="AG64" s="685" t="s">
        <v>504</v>
      </c>
      <c r="AH64" s="686"/>
      <c r="AI64" s="687"/>
      <c r="AJ64" s="679" t="s">
        <v>489</v>
      </c>
      <c r="AK64" s="680"/>
      <c r="AL64" s="685" t="s">
        <v>504</v>
      </c>
      <c r="AM64" s="686"/>
      <c r="AN64" s="687"/>
      <c r="AO64" s="679" t="s">
        <v>489</v>
      </c>
      <c r="AP64" s="680"/>
      <c r="AQ64" s="685" t="s">
        <v>504</v>
      </c>
      <c r="AR64" s="686"/>
      <c r="AS64" s="687"/>
      <c r="AT64" s="679" t="s">
        <v>489</v>
      </c>
      <c r="AU64" s="680"/>
      <c r="AV64" s="685" t="s">
        <v>504</v>
      </c>
      <c r="AW64" s="686"/>
      <c r="AX64" s="687"/>
      <c r="AY64" s="679" t="s">
        <v>489</v>
      </c>
      <c r="AZ64" s="680"/>
      <c r="BA64" s="685" t="s">
        <v>504</v>
      </c>
      <c r="BB64" s="686"/>
      <c r="BC64" s="687"/>
      <c r="BD64" s="679" t="s">
        <v>489</v>
      </c>
      <c r="BE64" s="680"/>
      <c r="BF64" s="685" t="s">
        <v>504</v>
      </c>
      <c r="BG64" s="686"/>
      <c r="BH64" s="687"/>
      <c r="BI64" s="679" t="s">
        <v>489</v>
      </c>
      <c r="BJ64" s="680"/>
      <c r="BK64" s="685" t="s">
        <v>504</v>
      </c>
      <c r="BL64" s="686"/>
      <c r="BM64" s="687"/>
      <c r="BN64" s="679" t="s">
        <v>489</v>
      </c>
      <c r="BO64" s="680"/>
      <c r="BP64" s="685" t="s">
        <v>504</v>
      </c>
      <c r="BQ64" s="686"/>
      <c r="BR64" s="687"/>
    </row>
    <row r="65" spans="1:172" ht="9.75" hidden="1" customHeight="1" x14ac:dyDescent="0.25">
      <c r="A65" s="681"/>
      <c r="B65" s="682"/>
      <c r="C65" s="688"/>
      <c r="D65" s="689"/>
      <c r="E65" s="690"/>
      <c r="F65" s="681"/>
      <c r="G65" s="682"/>
      <c r="H65" s="688"/>
      <c r="I65" s="689"/>
      <c r="J65" s="690"/>
      <c r="K65" s="681"/>
      <c r="L65" s="682"/>
      <c r="M65" s="688"/>
      <c r="N65" s="689"/>
      <c r="O65" s="690"/>
      <c r="P65" s="681"/>
      <c r="Q65" s="682"/>
      <c r="R65" s="688"/>
      <c r="S65" s="689"/>
      <c r="T65" s="690"/>
      <c r="U65" s="681"/>
      <c r="V65" s="682"/>
      <c r="W65" s="688"/>
      <c r="X65" s="689"/>
      <c r="Y65" s="690"/>
      <c r="Z65" s="681"/>
      <c r="AA65" s="682"/>
      <c r="AB65" s="688"/>
      <c r="AC65" s="689"/>
      <c r="AD65" s="690"/>
      <c r="AE65" s="681"/>
      <c r="AF65" s="682"/>
      <c r="AG65" s="688"/>
      <c r="AH65" s="689"/>
      <c r="AI65" s="690"/>
      <c r="AJ65" s="681"/>
      <c r="AK65" s="682"/>
      <c r="AL65" s="688"/>
      <c r="AM65" s="689"/>
      <c r="AN65" s="690"/>
      <c r="AO65" s="681"/>
      <c r="AP65" s="682"/>
      <c r="AQ65" s="688"/>
      <c r="AR65" s="689"/>
      <c r="AS65" s="690"/>
      <c r="AT65" s="681"/>
      <c r="AU65" s="682"/>
      <c r="AV65" s="688"/>
      <c r="AW65" s="689"/>
      <c r="AX65" s="690"/>
      <c r="AY65" s="681"/>
      <c r="AZ65" s="682"/>
      <c r="BA65" s="688"/>
      <c r="BB65" s="689"/>
      <c r="BC65" s="690"/>
      <c r="BD65" s="681"/>
      <c r="BE65" s="682"/>
      <c r="BF65" s="688"/>
      <c r="BG65" s="689"/>
      <c r="BH65" s="690"/>
      <c r="BI65" s="681"/>
      <c r="BJ65" s="682"/>
      <c r="BK65" s="688"/>
      <c r="BL65" s="689"/>
      <c r="BM65" s="690"/>
      <c r="BN65" s="681"/>
      <c r="BO65" s="682"/>
      <c r="BP65" s="688"/>
      <c r="BQ65" s="689"/>
      <c r="BR65" s="690"/>
      <c r="CY65" s="37"/>
      <c r="CZ65" s="38"/>
      <c r="DA65" s="39"/>
      <c r="DB65" s="40"/>
      <c r="DC65" s="41"/>
      <c r="DD65" s="37"/>
      <c r="DE65" s="38"/>
      <c r="DF65" s="39"/>
      <c r="DG65" s="40"/>
      <c r="DH65" s="41"/>
      <c r="DI65" s="37"/>
      <c r="DJ65" s="38"/>
      <c r="DK65" s="39"/>
      <c r="DL65" s="40"/>
      <c r="DM65" s="41"/>
      <c r="DN65" s="37"/>
      <c r="DO65" s="38"/>
      <c r="DP65" s="39"/>
      <c r="DQ65" s="40"/>
      <c r="DR65" s="41"/>
      <c r="DS65" s="37"/>
      <c r="DT65" s="38"/>
      <c r="DU65" s="39"/>
      <c r="DV65" s="697"/>
      <c r="DW65" s="697"/>
      <c r="DX65" s="697"/>
      <c r="DY65" s="697"/>
      <c r="DZ65" s="697"/>
      <c r="EA65" s="697"/>
      <c r="EB65" s="697"/>
      <c r="EC65" s="697"/>
      <c r="ED65" s="697"/>
      <c r="EE65" s="697"/>
      <c r="EF65" s="697"/>
      <c r="EG65" s="697"/>
      <c r="EH65" s="37"/>
      <c r="EI65" s="38"/>
      <c r="EJ65" s="39"/>
      <c r="EK65" s="40"/>
      <c r="EL65" s="41"/>
      <c r="EM65" s="37"/>
      <c r="EN65" s="38"/>
      <c r="EO65" s="39"/>
      <c r="EP65" s="40"/>
      <c r="EQ65" s="41"/>
      <c r="ER65" s="37"/>
      <c r="ES65" s="38"/>
      <c r="ET65" s="39"/>
      <c r="EU65" s="40"/>
      <c r="EV65" s="41"/>
      <c r="EW65" s="37"/>
      <c r="EX65" s="38"/>
      <c r="EY65" s="39"/>
      <c r="EZ65" s="40"/>
      <c r="FA65" s="41"/>
      <c r="FB65" s="37"/>
      <c r="FC65" s="38"/>
      <c r="FD65" s="39"/>
      <c r="FE65" s="40"/>
      <c r="FF65" s="41"/>
      <c r="FG65" s="37"/>
      <c r="FH65" s="38"/>
      <c r="FI65" s="39"/>
      <c r="FJ65" s="40"/>
      <c r="FK65" s="41"/>
      <c r="FL65" s="37"/>
      <c r="FM65" s="38"/>
      <c r="FN65" s="39"/>
      <c r="FO65" s="40"/>
      <c r="FP65" s="41"/>
    </row>
    <row r="66" spans="1:172" ht="6" hidden="1" customHeight="1" x14ac:dyDescent="0.25">
      <c r="A66" s="683"/>
      <c r="B66" s="684"/>
      <c r="C66" s="691"/>
      <c r="D66" s="692"/>
      <c r="E66" s="693"/>
      <c r="F66" s="683"/>
      <c r="G66" s="684"/>
      <c r="H66" s="691"/>
      <c r="I66" s="692"/>
      <c r="J66" s="693"/>
      <c r="K66" s="683"/>
      <c r="L66" s="684"/>
      <c r="M66" s="691"/>
      <c r="N66" s="692"/>
      <c r="O66" s="693"/>
      <c r="P66" s="683"/>
      <c r="Q66" s="684"/>
      <c r="R66" s="691"/>
      <c r="S66" s="692"/>
      <c r="T66" s="693"/>
      <c r="U66" s="683"/>
      <c r="V66" s="684"/>
      <c r="W66" s="691"/>
      <c r="X66" s="692"/>
      <c r="Y66" s="693"/>
      <c r="Z66" s="683"/>
      <c r="AA66" s="684"/>
      <c r="AB66" s="691"/>
      <c r="AC66" s="692"/>
      <c r="AD66" s="693"/>
      <c r="AE66" s="683"/>
      <c r="AF66" s="684"/>
      <c r="AG66" s="691"/>
      <c r="AH66" s="692"/>
      <c r="AI66" s="693"/>
      <c r="AJ66" s="683"/>
      <c r="AK66" s="684"/>
      <c r="AL66" s="691"/>
      <c r="AM66" s="692"/>
      <c r="AN66" s="693"/>
      <c r="AO66" s="683"/>
      <c r="AP66" s="684"/>
      <c r="AQ66" s="691"/>
      <c r="AR66" s="692"/>
      <c r="AS66" s="693"/>
      <c r="AT66" s="683"/>
      <c r="AU66" s="684"/>
      <c r="AV66" s="691"/>
      <c r="AW66" s="692"/>
      <c r="AX66" s="693"/>
      <c r="AY66" s="683"/>
      <c r="AZ66" s="684"/>
      <c r="BA66" s="691"/>
      <c r="BB66" s="692"/>
      <c r="BC66" s="693"/>
      <c r="BD66" s="683"/>
      <c r="BE66" s="684"/>
      <c r="BF66" s="691"/>
      <c r="BG66" s="692"/>
      <c r="BH66" s="693"/>
      <c r="BI66" s="683"/>
      <c r="BJ66" s="684"/>
      <c r="BK66" s="691"/>
      <c r="BL66" s="692"/>
      <c r="BM66" s="693"/>
      <c r="BN66" s="683"/>
      <c r="BO66" s="684"/>
      <c r="BP66" s="691"/>
      <c r="BQ66" s="692"/>
      <c r="BR66" s="693"/>
      <c r="CY66" s="674"/>
      <c r="CZ66" s="674"/>
      <c r="DA66" s="674"/>
      <c r="DB66" s="675"/>
      <c r="DC66" s="675"/>
      <c r="DD66" s="44"/>
      <c r="DE66" s="702"/>
      <c r="DF66" s="702"/>
      <c r="DG66" s="702"/>
      <c r="DI66" s="45"/>
      <c r="DJ66" s="45"/>
      <c r="DK66" s="45"/>
      <c r="DL66" s="45"/>
      <c r="DM66" s="45"/>
      <c r="DN66" s="45"/>
      <c r="DO66" s="45"/>
      <c r="DP66" s="45"/>
      <c r="DQ66" s="45"/>
      <c r="DR66" s="45"/>
      <c r="DS66" s="45"/>
      <c r="DT66" s="45"/>
      <c r="DU66" s="45"/>
      <c r="DV66" s="697"/>
      <c r="DW66" s="697"/>
      <c r="DX66" s="697"/>
      <c r="DY66" s="697"/>
      <c r="DZ66" s="697"/>
      <c r="EA66" s="697"/>
      <c r="EB66" s="697"/>
      <c r="EC66" s="697"/>
      <c r="ED66" s="697"/>
      <c r="EE66" s="697"/>
      <c r="EF66" s="697"/>
      <c r="EG66" s="697"/>
      <c r="EH66" s="697"/>
      <c r="EI66" s="697"/>
      <c r="EJ66" s="697"/>
      <c r="EK66" s="697"/>
      <c r="EL66" s="697"/>
      <c r="EM66" s="697"/>
      <c r="EN66" s="697"/>
      <c r="EO66" s="697"/>
      <c r="EP66" s="697"/>
      <c r="EQ66" s="697"/>
      <c r="ER66" s="46"/>
      <c r="ES66" s="698"/>
      <c r="ET66" s="698"/>
      <c r="EU66" s="698"/>
      <c r="EV66" s="698"/>
      <c r="EW66" s="698"/>
      <c r="EX66" s="698"/>
      <c r="EY66" s="698"/>
      <c r="EZ66" s="698"/>
      <c r="FA66" s="698"/>
      <c r="FB66" s="698"/>
      <c r="FC66" s="698"/>
      <c r="FD66" s="698"/>
      <c r="FE66" s="699"/>
      <c r="FF66" s="699"/>
      <c r="FG66" s="699"/>
      <c r="FH66" s="699"/>
      <c r="FI66" s="699"/>
      <c r="FJ66" s="700"/>
      <c r="FK66" s="700"/>
      <c r="FL66" s="700"/>
      <c r="FM66" s="700"/>
      <c r="FN66" s="701"/>
      <c r="FO66" s="701"/>
      <c r="FP66" s="701"/>
    </row>
    <row r="67" spans="1:172" s="22" customFormat="1" ht="111.75" hidden="1" customHeight="1" x14ac:dyDescent="1.35">
      <c r="A67" s="586" t="s">
        <v>500</v>
      </c>
      <c r="B67" s="694"/>
      <c r="C67" s="695"/>
      <c r="D67" s="695"/>
      <c r="E67" s="696"/>
      <c r="F67" s="586" t="s">
        <v>500</v>
      </c>
      <c r="G67" s="694"/>
      <c r="H67" s="695"/>
      <c r="I67" s="695"/>
      <c r="J67" s="696"/>
      <c r="K67" s="586" t="s">
        <v>500</v>
      </c>
      <c r="L67" s="694"/>
      <c r="M67" s="695"/>
      <c r="N67" s="695"/>
      <c r="O67" s="696"/>
      <c r="P67" s="586" t="s">
        <v>500</v>
      </c>
      <c r="Q67" s="694"/>
      <c r="R67" s="695"/>
      <c r="S67" s="695"/>
      <c r="T67" s="696"/>
      <c r="U67" s="586" t="s">
        <v>500</v>
      </c>
      <c r="V67" s="694"/>
      <c r="W67" s="695"/>
      <c r="X67" s="695"/>
      <c r="Y67" s="696"/>
      <c r="Z67" s="586" t="s">
        <v>500</v>
      </c>
      <c r="AA67" s="694"/>
      <c r="AB67" s="695"/>
      <c r="AC67" s="695"/>
      <c r="AD67" s="696"/>
      <c r="AE67" s="586" t="s">
        <v>500</v>
      </c>
      <c r="AF67" s="694"/>
      <c r="AG67" s="695"/>
      <c r="AH67" s="695"/>
      <c r="AI67" s="696"/>
      <c r="AJ67" s="586" t="s">
        <v>500</v>
      </c>
      <c r="AK67" s="694"/>
      <c r="AL67" s="695"/>
      <c r="AM67" s="695"/>
      <c r="AN67" s="696"/>
      <c r="AO67" s="586" t="s">
        <v>500</v>
      </c>
      <c r="AP67" s="694"/>
      <c r="AQ67" s="695"/>
      <c r="AR67" s="695"/>
      <c r="AS67" s="696"/>
      <c r="AT67" s="586" t="s">
        <v>500</v>
      </c>
      <c r="AU67" s="694"/>
      <c r="AV67" s="695"/>
      <c r="AW67" s="695"/>
      <c r="AX67" s="696"/>
      <c r="AY67" s="586" t="s">
        <v>500</v>
      </c>
      <c r="AZ67" s="694"/>
      <c r="BA67" s="695"/>
      <c r="BB67" s="695"/>
      <c r="BC67" s="696"/>
      <c r="BD67" s="586" t="s">
        <v>500</v>
      </c>
      <c r="BE67" s="694"/>
      <c r="BF67" s="695"/>
      <c r="BG67" s="695"/>
      <c r="BH67" s="696"/>
      <c r="BI67" s="586" t="s">
        <v>500</v>
      </c>
      <c r="BJ67" s="694"/>
      <c r="BK67" s="695"/>
      <c r="BL67" s="695"/>
      <c r="BM67" s="696"/>
      <c r="BN67" s="586" t="s">
        <v>500</v>
      </c>
      <c r="BO67" s="694"/>
      <c r="BP67" s="695"/>
      <c r="BQ67" s="695"/>
      <c r="BR67" s="696"/>
      <c r="BS67" s="367"/>
      <c r="BT67" s="367"/>
      <c r="BW67" s="368"/>
      <c r="BX67" s="368"/>
      <c r="BY67" s="368"/>
      <c r="BZ67" s="368"/>
      <c r="CA67" s="368"/>
      <c r="CB67" s="368"/>
      <c r="CC67" s="369"/>
      <c r="CD67" s="369"/>
      <c r="CE67" s="369"/>
      <c r="CG67" s="369"/>
      <c r="CH67" s="369"/>
      <c r="CI67" s="369"/>
      <c r="CJ67" s="369"/>
      <c r="CK67" s="369"/>
      <c r="CL67" s="369"/>
      <c r="CY67" s="676"/>
      <c r="CZ67" s="676"/>
      <c r="DA67" s="676"/>
      <c r="DB67" s="370"/>
      <c r="DC67" s="370"/>
      <c r="DD67" s="371"/>
      <c r="DE67" s="702"/>
      <c r="DF67" s="702"/>
      <c r="DG67" s="702"/>
      <c r="DH67" s="372"/>
      <c r="DI67" s="373"/>
      <c r="DJ67" s="373"/>
      <c r="DK67" s="373"/>
      <c r="DL67" s="373"/>
      <c r="DM67" s="373"/>
      <c r="DN67" s="373"/>
      <c r="DO67" s="373"/>
      <c r="DP67" s="373"/>
      <c r="DQ67" s="373"/>
      <c r="DR67" s="373"/>
      <c r="DS67" s="373"/>
      <c r="DT67" s="373"/>
      <c r="DU67" s="373"/>
      <c r="DV67" s="697"/>
      <c r="DW67" s="697"/>
      <c r="DX67" s="697"/>
      <c r="DY67" s="697"/>
      <c r="DZ67" s="697"/>
      <c r="EA67" s="697"/>
      <c r="EB67" s="697"/>
      <c r="EC67" s="697"/>
      <c r="ED67" s="697"/>
      <c r="EE67" s="697"/>
      <c r="EF67" s="697"/>
      <c r="EG67" s="697"/>
      <c r="EH67" s="697"/>
      <c r="EI67" s="697"/>
      <c r="EJ67" s="697"/>
      <c r="EK67" s="697"/>
      <c r="EL67" s="697"/>
      <c r="EM67" s="697"/>
      <c r="EN67" s="697"/>
      <c r="EO67" s="697"/>
      <c r="EP67" s="697"/>
      <c r="EQ67" s="697"/>
      <c r="ER67" s="374"/>
      <c r="ES67" s="698"/>
      <c r="ET67" s="698"/>
      <c r="EU67" s="698"/>
      <c r="EV67" s="698"/>
      <c r="EW67" s="698"/>
      <c r="EX67" s="698"/>
      <c r="EY67" s="698"/>
      <c r="EZ67" s="698"/>
      <c r="FA67" s="698"/>
      <c r="FB67" s="698"/>
      <c r="FC67" s="698"/>
      <c r="FD67" s="698"/>
      <c r="FE67" s="699"/>
      <c r="FF67" s="699"/>
      <c r="FG67" s="699"/>
      <c r="FH67" s="699"/>
      <c r="FI67" s="699"/>
      <c r="FJ67" s="700"/>
      <c r="FK67" s="700"/>
      <c r="FL67" s="700"/>
      <c r="FM67" s="700"/>
      <c r="FN67" s="701"/>
      <c r="FO67" s="701"/>
      <c r="FP67" s="701"/>
    </row>
    <row r="68" spans="1:172" ht="50.25" hidden="1" customHeight="1" thickBot="1" x14ac:dyDescent="0.3">
      <c r="A68" s="587"/>
      <c r="B68" s="334"/>
      <c r="C68" s="335" t="s">
        <v>113</v>
      </c>
      <c r="D68" s="336"/>
      <c r="E68" s="337" t="s">
        <v>114</v>
      </c>
      <c r="F68" s="587"/>
      <c r="G68" s="334"/>
      <c r="H68" s="335" t="s">
        <v>113</v>
      </c>
      <c r="I68" s="336"/>
      <c r="J68" s="337" t="s">
        <v>114</v>
      </c>
      <c r="K68" s="587"/>
      <c r="L68" s="334"/>
      <c r="M68" s="335" t="s">
        <v>113</v>
      </c>
      <c r="N68" s="336"/>
      <c r="O68" s="337" t="s">
        <v>114</v>
      </c>
      <c r="P68" s="587"/>
      <c r="Q68" s="334"/>
      <c r="R68" s="335" t="s">
        <v>113</v>
      </c>
      <c r="S68" s="336"/>
      <c r="T68" s="337" t="s">
        <v>114</v>
      </c>
      <c r="U68" s="587"/>
      <c r="V68" s="334"/>
      <c r="W68" s="335" t="s">
        <v>113</v>
      </c>
      <c r="X68" s="336"/>
      <c r="Y68" s="337" t="s">
        <v>114</v>
      </c>
      <c r="Z68" s="587"/>
      <c r="AA68" s="334"/>
      <c r="AB68" s="335" t="s">
        <v>113</v>
      </c>
      <c r="AC68" s="336"/>
      <c r="AD68" s="337" t="s">
        <v>114</v>
      </c>
      <c r="AE68" s="587"/>
      <c r="AF68" s="334"/>
      <c r="AG68" s="335" t="s">
        <v>113</v>
      </c>
      <c r="AH68" s="336"/>
      <c r="AI68" s="337" t="s">
        <v>114</v>
      </c>
      <c r="AJ68" s="587"/>
      <c r="AK68" s="334"/>
      <c r="AL68" s="335" t="s">
        <v>113</v>
      </c>
      <c r="AM68" s="336"/>
      <c r="AN68" s="337" t="s">
        <v>114</v>
      </c>
      <c r="AO68" s="587"/>
      <c r="AP68" s="334"/>
      <c r="AQ68" s="335" t="s">
        <v>113</v>
      </c>
      <c r="AR68" s="336"/>
      <c r="AS68" s="337" t="s">
        <v>114</v>
      </c>
      <c r="AT68" s="587"/>
      <c r="AU68" s="334"/>
      <c r="AV68" s="335" t="s">
        <v>113</v>
      </c>
      <c r="AW68" s="336"/>
      <c r="AX68" s="337" t="s">
        <v>114</v>
      </c>
      <c r="AY68" s="587"/>
      <c r="AZ68" s="334"/>
      <c r="BA68" s="335" t="s">
        <v>113</v>
      </c>
      <c r="BB68" s="336"/>
      <c r="BC68" s="337" t="s">
        <v>114</v>
      </c>
      <c r="BD68" s="587"/>
      <c r="BE68" s="334"/>
      <c r="BF68" s="335" t="s">
        <v>113</v>
      </c>
      <c r="BG68" s="336"/>
      <c r="BH68" s="337" t="s">
        <v>114</v>
      </c>
      <c r="BI68" s="587"/>
      <c r="BJ68" s="334"/>
      <c r="BK68" s="335" t="s">
        <v>113</v>
      </c>
      <c r="BL68" s="336"/>
      <c r="BM68" s="337" t="s">
        <v>114</v>
      </c>
      <c r="BN68" s="587"/>
      <c r="BO68" s="334"/>
      <c r="BP68" s="335" t="s">
        <v>113</v>
      </c>
      <c r="BQ68" s="336"/>
      <c r="BR68" s="337" t="s">
        <v>114</v>
      </c>
      <c r="BS68" s="50"/>
      <c r="BT68" s="50"/>
      <c r="BW68" s="27"/>
      <c r="BX68" s="27"/>
      <c r="BY68" s="27"/>
      <c r="BZ68" s="27"/>
      <c r="CA68" s="27"/>
      <c r="CB68" s="27"/>
      <c r="CC68" s="27"/>
      <c r="CD68" s="27"/>
      <c r="CE68" s="27"/>
      <c r="CG68" s="27"/>
      <c r="CH68" s="27"/>
      <c r="CI68" s="27"/>
      <c r="CJ68" s="27"/>
      <c r="CK68" s="27"/>
      <c r="CL68" s="27"/>
      <c r="CY68" s="676"/>
      <c r="CZ68" s="676"/>
      <c r="DA68" s="676"/>
      <c r="DB68" s="29"/>
      <c r="DC68" s="29"/>
      <c r="DD68" s="47"/>
      <c r="DE68" s="702"/>
      <c r="DF68" s="702"/>
      <c r="DG68" s="702"/>
      <c r="DH68" s="48"/>
      <c r="DI68" s="45"/>
      <c r="DJ68" s="45"/>
      <c r="DK68" s="45"/>
      <c r="DL68" s="45"/>
      <c r="DM68" s="45"/>
      <c r="DN68" s="45"/>
      <c r="DO68" s="45"/>
      <c r="DP68" s="45"/>
      <c r="DQ68" s="45"/>
      <c r="DR68" s="45"/>
      <c r="DS68" s="45"/>
      <c r="DT68" s="45"/>
      <c r="DU68" s="45"/>
      <c r="DV68" s="697"/>
      <c r="DW68" s="697"/>
      <c r="DX68" s="697"/>
      <c r="DY68" s="697"/>
      <c r="DZ68" s="697"/>
      <c r="EA68" s="697"/>
      <c r="EB68" s="697"/>
      <c r="EC68" s="697"/>
      <c r="ED68" s="697"/>
      <c r="EE68" s="697"/>
      <c r="EF68" s="697"/>
      <c r="EG68" s="697"/>
      <c r="EH68" s="697"/>
      <c r="EI68" s="697"/>
      <c r="EJ68" s="697"/>
      <c r="EK68" s="697"/>
      <c r="EL68" s="697"/>
      <c r="EM68" s="697"/>
      <c r="EN68" s="697"/>
      <c r="EO68" s="697"/>
      <c r="EP68" s="697"/>
      <c r="EQ68" s="697"/>
      <c r="ER68" s="46"/>
      <c r="ES68" s="698"/>
      <c r="ET68" s="698"/>
      <c r="EU68" s="698"/>
      <c r="EV68" s="698"/>
      <c r="EW68" s="698"/>
      <c r="EX68" s="698"/>
      <c r="EY68" s="698"/>
      <c r="EZ68" s="698"/>
      <c r="FA68" s="698"/>
      <c r="FB68" s="698"/>
      <c r="FC68" s="698"/>
      <c r="FD68" s="698"/>
      <c r="FE68" s="699"/>
      <c r="FF68" s="699"/>
      <c r="FG68" s="699"/>
      <c r="FH68" s="699"/>
      <c r="FI68" s="699"/>
      <c r="FJ68" s="700"/>
      <c r="FK68" s="700"/>
      <c r="FL68" s="700"/>
      <c r="FM68" s="700"/>
      <c r="FN68" s="701"/>
      <c r="FO68" s="701"/>
      <c r="FP68" s="701"/>
    </row>
    <row r="69" spans="1:172" ht="53.25" hidden="1" customHeight="1" thickTop="1" x14ac:dyDescent="0.25">
      <c r="A69" s="582" t="s">
        <v>110</v>
      </c>
      <c r="B69" s="583"/>
      <c r="C69" s="584">
        <f t="shared" ref="C69" si="120">B74/((72*3.1415/59)*(129.67/3.281))</f>
        <v>0</v>
      </c>
      <c r="D69" s="584"/>
      <c r="E69" s="585"/>
      <c r="F69" s="582" t="s">
        <v>110</v>
      </c>
      <c r="G69" s="583"/>
      <c r="H69" s="584">
        <f t="shared" ref="H69" si="121">G74/((72*3.1415/59)*(129.67/3.281))</f>
        <v>0</v>
      </c>
      <c r="I69" s="584"/>
      <c r="J69" s="585"/>
      <c r="K69" s="582" t="s">
        <v>110</v>
      </c>
      <c r="L69" s="583"/>
      <c r="M69" s="584">
        <f t="shared" ref="M69" si="122">L74/((72*3.1415/59)*(129.67/3.281))</f>
        <v>0</v>
      </c>
      <c r="N69" s="584"/>
      <c r="O69" s="585"/>
      <c r="P69" s="582" t="s">
        <v>110</v>
      </c>
      <c r="Q69" s="583"/>
      <c r="R69" s="584">
        <f t="shared" ref="R69" si="123">Q74/((72*3.1415/59)*(129.67/3.281))</f>
        <v>0</v>
      </c>
      <c r="S69" s="584"/>
      <c r="T69" s="585"/>
      <c r="U69" s="582" t="s">
        <v>110</v>
      </c>
      <c r="V69" s="583"/>
      <c r="W69" s="584">
        <f t="shared" ref="W69" si="124">V74/((72*3.1415/59)*(129.67/3.281))</f>
        <v>0</v>
      </c>
      <c r="X69" s="584"/>
      <c r="Y69" s="585"/>
      <c r="Z69" s="582" t="s">
        <v>110</v>
      </c>
      <c r="AA69" s="583"/>
      <c r="AB69" s="584">
        <f t="shared" ref="AB69" si="125">AA74/((72*3.1415/59)*(129.67/3.281))</f>
        <v>0</v>
      </c>
      <c r="AC69" s="584"/>
      <c r="AD69" s="585"/>
      <c r="AE69" s="582" t="s">
        <v>110</v>
      </c>
      <c r="AF69" s="583"/>
      <c r="AG69" s="584">
        <f t="shared" ref="AG69" si="126">AF74/((72*3.1415/59)*(129.67/3.281))</f>
        <v>0</v>
      </c>
      <c r="AH69" s="584"/>
      <c r="AI69" s="585"/>
      <c r="AJ69" s="582" t="s">
        <v>110</v>
      </c>
      <c r="AK69" s="583"/>
      <c r="AL69" s="584">
        <f t="shared" ref="AL69" si="127">AK74/((72*3.1415/59)*(129.67/3.281))</f>
        <v>0</v>
      </c>
      <c r="AM69" s="584"/>
      <c r="AN69" s="585"/>
      <c r="AO69" s="582" t="s">
        <v>110</v>
      </c>
      <c r="AP69" s="583"/>
      <c r="AQ69" s="584">
        <f t="shared" ref="AQ69" si="128">AP74/((72*3.1415/59)*(129.67/3.281))</f>
        <v>0</v>
      </c>
      <c r="AR69" s="584"/>
      <c r="AS69" s="585"/>
      <c r="AT69" s="582" t="s">
        <v>110</v>
      </c>
      <c r="AU69" s="583"/>
      <c r="AV69" s="584">
        <f t="shared" ref="AV69" si="129">AU74/((72*3.1415/59)*(129.67/3.281))</f>
        <v>0</v>
      </c>
      <c r="AW69" s="584"/>
      <c r="AX69" s="585"/>
      <c r="AY69" s="582" t="s">
        <v>110</v>
      </c>
      <c r="AZ69" s="583"/>
      <c r="BA69" s="584">
        <f t="shared" ref="BA69" si="130">AZ74/((72*3.1415/59)*(129.67/3.281))</f>
        <v>0</v>
      </c>
      <c r="BB69" s="584"/>
      <c r="BC69" s="585"/>
      <c r="BD69" s="582" t="s">
        <v>110</v>
      </c>
      <c r="BE69" s="583"/>
      <c r="BF69" s="584">
        <f t="shared" ref="BF69" si="131">BE74/((72*3.1415/59)*(129.67/3.281))</f>
        <v>0</v>
      </c>
      <c r="BG69" s="584"/>
      <c r="BH69" s="585"/>
      <c r="BI69" s="582" t="s">
        <v>110</v>
      </c>
      <c r="BJ69" s="583"/>
      <c r="BK69" s="584">
        <f t="shared" ref="BK69" si="132">BJ74/((72*3.1415/59)*(129.67/3.281))</f>
        <v>0</v>
      </c>
      <c r="BL69" s="584"/>
      <c r="BM69" s="585"/>
      <c r="BN69" s="582" t="s">
        <v>110</v>
      </c>
      <c r="BO69" s="583"/>
      <c r="BP69" s="584">
        <f t="shared" ref="BP69" si="133">BO74/((72*3.1415/59)*(129.67/3.281))</f>
        <v>0</v>
      </c>
      <c r="BQ69" s="584"/>
      <c r="BR69" s="585"/>
      <c r="BS69" s="50"/>
      <c r="BT69" s="50"/>
      <c r="BW69" s="27"/>
      <c r="BX69" s="27"/>
      <c r="BY69" s="27"/>
      <c r="BZ69" s="27"/>
      <c r="CA69" s="27"/>
      <c r="CB69" s="27"/>
      <c r="CC69" s="27"/>
      <c r="CD69" s="27"/>
      <c r="CE69" s="27"/>
      <c r="CG69" s="27"/>
      <c r="CH69" s="27"/>
      <c r="CI69" s="27"/>
      <c r="CJ69" s="27"/>
      <c r="CK69" s="27"/>
      <c r="CL69" s="27"/>
      <c r="CY69" s="676"/>
      <c r="CZ69" s="676"/>
      <c r="DA69" s="676"/>
      <c r="DB69" s="675"/>
      <c r="DC69" s="675"/>
      <c r="DD69" s="47"/>
      <c r="DE69" s="703"/>
      <c r="DF69" s="703"/>
      <c r="DG69" s="703"/>
      <c r="DH69" s="48"/>
      <c r="DI69" s="45"/>
      <c r="DJ69" s="45"/>
      <c r="DK69" s="45"/>
      <c r="DL69" s="45"/>
      <c r="DM69" s="45"/>
      <c r="DN69" s="45"/>
      <c r="DO69" s="45"/>
      <c r="DP69" s="45"/>
      <c r="DQ69" s="45"/>
      <c r="DR69" s="45"/>
      <c r="DS69" s="45"/>
      <c r="DT69" s="45"/>
      <c r="DU69" s="45"/>
      <c r="DV69" s="697"/>
      <c r="DW69" s="697"/>
      <c r="DX69" s="697"/>
      <c r="DY69" s="697"/>
      <c r="DZ69" s="697"/>
      <c r="EA69" s="697"/>
      <c r="EB69" s="697"/>
      <c r="EC69" s="697"/>
      <c r="ED69" s="697"/>
      <c r="EE69" s="697"/>
      <c r="EF69" s="697"/>
      <c r="EG69" s="697"/>
      <c r="EH69" s="697"/>
      <c r="EI69" s="697"/>
      <c r="EJ69" s="697"/>
      <c r="EK69" s="697"/>
      <c r="EL69" s="697"/>
      <c r="EM69" s="697"/>
      <c r="EN69" s="697"/>
      <c r="EO69" s="697"/>
      <c r="EP69" s="697"/>
      <c r="EQ69" s="697"/>
      <c r="ER69" s="46"/>
      <c r="ES69" s="698"/>
      <c r="ET69" s="698"/>
      <c r="EU69" s="698"/>
      <c r="EV69" s="698"/>
      <c r="EW69" s="698"/>
      <c r="EX69" s="698"/>
      <c r="EY69" s="698"/>
      <c r="EZ69" s="698"/>
      <c r="FA69" s="698"/>
      <c r="FB69" s="698"/>
      <c r="FC69" s="698"/>
      <c r="FD69" s="698"/>
      <c r="FE69" s="699"/>
      <c r="FF69" s="699"/>
      <c r="FG69" s="699"/>
      <c r="FH69" s="699"/>
      <c r="FI69" s="699"/>
      <c r="FJ69" s="700"/>
      <c r="FK69" s="700"/>
      <c r="FL69" s="700"/>
      <c r="FM69" s="700"/>
      <c r="FN69" s="701"/>
      <c r="FO69" s="701"/>
      <c r="FP69" s="701"/>
    </row>
    <row r="70" spans="1:172" ht="15" hidden="1" customHeight="1" x14ac:dyDescent="0.25">
      <c r="A70" s="679" t="s">
        <v>489</v>
      </c>
      <c r="B70" s="680"/>
      <c r="C70" s="685" t="s">
        <v>504</v>
      </c>
      <c r="D70" s="686"/>
      <c r="E70" s="687"/>
      <c r="F70" s="679" t="s">
        <v>489</v>
      </c>
      <c r="G70" s="680"/>
      <c r="H70" s="685" t="s">
        <v>504</v>
      </c>
      <c r="I70" s="686"/>
      <c r="J70" s="687"/>
      <c r="K70" s="679" t="s">
        <v>489</v>
      </c>
      <c r="L70" s="680"/>
      <c r="M70" s="685" t="s">
        <v>504</v>
      </c>
      <c r="N70" s="686"/>
      <c r="O70" s="687"/>
      <c r="P70" s="679" t="s">
        <v>489</v>
      </c>
      <c r="Q70" s="680"/>
      <c r="R70" s="685" t="s">
        <v>504</v>
      </c>
      <c r="S70" s="686"/>
      <c r="T70" s="687"/>
      <c r="U70" s="679" t="s">
        <v>489</v>
      </c>
      <c r="V70" s="680"/>
      <c r="W70" s="685" t="s">
        <v>504</v>
      </c>
      <c r="X70" s="686"/>
      <c r="Y70" s="687"/>
      <c r="Z70" s="679" t="s">
        <v>489</v>
      </c>
      <c r="AA70" s="680"/>
      <c r="AB70" s="685" t="s">
        <v>504</v>
      </c>
      <c r="AC70" s="686"/>
      <c r="AD70" s="687"/>
      <c r="AE70" s="679" t="s">
        <v>489</v>
      </c>
      <c r="AF70" s="680"/>
      <c r="AG70" s="685" t="s">
        <v>504</v>
      </c>
      <c r="AH70" s="686"/>
      <c r="AI70" s="687"/>
      <c r="AJ70" s="679" t="s">
        <v>489</v>
      </c>
      <c r="AK70" s="680"/>
      <c r="AL70" s="685" t="s">
        <v>504</v>
      </c>
      <c r="AM70" s="686"/>
      <c r="AN70" s="687"/>
      <c r="AO70" s="679" t="s">
        <v>489</v>
      </c>
      <c r="AP70" s="680"/>
      <c r="AQ70" s="685" t="s">
        <v>504</v>
      </c>
      <c r="AR70" s="686"/>
      <c r="AS70" s="687"/>
      <c r="AT70" s="679" t="s">
        <v>489</v>
      </c>
      <c r="AU70" s="680"/>
      <c r="AV70" s="685" t="s">
        <v>504</v>
      </c>
      <c r="AW70" s="686"/>
      <c r="AX70" s="687"/>
      <c r="AY70" s="679" t="s">
        <v>489</v>
      </c>
      <c r="AZ70" s="680"/>
      <c r="BA70" s="685" t="s">
        <v>504</v>
      </c>
      <c r="BB70" s="686"/>
      <c r="BC70" s="687"/>
      <c r="BD70" s="679" t="s">
        <v>489</v>
      </c>
      <c r="BE70" s="680"/>
      <c r="BF70" s="685" t="s">
        <v>504</v>
      </c>
      <c r="BG70" s="686"/>
      <c r="BH70" s="687"/>
      <c r="BI70" s="679" t="s">
        <v>489</v>
      </c>
      <c r="BJ70" s="680"/>
      <c r="BK70" s="685" t="s">
        <v>504</v>
      </c>
      <c r="BL70" s="686"/>
      <c r="BM70" s="687"/>
      <c r="BN70" s="679" t="s">
        <v>489</v>
      </c>
      <c r="BO70" s="680"/>
      <c r="BP70" s="685" t="s">
        <v>504</v>
      </c>
      <c r="BQ70" s="686"/>
      <c r="BR70" s="687"/>
      <c r="BS70" s="50"/>
      <c r="BT70" s="50"/>
      <c r="BW70" s="27"/>
      <c r="BX70" s="27"/>
      <c r="BY70" s="27"/>
      <c r="BZ70" s="27"/>
      <c r="CA70" s="27"/>
      <c r="CB70" s="27"/>
      <c r="CC70" s="27"/>
      <c r="CD70" s="27"/>
      <c r="CE70" s="27"/>
      <c r="CG70" s="27"/>
      <c r="CH70" s="27"/>
      <c r="CI70" s="27"/>
      <c r="CJ70" s="27"/>
      <c r="CK70" s="27"/>
      <c r="CL70" s="27"/>
      <c r="CZ70" s="17"/>
      <c r="DE70" s="703"/>
      <c r="DF70" s="703"/>
      <c r="DG70" s="703"/>
      <c r="DH70" s="48"/>
      <c r="DI70" s="49"/>
      <c r="DJ70" s="49"/>
      <c r="DK70" s="49"/>
      <c r="DL70" s="49"/>
      <c r="DM70" s="49"/>
      <c r="DN70" s="49"/>
      <c r="DO70" s="49"/>
      <c r="DP70" s="49"/>
      <c r="DQ70" s="49"/>
      <c r="DR70" s="49"/>
      <c r="DS70" s="49"/>
      <c r="DT70" s="49"/>
      <c r="DU70" s="49"/>
      <c r="DV70" s="704"/>
      <c r="DW70" s="705"/>
      <c r="DX70" s="705"/>
      <c r="DY70" s="705"/>
      <c r="DZ70" s="705"/>
      <c r="EA70" s="705"/>
      <c r="EB70" s="705"/>
      <c r="EC70" s="705"/>
      <c r="ED70" s="705"/>
      <c r="EE70" s="705"/>
      <c r="EF70" s="705"/>
      <c r="EG70" s="705"/>
      <c r="EH70" s="706"/>
      <c r="EI70" s="706"/>
      <c r="EJ70" s="706"/>
      <c r="EK70" s="706"/>
      <c r="EL70" s="706"/>
      <c r="EM70" s="706"/>
      <c r="EN70" s="706"/>
      <c r="EO70" s="706"/>
      <c r="EP70" s="706"/>
      <c r="EQ70" s="706"/>
      <c r="ER70" s="706"/>
      <c r="ES70" s="707"/>
      <c r="ET70" s="707"/>
      <c r="EU70" s="707"/>
      <c r="EV70" s="707"/>
      <c r="EW70" s="707"/>
      <c r="EX70" s="707"/>
      <c r="EY70" s="707"/>
      <c r="EZ70" s="707"/>
      <c r="FA70" s="707"/>
      <c r="FB70" s="707"/>
      <c r="FC70" s="707"/>
      <c r="FD70" s="707"/>
      <c r="FE70" s="699"/>
      <c r="FF70" s="699"/>
      <c r="FG70" s="699"/>
      <c r="FH70" s="699"/>
      <c r="FI70" s="699"/>
      <c r="FJ70" s="708"/>
      <c r="FK70" s="708"/>
      <c r="FL70" s="708"/>
      <c r="FM70" s="708"/>
      <c r="FN70" s="708"/>
      <c r="FO70" s="708"/>
      <c r="FP70" s="708"/>
    </row>
    <row r="71" spans="1:172" ht="9" hidden="1" customHeight="1" x14ac:dyDescent="0.25">
      <c r="A71" s="681"/>
      <c r="B71" s="682"/>
      <c r="C71" s="688"/>
      <c r="D71" s="689"/>
      <c r="E71" s="690"/>
      <c r="F71" s="681"/>
      <c r="G71" s="682"/>
      <c r="H71" s="688"/>
      <c r="I71" s="689"/>
      <c r="J71" s="690"/>
      <c r="K71" s="681"/>
      <c r="L71" s="682"/>
      <c r="M71" s="688"/>
      <c r="N71" s="689"/>
      <c r="O71" s="690"/>
      <c r="P71" s="681"/>
      <c r="Q71" s="682"/>
      <c r="R71" s="688"/>
      <c r="S71" s="689"/>
      <c r="T71" s="690"/>
      <c r="U71" s="681"/>
      <c r="V71" s="682"/>
      <c r="W71" s="688"/>
      <c r="X71" s="689"/>
      <c r="Y71" s="690"/>
      <c r="Z71" s="681"/>
      <c r="AA71" s="682"/>
      <c r="AB71" s="688"/>
      <c r="AC71" s="689"/>
      <c r="AD71" s="690"/>
      <c r="AE71" s="681"/>
      <c r="AF71" s="682"/>
      <c r="AG71" s="688"/>
      <c r="AH71" s="689"/>
      <c r="AI71" s="690"/>
      <c r="AJ71" s="681"/>
      <c r="AK71" s="682"/>
      <c r="AL71" s="688"/>
      <c r="AM71" s="689"/>
      <c r="AN71" s="690"/>
      <c r="AO71" s="681"/>
      <c r="AP71" s="682"/>
      <c r="AQ71" s="688"/>
      <c r="AR71" s="689"/>
      <c r="AS71" s="690"/>
      <c r="AT71" s="681"/>
      <c r="AU71" s="682"/>
      <c r="AV71" s="688"/>
      <c r="AW71" s="689"/>
      <c r="AX71" s="690"/>
      <c r="AY71" s="681"/>
      <c r="AZ71" s="682"/>
      <c r="BA71" s="688"/>
      <c r="BB71" s="689"/>
      <c r="BC71" s="690"/>
      <c r="BD71" s="681"/>
      <c r="BE71" s="682"/>
      <c r="BF71" s="688"/>
      <c r="BG71" s="689"/>
      <c r="BH71" s="690"/>
      <c r="BI71" s="681"/>
      <c r="BJ71" s="682"/>
      <c r="BK71" s="688"/>
      <c r="BL71" s="689"/>
      <c r="BM71" s="690"/>
      <c r="BN71" s="681"/>
      <c r="BO71" s="682"/>
      <c r="BP71" s="688"/>
      <c r="BQ71" s="689"/>
      <c r="BR71" s="690"/>
      <c r="BS71" s="53"/>
      <c r="BT71" s="53"/>
      <c r="DE71" s="703"/>
      <c r="DF71" s="703"/>
      <c r="DG71" s="703"/>
      <c r="DH71" s="52"/>
      <c r="DI71" s="45"/>
      <c r="DJ71" s="45"/>
      <c r="DK71" s="45"/>
      <c r="DL71" s="45"/>
      <c r="DM71" s="45"/>
      <c r="DN71" s="45"/>
      <c r="DO71" s="45"/>
      <c r="DP71" s="45"/>
      <c r="DQ71" s="45"/>
      <c r="DR71" s="45"/>
      <c r="DS71" s="45"/>
      <c r="DT71" s="45"/>
      <c r="DU71" s="45"/>
      <c r="DV71" s="705"/>
      <c r="DW71" s="705"/>
      <c r="DX71" s="705"/>
      <c r="DY71" s="705"/>
      <c r="DZ71" s="705"/>
      <c r="EA71" s="705"/>
      <c r="EB71" s="705"/>
      <c r="EC71" s="705"/>
      <c r="ED71" s="705"/>
      <c r="EE71" s="705"/>
      <c r="EF71" s="705"/>
      <c r="EG71" s="705"/>
      <c r="EH71" s="706"/>
      <c r="EI71" s="706"/>
      <c r="EJ71" s="706"/>
      <c r="EK71" s="706"/>
      <c r="EL71" s="706"/>
      <c r="EM71" s="706"/>
      <c r="EN71" s="706"/>
      <c r="EO71" s="706"/>
      <c r="EP71" s="706"/>
      <c r="EQ71" s="706"/>
      <c r="ER71" s="706"/>
      <c r="ES71" s="707"/>
      <c r="ET71" s="707"/>
      <c r="EU71" s="707"/>
      <c r="EV71" s="707"/>
      <c r="EW71" s="707"/>
      <c r="EX71" s="707"/>
      <c r="EY71" s="707"/>
      <c r="EZ71" s="707"/>
      <c r="FA71" s="707"/>
      <c r="FB71" s="707"/>
      <c r="FC71" s="707"/>
      <c r="FD71" s="707"/>
      <c r="FE71" s="699"/>
      <c r="FF71" s="699"/>
      <c r="FG71" s="699"/>
      <c r="FH71" s="699"/>
      <c r="FI71" s="699"/>
      <c r="FJ71" s="708"/>
      <c r="FK71" s="708"/>
      <c r="FL71" s="708"/>
      <c r="FM71" s="708"/>
      <c r="FN71" s="708"/>
      <c r="FO71" s="708"/>
      <c r="FP71" s="708"/>
    </row>
    <row r="72" spans="1:172" ht="3.75" hidden="1" customHeight="1" x14ac:dyDescent="0.25">
      <c r="A72" s="683"/>
      <c r="B72" s="684"/>
      <c r="C72" s="691"/>
      <c r="D72" s="692"/>
      <c r="E72" s="693"/>
      <c r="F72" s="683"/>
      <c r="G72" s="684"/>
      <c r="H72" s="691"/>
      <c r="I72" s="692"/>
      <c r="J72" s="693"/>
      <c r="K72" s="683"/>
      <c r="L72" s="684"/>
      <c r="M72" s="691"/>
      <c r="N72" s="692"/>
      <c r="O72" s="693"/>
      <c r="P72" s="683"/>
      <c r="Q72" s="684"/>
      <c r="R72" s="691"/>
      <c r="S72" s="692"/>
      <c r="T72" s="693"/>
      <c r="U72" s="683"/>
      <c r="V72" s="684"/>
      <c r="W72" s="691"/>
      <c r="X72" s="692"/>
      <c r="Y72" s="693"/>
      <c r="Z72" s="683"/>
      <c r="AA72" s="684"/>
      <c r="AB72" s="691"/>
      <c r="AC72" s="692"/>
      <c r="AD72" s="693"/>
      <c r="AE72" s="683"/>
      <c r="AF72" s="684"/>
      <c r="AG72" s="691"/>
      <c r="AH72" s="692"/>
      <c r="AI72" s="693"/>
      <c r="AJ72" s="683"/>
      <c r="AK72" s="684"/>
      <c r="AL72" s="691"/>
      <c r="AM72" s="692"/>
      <c r="AN72" s="693"/>
      <c r="AO72" s="683"/>
      <c r="AP72" s="684"/>
      <c r="AQ72" s="691"/>
      <c r="AR72" s="692"/>
      <c r="AS72" s="693"/>
      <c r="AT72" s="683"/>
      <c r="AU72" s="684"/>
      <c r="AV72" s="691"/>
      <c r="AW72" s="692"/>
      <c r="AX72" s="693"/>
      <c r="AY72" s="683"/>
      <c r="AZ72" s="684"/>
      <c r="BA72" s="691"/>
      <c r="BB72" s="692"/>
      <c r="BC72" s="693"/>
      <c r="BD72" s="683"/>
      <c r="BE72" s="684"/>
      <c r="BF72" s="691"/>
      <c r="BG72" s="692"/>
      <c r="BH72" s="693"/>
      <c r="BI72" s="683"/>
      <c r="BJ72" s="684"/>
      <c r="BK72" s="691"/>
      <c r="BL72" s="692"/>
      <c r="BM72" s="693"/>
      <c r="BN72" s="683"/>
      <c r="BO72" s="684"/>
      <c r="BP72" s="691"/>
      <c r="BQ72" s="692"/>
      <c r="BR72" s="693"/>
      <c r="BS72" s="53"/>
      <c r="BT72" s="53"/>
      <c r="DE72" s="709"/>
      <c r="DF72" s="709"/>
      <c r="DG72" s="709"/>
      <c r="DH72" s="52"/>
      <c r="DI72" s="45"/>
      <c r="DJ72" s="45"/>
      <c r="DK72" s="45"/>
      <c r="DL72" s="45"/>
      <c r="DM72" s="45"/>
      <c r="DN72" s="45"/>
      <c r="DO72" s="45"/>
      <c r="DP72" s="45"/>
      <c r="DQ72" s="45"/>
      <c r="DR72" s="45"/>
      <c r="DS72" s="45"/>
      <c r="DT72" s="45"/>
      <c r="DU72" s="45"/>
      <c r="DV72" s="705"/>
      <c r="DW72" s="705"/>
      <c r="DX72" s="705"/>
      <c r="DY72" s="705"/>
      <c r="DZ72" s="705"/>
      <c r="EA72" s="705"/>
      <c r="EB72" s="705"/>
      <c r="EC72" s="705"/>
      <c r="ED72" s="705"/>
      <c r="EE72" s="705"/>
      <c r="EF72" s="705"/>
      <c r="EG72" s="705"/>
      <c r="EH72" s="706"/>
      <c r="EI72" s="706"/>
      <c r="EJ72" s="706"/>
      <c r="EK72" s="706"/>
      <c r="EL72" s="706"/>
      <c r="EM72" s="706"/>
      <c r="EN72" s="706"/>
      <c r="EO72" s="706"/>
      <c r="EP72" s="706"/>
      <c r="EQ72" s="706"/>
      <c r="ER72" s="706"/>
      <c r="ES72" s="707"/>
      <c r="ET72" s="707"/>
      <c r="EU72" s="707"/>
      <c r="EV72" s="707"/>
      <c r="EW72" s="707"/>
      <c r="EX72" s="707"/>
      <c r="EY72" s="707"/>
      <c r="EZ72" s="707"/>
      <c r="FA72" s="707"/>
      <c r="FB72" s="707"/>
      <c r="FC72" s="707"/>
      <c r="FD72" s="707"/>
      <c r="FE72" s="699"/>
      <c r="FF72" s="699"/>
      <c r="FG72" s="699"/>
      <c r="FH72" s="699"/>
      <c r="FI72" s="699"/>
      <c r="FJ72" s="708"/>
      <c r="FK72" s="708"/>
      <c r="FL72" s="708"/>
      <c r="FM72" s="708"/>
      <c r="FN72" s="708"/>
      <c r="FO72" s="708"/>
      <c r="FP72" s="708"/>
    </row>
    <row r="73" spans="1:172" s="22" customFormat="1" ht="111.75" hidden="1" customHeight="1" x14ac:dyDescent="1.35">
      <c r="A73" s="586" t="s">
        <v>500</v>
      </c>
      <c r="B73" s="694"/>
      <c r="C73" s="695"/>
      <c r="D73" s="695"/>
      <c r="E73" s="696"/>
      <c r="F73" s="586" t="s">
        <v>500</v>
      </c>
      <c r="G73" s="694"/>
      <c r="H73" s="695"/>
      <c r="I73" s="695"/>
      <c r="J73" s="696"/>
      <c r="K73" s="586" t="s">
        <v>500</v>
      </c>
      <c r="L73" s="694"/>
      <c r="M73" s="695"/>
      <c r="N73" s="695"/>
      <c r="O73" s="696"/>
      <c r="P73" s="586" t="s">
        <v>500</v>
      </c>
      <c r="Q73" s="694"/>
      <c r="R73" s="695"/>
      <c r="S73" s="695"/>
      <c r="T73" s="696"/>
      <c r="U73" s="586" t="s">
        <v>500</v>
      </c>
      <c r="V73" s="694"/>
      <c r="W73" s="695"/>
      <c r="X73" s="695"/>
      <c r="Y73" s="696"/>
      <c r="Z73" s="586" t="s">
        <v>500</v>
      </c>
      <c r="AA73" s="694"/>
      <c r="AB73" s="695"/>
      <c r="AC73" s="695"/>
      <c r="AD73" s="696"/>
      <c r="AE73" s="586" t="s">
        <v>500</v>
      </c>
      <c r="AF73" s="694"/>
      <c r="AG73" s="695"/>
      <c r="AH73" s="695"/>
      <c r="AI73" s="696"/>
      <c r="AJ73" s="586" t="s">
        <v>500</v>
      </c>
      <c r="AK73" s="694"/>
      <c r="AL73" s="695"/>
      <c r="AM73" s="695"/>
      <c r="AN73" s="696"/>
      <c r="AO73" s="586" t="s">
        <v>500</v>
      </c>
      <c r="AP73" s="694"/>
      <c r="AQ73" s="695"/>
      <c r="AR73" s="695"/>
      <c r="AS73" s="696"/>
      <c r="AT73" s="586" t="s">
        <v>500</v>
      </c>
      <c r="AU73" s="694"/>
      <c r="AV73" s="695"/>
      <c r="AW73" s="695"/>
      <c r="AX73" s="696"/>
      <c r="AY73" s="586" t="s">
        <v>500</v>
      </c>
      <c r="AZ73" s="694"/>
      <c r="BA73" s="695"/>
      <c r="BB73" s="695"/>
      <c r="BC73" s="696"/>
      <c r="BD73" s="586" t="s">
        <v>500</v>
      </c>
      <c r="BE73" s="694"/>
      <c r="BF73" s="695"/>
      <c r="BG73" s="695"/>
      <c r="BH73" s="696"/>
      <c r="BI73" s="586" t="s">
        <v>500</v>
      </c>
      <c r="BJ73" s="694"/>
      <c r="BK73" s="695"/>
      <c r="BL73" s="695"/>
      <c r="BM73" s="696"/>
      <c r="BN73" s="586" t="s">
        <v>500</v>
      </c>
      <c r="BO73" s="694"/>
      <c r="BP73" s="695"/>
      <c r="BQ73" s="695"/>
      <c r="BR73" s="696"/>
      <c r="DE73" s="709"/>
      <c r="DF73" s="709"/>
      <c r="DG73" s="709"/>
      <c r="DH73" s="375"/>
      <c r="DI73" s="373"/>
      <c r="DJ73" s="373"/>
      <c r="DK73" s="373"/>
      <c r="DL73" s="373"/>
      <c r="DM73" s="373"/>
      <c r="DN73" s="373"/>
      <c r="DO73" s="373"/>
      <c r="DP73" s="373"/>
      <c r="DQ73" s="373"/>
      <c r="DR73" s="373"/>
      <c r="DS73" s="373"/>
      <c r="DT73" s="373"/>
      <c r="DU73" s="373"/>
      <c r="DV73" s="705"/>
      <c r="DW73" s="705"/>
      <c r="DX73" s="705"/>
      <c r="DY73" s="705"/>
      <c r="DZ73" s="705"/>
      <c r="EA73" s="705"/>
      <c r="EB73" s="705"/>
      <c r="EC73" s="705"/>
      <c r="ED73" s="705"/>
      <c r="EE73" s="705"/>
      <c r="EF73" s="705"/>
      <c r="EG73" s="705"/>
      <c r="EH73" s="706"/>
      <c r="EI73" s="706"/>
      <c r="EJ73" s="706"/>
      <c r="EK73" s="706"/>
      <c r="EL73" s="706"/>
      <c r="EM73" s="706"/>
      <c r="EN73" s="706"/>
      <c r="EO73" s="706"/>
      <c r="EP73" s="706"/>
      <c r="EQ73" s="706"/>
      <c r="ER73" s="706"/>
      <c r="ES73" s="707"/>
      <c r="ET73" s="707"/>
      <c r="EU73" s="707"/>
      <c r="EV73" s="707"/>
      <c r="EW73" s="707"/>
      <c r="EX73" s="707"/>
      <c r="EY73" s="707"/>
      <c r="EZ73" s="707"/>
      <c r="FA73" s="707"/>
      <c r="FB73" s="707"/>
      <c r="FC73" s="707"/>
      <c r="FD73" s="707"/>
      <c r="FE73" s="699"/>
      <c r="FF73" s="699"/>
      <c r="FG73" s="699"/>
      <c r="FH73" s="699"/>
      <c r="FI73" s="699"/>
      <c r="FJ73" s="708"/>
      <c r="FK73" s="708"/>
      <c r="FL73" s="708"/>
      <c r="FM73" s="708"/>
      <c r="FN73" s="708"/>
      <c r="FO73" s="708"/>
      <c r="FP73" s="708"/>
    </row>
    <row r="74" spans="1:172" ht="50.25" hidden="1" customHeight="1" thickBot="1" x14ac:dyDescent="0.3">
      <c r="A74" s="587"/>
      <c r="B74" s="334"/>
      <c r="C74" s="335" t="s">
        <v>113</v>
      </c>
      <c r="D74" s="336"/>
      <c r="E74" s="337" t="s">
        <v>114</v>
      </c>
      <c r="F74" s="587"/>
      <c r="G74" s="334"/>
      <c r="H74" s="335" t="s">
        <v>113</v>
      </c>
      <c r="I74" s="336"/>
      <c r="J74" s="337" t="s">
        <v>114</v>
      </c>
      <c r="K74" s="587"/>
      <c r="L74" s="334"/>
      <c r="M74" s="335" t="s">
        <v>113</v>
      </c>
      <c r="N74" s="336"/>
      <c r="O74" s="337" t="s">
        <v>114</v>
      </c>
      <c r="P74" s="587"/>
      <c r="Q74" s="334"/>
      <c r="R74" s="335" t="s">
        <v>113</v>
      </c>
      <c r="S74" s="336"/>
      <c r="T74" s="337" t="s">
        <v>114</v>
      </c>
      <c r="U74" s="587"/>
      <c r="V74" s="334"/>
      <c r="W74" s="335" t="s">
        <v>113</v>
      </c>
      <c r="X74" s="336"/>
      <c r="Y74" s="337" t="s">
        <v>114</v>
      </c>
      <c r="Z74" s="587"/>
      <c r="AA74" s="334"/>
      <c r="AB74" s="335" t="s">
        <v>113</v>
      </c>
      <c r="AC74" s="336"/>
      <c r="AD74" s="337" t="s">
        <v>114</v>
      </c>
      <c r="AE74" s="587"/>
      <c r="AF74" s="334"/>
      <c r="AG74" s="335" t="s">
        <v>113</v>
      </c>
      <c r="AH74" s="336"/>
      <c r="AI74" s="337" t="s">
        <v>114</v>
      </c>
      <c r="AJ74" s="587"/>
      <c r="AK74" s="334"/>
      <c r="AL74" s="335" t="s">
        <v>113</v>
      </c>
      <c r="AM74" s="336"/>
      <c r="AN74" s="337" t="s">
        <v>114</v>
      </c>
      <c r="AO74" s="587"/>
      <c r="AP74" s="334"/>
      <c r="AQ74" s="335" t="s">
        <v>113</v>
      </c>
      <c r="AR74" s="336"/>
      <c r="AS74" s="337" t="s">
        <v>114</v>
      </c>
      <c r="AT74" s="587"/>
      <c r="AU74" s="334"/>
      <c r="AV74" s="335" t="s">
        <v>113</v>
      </c>
      <c r="AW74" s="336"/>
      <c r="AX74" s="337" t="s">
        <v>114</v>
      </c>
      <c r="AY74" s="587"/>
      <c r="AZ74" s="334"/>
      <c r="BA74" s="335" t="s">
        <v>113</v>
      </c>
      <c r="BB74" s="336"/>
      <c r="BC74" s="337" t="s">
        <v>114</v>
      </c>
      <c r="BD74" s="587"/>
      <c r="BE74" s="334"/>
      <c r="BF74" s="335" t="s">
        <v>113</v>
      </c>
      <c r="BG74" s="336"/>
      <c r="BH74" s="337" t="s">
        <v>114</v>
      </c>
      <c r="BI74" s="587"/>
      <c r="BJ74" s="334"/>
      <c r="BK74" s="335" t="s">
        <v>113</v>
      </c>
      <c r="BL74" s="336"/>
      <c r="BM74" s="337" t="s">
        <v>114</v>
      </c>
      <c r="BN74" s="587"/>
      <c r="BO74" s="334"/>
      <c r="BP74" s="335" t="s">
        <v>113</v>
      </c>
      <c r="BQ74" s="336"/>
      <c r="BR74" s="337" t="s">
        <v>114</v>
      </c>
      <c r="DE74" s="709"/>
      <c r="DF74" s="709"/>
      <c r="DG74" s="709"/>
      <c r="DH74" s="52"/>
      <c r="DI74" s="45"/>
      <c r="DJ74" s="45"/>
      <c r="DK74" s="45"/>
      <c r="DL74" s="45"/>
      <c r="DM74" s="45"/>
      <c r="DN74" s="45"/>
      <c r="DO74" s="45"/>
      <c r="DP74" s="45"/>
      <c r="DQ74" s="45"/>
      <c r="DR74" s="45"/>
      <c r="DS74" s="45"/>
      <c r="DT74" s="45"/>
      <c r="DU74" s="45"/>
      <c r="DV74" s="705"/>
      <c r="DW74" s="705"/>
      <c r="DX74" s="705"/>
      <c r="DY74" s="705"/>
      <c r="DZ74" s="705"/>
      <c r="EA74" s="705"/>
      <c r="EB74" s="705"/>
      <c r="EC74" s="705"/>
      <c r="ED74" s="705"/>
      <c r="EE74" s="705"/>
      <c r="EF74" s="705"/>
      <c r="EG74" s="705"/>
      <c r="EH74" s="706"/>
      <c r="EI74" s="706"/>
      <c r="EJ74" s="706"/>
      <c r="EK74" s="706"/>
      <c r="EL74" s="706"/>
      <c r="EM74" s="706"/>
      <c r="EN74" s="706"/>
      <c r="EO74" s="706"/>
      <c r="EP74" s="706"/>
      <c r="EQ74" s="706"/>
      <c r="ER74" s="706"/>
      <c r="ES74" s="707"/>
      <c r="ET74" s="707"/>
      <c r="EU74" s="707"/>
      <c r="EV74" s="707"/>
      <c r="EW74" s="707"/>
      <c r="EX74" s="707"/>
      <c r="EY74" s="707"/>
      <c r="EZ74" s="707"/>
      <c r="FA74" s="707"/>
      <c r="FB74" s="707"/>
      <c r="FC74" s="707"/>
      <c r="FD74" s="707"/>
      <c r="FE74" s="699"/>
      <c r="FF74" s="699"/>
      <c r="FG74" s="699"/>
      <c r="FH74" s="699"/>
      <c r="FI74" s="699"/>
      <c r="FJ74" s="699"/>
      <c r="FK74" s="699"/>
      <c r="FL74" s="699"/>
      <c r="FM74" s="699"/>
      <c r="FN74" s="699"/>
      <c r="FO74" s="699"/>
      <c r="FP74" s="699"/>
    </row>
    <row r="75" spans="1:172" ht="45.75" hidden="1" customHeight="1" thickTop="1" x14ac:dyDescent="0.25">
      <c r="A75" s="582" t="s">
        <v>110</v>
      </c>
      <c r="B75" s="583"/>
      <c r="C75" s="584">
        <f>B80/((72*3.1415/59)*(129.67/3.281))</f>
        <v>0</v>
      </c>
      <c r="D75" s="584"/>
      <c r="E75" s="585"/>
      <c r="F75" s="582" t="s">
        <v>110</v>
      </c>
      <c r="G75" s="583"/>
      <c r="H75" s="584">
        <f t="shared" ref="H75" si="134">G80/((72*3.1415/59)*(129.67/3.281))</f>
        <v>0</v>
      </c>
      <c r="I75" s="584"/>
      <c r="J75" s="585"/>
      <c r="K75" s="582" t="s">
        <v>110</v>
      </c>
      <c r="L75" s="583"/>
      <c r="M75" s="584">
        <f t="shared" ref="M75" si="135">L80/((72*3.1415/59)*(129.67/3.281))</f>
        <v>0</v>
      </c>
      <c r="N75" s="584"/>
      <c r="O75" s="585"/>
      <c r="P75" s="582" t="s">
        <v>110</v>
      </c>
      <c r="Q75" s="583"/>
      <c r="R75" s="584">
        <f t="shared" ref="R75" si="136">Q80/((72*3.1415/59)*(129.67/3.281))</f>
        <v>0</v>
      </c>
      <c r="S75" s="584"/>
      <c r="T75" s="585"/>
      <c r="U75" s="582" t="s">
        <v>110</v>
      </c>
      <c r="V75" s="583"/>
      <c r="W75" s="584">
        <f t="shared" ref="W75" si="137">V80/((72*3.1415/59)*(129.67/3.281))</f>
        <v>0</v>
      </c>
      <c r="X75" s="584"/>
      <c r="Y75" s="585"/>
      <c r="Z75" s="582" t="s">
        <v>110</v>
      </c>
      <c r="AA75" s="583"/>
      <c r="AB75" s="584">
        <f t="shared" ref="AB75" si="138">AA80/((72*3.1415/59)*(129.67/3.281))</f>
        <v>0</v>
      </c>
      <c r="AC75" s="584"/>
      <c r="AD75" s="585"/>
      <c r="AE75" s="582" t="s">
        <v>110</v>
      </c>
      <c r="AF75" s="583"/>
      <c r="AG75" s="584">
        <f t="shared" ref="AG75" si="139">AF80/((72*3.1415/59)*(129.67/3.281))</f>
        <v>0</v>
      </c>
      <c r="AH75" s="584"/>
      <c r="AI75" s="585"/>
      <c r="AJ75" s="582" t="s">
        <v>110</v>
      </c>
      <c r="AK75" s="583"/>
      <c r="AL75" s="584">
        <f t="shared" ref="AL75" si="140">AK80/((72*3.1415/59)*(129.67/3.281))</f>
        <v>0</v>
      </c>
      <c r="AM75" s="584"/>
      <c r="AN75" s="585"/>
      <c r="AO75" s="582" t="s">
        <v>110</v>
      </c>
      <c r="AP75" s="583"/>
      <c r="AQ75" s="584">
        <f t="shared" ref="AQ75" si="141">AP80/((72*3.1415/59)*(129.67/3.281))</f>
        <v>0</v>
      </c>
      <c r="AR75" s="584"/>
      <c r="AS75" s="585"/>
      <c r="AT75" s="582" t="s">
        <v>110</v>
      </c>
      <c r="AU75" s="583"/>
      <c r="AV75" s="584">
        <f t="shared" ref="AV75" si="142">AU80/((72*3.1415/59)*(129.67/3.281))</f>
        <v>0</v>
      </c>
      <c r="AW75" s="584"/>
      <c r="AX75" s="585"/>
      <c r="AY75" s="582" t="s">
        <v>110</v>
      </c>
      <c r="AZ75" s="583"/>
      <c r="BA75" s="584">
        <f t="shared" ref="BA75" si="143">AZ80/((72*3.1415/59)*(129.67/3.281))</f>
        <v>0</v>
      </c>
      <c r="BB75" s="584"/>
      <c r="BC75" s="585"/>
      <c r="BD75" s="582" t="s">
        <v>110</v>
      </c>
      <c r="BE75" s="583"/>
      <c r="BF75" s="584">
        <f t="shared" ref="BF75" si="144">BE80/((72*3.1415/59)*(129.67/3.281))</f>
        <v>0</v>
      </c>
      <c r="BG75" s="584"/>
      <c r="BH75" s="585"/>
      <c r="BI75" s="582" t="s">
        <v>110</v>
      </c>
      <c r="BJ75" s="583"/>
      <c r="BK75" s="584">
        <f t="shared" ref="BK75" si="145">BJ80/((72*3.1415/59)*(129.67/3.281))</f>
        <v>0</v>
      </c>
      <c r="BL75" s="584"/>
      <c r="BM75" s="585"/>
      <c r="BN75" s="582" t="s">
        <v>110</v>
      </c>
      <c r="BO75" s="583"/>
      <c r="BP75" s="584">
        <f t="shared" ref="BP75" si="146">BO80/((72*3.1415/59)*(129.67/3.281))</f>
        <v>0</v>
      </c>
      <c r="BQ75" s="584"/>
      <c r="BR75" s="585"/>
      <c r="DE75" s="709"/>
      <c r="DF75" s="709"/>
      <c r="DG75" s="709"/>
      <c r="DH75" s="52"/>
      <c r="DI75" s="49"/>
      <c r="DJ75" s="49"/>
      <c r="DK75" s="49"/>
      <c r="DL75" s="49"/>
      <c r="DM75" s="49"/>
      <c r="DN75" s="49"/>
      <c r="DO75" s="49"/>
      <c r="DP75" s="49"/>
      <c r="DQ75" s="49"/>
      <c r="DR75" s="49"/>
      <c r="DS75" s="49"/>
      <c r="DT75" s="49"/>
      <c r="DU75" s="49"/>
      <c r="DV75" s="705"/>
      <c r="DW75" s="705"/>
      <c r="DX75" s="705"/>
      <c r="DY75" s="705"/>
      <c r="DZ75" s="705"/>
      <c r="EA75" s="705"/>
      <c r="EB75" s="705"/>
      <c r="EC75" s="705"/>
      <c r="ED75" s="705"/>
      <c r="EE75" s="705"/>
      <c r="EF75" s="705"/>
      <c r="EG75" s="705"/>
      <c r="EH75" s="706"/>
      <c r="EI75" s="706"/>
      <c r="EJ75" s="706"/>
      <c r="EK75" s="706"/>
      <c r="EL75" s="706"/>
      <c r="EM75" s="706"/>
      <c r="EN75" s="706"/>
      <c r="EO75" s="706"/>
      <c r="EP75" s="706"/>
      <c r="EQ75" s="706"/>
      <c r="ER75" s="706"/>
      <c r="ES75" s="707"/>
      <c r="ET75" s="707"/>
      <c r="EU75" s="707"/>
      <c r="EV75" s="707"/>
      <c r="EW75" s="707"/>
      <c r="EX75" s="707"/>
      <c r="EY75" s="707"/>
      <c r="EZ75" s="707"/>
      <c r="FA75" s="707"/>
      <c r="FB75" s="707"/>
      <c r="FC75" s="707"/>
      <c r="FD75" s="707"/>
      <c r="FE75" s="699"/>
      <c r="FF75" s="699"/>
      <c r="FG75" s="699"/>
      <c r="FH75" s="699"/>
      <c r="FI75" s="699"/>
      <c r="FJ75" s="699"/>
      <c r="FK75" s="699"/>
      <c r="FL75" s="699"/>
      <c r="FM75" s="699"/>
      <c r="FN75" s="699"/>
      <c r="FO75" s="699"/>
      <c r="FP75" s="699"/>
    </row>
    <row r="76" spans="1:172" ht="9.75" hidden="1" customHeight="1" x14ac:dyDescent="0.25">
      <c r="A76" s="679" t="s">
        <v>489</v>
      </c>
      <c r="B76" s="680"/>
      <c r="C76" s="685" t="s">
        <v>504</v>
      </c>
      <c r="D76" s="686"/>
      <c r="E76" s="687"/>
      <c r="F76" s="679" t="s">
        <v>489</v>
      </c>
      <c r="G76" s="680"/>
      <c r="H76" s="685" t="s">
        <v>504</v>
      </c>
      <c r="I76" s="686"/>
      <c r="J76" s="687"/>
      <c r="K76" s="679" t="s">
        <v>489</v>
      </c>
      <c r="L76" s="680"/>
      <c r="M76" s="685" t="s">
        <v>504</v>
      </c>
      <c r="N76" s="686"/>
      <c r="O76" s="687"/>
      <c r="P76" s="679" t="s">
        <v>489</v>
      </c>
      <c r="Q76" s="680"/>
      <c r="R76" s="685" t="s">
        <v>504</v>
      </c>
      <c r="S76" s="686"/>
      <c r="T76" s="687"/>
      <c r="U76" s="679" t="s">
        <v>489</v>
      </c>
      <c r="V76" s="680"/>
      <c r="W76" s="685" t="s">
        <v>504</v>
      </c>
      <c r="X76" s="686"/>
      <c r="Y76" s="687"/>
      <c r="Z76" s="679" t="s">
        <v>489</v>
      </c>
      <c r="AA76" s="680"/>
      <c r="AB76" s="685" t="s">
        <v>504</v>
      </c>
      <c r="AC76" s="686"/>
      <c r="AD76" s="687"/>
      <c r="AE76" s="679" t="s">
        <v>489</v>
      </c>
      <c r="AF76" s="680"/>
      <c r="AG76" s="685" t="s">
        <v>504</v>
      </c>
      <c r="AH76" s="686"/>
      <c r="AI76" s="687"/>
      <c r="AJ76" s="679" t="s">
        <v>489</v>
      </c>
      <c r="AK76" s="680"/>
      <c r="AL76" s="685" t="s">
        <v>504</v>
      </c>
      <c r="AM76" s="686"/>
      <c r="AN76" s="687"/>
      <c r="AO76" s="679" t="s">
        <v>489</v>
      </c>
      <c r="AP76" s="680"/>
      <c r="AQ76" s="685" t="s">
        <v>504</v>
      </c>
      <c r="AR76" s="686"/>
      <c r="AS76" s="687"/>
      <c r="AT76" s="679" t="s">
        <v>489</v>
      </c>
      <c r="AU76" s="680"/>
      <c r="AV76" s="685" t="s">
        <v>504</v>
      </c>
      <c r="AW76" s="686"/>
      <c r="AX76" s="687"/>
      <c r="AY76" s="679" t="s">
        <v>489</v>
      </c>
      <c r="AZ76" s="680"/>
      <c r="BA76" s="685" t="s">
        <v>504</v>
      </c>
      <c r="BB76" s="686"/>
      <c r="BC76" s="687"/>
      <c r="BD76" s="679" t="s">
        <v>489</v>
      </c>
      <c r="BE76" s="680"/>
      <c r="BF76" s="685" t="s">
        <v>504</v>
      </c>
      <c r="BG76" s="686"/>
      <c r="BH76" s="687"/>
      <c r="BI76" s="679" t="s">
        <v>489</v>
      </c>
      <c r="BJ76" s="680"/>
      <c r="BK76" s="685" t="s">
        <v>504</v>
      </c>
      <c r="BL76" s="686"/>
      <c r="BM76" s="687"/>
      <c r="BN76" s="679" t="s">
        <v>489</v>
      </c>
      <c r="BO76" s="680"/>
      <c r="BP76" s="685" t="s">
        <v>504</v>
      </c>
      <c r="BQ76" s="686"/>
      <c r="BR76" s="687"/>
    </row>
    <row r="77" spans="1:172" ht="9.75" hidden="1" customHeight="1" x14ac:dyDescent="0.25">
      <c r="A77" s="681"/>
      <c r="B77" s="682"/>
      <c r="C77" s="688"/>
      <c r="D77" s="689"/>
      <c r="E77" s="690"/>
      <c r="F77" s="681"/>
      <c r="G77" s="682"/>
      <c r="H77" s="688"/>
      <c r="I77" s="689"/>
      <c r="J77" s="690"/>
      <c r="K77" s="681"/>
      <c r="L77" s="682"/>
      <c r="M77" s="688"/>
      <c r="N77" s="689"/>
      <c r="O77" s="690"/>
      <c r="P77" s="681"/>
      <c r="Q77" s="682"/>
      <c r="R77" s="688"/>
      <c r="S77" s="689"/>
      <c r="T77" s="690"/>
      <c r="U77" s="681"/>
      <c r="V77" s="682"/>
      <c r="W77" s="688"/>
      <c r="X77" s="689"/>
      <c r="Y77" s="690"/>
      <c r="Z77" s="681"/>
      <c r="AA77" s="682"/>
      <c r="AB77" s="688"/>
      <c r="AC77" s="689"/>
      <c r="AD77" s="690"/>
      <c r="AE77" s="681"/>
      <c r="AF77" s="682"/>
      <c r="AG77" s="688"/>
      <c r="AH77" s="689"/>
      <c r="AI77" s="690"/>
      <c r="AJ77" s="681"/>
      <c r="AK77" s="682"/>
      <c r="AL77" s="688"/>
      <c r="AM77" s="689"/>
      <c r="AN77" s="690"/>
      <c r="AO77" s="681"/>
      <c r="AP77" s="682"/>
      <c r="AQ77" s="688"/>
      <c r="AR77" s="689"/>
      <c r="AS77" s="690"/>
      <c r="AT77" s="681"/>
      <c r="AU77" s="682"/>
      <c r="AV77" s="688"/>
      <c r="AW77" s="689"/>
      <c r="AX77" s="690"/>
      <c r="AY77" s="681"/>
      <c r="AZ77" s="682"/>
      <c r="BA77" s="688"/>
      <c r="BB77" s="689"/>
      <c r="BC77" s="690"/>
      <c r="BD77" s="681"/>
      <c r="BE77" s="682"/>
      <c r="BF77" s="688"/>
      <c r="BG77" s="689"/>
      <c r="BH77" s="690"/>
      <c r="BI77" s="681"/>
      <c r="BJ77" s="682"/>
      <c r="BK77" s="688"/>
      <c r="BL77" s="689"/>
      <c r="BM77" s="690"/>
      <c r="BN77" s="681"/>
      <c r="BO77" s="682"/>
      <c r="BP77" s="688"/>
      <c r="BQ77" s="689"/>
      <c r="BR77" s="690"/>
    </row>
    <row r="78" spans="1:172" ht="9.75" hidden="1" customHeight="1" x14ac:dyDescent="0.25">
      <c r="A78" s="683"/>
      <c r="B78" s="684"/>
      <c r="C78" s="691"/>
      <c r="D78" s="692"/>
      <c r="E78" s="693"/>
      <c r="F78" s="683"/>
      <c r="G78" s="684"/>
      <c r="H78" s="691"/>
      <c r="I78" s="692"/>
      <c r="J78" s="693"/>
      <c r="K78" s="683"/>
      <c r="L78" s="684"/>
      <c r="M78" s="691"/>
      <c r="N78" s="692"/>
      <c r="O78" s="693"/>
      <c r="P78" s="683"/>
      <c r="Q78" s="684"/>
      <c r="R78" s="691"/>
      <c r="S78" s="692"/>
      <c r="T78" s="693"/>
      <c r="U78" s="683"/>
      <c r="V78" s="684"/>
      <c r="W78" s="691"/>
      <c r="X78" s="692"/>
      <c r="Y78" s="693"/>
      <c r="Z78" s="683"/>
      <c r="AA78" s="684"/>
      <c r="AB78" s="691"/>
      <c r="AC78" s="692"/>
      <c r="AD78" s="693"/>
      <c r="AE78" s="683"/>
      <c r="AF78" s="684"/>
      <c r="AG78" s="691"/>
      <c r="AH78" s="692"/>
      <c r="AI78" s="693"/>
      <c r="AJ78" s="683"/>
      <c r="AK78" s="684"/>
      <c r="AL78" s="691"/>
      <c r="AM78" s="692"/>
      <c r="AN78" s="693"/>
      <c r="AO78" s="683"/>
      <c r="AP78" s="684"/>
      <c r="AQ78" s="691"/>
      <c r="AR78" s="692"/>
      <c r="AS78" s="693"/>
      <c r="AT78" s="683"/>
      <c r="AU78" s="684"/>
      <c r="AV78" s="691"/>
      <c r="AW78" s="692"/>
      <c r="AX78" s="693"/>
      <c r="AY78" s="683"/>
      <c r="AZ78" s="684"/>
      <c r="BA78" s="691"/>
      <c r="BB78" s="692"/>
      <c r="BC78" s="693"/>
      <c r="BD78" s="683"/>
      <c r="BE78" s="684"/>
      <c r="BF78" s="691"/>
      <c r="BG78" s="692"/>
      <c r="BH78" s="693"/>
      <c r="BI78" s="683"/>
      <c r="BJ78" s="684"/>
      <c r="BK78" s="691"/>
      <c r="BL78" s="692"/>
      <c r="BM78" s="693"/>
      <c r="BN78" s="683"/>
      <c r="BO78" s="684"/>
      <c r="BP78" s="691"/>
      <c r="BQ78" s="692"/>
      <c r="BR78" s="693"/>
    </row>
    <row r="79" spans="1:172" s="22" customFormat="1" ht="111.75" hidden="1" customHeight="1" x14ac:dyDescent="1.35">
      <c r="A79" s="586" t="s">
        <v>500</v>
      </c>
      <c r="B79" s="694"/>
      <c r="C79" s="695"/>
      <c r="D79" s="695"/>
      <c r="E79" s="696"/>
      <c r="F79" s="586" t="s">
        <v>500</v>
      </c>
      <c r="G79" s="694"/>
      <c r="H79" s="695"/>
      <c r="I79" s="695"/>
      <c r="J79" s="696"/>
      <c r="K79" s="586" t="s">
        <v>500</v>
      </c>
      <c r="L79" s="694"/>
      <c r="M79" s="695"/>
      <c r="N79" s="695"/>
      <c r="O79" s="696"/>
      <c r="P79" s="586" t="s">
        <v>500</v>
      </c>
      <c r="Q79" s="694"/>
      <c r="R79" s="695"/>
      <c r="S79" s="695"/>
      <c r="T79" s="696"/>
      <c r="U79" s="586" t="s">
        <v>500</v>
      </c>
      <c r="V79" s="694"/>
      <c r="W79" s="695"/>
      <c r="X79" s="695"/>
      <c r="Y79" s="696"/>
      <c r="Z79" s="586" t="s">
        <v>500</v>
      </c>
      <c r="AA79" s="694"/>
      <c r="AB79" s="695"/>
      <c r="AC79" s="695"/>
      <c r="AD79" s="696"/>
      <c r="AE79" s="586" t="s">
        <v>500</v>
      </c>
      <c r="AF79" s="694"/>
      <c r="AG79" s="695"/>
      <c r="AH79" s="695"/>
      <c r="AI79" s="696"/>
      <c r="AJ79" s="586" t="s">
        <v>500</v>
      </c>
      <c r="AK79" s="694"/>
      <c r="AL79" s="695"/>
      <c r="AM79" s="695"/>
      <c r="AN79" s="696"/>
      <c r="AO79" s="586" t="s">
        <v>500</v>
      </c>
      <c r="AP79" s="694"/>
      <c r="AQ79" s="695"/>
      <c r="AR79" s="695"/>
      <c r="AS79" s="696"/>
      <c r="AT79" s="586" t="s">
        <v>500</v>
      </c>
      <c r="AU79" s="694"/>
      <c r="AV79" s="695"/>
      <c r="AW79" s="695"/>
      <c r="AX79" s="696"/>
      <c r="AY79" s="586" t="s">
        <v>500</v>
      </c>
      <c r="AZ79" s="694"/>
      <c r="BA79" s="695"/>
      <c r="BB79" s="695"/>
      <c r="BC79" s="696"/>
      <c r="BD79" s="586" t="s">
        <v>500</v>
      </c>
      <c r="BE79" s="694"/>
      <c r="BF79" s="695"/>
      <c r="BG79" s="695"/>
      <c r="BH79" s="696"/>
      <c r="BI79" s="586" t="s">
        <v>500</v>
      </c>
      <c r="BJ79" s="694"/>
      <c r="BK79" s="695"/>
      <c r="BL79" s="695"/>
      <c r="BM79" s="696"/>
      <c r="BN79" s="586" t="s">
        <v>500</v>
      </c>
      <c r="BO79" s="694"/>
      <c r="BP79" s="695"/>
      <c r="BQ79" s="695"/>
      <c r="BR79" s="696"/>
    </row>
    <row r="80" spans="1:172" ht="50.25" hidden="1" customHeight="1" thickBot="1" x14ac:dyDescent="0.3">
      <c r="A80" s="587"/>
      <c r="B80" s="334"/>
      <c r="C80" s="335" t="s">
        <v>113</v>
      </c>
      <c r="D80" s="336"/>
      <c r="E80" s="337" t="s">
        <v>114</v>
      </c>
      <c r="F80" s="587"/>
      <c r="G80" s="334"/>
      <c r="H80" s="335" t="s">
        <v>113</v>
      </c>
      <c r="I80" s="336"/>
      <c r="J80" s="337" t="s">
        <v>114</v>
      </c>
      <c r="K80" s="587"/>
      <c r="L80" s="334"/>
      <c r="M80" s="335" t="s">
        <v>113</v>
      </c>
      <c r="N80" s="336"/>
      <c r="O80" s="337" t="s">
        <v>114</v>
      </c>
      <c r="P80" s="587"/>
      <c r="Q80" s="334"/>
      <c r="R80" s="335" t="s">
        <v>113</v>
      </c>
      <c r="S80" s="336"/>
      <c r="T80" s="337" t="s">
        <v>114</v>
      </c>
      <c r="U80" s="587"/>
      <c r="V80" s="334"/>
      <c r="W80" s="335" t="s">
        <v>113</v>
      </c>
      <c r="X80" s="336"/>
      <c r="Y80" s="337" t="s">
        <v>114</v>
      </c>
      <c r="Z80" s="587"/>
      <c r="AA80" s="334"/>
      <c r="AB80" s="335" t="s">
        <v>113</v>
      </c>
      <c r="AC80" s="336"/>
      <c r="AD80" s="337" t="s">
        <v>114</v>
      </c>
      <c r="AE80" s="587"/>
      <c r="AF80" s="334"/>
      <c r="AG80" s="335" t="s">
        <v>113</v>
      </c>
      <c r="AH80" s="336"/>
      <c r="AI80" s="337" t="s">
        <v>114</v>
      </c>
      <c r="AJ80" s="587"/>
      <c r="AK80" s="334"/>
      <c r="AL80" s="335" t="s">
        <v>113</v>
      </c>
      <c r="AM80" s="336"/>
      <c r="AN80" s="337" t="s">
        <v>114</v>
      </c>
      <c r="AO80" s="587"/>
      <c r="AP80" s="334"/>
      <c r="AQ80" s="335" t="s">
        <v>113</v>
      </c>
      <c r="AR80" s="336"/>
      <c r="AS80" s="337" t="s">
        <v>114</v>
      </c>
      <c r="AT80" s="587"/>
      <c r="AU80" s="334"/>
      <c r="AV80" s="335" t="s">
        <v>113</v>
      </c>
      <c r="AW80" s="336"/>
      <c r="AX80" s="337" t="s">
        <v>114</v>
      </c>
      <c r="AY80" s="587"/>
      <c r="AZ80" s="334"/>
      <c r="BA80" s="335" t="s">
        <v>113</v>
      </c>
      <c r="BB80" s="336"/>
      <c r="BC80" s="337" t="s">
        <v>114</v>
      </c>
      <c r="BD80" s="587"/>
      <c r="BE80" s="334"/>
      <c r="BF80" s="335" t="s">
        <v>113</v>
      </c>
      <c r="BG80" s="336"/>
      <c r="BH80" s="337" t="s">
        <v>114</v>
      </c>
      <c r="BI80" s="587"/>
      <c r="BJ80" s="334"/>
      <c r="BK80" s="335" t="s">
        <v>113</v>
      </c>
      <c r="BL80" s="336"/>
      <c r="BM80" s="337" t="s">
        <v>114</v>
      </c>
      <c r="BN80" s="587"/>
      <c r="BO80" s="334"/>
      <c r="BP80" s="335" t="s">
        <v>113</v>
      </c>
      <c r="BQ80" s="336"/>
      <c r="BR80" s="337" t="s">
        <v>114</v>
      </c>
    </row>
    <row r="81" spans="1:70" ht="53.25" hidden="1" customHeight="1" thickTop="1" x14ac:dyDescent="0.25">
      <c r="A81" s="582" t="s">
        <v>110</v>
      </c>
      <c r="B81" s="583"/>
      <c r="C81" s="584">
        <f t="shared" ref="C81" si="147">B86/((72*3.1415/59)*(129.67/3.281))</f>
        <v>0</v>
      </c>
      <c r="D81" s="584"/>
      <c r="E81" s="585"/>
      <c r="F81" s="582" t="s">
        <v>110</v>
      </c>
      <c r="G81" s="583"/>
      <c r="H81" s="584">
        <f t="shared" ref="H81" si="148">G86/((72*3.1415/59)*(129.67/3.281))</f>
        <v>0</v>
      </c>
      <c r="I81" s="584"/>
      <c r="J81" s="585"/>
      <c r="K81" s="582" t="s">
        <v>110</v>
      </c>
      <c r="L81" s="583"/>
      <c r="M81" s="584">
        <f t="shared" ref="M81" si="149">L86/((72*3.1415/59)*(129.67/3.281))</f>
        <v>0</v>
      </c>
      <c r="N81" s="584"/>
      <c r="O81" s="585"/>
      <c r="P81" s="582" t="s">
        <v>110</v>
      </c>
      <c r="Q81" s="583"/>
      <c r="R81" s="584">
        <f t="shared" ref="R81" si="150">Q86/((72*3.1415/59)*(129.67/3.281))</f>
        <v>0</v>
      </c>
      <c r="S81" s="584"/>
      <c r="T81" s="585"/>
      <c r="U81" s="582" t="s">
        <v>110</v>
      </c>
      <c r="V81" s="583"/>
      <c r="W81" s="584">
        <f t="shared" ref="W81" si="151">V86/((72*3.1415/59)*(129.67/3.281))</f>
        <v>0</v>
      </c>
      <c r="X81" s="584"/>
      <c r="Y81" s="585"/>
      <c r="Z81" s="582" t="s">
        <v>110</v>
      </c>
      <c r="AA81" s="583"/>
      <c r="AB81" s="584">
        <f t="shared" ref="AB81" si="152">AA86/((72*3.1415/59)*(129.67/3.281))</f>
        <v>0</v>
      </c>
      <c r="AC81" s="584"/>
      <c r="AD81" s="585"/>
      <c r="AE81" s="582" t="s">
        <v>110</v>
      </c>
      <c r="AF81" s="583"/>
      <c r="AG81" s="584">
        <f t="shared" ref="AG81" si="153">AF86/((72*3.1415/59)*(129.67/3.281))</f>
        <v>0</v>
      </c>
      <c r="AH81" s="584"/>
      <c r="AI81" s="585"/>
      <c r="AJ81" s="582" t="s">
        <v>110</v>
      </c>
      <c r="AK81" s="583"/>
      <c r="AL81" s="584">
        <f t="shared" ref="AL81" si="154">AK86/((72*3.1415/59)*(129.67/3.281))</f>
        <v>0</v>
      </c>
      <c r="AM81" s="584"/>
      <c r="AN81" s="585"/>
      <c r="AO81" s="582" t="s">
        <v>110</v>
      </c>
      <c r="AP81" s="583"/>
      <c r="AQ81" s="584">
        <f t="shared" ref="AQ81" si="155">AP86/((72*3.1415/59)*(129.67/3.281))</f>
        <v>0</v>
      </c>
      <c r="AR81" s="584"/>
      <c r="AS81" s="585"/>
      <c r="AT81" s="582" t="s">
        <v>110</v>
      </c>
      <c r="AU81" s="583"/>
      <c r="AV81" s="584">
        <f t="shared" ref="AV81" si="156">AU86/((72*3.1415/59)*(129.67/3.281))</f>
        <v>0</v>
      </c>
      <c r="AW81" s="584"/>
      <c r="AX81" s="585"/>
      <c r="AY81" s="582" t="s">
        <v>110</v>
      </c>
      <c r="AZ81" s="583"/>
      <c r="BA81" s="584">
        <f t="shared" ref="BA81" si="157">AZ86/((72*3.1415/59)*(129.67/3.281))</f>
        <v>0</v>
      </c>
      <c r="BB81" s="584"/>
      <c r="BC81" s="585"/>
      <c r="BD81" s="582" t="s">
        <v>110</v>
      </c>
      <c r="BE81" s="583"/>
      <c r="BF81" s="584">
        <f t="shared" ref="BF81" si="158">BE86/((72*3.1415/59)*(129.67/3.281))</f>
        <v>0</v>
      </c>
      <c r="BG81" s="584"/>
      <c r="BH81" s="585"/>
      <c r="BI81" s="582" t="s">
        <v>110</v>
      </c>
      <c r="BJ81" s="583"/>
      <c r="BK81" s="584">
        <f t="shared" ref="BK81" si="159">BJ86/((72*3.1415/59)*(129.67/3.281))</f>
        <v>0</v>
      </c>
      <c r="BL81" s="584"/>
      <c r="BM81" s="585"/>
      <c r="BN81" s="582" t="s">
        <v>110</v>
      </c>
      <c r="BO81" s="583"/>
      <c r="BP81" s="584">
        <f t="shared" ref="BP81" si="160">BO86/((72*3.1415/59)*(129.67/3.281))</f>
        <v>0</v>
      </c>
      <c r="BQ81" s="584"/>
      <c r="BR81" s="585"/>
    </row>
    <row r="82" spans="1:70" ht="15.75" hidden="1" customHeight="1" x14ac:dyDescent="0.25">
      <c r="A82" s="679" t="s">
        <v>489</v>
      </c>
      <c r="B82" s="680"/>
      <c r="C82" s="685" t="s">
        <v>504</v>
      </c>
      <c r="D82" s="686"/>
      <c r="E82" s="687"/>
      <c r="F82" s="679" t="s">
        <v>489</v>
      </c>
      <c r="G82" s="680"/>
      <c r="H82" s="685" t="s">
        <v>504</v>
      </c>
      <c r="I82" s="686"/>
      <c r="J82" s="687"/>
      <c r="K82" s="679" t="s">
        <v>489</v>
      </c>
      <c r="L82" s="680"/>
      <c r="M82" s="685" t="s">
        <v>504</v>
      </c>
      <c r="N82" s="686"/>
      <c r="O82" s="687"/>
      <c r="P82" s="679" t="s">
        <v>489</v>
      </c>
      <c r="Q82" s="680"/>
      <c r="R82" s="685" t="s">
        <v>504</v>
      </c>
      <c r="S82" s="686"/>
      <c r="T82" s="687"/>
      <c r="U82" s="679" t="s">
        <v>489</v>
      </c>
      <c r="V82" s="680"/>
      <c r="W82" s="685" t="s">
        <v>504</v>
      </c>
      <c r="X82" s="686"/>
      <c r="Y82" s="687"/>
      <c r="Z82" s="679" t="s">
        <v>489</v>
      </c>
      <c r="AA82" s="680"/>
      <c r="AB82" s="685" t="s">
        <v>504</v>
      </c>
      <c r="AC82" s="686"/>
      <c r="AD82" s="687"/>
      <c r="AE82" s="679" t="s">
        <v>489</v>
      </c>
      <c r="AF82" s="680"/>
      <c r="AG82" s="685" t="s">
        <v>504</v>
      </c>
      <c r="AH82" s="686"/>
      <c r="AI82" s="687"/>
      <c r="AJ82" s="679" t="s">
        <v>489</v>
      </c>
      <c r="AK82" s="680"/>
      <c r="AL82" s="685" t="s">
        <v>504</v>
      </c>
      <c r="AM82" s="686"/>
      <c r="AN82" s="687"/>
      <c r="AO82" s="679" t="s">
        <v>489</v>
      </c>
      <c r="AP82" s="680"/>
      <c r="AQ82" s="685" t="s">
        <v>504</v>
      </c>
      <c r="AR82" s="686"/>
      <c r="AS82" s="687"/>
      <c r="AT82" s="679" t="s">
        <v>489</v>
      </c>
      <c r="AU82" s="680"/>
      <c r="AV82" s="685" t="s">
        <v>504</v>
      </c>
      <c r="AW82" s="686"/>
      <c r="AX82" s="687"/>
      <c r="AY82" s="679" t="s">
        <v>489</v>
      </c>
      <c r="AZ82" s="680"/>
      <c r="BA82" s="685" t="s">
        <v>504</v>
      </c>
      <c r="BB82" s="686"/>
      <c r="BC82" s="687"/>
      <c r="BD82" s="679" t="s">
        <v>489</v>
      </c>
      <c r="BE82" s="680"/>
      <c r="BF82" s="685" t="s">
        <v>504</v>
      </c>
      <c r="BG82" s="686"/>
      <c r="BH82" s="687"/>
      <c r="BI82" s="679" t="s">
        <v>489</v>
      </c>
      <c r="BJ82" s="680"/>
      <c r="BK82" s="685" t="s">
        <v>504</v>
      </c>
      <c r="BL82" s="686"/>
      <c r="BM82" s="687"/>
      <c r="BN82" s="679" t="s">
        <v>489</v>
      </c>
      <c r="BO82" s="680"/>
      <c r="BP82" s="685" t="s">
        <v>504</v>
      </c>
      <c r="BQ82" s="686"/>
      <c r="BR82" s="687"/>
    </row>
    <row r="83" spans="1:70" ht="12" hidden="1" customHeight="1" x14ac:dyDescent="0.25">
      <c r="A83" s="681"/>
      <c r="B83" s="682"/>
      <c r="C83" s="688"/>
      <c r="D83" s="689"/>
      <c r="E83" s="690"/>
      <c r="F83" s="681"/>
      <c r="G83" s="682"/>
      <c r="H83" s="688"/>
      <c r="I83" s="689"/>
      <c r="J83" s="690"/>
      <c r="K83" s="681"/>
      <c r="L83" s="682"/>
      <c r="M83" s="688"/>
      <c r="N83" s="689"/>
      <c r="O83" s="690"/>
      <c r="P83" s="681"/>
      <c r="Q83" s="682"/>
      <c r="R83" s="688"/>
      <c r="S83" s="689"/>
      <c r="T83" s="690"/>
      <c r="U83" s="681"/>
      <c r="V83" s="682"/>
      <c r="W83" s="688"/>
      <c r="X83" s="689"/>
      <c r="Y83" s="690"/>
      <c r="Z83" s="681"/>
      <c r="AA83" s="682"/>
      <c r="AB83" s="688"/>
      <c r="AC83" s="689"/>
      <c r="AD83" s="690"/>
      <c r="AE83" s="681"/>
      <c r="AF83" s="682"/>
      <c r="AG83" s="688"/>
      <c r="AH83" s="689"/>
      <c r="AI83" s="690"/>
      <c r="AJ83" s="681"/>
      <c r="AK83" s="682"/>
      <c r="AL83" s="688"/>
      <c r="AM83" s="689"/>
      <c r="AN83" s="690"/>
      <c r="AO83" s="681"/>
      <c r="AP83" s="682"/>
      <c r="AQ83" s="688"/>
      <c r="AR83" s="689"/>
      <c r="AS83" s="690"/>
      <c r="AT83" s="681"/>
      <c r="AU83" s="682"/>
      <c r="AV83" s="688"/>
      <c r="AW83" s="689"/>
      <c r="AX83" s="690"/>
      <c r="AY83" s="681"/>
      <c r="AZ83" s="682"/>
      <c r="BA83" s="688"/>
      <c r="BB83" s="689"/>
      <c r="BC83" s="690"/>
      <c r="BD83" s="681"/>
      <c r="BE83" s="682"/>
      <c r="BF83" s="688"/>
      <c r="BG83" s="689"/>
      <c r="BH83" s="690"/>
      <c r="BI83" s="681"/>
      <c r="BJ83" s="682"/>
      <c r="BK83" s="688"/>
      <c r="BL83" s="689"/>
      <c r="BM83" s="690"/>
      <c r="BN83" s="681"/>
      <c r="BO83" s="682"/>
      <c r="BP83" s="688"/>
      <c r="BQ83" s="689"/>
      <c r="BR83" s="690"/>
    </row>
    <row r="84" spans="1:70" ht="15" hidden="1" customHeight="1" x14ac:dyDescent="0.25">
      <c r="A84" s="683"/>
      <c r="B84" s="684"/>
      <c r="C84" s="691"/>
      <c r="D84" s="692"/>
      <c r="E84" s="693"/>
      <c r="F84" s="683"/>
      <c r="G84" s="684"/>
      <c r="H84" s="691"/>
      <c r="I84" s="692"/>
      <c r="J84" s="693"/>
      <c r="K84" s="683"/>
      <c r="L84" s="684"/>
      <c r="M84" s="691"/>
      <c r="N84" s="692"/>
      <c r="O84" s="693"/>
      <c r="P84" s="683"/>
      <c r="Q84" s="684"/>
      <c r="R84" s="691"/>
      <c r="S84" s="692"/>
      <c r="T84" s="693"/>
      <c r="U84" s="683"/>
      <c r="V84" s="684"/>
      <c r="W84" s="691"/>
      <c r="X84" s="692"/>
      <c r="Y84" s="693"/>
      <c r="Z84" s="683"/>
      <c r="AA84" s="684"/>
      <c r="AB84" s="691"/>
      <c r="AC84" s="692"/>
      <c r="AD84" s="693"/>
      <c r="AE84" s="683"/>
      <c r="AF84" s="684"/>
      <c r="AG84" s="691"/>
      <c r="AH84" s="692"/>
      <c r="AI84" s="693"/>
      <c r="AJ84" s="683"/>
      <c r="AK84" s="684"/>
      <c r="AL84" s="691"/>
      <c r="AM84" s="692"/>
      <c r="AN84" s="693"/>
      <c r="AO84" s="683"/>
      <c r="AP84" s="684"/>
      <c r="AQ84" s="691"/>
      <c r="AR84" s="692"/>
      <c r="AS84" s="693"/>
      <c r="AT84" s="683"/>
      <c r="AU84" s="684"/>
      <c r="AV84" s="691"/>
      <c r="AW84" s="692"/>
      <c r="AX84" s="693"/>
      <c r="AY84" s="683"/>
      <c r="AZ84" s="684"/>
      <c r="BA84" s="691"/>
      <c r="BB84" s="692"/>
      <c r="BC84" s="693"/>
      <c r="BD84" s="683"/>
      <c r="BE84" s="684"/>
      <c r="BF84" s="691"/>
      <c r="BG84" s="692"/>
      <c r="BH84" s="693"/>
      <c r="BI84" s="683"/>
      <c r="BJ84" s="684"/>
      <c r="BK84" s="691"/>
      <c r="BL84" s="692"/>
      <c r="BM84" s="693"/>
      <c r="BN84" s="683"/>
      <c r="BO84" s="684"/>
      <c r="BP84" s="691"/>
      <c r="BQ84" s="692"/>
      <c r="BR84" s="693"/>
    </row>
    <row r="85" spans="1:70" s="22" customFormat="1" ht="111.75" hidden="1" customHeight="1" x14ac:dyDescent="1.35">
      <c r="A85" s="586" t="s">
        <v>500</v>
      </c>
      <c r="B85" s="694"/>
      <c r="C85" s="695"/>
      <c r="D85" s="695"/>
      <c r="E85" s="696"/>
      <c r="F85" s="586" t="s">
        <v>500</v>
      </c>
      <c r="G85" s="694"/>
      <c r="H85" s="695"/>
      <c r="I85" s="695"/>
      <c r="J85" s="696"/>
      <c r="K85" s="586" t="s">
        <v>500</v>
      </c>
      <c r="L85" s="694"/>
      <c r="M85" s="695"/>
      <c r="N85" s="695"/>
      <c r="O85" s="696"/>
      <c r="P85" s="586" t="s">
        <v>500</v>
      </c>
      <c r="Q85" s="694"/>
      <c r="R85" s="695"/>
      <c r="S85" s="695"/>
      <c r="T85" s="696"/>
      <c r="U85" s="586" t="s">
        <v>500</v>
      </c>
      <c r="V85" s="694"/>
      <c r="W85" s="695"/>
      <c r="X85" s="695"/>
      <c r="Y85" s="696"/>
      <c r="Z85" s="586" t="s">
        <v>500</v>
      </c>
      <c r="AA85" s="694"/>
      <c r="AB85" s="695"/>
      <c r="AC85" s="695"/>
      <c r="AD85" s="696"/>
      <c r="AE85" s="586" t="s">
        <v>500</v>
      </c>
      <c r="AF85" s="694"/>
      <c r="AG85" s="695"/>
      <c r="AH85" s="695"/>
      <c r="AI85" s="696"/>
      <c r="AJ85" s="586" t="s">
        <v>500</v>
      </c>
      <c r="AK85" s="694"/>
      <c r="AL85" s="695"/>
      <c r="AM85" s="695"/>
      <c r="AN85" s="696"/>
      <c r="AO85" s="586" t="s">
        <v>500</v>
      </c>
      <c r="AP85" s="694"/>
      <c r="AQ85" s="695"/>
      <c r="AR85" s="695"/>
      <c r="AS85" s="696"/>
      <c r="AT85" s="586" t="s">
        <v>500</v>
      </c>
      <c r="AU85" s="694"/>
      <c r="AV85" s="695"/>
      <c r="AW85" s="695"/>
      <c r="AX85" s="696"/>
      <c r="AY85" s="586" t="s">
        <v>500</v>
      </c>
      <c r="AZ85" s="694"/>
      <c r="BA85" s="695"/>
      <c r="BB85" s="695"/>
      <c r="BC85" s="696"/>
      <c r="BD85" s="586" t="s">
        <v>500</v>
      </c>
      <c r="BE85" s="694"/>
      <c r="BF85" s="695"/>
      <c r="BG85" s="695"/>
      <c r="BH85" s="696"/>
      <c r="BI85" s="586" t="s">
        <v>500</v>
      </c>
      <c r="BJ85" s="694"/>
      <c r="BK85" s="695"/>
      <c r="BL85" s="695"/>
      <c r="BM85" s="696"/>
      <c r="BN85" s="586" t="s">
        <v>500</v>
      </c>
      <c r="BO85" s="694"/>
      <c r="BP85" s="695"/>
      <c r="BQ85" s="695"/>
      <c r="BR85" s="696"/>
    </row>
    <row r="86" spans="1:70" ht="50.25" hidden="1" customHeight="1" thickBot="1" x14ac:dyDescent="0.3">
      <c r="A86" s="587"/>
      <c r="B86" s="334"/>
      <c r="C86" s="335" t="s">
        <v>113</v>
      </c>
      <c r="D86" s="336"/>
      <c r="E86" s="337" t="s">
        <v>114</v>
      </c>
      <c r="F86" s="587"/>
      <c r="G86" s="334"/>
      <c r="H86" s="335" t="s">
        <v>113</v>
      </c>
      <c r="I86" s="336"/>
      <c r="J86" s="337" t="s">
        <v>114</v>
      </c>
      <c r="K86" s="587"/>
      <c r="L86" s="334"/>
      <c r="M86" s="335" t="s">
        <v>113</v>
      </c>
      <c r="N86" s="336"/>
      <c r="O86" s="337" t="s">
        <v>114</v>
      </c>
      <c r="P86" s="587"/>
      <c r="Q86" s="334"/>
      <c r="R86" s="335" t="s">
        <v>113</v>
      </c>
      <c r="S86" s="336"/>
      <c r="T86" s="337" t="s">
        <v>114</v>
      </c>
      <c r="U86" s="587"/>
      <c r="V86" s="334"/>
      <c r="W86" s="335" t="s">
        <v>113</v>
      </c>
      <c r="X86" s="336"/>
      <c r="Y86" s="337" t="s">
        <v>114</v>
      </c>
      <c r="Z86" s="587"/>
      <c r="AA86" s="334"/>
      <c r="AB86" s="335" t="s">
        <v>113</v>
      </c>
      <c r="AC86" s="336"/>
      <c r="AD86" s="337" t="s">
        <v>114</v>
      </c>
      <c r="AE86" s="587"/>
      <c r="AF86" s="334"/>
      <c r="AG86" s="335" t="s">
        <v>113</v>
      </c>
      <c r="AH86" s="336"/>
      <c r="AI86" s="337" t="s">
        <v>114</v>
      </c>
      <c r="AJ86" s="587"/>
      <c r="AK86" s="334"/>
      <c r="AL86" s="335" t="s">
        <v>113</v>
      </c>
      <c r="AM86" s="336"/>
      <c r="AN86" s="337" t="s">
        <v>114</v>
      </c>
      <c r="AO86" s="587"/>
      <c r="AP86" s="334"/>
      <c r="AQ86" s="335" t="s">
        <v>113</v>
      </c>
      <c r="AR86" s="336"/>
      <c r="AS86" s="337" t="s">
        <v>114</v>
      </c>
      <c r="AT86" s="587"/>
      <c r="AU86" s="334"/>
      <c r="AV86" s="335" t="s">
        <v>113</v>
      </c>
      <c r="AW86" s="336"/>
      <c r="AX86" s="337" t="s">
        <v>114</v>
      </c>
      <c r="AY86" s="587"/>
      <c r="AZ86" s="334"/>
      <c r="BA86" s="335" t="s">
        <v>113</v>
      </c>
      <c r="BB86" s="336"/>
      <c r="BC86" s="337" t="s">
        <v>114</v>
      </c>
      <c r="BD86" s="587"/>
      <c r="BE86" s="334"/>
      <c r="BF86" s="335" t="s">
        <v>113</v>
      </c>
      <c r="BG86" s="336"/>
      <c r="BH86" s="337" t="s">
        <v>114</v>
      </c>
      <c r="BI86" s="587"/>
      <c r="BJ86" s="334"/>
      <c r="BK86" s="335" t="s">
        <v>113</v>
      </c>
      <c r="BL86" s="336"/>
      <c r="BM86" s="337" t="s">
        <v>114</v>
      </c>
      <c r="BN86" s="587"/>
      <c r="BO86" s="334"/>
      <c r="BP86" s="335" t="s">
        <v>113</v>
      </c>
      <c r="BQ86" s="336"/>
      <c r="BR86" s="337" t="s">
        <v>114</v>
      </c>
    </row>
    <row r="87" spans="1:70" ht="53.25" hidden="1" customHeight="1" thickTop="1" x14ac:dyDescent="0.25">
      <c r="A87" s="582" t="s">
        <v>110</v>
      </c>
      <c r="B87" s="583"/>
      <c r="C87" s="584">
        <f t="shared" ref="C87" si="161">B92/((72*3.1415/59)*(129.67/3.281))</f>
        <v>0</v>
      </c>
      <c r="D87" s="584"/>
      <c r="E87" s="585"/>
      <c r="F87" s="582" t="s">
        <v>110</v>
      </c>
      <c r="G87" s="583"/>
      <c r="H87" s="584">
        <f t="shared" ref="H87" si="162">G92/((72*3.1415/59)*(129.67/3.281))</f>
        <v>0</v>
      </c>
      <c r="I87" s="584"/>
      <c r="J87" s="585"/>
      <c r="K87" s="582" t="s">
        <v>110</v>
      </c>
      <c r="L87" s="583"/>
      <c r="M87" s="584">
        <f t="shared" ref="M87" si="163">L92/((72*3.1415/59)*(129.67/3.281))</f>
        <v>0</v>
      </c>
      <c r="N87" s="584"/>
      <c r="O87" s="585"/>
      <c r="P87" s="582" t="s">
        <v>110</v>
      </c>
      <c r="Q87" s="583"/>
      <c r="R87" s="584">
        <f t="shared" ref="R87" si="164">Q92/((72*3.1415/59)*(129.67/3.281))</f>
        <v>0</v>
      </c>
      <c r="S87" s="584"/>
      <c r="T87" s="585"/>
      <c r="U87" s="582" t="s">
        <v>110</v>
      </c>
      <c r="V87" s="583"/>
      <c r="W87" s="584">
        <f t="shared" ref="W87" si="165">V92/((72*3.1415/59)*(129.67/3.281))</f>
        <v>0</v>
      </c>
      <c r="X87" s="584"/>
      <c r="Y87" s="585"/>
      <c r="Z87" s="582" t="s">
        <v>110</v>
      </c>
      <c r="AA87" s="583"/>
      <c r="AB87" s="584">
        <f t="shared" ref="AB87" si="166">AA92/((72*3.1415/59)*(129.67/3.281))</f>
        <v>0</v>
      </c>
      <c r="AC87" s="584"/>
      <c r="AD87" s="585"/>
      <c r="AE87" s="582" t="s">
        <v>110</v>
      </c>
      <c r="AF87" s="583"/>
      <c r="AG87" s="584">
        <f t="shared" ref="AG87" si="167">AF92/((72*3.1415/59)*(129.67/3.281))</f>
        <v>0</v>
      </c>
      <c r="AH87" s="584"/>
      <c r="AI87" s="585"/>
      <c r="AJ87" s="582" t="s">
        <v>110</v>
      </c>
      <c r="AK87" s="583"/>
      <c r="AL87" s="584">
        <f t="shared" ref="AL87" si="168">AK92/((72*3.1415/59)*(129.67/3.281))</f>
        <v>0</v>
      </c>
      <c r="AM87" s="584"/>
      <c r="AN87" s="585"/>
      <c r="AO87" s="582" t="s">
        <v>110</v>
      </c>
      <c r="AP87" s="583"/>
      <c r="AQ87" s="584">
        <f t="shared" ref="AQ87" si="169">AP92/((72*3.1415/59)*(129.67/3.281))</f>
        <v>0</v>
      </c>
      <c r="AR87" s="584"/>
      <c r="AS87" s="585"/>
      <c r="AT87" s="582" t="s">
        <v>110</v>
      </c>
      <c r="AU87" s="583"/>
      <c r="AV87" s="584">
        <f t="shared" ref="AV87" si="170">AU92/((72*3.1415/59)*(129.67/3.281))</f>
        <v>0</v>
      </c>
      <c r="AW87" s="584"/>
      <c r="AX87" s="585"/>
      <c r="AY87" s="582" t="s">
        <v>110</v>
      </c>
      <c r="AZ87" s="583"/>
      <c r="BA87" s="584">
        <f t="shared" ref="BA87" si="171">AZ92/((72*3.1415/59)*(129.67/3.281))</f>
        <v>0</v>
      </c>
      <c r="BB87" s="584"/>
      <c r="BC87" s="585"/>
      <c r="BD87" s="582" t="s">
        <v>110</v>
      </c>
      <c r="BE87" s="583"/>
      <c r="BF87" s="584">
        <f t="shared" ref="BF87" si="172">BE92/((72*3.1415/59)*(129.67/3.281))</f>
        <v>0</v>
      </c>
      <c r="BG87" s="584"/>
      <c r="BH87" s="585"/>
      <c r="BI87" s="582" t="s">
        <v>110</v>
      </c>
      <c r="BJ87" s="583"/>
      <c r="BK87" s="584">
        <f t="shared" ref="BK87" si="173">BJ92/((72*3.1415/59)*(129.67/3.281))</f>
        <v>0</v>
      </c>
      <c r="BL87" s="584"/>
      <c r="BM87" s="585"/>
      <c r="BN87" s="582" t="s">
        <v>110</v>
      </c>
      <c r="BO87" s="583"/>
      <c r="BP87" s="584">
        <f t="shared" ref="BP87" si="174">BO92/((72*3.1415/59)*(129.67/3.281))</f>
        <v>0</v>
      </c>
      <c r="BQ87" s="584"/>
      <c r="BR87" s="585"/>
    </row>
    <row r="88" spans="1:70" ht="15" hidden="1" customHeight="1" x14ac:dyDescent="0.25">
      <c r="A88" s="679" t="s">
        <v>489</v>
      </c>
      <c r="B88" s="680"/>
      <c r="C88" s="685" t="s">
        <v>504</v>
      </c>
      <c r="D88" s="686"/>
      <c r="E88" s="687"/>
      <c r="F88" s="679" t="s">
        <v>489</v>
      </c>
      <c r="G88" s="680"/>
      <c r="H88" s="685" t="s">
        <v>504</v>
      </c>
      <c r="I88" s="686"/>
      <c r="J88" s="687"/>
      <c r="K88" s="679" t="s">
        <v>489</v>
      </c>
      <c r="L88" s="680"/>
      <c r="M88" s="685" t="s">
        <v>504</v>
      </c>
      <c r="N88" s="686"/>
      <c r="O88" s="687"/>
      <c r="P88" s="679" t="s">
        <v>489</v>
      </c>
      <c r="Q88" s="680"/>
      <c r="R88" s="685" t="s">
        <v>504</v>
      </c>
      <c r="S88" s="686"/>
      <c r="T88" s="687"/>
      <c r="U88" s="679" t="s">
        <v>489</v>
      </c>
      <c r="V88" s="680"/>
      <c r="W88" s="685" t="s">
        <v>504</v>
      </c>
      <c r="X88" s="686"/>
      <c r="Y88" s="687"/>
      <c r="Z88" s="679" t="s">
        <v>489</v>
      </c>
      <c r="AA88" s="680"/>
      <c r="AB88" s="685" t="s">
        <v>504</v>
      </c>
      <c r="AC88" s="686"/>
      <c r="AD88" s="687"/>
      <c r="AE88" s="679" t="s">
        <v>489</v>
      </c>
      <c r="AF88" s="680"/>
      <c r="AG88" s="685" t="s">
        <v>504</v>
      </c>
      <c r="AH88" s="686"/>
      <c r="AI88" s="687"/>
      <c r="AJ88" s="679" t="s">
        <v>489</v>
      </c>
      <c r="AK88" s="680"/>
      <c r="AL88" s="685" t="s">
        <v>504</v>
      </c>
      <c r="AM88" s="686"/>
      <c r="AN88" s="687"/>
      <c r="AO88" s="679" t="s">
        <v>489</v>
      </c>
      <c r="AP88" s="680"/>
      <c r="AQ88" s="685" t="s">
        <v>504</v>
      </c>
      <c r="AR88" s="686"/>
      <c r="AS88" s="687"/>
      <c r="AT88" s="679" t="s">
        <v>489</v>
      </c>
      <c r="AU88" s="680"/>
      <c r="AV88" s="685" t="s">
        <v>504</v>
      </c>
      <c r="AW88" s="686"/>
      <c r="AX88" s="687"/>
      <c r="AY88" s="679" t="s">
        <v>489</v>
      </c>
      <c r="AZ88" s="680"/>
      <c r="BA88" s="685" t="s">
        <v>504</v>
      </c>
      <c r="BB88" s="686"/>
      <c r="BC88" s="687"/>
      <c r="BD88" s="679" t="s">
        <v>489</v>
      </c>
      <c r="BE88" s="680"/>
      <c r="BF88" s="685" t="s">
        <v>504</v>
      </c>
      <c r="BG88" s="686"/>
      <c r="BH88" s="687"/>
      <c r="BI88" s="679" t="s">
        <v>489</v>
      </c>
      <c r="BJ88" s="680"/>
      <c r="BK88" s="685" t="s">
        <v>504</v>
      </c>
      <c r="BL88" s="686"/>
      <c r="BM88" s="687"/>
      <c r="BN88" s="679" t="s">
        <v>489</v>
      </c>
      <c r="BO88" s="680"/>
      <c r="BP88" s="685" t="s">
        <v>504</v>
      </c>
      <c r="BQ88" s="686"/>
      <c r="BR88" s="687"/>
    </row>
    <row r="89" spans="1:70" ht="6" hidden="1" customHeight="1" x14ac:dyDescent="0.25">
      <c r="A89" s="681"/>
      <c r="B89" s="682"/>
      <c r="C89" s="688"/>
      <c r="D89" s="689"/>
      <c r="E89" s="690"/>
      <c r="F89" s="681"/>
      <c r="G89" s="682"/>
      <c r="H89" s="688"/>
      <c r="I89" s="689"/>
      <c r="J89" s="690"/>
      <c r="K89" s="681"/>
      <c r="L89" s="682"/>
      <c r="M89" s="688"/>
      <c r="N89" s="689"/>
      <c r="O89" s="690"/>
      <c r="P89" s="681"/>
      <c r="Q89" s="682"/>
      <c r="R89" s="688"/>
      <c r="S89" s="689"/>
      <c r="T89" s="690"/>
      <c r="U89" s="681"/>
      <c r="V89" s="682"/>
      <c r="W89" s="688"/>
      <c r="X89" s="689"/>
      <c r="Y89" s="690"/>
      <c r="Z89" s="681"/>
      <c r="AA89" s="682"/>
      <c r="AB89" s="688"/>
      <c r="AC89" s="689"/>
      <c r="AD89" s="690"/>
      <c r="AE89" s="681"/>
      <c r="AF89" s="682"/>
      <c r="AG89" s="688"/>
      <c r="AH89" s="689"/>
      <c r="AI89" s="690"/>
      <c r="AJ89" s="681"/>
      <c r="AK89" s="682"/>
      <c r="AL89" s="688"/>
      <c r="AM89" s="689"/>
      <c r="AN89" s="690"/>
      <c r="AO89" s="681"/>
      <c r="AP89" s="682"/>
      <c r="AQ89" s="688"/>
      <c r="AR89" s="689"/>
      <c r="AS89" s="690"/>
      <c r="AT89" s="681"/>
      <c r="AU89" s="682"/>
      <c r="AV89" s="688"/>
      <c r="AW89" s="689"/>
      <c r="AX89" s="690"/>
      <c r="AY89" s="681"/>
      <c r="AZ89" s="682"/>
      <c r="BA89" s="688"/>
      <c r="BB89" s="689"/>
      <c r="BC89" s="690"/>
      <c r="BD89" s="681"/>
      <c r="BE89" s="682"/>
      <c r="BF89" s="688"/>
      <c r="BG89" s="689"/>
      <c r="BH89" s="690"/>
      <c r="BI89" s="681"/>
      <c r="BJ89" s="682"/>
      <c r="BK89" s="688"/>
      <c r="BL89" s="689"/>
      <c r="BM89" s="690"/>
      <c r="BN89" s="681"/>
      <c r="BO89" s="682"/>
      <c r="BP89" s="688"/>
      <c r="BQ89" s="689"/>
      <c r="BR89" s="690"/>
    </row>
    <row r="90" spans="1:70" ht="15" hidden="1" customHeight="1" x14ac:dyDescent="0.25">
      <c r="A90" s="683"/>
      <c r="B90" s="684"/>
      <c r="C90" s="691"/>
      <c r="D90" s="692"/>
      <c r="E90" s="693"/>
      <c r="F90" s="683"/>
      <c r="G90" s="684"/>
      <c r="H90" s="691"/>
      <c r="I90" s="692"/>
      <c r="J90" s="693"/>
      <c r="K90" s="683"/>
      <c r="L90" s="684"/>
      <c r="M90" s="691"/>
      <c r="N90" s="692"/>
      <c r="O90" s="693"/>
      <c r="P90" s="683"/>
      <c r="Q90" s="684"/>
      <c r="R90" s="691"/>
      <c r="S90" s="692"/>
      <c r="T90" s="693"/>
      <c r="U90" s="683"/>
      <c r="V90" s="684"/>
      <c r="W90" s="691"/>
      <c r="X90" s="692"/>
      <c r="Y90" s="693"/>
      <c r="Z90" s="683"/>
      <c r="AA90" s="684"/>
      <c r="AB90" s="691"/>
      <c r="AC90" s="692"/>
      <c r="AD90" s="693"/>
      <c r="AE90" s="683"/>
      <c r="AF90" s="684"/>
      <c r="AG90" s="691"/>
      <c r="AH90" s="692"/>
      <c r="AI90" s="693"/>
      <c r="AJ90" s="683"/>
      <c r="AK90" s="684"/>
      <c r="AL90" s="691"/>
      <c r="AM90" s="692"/>
      <c r="AN90" s="693"/>
      <c r="AO90" s="683"/>
      <c r="AP90" s="684"/>
      <c r="AQ90" s="691"/>
      <c r="AR90" s="692"/>
      <c r="AS90" s="693"/>
      <c r="AT90" s="683"/>
      <c r="AU90" s="684"/>
      <c r="AV90" s="691"/>
      <c r="AW90" s="692"/>
      <c r="AX90" s="693"/>
      <c r="AY90" s="683"/>
      <c r="AZ90" s="684"/>
      <c r="BA90" s="691"/>
      <c r="BB90" s="692"/>
      <c r="BC90" s="693"/>
      <c r="BD90" s="683"/>
      <c r="BE90" s="684"/>
      <c r="BF90" s="691"/>
      <c r="BG90" s="692"/>
      <c r="BH90" s="693"/>
      <c r="BI90" s="683"/>
      <c r="BJ90" s="684"/>
      <c r="BK90" s="691"/>
      <c r="BL90" s="692"/>
      <c r="BM90" s="693"/>
      <c r="BN90" s="683"/>
      <c r="BO90" s="684"/>
      <c r="BP90" s="691"/>
      <c r="BQ90" s="692"/>
      <c r="BR90" s="693"/>
    </row>
    <row r="91" spans="1:70" s="22" customFormat="1" ht="111.75" hidden="1" customHeight="1" x14ac:dyDescent="1.35">
      <c r="A91" s="586" t="s">
        <v>500</v>
      </c>
      <c r="B91" s="694"/>
      <c r="C91" s="695"/>
      <c r="D91" s="695"/>
      <c r="E91" s="696"/>
      <c r="F91" s="586" t="s">
        <v>500</v>
      </c>
      <c r="G91" s="694"/>
      <c r="H91" s="695"/>
      <c r="I91" s="695"/>
      <c r="J91" s="696"/>
      <c r="K91" s="586" t="s">
        <v>500</v>
      </c>
      <c r="L91" s="694"/>
      <c r="M91" s="695"/>
      <c r="N91" s="695"/>
      <c r="O91" s="696"/>
      <c r="P91" s="586" t="s">
        <v>500</v>
      </c>
      <c r="Q91" s="694"/>
      <c r="R91" s="695"/>
      <c r="S91" s="695"/>
      <c r="T91" s="696"/>
      <c r="U91" s="586" t="s">
        <v>500</v>
      </c>
      <c r="V91" s="694"/>
      <c r="W91" s="695"/>
      <c r="X91" s="695"/>
      <c r="Y91" s="696"/>
      <c r="Z91" s="586" t="s">
        <v>500</v>
      </c>
      <c r="AA91" s="694"/>
      <c r="AB91" s="695"/>
      <c r="AC91" s="695"/>
      <c r="AD91" s="696"/>
      <c r="AE91" s="586" t="s">
        <v>500</v>
      </c>
      <c r="AF91" s="694"/>
      <c r="AG91" s="695"/>
      <c r="AH91" s="695"/>
      <c r="AI91" s="696"/>
      <c r="AJ91" s="586" t="s">
        <v>500</v>
      </c>
      <c r="AK91" s="694"/>
      <c r="AL91" s="695"/>
      <c r="AM91" s="695"/>
      <c r="AN91" s="696"/>
      <c r="AO91" s="586" t="s">
        <v>500</v>
      </c>
      <c r="AP91" s="694"/>
      <c r="AQ91" s="695"/>
      <c r="AR91" s="695"/>
      <c r="AS91" s="696"/>
      <c r="AT91" s="586" t="s">
        <v>500</v>
      </c>
      <c r="AU91" s="694"/>
      <c r="AV91" s="695"/>
      <c r="AW91" s="695"/>
      <c r="AX91" s="696"/>
      <c r="AY91" s="586" t="s">
        <v>500</v>
      </c>
      <c r="AZ91" s="694"/>
      <c r="BA91" s="695"/>
      <c r="BB91" s="695"/>
      <c r="BC91" s="696"/>
      <c r="BD91" s="586" t="s">
        <v>500</v>
      </c>
      <c r="BE91" s="694"/>
      <c r="BF91" s="695"/>
      <c r="BG91" s="695"/>
      <c r="BH91" s="696"/>
      <c r="BI91" s="586" t="s">
        <v>500</v>
      </c>
      <c r="BJ91" s="694"/>
      <c r="BK91" s="695"/>
      <c r="BL91" s="695"/>
      <c r="BM91" s="696"/>
      <c r="BN91" s="586" t="s">
        <v>500</v>
      </c>
      <c r="BO91" s="694"/>
      <c r="BP91" s="695"/>
      <c r="BQ91" s="695"/>
      <c r="BR91" s="696"/>
    </row>
    <row r="92" spans="1:70" ht="50.25" hidden="1" customHeight="1" thickBot="1" x14ac:dyDescent="0.3">
      <c r="A92" s="587"/>
      <c r="B92" s="334"/>
      <c r="C92" s="335" t="s">
        <v>113</v>
      </c>
      <c r="D92" s="336"/>
      <c r="E92" s="337" t="s">
        <v>114</v>
      </c>
      <c r="F92" s="587"/>
      <c r="G92" s="334"/>
      <c r="H92" s="335" t="s">
        <v>113</v>
      </c>
      <c r="I92" s="336"/>
      <c r="J92" s="337" t="s">
        <v>114</v>
      </c>
      <c r="K92" s="587"/>
      <c r="L92" s="334"/>
      <c r="M92" s="335" t="s">
        <v>113</v>
      </c>
      <c r="N92" s="336"/>
      <c r="O92" s="337" t="s">
        <v>114</v>
      </c>
      <c r="P92" s="587"/>
      <c r="Q92" s="334"/>
      <c r="R92" s="335" t="s">
        <v>113</v>
      </c>
      <c r="S92" s="336"/>
      <c r="T92" s="337" t="s">
        <v>114</v>
      </c>
      <c r="U92" s="587"/>
      <c r="V92" s="334"/>
      <c r="W92" s="335" t="s">
        <v>113</v>
      </c>
      <c r="X92" s="336"/>
      <c r="Y92" s="337" t="s">
        <v>114</v>
      </c>
      <c r="Z92" s="587"/>
      <c r="AA92" s="334"/>
      <c r="AB92" s="335" t="s">
        <v>113</v>
      </c>
      <c r="AC92" s="336"/>
      <c r="AD92" s="337" t="s">
        <v>114</v>
      </c>
      <c r="AE92" s="587"/>
      <c r="AF92" s="334"/>
      <c r="AG92" s="335" t="s">
        <v>113</v>
      </c>
      <c r="AH92" s="336"/>
      <c r="AI92" s="337" t="s">
        <v>114</v>
      </c>
      <c r="AJ92" s="587"/>
      <c r="AK92" s="334"/>
      <c r="AL92" s="335" t="s">
        <v>113</v>
      </c>
      <c r="AM92" s="336"/>
      <c r="AN92" s="337" t="s">
        <v>114</v>
      </c>
      <c r="AO92" s="587"/>
      <c r="AP92" s="334"/>
      <c r="AQ92" s="335" t="s">
        <v>113</v>
      </c>
      <c r="AR92" s="336"/>
      <c r="AS92" s="337" t="s">
        <v>114</v>
      </c>
      <c r="AT92" s="587"/>
      <c r="AU92" s="334"/>
      <c r="AV92" s="335" t="s">
        <v>113</v>
      </c>
      <c r="AW92" s="336"/>
      <c r="AX92" s="337" t="s">
        <v>114</v>
      </c>
      <c r="AY92" s="587"/>
      <c r="AZ92" s="334"/>
      <c r="BA92" s="335" t="s">
        <v>113</v>
      </c>
      <c r="BB92" s="336"/>
      <c r="BC92" s="337" t="s">
        <v>114</v>
      </c>
      <c r="BD92" s="587"/>
      <c r="BE92" s="334"/>
      <c r="BF92" s="335" t="s">
        <v>113</v>
      </c>
      <c r="BG92" s="336"/>
      <c r="BH92" s="337" t="s">
        <v>114</v>
      </c>
      <c r="BI92" s="587"/>
      <c r="BJ92" s="334"/>
      <c r="BK92" s="335" t="s">
        <v>113</v>
      </c>
      <c r="BL92" s="336"/>
      <c r="BM92" s="337" t="s">
        <v>114</v>
      </c>
      <c r="BN92" s="587"/>
      <c r="BO92" s="334"/>
      <c r="BP92" s="335" t="s">
        <v>113</v>
      </c>
      <c r="BQ92" s="336"/>
      <c r="BR92" s="337" t="s">
        <v>114</v>
      </c>
    </row>
    <row r="93" spans="1:70" ht="47.25" hidden="1" customHeight="1" thickTop="1" x14ac:dyDescent="0.25">
      <c r="A93" s="582" t="s">
        <v>110</v>
      </c>
      <c r="B93" s="583"/>
      <c r="C93" s="584">
        <f t="shared" ref="C93" si="175">B98/((72*3.1415/59)*(129.67/3.281))</f>
        <v>0</v>
      </c>
      <c r="D93" s="584"/>
      <c r="E93" s="585"/>
      <c r="F93" s="582" t="s">
        <v>110</v>
      </c>
      <c r="G93" s="583"/>
      <c r="H93" s="584">
        <f t="shared" ref="H93" si="176">G98/((72*3.1415/59)*(129.67/3.281))</f>
        <v>0</v>
      </c>
      <c r="I93" s="584"/>
      <c r="J93" s="585"/>
      <c r="K93" s="582" t="s">
        <v>110</v>
      </c>
      <c r="L93" s="583"/>
      <c r="M93" s="584">
        <f t="shared" ref="M93" si="177">L98/((72*3.1415/59)*(129.67/3.281))</f>
        <v>0</v>
      </c>
      <c r="N93" s="584"/>
      <c r="O93" s="585"/>
      <c r="P93" s="582" t="s">
        <v>110</v>
      </c>
      <c r="Q93" s="583"/>
      <c r="R93" s="584">
        <f t="shared" ref="R93" si="178">Q98/((72*3.1415/59)*(129.67/3.281))</f>
        <v>0</v>
      </c>
      <c r="S93" s="584"/>
      <c r="T93" s="585"/>
      <c r="U93" s="582" t="s">
        <v>110</v>
      </c>
      <c r="V93" s="583"/>
      <c r="W93" s="584">
        <f t="shared" ref="W93" si="179">V98/((72*3.1415/59)*(129.67/3.281))</f>
        <v>0</v>
      </c>
      <c r="X93" s="584"/>
      <c r="Y93" s="585"/>
      <c r="Z93" s="582" t="s">
        <v>110</v>
      </c>
      <c r="AA93" s="583"/>
      <c r="AB93" s="584">
        <f t="shared" ref="AB93" si="180">AA98/((72*3.1415/59)*(129.67/3.281))</f>
        <v>0</v>
      </c>
      <c r="AC93" s="584"/>
      <c r="AD93" s="585"/>
      <c r="AE93" s="582" t="s">
        <v>110</v>
      </c>
      <c r="AF93" s="583"/>
      <c r="AG93" s="584">
        <f t="shared" ref="AG93" si="181">AF98/((72*3.1415/59)*(129.67/3.281))</f>
        <v>0</v>
      </c>
      <c r="AH93" s="584"/>
      <c r="AI93" s="585"/>
      <c r="AJ93" s="582" t="s">
        <v>110</v>
      </c>
      <c r="AK93" s="583"/>
      <c r="AL93" s="584">
        <f t="shared" ref="AL93" si="182">AK98/((72*3.1415/59)*(129.67/3.281))</f>
        <v>0</v>
      </c>
      <c r="AM93" s="584"/>
      <c r="AN93" s="585"/>
      <c r="AO93" s="582" t="s">
        <v>110</v>
      </c>
      <c r="AP93" s="583"/>
      <c r="AQ93" s="584">
        <f t="shared" ref="AQ93" si="183">AP98/((72*3.1415/59)*(129.67/3.281))</f>
        <v>0</v>
      </c>
      <c r="AR93" s="584"/>
      <c r="AS93" s="585"/>
      <c r="AT93" s="582" t="s">
        <v>110</v>
      </c>
      <c r="AU93" s="583"/>
      <c r="AV93" s="584">
        <f t="shared" ref="AV93" si="184">AU98/((72*3.1415/59)*(129.67/3.281))</f>
        <v>0</v>
      </c>
      <c r="AW93" s="584"/>
      <c r="AX93" s="585"/>
      <c r="AY93" s="582" t="s">
        <v>110</v>
      </c>
      <c r="AZ93" s="583"/>
      <c r="BA93" s="584">
        <f t="shared" ref="BA93" si="185">AZ98/((72*3.1415/59)*(129.67/3.281))</f>
        <v>0</v>
      </c>
      <c r="BB93" s="584"/>
      <c r="BC93" s="585"/>
      <c r="BD93" s="582" t="s">
        <v>110</v>
      </c>
      <c r="BE93" s="583"/>
      <c r="BF93" s="584">
        <f t="shared" ref="BF93" si="186">BE98/((72*3.1415/59)*(129.67/3.281))</f>
        <v>0</v>
      </c>
      <c r="BG93" s="584"/>
      <c r="BH93" s="585"/>
      <c r="BI93" s="582" t="s">
        <v>110</v>
      </c>
      <c r="BJ93" s="583"/>
      <c r="BK93" s="584">
        <f t="shared" ref="BK93" si="187">BJ98/((72*3.1415/59)*(129.67/3.281))</f>
        <v>0</v>
      </c>
      <c r="BL93" s="584"/>
      <c r="BM93" s="585"/>
      <c r="BN93" s="582" t="s">
        <v>110</v>
      </c>
      <c r="BO93" s="583"/>
      <c r="BP93" s="584">
        <f t="shared" ref="BP93" si="188">BO98/((72*3.1415/59)*(129.67/3.281))</f>
        <v>0</v>
      </c>
      <c r="BQ93" s="584"/>
      <c r="BR93" s="585"/>
    </row>
    <row r="94" spans="1:70" ht="20.25" hidden="1" customHeight="1" x14ac:dyDescent="0.25">
      <c r="A94" s="679" t="s">
        <v>489</v>
      </c>
      <c r="B94" s="680"/>
      <c r="C94" s="685" t="s">
        <v>504</v>
      </c>
      <c r="D94" s="686"/>
      <c r="E94" s="687"/>
      <c r="F94" s="679" t="s">
        <v>489</v>
      </c>
      <c r="G94" s="680"/>
      <c r="H94" s="685" t="s">
        <v>504</v>
      </c>
      <c r="I94" s="686"/>
      <c r="J94" s="687"/>
      <c r="K94" s="679" t="s">
        <v>489</v>
      </c>
      <c r="L94" s="680"/>
      <c r="M94" s="685" t="s">
        <v>504</v>
      </c>
      <c r="N94" s="686"/>
      <c r="O94" s="687"/>
      <c r="P94" s="679" t="s">
        <v>489</v>
      </c>
      <c r="Q94" s="680"/>
      <c r="R94" s="685" t="s">
        <v>504</v>
      </c>
      <c r="S94" s="686"/>
      <c r="T94" s="687"/>
      <c r="U94" s="679" t="s">
        <v>489</v>
      </c>
      <c r="V94" s="680"/>
      <c r="W94" s="685" t="s">
        <v>504</v>
      </c>
      <c r="X94" s="686"/>
      <c r="Y94" s="687"/>
      <c r="Z94" s="679" t="s">
        <v>489</v>
      </c>
      <c r="AA94" s="680"/>
      <c r="AB94" s="685" t="s">
        <v>504</v>
      </c>
      <c r="AC94" s="686"/>
      <c r="AD94" s="687"/>
      <c r="AE94" s="679" t="s">
        <v>489</v>
      </c>
      <c r="AF94" s="680"/>
      <c r="AG94" s="685" t="s">
        <v>504</v>
      </c>
      <c r="AH94" s="686"/>
      <c r="AI94" s="687"/>
      <c r="AJ94" s="679" t="s">
        <v>489</v>
      </c>
      <c r="AK94" s="680"/>
      <c r="AL94" s="685" t="s">
        <v>504</v>
      </c>
      <c r="AM94" s="686"/>
      <c r="AN94" s="687"/>
      <c r="AO94" s="679" t="s">
        <v>489</v>
      </c>
      <c r="AP94" s="680"/>
      <c r="AQ94" s="685" t="s">
        <v>504</v>
      </c>
      <c r="AR94" s="686"/>
      <c r="AS94" s="687"/>
      <c r="AT94" s="679" t="s">
        <v>489</v>
      </c>
      <c r="AU94" s="680"/>
      <c r="AV94" s="685" t="s">
        <v>504</v>
      </c>
      <c r="AW94" s="686"/>
      <c r="AX94" s="687"/>
      <c r="AY94" s="679" t="s">
        <v>489</v>
      </c>
      <c r="AZ94" s="680"/>
      <c r="BA94" s="685" t="s">
        <v>504</v>
      </c>
      <c r="BB94" s="686"/>
      <c r="BC94" s="687"/>
      <c r="BD94" s="679" t="s">
        <v>489</v>
      </c>
      <c r="BE94" s="680"/>
      <c r="BF94" s="685" t="s">
        <v>504</v>
      </c>
      <c r="BG94" s="686"/>
      <c r="BH94" s="687"/>
      <c r="BI94" s="679" t="s">
        <v>489</v>
      </c>
      <c r="BJ94" s="680"/>
      <c r="BK94" s="685" t="s">
        <v>504</v>
      </c>
      <c r="BL94" s="686"/>
      <c r="BM94" s="687"/>
      <c r="BN94" s="679" t="s">
        <v>489</v>
      </c>
      <c r="BO94" s="680"/>
      <c r="BP94" s="685" t="s">
        <v>504</v>
      </c>
      <c r="BQ94" s="686"/>
      <c r="BR94" s="687"/>
    </row>
    <row r="95" spans="1:70" ht="3.75" hidden="1" customHeight="1" x14ac:dyDescent="0.25">
      <c r="A95" s="681"/>
      <c r="B95" s="682"/>
      <c r="C95" s="688"/>
      <c r="D95" s="689"/>
      <c r="E95" s="690"/>
      <c r="F95" s="681"/>
      <c r="G95" s="682"/>
      <c r="H95" s="688"/>
      <c r="I95" s="689"/>
      <c r="J95" s="690"/>
      <c r="K95" s="681"/>
      <c r="L95" s="682"/>
      <c r="M95" s="688"/>
      <c r="N95" s="689"/>
      <c r="O95" s="690"/>
      <c r="P95" s="681"/>
      <c r="Q95" s="682"/>
      <c r="R95" s="688"/>
      <c r="S95" s="689"/>
      <c r="T95" s="690"/>
      <c r="U95" s="681"/>
      <c r="V95" s="682"/>
      <c r="W95" s="688"/>
      <c r="X95" s="689"/>
      <c r="Y95" s="690"/>
      <c r="Z95" s="681"/>
      <c r="AA95" s="682"/>
      <c r="AB95" s="688"/>
      <c r="AC95" s="689"/>
      <c r="AD95" s="690"/>
      <c r="AE95" s="681"/>
      <c r="AF95" s="682"/>
      <c r="AG95" s="688"/>
      <c r="AH95" s="689"/>
      <c r="AI95" s="690"/>
      <c r="AJ95" s="681"/>
      <c r="AK95" s="682"/>
      <c r="AL95" s="688"/>
      <c r="AM95" s="689"/>
      <c r="AN95" s="690"/>
      <c r="AO95" s="681"/>
      <c r="AP95" s="682"/>
      <c r="AQ95" s="688"/>
      <c r="AR95" s="689"/>
      <c r="AS95" s="690"/>
      <c r="AT95" s="681"/>
      <c r="AU95" s="682"/>
      <c r="AV95" s="688"/>
      <c r="AW95" s="689"/>
      <c r="AX95" s="690"/>
      <c r="AY95" s="681"/>
      <c r="AZ95" s="682"/>
      <c r="BA95" s="688"/>
      <c r="BB95" s="689"/>
      <c r="BC95" s="690"/>
      <c r="BD95" s="681"/>
      <c r="BE95" s="682"/>
      <c r="BF95" s="688"/>
      <c r="BG95" s="689"/>
      <c r="BH95" s="690"/>
      <c r="BI95" s="681"/>
      <c r="BJ95" s="682"/>
      <c r="BK95" s="688"/>
      <c r="BL95" s="689"/>
      <c r="BM95" s="690"/>
      <c r="BN95" s="681"/>
      <c r="BO95" s="682"/>
      <c r="BP95" s="688"/>
      <c r="BQ95" s="689"/>
      <c r="BR95" s="690"/>
    </row>
    <row r="96" spans="1:70" ht="15" hidden="1" customHeight="1" x14ac:dyDescent="0.25">
      <c r="A96" s="683"/>
      <c r="B96" s="684"/>
      <c r="C96" s="691"/>
      <c r="D96" s="692"/>
      <c r="E96" s="693"/>
      <c r="F96" s="683"/>
      <c r="G96" s="684"/>
      <c r="H96" s="691"/>
      <c r="I96" s="692"/>
      <c r="J96" s="693"/>
      <c r="K96" s="683"/>
      <c r="L96" s="684"/>
      <c r="M96" s="691"/>
      <c r="N96" s="692"/>
      <c r="O96" s="693"/>
      <c r="P96" s="683"/>
      <c r="Q96" s="684"/>
      <c r="R96" s="691"/>
      <c r="S96" s="692"/>
      <c r="T96" s="693"/>
      <c r="U96" s="683"/>
      <c r="V96" s="684"/>
      <c r="W96" s="691"/>
      <c r="X96" s="692"/>
      <c r="Y96" s="693"/>
      <c r="Z96" s="683"/>
      <c r="AA96" s="684"/>
      <c r="AB96" s="691"/>
      <c r="AC96" s="692"/>
      <c r="AD96" s="693"/>
      <c r="AE96" s="683"/>
      <c r="AF96" s="684"/>
      <c r="AG96" s="691"/>
      <c r="AH96" s="692"/>
      <c r="AI96" s="693"/>
      <c r="AJ96" s="683"/>
      <c r="AK96" s="684"/>
      <c r="AL96" s="691"/>
      <c r="AM96" s="692"/>
      <c r="AN96" s="693"/>
      <c r="AO96" s="683"/>
      <c r="AP96" s="684"/>
      <c r="AQ96" s="691"/>
      <c r="AR96" s="692"/>
      <c r="AS96" s="693"/>
      <c r="AT96" s="683"/>
      <c r="AU96" s="684"/>
      <c r="AV96" s="691"/>
      <c r="AW96" s="692"/>
      <c r="AX96" s="693"/>
      <c r="AY96" s="683"/>
      <c r="AZ96" s="684"/>
      <c r="BA96" s="691"/>
      <c r="BB96" s="692"/>
      <c r="BC96" s="693"/>
      <c r="BD96" s="683"/>
      <c r="BE96" s="684"/>
      <c r="BF96" s="691"/>
      <c r="BG96" s="692"/>
      <c r="BH96" s="693"/>
      <c r="BI96" s="683"/>
      <c r="BJ96" s="684"/>
      <c r="BK96" s="691"/>
      <c r="BL96" s="692"/>
      <c r="BM96" s="693"/>
      <c r="BN96" s="683"/>
      <c r="BO96" s="684"/>
      <c r="BP96" s="691"/>
      <c r="BQ96" s="692"/>
      <c r="BR96" s="693"/>
    </row>
    <row r="97" spans="1:70" s="22" customFormat="1" ht="111.75" hidden="1" customHeight="1" x14ac:dyDescent="1.35">
      <c r="A97" s="586" t="s">
        <v>500</v>
      </c>
      <c r="B97" s="694"/>
      <c r="C97" s="695"/>
      <c r="D97" s="695"/>
      <c r="E97" s="696"/>
      <c r="F97" s="586" t="s">
        <v>500</v>
      </c>
      <c r="G97" s="694"/>
      <c r="H97" s="695"/>
      <c r="I97" s="695"/>
      <c r="J97" s="696"/>
      <c r="K97" s="586" t="s">
        <v>500</v>
      </c>
      <c r="L97" s="694"/>
      <c r="M97" s="695"/>
      <c r="N97" s="695"/>
      <c r="O97" s="696"/>
      <c r="P97" s="586" t="s">
        <v>500</v>
      </c>
      <c r="Q97" s="694"/>
      <c r="R97" s="695"/>
      <c r="S97" s="695"/>
      <c r="T97" s="696"/>
      <c r="U97" s="586" t="s">
        <v>500</v>
      </c>
      <c r="V97" s="694"/>
      <c r="W97" s="695"/>
      <c r="X97" s="695"/>
      <c r="Y97" s="696"/>
      <c r="Z97" s="586" t="s">
        <v>500</v>
      </c>
      <c r="AA97" s="694"/>
      <c r="AB97" s="695"/>
      <c r="AC97" s="695"/>
      <c r="AD97" s="696"/>
      <c r="AE97" s="586" t="s">
        <v>500</v>
      </c>
      <c r="AF97" s="694"/>
      <c r="AG97" s="695"/>
      <c r="AH97" s="695"/>
      <c r="AI97" s="696"/>
      <c r="AJ97" s="586" t="s">
        <v>500</v>
      </c>
      <c r="AK97" s="694"/>
      <c r="AL97" s="695"/>
      <c r="AM97" s="695"/>
      <c r="AN97" s="696"/>
      <c r="AO97" s="586" t="s">
        <v>500</v>
      </c>
      <c r="AP97" s="694"/>
      <c r="AQ97" s="695"/>
      <c r="AR97" s="695"/>
      <c r="AS97" s="696"/>
      <c r="AT97" s="586" t="s">
        <v>500</v>
      </c>
      <c r="AU97" s="694"/>
      <c r="AV97" s="695"/>
      <c r="AW97" s="695"/>
      <c r="AX97" s="696"/>
      <c r="AY97" s="586" t="s">
        <v>500</v>
      </c>
      <c r="AZ97" s="694"/>
      <c r="BA97" s="695"/>
      <c r="BB97" s="695"/>
      <c r="BC97" s="696"/>
      <c r="BD97" s="586" t="s">
        <v>500</v>
      </c>
      <c r="BE97" s="694"/>
      <c r="BF97" s="695"/>
      <c r="BG97" s="695"/>
      <c r="BH97" s="696"/>
      <c r="BI97" s="586" t="s">
        <v>500</v>
      </c>
      <c r="BJ97" s="694"/>
      <c r="BK97" s="695"/>
      <c r="BL97" s="695"/>
      <c r="BM97" s="696"/>
      <c r="BN97" s="586" t="s">
        <v>500</v>
      </c>
      <c r="BO97" s="694"/>
      <c r="BP97" s="695"/>
      <c r="BQ97" s="695"/>
      <c r="BR97" s="696"/>
    </row>
    <row r="98" spans="1:70" ht="50.25" hidden="1" customHeight="1" thickBot="1" x14ac:dyDescent="0.3">
      <c r="A98" s="587"/>
      <c r="B98" s="334"/>
      <c r="C98" s="335" t="s">
        <v>113</v>
      </c>
      <c r="D98" s="336"/>
      <c r="E98" s="337" t="s">
        <v>114</v>
      </c>
      <c r="F98" s="587"/>
      <c r="G98" s="334"/>
      <c r="H98" s="335" t="s">
        <v>113</v>
      </c>
      <c r="I98" s="336"/>
      <c r="J98" s="337" t="s">
        <v>114</v>
      </c>
      <c r="K98" s="587"/>
      <c r="L98" s="334"/>
      <c r="M98" s="335" t="s">
        <v>113</v>
      </c>
      <c r="N98" s="336"/>
      <c r="O98" s="337" t="s">
        <v>114</v>
      </c>
      <c r="P98" s="587"/>
      <c r="Q98" s="334"/>
      <c r="R98" s="335" t="s">
        <v>113</v>
      </c>
      <c r="S98" s="336"/>
      <c r="T98" s="337" t="s">
        <v>114</v>
      </c>
      <c r="U98" s="587"/>
      <c r="V98" s="334"/>
      <c r="W98" s="335" t="s">
        <v>113</v>
      </c>
      <c r="X98" s="336"/>
      <c r="Y98" s="337" t="s">
        <v>114</v>
      </c>
      <c r="Z98" s="587"/>
      <c r="AA98" s="334"/>
      <c r="AB98" s="335" t="s">
        <v>113</v>
      </c>
      <c r="AC98" s="336"/>
      <c r="AD98" s="337" t="s">
        <v>114</v>
      </c>
      <c r="AE98" s="587"/>
      <c r="AF98" s="334"/>
      <c r="AG98" s="335" t="s">
        <v>113</v>
      </c>
      <c r="AH98" s="336"/>
      <c r="AI98" s="337" t="s">
        <v>114</v>
      </c>
      <c r="AJ98" s="587"/>
      <c r="AK98" s="334"/>
      <c r="AL98" s="335" t="s">
        <v>113</v>
      </c>
      <c r="AM98" s="336"/>
      <c r="AN98" s="337" t="s">
        <v>114</v>
      </c>
      <c r="AO98" s="587"/>
      <c r="AP98" s="334"/>
      <c r="AQ98" s="335" t="s">
        <v>113</v>
      </c>
      <c r="AR98" s="336"/>
      <c r="AS98" s="337" t="s">
        <v>114</v>
      </c>
      <c r="AT98" s="587"/>
      <c r="AU98" s="334"/>
      <c r="AV98" s="335" t="s">
        <v>113</v>
      </c>
      <c r="AW98" s="336"/>
      <c r="AX98" s="337" t="s">
        <v>114</v>
      </c>
      <c r="AY98" s="587"/>
      <c r="AZ98" s="334"/>
      <c r="BA98" s="335" t="s">
        <v>113</v>
      </c>
      <c r="BB98" s="336"/>
      <c r="BC98" s="337" t="s">
        <v>114</v>
      </c>
      <c r="BD98" s="587"/>
      <c r="BE98" s="334"/>
      <c r="BF98" s="335" t="s">
        <v>113</v>
      </c>
      <c r="BG98" s="336"/>
      <c r="BH98" s="337" t="s">
        <v>114</v>
      </c>
      <c r="BI98" s="587"/>
      <c r="BJ98" s="334"/>
      <c r="BK98" s="335" t="s">
        <v>113</v>
      </c>
      <c r="BL98" s="336"/>
      <c r="BM98" s="337" t="s">
        <v>114</v>
      </c>
      <c r="BN98" s="587"/>
      <c r="BO98" s="334"/>
      <c r="BP98" s="335" t="s">
        <v>113</v>
      </c>
      <c r="BQ98" s="336"/>
      <c r="BR98" s="337" t="s">
        <v>114</v>
      </c>
    </row>
    <row r="99" spans="1:70" ht="53.25" hidden="1" customHeight="1" thickTop="1" x14ac:dyDescent="0.25">
      <c r="A99" s="582" t="s">
        <v>110</v>
      </c>
      <c r="B99" s="583"/>
      <c r="C99" s="584">
        <f t="shared" ref="C99" si="189">B104/((72*3.1415/59)*(129.67/3.281))</f>
        <v>0</v>
      </c>
      <c r="D99" s="584"/>
      <c r="E99" s="585"/>
      <c r="F99" s="582" t="s">
        <v>110</v>
      </c>
      <c r="G99" s="583"/>
      <c r="H99" s="584">
        <f t="shared" ref="H99" si="190">G104/((72*3.1415/59)*(129.67/3.281))</f>
        <v>0</v>
      </c>
      <c r="I99" s="584"/>
      <c r="J99" s="585"/>
      <c r="K99" s="582" t="s">
        <v>110</v>
      </c>
      <c r="L99" s="583"/>
      <c r="M99" s="584">
        <f t="shared" ref="M99" si="191">L104/((72*3.1415/59)*(129.67/3.281))</f>
        <v>0</v>
      </c>
      <c r="N99" s="584"/>
      <c r="O99" s="585"/>
      <c r="P99" s="582" t="s">
        <v>110</v>
      </c>
      <c r="Q99" s="583"/>
      <c r="R99" s="584">
        <f t="shared" ref="R99" si="192">Q104/((72*3.1415/59)*(129.67/3.281))</f>
        <v>0</v>
      </c>
      <c r="S99" s="584"/>
      <c r="T99" s="585"/>
      <c r="U99" s="582" t="s">
        <v>110</v>
      </c>
      <c r="V99" s="583"/>
      <c r="W99" s="584">
        <f t="shared" ref="W99" si="193">V104/((72*3.1415/59)*(129.67/3.281))</f>
        <v>0</v>
      </c>
      <c r="X99" s="584"/>
      <c r="Y99" s="585"/>
      <c r="Z99" s="582" t="s">
        <v>110</v>
      </c>
      <c r="AA99" s="583"/>
      <c r="AB99" s="584">
        <f t="shared" ref="AB99" si="194">AA104/((72*3.1415/59)*(129.67/3.281))</f>
        <v>0</v>
      </c>
      <c r="AC99" s="584"/>
      <c r="AD99" s="585"/>
      <c r="AE99" s="582" t="s">
        <v>110</v>
      </c>
      <c r="AF99" s="583"/>
      <c r="AG99" s="584">
        <f t="shared" ref="AG99" si="195">AF104/((72*3.1415/59)*(129.67/3.281))</f>
        <v>0</v>
      </c>
      <c r="AH99" s="584"/>
      <c r="AI99" s="585"/>
      <c r="AJ99" s="582" t="s">
        <v>110</v>
      </c>
      <c r="AK99" s="583"/>
      <c r="AL99" s="584">
        <f t="shared" ref="AL99" si="196">AK104/((72*3.1415/59)*(129.67/3.281))</f>
        <v>0</v>
      </c>
      <c r="AM99" s="584"/>
      <c r="AN99" s="585"/>
      <c r="AO99" s="582" t="s">
        <v>110</v>
      </c>
      <c r="AP99" s="583"/>
      <c r="AQ99" s="584">
        <f t="shared" ref="AQ99" si="197">AP104/((72*3.1415/59)*(129.67/3.281))</f>
        <v>0</v>
      </c>
      <c r="AR99" s="584"/>
      <c r="AS99" s="585"/>
      <c r="AT99" s="582" t="s">
        <v>110</v>
      </c>
      <c r="AU99" s="583"/>
      <c r="AV99" s="584">
        <f t="shared" ref="AV99" si="198">AU104/((72*3.1415/59)*(129.67/3.281))</f>
        <v>0</v>
      </c>
      <c r="AW99" s="584"/>
      <c r="AX99" s="585"/>
      <c r="AY99" s="582" t="s">
        <v>110</v>
      </c>
      <c r="AZ99" s="583"/>
      <c r="BA99" s="584">
        <f t="shared" ref="BA99" si="199">AZ104/((72*3.1415/59)*(129.67/3.281))</f>
        <v>0</v>
      </c>
      <c r="BB99" s="584"/>
      <c r="BC99" s="585"/>
      <c r="BD99" s="582" t="s">
        <v>110</v>
      </c>
      <c r="BE99" s="583"/>
      <c r="BF99" s="584">
        <f t="shared" ref="BF99" si="200">BE104/((72*3.1415/59)*(129.67/3.281))</f>
        <v>0</v>
      </c>
      <c r="BG99" s="584"/>
      <c r="BH99" s="585"/>
      <c r="BI99" s="582" t="s">
        <v>110</v>
      </c>
      <c r="BJ99" s="583"/>
      <c r="BK99" s="584">
        <f t="shared" ref="BK99" si="201">BJ104/((72*3.1415/59)*(129.67/3.281))</f>
        <v>0</v>
      </c>
      <c r="BL99" s="584"/>
      <c r="BM99" s="585"/>
      <c r="BN99" s="582" t="s">
        <v>110</v>
      </c>
      <c r="BO99" s="583"/>
      <c r="BP99" s="584">
        <f t="shared" ref="BP99" si="202">BO104/((72*3.1415/59)*(129.67/3.281))</f>
        <v>0</v>
      </c>
      <c r="BQ99" s="584"/>
      <c r="BR99" s="585"/>
    </row>
    <row r="100" spans="1:70" ht="15" hidden="1" customHeight="1" x14ac:dyDescent="0.25">
      <c r="A100" s="679" t="s">
        <v>489</v>
      </c>
      <c r="B100" s="680"/>
      <c r="C100" s="685" t="s">
        <v>504</v>
      </c>
      <c r="D100" s="686"/>
      <c r="E100" s="687"/>
      <c r="F100" s="679" t="s">
        <v>489</v>
      </c>
      <c r="G100" s="680"/>
      <c r="H100" s="685" t="s">
        <v>504</v>
      </c>
      <c r="I100" s="686"/>
      <c r="J100" s="687"/>
      <c r="K100" s="679" t="s">
        <v>489</v>
      </c>
      <c r="L100" s="680"/>
      <c r="M100" s="685" t="s">
        <v>504</v>
      </c>
      <c r="N100" s="686"/>
      <c r="O100" s="687"/>
      <c r="P100" s="679" t="s">
        <v>489</v>
      </c>
      <c r="Q100" s="680"/>
      <c r="R100" s="685" t="s">
        <v>504</v>
      </c>
      <c r="S100" s="686"/>
      <c r="T100" s="687"/>
      <c r="U100" s="679" t="s">
        <v>489</v>
      </c>
      <c r="V100" s="680"/>
      <c r="W100" s="685" t="s">
        <v>504</v>
      </c>
      <c r="X100" s="686"/>
      <c r="Y100" s="687"/>
      <c r="Z100" s="679" t="s">
        <v>489</v>
      </c>
      <c r="AA100" s="680"/>
      <c r="AB100" s="685" t="s">
        <v>504</v>
      </c>
      <c r="AC100" s="686"/>
      <c r="AD100" s="687"/>
      <c r="AE100" s="679" t="s">
        <v>489</v>
      </c>
      <c r="AF100" s="680"/>
      <c r="AG100" s="685" t="s">
        <v>504</v>
      </c>
      <c r="AH100" s="686"/>
      <c r="AI100" s="687"/>
      <c r="AJ100" s="679" t="s">
        <v>489</v>
      </c>
      <c r="AK100" s="680"/>
      <c r="AL100" s="685" t="s">
        <v>504</v>
      </c>
      <c r="AM100" s="686"/>
      <c r="AN100" s="687"/>
      <c r="AO100" s="679" t="s">
        <v>489</v>
      </c>
      <c r="AP100" s="680"/>
      <c r="AQ100" s="685" t="s">
        <v>504</v>
      </c>
      <c r="AR100" s="686"/>
      <c r="AS100" s="687"/>
      <c r="AT100" s="679" t="s">
        <v>489</v>
      </c>
      <c r="AU100" s="680"/>
      <c r="AV100" s="685" t="s">
        <v>504</v>
      </c>
      <c r="AW100" s="686"/>
      <c r="AX100" s="687"/>
      <c r="AY100" s="679" t="s">
        <v>489</v>
      </c>
      <c r="AZ100" s="680"/>
      <c r="BA100" s="685" t="s">
        <v>504</v>
      </c>
      <c r="BB100" s="686"/>
      <c r="BC100" s="687"/>
      <c r="BD100" s="679" t="s">
        <v>489</v>
      </c>
      <c r="BE100" s="680"/>
      <c r="BF100" s="685" t="s">
        <v>504</v>
      </c>
      <c r="BG100" s="686"/>
      <c r="BH100" s="687"/>
      <c r="BI100" s="679" t="s">
        <v>489</v>
      </c>
      <c r="BJ100" s="680"/>
      <c r="BK100" s="685" t="s">
        <v>504</v>
      </c>
      <c r="BL100" s="686"/>
      <c r="BM100" s="687"/>
      <c r="BN100" s="679" t="s">
        <v>489</v>
      </c>
      <c r="BO100" s="680"/>
      <c r="BP100" s="685" t="s">
        <v>504</v>
      </c>
      <c r="BQ100" s="686"/>
      <c r="BR100" s="687"/>
    </row>
    <row r="101" spans="1:70" ht="6" hidden="1" customHeight="1" x14ac:dyDescent="0.25">
      <c r="A101" s="681"/>
      <c r="B101" s="682"/>
      <c r="C101" s="688"/>
      <c r="D101" s="689"/>
      <c r="E101" s="690"/>
      <c r="F101" s="681"/>
      <c r="G101" s="682"/>
      <c r="H101" s="688"/>
      <c r="I101" s="689"/>
      <c r="J101" s="690"/>
      <c r="K101" s="681"/>
      <c r="L101" s="682"/>
      <c r="M101" s="688"/>
      <c r="N101" s="689"/>
      <c r="O101" s="690"/>
      <c r="P101" s="681"/>
      <c r="Q101" s="682"/>
      <c r="R101" s="688"/>
      <c r="S101" s="689"/>
      <c r="T101" s="690"/>
      <c r="U101" s="681"/>
      <c r="V101" s="682"/>
      <c r="W101" s="688"/>
      <c r="X101" s="689"/>
      <c r="Y101" s="690"/>
      <c r="Z101" s="681"/>
      <c r="AA101" s="682"/>
      <c r="AB101" s="688"/>
      <c r="AC101" s="689"/>
      <c r="AD101" s="690"/>
      <c r="AE101" s="681"/>
      <c r="AF101" s="682"/>
      <c r="AG101" s="688"/>
      <c r="AH101" s="689"/>
      <c r="AI101" s="690"/>
      <c r="AJ101" s="681"/>
      <c r="AK101" s="682"/>
      <c r="AL101" s="688"/>
      <c r="AM101" s="689"/>
      <c r="AN101" s="690"/>
      <c r="AO101" s="681"/>
      <c r="AP101" s="682"/>
      <c r="AQ101" s="688"/>
      <c r="AR101" s="689"/>
      <c r="AS101" s="690"/>
      <c r="AT101" s="681"/>
      <c r="AU101" s="682"/>
      <c r="AV101" s="688"/>
      <c r="AW101" s="689"/>
      <c r="AX101" s="690"/>
      <c r="AY101" s="681"/>
      <c r="AZ101" s="682"/>
      <c r="BA101" s="688"/>
      <c r="BB101" s="689"/>
      <c r="BC101" s="690"/>
      <c r="BD101" s="681"/>
      <c r="BE101" s="682"/>
      <c r="BF101" s="688"/>
      <c r="BG101" s="689"/>
      <c r="BH101" s="690"/>
      <c r="BI101" s="681"/>
      <c r="BJ101" s="682"/>
      <c r="BK101" s="688"/>
      <c r="BL101" s="689"/>
      <c r="BM101" s="690"/>
      <c r="BN101" s="681"/>
      <c r="BO101" s="682"/>
      <c r="BP101" s="688"/>
      <c r="BQ101" s="689"/>
      <c r="BR101" s="690"/>
    </row>
    <row r="102" spans="1:70" ht="15" hidden="1" customHeight="1" x14ac:dyDescent="0.25">
      <c r="A102" s="683"/>
      <c r="B102" s="684"/>
      <c r="C102" s="691"/>
      <c r="D102" s="692"/>
      <c r="E102" s="693"/>
      <c r="F102" s="683"/>
      <c r="G102" s="684"/>
      <c r="H102" s="691"/>
      <c r="I102" s="692"/>
      <c r="J102" s="693"/>
      <c r="K102" s="683"/>
      <c r="L102" s="684"/>
      <c r="M102" s="691"/>
      <c r="N102" s="692"/>
      <c r="O102" s="693"/>
      <c r="P102" s="683"/>
      <c r="Q102" s="684"/>
      <c r="R102" s="691"/>
      <c r="S102" s="692"/>
      <c r="T102" s="693"/>
      <c r="U102" s="683"/>
      <c r="V102" s="684"/>
      <c r="W102" s="691"/>
      <c r="X102" s="692"/>
      <c r="Y102" s="693"/>
      <c r="Z102" s="683"/>
      <c r="AA102" s="684"/>
      <c r="AB102" s="691"/>
      <c r="AC102" s="692"/>
      <c r="AD102" s="693"/>
      <c r="AE102" s="683"/>
      <c r="AF102" s="684"/>
      <c r="AG102" s="691"/>
      <c r="AH102" s="692"/>
      <c r="AI102" s="693"/>
      <c r="AJ102" s="683"/>
      <c r="AK102" s="684"/>
      <c r="AL102" s="691"/>
      <c r="AM102" s="692"/>
      <c r="AN102" s="693"/>
      <c r="AO102" s="683"/>
      <c r="AP102" s="684"/>
      <c r="AQ102" s="691"/>
      <c r="AR102" s="692"/>
      <c r="AS102" s="693"/>
      <c r="AT102" s="683"/>
      <c r="AU102" s="684"/>
      <c r="AV102" s="691"/>
      <c r="AW102" s="692"/>
      <c r="AX102" s="693"/>
      <c r="AY102" s="683"/>
      <c r="AZ102" s="684"/>
      <c r="BA102" s="691"/>
      <c r="BB102" s="692"/>
      <c r="BC102" s="693"/>
      <c r="BD102" s="683"/>
      <c r="BE102" s="684"/>
      <c r="BF102" s="691"/>
      <c r="BG102" s="692"/>
      <c r="BH102" s="693"/>
      <c r="BI102" s="683"/>
      <c r="BJ102" s="684"/>
      <c r="BK102" s="691"/>
      <c r="BL102" s="692"/>
      <c r="BM102" s="693"/>
      <c r="BN102" s="683"/>
      <c r="BO102" s="684"/>
      <c r="BP102" s="691"/>
      <c r="BQ102" s="692"/>
      <c r="BR102" s="693"/>
    </row>
    <row r="103" spans="1:70" ht="111.75" hidden="1" customHeight="1" x14ac:dyDescent="0.25">
      <c r="A103" s="586" t="s">
        <v>500</v>
      </c>
      <c r="B103" s="694"/>
      <c r="C103" s="695"/>
      <c r="D103" s="695"/>
      <c r="E103" s="696"/>
      <c r="F103" s="586" t="s">
        <v>500</v>
      </c>
      <c r="G103" s="694"/>
      <c r="H103" s="695"/>
      <c r="I103" s="695"/>
      <c r="J103" s="696"/>
      <c r="K103" s="586" t="s">
        <v>500</v>
      </c>
      <c r="L103" s="694"/>
      <c r="M103" s="695"/>
      <c r="N103" s="695"/>
      <c r="O103" s="696"/>
      <c r="P103" s="586" t="s">
        <v>500</v>
      </c>
      <c r="Q103" s="694"/>
      <c r="R103" s="695"/>
      <c r="S103" s="695"/>
      <c r="T103" s="696"/>
      <c r="U103" s="586" t="s">
        <v>500</v>
      </c>
      <c r="V103" s="694"/>
      <c r="W103" s="695"/>
      <c r="X103" s="695"/>
      <c r="Y103" s="696"/>
      <c r="Z103" s="586" t="s">
        <v>500</v>
      </c>
      <c r="AA103" s="694"/>
      <c r="AB103" s="695"/>
      <c r="AC103" s="695"/>
      <c r="AD103" s="696"/>
      <c r="AE103" s="586" t="s">
        <v>500</v>
      </c>
      <c r="AF103" s="694"/>
      <c r="AG103" s="695"/>
      <c r="AH103" s="695"/>
      <c r="AI103" s="696"/>
      <c r="AJ103" s="586" t="s">
        <v>500</v>
      </c>
      <c r="AK103" s="694"/>
      <c r="AL103" s="695"/>
      <c r="AM103" s="695"/>
      <c r="AN103" s="696"/>
      <c r="AO103" s="586" t="s">
        <v>500</v>
      </c>
      <c r="AP103" s="694"/>
      <c r="AQ103" s="695"/>
      <c r="AR103" s="695"/>
      <c r="AS103" s="696"/>
      <c r="AT103" s="586" t="s">
        <v>500</v>
      </c>
      <c r="AU103" s="694"/>
      <c r="AV103" s="695"/>
      <c r="AW103" s="695"/>
      <c r="AX103" s="696"/>
      <c r="AY103" s="586" t="s">
        <v>500</v>
      </c>
      <c r="AZ103" s="694"/>
      <c r="BA103" s="695"/>
      <c r="BB103" s="695"/>
      <c r="BC103" s="696"/>
      <c r="BD103" s="586" t="s">
        <v>500</v>
      </c>
      <c r="BE103" s="694"/>
      <c r="BF103" s="695"/>
      <c r="BG103" s="695"/>
      <c r="BH103" s="696"/>
      <c r="BI103" s="586" t="s">
        <v>500</v>
      </c>
      <c r="BJ103" s="694"/>
      <c r="BK103" s="695"/>
      <c r="BL103" s="695"/>
      <c r="BM103" s="696"/>
      <c r="BN103" s="586" t="s">
        <v>500</v>
      </c>
      <c r="BO103" s="694"/>
      <c r="BP103" s="695"/>
      <c r="BQ103" s="695"/>
      <c r="BR103" s="696"/>
    </row>
    <row r="104" spans="1:70" ht="50.25" hidden="1" customHeight="1" thickBot="1" x14ac:dyDescent="0.3">
      <c r="A104" s="587"/>
      <c r="B104" s="334"/>
      <c r="C104" s="335" t="s">
        <v>113</v>
      </c>
      <c r="D104" s="336"/>
      <c r="E104" s="337" t="s">
        <v>114</v>
      </c>
      <c r="F104" s="587"/>
      <c r="G104" s="334"/>
      <c r="H104" s="335" t="s">
        <v>113</v>
      </c>
      <c r="I104" s="336"/>
      <c r="J104" s="337" t="s">
        <v>114</v>
      </c>
      <c r="K104" s="587"/>
      <c r="L104" s="334"/>
      <c r="M104" s="335" t="s">
        <v>113</v>
      </c>
      <c r="N104" s="336"/>
      <c r="O104" s="337" t="s">
        <v>114</v>
      </c>
      <c r="P104" s="587"/>
      <c r="Q104" s="334"/>
      <c r="R104" s="335" t="s">
        <v>113</v>
      </c>
      <c r="S104" s="336"/>
      <c r="T104" s="337" t="s">
        <v>114</v>
      </c>
      <c r="U104" s="587"/>
      <c r="V104" s="334"/>
      <c r="W104" s="335" t="s">
        <v>113</v>
      </c>
      <c r="X104" s="336"/>
      <c r="Y104" s="337" t="s">
        <v>114</v>
      </c>
      <c r="Z104" s="587"/>
      <c r="AA104" s="334"/>
      <c r="AB104" s="335" t="s">
        <v>113</v>
      </c>
      <c r="AC104" s="336"/>
      <c r="AD104" s="337" t="s">
        <v>114</v>
      </c>
      <c r="AE104" s="587"/>
      <c r="AF104" s="334"/>
      <c r="AG104" s="335" t="s">
        <v>113</v>
      </c>
      <c r="AH104" s="336"/>
      <c r="AI104" s="337" t="s">
        <v>114</v>
      </c>
      <c r="AJ104" s="587"/>
      <c r="AK104" s="334"/>
      <c r="AL104" s="335" t="s">
        <v>113</v>
      </c>
      <c r="AM104" s="336"/>
      <c r="AN104" s="337" t="s">
        <v>114</v>
      </c>
      <c r="AO104" s="587"/>
      <c r="AP104" s="334"/>
      <c r="AQ104" s="335" t="s">
        <v>113</v>
      </c>
      <c r="AR104" s="336"/>
      <c r="AS104" s="337" t="s">
        <v>114</v>
      </c>
      <c r="AT104" s="587"/>
      <c r="AU104" s="334"/>
      <c r="AV104" s="335" t="s">
        <v>113</v>
      </c>
      <c r="AW104" s="336"/>
      <c r="AX104" s="337" t="s">
        <v>114</v>
      </c>
      <c r="AY104" s="587"/>
      <c r="AZ104" s="334"/>
      <c r="BA104" s="335" t="s">
        <v>113</v>
      </c>
      <c r="BB104" s="336"/>
      <c r="BC104" s="337" t="s">
        <v>114</v>
      </c>
      <c r="BD104" s="587"/>
      <c r="BE104" s="334"/>
      <c r="BF104" s="335" t="s">
        <v>113</v>
      </c>
      <c r="BG104" s="336"/>
      <c r="BH104" s="337" t="s">
        <v>114</v>
      </c>
      <c r="BI104" s="587"/>
      <c r="BJ104" s="334"/>
      <c r="BK104" s="335" t="s">
        <v>113</v>
      </c>
      <c r="BL104" s="336"/>
      <c r="BM104" s="337" t="s">
        <v>114</v>
      </c>
      <c r="BN104" s="587"/>
      <c r="BO104" s="334"/>
      <c r="BP104" s="335" t="s">
        <v>113</v>
      </c>
      <c r="BQ104" s="336"/>
      <c r="BR104" s="337" t="s">
        <v>114</v>
      </c>
    </row>
    <row r="105" spans="1:70" ht="47.25" hidden="1" customHeight="1" thickTop="1" x14ac:dyDescent="0.25">
      <c r="A105" s="582" t="s">
        <v>110</v>
      </c>
      <c r="B105" s="583"/>
      <c r="C105" s="584">
        <f t="shared" ref="C105" si="203">B110/((72*3.1415/59)*(129.67/3.281))</f>
        <v>0</v>
      </c>
      <c r="D105" s="584"/>
      <c r="E105" s="585"/>
      <c r="F105" s="582" t="s">
        <v>110</v>
      </c>
      <c r="G105" s="583"/>
      <c r="H105" s="584">
        <f t="shared" ref="H105" si="204">G110/((72*3.1415/59)*(129.67/3.281))</f>
        <v>0</v>
      </c>
      <c r="I105" s="584"/>
      <c r="J105" s="585"/>
      <c r="K105" s="582" t="s">
        <v>110</v>
      </c>
      <c r="L105" s="583"/>
      <c r="M105" s="584">
        <f t="shared" ref="M105" si="205">L110/((72*3.1415/59)*(129.67/3.281))</f>
        <v>0</v>
      </c>
      <c r="N105" s="584"/>
      <c r="O105" s="585"/>
      <c r="P105" s="582" t="s">
        <v>110</v>
      </c>
      <c r="Q105" s="583"/>
      <c r="R105" s="584">
        <f t="shared" ref="R105" si="206">Q110/((72*3.1415/59)*(129.67/3.281))</f>
        <v>0</v>
      </c>
      <c r="S105" s="584"/>
      <c r="T105" s="585"/>
      <c r="U105" s="582" t="s">
        <v>110</v>
      </c>
      <c r="V105" s="583"/>
      <c r="W105" s="584">
        <f t="shared" ref="W105" si="207">V110/((72*3.1415/59)*(129.67/3.281))</f>
        <v>0</v>
      </c>
      <c r="X105" s="584"/>
      <c r="Y105" s="585"/>
      <c r="Z105" s="582" t="s">
        <v>110</v>
      </c>
      <c r="AA105" s="583"/>
      <c r="AB105" s="584">
        <f t="shared" ref="AB105" si="208">AA110/((72*3.1415/59)*(129.67/3.281))</f>
        <v>0</v>
      </c>
      <c r="AC105" s="584"/>
      <c r="AD105" s="585"/>
      <c r="AE105" s="582" t="s">
        <v>110</v>
      </c>
      <c r="AF105" s="583"/>
      <c r="AG105" s="584">
        <f t="shared" ref="AG105" si="209">AF110/((72*3.1415/59)*(129.67/3.281))</f>
        <v>0</v>
      </c>
      <c r="AH105" s="584"/>
      <c r="AI105" s="585"/>
      <c r="AJ105" s="582" t="s">
        <v>110</v>
      </c>
      <c r="AK105" s="583"/>
      <c r="AL105" s="584">
        <f t="shared" ref="AL105" si="210">AK110/((72*3.1415/59)*(129.67/3.281))</f>
        <v>0</v>
      </c>
      <c r="AM105" s="584"/>
      <c r="AN105" s="585"/>
      <c r="AO105" s="582" t="s">
        <v>110</v>
      </c>
      <c r="AP105" s="583"/>
      <c r="AQ105" s="584">
        <f t="shared" ref="AQ105" si="211">AP110/((72*3.1415/59)*(129.67/3.281))</f>
        <v>0</v>
      </c>
      <c r="AR105" s="584"/>
      <c r="AS105" s="585"/>
      <c r="AT105" s="582" t="s">
        <v>110</v>
      </c>
      <c r="AU105" s="583"/>
      <c r="AV105" s="584">
        <f t="shared" ref="AV105" si="212">AU110/((72*3.1415/59)*(129.67/3.281))</f>
        <v>0</v>
      </c>
      <c r="AW105" s="584"/>
      <c r="AX105" s="585"/>
      <c r="AY105" s="582" t="s">
        <v>110</v>
      </c>
      <c r="AZ105" s="583"/>
      <c r="BA105" s="584">
        <f t="shared" ref="BA105" si="213">AZ110/((72*3.1415/59)*(129.67/3.281))</f>
        <v>0</v>
      </c>
      <c r="BB105" s="584"/>
      <c r="BC105" s="585"/>
      <c r="BD105" s="582" t="s">
        <v>110</v>
      </c>
      <c r="BE105" s="583"/>
      <c r="BF105" s="584">
        <f t="shared" ref="BF105" si="214">BE110/((72*3.1415/59)*(129.67/3.281))</f>
        <v>0</v>
      </c>
      <c r="BG105" s="584"/>
      <c r="BH105" s="585"/>
      <c r="BI105" s="582" t="s">
        <v>110</v>
      </c>
      <c r="BJ105" s="583"/>
      <c r="BK105" s="584">
        <f t="shared" ref="BK105" si="215">BJ110/((72*3.1415/59)*(129.67/3.281))</f>
        <v>0</v>
      </c>
      <c r="BL105" s="584"/>
      <c r="BM105" s="585"/>
      <c r="BN105" s="582" t="s">
        <v>110</v>
      </c>
      <c r="BO105" s="583"/>
      <c r="BP105" s="584">
        <f t="shared" ref="BP105" si="216">BO110/((72*3.1415/59)*(129.67/3.281))</f>
        <v>0</v>
      </c>
      <c r="BQ105" s="584"/>
      <c r="BR105" s="585"/>
    </row>
    <row r="106" spans="1:70" ht="20.25" hidden="1" customHeight="1" x14ac:dyDescent="0.25">
      <c r="A106" s="679" t="s">
        <v>489</v>
      </c>
      <c r="B106" s="680"/>
      <c r="C106" s="685" t="s">
        <v>504</v>
      </c>
      <c r="D106" s="686"/>
      <c r="E106" s="687"/>
      <c r="F106" s="679" t="s">
        <v>489</v>
      </c>
      <c r="G106" s="680"/>
      <c r="H106" s="685" t="s">
        <v>504</v>
      </c>
      <c r="I106" s="686"/>
      <c r="J106" s="687"/>
      <c r="K106" s="679" t="s">
        <v>489</v>
      </c>
      <c r="L106" s="680"/>
      <c r="M106" s="685" t="s">
        <v>504</v>
      </c>
      <c r="N106" s="686"/>
      <c r="O106" s="687"/>
      <c r="P106" s="679" t="s">
        <v>489</v>
      </c>
      <c r="Q106" s="680"/>
      <c r="R106" s="685" t="s">
        <v>504</v>
      </c>
      <c r="S106" s="686"/>
      <c r="T106" s="687"/>
      <c r="U106" s="679" t="s">
        <v>489</v>
      </c>
      <c r="V106" s="680"/>
      <c r="W106" s="685" t="s">
        <v>504</v>
      </c>
      <c r="X106" s="686"/>
      <c r="Y106" s="687"/>
      <c r="Z106" s="679" t="s">
        <v>489</v>
      </c>
      <c r="AA106" s="680"/>
      <c r="AB106" s="685" t="s">
        <v>504</v>
      </c>
      <c r="AC106" s="686"/>
      <c r="AD106" s="687"/>
      <c r="AE106" s="679" t="s">
        <v>489</v>
      </c>
      <c r="AF106" s="680"/>
      <c r="AG106" s="685" t="s">
        <v>504</v>
      </c>
      <c r="AH106" s="686"/>
      <c r="AI106" s="687"/>
      <c r="AJ106" s="679" t="s">
        <v>489</v>
      </c>
      <c r="AK106" s="680"/>
      <c r="AL106" s="685" t="s">
        <v>504</v>
      </c>
      <c r="AM106" s="686"/>
      <c r="AN106" s="687"/>
      <c r="AO106" s="679" t="s">
        <v>489</v>
      </c>
      <c r="AP106" s="680"/>
      <c r="AQ106" s="685" t="s">
        <v>504</v>
      </c>
      <c r="AR106" s="686"/>
      <c r="AS106" s="687"/>
      <c r="AT106" s="679" t="s">
        <v>489</v>
      </c>
      <c r="AU106" s="680"/>
      <c r="AV106" s="685" t="s">
        <v>504</v>
      </c>
      <c r="AW106" s="686"/>
      <c r="AX106" s="687"/>
      <c r="AY106" s="679" t="s">
        <v>489</v>
      </c>
      <c r="AZ106" s="680"/>
      <c r="BA106" s="685" t="s">
        <v>504</v>
      </c>
      <c r="BB106" s="686"/>
      <c r="BC106" s="687"/>
      <c r="BD106" s="679" t="s">
        <v>489</v>
      </c>
      <c r="BE106" s="680"/>
      <c r="BF106" s="685" t="s">
        <v>504</v>
      </c>
      <c r="BG106" s="686"/>
      <c r="BH106" s="687"/>
      <c r="BI106" s="679" t="s">
        <v>489</v>
      </c>
      <c r="BJ106" s="680"/>
      <c r="BK106" s="685" t="s">
        <v>504</v>
      </c>
      <c r="BL106" s="686"/>
      <c r="BM106" s="687"/>
      <c r="BN106" s="679" t="s">
        <v>489</v>
      </c>
      <c r="BO106" s="680"/>
      <c r="BP106" s="685" t="s">
        <v>504</v>
      </c>
      <c r="BQ106" s="686"/>
      <c r="BR106" s="687"/>
    </row>
    <row r="107" spans="1:70" ht="3.75" hidden="1" customHeight="1" x14ac:dyDescent="0.25">
      <c r="A107" s="681"/>
      <c r="B107" s="682"/>
      <c r="C107" s="688"/>
      <c r="D107" s="689"/>
      <c r="E107" s="690"/>
      <c r="F107" s="681"/>
      <c r="G107" s="682"/>
      <c r="H107" s="688"/>
      <c r="I107" s="689"/>
      <c r="J107" s="690"/>
      <c r="K107" s="681"/>
      <c r="L107" s="682"/>
      <c r="M107" s="688"/>
      <c r="N107" s="689"/>
      <c r="O107" s="690"/>
      <c r="P107" s="681"/>
      <c r="Q107" s="682"/>
      <c r="R107" s="688"/>
      <c r="S107" s="689"/>
      <c r="T107" s="690"/>
      <c r="U107" s="681"/>
      <c r="V107" s="682"/>
      <c r="W107" s="688"/>
      <c r="X107" s="689"/>
      <c r="Y107" s="690"/>
      <c r="Z107" s="681"/>
      <c r="AA107" s="682"/>
      <c r="AB107" s="688"/>
      <c r="AC107" s="689"/>
      <c r="AD107" s="690"/>
      <c r="AE107" s="681"/>
      <c r="AF107" s="682"/>
      <c r="AG107" s="688"/>
      <c r="AH107" s="689"/>
      <c r="AI107" s="690"/>
      <c r="AJ107" s="681"/>
      <c r="AK107" s="682"/>
      <c r="AL107" s="688"/>
      <c r="AM107" s="689"/>
      <c r="AN107" s="690"/>
      <c r="AO107" s="681"/>
      <c r="AP107" s="682"/>
      <c r="AQ107" s="688"/>
      <c r="AR107" s="689"/>
      <c r="AS107" s="690"/>
      <c r="AT107" s="681"/>
      <c r="AU107" s="682"/>
      <c r="AV107" s="688"/>
      <c r="AW107" s="689"/>
      <c r="AX107" s="690"/>
      <c r="AY107" s="681"/>
      <c r="AZ107" s="682"/>
      <c r="BA107" s="688"/>
      <c r="BB107" s="689"/>
      <c r="BC107" s="690"/>
      <c r="BD107" s="681"/>
      <c r="BE107" s="682"/>
      <c r="BF107" s="688"/>
      <c r="BG107" s="689"/>
      <c r="BH107" s="690"/>
      <c r="BI107" s="681"/>
      <c r="BJ107" s="682"/>
      <c r="BK107" s="688"/>
      <c r="BL107" s="689"/>
      <c r="BM107" s="690"/>
      <c r="BN107" s="681"/>
      <c r="BO107" s="682"/>
      <c r="BP107" s="688"/>
      <c r="BQ107" s="689"/>
      <c r="BR107" s="690"/>
    </row>
    <row r="108" spans="1:70" ht="15" hidden="1" customHeight="1" x14ac:dyDescent="0.25">
      <c r="A108" s="683"/>
      <c r="B108" s="684"/>
      <c r="C108" s="691"/>
      <c r="D108" s="692"/>
      <c r="E108" s="693"/>
      <c r="F108" s="683"/>
      <c r="G108" s="684"/>
      <c r="H108" s="691"/>
      <c r="I108" s="692"/>
      <c r="J108" s="693"/>
      <c r="K108" s="683"/>
      <c r="L108" s="684"/>
      <c r="M108" s="691"/>
      <c r="N108" s="692"/>
      <c r="O108" s="693"/>
      <c r="P108" s="683"/>
      <c r="Q108" s="684"/>
      <c r="R108" s="691"/>
      <c r="S108" s="692"/>
      <c r="T108" s="693"/>
      <c r="U108" s="683"/>
      <c r="V108" s="684"/>
      <c r="W108" s="691"/>
      <c r="X108" s="692"/>
      <c r="Y108" s="693"/>
      <c r="Z108" s="683"/>
      <c r="AA108" s="684"/>
      <c r="AB108" s="691"/>
      <c r="AC108" s="692"/>
      <c r="AD108" s="693"/>
      <c r="AE108" s="683"/>
      <c r="AF108" s="684"/>
      <c r="AG108" s="691"/>
      <c r="AH108" s="692"/>
      <c r="AI108" s="693"/>
      <c r="AJ108" s="683"/>
      <c r="AK108" s="684"/>
      <c r="AL108" s="691"/>
      <c r="AM108" s="692"/>
      <c r="AN108" s="693"/>
      <c r="AO108" s="683"/>
      <c r="AP108" s="684"/>
      <c r="AQ108" s="691"/>
      <c r="AR108" s="692"/>
      <c r="AS108" s="693"/>
      <c r="AT108" s="683"/>
      <c r="AU108" s="684"/>
      <c r="AV108" s="691"/>
      <c r="AW108" s="692"/>
      <c r="AX108" s="693"/>
      <c r="AY108" s="683"/>
      <c r="AZ108" s="684"/>
      <c r="BA108" s="691"/>
      <c r="BB108" s="692"/>
      <c r="BC108" s="693"/>
      <c r="BD108" s="683"/>
      <c r="BE108" s="684"/>
      <c r="BF108" s="691"/>
      <c r="BG108" s="692"/>
      <c r="BH108" s="693"/>
      <c r="BI108" s="683"/>
      <c r="BJ108" s="684"/>
      <c r="BK108" s="691"/>
      <c r="BL108" s="692"/>
      <c r="BM108" s="693"/>
      <c r="BN108" s="683"/>
      <c r="BO108" s="684"/>
      <c r="BP108" s="691"/>
      <c r="BQ108" s="692"/>
      <c r="BR108" s="693"/>
    </row>
    <row r="109" spans="1:70" s="22" customFormat="1" ht="111.75" hidden="1" customHeight="1" x14ac:dyDescent="1.35">
      <c r="A109" s="586" t="s">
        <v>500</v>
      </c>
      <c r="B109" s="694"/>
      <c r="C109" s="695"/>
      <c r="D109" s="695"/>
      <c r="E109" s="696"/>
      <c r="F109" s="586" t="s">
        <v>500</v>
      </c>
      <c r="G109" s="694"/>
      <c r="H109" s="695"/>
      <c r="I109" s="695"/>
      <c r="J109" s="696"/>
      <c r="K109" s="586" t="s">
        <v>500</v>
      </c>
      <c r="L109" s="694"/>
      <c r="M109" s="695"/>
      <c r="N109" s="695"/>
      <c r="O109" s="696"/>
      <c r="P109" s="586" t="s">
        <v>500</v>
      </c>
      <c r="Q109" s="694"/>
      <c r="R109" s="695"/>
      <c r="S109" s="695"/>
      <c r="T109" s="696"/>
      <c r="U109" s="586" t="s">
        <v>500</v>
      </c>
      <c r="V109" s="694"/>
      <c r="W109" s="695"/>
      <c r="X109" s="695"/>
      <c r="Y109" s="696"/>
      <c r="Z109" s="586" t="s">
        <v>500</v>
      </c>
      <c r="AA109" s="694"/>
      <c r="AB109" s="695"/>
      <c r="AC109" s="695"/>
      <c r="AD109" s="696"/>
      <c r="AE109" s="586" t="s">
        <v>500</v>
      </c>
      <c r="AF109" s="694"/>
      <c r="AG109" s="695"/>
      <c r="AH109" s="695"/>
      <c r="AI109" s="696"/>
      <c r="AJ109" s="586" t="s">
        <v>500</v>
      </c>
      <c r="AK109" s="694"/>
      <c r="AL109" s="695"/>
      <c r="AM109" s="695"/>
      <c r="AN109" s="696"/>
      <c r="AO109" s="586" t="s">
        <v>500</v>
      </c>
      <c r="AP109" s="694"/>
      <c r="AQ109" s="695"/>
      <c r="AR109" s="695"/>
      <c r="AS109" s="696"/>
      <c r="AT109" s="586" t="s">
        <v>500</v>
      </c>
      <c r="AU109" s="694"/>
      <c r="AV109" s="695"/>
      <c r="AW109" s="695"/>
      <c r="AX109" s="696"/>
      <c r="AY109" s="586" t="s">
        <v>500</v>
      </c>
      <c r="AZ109" s="694"/>
      <c r="BA109" s="695"/>
      <c r="BB109" s="695"/>
      <c r="BC109" s="696"/>
      <c r="BD109" s="586" t="s">
        <v>500</v>
      </c>
      <c r="BE109" s="694"/>
      <c r="BF109" s="695"/>
      <c r="BG109" s="695"/>
      <c r="BH109" s="696"/>
      <c r="BI109" s="586" t="s">
        <v>500</v>
      </c>
      <c r="BJ109" s="694"/>
      <c r="BK109" s="695"/>
      <c r="BL109" s="695"/>
      <c r="BM109" s="696"/>
      <c r="BN109" s="586" t="s">
        <v>500</v>
      </c>
      <c r="BO109" s="694"/>
      <c r="BP109" s="695"/>
      <c r="BQ109" s="695"/>
      <c r="BR109" s="696"/>
    </row>
    <row r="110" spans="1:70" ht="50.25" hidden="1" customHeight="1" thickBot="1" x14ac:dyDescent="0.3">
      <c r="A110" s="587"/>
      <c r="B110" s="334"/>
      <c r="C110" s="335" t="s">
        <v>113</v>
      </c>
      <c r="D110" s="336"/>
      <c r="E110" s="337" t="s">
        <v>114</v>
      </c>
      <c r="F110" s="587"/>
      <c r="G110" s="334"/>
      <c r="H110" s="335" t="s">
        <v>113</v>
      </c>
      <c r="I110" s="336"/>
      <c r="J110" s="337" t="s">
        <v>114</v>
      </c>
      <c r="K110" s="587"/>
      <c r="L110" s="334"/>
      <c r="M110" s="335" t="s">
        <v>113</v>
      </c>
      <c r="N110" s="336"/>
      <c r="O110" s="337" t="s">
        <v>114</v>
      </c>
      <c r="P110" s="587"/>
      <c r="Q110" s="334"/>
      <c r="R110" s="335" t="s">
        <v>113</v>
      </c>
      <c r="S110" s="336"/>
      <c r="T110" s="337" t="s">
        <v>114</v>
      </c>
      <c r="U110" s="587"/>
      <c r="V110" s="334"/>
      <c r="W110" s="335" t="s">
        <v>113</v>
      </c>
      <c r="X110" s="336"/>
      <c r="Y110" s="337" t="s">
        <v>114</v>
      </c>
      <c r="Z110" s="587"/>
      <c r="AA110" s="334"/>
      <c r="AB110" s="335" t="s">
        <v>113</v>
      </c>
      <c r="AC110" s="336"/>
      <c r="AD110" s="337" t="s">
        <v>114</v>
      </c>
      <c r="AE110" s="587"/>
      <c r="AF110" s="334"/>
      <c r="AG110" s="335" t="s">
        <v>113</v>
      </c>
      <c r="AH110" s="336"/>
      <c r="AI110" s="337" t="s">
        <v>114</v>
      </c>
      <c r="AJ110" s="587"/>
      <c r="AK110" s="334"/>
      <c r="AL110" s="335" t="s">
        <v>113</v>
      </c>
      <c r="AM110" s="336"/>
      <c r="AN110" s="337" t="s">
        <v>114</v>
      </c>
      <c r="AO110" s="587"/>
      <c r="AP110" s="334"/>
      <c r="AQ110" s="335" t="s">
        <v>113</v>
      </c>
      <c r="AR110" s="336"/>
      <c r="AS110" s="337" t="s">
        <v>114</v>
      </c>
      <c r="AT110" s="587"/>
      <c r="AU110" s="334"/>
      <c r="AV110" s="335" t="s">
        <v>113</v>
      </c>
      <c r="AW110" s="336"/>
      <c r="AX110" s="337" t="s">
        <v>114</v>
      </c>
      <c r="AY110" s="587"/>
      <c r="AZ110" s="334"/>
      <c r="BA110" s="335" t="s">
        <v>113</v>
      </c>
      <c r="BB110" s="336"/>
      <c r="BC110" s="337" t="s">
        <v>114</v>
      </c>
      <c r="BD110" s="587"/>
      <c r="BE110" s="334"/>
      <c r="BF110" s="335" t="s">
        <v>113</v>
      </c>
      <c r="BG110" s="336"/>
      <c r="BH110" s="337" t="s">
        <v>114</v>
      </c>
      <c r="BI110" s="587"/>
      <c r="BJ110" s="334"/>
      <c r="BK110" s="335" t="s">
        <v>113</v>
      </c>
      <c r="BL110" s="336"/>
      <c r="BM110" s="337" t="s">
        <v>114</v>
      </c>
      <c r="BN110" s="587"/>
      <c r="BO110" s="334"/>
      <c r="BP110" s="335" t="s">
        <v>113</v>
      </c>
      <c r="BQ110" s="336"/>
      <c r="BR110" s="337" t="s">
        <v>114</v>
      </c>
    </row>
    <row r="111" spans="1:70" ht="53.25" hidden="1" customHeight="1" thickTop="1" x14ac:dyDescent="0.25">
      <c r="A111" s="582" t="s">
        <v>110</v>
      </c>
      <c r="B111" s="583"/>
      <c r="C111" s="584">
        <f t="shared" ref="C111" si="217">B116/((72*3.1415/59)*(129.67/3.281))</f>
        <v>0</v>
      </c>
      <c r="D111" s="584"/>
      <c r="E111" s="585"/>
      <c r="F111" s="582" t="s">
        <v>110</v>
      </c>
      <c r="G111" s="583"/>
      <c r="H111" s="584">
        <f t="shared" ref="H111" si="218">G116/((72*3.1415/59)*(129.67/3.281))</f>
        <v>0</v>
      </c>
      <c r="I111" s="584"/>
      <c r="J111" s="585"/>
      <c r="K111" s="712"/>
      <c r="L111" s="710"/>
      <c r="M111" s="711"/>
      <c r="N111" s="711"/>
      <c r="O111" s="711"/>
      <c r="P111" s="710"/>
      <c r="Q111" s="710"/>
      <c r="R111" s="711"/>
      <c r="S111" s="711"/>
      <c r="T111" s="711"/>
      <c r="U111" s="710"/>
      <c r="V111" s="710"/>
      <c r="W111" s="711"/>
      <c r="X111" s="711"/>
      <c r="Y111" s="711"/>
      <c r="Z111" s="710"/>
      <c r="AA111" s="710"/>
      <c r="AB111" s="711"/>
      <c r="AC111" s="711"/>
      <c r="AD111" s="711"/>
      <c r="AE111" s="710"/>
      <c r="AF111" s="710"/>
      <c r="AG111" s="711"/>
      <c r="AH111" s="711"/>
      <c r="AI111" s="711"/>
      <c r="AJ111" s="710"/>
      <c r="AK111" s="710"/>
      <c r="AL111" s="711"/>
      <c r="AM111" s="711"/>
      <c r="AN111" s="711"/>
      <c r="AO111" s="710"/>
      <c r="AP111" s="710"/>
      <c r="AQ111" s="711"/>
      <c r="AR111" s="711"/>
      <c r="AS111" s="711"/>
      <c r="AT111" s="710"/>
      <c r="AU111" s="710"/>
      <c r="AV111" s="711"/>
      <c r="AW111" s="711"/>
      <c r="AX111" s="711"/>
      <c r="AY111" s="710"/>
      <c r="AZ111" s="710"/>
      <c r="BA111" s="711"/>
      <c r="BB111" s="711"/>
      <c r="BC111" s="711"/>
      <c r="BD111" s="710"/>
      <c r="BE111" s="710"/>
      <c r="BF111" s="711"/>
      <c r="BG111" s="711"/>
      <c r="BH111" s="711"/>
      <c r="BI111" s="710"/>
      <c r="BJ111" s="710"/>
      <c r="BK111" s="711"/>
      <c r="BL111" s="711"/>
      <c r="BM111" s="711"/>
      <c r="BN111" s="710"/>
      <c r="BO111" s="710"/>
      <c r="BP111" s="711"/>
      <c r="BQ111" s="711"/>
      <c r="BR111" s="711"/>
    </row>
    <row r="112" spans="1:70" ht="15" hidden="1" customHeight="1" x14ac:dyDescent="0.25">
      <c r="A112" s="679" t="s">
        <v>489</v>
      </c>
      <c r="B112" s="680"/>
      <c r="C112" s="685" t="s">
        <v>504</v>
      </c>
      <c r="D112" s="686"/>
      <c r="E112" s="687"/>
      <c r="F112" s="679" t="s">
        <v>489</v>
      </c>
      <c r="G112" s="680"/>
      <c r="H112" s="685" t="s">
        <v>504</v>
      </c>
      <c r="I112" s="686"/>
      <c r="J112" s="687"/>
      <c r="K112" s="721"/>
      <c r="L112" s="714"/>
      <c r="M112" s="714"/>
      <c r="N112" s="714"/>
      <c r="O112" s="714"/>
      <c r="P112" s="714"/>
      <c r="Q112" s="714"/>
      <c r="R112" s="714"/>
      <c r="S112" s="714"/>
      <c r="T112" s="714"/>
      <c r="U112" s="714"/>
      <c r="V112" s="714"/>
      <c r="W112" s="714"/>
      <c r="X112" s="714"/>
      <c r="Y112" s="714"/>
      <c r="Z112" s="714"/>
      <c r="AA112" s="714"/>
      <c r="AB112" s="714"/>
      <c r="AC112" s="714"/>
      <c r="AD112" s="714"/>
      <c r="AE112" s="714"/>
      <c r="AF112" s="714"/>
      <c r="AG112" s="714"/>
      <c r="AH112" s="714"/>
      <c r="AI112" s="714"/>
      <c r="AJ112" s="714"/>
      <c r="AK112" s="714"/>
      <c r="AL112" s="714"/>
      <c r="AM112" s="714"/>
      <c r="AN112" s="714"/>
      <c r="AO112" s="714"/>
      <c r="AP112" s="714"/>
      <c r="AQ112" s="714"/>
      <c r="AR112" s="714"/>
      <c r="AS112" s="714"/>
      <c r="AT112" s="714"/>
      <c r="AU112" s="714"/>
      <c r="AV112" s="714"/>
      <c r="AW112" s="714"/>
      <c r="AX112" s="714"/>
      <c r="AY112" s="714"/>
      <c r="AZ112" s="714"/>
      <c r="BA112" s="714"/>
      <c r="BB112" s="714"/>
      <c r="BC112" s="714"/>
      <c r="BD112" s="714"/>
      <c r="BE112" s="714"/>
      <c r="BF112" s="714"/>
      <c r="BG112" s="714"/>
      <c r="BH112" s="714"/>
      <c r="BI112" s="714"/>
      <c r="BJ112" s="714"/>
      <c r="BK112" s="714"/>
      <c r="BL112" s="714"/>
      <c r="BM112" s="714"/>
      <c r="BN112" s="714"/>
      <c r="BO112" s="714"/>
      <c r="BP112" s="714"/>
      <c r="BQ112" s="714"/>
      <c r="BR112" s="714"/>
    </row>
    <row r="113" spans="1:70" ht="6" hidden="1" customHeight="1" x14ac:dyDescent="0.25">
      <c r="A113" s="681"/>
      <c r="B113" s="682"/>
      <c r="C113" s="688"/>
      <c r="D113" s="689"/>
      <c r="E113" s="690"/>
      <c r="F113" s="681"/>
      <c r="G113" s="682"/>
      <c r="H113" s="688"/>
      <c r="I113" s="689"/>
      <c r="J113" s="690"/>
      <c r="K113" s="721"/>
      <c r="L113" s="714"/>
      <c r="M113" s="714"/>
      <c r="N113" s="714"/>
      <c r="O113" s="714"/>
      <c r="P113" s="714"/>
      <c r="Q113" s="714"/>
      <c r="R113" s="714"/>
      <c r="S113" s="714"/>
      <c r="T113" s="714"/>
      <c r="U113" s="714"/>
      <c r="V113" s="714"/>
      <c r="W113" s="714"/>
      <c r="X113" s="714"/>
      <c r="Y113" s="714"/>
      <c r="Z113" s="714"/>
      <c r="AA113" s="714"/>
      <c r="AB113" s="714"/>
      <c r="AC113" s="714"/>
      <c r="AD113" s="714"/>
      <c r="AE113" s="714"/>
      <c r="AF113" s="714"/>
      <c r="AG113" s="714"/>
      <c r="AH113" s="714"/>
      <c r="AI113" s="714"/>
      <c r="AJ113" s="714"/>
      <c r="AK113" s="714"/>
      <c r="AL113" s="714"/>
      <c r="AM113" s="714"/>
      <c r="AN113" s="714"/>
      <c r="AO113" s="714"/>
      <c r="AP113" s="714"/>
      <c r="AQ113" s="714"/>
      <c r="AR113" s="714"/>
      <c r="AS113" s="714"/>
      <c r="AT113" s="714"/>
      <c r="AU113" s="714"/>
      <c r="AV113" s="714"/>
      <c r="AW113" s="714"/>
      <c r="AX113" s="714"/>
      <c r="AY113" s="714"/>
      <c r="AZ113" s="714"/>
      <c r="BA113" s="714"/>
      <c r="BB113" s="714"/>
      <c r="BC113" s="714"/>
      <c r="BD113" s="714"/>
      <c r="BE113" s="714"/>
      <c r="BF113" s="714"/>
      <c r="BG113" s="714"/>
      <c r="BH113" s="714"/>
      <c r="BI113" s="714"/>
      <c r="BJ113" s="714"/>
      <c r="BK113" s="714"/>
      <c r="BL113" s="714"/>
      <c r="BM113" s="714"/>
      <c r="BN113" s="714"/>
      <c r="BO113" s="714"/>
      <c r="BP113" s="714"/>
      <c r="BQ113" s="714"/>
      <c r="BR113" s="714"/>
    </row>
    <row r="114" spans="1:70" ht="15" hidden="1" customHeight="1" x14ac:dyDescent="0.25">
      <c r="A114" s="683"/>
      <c r="B114" s="684"/>
      <c r="C114" s="691"/>
      <c r="D114" s="692"/>
      <c r="E114" s="693"/>
      <c r="F114" s="683"/>
      <c r="G114" s="684"/>
      <c r="H114" s="691"/>
      <c r="I114" s="692"/>
      <c r="J114" s="693"/>
      <c r="K114" s="721"/>
      <c r="L114" s="714"/>
      <c r="M114" s="714"/>
      <c r="N114" s="714"/>
      <c r="O114" s="714"/>
      <c r="P114" s="714"/>
      <c r="Q114" s="714"/>
      <c r="R114" s="714"/>
      <c r="S114" s="714"/>
      <c r="T114" s="714"/>
      <c r="U114" s="714"/>
      <c r="V114" s="714"/>
      <c r="W114" s="714"/>
      <c r="X114" s="714"/>
      <c r="Y114" s="714"/>
      <c r="Z114" s="714"/>
      <c r="AA114" s="714"/>
      <c r="AB114" s="714"/>
      <c r="AC114" s="714"/>
      <c r="AD114" s="714"/>
      <c r="AE114" s="714"/>
      <c r="AF114" s="714"/>
      <c r="AG114" s="714"/>
      <c r="AH114" s="714"/>
      <c r="AI114" s="714"/>
      <c r="AJ114" s="714"/>
      <c r="AK114" s="714"/>
      <c r="AL114" s="714"/>
      <c r="AM114" s="714"/>
      <c r="AN114" s="714"/>
      <c r="AO114" s="714"/>
      <c r="AP114" s="714"/>
      <c r="AQ114" s="714"/>
      <c r="AR114" s="714"/>
      <c r="AS114" s="714"/>
      <c r="AT114" s="714"/>
      <c r="AU114" s="714"/>
      <c r="AV114" s="714"/>
      <c r="AW114" s="714"/>
      <c r="AX114" s="714"/>
      <c r="AY114" s="714"/>
      <c r="AZ114" s="714"/>
      <c r="BA114" s="714"/>
      <c r="BB114" s="714"/>
      <c r="BC114" s="714"/>
      <c r="BD114" s="714"/>
      <c r="BE114" s="714"/>
      <c r="BF114" s="714"/>
      <c r="BG114" s="714"/>
      <c r="BH114" s="714"/>
      <c r="BI114" s="714"/>
      <c r="BJ114" s="714"/>
      <c r="BK114" s="714"/>
      <c r="BL114" s="714"/>
      <c r="BM114" s="714"/>
      <c r="BN114" s="714"/>
      <c r="BO114" s="714"/>
      <c r="BP114" s="714"/>
      <c r="BQ114" s="714"/>
      <c r="BR114" s="714"/>
    </row>
    <row r="115" spans="1:70" ht="111.75" hidden="1" customHeight="1" x14ac:dyDescent="0.25">
      <c r="A115" s="586" t="s">
        <v>500</v>
      </c>
      <c r="B115" s="694"/>
      <c r="C115" s="695"/>
      <c r="D115" s="695"/>
      <c r="E115" s="696"/>
      <c r="F115" s="586" t="s">
        <v>500</v>
      </c>
      <c r="G115" s="694"/>
      <c r="H115" s="695"/>
      <c r="I115" s="695"/>
      <c r="J115" s="696"/>
      <c r="K115" s="718"/>
      <c r="L115" s="717"/>
      <c r="M115" s="717"/>
      <c r="N115" s="717"/>
      <c r="O115" s="717"/>
      <c r="P115" s="716"/>
      <c r="Q115" s="717"/>
      <c r="R115" s="717"/>
      <c r="S115" s="717"/>
      <c r="T115" s="717"/>
      <c r="U115" s="716"/>
      <c r="V115" s="717"/>
      <c r="W115" s="717"/>
      <c r="X115" s="717"/>
      <c r="Y115" s="717"/>
      <c r="Z115" s="716"/>
      <c r="AA115" s="717"/>
      <c r="AB115" s="717"/>
      <c r="AC115" s="717"/>
      <c r="AD115" s="717"/>
      <c r="AE115" s="716"/>
      <c r="AF115" s="717"/>
      <c r="AG115" s="717"/>
      <c r="AH115" s="717"/>
      <c r="AI115" s="717"/>
      <c r="AJ115" s="716"/>
      <c r="AK115" s="717"/>
      <c r="AL115" s="717"/>
      <c r="AM115" s="717"/>
      <c r="AN115" s="717"/>
      <c r="AO115" s="716"/>
      <c r="AP115" s="717"/>
      <c r="AQ115" s="717"/>
      <c r="AR115" s="717"/>
      <c r="AS115" s="717"/>
      <c r="AT115" s="716"/>
      <c r="AU115" s="717"/>
      <c r="AV115" s="717"/>
      <c r="AW115" s="717"/>
      <c r="AX115" s="717"/>
      <c r="AY115" s="716"/>
      <c r="AZ115" s="717"/>
      <c r="BA115" s="717"/>
      <c r="BB115" s="717"/>
      <c r="BC115" s="717"/>
      <c r="BD115" s="716"/>
      <c r="BE115" s="717"/>
      <c r="BF115" s="717"/>
      <c r="BG115" s="717"/>
      <c r="BH115" s="717"/>
      <c r="BI115" s="716"/>
      <c r="BJ115" s="717"/>
      <c r="BK115" s="717"/>
      <c r="BL115" s="717"/>
      <c r="BM115" s="717"/>
      <c r="BN115" s="716"/>
      <c r="BO115" s="717"/>
      <c r="BP115" s="717"/>
      <c r="BQ115" s="717"/>
      <c r="BR115" s="717"/>
    </row>
    <row r="116" spans="1:70" ht="50.25" hidden="1" customHeight="1" thickBot="1" x14ac:dyDescent="0.3">
      <c r="A116" s="587"/>
      <c r="B116" s="334"/>
      <c r="C116" s="335" t="s">
        <v>113</v>
      </c>
      <c r="D116" s="336"/>
      <c r="E116" s="337" t="s">
        <v>114</v>
      </c>
      <c r="F116" s="587"/>
      <c r="G116" s="334"/>
      <c r="H116" s="335" t="s">
        <v>113</v>
      </c>
      <c r="I116" s="336"/>
      <c r="J116" s="337" t="s">
        <v>114</v>
      </c>
      <c r="K116" s="718"/>
      <c r="L116" s="32"/>
      <c r="M116" s="33"/>
      <c r="N116" s="34"/>
      <c r="O116" s="35"/>
      <c r="P116" s="716"/>
      <c r="Q116" s="32"/>
      <c r="R116" s="33"/>
      <c r="S116" s="34"/>
      <c r="T116" s="35"/>
      <c r="U116" s="716"/>
      <c r="V116" s="32"/>
      <c r="W116" s="33"/>
      <c r="X116" s="34"/>
      <c r="Y116" s="35"/>
      <c r="Z116" s="716"/>
      <c r="AA116" s="32"/>
      <c r="AB116" s="33"/>
      <c r="AC116" s="34"/>
      <c r="AD116" s="35"/>
      <c r="AE116" s="716"/>
      <c r="AF116" s="32"/>
      <c r="AG116" s="33"/>
      <c r="AH116" s="34"/>
      <c r="AI116" s="35"/>
      <c r="AJ116" s="716"/>
      <c r="AK116" s="32"/>
      <c r="AL116" s="33"/>
      <c r="AM116" s="34"/>
      <c r="AN116" s="35"/>
      <c r="AO116" s="716"/>
      <c r="AP116" s="32"/>
      <c r="AQ116" s="33"/>
      <c r="AR116" s="34"/>
      <c r="AS116" s="35"/>
      <c r="AT116" s="716"/>
      <c r="AU116" s="32"/>
      <c r="AV116" s="33"/>
      <c r="AW116" s="34"/>
      <c r="AX116" s="35"/>
      <c r="AY116" s="716"/>
      <c r="AZ116" s="32"/>
      <c r="BA116" s="33"/>
      <c r="BB116" s="34"/>
      <c r="BC116" s="35"/>
      <c r="BD116" s="716"/>
      <c r="BE116" s="32"/>
      <c r="BF116" s="33"/>
      <c r="BG116" s="34"/>
      <c r="BH116" s="35"/>
      <c r="BI116" s="716"/>
      <c r="BJ116" s="32"/>
      <c r="BK116" s="33"/>
      <c r="BL116" s="34"/>
      <c r="BM116" s="35"/>
      <c r="BN116" s="716"/>
      <c r="BO116" s="32"/>
      <c r="BP116" s="33"/>
      <c r="BQ116" s="34"/>
      <c r="BR116" s="35"/>
    </row>
    <row r="117" spans="1:70" ht="15" customHeight="1" x14ac:dyDescent="0.25"/>
    <row r="118" spans="1:70" ht="20.25" customHeight="1" x14ac:dyDescent="0.25"/>
    <row r="119" spans="1:70" ht="3.75" customHeight="1" x14ac:dyDescent="0.25"/>
    <row r="120" spans="1:70" ht="15" hidden="1" customHeight="1" x14ac:dyDescent="0.25"/>
    <row r="121" spans="1:70" ht="111.75" hidden="1" customHeight="1" x14ac:dyDescent="0.25"/>
    <row r="122" spans="1:70" ht="50.25" hidden="1" customHeight="1" x14ac:dyDescent="0.25"/>
    <row r="123" spans="1:70" ht="123" hidden="1" customHeight="1" x14ac:dyDescent="0.25">
      <c r="A123" s="37"/>
      <c r="B123" s="38"/>
      <c r="C123" s="39"/>
      <c r="D123" s="40"/>
      <c r="E123" s="41"/>
      <c r="F123" s="37"/>
      <c r="G123" s="38"/>
      <c r="H123" s="39"/>
      <c r="I123" s="40"/>
      <c r="J123" s="41"/>
      <c r="K123" s="37"/>
      <c r="L123" s="38"/>
      <c r="M123" s="39"/>
      <c r="N123" s="40"/>
      <c r="O123" s="41"/>
      <c r="P123" s="37"/>
      <c r="Q123" s="38"/>
      <c r="R123" s="39"/>
      <c r="S123" s="40"/>
      <c r="T123" s="41"/>
      <c r="U123" s="37"/>
      <c r="V123" s="38"/>
      <c r="W123" s="39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37"/>
      <c r="AK123" s="38"/>
      <c r="AL123" s="39"/>
      <c r="AM123" s="40"/>
      <c r="AN123" s="41"/>
      <c r="AO123" s="37"/>
      <c r="AP123" s="38"/>
      <c r="AQ123" s="39"/>
      <c r="AR123" s="40"/>
      <c r="AS123" s="41"/>
      <c r="AT123" s="37"/>
      <c r="AU123" s="38"/>
      <c r="AV123" s="39"/>
      <c r="AW123" s="40"/>
      <c r="AX123" s="41"/>
      <c r="AY123" s="37"/>
      <c r="AZ123" s="38"/>
      <c r="BA123" s="39"/>
      <c r="BB123" s="40"/>
      <c r="BC123" s="41"/>
      <c r="BD123" s="37"/>
      <c r="BE123" s="38"/>
      <c r="BF123" s="39"/>
      <c r="BG123" s="40"/>
      <c r="BH123" s="41"/>
      <c r="BI123" s="37"/>
      <c r="BJ123" s="38"/>
      <c r="BK123" s="39"/>
      <c r="BL123" s="40"/>
      <c r="BM123" s="41"/>
      <c r="BN123" s="37"/>
      <c r="BO123" s="38"/>
      <c r="BP123" s="39"/>
      <c r="BQ123" s="40"/>
      <c r="BR123" s="41"/>
    </row>
    <row r="124" spans="1:70" ht="33.75" x14ac:dyDescent="0.25">
      <c r="A124" s="674"/>
      <c r="B124" s="674"/>
      <c r="C124" s="674"/>
      <c r="D124" s="675"/>
      <c r="E124" s="675"/>
      <c r="F124" s="44"/>
      <c r="G124" s="702" cm="1">
        <f t="array" aca="1" ref="G124" ca="1">SUM(COUNTIF(INDIRECT({"B6","G6","L6","Q6","V6","AA6","AF6","AK6","AP6","AU6","AZ6","BE6","BJ6","BO6","B12","G12","L12","Q12","V12","AA12","AF12","AK12","AP12","AU12","AZ12","BE12","BJ12","BO12","B18","G18","L18","Q18","V18","AA18","AF18","AK18","AP18","AU18","AZ18","BE18","BJ18","BO18","B24","G24","L24","Q24","V24","AA24","AF24","AK24","AP24","AU24","AZ24","BE24","BJ24","BO24","B30","G30","L30","Q30","V30","AA30","AF30","AK30","AP30","AU30","AZ30","BE30","BJ30","BO30","B36","G36","L36","Q36","V36","AA36","AF36","AK36","AP36","AU36","AZ36","BE36","BJ36","BO36","B42","G42","L42","Q42","V42","AA42","AF42","AK42","AP42","AU42","AZ42","BE42","BJ42","BO42","B48","G48","L48","Q48","V48","AA48","AF48","AK48","AP48","AU48","AZ48","BE48","BJ48","BO48","B67","G67","L67","Q67","V67","AA67","AF67","AK67","AP67","AU67","AZ67","BE67","BJ67","BO67","B73","G73","L73","Q73","V73","AA73","AF73","AK73","AP73","AU73","AZ73","BE73","BJ73","BO73","B79","G79","L79","Q79","V79","AA79","AF79","AK79","AP79","AU79","AZ79","BE79","BJ79","BO79","B85","G85","L85","Q85","V85","AA85","AF85","AK85","AP85","AU85","AZ85","BE85","BJ85","BO85","B91","G91","L91","Q91","V91","AA91","AF91","AK91","AP91","AU91","AZ91","BE91","BJ91","BO91","B97","G97","L97","Q97","V97","AA97","AF97","AK97","AP97","AU97","AZ97","BE97","BJ97","BO97","B103","G103","L103","Q103","V103","AA103"}),"&gt;0"))</f>
        <v>108</v>
      </c>
      <c r="H124" s="702"/>
      <c r="I124" s="702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724" t="s">
        <v>515</v>
      </c>
      <c r="Y124" s="724"/>
      <c r="Z124" s="724"/>
      <c r="AA124" s="724"/>
      <c r="AB124" s="724"/>
      <c r="AC124" s="724"/>
      <c r="AD124" s="724"/>
      <c r="AE124" s="724"/>
      <c r="AF124" s="724"/>
      <c r="AG124" s="724"/>
      <c r="AH124" s="724"/>
      <c r="AI124" s="724"/>
      <c r="AJ124" s="724" t="s">
        <v>117</v>
      </c>
      <c r="AK124" s="724"/>
      <c r="AL124" s="724"/>
      <c r="AM124" s="724"/>
      <c r="AN124" s="724"/>
      <c r="AO124" s="724"/>
      <c r="AP124" s="724"/>
      <c r="AQ124" s="724"/>
      <c r="AR124" s="724"/>
      <c r="AS124" s="724"/>
      <c r="AT124" s="46"/>
      <c r="AU124" s="725" t="s">
        <v>118</v>
      </c>
      <c r="AV124" s="725"/>
      <c r="AW124" s="725"/>
      <c r="AX124" s="725"/>
      <c r="AY124" s="725"/>
      <c r="AZ124" s="725"/>
      <c r="BA124" s="725"/>
      <c r="BB124" s="725"/>
      <c r="BC124" s="725"/>
      <c r="BD124" s="725"/>
      <c r="BE124" s="725"/>
      <c r="BF124" s="725"/>
      <c r="BG124" s="724" t="s">
        <v>119</v>
      </c>
      <c r="BH124" s="724"/>
      <c r="BI124" s="724"/>
      <c r="BJ124" s="724"/>
      <c r="BK124" s="724"/>
      <c r="BL124" s="700">
        <f>D7+I7+N7+S7+X7+AH7+AM7+AR7+AW7+BB7+BG7+BL7+BQ7+D13+I13+N13+S13+X13+AC13+AH13+AM13+AR13+AW13+BB13+BG13+BL13+BQ13+D19+I19+N19+S19+X19+AC19+AH19+AM19+AR19+AW19+BB19+BG19+BL19+BQ19+D25+I25+N25+S25+X25+AC25+AH25+AM25+AR25+AW25+BB25+BG25+BL25+D31+I31+BQ25+N31+S31+X31+AC31+AH31+AM31+AR31+AW31+BB31+BG31+BL31+BQ31+BQ37+BL37+BG37+BB37+AW37+AR37+AM37+AH37+AC37+X37+S37+N37+I37+D37+D43+I43+N43+S43+X43+AC43+AH43+AM43+AR43+AW43+BB43+BG43+BL43+BQ43+BQ49+BL49+BG49+BB49+AW49+AR49+AM49+AH49+AC49+X49+S49+N49+I49+D49+D68+I68+N68+S68+X68+AC68+AH68+AM68+AR68+AW68+BB68+BG68+BL68+BQ68+BQ74+BL74+BG74+BB74+AW74+AR74+AM74+AH74+AC74+X74+S74+N74+I74+D74+D80+I80+N80+S80+X80+AC80+AH80+AM80+AR80+AW80+BB80+BG80+BL80+BQ80+BQ86+BL86+BG86+BB86+AW86+AR98+AW98+BB98+BG98+BL98+BQ98+D104+I104++AR86+AM86+AH86+AC86+X86+S86+N86+I86+D86+D92+I92+N92+S92+X92+AC92+AH92+AM92+AR92+AW92+BB92+BG92+BL92+BQ92+AM98+AH98+AC98+X98+S98+N98+I98+D98+N104+S104+X104+AC104+AC7</f>
        <v>183</v>
      </c>
      <c r="BM124" s="700"/>
      <c r="BN124" s="700"/>
      <c r="BO124" s="700"/>
      <c r="BP124" s="701" t="s">
        <v>120</v>
      </c>
      <c r="BQ124" s="701"/>
      <c r="BR124" s="701"/>
    </row>
    <row r="125" spans="1:70" ht="25.5" customHeight="1" x14ac:dyDescent="0.25">
      <c r="A125" s="676"/>
      <c r="B125" s="676"/>
      <c r="C125" s="676"/>
      <c r="D125" s="29"/>
      <c r="E125" s="29"/>
      <c r="F125" s="47"/>
      <c r="G125" s="702"/>
      <c r="H125" s="702"/>
      <c r="I125" s="702"/>
      <c r="J125" s="48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724"/>
      <c r="Y125" s="724"/>
      <c r="Z125" s="724"/>
      <c r="AA125" s="724"/>
      <c r="AB125" s="724"/>
      <c r="AC125" s="724"/>
      <c r="AD125" s="724"/>
      <c r="AE125" s="724"/>
      <c r="AF125" s="724"/>
      <c r="AG125" s="724"/>
      <c r="AH125" s="724"/>
      <c r="AI125" s="724"/>
      <c r="AJ125" s="724"/>
      <c r="AK125" s="724"/>
      <c r="AL125" s="724"/>
      <c r="AM125" s="724"/>
      <c r="AN125" s="724"/>
      <c r="AO125" s="724"/>
      <c r="AP125" s="724"/>
      <c r="AQ125" s="724"/>
      <c r="AR125" s="724"/>
      <c r="AS125" s="724"/>
      <c r="AT125" s="46"/>
      <c r="AU125" s="725"/>
      <c r="AV125" s="725"/>
      <c r="AW125" s="725"/>
      <c r="AX125" s="725"/>
      <c r="AY125" s="725"/>
      <c r="AZ125" s="725"/>
      <c r="BA125" s="725"/>
      <c r="BB125" s="725"/>
      <c r="BC125" s="725"/>
      <c r="BD125" s="725"/>
      <c r="BE125" s="725"/>
      <c r="BF125" s="725"/>
      <c r="BG125" s="724"/>
      <c r="BH125" s="724"/>
      <c r="BI125" s="724"/>
      <c r="BJ125" s="724"/>
      <c r="BK125" s="724"/>
      <c r="BL125" s="700"/>
      <c r="BM125" s="700"/>
      <c r="BN125" s="700"/>
      <c r="BO125" s="700"/>
      <c r="BP125" s="701"/>
      <c r="BQ125" s="701"/>
      <c r="BR125" s="701"/>
    </row>
    <row r="126" spans="1:70" ht="24" customHeight="1" x14ac:dyDescent="0.25">
      <c r="A126" s="676"/>
      <c r="B126" s="676"/>
      <c r="C126" s="676"/>
      <c r="D126" s="29"/>
      <c r="E126" s="29"/>
      <c r="F126" s="47"/>
      <c r="G126" s="702"/>
      <c r="H126" s="702"/>
      <c r="I126" s="702"/>
      <c r="J126" s="48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724"/>
      <c r="Y126" s="724"/>
      <c r="Z126" s="724"/>
      <c r="AA126" s="724"/>
      <c r="AB126" s="724"/>
      <c r="AC126" s="724"/>
      <c r="AD126" s="724"/>
      <c r="AE126" s="724"/>
      <c r="AF126" s="724"/>
      <c r="AG126" s="724"/>
      <c r="AH126" s="724"/>
      <c r="AI126" s="724"/>
      <c r="AJ126" s="724"/>
      <c r="AK126" s="724"/>
      <c r="AL126" s="724"/>
      <c r="AM126" s="724"/>
      <c r="AN126" s="724"/>
      <c r="AO126" s="724"/>
      <c r="AP126" s="724"/>
      <c r="AQ126" s="724"/>
      <c r="AR126" s="724"/>
      <c r="AS126" s="724"/>
      <c r="AT126" s="46"/>
      <c r="AU126" s="725"/>
      <c r="AV126" s="725"/>
      <c r="AW126" s="725"/>
      <c r="AX126" s="725"/>
      <c r="AY126" s="725"/>
      <c r="AZ126" s="725"/>
      <c r="BA126" s="725"/>
      <c r="BB126" s="725"/>
      <c r="BC126" s="725"/>
      <c r="BD126" s="725"/>
      <c r="BE126" s="725"/>
      <c r="BF126" s="725"/>
      <c r="BG126" s="724"/>
      <c r="BH126" s="724"/>
      <c r="BI126" s="724"/>
      <c r="BJ126" s="724"/>
      <c r="BK126" s="724"/>
      <c r="BL126" s="700"/>
      <c r="BM126" s="700"/>
      <c r="BN126" s="700"/>
      <c r="BO126" s="700"/>
      <c r="BP126" s="701"/>
      <c r="BQ126" s="701"/>
      <c r="BR126" s="701"/>
    </row>
    <row r="127" spans="1:70" ht="21.75" customHeight="1" x14ac:dyDescent="0.25">
      <c r="A127" s="676"/>
      <c r="B127" s="676"/>
      <c r="C127" s="676"/>
      <c r="D127" s="675"/>
      <c r="E127" s="675"/>
      <c r="F127" s="47"/>
      <c r="G127" s="703" cm="1">
        <f t="array" aca="1" ref="G127" ca="1">SUM(COUNTIF(INDIRECT({"B7","G7","L7","Q7","V7","AA7","AF7","AK7","AP7","AU7","AZ7","BE7","BJ7","BO7","B13","G13","L13","Q13","V13","AA13","AF13","AK13","AP13","AU13","AZ13","BE13","BJ13","BO13","B19","G19","L19","Q19","V19","AA19","AF19","AK19","AP19","AU19","AZ19","BE19","BJ19","BO19","B25","G25","L25","Q25","V25","AA25","AF25","AK25","AP25","AU25","AZ25","BE25","BJ25","BO25","B31","G31","L31","Q31","V31","AA31","AF31","AK31","AP31","AU31","AZ31","BE31","BJ31","BO31","B37","G37","L37","Q37","V37","AA37","AF37","AK37","AP37","AU37","AZ37","BE37","BJ37","BO37","B43","G43","L43","Q43","V43","AA43","AF43","AK43","AP43","AU43","AZ43","BE43","BJ43","BO43","B49","G49","L49","Q49","V49","AA49","AF49","AK49","AP49","AU49","AZ49","BE49","BJ49","BO49","B68","G68","L68","Q68","V68","AA68","AF68","AK68","AP68","AU68","AZ68","BE68","BJ68","BO68","B74","G74","L74","Q74","V74","AA74","AF74","AK74","AP74","AU74","AZ74","BE74","BJ74","BO74","B80","G80","L80","Q80","V80","AA80","AF80","AK80","AP80","AU80","AZ80","BE80","BJ80","BO80","B86","G86","L86","Q86","V86","AA86","AF86","AK86","AP86","AU86","AZ86","BE86","BJ86","BO86","B92","G92","L92","Q92","V92","AA92","AF92","AK92","AP92","AU92","AZ92","BE92","BJ92","BO92","B98","G98","L98","Q98","V98","AA98","AF98","AK98","AP98","AU98","AZ98","BE98","BJ98","BO98","B104","G104","L104","Q104","V104","AA104"}),"&gt;0"))</f>
        <v>108</v>
      </c>
      <c r="H127" s="703"/>
      <c r="I127" s="703"/>
      <c r="J127" s="48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724"/>
      <c r="Y127" s="724"/>
      <c r="Z127" s="724"/>
      <c r="AA127" s="724"/>
      <c r="AB127" s="724"/>
      <c r="AC127" s="724"/>
      <c r="AD127" s="724"/>
      <c r="AE127" s="724"/>
      <c r="AF127" s="724"/>
      <c r="AG127" s="724"/>
      <c r="AH127" s="724"/>
      <c r="AI127" s="724"/>
      <c r="AJ127" s="724"/>
      <c r="AK127" s="724"/>
      <c r="AL127" s="724"/>
      <c r="AM127" s="724"/>
      <c r="AN127" s="724"/>
      <c r="AO127" s="724"/>
      <c r="AP127" s="724"/>
      <c r="AQ127" s="724"/>
      <c r="AR127" s="724"/>
      <c r="AS127" s="724"/>
      <c r="AT127" s="46"/>
      <c r="AU127" s="725"/>
      <c r="AV127" s="725"/>
      <c r="AW127" s="725"/>
      <c r="AX127" s="725"/>
      <c r="AY127" s="725"/>
      <c r="AZ127" s="725"/>
      <c r="BA127" s="725"/>
      <c r="BB127" s="725"/>
      <c r="BC127" s="725"/>
      <c r="BD127" s="725"/>
      <c r="BE127" s="725"/>
      <c r="BF127" s="725"/>
      <c r="BG127" s="724"/>
      <c r="BH127" s="724"/>
      <c r="BI127" s="724"/>
      <c r="BJ127" s="724"/>
      <c r="BK127" s="724"/>
      <c r="BL127" s="700"/>
      <c r="BM127" s="700"/>
      <c r="BN127" s="700"/>
      <c r="BO127" s="700"/>
      <c r="BP127" s="701"/>
      <c r="BQ127" s="701"/>
      <c r="BR127" s="701"/>
    </row>
    <row r="128" spans="1:70" ht="21.75" customHeight="1" x14ac:dyDescent="0.25">
      <c r="B128" s="17"/>
      <c r="G128" s="703"/>
      <c r="H128" s="703"/>
      <c r="I128" s="703"/>
      <c r="J128" s="48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1644"/>
      <c r="Y128" s="1644"/>
      <c r="Z128" s="1644"/>
      <c r="AA128" s="1644"/>
      <c r="AB128" s="1644"/>
      <c r="AC128" s="1644"/>
      <c r="AD128" s="1644"/>
      <c r="AE128" s="1644"/>
      <c r="AF128" s="1644"/>
      <c r="AG128" s="1644"/>
      <c r="AH128" s="1644"/>
      <c r="AI128" s="1644"/>
      <c r="AJ128" s="1645">
        <f>AU128-Z140</f>
        <v>0</v>
      </c>
      <c r="AK128" s="1645"/>
      <c r="AL128" s="1645"/>
      <c r="AM128" s="1645"/>
      <c r="AN128" s="1645"/>
      <c r="AO128" s="1645"/>
      <c r="AP128" s="1645"/>
      <c r="AQ128" s="1645"/>
      <c r="AR128" s="1645"/>
      <c r="AS128" s="1645"/>
      <c r="AT128" s="1645"/>
      <c r="AU128" s="1465">
        <f>B7+G7+L7+Q7+V7+AA7+AF7+AK7+AP7+AU7+AZ7+BE7+BJ7+BO7+BO13+BJ13+BE13+AZ13+AU13+AP13+AK13+AF13+AA13+V13+Q13+L13+G13+B13+B19+G19+L19+Q19+V19+AA19+AF19+AK19+AP19+AU19+AZ19+BE19+BJ19+BO19+BO25+BJ25+BE25+AZ25+AU25+AP25+AK25+AF25+AA25+V25+Q25+L25+G25+B31+B25+G31+L31+Q31+V31+AA31+AF31+AK31+AP31+AU31+AZ31+BE31+BJ31+BO31+BO37+BJ37+BE37+AZ37+AU37+AP37+AK37+AF37+AA37+V37+Q37+L37+G37+B37+B43+G43+L43+Q43+V43+AA43+AF43+AK43+AP43+AU43+AZ43+BE43+BJ43+BO43+BO49+BJ49+BE49+AZ49+AU49+AP49+AK49+AF49+AA49+V49+Q49+L49+G49+B49+B68+G68+L68+Q68+V68+AA68+AF68+AK68+AP68+AU68+AZ68+BE68+BJ68+BO68+BO74+BJ74+BE74+AZ74+AU74+AP74+AK74+AF74+AA74+V74+Q74+L74+G74+B74+B80+G80+L80+Q80+V80+AA80+AF80+AK80+AP80+AU80+AZ80+BE80+BJ80+BO80+BO86+BJ86+BE86+AZ86+AU86+AP86+AK86+AF86+AA86+V86+Q86+L86+G86+B86+B92+G92+L92+Q92+V92+AA92+AF92+AK92+AP92+AU92+AZ92+BE92+BJ92+BO92+B98+G98+L98+Q98+V98+AA98+AF98+AK98+AP98+AU98+AZ98+BE98+BJ98+BO98+B104+G104+L104+Q104+V104+AA104</f>
        <v>477.38439999999991</v>
      </c>
      <c r="AV128" s="1465"/>
      <c r="AW128" s="1465"/>
      <c r="AX128" s="1465"/>
      <c r="AY128" s="1465"/>
      <c r="AZ128" s="1465"/>
      <c r="BA128" s="1465"/>
      <c r="BB128" s="1465"/>
      <c r="BC128" s="1465"/>
      <c r="BD128" s="1465"/>
      <c r="BE128" s="1465"/>
      <c r="BF128" s="1465"/>
      <c r="BG128" s="724"/>
      <c r="BH128" s="724"/>
      <c r="BI128" s="724"/>
      <c r="BJ128" s="724"/>
      <c r="BK128" s="724"/>
      <c r="BL128" s="708">
        <f>BL124*1.5</f>
        <v>274.5</v>
      </c>
      <c r="BM128" s="708"/>
      <c r="BN128" s="708"/>
      <c r="BO128" s="708"/>
      <c r="BP128" s="708"/>
      <c r="BQ128" s="708"/>
      <c r="BR128" s="708"/>
    </row>
    <row r="129" spans="7:70" ht="21.75" customHeight="1" x14ac:dyDescent="0.25">
      <c r="G129" s="703"/>
      <c r="H129" s="703"/>
      <c r="I129" s="703"/>
      <c r="J129" s="52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1644"/>
      <c r="Y129" s="1644"/>
      <c r="Z129" s="1644"/>
      <c r="AA129" s="1644"/>
      <c r="AB129" s="1644"/>
      <c r="AC129" s="1644"/>
      <c r="AD129" s="1644"/>
      <c r="AE129" s="1644"/>
      <c r="AF129" s="1644"/>
      <c r="AG129" s="1644"/>
      <c r="AH129" s="1644"/>
      <c r="AI129" s="1644"/>
      <c r="AJ129" s="1645"/>
      <c r="AK129" s="1645"/>
      <c r="AL129" s="1645"/>
      <c r="AM129" s="1645"/>
      <c r="AN129" s="1645"/>
      <c r="AO129" s="1645"/>
      <c r="AP129" s="1645"/>
      <c r="AQ129" s="1645"/>
      <c r="AR129" s="1645"/>
      <c r="AS129" s="1645"/>
      <c r="AT129" s="1645"/>
      <c r="AU129" s="1465"/>
      <c r="AV129" s="1465"/>
      <c r="AW129" s="1465"/>
      <c r="AX129" s="1465"/>
      <c r="AY129" s="1465"/>
      <c r="AZ129" s="1465"/>
      <c r="BA129" s="1465"/>
      <c r="BB129" s="1465"/>
      <c r="BC129" s="1465"/>
      <c r="BD129" s="1465"/>
      <c r="BE129" s="1465"/>
      <c r="BF129" s="1465"/>
      <c r="BG129" s="724"/>
      <c r="BH129" s="724"/>
      <c r="BI129" s="724"/>
      <c r="BJ129" s="724"/>
      <c r="BK129" s="724"/>
      <c r="BL129" s="708"/>
      <c r="BM129" s="708"/>
      <c r="BN129" s="708"/>
      <c r="BO129" s="708"/>
      <c r="BP129" s="708"/>
      <c r="BQ129" s="708"/>
      <c r="BR129" s="708"/>
    </row>
    <row r="130" spans="7:70" ht="25.5" customHeight="1" x14ac:dyDescent="0.25">
      <c r="G130" s="702">
        <v>107</v>
      </c>
      <c r="H130" s="702"/>
      <c r="I130" s="702"/>
      <c r="J130" s="52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1644"/>
      <c r="Y130" s="1644"/>
      <c r="Z130" s="1644"/>
      <c r="AA130" s="1644"/>
      <c r="AB130" s="1644"/>
      <c r="AC130" s="1644"/>
      <c r="AD130" s="1644"/>
      <c r="AE130" s="1644"/>
      <c r="AF130" s="1644"/>
      <c r="AG130" s="1644"/>
      <c r="AH130" s="1644"/>
      <c r="AI130" s="1644"/>
      <c r="AJ130" s="1645"/>
      <c r="AK130" s="1645"/>
      <c r="AL130" s="1645"/>
      <c r="AM130" s="1645"/>
      <c r="AN130" s="1645"/>
      <c r="AO130" s="1645"/>
      <c r="AP130" s="1645"/>
      <c r="AQ130" s="1645"/>
      <c r="AR130" s="1645"/>
      <c r="AS130" s="1645"/>
      <c r="AT130" s="1645"/>
      <c r="AU130" s="1465"/>
      <c r="AV130" s="1465"/>
      <c r="AW130" s="1465"/>
      <c r="AX130" s="1465"/>
      <c r="AY130" s="1465"/>
      <c r="AZ130" s="1465"/>
      <c r="BA130" s="1465"/>
      <c r="BB130" s="1465"/>
      <c r="BC130" s="1465"/>
      <c r="BD130" s="1465"/>
      <c r="BE130" s="1465"/>
      <c r="BF130" s="1465"/>
      <c r="BG130" s="724"/>
      <c r="BH130" s="724"/>
      <c r="BI130" s="724"/>
      <c r="BJ130" s="724"/>
      <c r="BK130" s="724"/>
      <c r="BL130" s="708"/>
      <c r="BM130" s="708"/>
      <c r="BN130" s="708"/>
      <c r="BO130" s="708"/>
      <c r="BP130" s="708"/>
      <c r="BQ130" s="708"/>
      <c r="BR130" s="708"/>
    </row>
    <row r="131" spans="7:70" ht="26.25" customHeight="1" x14ac:dyDescent="0.25">
      <c r="G131" s="702"/>
      <c r="H131" s="702"/>
      <c r="I131" s="702"/>
      <c r="J131" s="52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1644"/>
      <c r="Y131" s="1644"/>
      <c r="Z131" s="1644"/>
      <c r="AA131" s="1644"/>
      <c r="AB131" s="1644"/>
      <c r="AC131" s="1644"/>
      <c r="AD131" s="1644"/>
      <c r="AE131" s="1644"/>
      <c r="AF131" s="1644"/>
      <c r="AG131" s="1644"/>
      <c r="AH131" s="1644"/>
      <c r="AI131" s="1644"/>
      <c r="AJ131" s="1645"/>
      <c r="AK131" s="1645"/>
      <c r="AL131" s="1645"/>
      <c r="AM131" s="1645"/>
      <c r="AN131" s="1645"/>
      <c r="AO131" s="1645"/>
      <c r="AP131" s="1645"/>
      <c r="AQ131" s="1645"/>
      <c r="AR131" s="1645"/>
      <c r="AS131" s="1645"/>
      <c r="AT131" s="1645"/>
      <c r="AU131" s="1465"/>
      <c r="AV131" s="1465"/>
      <c r="AW131" s="1465"/>
      <c r="AX131" s="1465"/>
      <c r="AY131" s="1465"/>
      <c r="AZ131" s="1465"/>
      <c r="BA131" s="1465"/>
      <c r="BB131" s="1465"/>
      <c r="BC131" s="1465"/>
      <c r="BD131" s="1465"/>
      <c r="BE131" s="1465"/>
      <c r="BF131" s="1465"/>
      <c r="BG131" s="724"/>
      <c r="BH131" s="724"/>
      <c r="BI131" s="724"/>
      <c r="BJ131" s="724"/>
      <c r="BK131" s="724"/>
      <c r="BL131" s="708"/>
      <c r="BM131" s="708"/>
      <c r="BN131" s="708"/>
      <c r="BO131" s="708"/>
      <c r="BP131" s="708"/>
      <c r="BQ131" s="708"/>
      <c r="BR131" s="708"/>
    </row>
    <row r="132" spans="7:70" ht="52.5" customHeight="1" x14ac:dyDescent="0.25">
      <c r="G132" s="678">
        <v>105</v>
      </c>
      <c r="H132" s="678"/>
      <c r="I132" s="678"/>
      <c r="J132" s="52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1644"/>
      <c r="Y132" s="1644"/>
      <c r="Z132" s="1644"/>
      <c r="AA132" s="1644"/>
      <c r="AB132" s="1644"/>
      <c r="AC132" s="1644"/>
      <c r="AD132" s="1644"/>
      <c r="AE132" s="1644"/>
      <c r="AF132" s="1644"/>
      <c r="AG132" s="1644"/>
      <c r="AH132" s="1644"/>
      <c r="AI132" s="1644"/>
      <c r="AJ132" s="1645"/>
      <c r="AK132" s="1645"/>
      <c r="AL132" s="1645"/>
      <c r="AM132" s="1645"/>
      <c r="AN132" s="1645"/>
      <c r="AO132" s="1645"/>
      <c r="AP132" s="1645"/>
      <c r="AQ132" s="1645"/>
      <c r="AR132" s="1645"/>
      <c r="AS132" s="1645"/>
      <c r="AT132" s="1645"/>
      <c r="AU132" s="1465"/>
      <c r="AV132" s="1465"/>
      <c r="AW132" s="1465"/>
      <c r="AX132" s="1465"/>
      <c r="AY132" s="1465"/>
      <c r="AZ132" s="1465"/>
      <c r="BA132" s="1465"/>
      <c r="BB132" s="1465"/>
      <c r="BC132" s="1465"/>
      <c r="BD132" s="1465"/>
      <c r="BE132" s="1465"/>
      <c r="BF132" s="1465"/>
      <c r="BG132" s="724"/>
      <c r="BH132" s="724"/>
      <c r="BI132" s="724"/>
      <c r="BJ132" s="724"/>
      <c r="BK132" s="724"/>
      <c r="BL132" s="699" t="s">
        <v>121</v>
      </c>
      <c r="BM132" s="699"/>
      <c r="BN132" s="699"/>
      <c r="BO132" s="699"/>
      <c r="BP132" s="699"/>
      <c r="BQ132" s="699"/>
      <c r="BR132" s="699"/>
    </row>
    <row r="133" spans="7:70" ht="98.25" customHeight="1" x14ac:dyDescent="0.25">
      <c r="G133" s="678">
        <v>105</v>
      </c>
      <c r="H133" s="678"/>
      <c r="I133" s="678"/>
      <c r="J133" s="52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1644"/>
      <c r="Y133" s="1644"/>
      <c r="Z133" s="1644"/>
      <c r="AA133" s="1644"/>
      <c r="AB133" s="1644"/>
      <c r="AC133" s="1644"/>
      <c r="AD133" s="1644"/>
      <c r="AE133" s="1644"/>
      <c r="AF133" s="1644"/>
      <c r="AG133" s="1644"/>
      <c r="AH133" s="1644"/>
      <c r="AI133" s="1644"/>
      <c r="AJ133" s="1645"/>
      <c r="AK133" s="1645"/>
      <c r="AL133" s="1645"/>
      <c r="AM133" s="1645"/>
      <c r="AN133" s="1645"/>
      <c r="AO133" s="1645"/>
      <c r="AP133" s="1645"/>
      <c r="AQ133" s="1645"/>
      <c r="AR133" s="1645"/>
      <c r="AS133" s="1645"/>
      <c r="AT133" s="1645"/>
      <c r="AU133" s="1465"/>
      <c r="AV133" s="1465"/>
      <c r="AW133" s="1465"/>
      <c r="AX133" s="1465"/>
      <c r="AY133" s="1465"/>
      <c r="AZ133" s="1465"/>
      <c r="BA133" s="1465"/>
      <c r="BB133" s="1465"/>
      <c r="BC133" s="1465"/>
      <c r="BD133" s="1465"/>
      <c r="BE133" s="1465"/>
      <c r="BF133" s="1465"/>
      <c r="BG133" s="724"/>
      <c r="BH133" s="724"/>
      <c r="BI133" s="724"/>
      <c r="BJ133" s="724"/>
      <c r="BK133" s="724"/>
      <c r="BL133" s="699"/>
      <c r="BM133" s="699"/>
      <c r="BN133" s="699"/>
      <c r="BO133" s="699"/>
      <c r="BP133" s="699"/>
      <c r="BQ133" s="699"/>
      <c r="BR133" s="699"/>
    </row>
    <row r="138" spans="7:70" x14ac:dyDescent="0.25">
      <c r="AJ138" s="1255">
        <v>129.66999999999999</v>
      </c>
      <c r="AK138" s="1255"/>
      <c r="AL138" s="1255"/>
      <c r="AM138" s="746" cm="1">
        <f t="array" aca="1" ref="AM138" ca="1">SUM(COUNTIF(INDIRECT({"B7","G7","L7","Q7","V7","AA7","AF7","AK7","AP7","AU7","AZ7","BE7","BJ7","BO7","B13","G13","L13","Q13","V13","AA13","AF13","AK13","AP13","AU13","AZ13","BE13","BJ13","BO13","B19","G19","L19","Q19","V19","AA19","AF19","AK19","AP19","AU19","AZ19","BE19","BJ19","BO19","B25","G25","L25","Q25","V25","AA25","AF25","AK25","AP25","AU25","AZ25","BE25","BJ25","BO25","B31","G31","L31","Q31","V31","AA31","AF31","AK31","AP31","AU31","AZ31","BE31","BJ31","BO31","B37","G37","L37","Q37","V37","AA37","AF37","AK37","AP37","AU37","AZ37","BE37","BJ37","BO37","B43","G43","L43","Q43","V43","AA43","AF43","AK43","AP43","AU43","AZ43","BE43","BJ43","BO43","B49","G49","L49","Q49","V49","AA49","AF49","AK49","AP49","AU49","AZ49","BE49","BJ49","BO49","B68","G68","L68","Q68","V68","AA68","AF68","AK68","AP68","AU68","AZ68","BE68","BJ68","BO68","B74","G74","L74","Q74","V74","AA74","AF74","AK74","AP74","AU74","AZ74","BE74","BJ74","BO74","B80","G80","L80","Q80","V80","AA80","AF80","AK80","AP80","AU80","AZ80","BE80","BJ80","BO80","B86","G86","L86","Q86","V86","AA86","AF86","AK86","AP86","AU86","AZ86","BE86","BJ86","BO86","B92","G92","L92","Q92","V92","AA92","AF92","AK92","AP92","AU92","AZ92","BE92","BJ92","BO92","B98","G98","L98","Q98","V98","AA98","AF98","AK98","AP98","AU98","AZ98","BE98","BJ98","BO98","B104","G104","L104","Q104","V104","AA104"}),"&gt;0"))</f>
        <v>108</v>
      </c>
      <c r="AN138" s="746"/>
      <c r="AO138" s="746"/>
      <c r="AP138" s="747">
        <f ca="1">AM138*AJ138</f>
        <v>14004.359999999999</v>
      </c>
      <c r="AQ138" s="748"/>
      <c r="AR138" s="748"/>
      <c r="AS138" s="749"/>
    </row>
    <row r="139" spans="7:70" ht="15.75" thickBot="1" x14ac:dyDescent="0.3">
      <c r="AJ139" s="1255"/>
      <c r="AK139" s="1255"/>
      <c r="AL139" s="1255"/>
      <c r="AM139" s="746"/>
      <c r="AN139" s="746"/>
      <c r="AO139" s="746"/>
      <c r="AP139" s="747"/>
      <c r="AQ139" s="748"/>
      <c r="AR139" s="748"/>
      <c r="AS139" s="749"/>
    </row>
    <row r="140" spans="7:70" ht="15.75" thickTop="1" x14ac:dyDescent="0.25">
      <c r="Z140" s="775">
        <v>477.38439999999991</v>
      </c>
      <c r="AA140" s="776"/>
      <c r="AB140" s="776"/>
      <c r="AC140" s="776"/>
      <c r="AD140" s="777"/>
      <c r="AH140" s="348"/>
      <c r="AI140" s="348"/>
      <c r="AJ140" s="1255"/>
      <c r="AK140" s="1255"/>
      <c r="AL140" s="1255"/>
      <c r="AM140" s="746"/>
      <c r="AN140" s="746"/>
      <c r="AO140" s="746"/>
      <c r="AP140" s="747"/>
      <c r="AQ140" s="748"/>
      <c r="AR140" s="748"/>
      <c r="AS140" s="749"/>
      <c r="AU140" s="739"/>
      <c r="AV140" s="740"/>
      <c r="AW140" s="740"/>
      <c r="AX140" s="740"/>
      <c r="AY140" s="740"/>
      <c r="AZ140" s="740"/>
      <c r="BA140" s="740"/>
      <c r="BB140" s="740"/>
      <c r="BC140" s="740"/>
      <c r="BD140" s="741"/>
      <c r="BE140" s="13"/>
    </row>
    <row r="141" spans="7:70" x14ac:dyDescent="0.25">
      <c r="Z141" s="778"/>
      <c r="AA141" s="779"/>
      <c r="AB141" s="779"/>
      <c r="AC141" s="779"/>
      <c r="AD141" s="780"/>
      <c r="AH141" s="348"/>
      <c r="AI141" s="348"/>
      <c r="AJ141" s="1255"/>
      <c r="AK141" s="1255"/>
      <c r="AL141" s="1255"/>
      <c r="AM141" s="746"/>
      <c r="AN141" s="746"/>
      <c r="AO141" s="746"/>
      <c r="AP141" s="747"/>
      <c r="AQ141" s="748"/>
      <c r="AR141" s="748"/>
      <c r="AS141" s="749"/>
      <c r="AU141" s="750"/>
      <c r="AV141" s="751"/>
      <c r="AW141" s="751"/>
      <c r="AX141" s="751"/>
      <c r="AY141" s="751"/>
      <c r="AZ141" s="751"/>
      <c r="BA141" s="751"/>
      <c r="BB141" s="751"/>
      <c r="BC141" s="751"/>
      <c r="BD141" s="752"/>
      <c r="BE141" s="13"/>
    </row>
    <row r="142" spans="7:70" x14ac:dyDescent="0.25">
      <c r="Z142" s="778"/>
      <c r="AA142" s="779"/>
      <c r="AB142" s="779"/>
      <c r="AC142" s="779"/>
      <c r="AD142" s="780"/>
      <c r="AH142" s="348"/>
      <c r="AI142" s="348"/>
      <c r="AJ142" s="1255"/>
      <c r="AK142" s="1255"/>
      <c r="AL142" s="1255"/>
      <c r="AM142" s="746"/>
      <c r="AN142" s="746"/>
      <c r="AO142" s="746"/>
      <c r="AP142" s="747"/>
      <c r="AQ142" s="748"/>
      <c r="AR142" s="748"/>
      <c r="AS142" s="749"/>
      <c r="AU142" s="742"/>
      <c r="AV142" s="743"/>
      <c r="AW142" s="743"/>
      <c r="AX142" s="743"/>
      <c r="AY142" s="743"/>
      <c r="AZ142" s="743"/>
      <c r="BA142" s="743"/>
      <c r="BB142" s="743"/>
      <c r="BC142" s="743"/>
      <c r="BD142" s="744"/>
      <c r="BE142" s="13"/>
    </row>
    <row r="143" spans="7:70" ht="15" customHeight="1" x14ac:dyDescent="0.25">
      <c r="Z143" s="778"/>
      <c r="AA143" s="779"/>
      <c r="AB143" s="779"/>
      <c r="AC143" s="779"/>
      <c r="AD143" s="780"/>
      <c r="AH143" s="338"/>
      <c r="AI143" s="338"/>
      <c r="AJ143" s="1255"/>
      <c r="AK143" s="1255"/>
      <c r="AL143" s="1255"/>
      <c r="AM143" s="746"/>
      <c r="AN143" s="746"/>
      <c r="AO143" s="746"/>
      <c r="AP143" s="747"/>
      <c r="AQ143" s="748"/>
      <c r="AR143" s="748"/>
      <c r="AS143" s="749"/>
      <c r="AU143" s="727"/>
      <c r="AV143" s="727"/>
      <c r="AW143" s="727"/>
      <c r="AX143" s="727"/>
      <c r="AY143" s="727"/>
      <c r="AZ143" s="727"/>
      <c r="BA143" s="727"/>
      <c r="BB143" s="727"/>
      <c r="BC143" s="727"/>
      <c r="BD143" s="727"/>
      <c r="BE143" s="13"/>
    </row>
    <row r="144" spans="7:70" ht="15" customHeight="1" x14ac:dyDescent="0.25">
      <c r="Z144" s="778"/>
      <c r="AA144" s="779"/>
      <c r="AB144" s="779"/>
      <c r="AC144" s="779"/>
      <c r="AD144" s="780"/>
      <c r="AH144" s="338"/>
      <c r="AI144" s="338"/>
      <c r="AJ144" s="1255"/>
      <c r="AK144" s="1255"/>
      <c r="AL144" s="1255"/>
      <c r="AM144" s="746"/>
      <c r="AN144" s="746"/>
      <c r="AO144" s="746"/>
      <c r="AP144" s="747"/>
      <c r="AQ144" s="748"/>
      <c r="AR144" s="748"/>
      <c r="AS144" s="749"/>
      <c r="AU144" s="727"/>
      <c r="AV144" s="727"/>
      <c r="AW144" s="727"/>
      <c r="AX144" s="727"/>
      <c r="AY144" s="727"/>
      <c r="AZ144" s="727"/>
      <c r="BA144" s="727"/>
      <c r="BB144" s="727"/>
      <c r="BC144" s="727"/>
      <c r="BD144" s="727"/>
      <c r="BE144" s="13"/>
    </row>
    <row r="145" spans="26:84" ht="26.25" x14ac:dyDescent="0.25">
      <c r="Z145" s="778"/>
      <c r="AA145" s="779"/>
      <c r="AB145" s="779"/>
      <c r="AC145" s="779"/>
      <c r="AD145" s="780"/>
      <c r="AH145" s="338"/>
      <c r="AI145" s="338"/>
      <c r="AJ145" s="1255"/>
      <c r="AK145" s="1255"/>
      <c r="AL145" s="1255"/>
      <c r="AM145" s="746"/>
      <c r="AN145" s="746"/>
      <c r="AO145" s="746"/>
      <c r="AP145" s="747"/>
      <c r="AQ145" s="748"/>
      <c r="AR145" s="748"/>
      <c r="AS145" s="749"/>
      <c r="AU145" s="728"/>
      <c r="AV145" s="729"/>
      <c r="AW145" s="729"/>
      <c r="AX145" s="729"/>
      <c r="AY145" s="729"/>
      <c r="AZ145" s="729"/>
      <c r="BA145" s="729"/>
      <c r="BB145" s="729"/>
      <c r="BC145" s="729"/>
      <c r="BD145" s="730"/>
      <c r="BE145" s="57"/>
    </row>
    <row r="146" spans="26:84" ht="27" thickBot="1" x14ac:dyDescent="0.3">
      <c r="Z146" s="781"/>
      <c r="AA146" s="782"/>
      <c r="AB146" s="782"/>
      <c r="AC146" s="782"/>
      <c r="AD146" s="783"/>
      <c r="AH146" s="338"/>
      <c r="AI146" s="338"/>
      <c r="AJ146" s="1255"/>
      <c r="AK146" s="1255"/>
      <c r="AL146" s="1255"/>
      <c r="AM146" s="746"/>
      <c r="AN146" s="746"/>
      <c r="AO146" s="746"/>
      <c r="AP146" s="747"/>
      <c r="AQ146" s="748"/>
      <c r="AR146" s="748"/>
      <c r="AS146" s="749"/>
      <c r="AU146" s="731"/>
      <c r="AV146" s="732"/>
      <c r="AW146" s="732"/>
      <c r="AX146" s="732"/>
      <c r="AY146" s="732"/>
      <c r="AZ146" s="732"/>
      <c r="BA146" s="732"/>
      <c r="BB146" s="732"/>
      <c r="BC146" s="732"/>
      <c r="BD146" s="733"/>
      <c r="BE146" s="57"/>
    </row>
    <row r="147" spans="26:84" ht="27" thickTop="1" x14ac:dyDescent="0.25">
      <c r="AJ147" s="1255"/>
      <c r="AK147" s="1255"/>
      <c r="AL147" s="1255"/>
      <c r="AM147" s="746"/>
      <c r="AN147" s="746"/>
      <c r="AO147" s="746"/>
      <c r="AP147" s="747"/>
      <c r="AQ147" s="748"/>
      <c r="AR147" s="748"/>
      <c r="AS147" s="749"/>
      <c r="AU147" s="734"/>
      <c r="AV147" s="735"/>
      <c r="AW147" s="735"/>
      <c r="AX147" s="735"/>
      <c r="AY147" s="735"/>
      <c r="AZ147" s="735"/>
      <c r="BA147" s="735"/>
      <c r="BB147" s="735"/>
      <c r="BC147" s="735"/>
      <c r="BD147" s="736"/>
      <c r="BE147" s="57"/>
      <c r="BW147" s="737" t="s">
        <v>135</v>
      </c>
      <c r="BX147" s="737"/>
      <c r="BY147" s="737"/>
      <c r="BZ147" s="737"/>
      <c r="CA147" s="737"/>
      <c r="CB147" s="737"/>
      <c r="CC147" s="737"/>
      <c r="CD147" s="737"/>
      <c r="CE147" s="737"/>
      <c r="CF147" s="737"/>
    </row>
    <row r="148" spans="26:84" x14ac:dyDescent="0.25">
      <c r="AJ148" s="1255"/>
      <c r="AK148" s="1255"/>
      <c r="AL148" s="1255"/>
      <c r="AM148" s="746"/>
      <c r="AN148" s="746"/>
      <c r="AO148" s="746"/>
      <c r="AP148" s="747"/>
      <c r="AQ148" s="748"/>
      <c r="AR148" s="748"/>
      <c r="AS148" s="749"/>
      <c r="AU148" s="739"/>
      <c r="AV148" s="740"/>
      <c r="AW148" s="740"/>
      <c r="AX148" s="740"/>
      <c r="AY148" s="740"/>
      <c r="AZ148" s="740"/>
      <c r="BA148" s="740"/>
      <c r="BB148" s="740"/>
      <c r="BC148" s="740"/>
      <c r="BD148" s="741"/>
      <c r="BE148" s="13"/>
      <c r="BW148" s="737"/>
      <c r="BX148" s="737"/>
      <c r="BY148" s="737"/>
      <c r="BZ148" s="737"/>
      <c r="CA148" s="737"/>
      <c r="CB148" s="737"/>
      <c r="CC148" s="737"/>
      <c r="CD148" s="737"/>
      <c r="CE148" s="737"/>
      <c r="CF148" s="737"/>
    </row>
    <row r="149" spans="26:84" x14ac:dyDescent="0.25">
      <c r="AJ149" s="1255"/>
      <c r="AK149" s="1255"/>
      <c r="AL149" s="1255"/>
      <c r="AM149" s="746"/>
      <c r="AN149" s="746"/>
      <c r="AO149" s="746"/>
      <c r="AP149" s="747"/>
      <c r="AQ149" s="748"/>
      <c r="AR149" s="748"/>
      <c r="AS149" s="749"/>
      <c r="AU149" s="742"/>
      <c r="AV149" s="743"/>
      <c r="AW149" s="743"/>
      <c r="AX149" s="743"/>
      <c r="AY149" s="743"/>
      <c r="AZ149" s="743"/>
      <c r="BA149" s="743"/>
      <c r="BB149" s="743"/>
      <c r="BC149" s="743"/>
      <c r="BD149" s="744"/>
      <c r="BE149" s="13"/>
      <c r="BW149" s="738"/>
      <c r="BX149" s="738"/>
      <c r="BY149" s="738"/>
      <c r="BZ149" s="738"/>
      <c r="CA149" s="738"/>
      <c r="CB149" s="738"/>
      <c r="CC149" s="738"/>
      <c r="CD149" s="738"/>
      <c r="CE149" s="738"/>
      <c r="CF149" s="738"/>
    </row>
    <row r="150" spans="26:84" x14ac:dyDescent="0.25">
      <c r="AJ150" s="1255"/>
      <c r="AK150" s="1255"/>
      <c r="AL150" s="1255"/>
      <c r="AM150" s="746"/>
      <c r="AN150" s="746"/>
      <c r="AO150" s="746"/>
      <c r="AP150" s="747"/>
      <c r="AQ150" s="748"/>
      <c r="AR150" s="748"/>
      <c r="AS150" s="749"/>
      <c r="AU150" s="739"/>
      <c r="AV150" s="740"/>
      <c r="AW150" s="740"/>
      <c r="AX150" s="740"/>
      <c r="AY150" s="740"/>
      <c r="AZ150" s="740"/>
      <c r="BA150" s="740"/>
      <c r="BB150" s="740"/>
      <c r="BC150" s="740"/>
      <c r="BD150" s="741"/>
      <c r="BE150" s="13"/>
      <c r="BK150" s="727" t="s">
        <v>122</v>
      </c>
      <c r="BL150" s="727"/>
      <c r="BM150" s="727"/>
      <c r="BN150" s="727" t="s">
        <v>123</v>
      </c>
      <c r="BO150" s="727"/>
      <c r="BP150" s="727"/>
      <c r="BQ150" s="727" t="s">
        <v>124</v>
      </c>
      <c r="BR150" s="727"/>
      <c r="BS150" s="727" t="s">
        <v>125</v>
      </c>
      <c r="BT150" s="727"/>
      <c r="BW150" s="739" t="s">
        <v>126</v>
      </c>
      <c r="BX150" s="740"/>
      <c r="BY150" s="740"/>
      <c r="BZ150" s="740"/>
      <c r="CA150" s="740"/>
      <c r="CB150" s="740"/>
      <c r="CC150" s="740"/>
      <c r="CD150" s="740"/>
      <c r="CE150" s="740"/>
      <c r="CF150" s="741"/>
    </row>
    <row r="151" spans="26:84" x14ac:dyDescent="0.25">
      <c r="AJ151" s="1255"/>
      <c r="AK151" s="1255"/>
      <c r="AL151" s="1255"/>
      <c r="AM151" s="746"/>
      <c r="AN151" s="746"/>
      <c r="AO151" s="746"/>
      <c r="AP151" s="747"/>
      <c r="AQ151" s="748"/>
      <c r="AR151" s="748"/>
      <c r="AS151" s="749"/>
      <c r="AU151" s="750"/>
      <c r="AV151" s="751"/>
      <c r="AW151" s="751"/>
      <c r="AX151" s="751"/>
      <c r="AY151" s="751"/>
      <c r="AZ151" s="751"/>
      <c r="BA151" s="751"/>
      <c r="BB151" s="751"/>
      <c r="BC151" s="751"/>
      <c r="BD151" s="752"/>
      <c r="BE151" s="13"/>
      <c r="BK151" s="727"/>
      <c r="BL151" s="727"/>
      <c r="BM151" s="727"/>
      <c r="BN151" s="727"/>
      <c r="BO151" s="727"/>
      <c r="BP151" s="727"/>
      <c r="BQ151" s="727"/>
      <c r="BR151" s="727"/>
      <c r="BS151" s="727"/>
      <c r="BT151" s="727"/>
      <c r="BW151" s="750"/>
      <c r="BX151" s="751"/>
      <c r="BY151" s="751"/>
      <c r="BZ151" s="751"/>
      <c r="CA151" s="751"/>
      <c r="CB151" s="751"/>
      <c r="CC151" s="751"/>
      <c r="CD151" s="751"/>
      <c r="CE151" s="751"/>
      <c r="CF151" s="752"/>
    </row>
    <row r="152" spans="26:84" x14ac:dyDescent="0.25">
      <c r="AJ152" s="1255"/>
      <c r="AK152" s="1255"/>
      <c r="AL152" s="1255"/>
      <c r="AM152" s="746"/>
      <c r="AN152" s="746"/>
      <c r="AO152" s="746"/>
      <c r="AP152" s="747"/>
      <c r="AQ152" s="748"/>
      <c r="AR152" s="748"/>
      <c r="AS152" s="749"/>
      <c r="AU152" s="750"/>
      <c r="AV152" s="751"/>
      <c r="AW152" s="751"/>
      <c r="AX152" s="751"/>
      <c r="AY152" s="751"/>
      <c r="AZ152" s="751"/>
      <c r="BA152" s="751"/>
      <c r="BB152" s="751"/>
      <c r="BC152" s="751"/>
      <c r="BD152" s="752"/>
      <c r="BE152" s="13"/>
      <c r="BK152" s="727"/>
      <c r="BL152" s="727"/>
      <c r="BM152" s="727"/>
      <c r="BN152" s="727"/>
      <c r="BO152" s="727"/>
      <c r="BP152" s="727"/>
      <c r="BQ152" s="727"/>
      <c r="BR152" s="727"/>
      <c r="BS152" s="727"/>
      <c r="BT152" s="727"/>
      <c r="BW152" s="742"/>
      <c r="BX152" s="743"/>
      <c r="BY152" s="743"/>
      <c r="BZ152" s="743"/>
      <c r="CA152" s="743"/>
      <c r="CB152" s="743"/>
      <c r="CC152" s="743"/>
      <c r="CD152" s="743"/>
      <c r="CE152" s="743"/>
      <c r="CF152" s="744"/>
    </row>
    <row r="153" spans="26:84" x14ac:dyDescent="0.25">
      <c r="AJ153" s="727"/>
      <c r="AK153" s="727"/>
      <c r="AL153" s="727"/>
      <c r="AM153" s="746"/>
      <c r="AN153" s="746"/>
      <c r="AO153" s="746"/>
      <c r="AP153" s="747"/>
      <c r="AQ153" s="748"/>
      <c r="AR153" s="748"/>
      <c r="AS153" s="749"/>
      <c r="AU153" s="742"/>
      <c r="AV153" s="743"/>
      <c r="AW153" s="743"/>
      <c r="AX153" s="743"/>
      <c r="AY153" s="743"/>
      <c r="AZ153" s="743"/>
      <c r="BA153" s="743"/>
      <c r="BB153" s="743"/>
      <c r="BC153" s="743"/>
      <c r="BD153" s="744"/>
      <c r="BE153" s="13"/>
      <c r="BK153" s="774">
        <v>14004.36</v>
      </c>
      <c r="BL153" s="774"/>
      <c r="BM153" s="774"/>
      <c r="BN153" s="774">
        <f ca="1">AK162</f>
        <v>14004.359999999999</v>
      </c>
      <c r="BO153" s="774"/>
      <c r="BP153" s="774"/>
      <c r="BQ153" s="726">
        <f>AU128</f>
        <v>477.38439999999991</v>
      </c>
      <c r="BR153" s="726"/>
      <c r="BS153" s="726">
        <f>BL128+BQ153</f>
        <v>751.88439999999991</v>
      </c>
      <c r="BT153" s="726"/>
      <c r="BW153" s="727" t="s">
        <v>128</v>
      </c>
      <c r="BX153" s="727"/>
      <c r="BY153" s="727"/>
      <c r="BZ153" s="727"/>
      <c r="CA153" s="727"/>
      <c r="CB153" s="727"/>
      <c r="CC153" s="727"/>
      <c r="CD153" s="727"/>
      <c r="CE153" s="727"/>
      <c r="CF153" s="727"/>
    </row>
    <row r="154" spans="26:84" ht="26.25" x14ac:dyDescent="0.25">
      <c r="AJ154" s="727"/>
      <c r="AK154" s="727"/>
      <c r="AL154" s="727"/>
      <c r="AM154" s="746"/>
      <c r="AN154" s="746"/>
      <c r="AO154" s="746"/>
      <c r="AP154" s="747"/>
      <c r="AQ154" s="748"/>
      <c r="AR154" s="748"/>
      <c r="AS154" s="749"/>
      <c r="AU154" s="728"/>
      <c r="AV154" s="729"/>
      <c r="AW154" s="729"/>
      <c r="AX154" s="729"/>
      <c r="AY154" s="729"/>
      <c r="AZ154" s="729"/>
      <c r="BA154" s="729"/>
      <c r="BB154" s="729"/>
      <c r="BC154" s="729"/>
      <c r="BD154" s="730"/>
      <c r="BE154" s="57"/>
      <c r="BK154" s="774"/>
      <c r="BL154" s="774"/>
      <c r="BM154" s="774"/>
      <c r="BN154" s="774"/>
      <c r="BO154" s="774"/>
      <c r="BP154" s="774"/>
      <c r="BQ154" s="726"/>
      <c r="BR154" s="726"/>
      <c r="BS154" s="726"/>
      <c r="BT154" s="726"/>
      <c r="BW154" s="727"/>
      <c r="BX154" s="727"/>
      <c r="BY154" s="727"/>
      <c r="BZ154" s="727"/>
      <c r="CA154" s="727"/>
      <c r="CB154" s="727"/>
      <c r="CC154" s="727"/>
      <c r="CD154" s="727"/>
      <c r="CE154" s="727"/>
      <c r="CF154" s="727"/>
    </row>
    <row r="155" spans="26:84" ht="26.25" x14ac:dyDescent="0.25">
      <c r="AJ155" s="727"/>
      <c r="AK155" s="727"/>
      <c r="AL155" s="727"/>
      <c r="AM155" s="746"/>
      <c r="AN155" s="746"/>
      <c r="AO155" s="746"/>
      <c r="AP155" s="747"/>
      <c r="AQ155" s="748"/>
      <c r="AR155" s="748"/>
      <c r="AS155" s="749"/>
      <c r="AU155" s="731"/>
      <c r="AV155" s="732"/>
      <c r="AW155" s="732"/>
      <c r="AX155" s="732"/>
      <c r="AY155" s="732"/>
      <c r="AZ155" s="732"/>
      <c r="BA155" s="732"/>
      <c r="BB155" s="732"/>
      <c r="BC155" s="732"/>
      <c r="BD155" s="733"/>
      <c r="BE155" s="57"/>
      <c r="BK155" s="774"/>
      <c r="BL155" s="774"/>
      <c r="BM155" s="774"/>
      <c r="BN155" s="774"/>
      <c r="BO155" s="774"/>
      <c r="BP155" s="774"/>
      <c r="BQ155" s="726"/>
      <c r="BR155" s="726"/>
      <c r="BS155" s="726"/>
      <c r="BT155" s="726"/>
      <c r="BW155" s="728">
        <f ca="1">BQ153/((72*3.1415/59)*(BN153/3.281))</f>
        <v>2.91738427820665E-2</v>
      </c>
      <c r="BX155" s="729"/>
      <c r="BY155" s="729"/>
      <c r="BZ155" s="729"/>
      <c r="CA155" s="729"/>
      <c r="CB155" s="729"/>
      <c r="CC155" s="729"/>
      <c r="CD155" s="729"/>
      <c r="CE155" s="729"/>
      <c r="CF155" s="730"/>
    </row>
    <row r="156" spans="26:84" ht="26.25" x14ac:dyDescent="0.25">
      <c r="AJ156" s="727" t="s">
        <v>16</v>
      </c>
      <c r="AK156" s="727"/>
      <c r="AL156" s="727"/>
      <c r="AM156" s="746"/>
      <c r="AN156" s="746"/>
      <c r="AO156" s="746"/>
      <c r="AP156" s="747"/>
      <c r="AQ156" s="748"/>
      <c r="AR156" s="748"/>
      <c r="AS156" s="749"/>
      <c r="AU156" s="731"/>
      <c r="AV156" s="732"/>
      <c r="AW156" s="732"/>
      <c r="AX156" s="732"/>
      <c r="AY156" s="732"/>
      <c r="AZ156" s="732"/>
      <c r="BA156" s="732"/>
      <c r="BB156" s="732"/>
      <c r="BC156" s="732"/>
      <c r="BD156" s="733"/>
      <c r="BE156" s="57"/>
      <c r="BK156" s="774"/>
      <c r="BL156" s="774"/>
      <c r="BM156" s="774"/>
      <c r="BN156" s="774"/>
      <c r="BO156" s="774"/>
      <c r="BP156" s="774"/>
      <c r="BQ156" s="726"/>
      <c r="BR156" s="726"/>
      <c r="BS156" s="726"/>
      <c r="BT156" s="726"/>
      <c r="BW156" s="731"/>
      <c r="BX156" s="732"/>
      <c r="BY156" s="732"/>
      <c r="BZ156" s="732"/>
      <c r="CA156" s="732"/>
      <c r="CB156" s="732"/>
      <c r="CC156" s="732"/>
      <c r="CD156" s="732"/>
      <c r="CE156" s="732"/>
      <c r="CF156" s="733"/>
    </row>
    <row r="157" spans="26:84" ht="26.25" x14ac:dyDescent="0.25">
      <c r="AJ157" s="727"/>
      <c r="AK157" s="727"/>
      <c r="AL157" s="727"/>
      <c r="AM157" s="746"/>
      <c r="AN157" s="746"/>
      <c r="AO157" s="746"/>
      <c r="AP157" s="747"/>
      <c r="AQ157" s="748"/>
      <c r="AR157" s="748"/>
      <c r="AS157" s="749"/>
      <c r="AU157" s="731"/>
      <c r="AV157" s="732"/>
      <c r="AW157" s="732"/>
      <c r="AX157" s="732"/>
      <c r="AY157" s="732"/>
      <c r="AZ157" s="732"/>
      <c r="BA157" s="732"/>
      <c r="BB157" s="732"/>
      <c r="BC157" s="732"/>
      <c r="BD157" s="733"/>
      <c r="BE157" s="57"/>
      <c r="BW157" s="734"/>
      <c r="BX157" s="735"/>
      <c r="BY157" s="735"/>
      <c r="BZ157" s="735"/>
      <c r="CA157" s="735"/>
      <c r="CB157" s="735"/>
      <c r="CC157" s="735"/>
      <c r="CD157" s="735"/>
      <c r="CE157" s="735"/>
      <c r="CF157" s="736"/>
    </row>
    <row r="158" spans="26:84" ht="26.25" x14ac:dyDescent="0.25">
      <c r="AJ158" s="727"/>
      <c r="AK158" s="727"/>
      <c r="AL158" s="727"/>
      <c r="AM158" s="746"/>
      <c r="AN158" s="746"/>
      <c r="AO158" s="746"/>
      <c r="AP158" s="747"/>
      <c r="AQ158" s="748"/>
      <c r="AR158" s="748"/>
      <c r="AS158" s="749"/>
      <c r="AU158" s="734"/>
      <c r="AV158" s="735"/>
      <c r="AW158" s="735"/>
      <c r="AX158" s="735"/>
      <c r="AY158" s="735"/>
      <c r="AZ158" s="735"/>
      <c r="BA158" s="735"/>
      <c r="BB158" s="735"/>
      <c r="BC158" s="735"/>
      <c r="BD158" s="736"/>
      <c r="BE158" s="57"/>
      <c r="BW158" s="739" t="s">
        <v>129</v>
      </c>
      <c r="BX158" s="740"/>
      <c r="BY158" s="740"/>
      <c r="BZ158" s="740"/>
      <c r="CA158" s="740"/>
      <c r="CB158" s="740"/>
      <c r="CC158" s="740"/>
      <c r="CD158" s="740"/>
      <c r="CE158" s="740"/>
      <c r="CF158" s="741"/>
    </row>
    <row r="159" spans="26:84" ht="15" customHeight="1" x14ac:dyDescent="0.25">
      <c r="AJ159" s="727"/>
      <c r="AK159" s="727"/>
      <c r="AL159" s="727"/>
      <c r="AM159" s="746"/>
      <c r="AN159" s="746"/>
      <c r="AO159" s="746"/>
      <c r="AP159" s="747"/>
      <c r="AQ159" s="748"/>
      <c r="AR159" s="748"/>
      <c r="AS159" s="749"/>
      <c r="BW159" s="742"/>
      <c r="BX159" s="743"/>
      <c r="BY159" s="743"/>
      <c r="BZ159" s="743"/>
      <c r="CA159" s="743"/>
      <c r="CB159" s="743"/>
      <c r="CC159" s="743"/>
      <c r="CD159" s="743"/>
      <c r="CE159" s="743"/>
      <c r="CF159" s="744"/>
    </row>
    <row r="160" spans="26:84" ht="15" customHeight="1" x14ac:dyDescent="0.25">
      <c r="AJ160" s="727"/>
      <c r="AK160" s="727"/>
      <c r="AL160" s="727"/>
      <c r="AM160" s="746"/>
      <c r="AN160" s="746"/>
      <c r="AO160" s="746"/>
      <c r="AP160" s="747"/>
      <c r="AQ160" s="748"/>
      <c r="AR160" s="748"/>
      <c r="AS160" s="749"/>
      <c r="BW160" s="739" t="s">
        <v>130</v>
      </c>
      <c r="BX160" s="740"/>
      <c r="BY160" s="740"/>
      <c r="BZ160" s="740"/>
      <c r="CA160" s="740"/>
      <c r="CB160" s="740"/>
      <c r="CC160" s="740"/>
      <c r="CD160" s="740"/>
      <c r="CE160" s="740"/>
      <c r="CF160" s="741"/>
    </row>
    <row r="161" spans="26:84" ht="15" customHeight="1" x14ac:dyDescent="0.25">
      <c r="AJ161" s="727"/>
      <c r="AK161" s="727"/>
      <c r="AL161" s="727"/>
      <c r="AM161" s="746"/>
      <c r="AN161" s="746"/>
      <c r="AO161" s="746"/>
      <c r="AP161" s="747"/>
      <c r="AQ161" s="748"/>
      <c r="AR161" s="748"/>
      <c r="AS161" s="749"/>
      <c r="BW161" s="750"/>
      <c r="BX161" s="751"/>
      <c r="BY161" s="751"/>
      <c r="BZ161" s="751"/>
      <c r="CA161" s="751"/>
      <c r="CB161" s="751"/>
      <c r="CC161" s="751"/>
      <c r="CD161" s="751"/>
      <c r="CE161" s="751"/>
      <c r="CF161" s="752"/>
    </row>
    <row r="162" spans="26:84" ht="15.75" thickBot="1" x14ac:dyDescent="0.3">
      <c r="AK162" s="1646">
        <f ca="1">AP138+AP141+AP144+AP147+AP150+AP153+AP156+AP159</f>
        <v>14004.359999999999</v>
      </c>
      <c r="AL162" s="1646"/>
      <c r="AM162" s="1646"/>
      <c r="AN162" s="1646"/>
      <c r="AO162" s="1646"/>
      <c r="AP162" s="1646"/>
      <c r="AQ162" s="1646"/>
      <c r="AR162" s="1646"/>
      <c r="AS162" s="1646"/>
      <c r="BW162" s="750"/>
      <c r="BX162" s="751"/>
      <c r="BY162" s="751"/>
      <c r="BZ162" s="751"/>
      <c r="CA162" s="751"/>
      <c r="CB162" s="751"/>
      <c r="CC162" s="751"/>
      <c r="CD162" s="751"/>
      <c r="CE162" s="751"/>
      <c r="CF162" s="752"/>
    </row>
    <row r="163" spans="26:84" ht="15.75" thickBot="1" x14ac:dyDescent="0.3">
      <c r="Z163" s="81"/>
      <c r="AA163" s="82"/>
      <c r="AB163" s="82"/>
      <c r="AC163" s="82"/>
      <c r="AD163" s="82"/>
      <c r="AE163" s="82"/>
      <c r="AF163" s="82"/>
      <c r="AG163" s="82"/>
      <c r="AH163" s="82"/>
      <c r="AI163" s="82"/>
      <c r="AJ163" s="82"/>
      <c r="AK163" s="950"/>
      <c r="AL163" s="950"/>
      <c r="AM163" s="950"/>
      <c r="AN163" s="950"/>
      <c r="AO163" s="950"/>
      <c r="AP163" s="950"/>
      <c r="AQ163" s="950"/>
      <c r="AR163" s="950"/>
      <c r="AS163" s="950"/>
      <c r="AT163" s="82"/>
      <c r="AU163" s="82"/>
      <c r="AV163" s="82"/>
      <c r="AW163" s="82"/>
      <c r="AX163" s="82"/>
      <c r="AY163" s="82"/>
      <c r="AZ163" s="82"/>
      <c r="BA163" s="82"/>
      <c r="BB163" s="82"/>
      <c r="BC163" s="82"/>
      <c r="BD163" s="82"/>
      <c r="BE163" s="82"/>
      <c r="BF163" s="82"/>
      <c r="BG163" s="82"/>
      <c r="BH163" s="83"/>
      <c r="BW163" s="742"/>
      <c r="BX163" s="743"/>
      <c r="BY163" s="743"/>
      <c r="BZ163" s="743"/>
      <c r="CA163" s="743"/>
      <c r="CB163" s="743"/>
      <c r="CC163" s="743"/>
      <c r="CD163" s="743"/>
      <c r="CE163" s="743"/>
      <c r="CF163" s="744"/>
    </row>
    <row r="164" spans="26:84" ht="15.75" customHeight="1" thickTop="1" x14ac:dyDescent="0.25">
      <c r="Z164" s="84"/>
      <c r="AA164" s="73"/>
      <c r="AB164" s="74"/>
      <c r="AC164" s="74"/>
      <c r="AD164" s="74"/>
      <c r="AE164" s="75"/>
      <c r="AI164" s="348"/>
      <c r="AJ164" s="348"/>
      <c r="AK164" s="950"/>
      <c r="AL164" s="950"/>
      <c r="AM164" s="950"/>
      <c r="AN164" s="950"/>
      <c r="AO164" s="950"/>
      <c r="AP164" s="950"/>
      <c r="AQ164" s="950"/>
      <c r="AR164" s="950"/>
      <c r="AS164" s="950"/>
      <c r="AV164" s="354"/>
      <c r="AW164" s="355"/>
      <c r="AX164" s="355"/>
      <c r="AY164" s="355"/>
      <c r="AZ164" s="355"/>
      <c r="BA164" s="355"/>
      <c r="BB164" s="355"/>
      <c r="BC164" s="355"/>
      <c r="BD164" s="355"/>
      <c r="BE164" s="356"/>
      <c r="BF164" s="13"/>
      <c r="BG164" s="13"/>
      <c r="BH164" s="85"/>
      <c r="BW164" s="728">
        <f ca="1">BS153/((72*3.1415/59)*(BN153/3.281))</f>
        <v>4.5949044995790396E-2</v>
      </c>
      <c r="BX164" s="729"/>
      <c r="BY164" s="729"/>
      <c r="BZ164" s="729"/>
      <c r="CA164" s="729"/>
      <c r="CB164" s="729"/>
      <c r="CC164" s="729"/>
      <c r="CD164" s="729"/>
      <c r="CE164" s="729"/>
      <c r="CF164" s="730"/>
    </row>
    <row r="165" spans="26:84" ht="15" customHeight="1" x14ac:dyDescent="0.25">
      <c r="Z165" s="84"/>
      <c r="AA165" s="76"/>
      <c r="AB165" s="86"/>
      <c r="AC165" s="86"/>
      <c r="AD165" s="86"/>
      <c r="AE165" s="77"/>
      <c r="AI165" s="348"/>
      <c r="AJ165" s="348"/>
      <c r="AK165" s="348"/>
      <c r="AL165" s="348"/>
      <c r="AM165" s="348"/>
      <c r="AN165" s="348"/>
      <c r="AO165" s="348"/>
      <c r="AP165" s="348"/>
      <c r="AQ165" s="348"/>
      <c r="AR165" s="348"/>
      <c r="AV165" s="361"/>
      <c r="AW165" s="27"/>
      <c r="AX165" s="27"/>
      <c r="AY165" s="27"/>
      <c r="AZ165" s="27"/>
      <c r="BA165" s="27"/>
      <c r="BB165" s="27"/>
      <c r="BC165" s="27"/>
      <c r="BD165" s="27"/>
      <c r="BE165" s="362"/>
      <c r="BF165" s="13"/>
      <c r="BG165" s="13"/>
      <c r="BH165" s="85"/>
      <c r="BW165" s="731"/>
      <c r="BX165" s="732"/>
      <c r="BY165" s="732"/>
      <c r="BZ165" s="732"/>
      <c r="CA165" s="732"/>
      <c r="CB165" s="732"/>
      <c r="CC165" s="732"/>
      <c r="CD165" s="732"/>
      <c r="CE165" s="732"/>
      <c r="CF165" s="733"/>
    </row>
    <row r="166" spans="26:84" ht="15" customHeight="1" x14ac:dyDescent="0.25">
      <c r="Z166" s="84"/>
      <c r="AA166" s="76"/>
      <c r="AB166" s="86"/>
      <c r="AC166" s="86"/>
      <c r="AD166" s="86"/>
      <c r="AE166" s="77"/>
      <c r="AI166" s="348"/>
      <c r="AJ166" s="348"/>
      <c r="AK166" s="348"/>
      <c r="AL166" s="348"/>
      <c r="AM166" s="348"/>
      <c r="AN166" s="348"/>
      <c r="AO166" s="348"/>
      <c r="AP166" s="348"/>
      <c r="AQ166" s="348"/>
      <c r="AR166" s="348"/>
      <c r="AV166" s="357"/>
      <c r="AW166" s="358"/>
      <c r="AX166" s="358"/>
      <c r="AY166" s="358"/>
      <c r="AZ166" s="358"/>
      <c r="BA166" s="358"/>
      <c r="BB166" s="358"/>
      <c r="BC166" s="358"/>
      <c r="BD166" s="358"/>
      <c r="BE166" s="359"/>
      <c r="BF166" s="13"/>
      <c r="BG166" s="13"/>
      <c r="BH166" s="85"/>
      <c r="BW166" s="731"/>
      <c r="BX166" s="732"/>
      <c r="BY166" s="732"/>
      <c r="BZ166" s="732"/>
      <c r="CA166" s="732"/>
      <c r="CB166" s="732"/>
      <c r="CC166" s="732"/>
      <c r="CD166" s="732"/>
      <c r="CE166" s="732"/>
      <c r="CF166" s="733"/>
    </row>
    <row r="167" spans="26:84" ht="15" customHeight="1" x14ac:dyDescent="0.25">
      <c r="Z167" s="84"/>
      <c r="AA167" s="76"/>
      <c r="AB167" s="86"/>
      <c r="AC167" s="86"/>
      <c r="AD167" s="86"/>
      <c r="AE167" s="77"/>
      <c r="AI167" s="338"/>
      <c r="AJ167" s="338"/>
      <c r="AK167" s="338"/>
      <c r="AL167" s="338"/>
      <c r="AM167" s="338"/>
      <c r="AN167" s="338"/>
      <c r="AO167" s="339"/>
      <c r="AP167" s="339"/>
      <c r="AQ167" s="339"/>
      <c r="AR167" s="339"/>
      <c r="AV167" s="348"/>
      <c r="AW167" s="348"/>
      <c r="AX167" s="348"/>
      <c r="AY167" s="348"/>
      <c r="AZ167" s="348"/>
      <c r="BA167" s="348"/>
      <c r="BB167" s="348"/>
      <c r="BC167" s="348"/>
      <c r="BD167" s="348"/>
      <c r="BE167" s="348"/>
      <c r="BF167" s="13"/>
      <c r="BG167" s="13"/>
      <c r="BH167" s="85"/>
      <c r="BW167" s="731"/>
      <c r="BX167" s="732"/>
      <c r="BY167" s="732"/>
      <c r="BZ167" s="732"/>
      <c r="CA167" s="732"/>
      <c r="CB167" s="732"/>
      <c r="CC167" s="732"/>
      <c r="CD167" s="732"/>
      <c r="CE167" s="732"/>
      <c r="CF167" s="733"/>
    </row>
    <row r="168" spans="26:84" ht="15" customHeight="1" x14ac:dyDescent="0.25">
      <c r="Z168" s="84"/>
      <c r="AA168" s="76"/>
      <c r="AB168" s="86"/>
      <c r="AC168" s="86"/>
      <c r="AD168" s="86"/>
      <c r="AE168" s="77"/>
      <c r="AI168" s="338"/>
      <c r="AJ168" s="338"/>
      <c r="AK168" s="338"/>
      <c r="AL168" s="338"/>
      <c r="AM168" s="338"/>
      <c r="AN168" s="338"/>
      <c r="AO168" s="339"/>
      <c r="AP168" s="339"/>
      <c r="AQ168" s="339"/>
      <c r="AR168" s="339"/>
      <c r="AV168" s="348"/>
      <c r="AW168" s="348"/>
      <c r="AX168" s="348"/>
      <c r="AY168" s="348"/>
      <c r="AZ168" s="348"/>
      <c r="BA168" s="348"/>
      <c r="BB168" s="348"/>
      <c r="BC168" s="348"/>
      <c r="BD168" s="348"/>
      <c r="BE168" s="348"/>
      <c r="BF168" s="13"/>
      <c r="BG168" s="13"/>
      <c r="BH168" s="85"/>
      <c r="BW168" s="734"/>
      <c r="BX168" s="735"/>
      <c r="BY168" s="735"/>
      <c r="BZ168" s="735"/>
      <c r="CA168" s="735"/>
      <c r="CB168" s="735"/>
      <c r="CC168" s="735"/>
      <c r="CD168" s="735"/>
      <c r="CE168" s="735"/>
      <c r="CF168" s="736"/>
    </row>
    <row r="169" spans="26:84" ht="26.25" customHeight="1" x14ac:dyDescent="0.25">
      <c r="Z169" s="84"/>
      <c r="AA169" s="76"/>
      <c r="AB169" s="86"/>
      <c r="AC169" s="86"/>
      <c r="AD169" s="86"/>
      <c r="AE169" s="77"/>
      <c r="AI169" s="338"/>
      <c r="AJ169" s="338"/>
      <c r="AK169" s="338"/>
      <c r="AL169" s="338"/>
      <c r="AM169" s="338"/>
      <c r="AN169" s="338"/>
      <c r="AO169" s="339"/>
      <c r="AP169" s="339"/>
      <c r="AQ169" s="339"/>
      <c r="AR169" s="339"/>
      <c r="AV169" s="340"/>
      <c r="AW169" s="341"/>
      <c r="AX169" s="341"/>
      <c r="AY169" s="341"/>
      <c r="AZ169" s="341"/>
      <c r="BA169" s="341"/>
      <c r="BB169" s="341"/>
      <c r="BC169" s="341"/>
      <c r="BD169" s="341"/>
      <c r="BE169" s="342"/>
      <c r="BF169" s="57"/>
      <c r="BG169" s="57"/>
      <c r="BH169" s="85"/>
    </row>
    <row r="170" spans="26:84" ht="27" customHeight="1" thickBot="1" x14ac:dyDescent="0.3">
      <c r="Z170" s="84"/>
      <c r="AA170" s="78"/>
      <c r="AB170" s="79"/>
      <c r="AC170" s="79"/>
      <c r="AD170" s="79"/>
      <c r="AE170" s="80"/>
      <c r="AI170" s="338"/>
      <c r="AJ170" s="338"/>
      <c r="AK170" s="338"/>
      <c r="AL170" s="338"/>
      <c r="AM170" s="338"/>
      <c r="AN170" s="338"/>
      <c r="AO170" s="339"/>
      <c r="AP170" s="339"/>
      <c r="AQ170" s="339"/>
      <c r="AR170" s="339"/>
      <c r="AV170" s="343"/>
      <c r="AW170" s="51"/>
      <c r="AX170" s="51"/>
      <c r="AY170" s="51"/>
      <c r="AZ170" s="51"/>
      <c r="BA170" s="51"/>
      <c r="BB170" s="51"/>
      <c r="BC170" s="51"/>
      <c r="BD170" s="51"/>
      <c r="BE170" s="344"/>
      <c r="BF170" s="57"/>
      <c r="BG170" s="57"/>
      <c r="BH170" s="85"/>
    </row>
    <row r="171" spans="26:84" ht="27" thickTop="1" x14ac:dyDescent="0.25">
      <c r="Z171" s="84"/>
      <c r="AV171" s="345"/>
      <c r="AW171" s="346"/>
      <c r="AX171" s="346"/>
      <c r="AY171" s="346"/>
      <c r="AZ171" s="346"/>
      <c r="BA171" s="346"/>
      <c r="BB171" s="346"/>
      <c r="BC171" s="346"/>
      <c r="BD171" s="346"/>
      <c r="BE171" s="347"/>
      <c r="BF171" s="57"/>
      <c r="BG171" s="57"/>
      <c r="BH171" s="85"/>
    </row>
    <row r="172" spans="26:84" x14ac:dyDescent="0.25">
      <c r="Z172" s="84"/>
      <c r="AV172" s="354"/>
      <c r="AW172" s="355"/>
      <c r="AX172" s="355"/>
      <c r="AY172" s="355"/>
      <c r="AZ172" s="355"/>
      <c r="BA172" s="355"/>
      <c r="BB172" s="355"/>
      <c r="BC172" s="355"/>
      <c r="BD172" s="355"/>
      <c r="BE172" s="356"/>
      <c r="BF172" s="13"/>
      <c r="BG172" s="13"/>
      <c r="BH172" s="85"/>
    </row>
    <row r="173" spans="26:84" x14ac:dyDescent="0.25">
      <c r="Z173" s="84"/>
      <c r="AV173" s="357"/>
      <c r="AW173" s="358"/>
      <c r="AX173" s="358"/>
      <c r="AY173" s="358"/>
      <c r="AZ173" s="358"/>
      <c r="BA173" s="358"/>
      <c r="BB173" s="358"/>
      <c r="BC173" s="358"/>
      <c r="BD173" s="358"/>
      <c r="BE173" s="359"/>
      <c r="BF173" s="13"/>
      <c r="BG173" s="13"/>
      <c r="BH173" s="85"/>
    </row>
    <row r="174" spans="26:84" ht="15" customHeight="1" x14ac:dyDescent="0.25">
      <c r="Z174" s="84"/>
      <c r="AK174" s="360"/>
      <c r="AL174" s="360"/>
      <c r="AM174" s="360"/>
      <c r="AN174" s="349"/>
      <c r="AO174" s="349"/>
      <c r="AP174" s="349"/>
      <c r="AQ174" s="350"/>
      <c r="AR174" s="351"/>
      <c r="AS174" s="351"/>
      <c r="AT174" s="352"/>
      <c r="AV174" s="354"/>
      <c r="AW174" s="355"/>
      <c r="AX174" s="355"/>
      <c r="AY174" s="355"/>
      <c r="AZ174" s="355"/>
      <c r="BA174" s="355"/>
      <c r="BB174" s="355"/>
      <c r="BC174" s="355"/>
      <c r="BD174" s="355"/>
      <c r="BE174" s="356"/>
      <c r="BF174" s="13"/>
      <c r="BG174" s="13"/>
      <c r="BH174" s="85"/>
    </row>
    <row r="175" spans="26:84" ht="15" customHeight="1" x14ac:dyDescent="0.25">
      <c r="Z175" s="84"/>
      <c r="AK175" s="360"/>
      <c r="AL175" s="360"/>
      <c r="AM175" s="360"/>
      <c r="AN175" s="349"/>
      <c r="AO175" s="349"/>
      <c r="AP175" s="349"/>
      <c r="AQ175" s="350"/>
      <c r="AR175" s="351"/>
      <c r="AS175" s="351"/>
      <c r="AT175" s="352"/>
      <c r="AV175" s="361"/>
      <c r="AW175" s="27"/>
      <c r="AX175" s="27"/>
      <c r="AY175" s="27"/>
      <c r="AZ175" s="27"/>
      <c r="BA175" s="27"/>
      <c r="BB175" s="27"/>
      <c r="BC175" s="27"/>
      <c r="BD175" s="27"/>
      <c r="BE175" s="362"/>
      <c r="BF175" s="13"/>
      <c r="BG175" s="13"/>
      <c r="BH175" s="85"/>
    </row>
    <row r="176" spans="26:84" ht="15" customHeight="1" x14ac:dyDescent="0.25">
      <c r="Z176" s="84"/>
      <c r="AK176" s="360"/>
      <c r="AL176" s="360"/>
      <c r="AM176" s="360"/>
      <c r="AN176" s="349"/>
      <c r="AO176" s="349"/>
      <c r="AP176" s="349"/>
      <c r="AQ176" s="350"/>
      <c r="AR176" s="351"/>
      <c r="AS176" s="351"/>
      <c r="AT176" s="352"/>
      <c r="AV176" s="361"/>
      <c r="AW176" s="27"/>
      <c r="AX176" s="27"/>
      <c r="AY176" s="27"/>
      <c r="AZ176" s="27"/>
      <c r="BA176" s="27"/>
      <c r="BB176" s="27"/>
      <c r="BC176" s="27"/>
      <c r="BD176" s="27"/>
      <c r="BE176" s="362"/>
      <c r="BF176" s="13"/>
      <c r="BG176" s="13"/>
      <c r="BH176" s="85"/>
    </row>
    <row r="177" spans="26:60" ht="15" customHeight="1" x14ac:dyDescent="0.25">
      <c r="Z177" s="84"/>
      <c r="AK177" s="348"/>
      <c r="AL177" s="348"/>
      <c r="AM177" s="348"/>
      <c r="AN177" s="349"/>
      <c r="AO177" s="349"/>
      <c r="AP177" s="349"/>
      <c r="AQ177" s="350"/>
      <c r="AR177" s="351"/>
      <c r="AS177" s="351"/>
      <c r="AT177" s="352"/>
      <c r="AV177" s="357"/>
      <c r="AW177" s="358"/>
      <c r="AX177" s="358"/>
      <c r="AY177" s="358"/>
      <c r="AZ177" s="358"/>
      <c r="BA177" s="358"/>
      <c r="BB177" s="358"/>
      <c r="BC177" s="358"/>
      <c r="BD177" s="358"/>
      <c r="BE177" s="359"/>
      <c r="BF177" s="13"/>
      <c r="BG177" s="13"/>
      <c r="BH177" s="85"/>
    </row>
    <row r="178" spans="26:60" ht="26.25" x14ac:dyDescent="0.25">
      <c r="Z178" s="84"/>
      <c r="AK178" s="348"/>
      <c r="AL178" s="348"/>
      <c r="AM178" s="348"/>
      <c r="AN178" s="349"/>
      <c r="AO178" s="349"/>
      <c r="AP178" s="349"/>
      <c r="AQ178" s="350"/>
      <c r="AR178" s="351"/>
      <c r="AS178" s="351"/>
      <c r="AT178" s="352"/>
      <c r="AV178" s="340"/>
      <c r="AW178" s="341"/>
      <c r="AX178" s="341"/>
      <c r="AY178" s="341"/>
      <c r="AZ178" s="341"/>
      <c r="BA178" s="341"/>
      <c r="BB178" s="341"/>
      <c r="BC178" s="341"/>
      <c r="BD178" s="341"/>
      <c r="BE178" s="342"/>
      <c r="BF178" s="57"/>
      <c r="BG178" s="57"/>
      <c r="BH178" s="85"/>
    </row>
    <row r="179" spans="26:60" ht="26.25" x14ac:dyDescent="0.25">
      <c r="Z179" s="84"/>
      <c r="AK179" s="348"/>
      <c r="AL179" s="348"/>
      <c r="AM179" s="348"/>
      <c r="AN179" s="349"/>
      <c r="AO179" s="349"/>
      <c r="AP179" s="349"/>
      <c r="AQ179" s="350"/>
      <c r="AR179" s="351"/>
      <c r="AS179" s="351"/>
      <c r="AT179" s="352"/>
      <c r="AV179" s="343"/>
      <c r="AW179" s="51"/>
      <c r="AX179" s="51"/>
      <c r="AY179" s="51"/>
      <c r="AZ179" s="51"/>
      <c r="BA179" s="51"/>
      <c r="BB179" s="51"/>
      <c r="BC179" s="51"/>
      <c r="BD179" s="51"/>
      <c r="BE179" s="344"/>
      <c r="BF179" s="57"/>
      <c r="BG179" s="57"/>
      <c r="BH179" s="85"/>
    </row>
    <row r="180" spans="26:60" ht="26.25" x14ac:dyDescent="0.25">
      <c r="Z180" s="84"/>
      <c r="AK180" s="348"/>
      <c r="AL180" s="348"/>
      <c r="AM180" s="348"/>
      <c r="AN180" s="349"/>
      <c r="AO180" s="349"/>
      <c r="AP180" s="349"/>
      <c r="AQ180" s="350"/>
      <c r="AR180" s="351"/>
      <c r="AS180" s="351"/>
      <c r="AT180" s="352"/>
      <c r="AV180" s="343"/>
      <c r="AW180" s="51"/>
      <c r="AX180" s="51"/>
      <c r="AY180" s="51"/>
      <c r="AZ180" s="51"/>
      <c r="BA180" s="51"/>
      <c r="BB180" s="51"/>
      <c r="BC180" s="51"/>
      <c r="BD180" s="51"/>
      <c r="BE180" s="344"/>
      <c r="BF180" s="57"/>
      <c r="BG180" s="57"/>
      <c r="BH180" s="85"/>
    </row>
    <row r="181" spans="26:60" ht="26.25" x14ac:dyDescent="0.25">
      <c r="Z181" s="84"/>
      <c r="AK181" s="348"/>
      <c r="AL181" s="348"/>
      <c r="AM181" s="348"/>
      <c r="AN181" s="349"/>
      <c r="AO181" s="349"/>
      <c r="AP181" s="349"/>
      <c r="AQ181" s="350"/>
      <c r="AR181" s="351"/>
      <c r="AS181" s="351"/>
      <c r="AT181" s="352"/>
      <c r="AV181" s="343"/>
      <c r="AW181" s="51"/>
      <c r="AX181" s="51"/>
      <c r="AY181" s="51"/>
      <c r="AZ181" s="51"/>
      <c r="BA181" s="51"/>
      <c r="BB181" s="51"/>
      <c r="BC181" s="51"/>
      <c r="BD181" s="51"/>
      <c r="BE181" s="344"/>
      <c r="BF181" s="57"/>
      <c r="BG181" s="57"/>
      <c r="BH181" s="85"/>
    </row>
    <row r="182" spans="26:60" ht="26.25" x14ac:dyDescent="0.25">
      <c r="Z182" s="84"/>
      <c r="AK182" s="348"/>
      <c r="AL182" s="348"/>
      <c r="AM182" s="348"/>
      <c r="AN182" s="349"/>
      <c r="AO182" s="349"/>
      <c r="AP182" s="349"/>
      <c r="AQ182" s="350"/>
      <c r="AR182" s="351"/>
      <c r="AS182" s="351"/>
      <c r="AT182" s="352"/>
      <c r="AV182" s="345"/>
      <c r="AW182" s="346"/>
      <c r="AX182" s="346"/>
      <c r="AY182" s="346"/>
      <c r="AZ182" s="346"/>
      <c r="BA182" s="346"/>
      <c r="BB182" s="346"/>
      <c r="BC182" s="346"/>
      <c r="BD182" s="346"/>
      <c r="BE182" s="347"/>
      <c r="BF182" s="57"/>
      <c r="BG182" s="57"/>
      <c r="BH182" s="85"/>
    </row>
    <row r="183" spans="26:60" ht="15" customHeight="1" x14ac:dyDescent="0.25">
      <c r="Z183" s="84"/>
      <c r="AN183" s="353"/>
      <c r="AO183" s="353"/>
      <c r="AP183" s="353"/>
      <c r="AQ183" s="350"/>
      <c r="AR183" s="351"/>
      <c r="AS183" s="351"/>
      <c r="AT183" s="352"/>
      <c r="BH183" s="85"/>
    </row>
    <row r="184" spans="26:60" ht="15" customHeight="1" x14ac:dyDescent="0.25">
      <c r="Z184" s="84"/>
      <c r="AN184" s="353"/>
      <c r="AO184" s="353"/>
      <c r="AP184" s="353"/>
      <c r="AQ184" s="350"/>
      <c r="AR184" s="351"/>
      <c r="AS184" s="351"/>
      <c r="AT184" s="352"/>
      <c r="BH184" s="85"/>
    </row>
    <row r="185" spans="26:60" ht="15" customHeight="1" x14ac:dyDescent="0.25">
      <c r="Z185" s="84"/>
      <c r="AN185" s="353"/>
      <c r="AO185" s="353"/>
      <c r="AP185" s="353"/>
      <c r="AQ185" s="350"/>
      <c r="AR185" s="351"/>
      <c r="AS185" s="351"/>
      <c r="AT185" s="352"/>
      <c r="BH185" s="85"/>
    </row>
    <row r="186" spans="26:60" x14ac:dyDescent="0.25">
      <c r="Z186" s="84"/>
      <c r="BH186" s="85"/>
    </row>
    <row r="187" spans="26:60" ht="15.75" thickBot="1" x14ac:dyDescent="0.3">
      <c r="Z187" s="87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  <c r="AQ187" s="88"/>
      <c r="AR187" s="88"/>
      <c r="AS187" s="88"/>
      <c r="AT187" s="88"/>
      <c r="AU187" s="88"/>
      <c r="AV187" s="88"/>
      <c r="AW187" s="88"/>
      <c r="AX187" s="88"/>
      <c r="AY187" s="88"/>
      <c r="AZ187" s="88"/>
      <c r="BA187" s="88"/>
      <c r="BB187" s="88"/>
      <c r="BC187" s="88"/>
      <c r="BD187" s="88"/>
      <c r="BE187" s="88"/>
      <c r="BF187" s="88"/>
      <c r="BG187" s="88"/>
      <c r="BH187" s="89"/>
    </row>
  </sheetData>
  <mergeCells count="1669">
    <mergeCell ref="A106:B108"/>
    <mergeCell ref="C106:E108"/>
    <mergeCell ref="F106:G108"/>
    <mergeCell ref="H106:J108"/>
    <mergeCell ref="K106:L108"/>
    <mergeCell ref="M106:O108"/>
    <mergeCell ref="P106:Q108"/>
    <mergeCell ref="R106:T108"/>
    <mergeCell ref="U106:V108"/>
    <mergeCell ref="W106:Y108"/>
    <mergeCell ref="Z106:AA108"/>
    <mergeCell ref="AB106:AD108"/>
    <mergeCell ref="AE106:AF108"/>
    <mergeCell ref="AG106:AI108"/>
    <mergeCell ref="AJ106:AK108"/>
    <mergeCell ref="AL106:AN108"/>
    <mergeCell ref="AO106:AP108"/>
    <mergeCell ref="BN94:BO96"/>
    <mergeCell ref="BP94:BR96"/>
    <mergeCell ref="K91:K92"/>
    <mergeCell ref="L91:O91"/>
    <mergeCell ref="P91:P92"/>
    <mergeCell ref="Q91:T91"/>
    <mergeCell ref="A88:B90"/>
    <mergeCell ref="C88:E90"/>
    <mergeCell ref="F88:G90"/>
    <mergeCell ref="H88:J90"/>
    <mergeCell ref="K88:L90"/>
    <mergeCell ref="A100:B102"/>
    <mergeCell ref="C100:E102"/>
    <mergeCell ref="F100:G102"/>
    <mergeCell ref="H100:J102"/>
    <mergeCell ref="K100:L102"/>
    <mergeCell ref="M100:O102"/>
    <mergeCell ref="P100:Q102"/>
    <mergeCell ref="R100:T102"/>
    <mergeCell ref="U100:V102"/>
    <mergeCell ref="W100:Y102"/>
    <mergeCell ref="Z100:AA102"/>
    <mergeCell ref="AB100:AD102"/>
    <mergeCell ref="AE100:AF102"/>
    <mergeCell ref="AG100:AI102"/>
    <mergeCell ref="AJ100:AK102"/>
    <mergeCell ref="AL100:AN102"/>
    <mergeCell ref="AO100:AP102"/>
    <mergeCell ref="BP100:BR102"/>
    <mergeCell ref="A94:B96"/>
    <mergeCell ref="C94:E96"/>
    <mergeCell ref="F94:G96"/>
    <mergeCell ref="H94:J96"/>
    <mergeCell ref="K94:L96"/>
    <mergeCell ref="M94:O96"/>
    <mergeCell ref="P94:Q96"/>
    <mergeCell ref="R94:T96"/>
    <mergeCell ref="U94:V96"/>
    <mergeCell ref="W94:Y96"/>
    <mergeCell ref="Z94:AA96"/>
    <mergeCell ref="AB94:AD96"/>
    <mergeCell ref="AE94:AF96"/>
    <mergeCell ref="AG94:AI96"/>
    <mergeCell ref="AJ94:AK96"/>
    <mergeCell ref="AL94:AN96"/>
    <mergeCell ref="AO94:AP96"/>
    <mergeCell ref="AQ88:AS90"/>
    <mergeCell ref="AT88:AU90"/>
    <mergeCell ref="AV88:AX90"/>
    <mergeCell ref="M88:O90"/>
    <mergeCell ref="P88:Q90"/>
    <mergeCell ref="R88:T90"/>
    <mergeCell ref="U88:V90"/>
    <mergeCell ref="W88:Y90"/>
    <mergeCell ref="Z88:AA90"/>
    <mergeCell ref="AB88:AD90"/>
    <mergeCell ref="AE88:AF90"/>
    <mergeCell ref="AG88:AI90"/>
    <mergeCell ref="AJ88:AK90"/>
    <mergeCell ref="AL88:AN90"/>
    <mergeCell ref="AO88:AP90"/>
    <mergeCell ref="AO91:AO92"/>
    <mergeCell ref="AP91:AS91"/>
    <mergeCell ref="AT91:AT92"/>
    <mergeCell ref="AY88:AZ90"/>
    <mergeCell ref="BA88:BC90"/>
    <mergeCell ref="BD88:BE90"/>
    <mergeCell ref="BF88:BH90"/>
    <mergeCell ref="BI88:BJ90"/>
    <mergeCell ref="BK88:BM90"/>
    <mergeCell ref="BN88:BO90"/>
    <mergeCell ref="AQ100:AS102"/>
    <mergeCell ref="AT100:AU102"/>
    <mergeCell ref="AV100:AX102"/>
    <mergeCell ref="AY100:AZ102"/>
    <mergeCell ref="BA100:BC102"/>
    <mergeCell ref="BD100:BE102"/>
    <mergeCell ref="BA94:BC96"/>
    <mergeCell ref="BN93:BO93"/>
    <mergeCell ref="BD94:BE96"/>
    <mergeCell ref="BI97:BI98"/>
    <mergeCell ref="BJ97:BM97"/>
    <mergeCell ref="BN97:BN98"/>
    <mergeCell ref="BO97:BR97"/>
    <mergeCell ref="AQ94:AS96"/>
    <mergeCell ref="AT94:AU96"/>
    <mergeCell ref="AV94:AX96"/>
    <mergeCell ref="AY94:AZ96"/>
    <mergeCell ref="BN91:BN92"/>
    <mergeCell ref="BP88:BR90"/>
    <mergeCell ref="BF94:BH96"/>
    <mergeCell ref="BI94:BJ96"/>
    <mergeCell ref="BK94:BM96"/>
    <mergeCell ref="AY93:AZ93"/>
    <mergeCell ref="BA93:BC93"/>
    <mergeCell ref="BD93:BE93"/>
    <mergeCell ref="BK76:BM78"/>
    <mergeCell ref="BN76:BO78"/>
    <mergeCell ref="BP76:BR78"/>
    <mergeCell ref="A82:B84"/>
    <mergeCell ref="C82:E84"/>
    <mergeCell ref="F82:G84"/>
    <mergeCell ref="H82:J84"/>
    <mergeCell ref="K82:L84"/>
    <mergeCell ref="M82:O84"/>
    <mergeCell ref="P82:Q84"/>
    <mergeCell ref="R82:T84"/>
    <mergeCell ref="U82:V84"/>
    <mergeCell ref="W82:Y84"/>
    <mergeCell ref="Z82:AA84"/>
    <mergeCell ref="AB82:AD84"/>
    <mergeCell ref="AE82:AF84"/>
    <mergeCell ref="AG82:AI84"/>
    <mergeCell ref="AJ82:AK84"/>
    <mergeCell ref="AL82:AN84"/>
    <mergeCell ref="AO82:AP84"/>
    <mergeCell ref="BN82:BO84"/>
    <mergeCell ref="BP82:BR84"/>
    <mergeCell ref="U76:V78"/>
    <mergeCell ref="W76:Y78"/>
    <mergeCell ref="Z76:AA78"/>
    <mergeCell ref="AB76:AD78"/>
    <mergeCell ref="AE76:AF78"/>
    <mergeCell ref="AG76:AI78"/>
    <mergeCell ref="AJ76:AK78"/>
    <mergeCell ref="AL76:AN78"/>
    <mergeCell ref="AO76:AP78"/>
    <mergeCell ref="AQ76:AS78"/>
    <mergeCell ref="AT76:AU78"/>
    <mergeCell ref="AV76:AX78"/>
    <mergeCell ref="AY76:AZ78"/>
    <mergeCell ref="BA76:BC78"/>
    <mergeCell ref="BD76:BE78"/>
    <mergeCell ref="BF76:BH78"/>
    <mergeCell ref="BI76:BJ78"/>
    <mergeCell ref="BN81:BO81"/>
    <mergeCell ref="BP81:BR81"/>
    <mergeCell ref="AY81:AZ81"/>
    <mergeCell ref="BA81:BC81"/>
    <mergeCell ref="Z75:AA75"/>
    <mergeCell ref="AB75:AD75"/>
    <mergeCell ref="BK64:BM66"/>
    <mergeCell ref="BN64:BO66"/>
    <mergeCell ref="BP64:BR66"/>
    <mergeCell ref="A70:B72"/>
    <mergeCell ref="C70:E72"/>
    <mergeCell ref="F70:G72"/>
    <mergeCell ref="H70:J72"/>
    <mergeCell ref="K70:L72"/>
    <mergeCell ref="M70:O72"/>
    <mergeCell ref="P70:Q72"/>
    <mergeCell ref="R70:T72"/>
    <mergeCell ref="U70:V72"/>
    <mergeCell ref="W70:Y72"/>
    <mergeCell ref="Z70:AA72"/>
    <mergeCell ref="AB70:AD72"/>
    <mergeCell ref="AE70:AF72"/>
    <mergeCell ref="AG70:AI72"/>
    <mergeCell ref="AJ70:AK72"/>
    <mergeCell ref="AL70:AN72"/>
    <mergeCell ref="C45:E47"/>
    <mergeCell ref="F45:G47"/>
    <mergeCell ref="H45:J47"/>
    <mergeCell ref="K45:L47"/>
    <mergeCell ref="M45:O47"/>
    <mergeCell ref="P45:Q47"/>
    <mergeCell ref="R45:T47"/>
    <mergeCell ref="U45:V47"/>
    <mergeCell ref="W45:Y47"/>
    <mergeCell ref="Z45:AA47"/>
    <mergeCell ref="AB45:AD47"/>
    <mergeCell ref="AE45:AF47"/>
    <mergeCell ref="AG45:AI47"/>
    <mergeCell ref="AJ45:AK47"/>
    <mergeCell ref="AL45:AN47"/>
    <mergeCell ref="AO45:AP47"/>
    <mergeCell ref="AE64:AF66"/>
    <mergeCell ref="AG64:AI66"/>
    <mergeCell ref="C64:E66"/>
    <mergeCell ref="F64:G66"/>
    <mergeCell ref="H64:J66"/>
    <mergeCell ref="AF60:AI60"/>
    <mergeCell ref="F56:H56"/>
    <mergeCell ref="I56:J56"/>
    <mergeCell ref="K56:M56"/>
    <mergeCell ref="N56:O56"/>
    <mergeCell ref="P56:R56"/>
    <mergeCell ref="F50:H50"/>
    <mergeCell ref="I50:J50"/>
    <mergeCell ref="K50:M50"/>
    <mergeCell ref="N50:O50"/>
    <mergeCell ref="M69:O69"/>
    <mergeCell ref="AU67:AX67"/>
    <mergeCell ref="A39:B41"/>
    <mergeCell ref="C39:E41"/>
    <mergeCell ref="F39:G41"/>
    <mergeCell ref="H39:J41"/>
    <mergeCell ref="K39:L41"/>
    <mergeCell ref="M39:O41"/>
    <mergeCell ref="P39:Q41"/>
    <mergeCell ref="R39:T41"/>
    <mergeCell ref="U39:V41"/>
    <mergeCell ref="W39:Y41"/>
    <mergeCell ref="Z39:AA41"/>
    <mergeCell ref="AB39:AD41"/>
    <mergeCell ref="AE39:AF41"/>
    <mergeCell ref="AG39:AI41"/>
    <mergeCell ref="AJ39:AK41"/>
    <mergeCell ref="AL39:AN41"/>
    <mergeCell ref="AO39:AP41"/>
    <mergeCell ref="A67:A68"/>
    <mergeCell ref="B67:E67"/>
    <mergeCell ref="F67:F68"/>
    <mergeCell ref="G67:J67"/>
    <mergeCell ref="K67:K68"/>
    <mergeCell ref="L67:O67"/>
    <mergeCell ref="P67:P68"/>
    <mergeCell ref="A64:B66"/>
    <mergeCell ref="K64:L66"/>
    <mergeCell ref="M64:O66"/>
    <mergeCell ref="P64:Q66"/>
    <mergeCell ref="R64:T66"/>
    <mergeCell ref="A45:B47"/>
    <mergeCell ref="BI32:BJ32"/>
    <mergeCell ref="AT45:AU47"/>
    <mergeCell ref="AV45:AX47"/>
    <mergeCell ref="AY45:AZ47"/>
    <mergeCell ref="BA45:BC47"/>
    <mergeCell ref="BD45:BE47"/>
    <mergeCell ref="BF45:BH47"/>
    <mergeCell ref="BI45:BJ47"/>
    <mergeCell ref="BK45:BM47"/>
    <mergeCell ref="BN45:BO47"/>
    <mergeCell ref="BP45:BR47"/>
    <mergeCell ref="BF33:BH35"/>
    <mergeCell ref="BI33:BJ35"/>
    <mergeCell ref="BK33:BM35"/>
    <mergeCell ref="BN33:BO35"/>
    <mergeCell ref="BP33:BR35"/>
    <mergeCell ref="BP39:BR41"/>
    <mergeCell ref="BK32:BM32"/>
    <mergeCell ref="W27:Y29"/>
    <mergeCell ref="AQ39:AS41"/>
    <mergeCell ref="AT39:AU41"/>
    <mergeCell ref="AV39:AX41"/>
    <mergeCell ref="AY39:AZ41"/>
    <mergeCell ref="BA39:BC41"/>
    <mergeCell ref="BD39:BE41"/>
    <mergeCell ref="BF39:BH41"/>
    <mergeCell ref="BI39:BJ41"/>
    <mergeCell ref="BK39:BM41"/>
    <mergeCell ref="BN39:BO41"/>
    <mergeCell ref="AQ27:AS29"/>
    <mergeCell ref="AT27:AU29"/>
    <mergeCell ref="AV27:AX29"/>
    <mergeCell ref="AY27:AZ29"/>
    <mergeCell ref="BA27:BC29"/>
    <mergeCell ref="BD27:BE29"/>
    <mergeCell ref="BF27:BH29"/>
    <mergeCell ref="BI27:BJ29"/>
    <mergeCell ref="BK27:BM29"/>
    <mergeCell ref="BN27:BO29"/>
    <mergeCell ref="BI36:BI37"/>
    <mergeCell ref="BJ36:BM36"/>
    <mergeCell ref="BN36:BN37"/>
    <mergeCell ref="BO36:BR36"/>
    <mergeCell ref="BA33:BC35"/>
    <mergeCell ref="BN32:BO32"/>
    <mergeCell ref="BP32:BR32"/>
    <mergeCell ref="AY32:AZ32"/>
    <mergeCell ref="BA32:BC32"/>
    <mergeCell ref="BD32:BE32"/>
    <mergeCell ref="BF32:BH32"/>
    <mergeCell ref="BF21:BH23"/>
    <mergeCell ref="BP27:BR29"/>
    <mergeCell ref="A33:B35"/>
    <mergeCell ref="C33:E35"/>
    <mergeCell ref="F33:G35"/>
    <mergeCell ref="H33:J35"/>
    <mergeCell ref="K33:L35"/>
    <mergeCell ref="M33:O35"/>
    <mergeCell ref="P33:Q35"/>
    <mergeCell ref="R33:T35"/>
    <mergeCell ref="U33:V35"/>
    <mergeCell ref="W33:Y35"/>
    <mergeCell ref="Z33:AA35"/>
    <mergeCell ref="AB33:AD35"/>
    <mergeCell ref="AE33:AF35"/>
    <mergeCell ref="AG33:AI35"/>
    <mergeCell ref="AJ33:AK35"/>
    <mergeCell ref="AL33:AN35"/>
    <mergeCell ref="AO33:AP35"/>
    <mergeCell ref="AQ33:AS35"/>
    <mergeCell ref="AT33:AU35"/>
    <mergeCell ref="AV33:AX35"/>
    <mergeCell ref="AY33:AZ35"/>
    <mergeCell ref="A27:B29"/>
    <mergeCell ref="C27:E29"/>
    <mergeCell ref="F27:G29"/>
    <mergeCell ref="H27:J29"/>
    <mergeCell ref="K27:L29"/>
    <mergeCell ref="M27:O29"/>
    <mergeCell ref="P27:Q29"/>
    <mergeCell ref="R27:T29"/>
    <mergeCell ref="U27:V29"/>
    <mergeCell ref="AQ15:AS17"/>
    <mergeCell ref="AT15:AU17"/>
    <mergeCell ref="AV15:AX17"/>
    <mergeCell ref="AY15:AZ17"/>
    <mergeCell ref="BA15:BC17"/>
    <mergeCell ref="BD15:BE17"/>
    <mergeCell ref="Z27:AA29"/>
    <mergeCell ref="AB27:AD29"/>
    <mergeCell ref="AE27:AF29"/>
    <mergeCell ref="AG27:AI29"/>
    <mergeCell ref="AJ27:AK29"/>
    <mergeCell ref="AL27:AN29"/>
    <mergeCell ref="AO27:AP29"/>
    <mergeCell ref="BP15:BR17"/>
    <mergeCell ref="A21:B23"/>
    <mergeCell ref="C21:E23"/>
    <mergeCell ref="F21:G23"/>
    <mergeCell ref="H21:J23"/>
    <mergeCell ref="K21:L23"/>
    <mergeCell ref="M21:O23"/>
    <mergeCell ref="P21:Q23"/>
    <mergeCell ref="R21:T23"/>
    <mergeCell ref="U21:V23"/>
    <mergeCell ref="W21:Y23"/>
    <mergeCell ref="Z21:AA23"/>
    <mergeCell ref="AB21:AD23"/>
    <mergeCell ref="AE21:AF23"/>
    <mergeCell ref="AG21:AI23"/>
    <mergeCell ref="AJ21:AK23"/>
    <mergeCell ref="AL21:AN23"/>
    <mergeCell ref="AO21:AP23"/>
    <mergeCell ref="AQ21:AS23"/>
    <mergeCell ref="A15:B17"/>
    <mergeCell ref="C15:E17"/>
    <mergeCell ref="F15:G17"/>
    <mergeCell ref="H15:J17"/>
    <mergeCell ref="K15:L17"/>
    <mergeCell ref="M15:O17"/>
    <mergeCell ref="P15:Q17"/>
    <mergeCell ref="R15:T17"/>
    <mergeCell ref="U15:V17"/>
    <mergeCell ref="W15:Y17"/>
    <mergeCell ref="Z15:AA17"/>
    <mergeCell ref="AB15:AD17"/>
    <mergeCell ref="AE15:AF17"/>
    <mergeCell ref="AG15:AI17"/>
    <mergeCell ref="AJ15:AK17"/>
    <mergeCell ref="AL15:AN17"/>
    <mergeCell ref="AO15:AP17"/>
    <mergeCell ref="AY3:AZ5"/>
    <mergeCell ref="BA3:BC5"/>
    <mergeCell ref="BD3:BE5"/>
    <mergeCell ref="BF3:BH5"/>
    <mergeCell ref="BI3:BJ5"/>
    <mergeCell ref="BK3:BM5"/>
    <mergeCell ref="BN3:BO5"/>
    <mergeCell ref="BP3:BR5"/>
    <mergeCell ref="A9:B11"/>
    <mergeCell ref="C9:E11"/>
    <mergeCell ref="F9:G11"/>
    <mergeCell ref="H9:J11"/>
    <mergeCell ref="K9:L11"/>
    <mergeCell ref="M9:O11"/>
    <mergeCell ref="P9:Q11"/>
    <mergeCell ref="R9:T11"/>
    <mergeCell ref="U9:V11"/>
    <mergeCell ref="W9:Y11"/>
    <mergeCell ref="Z9:AA11"/>
    <mergeCell ref="AB9:AD11"/>
    <mergeCell ref="AE9:AF11"/>
    <mergeCell ref="AG9:AI11"/>
    <mergeCell ref="AJ9:AK11"/>
    <mergeCell ref="AL9:AN11"/>
    <mergeCell ref="BF9:BH11"/>
    <mergeCell ref="BI9:BJ11"/>
    <mergeCell ref="BK9:BM11"/>
    <mergeCell ref="BN9:BO11"/>
    <mergeCell ref="BP9:BR11"/>
    <mergeCell ref="AV9:AX11"/>
    <mergeCell ref="A3:B5"/>
    <mergeCell ref="C3:E5"/>
    <mergeCell ref="F3:G5"/>
    <mergeCell ref="H3:J5"/>
    <mergeCell ref="K3:L5"/>
    <mergeCell ref="M3:O5"/>
    <mergeCell ref="P3:Q5"/>
    <mergeCell ref="R3:T5"/>
    <mergeCell ref="U3:V5"/>
    <mergeCell ref="W3:Y5"/>
    <mergeCell ref="Z3:AA5"/>
    <mergeCell ref="AB3:AD5"/>
    <mergeCell ref="AE3:AF5"/>
    <mergeCell ref="AG3:AI5"/>
    <mergeCell ref="AJ3:AK5"/>
    <mergeCell ref="AL3:AN5"/>
    <mergeCell ref="K6:K7"/>
    <mergeCell ref="L6:O6"/>
    <mergeCell ref="P6:P7"/>
    <mergeCell ref="Q6:T6"/>
    <mergeCell ref="AO3:AP5"/>
    <mergeCell ref="AQ3:AS5"/>
    <mergeCell ref="AT3:AU5"/>
    <mergeCell ref="AV3:AX5"/>
    <mergeCell ref="BI115:BI116"/>
    <mergeCell ref="BJ115:BM115"/>
    <mergeCell ref="BN115:BN116"/>
    <mergeCell ref="BO115:BR115"/>
    <mergeCell ref="AT115:AT116"/>
    <mergeCell ref="AU115:AX115"/>
    <mergeCell ref="AY115:AY116"/>
    <mergeCell ref="AZ115:BC115"/>
    <mergeCell ref="BD115:BD116"/>
    <mergeCell ref="BE115:BH115"/>
    <mergeCell ref="AE115:AE116"/>
    <mergeCell ref="AF115:AI115"/>
    <mergeCell ref="AJ115:AJ116"/>
    <mergeCell ref="AK115:AN115"/>
    <mergeCell ref="AO115:AO116"/>
    <mergeCell ref="AP115:AS115"/>
    <mergeCell ref="BN112:BR114"/>
    <mergeCell ref="BN111:BO111"/>
    <mergeCell ref="BP111:BR111"/>
    <mergeCell ref="AY111:AZ111"/>
    <mergeCell ref="BA111:BC111"/>
    <mergeCell ref="BD111:BE111"/>
    <mergeCell ref="BF111:BH111"/>
    <mergeCell ref="BI111:BJ111"/>
    <mergeCell ref="BK111:BM111"/>
    <mergeCell ref="AJ111:AK111"/>
    <mergeCell ref="AL111:AN111"/>
    <mergeCell ref="AO111:AP111"/>
    <mergeCell ref="P115:P116"/>
    <mergeCell ref="Q115:T115"/>
    <mergeCell ref="U115:U116"/>
    <mergeCell ref="V115:Y115"/>
    <mergeCell ref="Z115:Z116"/>
    <mergeCell ref="AA115:AD115"/>
    <mergeCell ref="A115:A116"/>
    <mergeCell ref="B115:E115"/>
    <mergeCell ref="F115:F116"/>
    <mergeCell ref="G115:J115"/>
    <mergeCell ref="K115:K116"/>
    <mergeCell ref="L115:O115"/>
    <mergeCell ref="AO112:AS114"/>
    <mergeCell ref="AT112:AX114"/>
    <mergeCell ref="AY112:BC114"/>
    <mergeCell ref="BD112:BH114"/>
    <mergeCell ref="BI112:BM114"/>
    <mergeCell ref="K112:O114"/>
    <mergeCell ref="P112:T114"/>
    <mergeCell ref="U112:Y114"/>
    <mergeCell ref="Z112:AD114"/>
    <mergeCell ref="AE112:AI114"/>
    <mergeCell ref="AJ112:AN114"/>
    <mergeCell ref="A112:B114"/>
    <mergeCell ref="C112:E114"/>
    <mergeCell ref="F112:G114"/>
    <mergeCell ref="H112:J114"/>
    <mergeCell ref="AQ111:AS111"/>
    <mergeCell ref="AT111:AU111"/>
    <mergeCell ref="AV111:AX111"/>
    <mergeCell ref="U111:V111"/>
    <mergeCell ref="W111:Y111"/>
    <mergeCell ref="Z111:AA111"/>
    <mergeCell ref="AB111:AD111"/>
    <mergeCell ref="AE111:AF111"/>
    <mergeCell ref="AG111:AI111"/>
    <mergeCell ref="BN109:BN110"/>
    <mergeCell ref="BO109:BR109"/>
    <mergeCell ref="A111:B111"/>
    <mergeCell ref="C111:E111"/>
    <mergeCell ref="F111:G111"/>
    <mergeCell ref="H111:J111"/>
    <mergeCell ref="K111:L111"/>
    <mergeCell ref="M111:O111"/>
    <mergeCell ref="P111:Q111"/>
    <mergeCell ref="R111:T111"/>
    <mergeCell ref="AY109:AY110"/>
    <mergeCell ref="AZ109:BC109"/>
    <mergeCell ref="BD109:BD110"/>
    <mergeCell ref="BE109:BH109"/>
    <mergeCell ref="BI109:BI110"/>
    <mergeCell ref="BJ109:BM109"/>
    <mergeCell ref="AJ109:AJ110"/>
    <mergeCell ref="AK109:AN109"/>
    <mergeCell ref="AO109:AO110"/>
    <mergeCell ref="AP109:AS109"/>
    <mergeCell ref="AT109:AT110"/>
    <mergeCell ref="AU109:AX109"/>
    <mergeCell ref="U109:U110"/>
    <mergeCell ref="V109:Y109"/>
    <mergeCell ref="Z109:Z110"/>
    <mergeCell ref="AA109:AD109"/>
    <mergeCell ref="A109:A110"/>
    <mergeCell ref="B109:E109"/>
    <mergeCell ref="F109:F110"/>
    <mergeCell ref="G109:J109"/>
    <mergeCell ref="K109:K110"/>
    <mergeCell ref="L109:O109"/>
    <mergeCell ref="P109:P110"/>
    <mergeCell ref="Q109:T109"/>
    <mergeCell ref="BN105:BO105"/>
    <mergeCell ref="BP105:BR105"/>
    <mergeCell ref="AT105:AU105"/>
    <mergeCell ref="AV105:AX105"/>
    <mergeCell ref="AY105:AZ105"/>
    <mergeCell ref="BA105:BC105"/>
    <mergeCell ref="BD105:BE105"/>
    <mergeCell ref="BF105:BH105"/>
    <mergeCell ref="AE105:AF105"/>
    <mergeCell ref="AG105:AI105"/>
    <mergeCell ref="AJ105:AK105"/>
    <mergeCell ref="AL105:AN105"/>
    <mergeCell ref="AO105:AP105"/>
    <mergeCell ref="AQ105:AS105"/>
    <mergeCell ref="P105:Q105"/>
    <mergeCell ref="R105:T105"/>
    <mergeCell ref="U105:V105"/>
    <mergeCell ref="W105:Y105"/>
    <mergeCell ref="Z105:AA105"/>
    <mergeCell ref="AB105:AD105"/>
    <mergeCell ref="H105:J105"/>
    <mergeCell ref="K105:L105"/>
    <mergeCell ref="BI106:BJ108"/>
    <mergeCell ref="BK106:BM108"/>
    <mergeCell ref="BI105:BJ105"/>
    <mergeCell ref="BK105:BM105"/>
    <mergeCell ref="BP99:BR99"/>
    <mergeCell ref="BA99:BC99"/>
    <mergeCell ref="BD99:BE99"/>
    <mergeCell ref="BF99:BH99"/>
    <mergeCell ref="BI99:BJ99"/>
    <mergeCell ref="BK99:BM99"/>
    <mergeCell ref="BN99:BO99"/>
    <mergeCell ref="P103:P104"/>
    <mergeCell ref="Q103:T103"/>
    <mergeCell ref="U103:U104"/>
    <mergeCell ref="V103:Y103"/>
    <mergeCell ref="Z103:Z104"/>
    <mergeCell ref="AA103:AD103"/>
    <mergeCell ref="BF100:BH102"/>
    <mergeCell ref="BI100:BJ102"/>
    <mergeCell ref="BK100:BM102"/>
    <mergeCell ref="BN100:BO102"/>
    <mergeCell ref="AQ106:AS108"/>
    <mergeCell ref="AT106:AU108"/>
    <mergeCell ref="AV106:AX108"/>
    <mergeCell ref="AY106:AZ108"/>
    <mergeCell ref="BA106:BC108"/>
    <mergeCell ref="BD106:BE108"/>
    <mergeCell ref="BF106:BH108"/>
    <mergeCell ref="AE109:AE110"/>
    <mergeCell ref="AF109:AI109"/>
    <mergeCell ref="BN106:BO108"/>
    <mergeCell ref="BP106:BR108"/>
    <mergeCell ref="BW164:CF168"/>
    <mergeCell ref="AE99:AF99"/>
    <mergeCell ref="AG99:AI99"/>
    <mergeCell ref="AJ99:AK99"/>
    <mergeCell ref="AL99:AN99"/>
    <mergeCell ref="AO99:AP99"/>
    <mergeCell ref="AQ99:AS99"/>
    <mergeCell ref="AT99:AU99"/>
    <mergeCell ref="AV99:AX99"/>
    <mergeCell ref="AY99:AZ99"/>
    <mergeCell ref="BW155:CF157"/>
    <mergeCell ref="AJ156:AL158"/>
    <mergeCell ref="AM156:AO158"/>
    <mergeCell ref="AP156:AS158"/>
    <mergeCell ref="BW158:CF159"/>
    <mergeCell ref="AJ159:AL161"/>
    <mergeCell ref="AM159:AO161"/>
    <mergeCell ref="AP159:AS161"/>
    <mergeCell ref="BW160:CF163"/>
    <mergeCell ref="AK162:AS164"/>
    <mergeCell ref="BW150:CF152"/>
    <mergeCell ref="AJ153:AL155"/>
    <mergeCell ref="AM153:AO155"/>
    <mergeCell ref="AP153:AS155"/>
    <mergeCell ref="BK153:BM156"/>
    <mergeCell ref="BN153:BP156"/>
    <mergeCell ref="BQ153:BR156"/>
    <mergeCell ref="BS153:BT156"/>
    <mergeCell ref="BW153:CF154"/>
    <mergeCell ref="AU154:BD158"/>
    <mergeCell ref="BW147:CF149"/>
    <mergeCell ref="AU148:BD149"/>
    <mergeCell ref="AJ150:AL152"/>
    <mergeCell ref="AM150:AO152"/>
    <mergeCell ref="AP150:AS152"/>
    <mergeCell ref="AU150:BD153"/>
    <mergeCell ref="BK150:BM152"/>
    <mergeCell ref="BN150:BP152"/>
    <mergeCell ref="BQ150:BR152"/>
    <mergeCell ref="BS150:BT152"/>
    <mergeCell ref="AU143:BD144"/>
    <mergeCell ref="AJ144:AL146"/>
    <mergeCell ref="AM144:AO146"/>
    <mergeCell ref="AP144:AS146"/>
    <mergeCell ref="AU145:BD147"/>
    <mergeCell ref="AJ147:AL149"/>
    <mergeCell ref="AM147:AO149"/>
    <mergeCell ref="AP147:AS149"/>
    <mergeCell ref="BL132:BR133"/>
    <mergeCell ref="AJ138:AL140"/>
    <mergeCell ref="AM138:AO140"/>
    <mergeCell ref="AP138:AS140"/>
    <mergeCell ref="Z140:AD146"/>
    <mergeCell ref="AU140:BD142"/>
    <mergeCell ref="AJ141:AL143"/>
    <mergeCell ref="AM141:AO143"/>
    <mergeCell ref="AP141:AS143"/>
    <mergeCell ref="BG124:BK133"/>
    <mergeCell ref="BL124:BO127"/>
    <mergeCell ref="BP124:BR127"/>
    <mergeCell ref="A125:C127"/>
    <mergeCell ref="D127:E127"/>
    <mergeCell ref="G127:I129"/>
    <mergeCell ref="X128:AI133"/>
    <mergeCell ref="AJ128:AT133"/>
    <mergeCell ref="AU128:BF133"/>
    <mergeCell ref="BL128:BR131"/>
    <mergeCell ref="A124:C124"/>
    <mergeCell ref="D124:E124"/>
    <mergeCell ref="G124:I126"/>
    <mergeCell ref="X124:AI127"/>
    <mergeCell ref="AJ124:AS127"/>
    <mergeCell ref="AU124:BF127"/>
    <mergeCell ref="G133:I133"/>
    <mergeCell ref="G130:I131"/>
    <mergeCell ref="G132:I132"/>
    <mergeCell ref="A103:A104"/>
    <mergeCell ref="B103:E103"/>
    <mergeCell ref="F103:F104"/>
    <mergeCell ref="G103:J103"/>
    <mergeCell ref="K103:K104"/>
    <mergeCell ref="L103:O103"/>
    <mergeCell ref="BI103:BI104"/>
    <mergeCell ref="BJ103:BM103"/>
    <mergeCell ref="BN103:BN104"/>
    <mergeCell ref="BO103:BR103"/>
    <mergeCell ref="A105:B105"/>
    <mergeCell ref="C105:E105"/>
    <mergeCell ref="F105:G105"/>
    <mergeCell ref="P99:Q99"/>
    <mergeCell ref="R99:T99"/>
    <mergeCell ref="U99:V99"/>
    <mergeCell ref="W99:Y99"/>
    <mergeCell ref="Z99:AA99"/>
    <mergeCell ref="AB99:AD99"/>
    <mergeCell ref="M105:O105"/>
    <mergeCell ref="AT103:AT104"/>
    <mergeCell ref="AU103:AX103"/>
    <mergeCell ref="AY103:AY104"/>
    <mergeCell ref="AZ103:BC103"/>
    <mergeCell ref="BD103:BD104"/>
    <mergeCell ref="BE103:BH103"/>
    <mergeCell ref="AE103:AE104"/>
    <mergeCell ref="AF103:AI103"/>
    <mergeCell ref="AJ103:AJ104"/>
    <mergeCell ref="AK103:AN103"/>
    <mergeCell ref="AO103:AO104"/>
    <mergeCell ref="AP103:AS103"/>
    <mergeCell ref="A99:B99"/>
    <mergeCell ref="C99:E99"/>
    <mergeCell ref="F99:G99"/>
    <mergeCell ref="H99:J99"/>
    <mergeCell ref="K99:L99"/>
    <mergeCell ref="M99:O99"/>
    <mergeCell ref="AT97:AT98"/>
    <mergeCell ref="AU97:AX97"/>
    <mergeCell ref="AY97:AY98"/>
    <mergeCell ref="AZ97:BC97"/>
    <mergeCell ref="BD97:BD98"/>
    <mergeCell ref="BE97:BH97"/>
    <mergeCell ref="AE97:AE98"/>
    <mergeCell ref="AF97:AI97"/>
    <mergeCell ref="AJ97:AJ98"/>
    <mergeCell ref="AK97:AN97"/>
    <mergeCell ref="AO97:AO98"/>
    <mergeCell ref="AP97:AS97"/>
    <mergeCell ref="P97:P98"/>
    <mergeCell ref="Q97:T97"/>
    <mergeCell ref="U97:U98"/>
    <mergeCell ref="V97:Y97"/>
    <mergeCell ref="Z97:Z98"/>
    <mergeCell ref="AA97:AD97"/>
    <mergeCell ref="A97:A98"/>
    <mergeCell ref="B97:E97"/>
    <mergeCell ref="F97:F98"/>
    <mergeCell ref="G97:J97"/>
    <mergeCell ref="K97:K98"/>
    <mergeCell ref="L97:O97"/>
    <mergeCell ref="BF93:BH93"/>
    <mergeCell ref="BI93:BJ93"/>
    <mergeCell ref="BK93:BM93"/>
    <mergeCell ref="AJ93:AK93"/>
    <mergeCell ref="AL93:AN93"/>
    <mergeCell ref="AO93:AP93"/>
    <mergeCell ref="AQ93:AS93"/>
    <mergeCell ref="AT93:AU93"/>
    <mergeCell ref="AV93:AX93"/>
    <mergeCell ref="U93:V93"/>
    <mergeCell ref="W93:Y93"/>
    <mergeCell ref="Z93:AA93"/>
    <mergeCell ref="AB93:AD93"/>
    <mergeCell ref="AE93:AF93"/>
    <mergeCell ref="AG93:AI93"/>
    <mergeCell ref="BO91:BR91"/>
    <mergeCell ref="A93:B93"/>
    <mergeCell ref="C93:E93"/>
    <mergeCell ref="F93:G93"/>
    <mergeCell ref="H93:J93"/>
    <mergeCell ref="K93:L93"/>
    <mergeCell ref="M93:O93"/>
    <mergeCell ref="P93:Q93"/>
    <mergeCell ref="R93:T93"/>
    <mergeCell ref="AY91:AY92"/>
    <mergeCell ref="AZ91:BC91"/>
    <mergeCell ref="BD91:BD92"/>
    <mergeCell ref="BE91:BH91"/>
    <mergeCell ref="BI91:BI92"/>
    <mergeCell ref="BJ91:BM91"/>
    <mergeCell ref="AJ91:AJ92"/>
    <mergeCell ref="AK91:AN91"/>
    <mergeCell ref="AU91:AX91"/>
    <mergeCell ref="U91:U92"/>
    <mergeCell ref="V91:Y91"/>
    <mergeCell ref="Z91:Z92"/>
    <mergeCell ref="AA91:AD91"/>
    <mergeCell ref="AE91:AE92"/>
    <mergeCell ref="AF91:AI91"/>
    <mergeCell ref="A91:A92"/>
    <mergeCell ref="B91:E91"/>
    <mergeCell ref="F91:F92"/>
    <mergeCell ref="G91:J91"/>
    <mergeCell ref="BP93:BR93"/>
    <mergeCell ref="BI87:BJ87"/>
    <mergeCell ref="BK87:BM87"/>
    <mergeCell ref="BN87:BO87"/>
    <mergeCell ref="BP87:BR87"/>
    <mergeCell ref="AT87:AU87"/>
    <mergeCell ref="AV87:AX87"/>
    <mergeCell ref="AY87:AZ87"/>
    <mergeCell ref="BA87:BC87"/>
    <mergeCell ref="BD87:BE87"/>
    <mergeCell ref="BF87:BH87"/>
    <mergeCell ref="AE87:AF87"/>
    <mergeCell ref="AG87:AI87"/>
    <mergeCell ref="AJ87:AK87"/>
    <mergeCell ref="AL87:AN87"/>
    <mergeCell ref="AO87:AP87"/>
    <mergeCell ref="AQ87:AS87"/>
    <mergeCell ref="P87:Q87"/>
    <mergeCell ref="R87:T87"/>
    <mergeCell ref="U87:V87"/>
    <mergeCell ref="W87:Y87"/>
    <mergeCell ref="Z87:AA87"/>
    <mergeCell ref="AB87:AD87"/>
    <mergeCell ref="A87:B87"/>
    <mergeCell ref="C87:E87"/>
    <mergeCell ref="F87:G87"/>
    <mergeCell ref="H87:J87"/>
    <mergeCell ref="K87:L87"/>
    <mergeCell ref="M87:O87"/>
    <mergeCell ref="AT85:AT86"/>
    <mergeCell ref="AU85:AX85"/>
    <mergeCell ref="AY85:AY86"/>
    <mergeCell ref="AZ85:BC85"/>
    <mergeCell ref="BD85:BD86"/>
    <mergeCell ref="BE85:BH85"/>
    <mergeCell ref="AE85:AE86"/>
    <mergeCell ref="AF85:AI85"/>
    <mergeCell ref="AJ85:AJ86"/>
    <mergeCell ref="AK85:AN85"/>
    <mergeCell ref="AO85:AO86"/>
    <mergeCell ref="AP85:AS85"/>
    <mergeCell ref="P85:P86"/>
    <mergeCell ref="Q85:T85"/>
    <mergeCell ref="U85:U86"/>
    <mergeCell ref="V85:Y85"/>
    <mergeCell ref="Z85:Z86"/>
    <mergeCell ref="AA85:AD85"/>
    <mergeCell ref="A85:A86"/>
    <mergeCell ref="B85:E85"/>
    <mergeCell ref="F85:F86"/>
    <mergeCell ref="G85:J85"/>
    <mergeCell ref="K85:K86"/>
    <mergeCell ref="L85:O85"/>
    <mergeCell ref="BD81:BE81"/>
    <mergeCell ref="BF81:BH81"/>
    <mergeCell ref="BI81:BJ81"/>
    <mergeCell ref="BK81:BM81"/>
    <mergeCell ref="AJ81:AK81"/>
    <mergeCell ref="AL81:AN81"/>
    <mergeCell ref="AO81:AP81"/>
    <mergeCell ref="AQ81:AS81"/>
    <mergeCell ref="AT81:AU81"/>
    <mergeCell ref="AV81:AX81"/>
    <mergeCell ref="U81:V81"/>
    <mergeCell ref="W81:Y81"/>
    <mergeCell ref="Z81:AA81"/>
    <mergeCell ref="AB81:AD81"/>
    <mergeCell ref="AE81:AF81"/>
    <mergeCell ref="AG81:AI81"/>
    <mergeCell ref="BI85:BI86"/>
    <mergeCell ref="BJ85:BM85"/>
    <mergeCell ref="AQ82:AS84"/>
    <mergeCell ref="AT82:AU84"/>
    <mergeCell ref="AV82:AX84"/>
    <mergeCell ref="AY82:AZ84"/>
    <mergeCell ref="BA82:BC84"/>
    <mergeCell ref="BD82:BE84"/>
    <mergeCell ref="BF82:BH84"/>
    <mergeCell ref="BI82:BJ84"/>
    <mergeCell ref="BK82:BM84"/>
    <mergeCell ref="BN85:BN86"/>
    <mergeCell ref="BO85:BR85"/>
    <mergeCell ref="A81:B81"/>
    <mergeCell ref="C81:E81"/>
    <mergeCell ref="F81:G81"/>
    <mergeCell ref="H81:J81"/>
    <mergeCell ref="K81:L81"/>
    <mergeCell ref="M81:O81"/>
    <mergeCell ref="P81:Q81"/>
    <mergeCell ref="R81:T81"/>
    <mergeCell ref="AY79:AY80"/>
    <mergeCell ref="AZ79:BC79"/>
    <mergeCell ref="BD79:BD80"/>
    <mergeCell ref="BE79:BH79"/>
    <mergeCell ref="BI79:BI80"/>
    <mergeCell ref="BJ79:BM79"/>
    <mergeCell ref="AJ79:AJ80"/>
    <mergeCell ref="AK79:AN79"/>
    <mergeCell ref="AO79:AO80"/>
    <mergeCell ref="AP79:AS79"/>
    <mergeCell ref="AT79:AT80"/>
    <mergeCell ref="AU79:AX79"/>
    <mergeCell ref="U79:U80"/>
    <mergeCell ref="V79:Y79"/>
    <mergeCell ref="Z79:Z80"/>
    <mergeCell ref="AA79:AD79"/>
    <mergeCell ref="AE79:AE80"/>
    <mergeCell ref="AF79:AI79"/>
    <mergeCell ref="A79:A80"/>
    <mergeCell ref="B79:E79"/>
    <mergeCell ref="F79:F80"/>
    <mergeCell ref="G79:J79"/>
    <mergeCell ref="K79:K80"/>
    <mergeCell ref="L79:O79"/>
    <mergeCell ref="P79:P80"/>
    <mergeCell ref="Q79:T79"/>
    <mergeCell ref="BN79:BN80"/>
    <mergeCell ref="BO79:BR79"/>
    <mergeCell ref="A76:B78"/>
    <mergeCell ref="C76:E78"/>
    <mergeCell ref="F76:G78"/>
    <mergeCell ref="H76:J78"/>
    <mergeCell ref="K76:L78"/>
    <mergeCell ref="M76:O78"/>
    <mergeCell ref="P76:Q78"/>
    <mergeCell ref="R76:T78"/>
    <mergeCell ref="L73:O73"/>
    <mergeCell ref="P73:P74"/>
    <mergeCell ref="Q73:T73"/>
    <mergeCell ref="U73:U74"/>
    <mergeCell ref="AT75:AU75"/>
    <mergeCell ref="AV75:AX75"/>
    <mergeCell ref="AY75:AZ75"/>
    <mergeCell ref="BA75:BC75"/>
    <mergeCell ref="BD75:BE75"/>
    <mergeCell ref="BF75:BH75"/>
    <mergeCell ref="AE75:AF75"/>
    <mergeCell ref="AG75:AI75"/>
    <mergeCell ref="AJ75:AK75"/>
    <mergeCell ref="AL75:AN75"/>
    <mergeCell ref="AO75:AP75"/>
    <mergeCell ref="AQ75:AS75"/>
    <mergeCell ref="P75:Q75"/>
    <mergeCell ref="R75:T75"/>
    <mergeCell ref="FJ74:FP75"/>
    <mergeCell ref="BI75:BJ75"/>
    <mergeCell ref="BK75:BM75"/>
    <mergeCell ref="BN75:BO75"/>
    <mergeCell ref="BP75:BR75"/>
    <mergeCell ref="AP73:AS73"/>
    <mergeCell ref="AT73:AT74"/>
    <mergeCell ref="AU73:AX73"/>
    <mergeCell ref="AY73:AY74"/>
    <mergeCell ref="AZ73:BC73"/>
    <mergeCell ref="BD73:BD74"/>
    <mergeCell ref="AA73:AD73"/>
    <mergeCell ref="AE73:AE74"/>
    <mergeCell ref="AF73:AI73"/>
    <mergeCell ref="AJ73:AJ74"/>
    <mergeCell ref="AK73:AN73"/>
    <mergeCell ref="AO73:AO74"/>
    <mergeCell ref="DV70:EG75"/>
    <mergeCell ref="EH70:ER75"/>
    <mergeCell ref="ES70:FD75"/>
    <mergeCell ref="FJ70:FP73"/>
    <mergeCell ref="DE72:DG75"/>
    <mergeCell ref="BK70:BM72"/>
    <mergeCell ref="BN70:BO72"/>
    <mergeCell ref="BP70:BR72"/>
    <mergeCell ref="FE66:FI75"/>
    <mergeCell ref="FJ66:FM69"/>
    <mergeCell ref="FN66:FP69"/>
    <mergeCell ref="Z64:AA66"/>
    <mergeCell ref="AB64:AD66"/>
    <mergeCell ref="AO70:AP72"/>
    <mergeCell ref="AQ70:AS72"/>
    <mergeCell ref="BN73:BN74"/>
    <mergeCell ref="DB69:DC69"/>
    <mergeCell ref="DE69:DG71"/>
    <mergeCell ref="AT69:AU69"/>
    <mergeCell ref="AV69:AX69"/>
    <mergeCell ref="AY69:AZ69"/>
    <mergeCell ref="BA69:BC69"/>
    <mergeCell ref="BD69:BE69"/>
    <mergeCell ref="BF69:BH69"/>
    <mergeCell ref="AE69:AF69"/>
    <mergeCell ref="AG69:AI69"/>
    <mergeCell ref="AJ69:AK69"/>
    <mergeCell ref="AL69:AN69"/>
    <mergeCell ref="AO69:AP69"/>
    <mergeCell ref="AQ69:AS69"/>
    <mergeCell ref="V73:Y73"/>
    <mergeCell ref="Z73:Z74"/>
    <mergeCell ref="BO73:BR73"/>
    <mergeCell ref="AT70:AU72"/>
    <mergeCell ref="AV70:AX72"/>
    <mergeCell ref="AY70:AZ72"/>
    <mergeCell ref="BA70:BC72"/>
    <mergeCell ref="BD70:BE72"/>
    <mergeCell ref="BF70:BH72"/>
    <mergeCell ref="BI70:BJ72"/>
    <mergeCell ref="AK67:AN67"/>
    <mergeCell ref="AO67:AO68"/>
    <mergeCell ref="AP67:AS67"/>
    <mergeCell ref="AT67:AT68"/>
    <mergeCell ref="Q67:T67"/>
    <mergeCell ref="U67:U68"/>
    <mergeCell ref="V67:Y67"/>
    <mergeCell ref="Z67:Z68"/>
    <mergeCell ref="BI69:BJ69"/>
    <mergeCell ref="AA67:AD67"/>
    <mergeCell ref="AE67:AE68"/>
    <mergeCell ref="A73:A74"/>
    <mergeCell ref="B73:E73"/>
    <mergeCell ref="F73:F74"/>
    <mergeCell ref="G73:J73"/>
    <mergeCell ref="K73:K74"/>
    <mergeCell ref="A75:B75"/>
    <mergeCell ref="C75:E75"/>
    <mergeCell ref="F75:G75"/>
    <mergeCell ref="H75:J75"/>
    <mergeCell ref="K75:L75"/>
    <mergeCell ref="M75:O75"/>
    <mergeCell ref="BE73:BH73"/>
    <mergeCell ref="BI73:BI74"/>
    <mergeCell ref="BJ73:BM73"/>
    <mergeCell ref="U75:V75"/>
    <mergeCell ref="W75:Y75"/>
    <mergeCell ref="A69:B69"/>
    <mergeCell ref="C69:E69"/>
    <mergeCell ref="F69:G69"/>
    <mergeCell ref="H69:J69"/>
    <mergeCell ref="K69:L69"/>
    <mergeCell ref="DV65:EG69"/>
    <mergeCell ref="CY66:DA66"/>
    <mergeCell ref="DB66:DC66"/>
    <mergeCell ref="DE66:DG68"/>
    <mergeCell ref="EH66:EQ69"/>
    <mergeCell ref="ES66:FD69"/>
    <mergeCell ref="P69:Q69"/>
    <mergeCell ref="R69:T69"/>
    <mergeCell ref="U69:V69"/>
    <mergeCell ref="W69:Y69"/>
    <mergeCell ref="Z69:AA69"/>
    <mergeCell ref="AB69:AD69"/>
    <mergeCell ref="BJ67:BM67"/>
    <mergeCell ref="BN67:BN68"/>
    <mergeCell ref="BO67:BR67"/>
    <mergeCell ref="CY67:DA69"/>
    <mergeCell ref="BK69:BM69"/>
    <mergeCell ref="BN69:BO69"/>
    <mergeCell ref="BP69:BR69"/>
    <mergeCell ref="U64:V66"/>
    <mergeCell ref="W64:Y66"/>
    <mergeCell ref="AJ64:AK66"/>
    <mergeCell ref="AL64:AN66"/>
    <mergeCell ref="AO64:AP66"/>
    <mergeCell ref="AQ64:AS66"/>
    <mergeCell ref="AY67:AY68"/>
    <mergeCell ref="AZ67:BC67"/>
    <mergeCell ref="BD67:BD68"/>
    <mergeCell ref="BE67:BH67"/>
    <mergeCell ref="BI67:BI68"/>
    <mergeCell ref="AF67:AI67"/>
    <mergeCell ref="AJ67:AJ68"/>
    <mergeCell ref="BN63:BO63"/>
    <mergeCell ref="BP63:BR63"/>
    <mergeCell ref="AY63:AZ63"/>
    <mergeCell ref="BA63:BC63"/>
    <mergeCell ref="BD63:BE63"/>
    <mergeCell ref="BF63:BH63"/>
    <mergeCell ref="BI63:BJ63"/>
    <mergeCell ref="BK63:BM63"/>
    <mergeCell ref="AJ63:AK63"/>
    <mergeCell ref="AL63:AN63"/>
    <mergeCell ref="AO63:AP63"/>
    <mergeCell ref="AQ63:AS63"/>
    <mergeCell ref="AT63:AU63"/>
    <mergeCell ref="AV63:AX63"/>
    <mergeCell ref="U63:V63"/>
    <mergeCell ref="W63:Y63"/>
    <mergeCell ref="Z63:AA63"/>
    <mergeCell ref="AB63:AD63"/>
    <mergeCell ref="AE63:AF63"/>
    <mergeCell ref="AG63:AI63"/>
    <mergeCell ref="A63:B63"/>
    <mergeCell ref="C63:E63"/>
    <mergeCell ref="F63:G63"/>
    <mergeCell ref="H63:J63"/>
    <mergeCell ref="K63:L63"/>
    <mergeCell ref="M63:O63"/>
    <mergeCell ref="P63:Q63"/>
    <mergeCell ref="R63:T63"/>
    <mergeCell ref="AY60:AY61"/>
    <mergeCell ref="AZ60:BC60"/>
    <mergeCell ref="BD60:BD61"/>
    <mergeCell ref="BE60:BH60"/>
    <mergeCell ref="BI60:BI61"/>
    <mergeCell ref="AY64:AZ66"/>
    <mergeCell ref="AT64:AU66"/>
    <mergeCell ref="AV64:AX66"/>
    <mergeCell ref="BA64:BC66"/>
    <mergeCell ref="BD64:BE66"/>
    <mergeCell ref="BF64:BH66"/>
    <mergeCell ref="BI64:BJ66"/>
    <mergeCell ref="BJ60:BM60"/>
    <mergeCell ref="AJ60:AJ61"/>
    <mergeCell ref="AK60:AN60"/>
    <mergeCell ref="AO60:AO61"/>
    <mergeCell ref="AP60:AS60"/>
    <mergeCell ref="AT60:AT61"/>
    <mergeCell ref="AU60:AX60"/>
    <mergeCell ref="U60:U61"/>
    <mergeCell ref="V60:Y60"/>
    <mergeCell ref="Z60:Z61"/>
    <mergeCell ref="AA60:AD60"/>
    <mergeCell ref="AE60:AE61"/>
    <mergeCell ref="A60:A61"/>
    <mergeCell ref="B60:E60"/>
    <mergeCell ref="F60:F61"/>
    <mergeCell ref="G60:J60"/>
    <mergeCell ref="K60:K61"/>
    <mergeCell ref="L60:O60"/>
    <mergeCell ref="P60:P61"/>
    <mergeCell ref="Q60:T60"/>
    <mergeCell ref="BN57:BP59"/>
    <mergeCell ref="D59:E59"/>
    <mergeCell ref="I59:J59"/>
    <mergeCell ref="N59:O59"/>
    <mergeCell ref="S59:T59"/>
    <mergeCell ref="X59:Y59"/>
    <mergeCell ref="AC59:AD59"/>
    <mergeCell ref="AH59:AI59"/>
    <mergeCell ref="AM59:AN59"/>
    <mergeCell ref="AR59:AS59"/>
    <mergeCell ref="AJ57:AL59"/>
    <mergeCell ref="AO57:AQ59"/>
    <mergeCell ref="AT57:AV59"/>
    <mergeCell ref="AY57:BA59"/>
    <mergeCell ref="BD57:BF59"/>
    <mergeCell ref="BI57:BK59"/>
    <mergeCell ref="AW59:AX59"/>
    <mergeCell ref="BB59:BC59"/>
    <mergeCell ref="BG59:BH59"/>
    <mergeCell ref="BN60:BN61"/>
    <mergeCell ref="BO60:BR60"/>
    <mergeCell ref="BN56:BP56"/>
    <mergeCell ref="BQ56:BR56"/>
    <mergeCell ref="A57:C59"/>
    <mergeCell ref="F57:H59"/>
    <mergeCell ref="K57:M59"/>
    <mergeCell ref="P57:R59"/>
    <mergeCell ref="U57:W59"/>
    <mergeCell ref="Z57:AB59"/>
    <mergeCell ref="AE57:AG59"/>
    <mergeCell ref="AW56:AX56"/>
    <mergeCell ref="AY56:BA56"/>
    <mergeCell ref="BB56:BC56"/>
    <mergeCell ref="BD56:BF56"/>
    <mergeCell ref="BG56:BH56"/>
    <mergeCell ref="BI56:BK56"/>
    <mergeCell ref="AH56:AI56"/>
    <mergeCell ref="AJ56:AL56"/>
    <mergeCell ref="AM56:AN56"/>
    <mergeCell ref="AO56:AQ56"/>
    <mergeCell ref="AR56:AS56"/>
    <mergeCell ref="AT56:AV56"/>
    <mergeCell ref="S56:T56"/>
    <mergeCell ref="U56:W56"/>
    <mergeCell ref="X56:Y56"/>
    <mergeCell ref="Z56:AB56"/>
    <mergeCell ref="AC56:AD56"/>
    <mergeCell ref="AE56:AG56"/>
    <mergeCell ref="BL59:BM59"/>
    <mergeCell ref="BQ59:BR59"/>
    <mergeCell ref="A56:C56"/>
    <mergeCell ref="D56:E56"/>
    <mergeCell ref="AZ54:BC54"/>
    <mergeCell ref="BD54:BD55"/>
    <mergeCell ref="BE54:BH54"/>
    <mergeCell ref="BI54:BI55"/>
    <mergeCell ref="AF54:AI54"/>
    <mergeCell ref="AJ54:AJ55"/>
    <mergeCell ref="AK54:AN54"/>
    <mergeCell ref="AO54:AO55"/>
    <mergeCell ref="AP54:AS54"/>
    <mergeCell ref="AT54:AT55"/>
    <mergeCell ref="Q54:T54"/>
    <mergeCell ref="U54:U55"/>
    <mergeCell ref="V54:Y54"/>
    <mergeCell ref="Z54:Z55"/>
    <mergeCell ref="AA54:AD54"/>
    <mergeCell ref="AE54:AE55"/>
    <mergeCell ref="BL56:BM56"/>
    <mergeCell ref="A54:A55"/>
    <mergeCell ref="B54:E54"/>
    <mergeCell ref="F54:F55"/>
    <mergeCell ref="G54:J54"/>
    <mergeCell ref="K54:K55"/>
    <mergeCell ref="L54:O54"/>
    <mergeCell ref="P54:P55"/>
    <mergeCell ref="BI51:BK53"/>
    <mergeCell ref="BN51:BP53"/>
    <mergeCell ref="D53:E53"/>
    <mergeCell ref="I53:J53"/>
    <mergeCell ref="N53:O53"/>
    <mergeCell ref="S53:T53"/>
    <mergeCell ref="X53:Y53"/>
    <mergeCell ref="AC53:AD53"/>
    <mergeCell ref="AH53:AI53"/>
    <mergeCell ref="AM53:AN53"/>
    <mergeCell ref="AE51:AG53"/>
    <mergeCell ref="AJ51:AL53"/>
    <mergeCell ref="AO51:AQ53"/>
    <mergeCell ref="AT51:AV53"/>
    <mergeCell ref="AY51:BA53"/>
    <mergeCell ref="BD51:BF53"/>
    <mergeCell ref="AR53:AS53"/>
    <mergeCell ref="AW53:AX53"/>
    <mergeCell ref="BB53:BC53"/>
    <mergeCell ref="BL53:BM53"/>
    <mergeCell ref="BJ54:BM54"/>
    <mergeCell ref="BN54:BN55"/>
    <mergeCell ref="BO54:BR54"/>
    <mergeCell ref="AU54:AX54"/>
    <mergeCell ref="AY54:AY55"/>
    <mergeCell ref="BI50:BK50"/>
    <mergeCell ref="BL50:BM50"/>
    <mergeCell ref="BN50:BP50"/>
    <mergeCell ref="BQ50:BR50"/>
    <mergeCell ref="A51:C53"/>
    <mergeCell ref="F51:H53"/>
    <mergeCell ref="K51:M53"/>
    <mergeCell ref="P51:R53"/>
    <mergeCell ref="U51:W53"/>
    <mergeCell ref="Z51:AB53"/>
    <mergeCell ref="AT50:AV50"/>
    <mergeCell ref="AW50:AX50"/>
    <mergeCell ref="AY50:BA50"/>
    <mergeCell ref="BB50:BC50"/>
    <mergeCell ref="BD50:BF50"/>
    <mergeCell ref="BG50:BH50"/>
    <mergeCell ref="AE50:AG50"/>
    <mergeCell ref="AH50:AI50"/>
    <mergeCell ref="AJ50:AL50"/>
    <mergeCell ref="AM50:AN50"/>
    <mergeCell ref="AO50:AQ50"/>
    <mergeCell ref="AR50:AS50"/>
    <mergeCell ref="P50:R50"/>
    <mergeCell ref="S50:T50"/>
    <mergeCell ref="U50:W50"/>
    <mergeCell ref="X50:Y50"/>
    <mergeCell ref="Z50:AB50"/>
    <mergeCell ref="AC50:AD50"/>
    <mergeCell ref="BG53:BH53"/>
    <mergeCell ref="BQ53:BR53"/>
    <mergeCell ref="A50:C50"/>
    <mergeCell ref="D50:E50"/>
    <mergeCell ref="AT48:AT49"/>
    <mergeCell ref="AU48:AX48"/>
    <mergeCell ref="AY48:AY49"/>
    <mergeCell ref="AZ48:BC48"/>
    <mergeCell ref="BD48:BD49"/>
    <mergeCell ref="BE48:BH48"/>
    <mergeCell ref="AE48:AE49"/>
    <mergeCell ref="AF48:AI48"/>
    <mergeCell ref="AJ48:AJ49"/>
    <mergeCell ref="AK48:AN48"/>
    <mergeCell ref="AO48:AO49"/>
    <mergeCell ref="AP48:AS48"/>
    <mergeCell ref="P48:P49"/>
    <mergeCell ref="Q48:T48"/>
    <mergeCell ref="U48:U49"/>
    <mergeCell ref="V48:Y48"/>
    <mergeCell ref="Z48:Z49"/>
    <mergeCell ref="AA48:AD48"/>
    <mergeCell ref="A48:A49"/>
    <mergeCell ref="B48:E48"/>
    <mergeCell ref="F48:F49"/>
    <mergeCell ref="G48:J48"/>
    <mergeCell ref="K48:K49"/>
    <mergeCell ref="L48:O48"/>
    <mergeCell ref="BN44:BO44"/>
    <mergeCell ref="BP44:BR44"/>
    <mergeCell ref="AY44:AZ44"/>
    <mergeCell ref="BA44:BC44"/>
    <mergeCell ref="BD44:BE44"/>
    <mergeCell ref="BF44:BH44"/>
    <mergeCell ref="BI44:BJ44"/>
    <mergeCell ref="BK44:BM44"/>
    <mergeCell ref="AJ44:AK44"/>
    <mergeCell ref="AL44:AN44"/>
    <mergeCell ref="AO44:AP44"/>
    <mergeCell ref="AQ44:AS44"/>
    <mergeCell ref="AT44:AU44"/>
    <mergeCell ref="AV44:AX44"/>
    <mergeCell ref="U44:V44"/>
    <mergeCell ref="W44:Y44"/>
    <mergeCell ref="Z44:AA44"/>
    <mergeCell ref="AB44:AD44"/>
    <mergeCell ref="AE44:AF44"/>
    <mergeCell ref="AG44:AI44"/>
    <mergeCell ref="AQ45:AS47"/>
    <mergeCell ref="BI48:BI49"/>
    <mergeCell ref="BJ48:BM48"/>
    <mergeCell ref="BN48:BN49"/>
    <mergeCell ref="BO48:BR48"/>
    <mergeCell ref="A44:B44"/>
    <mergeCell ref="C44:E44"/>
    <mergeCell ref="F44:G44"/>
    <mergeCell ref="H44:J44"/>
    <mergeCell ref="K44:L44"/>
    <mergeCell ref="M44:O44"/>
    <mergeCell ref="P44:Q44"/>
    <mergeCell ref="R44:T44"/>
    <mergeCell ref="AY42:AY43"/>
    <mergeCell ref="AZ42:BC42"/>
    <mergeCell ref="BD42:BD43"/>
    <mergeCell ref="BE42:BH42"/>
    <mergeCell ref="BI42:BI43"/>
    <mergeCell ref="BJ42:BM42"/>
    <mergeCell ref="AJ42:AJ43"/>
    <mergeCell ref="AK42:AN42"/>
    <mergeCell ref="AO42:AO43"/>
    <mergeCell ref="AP42:AS42"/>
    <mergeCell ref="AT42:AT43"/>
    <mergeCell ref="AU42:AX42"/>
    <mergeCell ref="U42:U43"/>
    <mergeCell ref="V42:Y42"/>
    <mergeCell ref="Z42:Z43"/>
    <mergeCell ref="AA42:AD42"/>
    <mergeCell ref="AE42:AE43"/>
    <mergeCell ref="AF42:AI42"/>
    <mergeCell ref="A42:A43"/>
    <mergeCell ref="B42:E42"/>
    <mergeCell ref="F42:F43"/>
    <mergeCell ref="G42:J42"/>
    <mergeCell ref="K42:K43"/>
    <mergeCell ref="L42:O42"/>
    <mergeCell ref="P42:P43"/>
    <mergeCell ref="Q42:T42"/>
    <mergeCell ref="BI38:BJ38"/>
    <mergeCell ref="BK38:BM38"/>
    <mergeCell ref="BN38:BO38"/>
    <mergeCell ref="BP38:BR38"/>
    <mergeCell ref="AT38:AU38"/>
    <mergeCell ref="AV38:AX38"/>
    <mergeCell ref="AY38:AZ38"/>
    <mergeCell ref="BA38:BC38"/>
    <mergeCell ref="BD38:BE38"/>
    <mergeCell ref="BF38:BH38"/>
    <mergeCell ref="AE38:AF38"/>
    <mergeCell ref="AG38:AI38"/>
    <mergeCell ref="AJ38:AK38"/>
    <mergeCell ref="AL38:AN38"/>
    <mergeCell ref="AO38:AP38"/>
    <mergeCell ref="AQ38:AS38"/>
    <mergeCell ref="P38:Q38"/>
    <mergeCell ref="R38:T38"/>
    <mergeCell ref="U38:V38"/>
    <mergeCell ref="W38:Y38"/>
    <mergeCell ref="Z38:AA38"/>
    <mergeCell ref="AB38:AD38"/>
    <mergeCell ref="BN42:BN43"/>
    <mergeCell ref="BO42:BR42"/>
    <mergeCell ref="A38:B38"/>
    <mergeCell ref="C38:E38"/>
    <mergeCell ref="F38:G38"/>
    <mergeCell ref="H38:J38"/>
    <mergeCell ref="K38:L38"/>
    <mergeCell ref="M38:O38"/>
    <mergeCell ref="AT36:AT37"/>
    <mergeCell ref="AU36:AX36"/>
    <mergeCell ref="AY36:AY37"/>
    <mergeCell ref="AZ36:BC36"/>
    <mergeCell ref="BD36:BD37"/>
    <mergeCell ref="BE36:BH36"/>
    <mergeCell ref="AE36:AE37"/>
    <mergeCell ref="AF36:AI36"/>
    <mergeCell ref="AJ36:AJ37"/>
    <mergeCell ref="AK36:AN36"/>
    <mergeCell ref="AO36:AO37"/>
    <mergeCell ref="AP36:AS36"/>
    <mergeCell ref="P36:P37"/>
    <mergeCell ref="Q36:T36"/>
    <mergeCell ref="U36:U37"/>
    <mergeCell ref="V36:Y36"/>
    <mergeCell ref="Z36:Z37"/>
    <mergeCell ref="AA36:AD36"/>
    <mergeCell ref="A36:A37"/>
    <mergeCell ref="B36:E36"/>
    <mergeCell ref="F36:F37"/>
    <mergeCell ref="G36:J36"/>
    <mergeCell ref="K36:K37"/>
    <mergeCell ref="L36:O36"/>
    <mergeCell ref="AJ32:AK32"/>
    <mergeCell ref="AL32:AN32"/>
    <mergeCell ref="AO32:AP32"/>
    <mergeCell ref="AQ32:AS32"/>
    <mergeCell ref="AT32:AU32"/>
    <mergeCell ref="AV32:AX32"/>
    <mergeCell ref="U32:V32"/>
    <mergeCell ref="W32:Y32"/>
    <mergeCell ref="Z32:AA32"/>
    <mergeCell ref="AB32:AD32"/>
    <mergeCell ref="AE32:AF32"/>
    <mergeCell ref="AG32:AI32"/>
    <mergeCell ref="BD33:BE35"/>
    <mergeCell ref="BN30:BN31"/>
    <mergeCell ref="BO30:BR30"/>
    <mergeCell ref="A32:B32"/>
    <mergeCell ref="C32:E32"/>
    <mergeCell ref="F32:G32"/>
    <mergeCell ref="H32:J32"/>
    <mergeCell ref="K32:L32"/>
    <mergeCell ref="M32:O32"/>
    <mergeCell ref="P32:Q32"/>
    <mergeCell ref="R32:T32"/>
    <mergeCell ref="AY30:AY31"/>
    <mergeCell ref="AZ30:BC30"/>
    <mergeCell ref="BD30:BD31"/>
    <mergeCell ref="BE30:BH30"/>
    <mergeCell ref="BI30:BI31"/>
    <mergeCell ref="BJ30:BM30"/>
    <mergeCell ref="AJ30:AJ31"/>
    <mergeCell ref="AK30:AN30"/>
    <mergeCell ref="AO30:AO31"/>
    <mergeCell ref="AP30:AS30"/>
    <mergeCell ref="AT30:AT31"/>
    <mergeCell ref="AU30:AX30"/>
    <mergeCell ref="U30:U31"/>
    <mergeCell ref="V30:Y30"/>
    <mergeCell ref="Z30:Z31"/>
    <mergeCell ref="AA30:AD30"/>
    <mergeCell ref="AE30:AE31"/>
    <mergeCell ref="AF30:AI30"/>
    <mergeCell ref="A30:A31"/>
    <mergeCell ref="B30:E30"/>
    <mergeCell ref="F30:F31"/>
    <mergeCell ref="G30:J30"/>
    <mergeCell ref="K30:K31"/>
    <mergeCell ref="L30:O30"/>
    <mergeCell ref="P30:P31"/>
    <mergeCell ref="Q30:T30"/>
    <mergeCell ref="G24:J24"/>
    <mergeCell ref="K24:K25"/>
    <mergeCell ref="L24:O24"/>
    <mergeCell ref="BI26:BJ26"/>
    <mergeCell ref="BK26:BM26"/>
    <mergeCell ref="BN26:BO26"/>
    <mergeCell ref="BP26:BR26"/>
    <mergeCell ref="AT26:AU26"/>
    <mergeCell ref="AV26:AX26"/>
    <mergeCell ref="AY26:AZ26"/>
    <mergeCell ref="BA26:BC26"/>
    <mergeCell ref="BD26:BE26"/>
    <mergeCell ref="BF26:BH26"/>
    <mergeCell ref="AE26:AF26"/>
    <mergeCell ref="AG26:AI26"/>
    <mergeCell ref="AJ26:AK26"/>
    <mergeCell ref="AL26:AN26"/>
    <mergeCell ref="AO26:AP26"/>
    <mergeCell ref="AQ26:AS26"/>
    <mergeCell ref="P26:Q26"/>
    <mergeCell ref="R26:T26"/>
    <mergeCell ref="U26:V26"/>
    <mergeCell ref="W26:Y26"/>
    <mergeCell ref="Z26:AA26"/>
    <mergeCell ref="AB26:AD26"/>
    <mergeCell ref="BI24:BI25"/>
    <mergeCell ref="BJ24:BM24"/>
    <mergeCell ref="BN24:BN25"/>
    <mergeCell ref="BO24:BR24"/>
    <mergeCell ref="AE20:AF20"/>
    <mergeCell ref="AG20:AI20"/>
    <mergeCell ref="A26:B26"/>
    <mergeCell ref="C26:E26"/>
    <mergeCell ref="F26:G26"/>
    <mergeCell ref="H26:J26"/>
    <mergeCell ref="K26:L26"/>
    <mergeCell ref="M26:O26"/>
    <mergeCell ref="AT24:AT25"/>
    <mergeCell ref="AU24:AX24"/>
    <mergeCell ref="AY24:AY25"/>
    <mergeCell ref="AZ24:BC24"/>
    <mergeCell ref="BD24:BD25"/>
    <mergeCell ref="AY21:AZ23"/>
    <mergeCell ref="BA21:BC23"/>
    <mergeCell ref="BD21:BE23"/>
    <mergeCell ref="BE24:BH24"/>
    <mergeCell ref="AE24:AE25"/>
    <mergeCell ref="AF24:AI24"/>
    <mergeCell ref="AJ24:AJ25"/>
    <mergeCell ref="AK24:AN24"/>
    <mergeCell ref="AO24:AO25"/>
    <mergeCell ref="AP24:AS24"/>
    <mergeCell ref="P24:P25"/>
    <mergeCell ref="Q24:T24"/>
    <mergeCell ref="U24:U25"/>
    <mergeCell ref="V24:Y24"/>
    <mergeCell ref="Z24:Z25"/>
    <mergeCell ref="AA24:AD24"/>
    <mergeCell ref="A24:A25"/>
    <mergeCell ref="B24:E24"/>
    <mergeCell ref="F24:F25"/>
    <mergeCell ref="BI21:BJ23"/>
    <mergeCell ref="BK21:BM23"/>
    <mergeCell ref="BN21:BO23"/>
    <mergeCell ref="BP21:BR23"/>
    <mergeCell ref="AT21:AU23"/>
    <mergeCell ref="AV21:AX23"/>
    <mergeCell ref="A20:B20"/>
    <mergeCell ref="C20:E20"/>
    <mergeCell ref="F20:G20"/>
    <mergeCell ref="H20:J20"/>
    <mergeCell ref="K20:L20"/>
    <mergeCell ref="M20:O20"/>
    <mergeCell ref="P20:Q20"/>
    <mergeCell ref="R20:T20"/>
    <mergeCell ref="BN20:BO20"/>
    <mergeCell ref="BP20:BR20"/>
    <mergeCell ref="AY20:AZ20"/>
    <mergeCell ref="BA20:BC20"/>
    <mergeCell ref="BD20:BE20"/>
    <mergeCell ref="BF20:BH20"/>
    <mergeCell ref="BI20:BJ20"/>
    <mergeCell ref="BK20:BM20"/>
    <mergeCell ref="AJ20:AK20"/>
    <mergeCell ref="AL20:AN20"/>
    <mergeCell ref="AO20:AP20"/>
    <mergeCell ref="AQ20:AS20"/>
    <mergeCell ref="AT20:AU20"/>
    <mergeCell ref="AV20:AX20"/>
    <mergeCell ref="U20:V20"/>
    <mergeCell ref="W20:Y20"/>
    <mergeCell ref="Z20:AA20"/>
    <mergeCell ref="AB20:AD20"/>
    <mergeCell ref="AY18:AY19"/>
    <mergeCell ref="AZ18:BC18"/>
    <mergeCell ref="BD18:BD19"/>
    <mergeCell ref="BE18:BH18"/>
    <mergeCell ref="BI18:BI19"/>
    <mergeCell ref="BJ18:BM18"/>
    <mergeCell ref="AJ18:AJ19"/>
    <mergeCell ref="AK18:AN18"/>
    <mergeCell ref="AO18:AO19"/>
    <mergeCell ref="AP18:AS18"/>
    <mergeCell ref="AT18:AT19"/>
    <mergeCell ref="AU18:AX18"/>
    <mergeCell ref="U18:U19"/>
    <mergeCell ref="V18:Y18"/>
    <mergeCell ref="Z18:Z19"/>
    <mergeCell ref="AA18:AD18"/>
    <mergeCell ref="AE18:AE19"/>
    <mergeCell ref="AF18:AI18"/>
    <mergeCell ref="A18:A19"/>
    <mergeCell ref="B18:E18"/>
    <mergeCell ref="F18:F19"/>
    <mergeCell ref="G18:J18"/>
    <mergeCell ref="K18:K19"/>
    <mergeCell ref="L18:O18"/>
    <mergeCell ref="P18:P19"/>
    <mergeCell ref="Q18:T18"/>
    <mergeCell ref="BI14:BJ14"/>
    <mergeCell ref="BK14:BM14"/>
    <mergeCell ref="BN14:BO14"/>
    <mergeCell ref="BP14:BR14"/>
    <mergeCell ref="AT14:AU14"/>
    <mergeCell ref="AV14:AX14"/>
    <mergeCell ref="AY14:AZ14"/>
    <mergeCell ref="BA14:BC14"/>
    <mergeCell ref="BD14:BE14"/>
    <mergeCell ref="BF14:BH14"/>
    <mergeCell ref="AE14:AF14"/>
    <mergeCell ref="AG14:AI14"/>
    <mergeCell ref="AJ14:AK14"/>
    <mergeCell ref="AL14:AN14"/>
    <mergeCell ref="AO14:AP14"/>
    <mergeCell ref="AQ14:AS14"/>
    <mergeCell ref="P14:Q14"/>
    <mergeCell ref="R14:T14"/>
    <mergeCell ref="U14:V14"/>
    <mergeCell ref="W14:Y14"/>
    <mergeCell ref="Z14:AA14"/>
    <mergeCell ref="AB14:AD14"/>
    <mergeCell ref="BN18:BN19"/>
    <mergeCell ref="BO18:BR18"/>
    <mergeCell ref="BF15:BH17"/>
    <mergeCell ref="BI15:BJ17"/>
    <mergeCell ref="BK15:BM17"/>
    <mergeCell ref="BN15:BO17"/>
    <mergeCell ref="A14:B14"/>
    <mergeCell ref="C14:E14"/>
    <mergeCell ref="F14:G14"/>
    <mergeCell ref="H14:J14"/>
    <mergeCell ref="K14:L14"/>
    <mergeCell ref="M14:O14"/>
    <mergeCell ref="AT12:AT13"/>
    <mergeCell ref="AU12:AX12"/>
    <mergeCell ref="AY12:AY13"/>
    <mergeCell ref="AZ12:BC12"/>
    <mergeCell ref="BD12:BD13"/>
    <mergeCell ref="BE12:BH12"/>
    <mergeCell ref="AE12:AE13"/>
    <mergeCell ref="AF12:AI12"/>
    <mergeCell ref="AJ12:AJ13"/>
    <mergeCell ref="AK12:AN12"/>
    <mergeCell ref="AO12:AO13"/>
    <mergeCell ref="AP12:AS12"/>
    <mergeCell ref="P12:P13"/>
    <mergeCell ref="Q12:T12"/>
    <mergeCell ref="U12:U13"/>
    <mergeCell ref="V12:Y12"/>
    <mergeCell ref="Z12:Z13"/>
    <mergeCell ref="AA12:AD12"/>
    <mergeCell ref="A12:A13"/>
    <mergeCell ref="B12:E12"/>
    <mergeCell ref="F12:F13"/>
    <mergeCell ref="G12:J12"/>
    <mergeCell ref="K12:K13"/>
    <mergeCell ref="L12:O12"/>
    <mergeCell ref="AY9:AZ11"/>
    <mergeCell ref="BA9:BC11"/>
    <mergeCell ref="BN8:BO8"/>
    <mergeCell ref="BP8:BR8"/>
    <mergeCell ref="AY8:AZ8"/>
    <mergeCell ref="BA8:BC8"/>
    <mergeCell ref="BD8:BE8"/>
    <mergeCell ref="BF8:BH8"/>
    <mergeCell ref="BI8:BJ8"/>
    <mergeCell ref="BK8:BM8"/>
    <mergeCell ref="AJ8:AK8"/>
    <mergeCell ref="AL8:AN8"/>
    <mergeCell ref="AO8:AP8"/>
    <mergeCell ref="AQ8:AS8"/>
    <mergeCell ref="AT8:AU8"/>
    <mergeCell ref="AV8:AX8"/>
    <mergeCell ref="U8:V8"/>
    <mergeCell ref="W8:Y8"/>
    <mergeCell ref="Z8:AA8"/>
    <mergeCell ref="AB8:AD8"/>
    <mergeCell ref="AE8:AF8"/>
    <mergeCell ref="AG8:AI8"/>
    <mergeCell ref="BD9:BE11"/>
    <mergeCell ref="BI12:BI13"/>
    <mergeCell ref="BJ12:BM12"/>
    <mergeCell ref="BN12:BN13"/>
    <mergeCell ref="BO12:BR12"/>
    <mergeCell ref="AO9:AP11"/>
    <mergeCell ref="AQ9:AS11"/>
    <mergeCell ref="AT9:AU11"/>
    <mergeCell ref="BN6:BN7"/>
    <mergeCell ref="BO6:BR6"/>
    <mergeCell ref="A8:B8"/>
    <mergeCell ref="C8:E8"/>
    <mergeCell ref="F8:G8"/>
    <mergeCell ref="H8:J8"/>
    <mergeCell ref="K8:L8"/>
    <mergeCell ref="M8:O8"/>
    <mergeCell ref="P8:Q8"/>
    <mergeCell ref="R8:T8"/>
    <mergeCell ref="AY6:AY7"/>
    <mergeCell ref="AZ6:BC6"/>
    <mergeCell ref="BD6:BD7"/>
    <mergeCell ref="BE6:BH6"/>
    <mergeCell ref="BI6:BI7"/>
    <mergeCell ref="BJ6:BM6"/>
    <mergeCell ref="AJ6:AJ7"/>
    <mergeCell ref="AK6:AN6"/>
    <mergeCell ref="AO6:AO7"/>
    <mergeCell ref="AP6:AS6"/>
    <mergeCell ref="AT6:AT7"/>
    <mergeCell ref="AU6:AX6"/>
    <mergeCell ref="U6:U7"/>
    <mergeCell ref="V6:Y6"/>
    <mergeCell ref="Z6:Z7"/>
    <mergeCell ref="AA6:AD6"/>
    <mergeCell ref="AE6:AE7"/>
    <mergeCell ref="AF6:AI6"/>
    <mergeCell ref="A6:A7"/>
    <mergeCell ref="B6:E6"/>
    <mergeCell ref="F6:F7"/>
    <mergeCell ref="G6:J6"/>
    <mergeCell ref="A2:B2"/>
    <mergeCell ref="C2:E2"/>
    <mergeCell ref="F2:G2"/>
    <mergeCell ref="H2:J2"/>
    <mergeCell ref="K2:L2"/>
    <mergeCell ref="M2:O2"/>
    <mergeCell ref="BI2:BJ2"/>
    <mergeCell ref="BK2:BM2"/>
    <mergeCell ref="BN2:BO2"/>
    <mergeCell ref="BP2:BR2"/>
    <mergeCell ref="AT2:AU2"/>
    <mergeCell ref="AV2:AX2"/>
    <mergeCell ref="AY2:AZ2"/>
    <mergeCell ref="BA2:BC2"/>
    <mergeCell ref="BD2:BE2"/>
    <mergeCell ref="BF2:BH2"/>
    <mergeCell ref="AE2:AF2"/>
    <mergeCell ref="AG2:AI2"/>
    <mergeCell ref="AJ2:AK2"/>
    <mergeCell ref="AL2:AN2"/>
    <mergeCell ref="AO2:AP2"/>
    <mergeCell ref="AQ2:AS2"/>
    <mergeCell ref="P2:Q2"/>
    <mergeCell ref="R2:T2"/>
    <mergeCell ref="U2:V2"/>
    <mergeCell ref="W2:Y2"/>
    <mergeCell ref="Z2:AA2"/>
    <mergeCell ref="AB2:AD2"/>
  </mergeCells>
  <pageMargins left="0.85" right="0" top="0.7" bottom="0" header="0.3" footer="0.3"/>
  <pageSetup paperSize="8" scale="33" orientation="landscape" r:id="rId1"/>
  <headerFooter>
    <oddFooter>&amp;C&amp;"-,Bold Italic"&amp;16Prepared by Emir Cebecioglu&amp;RQuality Control Department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7F53B-AE53-473F-8742-623A20D4F14F}">
  <sheetPr>
    <pageSetUpPr fitToPage="1"/>
  </sheetPr>
  <dimension ref="A1:CB77"/>
  <sheetViews>
    <sheetView view="pageBreakPreview" zoomScale="70" zoomScaleNormal="70" zoomScaleSheetLayoutView="70" zoomScalePageLayoutView="55" workbookViewId="0">
      <selection activeCell="F8" sqref="F8:Y9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9.140625" customWidth="1"/>
    <col min="47" max="47" width="6.570312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1" customWidth="1"/>
    <col min="62" max="62" width="56.7109375" customWidth="1"/>
    <col min="63" max="63" width="13" customWidth="1"/>
    <col min="64" max="64" width="7" customWidth="1"/>
  </cols>
  <sheetData>
    <row r="1" spans="1:80" ht="283.5" customHeight="1" thickBot="1" x14ac:dyDescent="0.3"/>
    <row r="2" spans="1:80" ht="36" customHeight="1" thickTop="1" x14ac:dyDescent="0.25">
      <c r="A2" s="1371"/>
      <c r="B2" s="1371"/>
      <c r="C2" s="1371"/>
      <c r="D2" s="1371"/>
      <c r="E2" s="1370"/>
      <c r="F2" s="1740" t="s">
        <v>250</v>
      </c>
      <c r="G2" s="1741"/>
      <c r="H2" s="1741"/>
      <c r="I2" s="1742">
        <f>G7/((84*3.1415/59)*(42.5/3.281))</f>
        <v>3.7265384294733327E-2</v>
      </c>
      <c r="J2" s="1743"/>
      <c r="K2" s="1744" t="s">
        <v>250</v>
      </c>
      <c r="L2" s="1745"/>
      <c r="M2" s="1745"/>
      <c r="N2" s="1742">
        <f>L7/((84*3.1415/59)*(42.5/3.281))</f>
        <v>1.7260483693716224E-16</v>
      </c>
      <c r="O2" s="1743"/>
      <c r="P2" s="1736" t="s">
        <v>250</v>
      </c>
      <c r="Q2" s="1737"/>
      <c r="R2" s="1737"/>
      <c r="S2" s="1738">
        <f>Q7/((84*3.1415/59)*(35/3.281))</f>
        <v>2.095915877094113E-12</v>
      </c>
      <c r="T2" s="1739"/>
      <c r="U2" s="1736" t="s">
        <v>250</v>
      </c>
      <c r="V2" s="1737"/>
      <c r="W2" s="1737"/>
      <c r="X2" s="1738">
        <f>V7/((84*3.1415/59)*(35/3.281))</f>
        <v>6.3883515933828563E-3</v>
      </c>
      <c r="Y2" s="1739"/>
      <c r="Z2" s="1371"/>
      <c r="AA2" s="1371"/>
      <c r="AB2" s="1371"/>
      <c r="AC2" s="1371"/>
      <c r="AD2" s="1370"/>
      <c r="AE2" s="165"/>
      <c r="AF2" s="165"/>
      <c r="AG2" s="165"/>
      <c r="AH2" s="165"/>
      <c r="AI2" s="165"/>
      <c r="AJ2" s="1732" t="s">
        <v>250</v>
      </c>
      <c r="AK2" s="1733"/>
      <c r="AL2" s="1733"/>
      <c r="AM2" s="1734">
        <f>AK7/((84*3.1415/59)*(40/3.281))</f>
        <v>1.8339263924573487E-12</v>
      </c>
      <c r="AN2" s="1735"/>
      <c r="AO2" s="1732" t="s">
        <v>250</v>
      </c>
      <c r="AP2" s="1733"/>
      <c r="AQ2" s="1733"/>
      <c r="AR2" s="1734">
        <f>AP7/((84*3.1415/59)*(40/3.281))</f>
        <v>1.8339263924573487E-12</v>
      </c>
      <c r="AS2" s="1735"/>
      <c r="AT2" s="165"/>
      <c r="AU2" s="165"/>
      <c r="AV2" s="165"/>
      <c r="AW2" s="165"/>
      <c r="AX2" s="1370"/>
      <c r="AY2" s="674"/>
      <c r="AZ2" s="674"/>
      <c r="BA2" s="674"/>
      <c r="BB2" s="1300"/>
      <c r="BC2" s="1300"/>
      <c r="BD2" s="674"/>
      <c r="BE2" s="674"/>
      <c r="BF2" s="674"/>
      <c r="BG2" s="1300"/>
      <c r="BH2" s="1300"/>
      <c r="BM2" s="27"/>
      <c r="BN2" s="27"/>
      <c r="BO2" s="27"/>
      <c r="BP2" s="27"/>
      <c r="BQ2" s="27"/>
      <c r="BR2" s="27"/>
      <c r="BW2" s="27"/>
      <c r="BX2" s="27"/>
      <c r="BY2" s="27"/>
      <c r="BZ2" s="27"/>
      <c r="CA2" s="27"/>
      <c r="CB2" s="27"/>
    </row>
    <row r="3" spans="1:80" ht="9.9499999999999993" hidden="1" customHeight="1" x14ac:dyDescent="0.25">
      <c r="A3" s="32"/>
      <c r="B3" s="33"/>
      <c r="C3" s="34"/>
      <c r="D3" s="35"/>
      <c r="E3" s="1370"/>
      <c r="F3" s="1723" t="s">
        <v>488</v>
      </c>
      <c r="G3" s="1724"/>
      <c r="H3" s="1724"/>
      <c r="I3" s="1724"/>
      <c r="J3" s="1725"/>
      <c r="K3" s="1680" t="s">
        <v>545</v>
      </c>
      <c r="L3" s="1681"/>
      <c r="M3" s="1681"/>
      <c r="N3" s="1681"/>
      <c r="O3" s="1682"/>
      <c r="P3" s="1680" t="s">
        <v>545</v>
      </c>
      <c r="Q3" s="1681"/>
      <c r="R3" s="1681"/>
      <c r="S3" s="1681"/>
      <c r="T3" s="1682"/>
      <c r="U3" s="1723" t="s">
        <v>488</v>
      </c>
      <c r="V3" s="1724"/>
      <c r="W3" s="1724"/>
      <c r="X3" s="1724"/>
      <c r="Y3" s="1725"/>
      <c r="Z3" s="32"/>
      <c r="AA3" s="33"/>
      <c r="AB3" s="34"/>
      <c r="AC3" s="35"/>
      <c r="AD3" s="1370"/>
      <c r="AE3" s="165"/>
      <c r="AF3" s="165"/>
      <c r="AG3" s="165"/>
      <c r="AH3" s="165"/>
      <c r="AI3" s="165"/>
      <c r="AJ3" s="1723" t="s">
        <v>488</v>
      </c>
      <c r="AK3" s="1724"/>
      <c r="AL3" s="1724"/>
      <c r="AM3" s="1724"/>
      <c r="AN3" s="1725"/>
      <c r="AO3" s="1680" t="s">
        <v>545</v>
      </c>
      <c r="AP3" s="1681"/>
      <c r="AQ3" s="1681"/>
      <c r="AR3" s="1681"/>
      <c r="AS3" s="1682"/>
      <c r="AT3" s="165"/>
      <c r="AU3" s="165"/>
      <c r="AV3" s="165"/>
      <c r="AW3" s="165"/>
      <c r="AX3" s="1370"/>
      <c r="AY3" s="676"/>
      <c r="AZ3" s="676"/>
      <c r="BA3" s="676"/>
      <c r="BB3" s="36"/>
      <c r="BC3" s="36"/>
      <c r="BD3" s="676"/>
      <c r="BE3" s="676"/>
      <c r="BF3" s="676"/>
      <c r="BG3" s="36"/>
      <c r="BH3" s="36"/>
    </row>
    <row r="4" spans="1:80" ht="24.95" hidden="1" customHeight="1" x14ac:dyDescent="0.25">
      <c r="A4" s="1371"/>
      <c r="B4" s="1371"/>
      <c r="C4" s="1371"/>
      <c r="D4" s="1371"/>
      <c r="E4" s="1370"/>
      <c r="F4" s="1726"/>
      <c r="G4" s="1727"/>
      <c r="H4" s="1727"/>
      <c r="I4" s="1727"/>
      <c r="J4" s="1728"/>
      <c r="K4" s="1683"/>
      <c r="L4" s="1684"/>
      <c r="M4" s="1684"/>
      <c r="N4" s="1684"/>
      <c r="O4" s="1685"/>
      <c r="P4" s="1683"/>
      <c r="Q4" s="1684"/>
      <c r="R4" s="1684"/>
      <c r="S4" s="1684"/>
      <c r="T4" s="1685"/>
      <c r="U4" s="1726"/>
      <c r="V4" s="1727"/>
      <c r="W4" s="1727"/>
      <c r="X4" s="1727"/>
      <c r="Y4" s="1728"/>
      <c r="Z4" s="1371"/>
      <c r="AA4" s="1371"/>
      <c r="AB4" s="1371"/>
      <c r="AC4" s="1371"/>
      <c r="AD4" s="1370"/>
      <c r="AE4" s="165"/>
      <c r="AF4" s="165"/>
      <c r="AG4" s="165"/>
      <c r="AH4" s="165"/>
      <c r="AI4" s="165"/>
      <c r="AJ4" s="1726"/>
      <c r="AK4" s="1727"/>
      <c r="AL4" s="1727"/>
      <c r="AM4" s="1727"/>
      <c r="AN4" s="1728"/>
      <c r="AO4" s="1683"/>
      <c r="AP4" s="1684"/>
      <c r="AQ4" s="1684"/>
      <c r="AR4" s="1684"/>
      <c r="AS4" s="1685"/>
      <c r="AT4" s="165"/>
      <c r="AU4" s="165"/>
      <c r="AV4" s="165"/>
      <c r="AW4" s="165"/>
      <c r="AX4" s="1370"/>
      <c r="AY4" s="676"/>
      <c r="AZ4" s="676"/>
      <c r="BA4" s="676"/>
      <c r="BB4" s="36"/>
      <c r="BC4" s="36"/>
      <c r="BD4" s="676"/>
      <c r="BE4" s="676"/>
      <c r="BF4" s="676"/>
      <c r="BG4" s="36"/>
      <c r="BH4" s="36"/>
    </row>
    <row r="5" spans="1:80" ht="25.5" customHeight="1" x14ac:dyDescent="0.25">
      <c r="A5" s="32"/>
      <c r="B5" s="33"/>
      <c r="C5" s="34"/>
      <c r="D5" s="35"/>
      <c r="E5" s="1370"/>
      <c r="F5" s="1729"/>
      <c r="G5" s="1730"/>
      <c r="H5" s="1730"/>
      <c r="I5" s="1730"/>
      <c r="J5" s="1731"/>
      <c r="K5" s="1686"/>
      <c r="L5" s="1687"/>
      <c r="M5" s="1687"/>
      <c r="N5" s="1687"/>
      <c r="O5" s="1688"/>
      <c r="P5" s="1686"/>
      <c r="Q5" s="1687"/>
      <c r="R5" s="1687"/>
      <c r="S5" s="1687"/>
      <c r="T5" s="1688"/>
      <c r="U5" s="1729"/>
      <c r="V5" s="1730"/>
      <c r="W5" s="1730"/>
      <c r="X5" s="1730"/>
      <c r="Y5" s="1731"/>
      <c r="Z5" s="32"/>
      <c r="AA5" s="33"/>
      <c r="AB5" s="34"/>
      <c r="AC5" s="35"/>
      <c r="AD5" s="1370"/>
      <c r="AE5" s="165"/>
      <c r="AF5" s="165"/>
      <c r="AG5" s="165"/>
      <c r="AH5" s="165"/>
      <c r="AI5" s="165"/>
      <c r="AJ5" s="1729"/>
      <c r="AK5" s="1730"/>
      <c r="AL5" s="1730"/>
      <c r="AM5" s="1730"/>
      <c r="AN5" s="1731"/>
      <c r="AO5" s="1686"/>
      <c r="AP5" s="1687"/>
      <c r="AQ5" s="1687"/>
      <c r="AR5" s="1687"/>
      <c r="AS5" s="1688"/>
      <c r="AT5" s="165"/>
      <c r="AU5" s="165"/>
      <c r="AV5" s="165"/>
      <c r="AW5" s="165"/>
      <c r="AX5" s="1370"/>
      <c r="AY5" s="676"/>
      <c r="AZ5" s="676"/>
      <c r="BA5" s="676"/>
      <c r="BB5" s="36"/>
      <c r="BC5" s="36"/>
      <c r="BD5" s="676"/>
      <c r="BE5" s="676"/>
      <c r="BF5" s="676"/>
      <c r="BG5" s="36"/>
      <c r="BH5" s="36"/>
    </row>
    <row r="6" spans="1:80" ht="72" customHeight="1" x14ac:dyDescent="0.25">
      <c r="A6" s="1371"/>
      <c r="B6" s="1371"/>
      <c r="C6" s="1371"/>
      <c r="D6" s="1371"/>
      <c r="E6" s="1370"/>
      <c r="F6" s="1721" t="s">
        <v>553</v>
      </c>
      <c r="G6" s="1714">
        <v>21</v>
      </c>
      <c r="H6" s="1715"/>
      <c r="I6" s="1715"/>
      <c r="J6" s="1716"/>
      <c r="K6" s="1721" t="s">
        <v>553</v>
      </c>
      <c r="L6" s="1714">
        <v>22</v>
      </c>
      <c r="M6" s="1715"/>
      <c r="N6" s="1715"/>
      <c r="O6" s="1716"/>
      <c r="P6" s="1719" t="s">
        <v>535</v>
      </c>
      <c r="Q6" s="1714">
        <v>19</v>
      </c>
      <c r="R6" s="1715"/>
      <c r="S6" s="1715"/>
      <c r="T6" s="1716"/>
      <c r="U6" s="1719" t="s">
        <v>535</v>
      </c>
      <c r="V6" s="1714">
        <v>20</v>
      </c>
      <c r="W6" s="1715"/>
      <c r="X6" s="1715"/>
      <c r="Y6" s="1716"/>
      <c r="Z6" s="254"/>
      <c r="AA6" s="254"/>
      <c r="AB6" s="254"/>
      <c r="AC6" s="254"/>
      <c r="AD6" s="291"/>
      <c r="AE6" s="165"/>
      <c r="AF6" s="165"/>
      <c r="AG6" s="165"/>
      <c r="AH6" s="165"/>
      <c r="AI6" s="165"/>
      <c r="AJ6" s="1712" t="s">
        <v>478</v>
      </c>
      <c r="AK6" s="1714">
        <v>17</v>
      </c>
      <c r="AL6" s="1715"/>
      <c r="AM6" s="1715"/>
      <c r="AN6" s="1716"/>
      <c r="AO6" s="1712" t="s">
        <v>478</v>
      </c>
      <c r="AP6" s="1718">
        <v>18</v>
      </c>
      <c r="AQ6" s="1715"/>
      <c r="AR6" s="1715"/>
      <c r="AS6" s="1716"/>
      <c r="AT6" s="165"/>
      <c r="AU6" s="165"/>
      <c r="AV6" s="165"/>
      <c r="AW6" s="165"/>
      <c r="AX6" s="1370"/>
      <c r="AY6" s="677"/>
      <c r="AZ6" s="1332"/>
      <c r="BA6" s="1332"/>
      <c r="BB6" s="1332"/>
      <c r="BC6" s="1332"/>
      <c r="BD6" s="677"/>
      <c r="BE6" s="1332"/>
      <c r="BF6" s="1332"/>
      <c r="BG6" s="1332"/>
      <c r="BH6" s="1332"/>
      <c r="BM6" s="27"/>
      <c r="BN6" s="27"/>
      <c r="BO6" s="27"/>
      <c r="BP6" s="27"/>
      <c r="BQ6" s="27"/>
      <c r="BR6" s="27"/>
      <c r="BW6" s="27"/>
      <c r="BX6" s="27"/>
      <c r="BY6" s="27"/>
      <c r="BZ6" s="27"/>
      <c r="CA6" s="27"/>
      <c r="CB6" s="27"/>
    </row>
    <row r="7" spans="1:80" ht="35.1" customHeight="1" thickBot="1" x14ac:dyDescent="0.3">
      <c r="A7" s="32"/>
      <c r="B7" s="33"/>
      <c r="C7" s="34"/>
      <c r="D7" s="35"/>
      <c r="E7" s="1370"/>
      <c r="F7" s="1722"/>
      <c r="G7" s="241">
        <v>2.1589999999999998</v>
      </c>
      <c r="H7" s="242" t="s">
        <v>113</v>
      </c>
      <c r="I7" s="243">
        <v>1</v>
      </c>
      <c r="J7" s="244" t="s">
        <v>114</v>
      </c>
      <c r="K7" s="1722"/>
      <c r="L7" s="241">
        <v>1E-14</v>
      </c>
      <c r="M7" s="242" t="s">
        <v>113</v>
      </c>
      <c r="N7" s="243"/>
      <c r="O7" s="244" t="s">
        <v>114</v>
      </c>
      <c r="P7" s="1720"/>
      <c r="Q7" s="241">
        <v>1E-10</v>
      </c>
      <c r="R7" s="242" t="s">
        <v>113</v>
      </c>
      <c r="S7" s="243"/>
      <c r="T7" s="244" t="s">
        <v>114</v>
      </c>
      <c r="U7" s="1720"/>
      <c r="V7" s="241">
        <v>0.30480000000000002</v>
      </c>
      <c r="W7" s="242" t="s">
        <v>113</v>
      </c>
      <c r="X7" s="243"/>
      <c r="Y7" s="244" t="s">
        <v>114</v>
      </c>
      <c r="Z7" s="32"/>
      <c r="AA7" s="33"/>
      <c r="AB7" s="34"/>
      <c r="AC7" s="35"/>
      <c r="AD7" s="291"/>
      <c r="AE7" s="165"/>
      <c r="AF7" s="165"/>
      <c r="AG7" s="165"/>
      <c r="AH7" s="165"/>
      <c r="AI7" s="165"/>
      <c r="AJ7" s="1713"/>
      <c r="AK7" s="241">
        <v>1E-10</v>
      </c>
      <c r="AL7" s="242" t="s">
        <v>113</v>
      </c>
      <c r="AM7" s="243"/>
      <c r="AN7" s="244" t="s">
        <v>114</v>
      </c>
      <c r="AO7" s="1717"/>
      <c r="AP7" s="241">
        <v>1E-10</v>
      </c>
      <c r="AQ7" s="242" t="s">
        <v>113</v>
      </c>
      <c r="AR7" s="243"/>
      <c r="AS7" s="244" t="s">
        <v>114</v>
      </c>
      <c r="AT7" s="165"/>
      <c r="AU7" s="165"/>
      <c r="AV7" s="165"/>
      <c r="AW7" s="165"/>
      <c r="AX7" s="1370"/>
      <c r="AY7" s="677"/>
      <c r="AZ7" s="137"/>
      <c r="BA7" s="33"/>
      <c r="BB7" s="138"/>
      <c r="BC7" s="35"/>
      <c r="BD7" s="677"/>
      <c r="BE7" s="137"/>
      <c r="BF7" s="33"/>
      <c r="BG7" s="138"/>
      <c r="BH7" s="35"/>
      <c r="BM7" s="27"/>
      <c r="BN7" s="27"/>
      <c r="BO7" s="27"/>
      <c r="BP7" s="27"/>
      <c r="BQ7" s="27"/>
      <c r="BR7" s="27"/>
      <c r="BW7" s="27"/>
      <c r="BX7" s="27"/>
      <c r="BY7" s="27"/>
      <c r="BZ7" s="27"/>
      <c r="CA7" s="27"/>
      <c r="CB7" s="27"/>
    </row>
    <row r="8" spans="1:80" ht="30" customHeight="1" thickTop="1" x14ac:dyDescent="0.25">
      <c r="A8" s="1371"/>
      <c r="B8" s="1371"/>
      <c r="C8" s="1371"/>
      <c r="D8" s="1371"/>
      <c r="E8" s="1370"/>
      <c r="F8" s="1706" t="s">
        <v>554</v>
      </c>
      <c r="G8" s="1707"/>
      <c r="H8" s="1707"/>
      <c r="I8" s="1707"/>
      <c r="J8" s="1707"/>
      <c r="K8" s="1707"/>
      <c r="L8" s="1707"/>
      <c r="M8" s="1707"/>
      <c r="N8" s="1707"/>
      <c r="O8" s="1707"/>
      <c r="P8" s="1706" t="s">
        <v>554</v>
      </c>
      <c r="Q8" s="1707"/>
      <c r="R8" s="1707"/>
      <c r="S8" s="1707"/>
      <c r="T8" s="1707"/>
      <c r="U8" s="1707"/>
      <c r="V8" s="1707"/>
      <c r="W8" s="1707"/>
      <c r="X8" s="1707"/>
      <c r="Y8" s="1708"/>
      <c r="Z8" s="1371"/>
      <c r="AA8" s="1371"/>
      <c r="AB8" s="1371"/>
      <c r="AC8" s="1371"/>
      <c r="AD8" s="1370"/>
      <c r="AE8" s="1371"/>
      <c r="AF8" s="1371"/>
      <c r="AG8" s="1371"/>
      <c r="AH8" s="1371"/>
      <c r="AI8" s="1370"/>
      <c r="AJ8" s="1699" t="s">
        <v>554</v>
      </c>
      <c r="AK8" s="1700"/>
      <c r="AL8" s="1700"/>
      <c r="AM8" s="1700"/>
      <c r="AN8" s="1700"/>
      <c r="AO8" s="1700"/>
      <c r="AP8" s="1701"/>
      <c r="AQ8" s="1700"/>
      <c r="AR8" s="1700"/>
      <c r="AS8" s="1702"/>
      <c r="AT8" s="165"/>
      <c r="AU8" s="165"/>
      <c r="AV8" s="165"/>
      <c r="AW8" s="165"/>
      <c r="AX8" s="165"/>
      <c r="AY8" s="674"/>
      <c r="AZ8" s="674"/>
      <c r="BA8" s="674"/>
      <c r="BB8" s="1300"/>
      <c r="BC8" s="1300"/>
      <c r="BD8" s="674"/>
      <c r="BE8" s="674"/>
      <c r="BF8" s="674"/>
      <c r="BG8" s="1300"/>
      <c r="BH8" s="1300"/>
      <c r="BM8" s="27"/>
      <c r="BN8" s="27"/>
      <c r="BO8" s="27"/>
      <c r="BP8" s="27"/>
      <c r="BQ8" s="27"/>
      <c r="BR8" s="27"/>
      <c r="BW8" s="27"/>
      <c r="BX8" s="27"/>
      <c r="BY8" s="27"/>
      <c r="BZ8" s="27"/>
      <c r="CA8" s="27"/>
      <c r="CB8" s="27"/>
    </row>
    <row r="9" spans="1:80" ht="30" customHeight="1" thickBot="1" x14ac:dyDescent="0.3">
      <c r="A9" s="32"/>
      <c r="B9" s="33"/>
      <c r="C9" s="34"/>
      <c r="D9" s="35"/>
      <c r="E9" s="1370"/>
      <c r="F9" s="1709"/>
      <c r="G9" s="1710"/>
      <c r="H9" s="1710"/>
      <c r="I9" s="1710"/>
      <c r="J9" s="1710"/>
      <c r="K9" s="1710"/>
      <c r="L9" s="1710"/>
      <c r="M9" s="1710"/>
      <c r="N9" s="1710"/>
      <c r="O9" s="1710"/>
      <c r="P9" s="1709"/>
      <c r="Q9" s="1710"/>
      <c r="R9" s="1710"/>
      <c r="S9" s="1710"/>
      <c r="T9" s="1710"/>
      <c r="U9" s="1710"/>
      <c r="V9" s="1710"/>
      <c r="W9" s="1710"/>
      <c r="X9" s="1710"/>
      <c r="Y9" s="1711"/>
      <c r="Z9" s="32"/>
      <c r="AA9" s="33"/>
      <c r="AB9" s="34"/>
      <c r="AC9" s="35"/>
      <c r="AD9" s="1370"/>
      <c r="AE9" s="32"/>
      <c r="AF9" s="33"/>
      <c r="AG9" s="34"/>
      <c r="AH9" s="35"/>
      <c r="AI9" s="1370"/>
      <c r="AJ9" s="1703"/>
      <c r="AK9" s="1704"/>
      <c r="AL9" s="1704"/>
      <c r="AM9" s="1704"/>
      <c r="AN9" s="1704"/>
      <c r="AO9" s="1704"/>
      <c r="AP9" s="1704"/>
      <c r="AQ9" s="1704"/>
      <c r="AR9" s="1704"/>
      <c r="AS9" s="1705"/>
      <c r="AT9" s="165"/>
      <c r="AU9" s="165"/>
      <c r="AV9" s="165"/>
      <c r="AW9" s="165"/>
      <c r="AX9" s="165"/>
      <c r="AY9" s="676"/>
      <c r="AZ9" s="676"/>
      <c r="BA9" s="676"/>
      <c r="BB9" s="36"/>
      <c r="BC9" s="36"/>
      <c r="BD9" s="676"/>
      <c r="BE9" s="676"/>
      <c r="BF9" s="676"/>
      <c r="BG9" s="36"/>
      <c r="BH9" s="36"/>
    </row>
    <row r="10" spans="1:80" ht="30" customHeight="1" thickTop="1" x14ac:dyDescent="0.25">
      <c r="A10" s="1371"/>
      <c r="B10" s="1371"/>
      <c r="C10" s="1371"/>
      <c r="D10" s="1371"/>
      <c r="E10" s="1370"/>
      <c r="F10" s="1371"/>
      <c r="G10" s="1371"/>
      <c r="H10" s="1371"/>
      <c r="I10" s="1371"/>
      <c r="J10" s="1370"/>
      <c r="K10" s="1371"/>
      <c r="L10" s="1371"/>
      <c r="M10" s="1371"/>
      <c r="N10" s="1371"/>
      <c r="O10" s="1370"/>
      <c r="P10" s="1371"/>
      <c r="Q10" s="1371"/>
      <c r="R10" s="1371"/>
      <c r="S10" s="1371"/>
      <c r="T10" s="1370"/>
      <c r="U10" s="1371"/>
      <c r="V10" s="1371"/>
      <c r="W10" s="1371"/>
      <c r="X10" s="1371"/>
      <c r="Y10" s="1370"/>
      <c r="Z10" s="1371"/>
      <c r="AA10" s="1371"/>
      <c r="AB10" s="1371"/>
      <c r="AC10" s="1371"/>
      <c r="AD10" s="1370"/>
      <c r="AE10" s="1371"/>
      <c r="AF10" s="1371"/>
      <c r="AG10" s="1371"/>
      <c r="AH10" s="1371"/>
      <c r="AI10" s="1370"/>
      <c r="AJ10" s="1371"/>
      <c r="AK10" s="1371"/>
      <c r="AL10" s="1371"/>
      <c r="AM10" s="1371"/>
      <c r="AN10" s="1370"/>
      <c r="AO10" s="165"/>
      <c r="AP10" s="165"/>
      <c r="AQ10" s="165"/>
      <c r="AR10" s="165"/>
      <c r="AS10" s="165"/>
      <c r="AT10" s="165"/>
      <c r="AU10" s="165"/>
      <c r="AV10" s="165"/>
      <c r="AW10" s="165"/>
      <c r="AX10" s="165"/>
      <c r="AY10" s="676"/>
      <c r="AZ10" s="676"/>
      <c r="BA10" s="676"/>
      <c r="BB10" s="36"/>
      <c r="BC10" s="36"/>
      <c r="BD10" s="676"/>
      <c r="BE10" s="676"/>
      <c r="BF10" s="676"/>
      <c r="BG10" s="36"/>
      <c r="BH10" s="36"/>
    </row>
    <row r="11" spans="1:80" ht="30" customHeight="1" x14ac:dyDescent="0.25">
      <c r="A11" s="32"/>
      <c r="B11" s="33"/>
      <c r="C11" s="34"/>
      <c r="D11" s="35"/>
      <c r="E11" s="1370"/>
      <c r="F11" s="32"/>
      <c r="G11" s="33"/>
      <c r="H11" s="34"/>
      <c r="I11" s="35"/>
      <c r="J11" s="1370"/>
      <c r="K11" s="32"/>
      <c r="L11" s="33"/>
      <c r="M11" s="34"/>
      <c r="N11" s="35"/>
      <c r="O11" s="1370"/>
      <c r="P11" s="32"/>
      <c r="Q11" s="33"/>
      <c r="R11" s="34"/>
      <c r="S11" s="35"/>
      <c r="T11" s="1370"/>
      <c r="U11" s="32"/>
      <c r="V11" s="33"/>
      <c r="W11" s="34"/>
      <c r="X11" s="35"/>
      <c r="Y11" s="1370"/>
      <c r="Z11" s="32"/>
      <c r="AA11" s="33"/>
      <c r="AB11" s="34"/>
      <c r="AC11" s="35"/>
      <c r="AD11" s="1370"/>
      <c r="AE11" s="32"/>
      <c r="AF11" s="33"/>
      <c r="AG11" s="34"/>
      <c r="AH11" s="35"/>
      <c r="AI11" s="1370"/>
      <c r="AJ11" s="32"/>
      <c r="AK11" s="33"/>
      <c r="AL11" s="34"/>
      <c r="AM11" s="35"/>
      <c r="AN11" s="1370"/>
      <c r="AO11" s="165"/>
      <c r="AP11" s="165"/>
      <c r="AQ11" s="165"/>
      <c r="AR11" s="165"/>
      <c r="AS11" s="165"/>
      <c r="AT11" s="165"/>
      <c r="AU11" s="165"/>
      <c r="AV11" s="165"/>
      <c r="AW11" s="165"/>
      <c r="AX11" s="165"/>
      <c r="AY11" s="676"/>
      <c r="AZ11" s="676"/>
      <c r="BA11" s="676"/>
      <c r="BB11" s="36"/>
      <c r="BC11" s="36"/>
      <c r="BD11" s="676"/>
      <c r="BE11" s="676"/>
      <c r="BF11" s="676"/>
      <c r="BG11" s="36"/>
      <c r="BH11" s="36"/>
    </row>
    <row r="12" spans="1:80" ht="30" customHeight="1" x14ac:dyDescent="0.25">
      <c r="A12" s="1371"/>
      <c r="B12" s="1371"/>
      <c r="C12" s="1371"/>
      <c r="D12" s="1371"/>
      <c r="E12" s="1370"/>
      <c r="F12" s="1371"/>
      <c r="G12" s="1371"/>
      <c r="H12" s="1371"/>
      <c r="I12" s="1371"/>
      <c r="J12" s="1370"/>
      <c r="K12" s="1371"/>
      <c r="L12" s="1371"/>
      <c r="M12" s="1371"/>
      <c r="N12" s="1371"/>
      <c r="O12" s="1370"/>
      <c r="P12" s="1371"/>
      <c r="Q12" s="1371"/>
      <c r="R12" s="1371"/>
      <c r="S12" s="1371"/>
      <c r="T12" s="1370"/>
      <c r="U12" s="1371"/>
      <c r="V12" s="1371"/>
      <c r="W12" s="1371"/>
      <c r="X12" s="1371"/>
      <c r="Y12" s="1370"/>
      <c r="Z12" s="1371"/>
      <c r="AA12" s="1371"/>
      <c r="AB12" s="1371"/>
      <c r="AC12" s="1371"/>
      <c r="AD12" s="1370"/>
      <c r="AE12" s="1371"/>
      <c r="AF12" s="1371"/>
      <c r="AG12" s="1371"/>
      <c r="AH12" s="1371"/>
      <c r="AI12" s="1370"/>
      <c r="AJ12" s="1371"/>
      <c r="AK12" s="1371"/>
      <c r="AL12" s="1371"/>
      <c r="AM12" s="1371"/>
      <c r="AN12" s="1370"/>
      <c r="AO12" s="165"/>
      <c r="AP12" s="165"/>
      <c r="AQ12" s="165"/>
      <c r="AR12" s="165"/>
      <c r="AS12" s="165"/>
      <c r="AT12" s="165"/>
      <c r="AU12" s="165"/>
      <c r="AV12" s="165"/>
      <c r="AW12" s="165"/>
      <c r="AX12" s="165"/>
      <c r="AY12" s="677"/>
      <c r="AZ12" s="1332"/>
      <c r="BA12" s="1332"/>
      <c r="BB12" s="1332"/>
      <c r="BC12" s="1332"/>
      <c r="BD12" s="677"/>
      <c r="BE12" s="1332"/>
      <c r="BF12" s="1332"/>
      <c r="BG12" s="1332"/>
      <c r="BH12" s="1332"/>
      <c r="BM12" s="51"/>
      <c r="BN12" s="51"/>
      <c r="BO12" s="51"/>
      <c r="BP12" s="51"/>
      <c r="BQ12" s="51"/>
      <c r="BR12" s="51"/>
      <c r="BW12" s="27"/>
      <c r="BX12" s="27"/>
      <c r="BY12" s="27"/>
      <c r="BZ12" s="27"/>
      <c r="CA12" s="27"/>
      <c r="CB12" s="27"/>
    </row>
    <row r="13" spans="1:80" ht="30" customHeight="1" x14ac:dyDescent="0.25">
      <c r="A13" s="32"/>
      <c r="B13" s="33"/>
      <c r="C13" s="34"/>
      <c r="D13" s="35"/>
      <c r="E13" s="1370"/>
      <c r="F13" s="32"/>
      <c r="G13" s="33"/>
      <c r="H13" s="34"/>
      <c r="I13" s="35"/>
      <c r="J13" s="1370"/>
      <c r="K13" s="32"/>
      <c r="L13" s="33"/>
      <c r="M13" s="34"/>
      <c r="N13" s="35"/>
      <c r="O13" s="1370"/>
      <c r="P13" s="32"/>
      <c r="Q13" s="33"/>
      <c r="R13" s="34"/>
      <c r="S13" s="35"/>
      <c r="T13" s="1370"/>
      <c r="U13" s="32"/>
      <c r="V13" s="33"/>
      <c r="W13" s="34"/>
      <c r="X13" s="35"/>
      <c r="Y13" s="1370"/>
      <c r="Z13" s="32"/>
      <c r="AA13" s="33"/>
      <c r="AB13" s="34"/>
      <c r="AC13" s="35"/>
      <c r="AD13" s="1370"/>
      <c r="AE13" s="32"/>
      <c r="AF13" s="33"/>
      <c r="AG13" s="34"/>
      <c r="AH13" s="35"/>
      <c r="AI13" s="1370"/>
      <c r="AJ13" s="32"/>
      <c r="AK13" s="33"/>
      <c r="AL13" s="34"/>
      <c r="AM13" s="35"/>
      <c r="AN13" s="1370"/>
      <c r="AO13" s="165"/>
      <c r="AP13" s="165"/>
      <c r="AQ13" s="165"/>
      <c r="AR13" s="165"/>
      <c r="AS13" s="165"/>
      <c r="AT13" s="165"/>
      <c r="AU13" s="165"/>
      <c r="AV13" s="165"/>
      <c r="AW13" s="165"/>
      <c r="AX13" s="165"/>
      <c r="AY13" s="677"/>
      <c r="AZ13" s="137"/>
      <c r="BA13" s="33"/>
      <c r="BB13" s="138"/>
      <c r="BC13" s="35"/>
      <c r="BD13" s="677"/>
      <c r="BE13" s="137"/>
      <c r="BF13" s="33"/>
      <c r="BG13" s="138"/>
      <c r="BH13" s="35"/>
      <c r="BM13" s="51"/>
      <c r="BN13" s="51"/>
      <c r="BO13" s="51"/>
      <c r="BP13" s="51"/>
      <c r="BQ13" s="51"/>
      <c r="BR13" s="51"/>
      <c r="BW13" s="27"/>
      <c r="BX13" s="27"/>
      <c r="BY13" s="27"/>
      <c r="BZ13" s="27"/>
      <c r="CA13" s="27"/>
      <c r="CB13" s="27"/>
    </row>
    <row r="14" spans="1:80" ht="39.950000000000003" hidden="1" customHeight="1" thickTop="1" x14ac:dyDescent="0.25">
      <c r="A14" s="1695" t="s">
        <v>250</v>
      </c>
      <c r="B14" s="1696"/>
      <c r="C14" s="1696"/>
      <c r="D14" s="1697">
        <f>B19/((42*3.1415/59)*(30/3.281))</f>
        <v>0</v>
      </c>
      <c r="E14" s="1698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Z14" s="44"/>
      <c r="AA14" s="44"/>
      <c r="AB14" s="44"/>
      <c r="AC14" s="44"/>
      <c r="AD14" s="44"/>
      <c r="AE14" s="44"/>
      <c r="AF14" s="44"/>
      <c r="AG14" s="44"/>
      <c r="AH14" s="69"/>
      <c r="AI14" s="69"/>
      <c r="AJ14" s="44"/>
      <c r="AK14" s="44"/>
      <c r="AL14" s="44"/>
      <c r="AM14" s="69"/>
      <c r="AN14" s="69"/>
      <c r="AO14" s="674"/>
      <c r="AP14" s="674"/>
      <c r="AQ14" s="674"/>
      <c r="AR14" s="1300"/>
      <c r="AS14" s="1300"/>
      <c r="AT14" s="1389"/>
      <c r="AU14" s="1389"/>
      <c r="AV14" s="1389"/>
      <c r="AW14" s="1390"/>
      <c r="AX14" s="1390"/>
      <c r="AY14" s="674"/>
      <c r="AZ14" s="674"/>
      <c r="BA14" s="674"/>
      <c r="BB14" s="1300"/>
      <c r="BC14" s="1300"/>
      <c r="BD14" s="674"/>
      <c r="BE14" s="674"/>
      <c r="BF14" s="674"/>
      <c r="BG14" s="1300"/>
      <c r="BH14" s="1300"/>
      <c r="BM14" s="51"/>
      <c r="BN14" s="51"/>
      <c r="BO14" s="51"/>
      <c r="BP14" s="51"/>
      <c r="BQ14" s="51"/>
      <c r="BR14" s="51"/>
      <c r="BW14" s="27"/>
      <c r="BX14" s="27"/>
      <c r="BY14" s="27"/>
      <c r="BZ14" s="27"/>
      <c r="CA14" s="27"/>
      <c r="CB14" s="27"/>
    </row>
    <row r="15" spans="1:80" ht="9.9499999999999993" hidden="1" customHeight="1" x14ac:dyDescent="0.25">
      <c r="A15" s="1379" t="s">
        <v>252</v>
      </c>
      <c r="B15" s="1380"/>
      <c r="C15" s="1380"/>
      <c r="D15" s="1380"/>
      <c r="E15" s="1381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Z15" s="47"/>
      <c r="AA15" s="47"/>
      <c r="AB15" s="47"/>
      <c r="AC15" s="47"/>
      <c r="AD15" s="47"/>
      <c r="AE15" s="47"/>
      <c r="AF15" s="47"/>
      <c r="AG15" s="47"/>
      <c r="AH15" s="36"/>
      <c r="AI15" s="36"/>
      <c r="AJ15" s="47"/>
      <c r="AK15" s="47"/>
      <c r="AL15" s="47"/>
      <c r="AM15" s="36"/>
      <c r="AN15" s="36"/>
      <c r="AO15" s="676"/>
      <c r="AP15" s="676"/>
      <c r="AQ15" s="676"/>
      <c r="AR15" s="36"/>
      <c r="AS15" s="36"/>
      <c r="AT15" s="1388"/>
      <c r="AU15" s="1388"/>
      <c r="AV15" s="1388"/>
      <c r="AW15" s="139"/>
      <c r="AX15" s="139"/>
      <c r="AY15" s="676"/>
      <c r="AZ15" s="676"/>
      <c r="BA15" s="676"/>
      <c r="BB15" s="36"/>
      <c r="BC15" s="36"/>
      <c r="BD15" s="676"/>
      <c r="BE15" s="676"/>
      <c r="BF15" s="676"/>
      <c r="BG15" s="36"/>
      <c r="BH15" s="36"/>
    </row>
    <row r="16" spans="1:80" ht="24.95" hidden="1" customHeight="1" x14ac:dyDescent="0.25">
      <c r="A16" s="1382"/>
      <c r="B16" s="1383"/>
      <c r="C16" s="1383"/>
      <c r="D16" s="1383"/>
      <c r="E16" s="1384"/>
      <c r="F16" s="47"/>
      <c r="G16" s="47"/>
      <c r="H16" s="47"/>
      <c r="I16" s="47"/>
      <c r="J16" s="47"/>
      <c r="K16" s="47"/>
      <c r="L16" s="47"/>
      <c r="M16" s="285"/>
      <c r="N16" s="285"/>
      <c r="O16" s="285"/>
      <c r="P16" s="285"/>
      <c r="Q16" s="285"/>
      <c r="R16" s="47"/>
      <c r="S16" s="47"/>
      <c r="T16" s="47"/>
      <c r="Z16" s="47"/>
      <c r="AA16" s="47"/>
      <c r="AB16" s="47"/>
      <c r="AC16" s="47"/>
      <c r="AD16" s="47"/>
      <c r="AE16" s="47"/>
      <c r="AF16" s="47"/>
      <c r="AG16" s="47"/>
      <c r="AH16" s="140"/>
      <c r="AI16" s="36"/>
      <c r="AJ16" s="47"/>
      <c r="AK16" s="47"/>
      <c r="AL16" s="47"/>
      <c r="AM16" s="140"/>
      <c r="AN16" s="36"/>
      <c r="AO16" s="676"/>
      <c r="AP16" s="676"/>
      <c r="AQ16" s="676"/>
      <c r="AR16" s="140"/>
      <c r="AS16" s="36"/>
      <c r="AT16" s="1388"/>
      <c r="AU16" s="1388"/>
      <c r="AV16" s="1388"/>
      <c r="AW16" s="141"/>
      <c r="AX16" s="139"/>
      <c r="AY16" s="676"/>
      <c r="AZ16" s="676"/>
      <c r="BA16" s="676"/>
      <c r="BB16" s="36"/>
      <c r="BC16" s="36"/>
      <c r="BD16" s="676"/>
      <c r="BE16" s="676"/>
      <c r="BF16" s="676"/>
      <c r="BG16" s="36"/>
      <c r="BH16" s="36"/>
    </row>
    <row r="17" spans="1:80" ht="9.9499999999999993" hidden="1" customHeight="1" x14ac:dyDescent="0.25">
      <c r="A17" s="1385"/>
      <c r="B17" s="1386"/>
      <c r="C17" s="1386"/>
      <c r="D17" s="1386"/>
      <c r="E17" s="138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Z17" s="47"/>
      <c r="AA17" s="47"/>
      <c r="AB17" s="47"/>
      <c r="AC17" s="47"/>
      <c r="AD17" s="47"/>
      <c r="AE17" s="47"/>
      <c r="AF17" s="47"/>
      <c r="AG17" s="47"/>
      <c r="AH17" s="36"/>
      <c r="AI17" s="36"/>
      <c r="AJ17" s="47"/>
      <c r="AK17" s="47"/>
      <c r="AL17" s="47"/>
      <c r="AM17" s="36"/>
      <c r="AN17" s="36"/>
      <c r="AO17" s="676"/>
      <c r="AP17" s="676"/>
      <c r="AQ17" s="676"/>
      <c r="AR17" s="36"/>
      <c r="AS17" s="36"/>
      <c r="AT17" s="1388"/>
      <c r="AU17" s="1388"/>
      <c r="AV17" s="1388"/>
      <c r="AW17" s="139"/>
      <c r="AX17" s="139"/>
      <c r="AY17" s="676"/>
      <c r="AZ17" s="676"/>
      <c r="BA17" s="676"/>
      <c r="BB17" s="36"/>
      <c r="BC17" s="36"/>
      <c r="BD17" s="676"/>
      <c r="BE17" s="676"/>
      <c r="BF17" s="676"/>
      <c r="BG17" s="36"/>
      <c r="BH17" s="36"/>
    </row>
    <row r="18" spans="1:80" ht="72" hidden="1" customHeight="1" x14ac:dyDescent="0.25">
      <c r="A18" s="1374" t="s">
        <v>253</v>
      </c>
      <c r="B18" s="1376"/>
      <c r="C18" s="1377"/>
      <c r="D18" s="1377"/>
      <c r="E18" s="1378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3"/>
      <c r="AU18" s="143"/>
      <c r="AV18" s="143"/>
      <c r="AW18" s="143"/>
      <c r="AX18" s="143"/>
      <c r="AY18" s="677"/>
      <c r="AZ18" s="1332"/>
      <c r="BA18" s="1332"/>
      <c r="BB18" s="1332"/>
      <c r="BC18" s="1332"/>
      <c r="BD18" s="677"/>
      <c r="BE18" s="1332" t="s">
        <v>16</v>
      </c>
      <c r="BF18" s="1332"/>
      <c r="BG18" s="1332"/>
      <c r="BH18" s="1332"/>
      <c r="BM18" s="51"/>
      <c r="BN18" s="51"/>
      <c r="BO18" s="51"/>
      <c r="BP18" s="51"/>
      <c r="BQ18" s="51"/>
      <c r="BR18" s="51"/>
      <c r="BW18" s="27"/>
      <c r="BX18" s="27"/>
      <c r="BY18" s="27"/>
      <c r="BZ18" s="27"/>
      <c r="CA18" s="27"/>
      <c r="CB18" s="27"/>
    </row>
    <row r="19" spans="1:80" ht="35.1" hidden="1" customHeight="1" thickBot="1" x14ac:dyDescent="0.3">
      <c r="A19" s="1375"/>
      <c r="B19" s="144"/>
      <c r="C19" s="145" t="s">
        <v>113</v>
      </c>
      <c r="D19" s="146"/>
      <c r="E19" s="147" t="s">
        <v>114</v>
      </c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148"/>
      <c r="AU19" s="148"/>
      <c r="AV19" s="148"/>
      <c r="AW19" s="148"/>
      <c r="AX19" s="148"/>
      <c r="AY19" s="677"/>
      <c r="AZ19" s="137"/>
      <c r="BA19" s="33"/>
      <c r="BB19" s="138"/>
      <c r="BC19" s="35"/>
      <c r="BD19" s="677"/>
      <c r="BE19" s="137"/>
      <c r="BF19" s="33"/>
      <c r="BG19" s="138"/>
      <c r="BH19" s="35"/>
      <c r="BM19" s="51"/>
      <c r="BN19" s="51"/>
      <c r="BO19" s="51"/>
      <c r="BP19" s="51"/>
      <c r="BQ19" s="51"/>
      <c r="BR19" s="51"/>
      <c r="BW19" s="27"/>
      <c r="BX19" s="27"/>
      <c r="BY19" s="27"/>
      <c r="BZ19" s="27"/>
      <c r="CA19" s="27"/>
      <c r="CB19" s="27"/>
    </row>
    <row r="20" spans="1:80" ht="26.25" hidden="1" customHeight="1" x14ac:dyDescent="0.25">
      <c r="A20" s="1396"/>
      <c r="B20" s="1396"/>
      <c r="C20" s="1396"/>
      <c r="D20" s="1397"/>
      <c r="E20" s="1397"/>
      <c r="F20" s="674"/>
      <c r="G20" s="674"/>
      <c r="H20" s="674"/>
      <c r="I20" s="1300"/>
      <c r="J20" s="1300"/>
      <c r="K20" s="44"/>
      <c r="L20" s="44"/>
      <c r="M20" s="44"/>
      <c r="N20" s="69"/>
      <c r="O20" s="69"/>
      <c r="P20" s="44"/>
      <c r="Q20" s="44"/>
      <c r="R20" s="44"/>
      <c r="S20" s="69"/>
      <c r="T20" s="69"/>
      <c r="U20" s="44"/>
      <c r="V20" s="44"/>
      <c r="W20" s="44"/>
      <c r="X20" s="69"/>
      <c r="Y20" s="69"/>
      <c r="Z20" s="44"/>
      <c r="AA20" s="44"/>
      <c r="AB20" s="44"/>
      <c r="AC20" s="69"/>
      <c r="AD20" s="69"/>
      <c r="AE20" s="44"/>
      <c r="AF20" s="44"/>
      <c r="AG20" s="44"/>
      <c r="AH20" s="69"/>
      <c r="AI20" s="69"/>
      <c r="AJ20" s="44"/>
      <c r="AK20" s="44"/>
      <c r="AL20" s="44"/>
      <c r="AM20" s="69"/>
      <c r="AN20" s="69"/>
      <c r="AO20" s="674"/>
      <c r="AP20" s="674"/>
      <c r="AQ20" s="674"/>
      <c r="AR20" s="1300"/>
      <c r="AS20" s="1300"/>
      <c r="AT20" s="1389"/>
      <c r="AU20" s="1389"/>
      <c r="AV20" s="1389"/>
      <c r="AW20" s="1390"/>
      <c r="AX20" s="1390"/>
      <c r="AY20" s="674"/>
      <c r="AZ20" s="674"/>
      <c r="BA20" s="674"/>
      <c r="BB20" s="1300"/>
      <c r="BC20" s="1300"/>
      <c r="BD20" s="674"/>
      <c r="BE20" s="674"/>
      <c r="BF20" s="674"/>
      <c r="BG20" s="1300"/>
      <c r="BH20" s="1300"/>
      <c r="BM20" s="51"/>
      <c r="BN20" s="51"/>
      <c r="BO20" s="51"/>
      <c r="BP20" s="51"/>
      <c r="BQ20" s="51"/>
      <c r="BR20" s="51"/>
      <c r="BW20" s="27"/>
      <c r="BX20" s="27"/>
      <c r="BY20" s="27"/>
      <c r="BZ20" s="27"/>
      <c r="CA20" s="27"/>
      <c r="CB20" s="27"/>
    </row>
    <row r="21" spans="1:80" ht="18.75" hidden="1" customHeight="1" x14ac:dyDescent="0.25">
      <c r="A21" s="1395"/>
      <c r="B21" s="1395"/>
      <c r="C21" s="1395"/>
      <c r="D21" s="149"/>
      <c r="E21" s="149"/>
      <c r="F21" s="676"/>
      <c r="G21" s="676"/>
      <c r="H21" s="676"/>
      <c r="I21" s="36"/>
      <c r="J21" s="36"/>
      <c r="K21" s="47"/>
      <c r="L21" s="47"/>
      <c r="M21" s="47"/>
      <c r="N21" s="36"/>
      <c r="O21" s="36"/>
      <c r="P21" s="47"/>
      <c r="Q21" s="47"/>
      <c r="R21" s="47"/>
      <c r="S21" s="36"/>
      <c r="T21" s="36"/>
      <c r="U21" s="47"/>
      <c r="V21" s="47"/>
      <c r="W21" s="47"/>
      <c r="X21" s="36"/>
      <c r="Y21" s="36"/>
      <c r="Z21" s="47"/>
      <c r="AA21" s="47"/>
      <c r="AB21" s="47"/>
      <c r="AC21" s="36"/>
      <c r="AD21" s="36"/>
      <c r="AE21" s="47"/>
      <c r="AF21" s="47"/>
      <c r="AG21" s="47"/>
      <c r="AH21" s="36"/>
      <c r="AI21" s="36"/>
      <c r="AJ21" s="47"/>
      <c r="AK21" s="47"/>
      <c r="AL21" s="47"/>
      <c r="AM21" s="36"/>
      <c r="AN21" s="36"/>
      <c r="AO21" s="676"/>
      <c r="AP21" s="676"/>
      <c r="AQ21" s="676"/>
      <c r="AR21" s="36"/>
      <c r="AS21" s="36"/>
      <c r="AT21" s="1388"/>
      <c r="AU21" s="1388"/>
      <c r="AV21" s="1388"/>
      <c r="AW21" s="139"/>
      <c r="AX21" s="139"/>
      <c r="AY21" s="676"/>
      <c r="AZ21" s="676"/>
      <c r="BA21" s="676"/>
      <c r="BB21" s="36"/>
      <c r="BC21" s="36"/>
      <c r="BD21" s="676"/>
      <c r="BE21" s="676"/>
      <c r="BF21" s="676"/>
      <c r="BG21" s="36"/>
      <c r="BH21" s="36"/>
    </row>
    <row r="22" spans="1:80" ht="36" hidden="1" customHeight="1" x14ac:dyDescent="0.25">
      <c r="A22" s="1395"/>
      <c r="B22" s="1395"/>
      <c r="C22" s="1395"/>
      <c r="D22" s="150"/>
      <c r="E22" s="149"/>
      <c r="F22" s="676"/>
      <c r="G22" s="676"/>
      <c r="H22" s="676"/>
      <c r="I22" s="140"/>
      <c r="J22" s="36"/>
      <c r="K22" s="47"/>
      <c r="L22" s="47"/>
      <c r="M22" s="47"/>
      <c r="N22" s="140"/>
      <c r="O22" s="36"/>
      <c r="P22" s="47"/>
      <c r="Q22" s="47"/>
      <c r="R22" s="47"/>
      <c r="S22" s="140"/>
      <c r="T22" s="36"/>
      <c r="U22" s="47"/>
      <c r="V22" s="47"/>
      <c r="W22" s="47"/>
      <c r="X22" s="140"/>
      <c r="Y22" s="36"/>
      <c r="Z22" s="47"/>
      <c r="AA22" s="47"/>
      <c r="AB22" s="47"/>
      <c r="AC22" s="140"/>
      <c r="AD22" s="36"/>
      <c r="AE22" s="47"/>
      <c r="AF22" s="47"/>
      <c r="AG22" s="47"/>
      <c r="AH22" s="140"/>
      <c r="AI22" s="36"/>
      <c r="AJ22" s="47"/>
      <c r="AK22" s="47"/>
      <c r="AL22" s="47"/>
      <c r="AM22" s="140"/>
      <c r="AN22" s="36"/>
      <c r="AO22" s="676"/>
      <c r="AP22" s="676"/>
      <c r="AQ22" s="676"/>
      <c r="AR22" s="140"/>
      <c r="AS22" s="36"/>
      <c r="AT22" s="1388"/>
      <c r="AU22" s="1388"/>
      <c r="AV22" s="1388"/>
      <c r="AW22" s="141"/>
      <c r="AX22" s="139"/>
      <c r="AY22" s="676"/>
      <c r="AZ22" s="676"/>
      <c r="BA22" s="676"/>
      <c r="BB22" s="36"/>
      <c r="BC22" s="36"/>
      <c r="BD22" s="676"/>
      <c r="BE22" s="676"/>
      <c r="BF22" s="676"/>
      <c r="BG22" s="36"/>
      <c r="BH22" s="36"/>
    </row>
    <row r="23" spans="1:80" ht="18.75" hidden="1" customHeight="1" x14ac:dyDescent="0.25">
      <c r="A23" s="1395"/>
      <c r="B23" s="1395"/>
      <c r="C23" s="1395"/>
      <c r="D23" s="149"/>
      <c r="E23" s="149"/>
      <c r="F23" s="676"/>
      <c r="G23" s="676"/>
      <c r="H23" s="676"/>
      <c r="I23" s="36"/>
      <c r="J23" s="36"/>
      <c r="K23" s="47"/>
      <c r="L23" s="47"/>
      <c r="M23" s="47"/>
      <c r="N23" s="36"/>
      <c r="O23" s="36"/>
      <c r="P23" s="47"/>
      <c r="Q23" s="47"/>
      <c r="R23" s="47"/>
      <c r="S23" s="36"/>
      <c r="T23" s="36"/>
      <c r="U23" s="47"/>
      <c r="V23" s="47"/>
      <c r="W23" s="47"/>
      <c r="X23" s="36"/>
      <c r="Y23" s="36"/>
      <c r="Z23" s="47"/>
      <c r="AA23" s="47"/>
      <c r="AB23" s="47"/>
      <c r="AC23" s="36"/>
      <c r="AD23" s="36"/>
      <c r="AE23" s="47"/>
      <c r="AF23" s="47"/>
      <c r="AG23" s="47"/>
      <c r="AH23" s="36"/>
      <c r="AI23" s="36"/>
      <c r="AJ23" s="47"/>
      <c r="AK23" s="47"/>
      <c r="AL23" s="47"/>
      <c r="AM23" s="36"/>
      <c r="AN23" s="36"/>
      <c r="AO23" s="676"/>
      <c r="AP23" s="676"/>
      <c r="AQ23" s="676"/>
      <c r="AR23" s="36"/>
      <c r="AS23" s="36"/>
      <c r="AT23" s="1388"/>
      <c r="AU23" s="1388"/>
      <c r="AV23" s="1388"/>
      <c r="AW23" s="139"/>
      <c r="AX23" s="139"/>
      <c r="AY23" s="676"/>
      <c r="AZ23" s="676"/>
      <c r="BA23" s="676"/>
      <c r="BB23" s="36"/>
      <c r="BC23" s="36"/>
      <c r="BD23" s="676"/>
      <c r="BE23" s="676"/>
      <c r="BF23" s="676"/>
      <c r="BG23" s="36"/>
      <c r="BH23" s="36"/>
    </row>
    <row r="24" spans="1:80" ht="77.25" hidden="1" customHeight="1" x14ac:dyDescent="0.25">
      <c r="A24" s="1398"/>
      <c r="B24" s="1399"/>
      <c r="C24" s="1399"/>
      <c r="D24" s="1399"/>
      <c r="E24" s="1399"/>
      <c r="F24" s="1370"/>
      <c r="G24" s="1371"/>
      <c r="H24" s="1371"/>
      <c r="I24" s="1371"/>
      <c r="J24" s="1371"/>
      <c r="K24" s="230"/>
      <c r="L24" s="142"/>
      <c r="M24" s="142"/>
      <c r="N24" s="142"/>
      <c r="O24" s="142"/>
      <c r="P24" s="230"/>
      <c r="Q24" s="142"/>
      <c r="R24" s="142"/>
      <c r="S24" s="142"/>
      <c r="T24" s="142"/>
      <c r="U24" s="230"/>
      <c r="V24" s="142"/>
      <c r="W24" s="142"/>
      <c r="X24" s="142"/>
      <c r="Y24" s="142"/>
      <c r="Z24" s="230"/>
      <c r="AA24" s="142"/>
      <c r="AB24" s="142"/>
      <c r="AC24" s="142"/>
      <c r="AD24" s="142"/>
      <c r="AE24" s="230"/>
      <c r="AF24" s="142"/>
      <c r="AG24" s="142"/>
      <c r="AH24" s="142"/>
      <c r="AI24" s="142"/>
      <c r="AJ24" s="230"/>
      <c r="AK24" s="142"/>
      <c r="AL24" s="142"/>
      <c r="AM24" s="142"/>
      <c r="AN24" s="142"/>
      <c r="AO24" s="1370"/>
      <c r="AP24" s="1371"/>
      <c r="AQ24" s="1371"/>
      <c r="AR24" s="1371"/>
      <c r="AS24" s="1371"/>
      <c r="AT24" s="1439"/>
      <c r="AU24" s="1440"/>
      <c r="AV24" s="1440"/>
      <c r="AW24" s="1440"/>
      <c r="AX24" s="1440"/>
      <c r="AY24" s="677"/>
      <c r="AZ24" s="1332"/>
      <c r="BA24" s="1332"/>
      <c r="BB24" s="1332"/>
      <c r="BC24" s="1332"/>
      <c r="BD24" s="677"/>
      <c r="BE24" s="1332"/>
      <c r="BF24" s="1332"/>
      <c r="BG24" s="1332"/>
      <c r="BH24" s="1332"/>
      <c r="BM24" s="51"/>
      <c r="BN24" s="51"/>
      <c r="BO24" s="51"/>
      <c r="BP24" s="51"/>
      <c r="BQ24" s="51"/>
      <c r="BR24" s="51"/>
      <c r="BW24" s="27"/>
      <c r="BX24" s="27"/>
      <c r="BY24" s="27"/>
      <c r="BZ24" s="27"/>
      <c r="CA24" s="27"/>
      <c r="CB24" s="27"/>
    </row>
    <row r="25" spans="1:80" ht="26.25" hidden="1" customHeight="1" x14ac:dyDescent="0.25">
      <c r="A25" s="1398"/>
      <c r="B25" s="151"/>
      <c r="C25" s="152"/>
      <c r="D25" s="153"/>
      <c r="E25" s="154"/>
      <c r="F25" s="1370"/>
      <c r="G25" s="32"/>
      <c r="H25" s="33"/>
      <c r="I25" s="34"/>
      <c r="J25" s="35"/>
      <c r="K25" s="230"/>
      <c r="L25" s="32"/>
      <c r="M25" s="33"/>
      <c r="N25" s="34"/>
      <c r="O25" s="35"/>
      <c r="P25" s="230"/>
      <c r="Q25" s="32"/>
      <c r="R25" s="33"/>
      <c r="S25" s="34"/>
      <c r="T25" s="35"/>
      <c r="U25" s="230"/>
      <c r="V25" s="32"/>
      <c r="W25" s="33"/>
      <c r="X25" s="34"/>
      <c r="Y25" s="35"/>
      <c r="Z25" s="230"/>
      <c r="AA25" s="32"/>
      <c r="AB25" s="33"/>
      <c r="AC25" s="34"/>
      <c r="AD25" s="35"/>
      <c r="AE25" s="230"/>
      <c r="AF25" s="32"/>
      <c r="AG25" s="33"/>
      <c r="AH25" s="34"/>
      <c r="AI25" s="35"/>
      <c r="AJ25" s="230"/>
      <c r="AK25" s="32"/>
      <c r="AL25" s="33"/>
      <c r="AM25" s="34"/>
      <c r="AN25" s="35"/>
      <c r="AO25" s="1370"/>
      <c r="AP25" s="32"/>
      <c r="AQ25" s="33"/>
      <c r="AR25" s="34"/>
      <c r="AS25" s="35"/>
      <c r="AT25" s="1439"/>
      <c r="AU25" s="155"/>
      <c r="AV25" s="148"/>
      <c r="AW25" s="156"/>
      <c r="AX25" s="157"/>
      <c r="AY25" s="677"/>
      <c r="AZ25" s="137"/>
      <c r="BA25" s="33"/>
      <c r="BB25" s="138"/>
      <c r="BC25" s="35"/>
      <c r="BD25" s="677"/>
      <c r="BE25" s="137"/>
      <c r="BF25" s="33"/>
      <c r="BG25" s="138"/>
      <c r="BH25" s="35"/>
      <c r="BM25" s="51"/>
      <c r="BN25" s="51"/>
      <c r="BO25" s="51"/>
      <c r="BP25" s="51"/>
      <c r="BQ25" s="51"/>
      <c r="BR25" s="51"/>
      <c r="BW25" s="27"/>
      <c r="BX25" s="27"/>
      <c r="BY25" s="27"/>
      <c r="BZ25" s="27"/>
      <c r="CA25" s="27"/>
      <c r="CB25" s="27"/>
    </row>
    <row r="26" spans="1:80" ht="26.25" hidden="1" customHeight="1" x14ac:dyDescent="0.25">
      <c r="A26" s="1396"/>
      <c r="B26" s="1396"/>
      <c r="C26" s="1396"/>
      <c r="D26" s="1397"/>
      <c r="E26" s="1397"/>
      <c r="F26" s="674"/>
      <c r="G26" s="674"/>
      <c r="H26" s="674"/>
      <c r="I26" s="1300"/>
      <c r="J26" s="1300"/>
      <c r="K26" s="44"/>
      <c r="L26" s="44"/>
      <c r="M26" s="44"/>
      <c r="N26" s="69"/>
      <c r="O26" s="69"/>
      <c r="P26" s="44"/>
      <c r="Q26" s="44"/>
      <c r="R26" s="44"/>
      <c r="S26" s="69"/>
      <c r="T26" s="69"/>
      <c r="U26" s="44"/>
      <c r="V26" s="44"/>
      <c r="W26" s="44"/>
      <c r="X26" s="69"/>
      <c r="Y26" s="69"/>
      <c r="Z26" s="44"/>
      <c r="AA26" s="44"/>
      <c r="AB26" s="44"/>
      <c r="AC26" s="69"/>
      <c r="AD26" s="69"/>
      <c r="AE26" s="44"/>
      <c r="AF26" s="44"/>
      <c r="AG26" s="44"/>
      <c r="AH26" s="69"/>
      <c r="AI26" s="69"/>
      <c r="AJ26" s="44"/>
      <c r="AK26" s="44"/>
      <c r="AP26" s="44"/>
      <c r="AQ26" s="44"/>
      <c r="AT26" s="1389"/>
      <c r="AU26" s="1389"/>
      <c r="AV26" s="1389"/>
      <c r="AW26" s="1390"/>
      <c r="AX26" s="1390"/>
      <c r="AY26" s="674"/>
      <c r="AZ26" s="674"/>
      <c r="BA26" s="674"/>
      <c r="BB26" s="1300"/>
      <c r="BC26" s="1300"/>
      <c r="BD26" s="674"/>
      <c r="BE26" s="674"/>
      <c r="BF26" s="674"/>
      <c r="BG26" s="1300"/>
      <c r="BH26" s="1300"/>
      <c r="BM26" s="51"/>
      <c r="BN26" s="51"/>
      <c r="BO26" s="51"/>
      <c r="BP26" s="51"/>
      <c r="BQ26" s="51"/>
      <c r="BR26" s="51"/>
      <c r="BW26" s="27"/>
      <c r="BX26" s="27"/>
      <c r="BY26" s="27"/>
      <c r="BZ26" s="27"/>
      <c r="CA26" s="27"/>
      <c r="CB26" s="27"/>
    </row>
    <row r="27" spans="1:80" ht="21" hidden="1" customHeight="1" x14ac:dyDescent="0.25">
      <c r="A27" s="1395"/>
      <c r="B27" s="1395"/>
      <c r="C27" s="1395"/>
      <c r="D27" s="149"/>
      <c r="E27" s="149"/>
      <c r="F27" s="676"/>
      <c r="G27" s="676"/>
      <c r="H27" s="676"/>
      <c r="I27" s="36"/>
      <c r="J27" s="36"/>
      <c r="K27" s="47"/>
      <c r="L27" s="47"/>
      <c r="M27" s="47"/>
      <c r="N27" s="36"/>
      <c r="O27" s="36"/>
      <c r="P27" s="47"/>
      <c r="Q27" s="47"/>
      <c r="R27" s="47"/>
      <c r="S27" s="36"/>
      <c r="T27" s="36"/>
      <c r="U27" s="47"/>
      <c r="V27" s="47"/>
      <c r="W27" s="47"/>
      <c r="X27" s="36"/>
      <c r="Y27" s="36"/>
      <c r="Z27" s="47"/>
      <c r="AA27" s="47"/>
      <c r="AB27" s="47"/>
      <c r="AC27" s="36"/>
      <c r="AD27" s="36"/>
      <c r="AE27" s="47"/>
      <c r="AF27" s="47"/>
      <c r="AG27" s="47"/>
      <c r="AH27" s="36"/>
      <c r="AI27" s="36"/>
      <c r="AJ27" s="47"/>
      <c r="AK27" s="47"/>
      <c r="AP27" s="47"/>
      <c r="AQ27" s="47"/>
      <c r="AT27" s="1388"/>
      <c r="AU27" s="1388"/>
      <c r="AV27" s="1388"/>
      <c r="AW27" s="139"/>
      <c r="AX27" s="139"/>
      <c r="AY27" s="676"/>
      <c r="AZ27" s="676"/>
      <c r="BA27" s="676"/>
      <c r="BB27" s="36"/>
      <c r="BC27" s="36"/>
      <c r="BD27" s="676"/>
      <c r="BE27" s="676"/>
      <c r="BF27" s="676"/>
      <c r="BG27" s="36"/>
      <c r="BH27" s="36"/>
    </row>
    <row r="28" spans="1:80" ht="36" hidden="1" customHeight="1" x14ac:dyDescent="0.25">
      <c r="A28" s="1395"/>
      <c r="B28" s="1395"/>
      <c r="C28" s="1395"/>
      <c r="D28" s="150"/>
      <c r="E28" s="149"/>
      <c r="F28" s="676"/>
      <c r="G28" s="676"/>
      <c r="H28" s="676"/>
      <c r="I28" s="140"/>
      <c r="J28" s="36"/>
      <c r="K28" s="47"/>
      <c r="L28" s="47"/>
      <c r="M28" s="47"/>
      <c r="N28" s="140"/>
      <c r="O28" s="36"/>
      <c r="P28" s="47"/>
      <c r="Q28" s="47"/>
      <c r="R28" s="47"/>
      <c r="S28" s="140"/>
      <c r="T28" s="36"/>
      <c r="U28" s="47"/>
      <c r="V28" s="47"/>
      <c r="W28" s="47"/>
      <c r="X28" s="140"/>
      <c r="Y28" s="36"/>
      <c r="Z28" s="47"/>
      <c r="AA28" s="47"/>
      <c r="AB28" s="47"/>
      <c r="AC28" s="140"/>
      <c r="AD28" s="36"/>
      <c r="AE28" s="47"/>
      <c r="AF28" s="47"/>
      <c r="AG28" s="47"/>
      <c r="AH28" s="36"/>
      <c r="AI28" s="36"/>
      <c r="AJ28" s="47"/>
      <c r="AK28" s="47"/>
      <c r="AP28" s="47"/>
      <c r="AQ28" s="47"/>
      <c r="AT28" s="1388"/>
      <c r="AU28" s="1388"/>
      <c r="AV28" s="1388"/>
      <c r="AW28" s="139"/>
      <c r="AX28" s="139"/>
      <c r="AY28" s="676"/>
      <c r="AZ28" s="676"/>
      <c r="BA28" s="676"/>
      <c r="BB28" s="36"/>
      <c r="BC28" s="36"/>
      <c r="BD28" s="676"/>
      <c r="BE28" s="676"/>
      <c r="BF28" s="676"/>
      <c r="BG28" s="36"/>
      <c r="BH28" s="36"/>
    </row>
    <row r="29" spans="1:80" ht="21" hidden="1" customHeight="1" x14ac:dyDescent="0.25">
      <c r="A29" s="1395"/>
      <c r="B29" s="1395"/>
      <c r="C29" s="1395"/>
      <c r="D29" s="149"/>
      <c r="E29" s="149"/>
      <c r="F29" s="676"/>
      <c r="G29" s="676"/>
      <c r="H29" s="676"/>
      <c r="I29" s="36"/>
      <c r="J29" s="36"/>
      <c r="K29" s="47"/>
      <c r="L29" s="47"/>
      <c r="M29" s="47"/>
      <c r="N29" s="36"/>
      <c r="O29" s="36"/>
      <c r="P29" s="47"/>
      <c r="Q29" s="47"/>
      <c r="R29" s="47"/>
      <c r="S29" s="36"/>
      <c r="T29" s="36"/>
      <c r="U29" s="47"/>
      <c r="V29" s="47"/>
      <c r="W29" s="47"/>
      <c r="X29" s="36"/>
      <c r="Y29" s="36"/>
      <c r="Z29" s="47"/>
      <c r="AA29" s="47"/>
      <c r="AB29" s="47"/>
      <c r="AC29" s="36"/>
      <c r="AD29" s="36"/>
      <c r="AE29" s="47"/>
      <c r="AF29" s="47"/>
      <c r="AG29" s="47"/>
      <c r="AH29" s="36"/>
      <c r="AI29" s="36"/>
      <c r="AJ29" s="47"/>
      <c r="AK29" s="47"/>
      <c r="AP29" s="47"/>
      <c r="AQ29" s="47"/>
      <c r="AR29" s="36"/>
      <c r="AS29" s="36"/>
      <c r="AT29" s="1388"/>
      <c r="AU29" s="1388"/>
      <c r="AV29" s="1388"/>
      <c r="AW29" s="139"/>
      <c r="AX29" s="139"/>
      <c r="AY29" s="676"/>
      <c r="AZ29" s="676"/>
      <c r="BA29" s="676"/>
      <c r="BB29" s="36"/>
      <c r="BC29" s="36"/>
      <c r="BD29" s="676"/>
      <c r="BE29" s="676"/>
      <c r="BF29" s="676"/>
      <c r="BG29" s="36"/>
      <c r="BH29" s="36"/>
    </row>
    <row r="30" spans="1:80" ht="60.75" customHeight="1" x14ac:dyDescent="0.25">
      <c r="A30" s="1400"/>
      <c r="B30" s="1401"/>
      <c r="C30" s="1401"/>
      <c r="D30" s="1401"/>
      <c r="E30" s="1401"/>
      <c r="F30" s="1370"/>
      <c r="G30" s="1371"/>
      <c r="H30" s="1371"/>
      <c r="I30" s="1371"/>
      <c r="J30" s="1371"/>
      <c r="K30" s="230"/>
      <c r="L30" s="142"/>
      <c r="M30" s="142"/>
      <c r="N30" s="142"/>
      <c r="O30" s="142"/>
      <c r="P30" s="230"/>
      <c r="Q30" s="142"/>
      <c r="R30" s="142"/>
      <c r="S30" s="142"/>
      <c r="T30" s="142"/>
      <c r="U30" s="230"/>
      <c r="V30" s="142"/>
      <c r="W30" s="142"/>
      <c r="X30" s="142"/>
      <c r="Y30" s="142"/>
      <c r="Z30" s="230"/>
      <c r="AA30" s="142"/>
      <c r="AB30" s="142"/>
      <c r="AC30" s="142"/>
      <c r="AD30" s="142"/>
      <c r="AE30" s="70"/>
      <c r="AF30" s="231"/>
      <c r="AG30" s="231"/>
      <c r="AH30" s="231"/>
      <c r="AI30" s="231"/>
      <c r="AJ30" s="70"/>
      <c r="AR30" s="132"/>
      <c r="AS30" s="132"/>
      <c r="AT30" s="677"/>
      <c r="AU30" s="1332"/>
      <c r="AV30" s="1332"/>
      <c r="AW30" s="1332"/>
      <c r="AX30" s="1332"/>
      <c r="AY30" s="677"/>
      <c r="AZ30" s="1332"/>
      <c r="BA30" s="1332"/>
      <c r="BB30" s="1332"/>
      <c r="BC30" s="1332"/>
      <c r="BD30" s="677" t="s">
        <v>254</v>
      </c>
      <c r="BE30" s="1332"/>
      <c r="BF30" s="1332"/>
      <c r="BG30" s="1332"/>
      <c r="BH30" s="1332"/>
      <c r="BM30" s="51"/>
      <c r="BN30" s="51"/>
      <c r="BO30" s="51"/>
      <c r="BP30" s="51"/>
      <c r="BQ30" s="51"/>
      <c r="BR30" s="51"/>
      <c r="BW30" s="27"/>
      <c r="BX30" s="27"/>
      <c r="BY30" s="27"/>
      <c r="BZ30" s="27"/>
      <c r="CA30" s="27"/>
      <c r="CB30" s="27"/>
    </row>
    <row r="31" spans="1:80" ht="54.75" customHeight="1" x14ac:dyDescent="0.25">
      <c r="A31" s="1400"/>
      <c r="B31" s="158"/>
      <c r="C31" s="159"/>
      <c r="D31" s="160"/>
      <c r="E31" s="161"/>
      <c r="F31" s="1370"/>
      <c r="G31" s="32"/>
      <c r="H31" s="33"/>
      <c r="I31" s="34"/>
      <c r="J31" s="35"/>
      <c r="K31" s="230"/>
      <c r="L31" s="32"/>
      <c r="M31" s="33"/>
      <c r="N31" s="34"/>
      <c r="O31" s="35"/>
      <c r="P31" s="230"/>
      <c r="Q31" s="32"/>
      <c r="R31" s="33"/>
      <c r="S31" s="34"/>
      <c r="T31" s="35"/>
      <c r="U31" s="230"/>
      <c r="V31" s="32"/>
      <c r="W31" s="33"/>
      <c r="X31" s="34"/>
      <c r="Y31" s="35"/>
      <c r="Z31" s="230"/>
      <c r="AA31" s="32"/>
      <c r="AB31" s="33"/>
      <c r="AC31" s="34"/>
      <c r="AD31" s="35"/>
      <c r="AE31" s="70"/>
      <c r="AF31" s="137"/>
      <c r="AG31" s="33"/>
      <c r="AH31" s="138"/>
      <c r="AI31" s="35"/>
      <c r="AJ31" s="70"/>
      <c r="AK31" s="137"/>
      <c r="AL31" s="33"/>
      <c r="AM31" s="138"/>
      <c r="AN31" s="35"/>
      <c r="AO31" s="70"/>
      <c r="AP31" s="137"/>
      <c r="AQ31" s="33"/>
      <c r="AR31" s="138"/>
      <c r="AS31" s="35"/>
      <c r="AT31" s="677"/>
      <c r="AU31" s="137"/>
      <c r="AV31" s="33"/>
      <c r="AW31" s="138"/>
      <c r="AX31" s="35"/>
      <c r="AY31" s="677"/>
      <c r="AZ31" s="137" t="s">
        <v>16</v>
      </c>
      <c r="BA31" s="33"/>
      <c r="BB31" s="138"/>
      <c r="BC31" s="35"/>
      <c r="BD31" s="677"/>
      <c r="BE31" s="137" t="s">
        <v>15</v>
      </c>
      <c r="BF31" s="33"/>
      <c r="BG31" s="138"/>
      <c r="BH31" s="35"/>
      <c r="BM31" s="51"/>
      <c r="BN31" s="51"/>
      <c r="BO31" s="51"/>
      <c r="BP31" s="51"/>
      <c r="BQ31" s="51"/>
      <c r="BR31" s="51"/>
      <c r="BW31" s="27"/>
      <c r="BX31" s="27"/>
      <c r="BY31" s="27"/>
      <c r="BZ31" s="27"/>
      <c r="CA31" s="27"/>
      <c r="CB31" s="27"/>
    </row>
    <row r="32" spans="1:80" ht="59.25" customHeight="1" x14ac:dyDescent="0.25">
      <c r="A32" s="31"/>
      <c r="B32" s="162"/>
      <c r="C32" s="162"/>
      <c r="D32" s="162"/>
      <c r="F32" s="163"/>
      <c r="G32" s="163"/>
      <c r="H32" s="1413">
        <v>6</v>
      </c>
      <c r="I32" s="1413"/>
      <c r="J32" s="1413"/>
      <c r="K32" s="164"/>
      <c r="L32" s="160"/>
      <c r="M32" s="160"/>
      <c r="N32" s="160"/>
      <c r="O32" s="160"/>
      <c r="P32" s="160"/>
      <c r="Q32" s="1414" t="s">
        <v>255</v>
      </c>
      <c r="R32" s="1414"/>
      <c r="S32" s="1414"/>
      <c r="T32" s="1414"/>
      <c r="U32" s="1414"/>
      <c r="V32" s="1414"/>
      <c r="W32" s="165"/>
      <c r="X32" s="1690" t="s">
        <v>256</v>
      </c>
      <c r="Y32" s="1690"/>
      <c r="Z32" s="1690"/>
      <c r="AA32" s="1690"/>
      <c r="AB32" s="1690"/>
      <c r="AC32" s="1691">
        <f>G7+L7+Q7+V7+AK7+AP7</f>
        <v>2.4638000003000102</v>
      </c>
      <c r="AD32" s="1691"/>
      <c r="AE32" s="1691"/>
      <c r="AF32" s="1691"/>
      <c r="AG32" s="1691"/>
      <c r="AH32" s="1691"/>
      <c r="AI32" s="166"/>
      <c r="AJ32" s="1416" t="s">
        <v>119</v>
      </c>
      <c r="AK32" s="1416"/>
      <c r="AL32" s="1416"/>
      <c r="AM32" s="1416"/>
      <c r="AN32" s="1416"/>
      <c r="AO32" s="1417">
        <f>AM7+N7+S7+X7+I7+AR7</f>
        <v>1</v>
      </c>
      <c r="AP32" s="1417"/>
      <c r="AQ32" s="1417"/>
      <c r="AR32" s="1417"/>
      <c r="AS32" s="1417"/>
      <c r="AT32" s="1402" t="s">
        <v>120</v>
      </c>
      <c r="AU32" s="1402"/>
      <c r="AV32" s="1402"/>
      <c r="AW32" s="1402"/>
      <c r="AX32" s="127"/>
      <c r="AY32" s="72"/>
      <c r="AZ32" s="72"/>
      <c r="BA32" s="72"/>
      <c r="BB32" s="72"/>
      <c r="BC32" s="72"/>
      <c r="BD32" s="72"/>
      <c r="BE32" t="s">
        <v>16</v>
      </c>
      <c r="BF32" s="167"/>
      <c r="BG32" s="167"/>
      <c r="BH32" s="167"/>
      <c r="BM32" s="51"/>
      <c r="BN32" s="51"/>
      <c r="BO32" s="51"/>
      <c r="BP32" s="51"/>
      <c r="BQ32" s="51"/>
      <c r="BR32" s="51"/>
      <c r="BW32" s="27"/>
      <c r="BX32" s="27"/>
      <c r="BY32" s="27"/>
      <c r="BZ32" s="27"/>
      <c r="CA32" s="27"/>
      <c r="CB32" s="27"/>
    </row>
    <row r="33" spans="1:80" ht="19.5" customHeight="1" x14ac:dyDescent="0.25">
      <c r="B33" s="162"/>
      <c r="C33" s="162"/>
      <c r="D33" s="162"/>
      <c r="E33" s="163"/>
      <c r="F33" s="163"/>
      <c r="G33" s="163"/>
      <c r="H33" s="1413"/>
      <c r="I33" s="1413"/>
      <c r="J33" s="1413"/>
      <c r="K33" s="168"/>
      <c r="L33" s="160"/>
      <c r="M33" s="160"/>
      <c r="N33" s="160"/>
      <c r="O33" s="160"/>
      <c r="P33" s="160"/>
      <c r="Q33" s="1414"/>
      <c r="R33" s="1414"/>
      <c r="S33" s="1414"/>
      <c r="T33" s="1414"/>
      <c r="U33" s="1414"/>
      <c r="V33" s="1414"/>
      <c r="W33" s="169"/>
      <c r="X33" s="1690"/>
      <c r="Y33" s="1690"/>
      <c r="Z33" s="1690"/>
      <c r="AA33" s="1690"/>
      <c r="AB33" s="1690"/>
      <c r="AC33" s="1691"/>
      <c r="AD33" s="1691"/>
      <c r="AE33" s="1691"/>
      <c r="AF33" s="1691"/>
      <c r="AG33" s="1691"/>
      <c r="AH33" s="1691"/>
      <c r="AI33" s="166"/>
      <c r="AJ33" s="1416"/>
      <c r="AK33" s="1416"/>
      <c r="AL33" s="1416"/>
      <c r="AM33" s="1416"/>
      <c r="AN33" s="1416"/>
      <c r="AO33" s="1417"/>
      <c r="AP33" s="1417"/>
      <c r="AQ33" s="1417"/>
      <c r="AR33" s="1417"/>
      <c r="AS33" s="1417"/>
      <c r="AT33" s="1402"/>
      <c r="AU33" s="1402"/>
      <c r="AV33" s="1402"/>
      <c r="AW33" s="1402"/>
      <c r="BI33" s="50"/>
      <c r="BJ33" s="50"/>
      <c r="BM33" s="51"/>
      <c r="BN33" s="51"/>
      <c r="BO33" s="51"/>
      <c r="BP33" s="51"/>
      <c r="BQ33" s="51"/>
      <c r="BR33" s="51"/>
      <c r="BS33" s="27"/>
      <c r="BT33" s="27"/>
      <c r="BU33" s="27"/>
      <c r="BW33" s="27"/>
      <c r="BX33" s="27"/>
      <c r="BY33" s="27"/>
      <c r="BZ33" s="27"/>
      <c r="CA33" s="27"/>
      <c r="CB33" s="27"/>
    </row>
    <row r="34" spans="1:80" ht="2.25" hidden="1" customHeight="1" x14ac:dyDescent="0.25">
      <c r="B34" s="162"/>
      <c r="C34" s="162"/>
      <c r="D34" s="162"/>
      <c r="E34" s="163"/>
      <c r="F34" s="163"/>
      <c r="G34" s="163"/>
      <c r="H34" s="168"/>
      <c r="I34" s="168"/>
      <c r="J34" s="168"/>
      <c r="K34" s="168"/>
      <c r="L34" s="160"/>
      <c r="M34" s="160"/>
      <c r="N34" s="160"/>
      <c r="O34" s="160"/>
      <c r="P34" s="160"/>
      <c r="Q34" s="1414"/>
      <c r="R34" s="1414"/>
      <c r="S34" s="1414"/>
      <c r="T34" s="1414"/>
      <c r="U34" s="1414"/>
      <c r="V34" s="1414"/>
      <c r="W34" s="169"/>
      <c r="X34" s="1690"/>
      <c r="Y34" s="1690"/>
      <c r="Z34" s="1690"/>
      <c r="AA34" s="1690"/>
      <c r="AB34" s="1690"/>
      <c r="AC34" s="1691"/>
      <c r="AD34" s="1691"/>
      <c r="AE34" s="1691"/>
      <c r="AF34" s="1691"/>
      <c r="AG34" s="1691"/>
      <c r="AH34" s="1691"/>
      <c r="AI34" s="166"/>
      <c r="AJ34" s="1416"/>
      <c r="AK34" s="1416"/>
      <c r="AL34" s="1416"/>
      <c r="AM34" s="1416"/>
      <c r="AN34" s="1416"/>
      <c r="AO34" s="1403">
        <f>AO32*1.5</f>
        <v>1.5</v>
      </c>
      <c r="AP34" s="1403"/>
      <c r="AQ34" s="1403"/>
      <c r="AR34" s="1403"/>
      <c r="AS34" s="1403"/>
      <c r="AT34" s="1403"/>
      <c r="AU34" s="1403"/>
      <c r="AV34" s="1404" t="s">
        <v>121</v>
      </c>
      <c r="AW34" s="1404"/>
      <c r="BI34" s="50"/>
      <c r="BJ34" s="50"/>
      <c r="BM34" s="27"/>
      <c r="BN34" s="27"/>
      <c r="BO34" s="27"/>
      <c r="BP34" s="27"/>
      <c r="BQ34" s="27"/>
      <c r="BR34" s="27"/>
      <c r="BS34" s="27"/>
      <c r="BT34" s="27"/>
      <c r="BU34" s="27"/>
      <c r="BW34" s="27"/>
      <c r="BX34" s="27"/>
      <c r="BY34" s="27"/>
      <c r="BZ34" s="27"/>
      <c r="CA34" s="27"/>
      <c r="CB34" s="27"/>
    </row>
    <row r="35" spans="1:80" ht="54.75" customHeight="1" x14ac:dyDescent="0.25">
      <c r="B35" s="162"/>
      <c r="C35" s="162"/>
      <c r="D35" s="162"/>
      <c r="E35" s="163"/>
      <c r="F35" s="163"/>
      <c r="G35" s="163"/>
      <c r="H35" s="1405">
        <v>6</v>
      </c>
      <c r="I35" s="1405"/>
      <c r="J35" s="1405"/>
      <c r="K35" s="168"/>
      <c r="L35" s="160"/>
      <c r="M35" s="160"/>
      <c r="N35" s="160"/>
      <c r="O35" s="160"/>
      <c r="P35" s="160"/>
      <c r="Q35" s="1692" t="s">
        <v>13</v>
      </c>
      <c r="R35" s="1693"/>
      <c r="S35" s="1693"/>
      <c r="T35" s="1693"/>
      <c r="U35" s="1693"/>
      <c r="V35" s="1693"/>
      <c r="W35" s="169"/>
      <c r="X35" s="1690"/>
      <c r="Y35" s="1690"/>
      <c r="Z35" s="1690"/>
      <c r="AA35" s="1690"/>
      <c r="AB35" s="1690"/>
      <c r="AC35" s="1691"/>
      <c r="AD35" s="1691"/>
      <c r="AE35" s="1691"/>
      <c r="AF35" s="1691"/>
      <c r="AG35" s="1691"/>
      <c r="AH35" s="1691"/>
      <c r="AI35" s="166"/>
      <c r="AJ35" s="1416"/>
      <c r="AK35" s="1416"/>
      <c r="AL35" s="1416"/>
      <c r="AM35" s="1416"/>
      <c r="AN35" s="1416"/>
      <c r="AO35" s="1403"/>
      <c r="AP35" s="1403"/>
      <c r="AQ35" s="1403"/>
      <c r="AR35" s="1403"/>
      <c r="AS35" s="1403"/>
      <c r="AT35" s="1403"/>
      <c r="AU35" s="1403"/>
      <c r="AV35" s="1404"/>
      <c r="AW35" s="1404"/>
      <c r="BI35" s="50"/>
      <c r="BJ35" s="50"/>
      <c r="BM35" s="27"/>
      <c r="BN35" s="27"/>
      <c r="BO35" s="27"/>
      <c r="BP35" s="27"/>
      <c r="BQ35" s="27"/>
      <c r="BR35" s="27"/>
      <c r="BS35" s="27"/>
      <c r="BT35" s="27"/>
      <c r="BU35" s="27"/>
      <c r="BW35" s="27"/>
      <c r="BX35" s="27"/>
      <c r="BY35" s="27"/>
      <c r="BZ35" s="27"/>
      <c r="CA35" s="27"/>
      <c r="CB35" s="27"/>
    </row>
    <row r="36" spans="1:80" ht="93" customHeight="1" x14ac:dyDescent="0.25">
      <c r="B36" s="162"/>
      <c r="C36" s="162"/>
      <c r="D36" s="162"/>
      <c r="E36" s="162"/>
      <c r="F36" s="162"/>
      <c r="G36" s="164"/>
      <c r="H36" s="1408"/>
      <c r="I36" s="1408"/>
      <c r="J36" s="1408"/>
      <c r="K36" s="168"/>
      <c r="L36" s="160"/>
      <c r="M36" s="160"/>
      <c r="N36" s="160"/>
      <c r="O36" s="160"/>
      <c r="P36" s="160"/>
      <c r="Q36" s="1693"/>
      <c r="R36" s="1693"/>
      <c r="S36" s="1693"/>
      <c r="T36" s="1693"/>
      <c r="U36" s="1693"/>
      <c r="V36" s="1693"/>
      <c r="W36" s="169"/>
      <c r="X36" s="1690"/>
      <c r="Y36" s="1690"/>
      <c r="Z36" s="1690"/>
      <c r="AA36" s="1690"/>
      <c r="AB36" s="1690"/>
      <c r="AC36" s="1691"/>
      <c r="AD36" s="1691"/>
      <c r="AE36" s="1691"/>
      <c r="AF36" s="1691"/>
      <c r="AG36" s="1691"/>
      <c r="AH36" s="1691"/>
      <c r="AI36" s="166"/>
      <c r="AJ36" s="1416"/>
      <c r="AK36" s="1416"/>
      <c r="AL36" s="1416"/>
      <c r="AM36" s="1416"/>
      <c r="AN36" s="1416"/>
      <c r="AO36" s="1403"/>
      <c r="AP36" s="1403"/>
      <c r="AQ36" s="1403"/>
      <c r="AR36" s="1403"/>
      <c r="AS36" s="1403"/>
      <c r="AT36" s="1403"/>
      <c r="AU36" s="1403"/>
      <c r="AV36" s="1404"/>
      <c r="AW36" s="1404"/>
      <c r="BI36" s="50"/>
      <c r="BJ36" s="50"/>
      <c r="BM36" s="27"/>
      <c r="BN36" s="27"/>
      <c r="BO36" s="27"/>
      <c r="BP36" s="27"/>
      <c r="BQ36" s="27"/>
      <c r="BR36" s="27"/>
      <c r="BS36" s="27"/>
      <c r="BT36" s="27"/>
      <c r="BU36" s="27"/>
      <c r="BW36" s="27"/>
      <c r="BX36" s="27"/>
      <c r="BY36" s="27"/>
      <c r="BZ36" s="27"/>
      <c r="CA36" s="27"/>
      <c r="CB36" s="27"/>
    </row>
    <row r="37" spans="1:80" ht="15" customHeight="1" x14ac:dyDescent="0.25">
      <c r="B37" s="162"/>
      <c r="C37" s="162"/>
      <c r="D37" s="162"/>
      <c r="E37" s="162"/>
      <c r="F37" s="162"/>
      <c r="G37" s="164"/>
      <c r="H37" s="1408"/>
      <c r="I37" s="1408"/>
      <c r="J37" s="1408"/>
      <c r="K37" s="164"/>
      <c r="L37" s="165"/>
      <c r="M37" s="165"/>
      <c r="N37" s="165"/>
      <c r="O37" s="165"/>
      <c r="P37" s="165"/>
      <c r="Q37" s="1693"/>
      <c r="R37" s="1693"/>
      <c r="S37" s="1693"/>
      <c r="T37" s="1693"/>
      <c r="U37" s="1693"/>
      <c r="V37" s="1693"/>
      <c r="W37" s="165"/>
      <c r="X37" s="1409" t="s">
        <v>257</v>
      </c>
      <c r="Y37" s="1409"/>
      <c r="Z37" s="1409"/>
      <c r="AA37" s="1409"/>
      <c r="AB37" s="1409"/>
      <c r="AC37" s="1694">
        <f>AC32-AD45</f>
        <v>3.8000003000102645E-3</v>
      </c>
      <c r="AD37" s="1694"/>
      <c r="AE37" s="1694"/>
      <c r="AF37" s="1694"/>
      <c r="AG37" s="1694"/>
      <c r="AH37" s="1694"/>
      <c r="AI37" s="166"/>
      <c r="AJ37" s="1416"/>
      <c r="AK37" s="1416"/>
      <c r="AL37" s="1416"/>
      <c r="AM37" s="1416"/>
      <c r="AN37" s="1416"/>
      <c r="AO37" s="1403"/>
      <c r="AP37" s="1403"/>
      <c r="AQ37" s="1403"/>
      <c r="AR37" s="1403"/>
      <c r="AS37" s="1403"/>
      <c r="AT37" s="1403"/>
      <c r="AU37" s="1403"/>
      <c r="AV37" s="1404"/>
      <c r="AW37" s="1404"/>
      <c r="BI37" s="53"/>
      <c r="BJ37" s="53"/>
    </row>
    <row r="38" spans="1:80" ht="28.5" customHeight="1" x14ac:dyDescent="0.25">
      <c r="B38" s="162"/>
      <c r="C38" s="162"/>
      <c r="D38" s="162"/>
      <c r="E38" s="162"/>
      <c r="F38" s="162"/>
      <c r="G38" s="164"/>
      <c r="H38" s="1411"/>
      <c r="I38" s="1411"/>
      <c r="J38" s="1411"/>
      <c r="K38" s="168"/>
      <c r="L38" s="165"/>
      <c r="M38" s="165"/>
      <c r="N38" s="165"/>
      <c r="O38" s="165"/>
      <c r="P38" s="165"/>
      <c r="Q38" s="1693"/>
      <c r="R38" s="1693"/>
      <c r="S38" s="1693"/>
      <c r="T38" s="1693"/>
      <c r="U38" s="1693"/>
      <c r="V38" s="1693"/>
      <c r="W38" s="165"/>
      <c r="X38" s="1409"/>
      <c r="Y38" s="1409"/>
      <c r="Z38" s="1409"/>
      <c r="AA38" s="1409"/>
      <c r="AB38" s="1409"/>
      <c r="AC38" s="1694"/>
      <c r="AD38" s="1694"/>
      <c r="AE38" s="1694"/>
      <c r="AF38" s="1694"/>
      <c r="AG38" s="1694"/>
      <c r="AH38" s="1694"/>
      <c r="AI38" s="166"/>
      <c r="AJ38" s="1416"/>
      <c r="AK38" s="1416"/>
      <c r="AL38" s="1416"/>
      <c r="AM38" s="1416"/>
      <c r="AN38" s="1416"/>
      <c r="AO38" s="1403"/>
      <c r="AP38" s="1403"/>
      <c r="AQ38" s="1403"/>
      <c r="AR38" s="1403"/>
      <c r="AS38" s="1403"/>
      <c r="AT38" s="1403"/>
      <c r="AU38" s="1403"/>
      <c r="AV38" s="1404"/>
      <c r="AW38" s="1404"/>
      <c r="BI38" s="53"/>
      <c r="BJ38" s="53"/>
    </row>
    <row r="39" spans="1:80" ht="15" customHeight="1" x14ac:dyDescent="0.25">
      <c r="B39" s="162"/>
      <c r="C39" s="162"/>
      <c r="D39" s="162"/>
      <c r="E39" s="162"/>
      <c r="F39" s="162"/>
      <c r="G39" s="164"/>
      <c r="H39" s="1411"/>
      <c r="I39" s="1411"/>
      <c r="J39" s="1411"/>
      <c r="K39" s="168"/>
      <c r="L39" s="165"/>
      <c r="M39" s="165"/>
      <c r="N39" s="165"/>
      <c r="O39" s="165"/>
      <c r="P39" s="165"/>
      <c r="Q39" s="1693"/>
      <c r="R39" s="1693"/>
      <c r="S39" s="1693"/>
      <c r="T39" s="1693"/>
      <c r="U39" s="1693"/>
      <c r="V39" s="1693"/>
      <c r="W39" s="165"/>
      <c r="X39" s="1409"/>
      <c r="Y39" s="1409"/>
      <c r="Z39" s="1409"/>
      <c r="AA39" s="1409"/>
      <c r="AB39" s="1409"/>
      <c r="AC39" s="1694"/>
      <c r="AD39" s="1694"/>
      <c r="AE39" s="1694"/>
      <c r="AF39" s="1694"/>
      <c r="AG39" s="1694"/>
      <c r="AH39" s="1694"/>
      <c r="AI39" s="166"/>
      <c r="AJ39" s="1416"/>
      <c r="AK39" s="1416"/>
      <c r="AL39" s="1416"/>
      <c r="AM39" s="1416"/>
      <c r="AN39" s="1416"/>
      <c r="AO39" s="1403"/>
      <c r="AP39" s="1403"/>
      <c r="AQ39" s="1403"/>
      <c r="AR39" s="1403"/>
      <c r="AS39" s="1403"/>
      <c r="AT39" s="1403"/>
      <c r="AU39" s="1403"/>
      <c r="AV39" s="1404"/>
      <c r="AW39" s="1404"/>
      <c r="BI39" s="53"/>
      <c r="BJ39" s="53"/>
    </row>
    <row r="40" spans="1:80" ht="42.75" customHeight="1" x14ac:dyDescent="0.35">
      <c r="A40" s="54"/>
      <c r="B40" s="162"/>
      <c r="C40" s="162"/>
      <c r="D40" s="162"/>
      <c r="E40" s="162"/>
      <c r="F40" s="162"/>
      <c r="G40" s="164"/>
      <c r="H40" s="1411"/>
      <c r="I40" s="1411"/>
      <c r="J40" s="1411"/>
      <c r="K40" s="168"/>
      <c r="L40" s="165"/>
      <c r="M40" s="165"/>
      <c r="N40" s="165"/>
      <c r="O40" s="165"/>
      <c r="P40" s="165"/>
      <c r="Q40" s="1693"/>
      <c r="R40" s="1693"/>
      <c r="S40" s="1693"/>
      <c r="T40" s="1693"/>
      <c r="U40" s="1693"/>
      <c r="V40" s="1693"/>
      <c r="W40" s="165"/>
      <c r="X40" s="1409"/>
      <c r="Y40" s="1409"/>
      <c r="Z40" s="1409"/>
      <c r="AA40" s="1409"/>
      <c r="AB40" s="1409"/>
      <c r="AC40" s="1694"/>
      <c r="AD40" s="1694"/>
      <c r="AE40" s="1694"/>
      <c r="AF40" s="1694"/>
      <c r="AG40" s="1694"/>
      <c r="AH40" s="1694"/>
      <c r="AI40" s="166"/>
      <c r="AJ40" s="1416"/>
      <c r="AK40" s="1416"/>
      <c r="AL40" s="1416"/>
      <c r="AM40" s="1416"/>
      <c r="AN40" s="1416"/>
      <c r="AO40" s="1403"/>
      <c r="AP40" s="1403"/>
      <c r="AQ40" s="1403"/>
      <c r="AR40" s="1403"/>
      <c r="AS40" s="1403"/>
      <c r="AT40" s="1403"/>
      <c r="AU40" s="1403"/>
      <c r="AV40" s="1404"/>
      <c r="AW40" s="1404"/>
      <c r="BI40" s="53"/>
      <c r="BJ40" s="53"/>
    </row>
    <row r="41" spans="1:80" ht="38.25" customHeight="1" x14ac:dyDescent="0.35">
      <c r="A41" s="54"/>
      <c r="B41" s="162"/>
      <c r="C41" s="162"/>
      <c r="D41" s="162"/>
      <c r="E41" s="162"/>
      <c r="F41" s="162"/>
      <c r="G41" s="164"/>
      <c r="H41" s="1412"/>
      <c r="I41" s="1412"/>
      <c r="J41" s="1412"/>
      <c r="K41" s="168"/>
      <c r="L41" s="175"/>
      <c r="M41" s="175"/>
      <c r="N41" s="175"/>
      <c r="O41" s="175"/>
      <c r="P41" s="175"/>
      <c r="Q41" s="1693"/>
      <c r="R41" s="1693"/>
      <c r="S41" s="1693"/>
      <c r="T41" s="1693"/>
      <c r="U41" s="1693"/>
      <c r="V41" s="1693"/>
      <c r="W41" s="176"/>
      <c r="X41" s="1409"/>
      <c r="Y41" s="1409"/>
      <c r="Z41" s="1409"/>
      <c r="AA41" s="1409"/>
      <c r="AB41" s="1409"/>
      <c r="AC41" s="1694"/>
      <c r="AD41" s="1694"/>
      <c r="AE41" s="1694"/>
      <c r="AF41" s="1694"/>
      <c r="AG41" s="1694"/>
      <c r="AH41" s="1694"/>
      <c r="AI41" s="166"/>
      <c r="AJ41" s="1416"/>
      <c r="AK41" s="1416"/>
      <c r="AL41" s="1416"/>
      <c r="AM41" s="1416"/>
      <c r="AN41" s="1416"/>
      <c r="AO41" s="1418"/>
      <c r="AP41" s="1418"/>
      <c r="AQ41" s="1418"/>
      <c r="AR41" s="1418"/>
      <c r="AS41" s="1418"/>
      <c r="AT41" s="1418"/>
      <c r="AU41" s="1418"/>
      <c r="AV41" s="1418"/>
      <c r="AW41" s="1418"/>
      <c r="AX41" s="54"/>
      <c r="AY41" s="54"/>
      <c r="BI41" s="170"/>
      <c r="BJ41" s="170"/>
    </row>
    <row r="42" spans="1:80" ht="60" customHeight="1" x14ac:dyDescent="0.35">
      <c r="H42" s="1412"/>
      <c r="I42" s="1412"/>
      <c r="J42" s="1412"/>
      <c r="L42" s="175"/>
      <c r="M42" s="175"/>
      <c r="N42" s="175"/>
      <c r="O42" s="175"/>
      <c r="P42" s="175"/>
      <c r="Q42" s="1693"/>
      <c r="R42" s="1693"/>
      <c r="S42" s="1693"/>
      <c r="T42" s="1693"/>
      <c r="U42" s="1693"/>
      <c r="V42" s="1693"/>
      <c r="W42" s="176"/>
      <c r="X42" s="1409"/>
      <c r="Y42" s="1409"/>
      <c r="Z42" s="1409"/>
      <c r="AA42" s="1409"/>
      <c r="AB42" s="1409"/>
      <c r="AC42" s="1694"/>
      <c r="AD42" s="1694"/>
      <c r="AE42" s="1694"/>
      <c r="AF42" s="1694"/>
      <c r="AG42" s="1694"/>
      <c r="AH42" s="1694"/>
      <c r="AI42" s="166"/>
      <c r="AJ42" s="1416"/>
      <c r="AK42" s="1416"/>
      <c r="AL42" s="1416"/>
      <c r="AM42" s="1416"/>
      <c r="AN42" s="1416"/>
      <c r="AO42" s="1418"/>
      <c r="AP42" s="1418"/>
      <c r="AQ42" s="1418"/>
      <c r="AR42" s="1418"/>
      <c r="AS42" s="1418"/>
      <c r="AT42" s="1418"/>
      <c r="AU42" s="1418"/>
      <c r="AV42" s="1418"/>
      <c r="AW42" s="1418"/>
      <c r="AX42" s="54"/>
      <c r="AY42" s="54"/>
      <c r="BI42" s="170"/>
      <c r="BJ42" s="170"/>
    </row>
    <row r="43" spans="1:80" ht="15" customHeight="1" x14ac:dyDescent="0.35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1"/>
      <c r="AI43" s="171"/>
      <c r="AJ43" s="171"/>
      <c r="AK43" s="171"/>
      <c r="AL43" s="171"/>
      <c r="AM43" s="171"/>
      <c r="AN43" s="171"/>
      <c r="AO43" s="172"/>
      <c r="AP43" s="172"/>
      <c r="AQ43" s="172"/>
      <c r="AR43" s="172"/>
      <c r="AS43" s="172"/>
      <c r="AT43" s="172"/>
      <c r="AU43" s="172"/>
      <c r="AV43" s="172"/>
      <c r="AW43" s="172"/>
    </row>
    <row r="44" spans="1:80" ht="15.75" customHeight="1" thickBot="1" x14ac:dyDescent="0.4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3"/>
      <c r="Y44" s="171"/>
      <c r="Z44" s="171"/>
      <c r="AA44" s="171"/>
      <c r="AB44" s="171"/>
      <c r="AC44" s="171"/>
      <c r="AD44" s="171"/>
      <c r="AE44" s="171"/>
      <c r="AF44" s="171"/>
      <c r="AG44" s="171"/>
      <c r="AH44" s="171"/>
      <c r="AI44" s="171"/>
      <c r="AJ44" s="171"/>
      <c r="AK44" s="171"/>
      <c r="AL44" s="171"/>
      <c r="AM44" s="171"/>
      <c r="AN44" s="171"/>
      <c r="AO44" s="172"/>
      <c r="AP44" s="172"/>
      <c r="AQ44" s="172"/>
      <c r="AR44" s="172"/>
      <c r="AS44" s="172"/>
      <c r="AT44" s="172"/>
      <c r="AU44" s="172"/>
      <c r="AV44" s="172"/>
      <c r="AW44" s="172"/>
    </row>
    <row r="45" spans="1:80" ht="15.75" thickTop="1" x14ac:dyDescent="0.25">
      <c r="J45" t="s">
        <v>16</v>
      </c>
      <c r="AD45" s="775">
        <v>2.46</v>
      </c>
      <c r="AE45" s="776"/>
      <c r="AF45" s="776"/>
      <c r="AG45" s="776"/>
      <c r="AH45" s="777"/>
      <c r="AL45" s="727" t="s">
        <v>122</v>
      </c>
      <c r="AM45" s="727"/>
      <c r="AN45" s="727"/>
      <c r="AO45" s="727" t="s">
        <v>123</v>
      </c>
      <c r="AP45" s="727"/>
      <c r="AQ45" s="727"/>
      <c r="AR45" s="727" t="s">
        <v>124</v>
      </c>
      <c r="AS45" s="727"/>
      <c r="AT45" s="727" t="s">
        <v>125</v>
      </c>
      <c r="AU45" s="727"/>
      <c r="AY45" s="739" t="s">
        <v>126</v>
      </c>
      <c r="AZ45" s="740"/>
      <c r="BA45" s="740"/>
      <c r="BB45" s="740"/>
      <c r="BC45" s="740"/>
      <c r="BD45" s="740"/>
      <c r="BE45" s="740"/>
      <c r="BF45" s="740"/>
      <c r="BG45" s="740"/>
      <c r="BH45" s="741"/>
    </row>
    <row r="46" spans="1:80" x14ac:dyDescent="0.25">
      <c r="AD46" s="778"/>
      <c r="AE46" s="779"/>
      <c r="AF46" s="779"/>
      <c r="AG46" s="779"/>
      <c r="AH46" s="780"/>
      <c r="AL46" s="727"/>
      <c r="AM46" s="727"/>
      <c r="AN46" s="727"/>
      <c r="AO46" s="727"/>
      <c r="AP46" s="727"/>
      <c r="AQ46" s="727"/>
      <c r="AR46" s="727"/>
      <c r="AS46" s="727"/>
      <c r="AT46" s="727"/>
      <c r="AU46" s="727"/>
      <c r="AY46" s="750"/>
      <c r="AZ46" s="751"/>
      <c r="BA46" s="751"/>
      <c r="BB46" s="751"/>
      <c r="BC46" s="751"/>
      <c r="BD46" s="751"/>
      <c r="BE46" s="751"/>
      <c r="BF46" s="751"/>
      <c r="BG46" s="751"/>
      <c r="BH46" s="752"/>
    </row>
    <row r="47" spans="1:80" x14ac:dyDescent="0.25">
      <c r="AA47" s="56"/>
      <c r="AD47" s="778"/>
      <c r="AE47" s="779"/>
      <c r="AF47" s="779"/>
      <c r="AG47" s="779"/>
      <c r="AH47" s="780"/>
      <c r="AL47" s="727"/>
      <c r="AM47" s="727"/>
      <c r="AN47" s="727"/>
      <c r="AO47" s="727"/>
      <c r="AP47" s="727"/>
      <c r="AQ47" s="727"/>
      <c r="AR47" s="727"/>
      <c r="AS47" s="727"/>
      <c r="AT47" s="727"/>
      <c r="AU47" s="727"/>
      <c r="AY47" s="742"/>
      <c r="AZ47" s="743"/>
      <c r="BA47" s="743"/>
      <c r="BB47" s="743"/>
      <c r="BC47" s="743"/>
      <c r="BD47" s="743"/>
      <c r="BE47" s="743"/>
      <c r="BF47" s="743"/>
      <c r="BG47" s="743"/>
      <c r="BH47" s="744"/>
    </row>
    <row r="48" spans="1:80" x14ac:dyDescent="0.25">
      <c r="K48" t="s">
        <v>258</v>
      </c>
      <c r="AD48" s="778"/>
      <c r="AE48" s="779"/>
      <c r="AF48" s="779"/>
      <c r="AG48" s="779"/>
      <c r="AH48" s="780"/>
      <c r="AL48" s="727">
        <v>235</v>
      </c>
      <c r="AM48" s="727"/>
      <c r="AN48" s="727"/>
      <c r="AO48" s="727">
        <f>AT70</f>
        <v>235</v>
      </c>
      <c r="AP48" s="727"/>
      <c r="AQ48" s="727"/>
      <c r="AR48" s="1689">
        <f>AC32</f>
        <v>2.4638000003000102</v>
      </c>
      <c r="AS48" s="1689"/>
      <c r="AT48" s="1689">
        <f>AC32+AO34</f>
        <v>3.9638000003000102</v>
      </c>
      <c r="AU48" s="1689"/>
      <c r="AY48" s="727" t="s">
        <v>128</v>
      </c>
      <c r="AZ48" s="727"/>
      <c r="BA48" s="727"/>
      <c r="BB48" s="727"/>
      <c r="BC48" s="727"/>
      <c r="BD48" s="727"/>
      <c r="BE48" s="727"/>
      <c r="BF48" s="727"/>
      <c r="BG48" s="727"/>
      <c r="BH48" s="727"/>
    </row>
    <row r="49" spans="7:60" x14ac:dyDescent="0.25">
      <c r="G49" t="s">
        <v>16</v>
      </c>
      <c r="AD49" s="778"/>
      <c r="AE49" s="779"/>
      <c r="AF49" s="779"/>
      <c r="AG49" s="779"/>
      <c r="AH49" s="780"/>
      <c r="AL49" s="727"/>
      <c r="AM49" s="727"/>
      <c r="AN49" s="727"/>
      <c r="AO49" s="727"/>
      <c r="AP49" s="727"/>
      <c r="AQ49" s="727"/>
      <c r="AR49" s="1689"/>
      <c r="AS49" s="1689"/>
      <c r="AT49" s="1689"/>
      <c r="AU49" s="1689"/>
      <c r="AY49" s="727"/>
      <c r="AZ49" s="727"/>
      <c r="BA49" s="727"/>
      <c r="BB49" s="727"/>
      <c r="BC49" s="727"/>
      <c r="BD49" s="727"/>
      <c r="BE49" s="727"/>
      <c r="BF49" s="727"/>
      <c r="BG49" s="727"/>
      <c r="BH49" s="727"/>
    </row>
    <row r="50" spans="7:60" ht="15" customHeight="1" x14ac:dyDescent="0.25">
      <c r="AD50" s="778"/>
      <c r="AE50" s="779"/>
      <c r="AF50" s="779"/>
      <c r="AG50" s="779"/>
      <c r="AH50" s="780"/>
      <c r="AL50" s="727"/>
      <c r="AM50" s="727"/>
      <c r="AN50" s="727"/>
      <c r="AO50" s="727"/>
      <c r="AP50" s="727"/>
      <c r="AQ50" s="727"/>
      <c r="AR50" s="1689"/>
      <c r="AS50" s="1689"/>
      <c r="AT50" s="1689"/>
      <c r="AU50" s="1689"/>
      <c r="AY50" s="728">
        <f>AR48/((84*3.1415/59)*(AO48/3.281))</f>
        <v>7.6909410149559364E-3</v>
      </c>
      <c r="AZ50" s="729"/>
      <c r="BA50" s="729"/>
      <c r="BB50" s="729"/>
      <c r="BC50" s="729"/>
      <c r="BD50" s="729"/>
      <c r="BE50" s="729"/>
      <c r="BF50" s="729"/>
      <c r="BG50" s="729"/>
      <c r="BH50" s="730"/>
    </row>
    <row r="51" spans="7:60" ht="15.75" customHeight="1" thickBot="1" x14ac:dyDescent="0.3">
      <c r="AD51" s="781"/>
      <c r="AE51" s="782"/>
      <c r="AF51" s="782"/>
      <c r="AG51" s="782"/>
      <c r="AH51" s="783"/>
      <c r="AL51" s="727"/>
      <c r="AM51" s="727"/>
      <c r="AN51" s="727"/>
      <c r="AO51" s="727"/>
      <c r="AP51" s="727"/>
      <c r="AQ51" s="727"/>
      <c r="AR51" s="1689"/>
      <c r="AS51" s="1689"/>
      <c r="AT51" s="1689"/>
      <c r="AU51" s="1689"/>
      <c r="AY51" s="731"/>
      <c r="AZ51" s="732"/>
      <c r="BA51" s="732"/>
      <c r="BB51" s="732"/>
      <c r="BC51" s="732"/>
      <c r="BD51" s="732"/>
      <c r="BE51" s="732"/>
      <c r="BF51" s="732"/>
      <c r="BG51" s="732"/>
      <c r="BH51" s="733"/>
    </row>
    <row r="52" spans="7:60" ht="15.75" customHeight="1" thickTop="1" x14ac:dyDescent="0.25">
      <c r="AY52" s="734"/>
      <c r="AZ52" s="735"/>
      <c r="BA52" s="735"/>
      <c r="BB52" s="735"/>
      <c r="BC52" s="735"/>
      <c r="BD52" s="735"/>
      <c r="BE52" s="735"/>
      <c r="BF52" s="735"/>
      <c r="BG52" s="735"/>
      <c r="BH52" s="736"/>
    </row>
    <row r="53" spans="7:60" x14ac:dyDescent="0.25">
      <c r="AY53" s="739" t="s">
        <v>129</v>
      </c>
      <c r="AZ53" s="740"/>
      <c r="BA53" s="740"/>
      <c r="BB53" s="740"/>
      <c r="BC53" s="740"/>
      <c r="BD53" s="740"/>
      <c r="BE53" s="740"/>
      <c r="BF53" s="740"/>
      <c r="BG53" s="740"/>
      <c r="BH53" s="741"/>
    </row>
    <row r="54" spans="7:60" x14ac:dyDescent="0.25">
      <c r="AY54" s="742"/>
      <c r="AZ54" s="743"/>
      <c r="BA54" s="743"/>
      <c r="BB54" s="743"/>
      <c r="BC54" s="743"/>
      <c r="BD54" s="743"/>
      <c r="BE54" s="743"/>
      <c r="BF54" s="743"/>
      <c r="BG54" s="743"/>
      <c r="BH54" s="744"/>
    </row>
    <row r="55" spans="7:60" x14ac:dyDescent="0.25">
      <c r="AN55" s="727">
        <v>42.5</v>
      </c>
      <c r="AO55" s="727"/>
      <c r="AP55" s="727"/>
      <c r="AQ55" s="746">
        <v>2</v>
      </c>
      <c r="AR55" s="746"/>
      <c r="AS55" s="746"/>
      <c r="AT55" s="747">
        <f>AQ55*AN55</f>
        <v>85</v>
      </c>
      <c r="AU55" s="748"/>
      <c r="AV55" s="748"/>
      <c r="AW55" s="749"/>
      <c r="AY55" s="739" t="s">
        <v>130</v>
      </c>
      <c r="AZ55" s="740"/>
      <c r="BA55" s="740"/>
      <c r="BB55" s="740"/>
      <c r="BC55" s="740"/>
      <c r="BD55" s="740"/>
      <c r="BE55" s="740"/>
      <c r="BF55" s="740"/>
      <c r="BG55" s="740"/>
      <c r="BH55" s="741"/>
    </row>
    <row r="56" spans="7:60" x14ac:dyDescent="0.25">
      <c r="AN56" s="727"/>
      <c r="AO56" s="727"/>
      <c r="AP56" s="727"/>
      <c r="AQ56" s="746"/>
      <c r="AR56" s="746"/>
      <c r="AS56" s="746"/>
      <c r="AT56" s="747"/>
      <c r="AU56" s="748"/>
      <c r="AV56" s="748"/>
      <c r="AW56" s="749"/>
      <c r="AY56" s="750"/>
      <c r="AZ56" s="751"/>
      <c r="BA56" s="751"/>
      <c r="BB56" s="751"/>
      <c r="BC56" s="751"/>
      <c r="BD56" s="751"/>
      <c r="BE56" s="751"/>
      <c r="BF56" s="751"/>
      <c r="BG56" s="751"/>
      <c r="BH56" s="752"/>
    </row>
    <row r="57" spans="7:60" ht="15" customHeight="1" x14ac:dyDescent="0.25">
      <c r="AN57" s="727"/>
      <c r="AO57" s="727"/>
      <c r="AP57" s="727"/>
      <c r="AQ57" s="746"/>
      <c r="AR57" s="746"/>
      <c r="AS57" s="746"/>
      <c r="AT57" s="747"/>
      <c r="AU57" s="748"/>
      <c r="AV57" s="748"/>
      <c r="AW57" s="749"/>
      <c r="AY57" s="750"/>
      <c r="AZ57" s="751"/>
      <c r="BA57" s="751"/>
      <c r="BB57" s="751"/>
      <c r="BC57" s="751"/>
      <c r="BD57" s="751"/>
      <c r="BE57" s="751"/>
      <c r="BF57" s="751"/>
      <c r="BG57" s="751"/>
      <c r="BH57" s="752"/>
    </row>
    <row r="58" spans="7:60" ht="15" customHeight="1" x14ac:dyDescent="0.25">
      <c r="AN58" s="727">
        <v>40</v>
      </c>
      <c r="AO58" s="727"/>
      <c r="AP58" s="727"/>
      <c r="AQ58" s="746">
        <v>2</v>
      </c>
      <c r="AR58" s="746"/>
      <c r="AS58" s="746"/>
      <c r="AT58" s="747">
        <f t="shared" ref="AT58" si="0">AQ58*AN58</f>
        <v>80</v>
      </c>
      <c r="AU58" s="748"/>
      <c r="AV58" s="748"/>
      <c r="AW58" s="749"/>
      <c r="AY58" s="742"/>
      <c r="AZ58" s="743"/>
      <c r="BA58" s="743"/>
      <c r="BB58" s="743"/>
      <c r="BC58" s="743"/>
      <c r="BD58" s="743"/>
      <c r="BE58" s="743"/>
      <c r="BF58" s="743"/>
      <c r="BG58" s="743"/>
      <c r="BH58" s="744"/>
    </row>
    <row r="59" spans="7:60" ht="15" customHeight="1" x14ac:dyDescent="0.25">
      <c r="AN59" s="727"/>
      <c r="AO59" s="727"/>
      <c r="AP59" s="727"/>
      <c r="AQ59" s="746"/>
      <c r="AR59" s="746"/>
      <c r="AS59" s="746"/>
      <c r="AT59" s="747"/>
      <c r="AU59" s="748"/>
      <c r="AV59" s="748"/>
      <c r="AW59" s="749"/>
      <c r="AY59" s="728">
        <f>AT48/((84*3.1415/59)*(AO48/3.281))</f>
        <v>1.2373306272293848E-2</v>
      </c>
      <c r="AZ59" s="729"/>
      <c r="BA59" s="729"/>
      <c r="BB59" s="729"/>
      <c r="BC59" s="729"/>
      <c r="BD59" s="729"/>
      <c r="BE59" s="729"/>
      <c r="BF59" s="729"/>
      <c r="BG59" s="729"/>
      <c r="BH59" s="730"/>
    </row>
    <row r="60" spans="7:60" ht="15" customHeight="1" x14ac:dyDescent="0.25">
      <c r="AN60" s="727"/>
      <c r="AO60" s="727"/>
      <c r="AP60" s="727"/>
      <c r="AQ60" s="746"/>
      <c r="AR60" s="746"/>
      <c r="AS60" s="746"/>
      <c r="AT60" s="747"/>
      <c r="AU60" s="748"/>
      <c r="AV60" s="748"/>
      <c r="AW60" s="749"/>
      <c r="AY60" s="731"/>
      <c r="AZ60" s="732"/>
      <c r="BA60" s="732"/>
      <c r="BB60" s="732"/>
      <c r="BC60" s="732"/>
      <c r="BD60" s="732"/>
      <c r="BE60" s="732"/>
      <c r="BF60" s="732"/>
      <c r="BG60" s="732"/>
      <c r="BH60" s="733"/>
    </row>
    <row r="61" spans="7:60" ht="15" customHeight="1" x14ac:dyDescent="0.25">
      <c r="AN61" s="727">
        <v>35</v>
      </c>
      <c r="AO61" s="727"/>
      <c r="AP61" s="727"/>
      <c r="AQ61" s="746">
        <v>2</v>
      </c>
      <c r="AR61" s="746"/>
      <c r="AS61" s="746"/>
      <c r="AT61" s="747">
        <f t="shared" ref="AT61" si="1">AQ61*AN61</f>
        <v>70</v>
      </c>
      <c r="AU61" s="748"/>
      <c r="AV61" s="748"/>
      <c r="AW61" s="749"/>
      <c r="AY61" s="731"/>
      <c r="AZ61" s="732"/>
      <c r="BA61" s="732"/>
      <c r="BB61" s="732"/>
      <c r="BC61" s="732"/>
      <c r="BD61" s="732"/>
      <c r="BE61" s="732"/>
      <c r="BF61" s="732"/>
      <c r="BG61" s="732"/>
      <c r="BH61" s="733"/>
    </row>
    <row r="62" spans="7:60" ht="15" customHeight="1" x14ac:dyDescent="0.25">
      <c r="AN62" s="727"/>
      <c r="AO62" s="727"/>
      <c r="AP62" s="727"/>
      <c r="AQ62" s="746"/>
      <c r="AR62" s="746"/>
      <c r="AS62" s="746"/>
      <c r="AT62" s="747"/>
      <c r="AU62" s="748"/>
      <c r="AV62" s="748"/>
      <c r="AW62" s="749"/>
      <c r="AY62" s="731"/>
      <c r="AZ62" s="732"/>
      <c r="BA62" s="732"/>
      <c r="BB62" s="732"/>
      <c r="BC62" s="732"/>
      <c r="BD62" s="732"/>
      <c r="BE62" s="732"/>
      <c r="BF62" s="732"/>
      <c r="BG62" s="732"/>
      <c r="BH62" s="733"/>
    </row>
    <row r="63" spans="7:60" ht="15" customHeight="1" x14ac:dyDescent="0.25">
      <c r="AN63" s="727"/>
      <c r="AO63" s="727"/>
      <c r="AP63" s="727"/>
      <c r="AQ63" s="746"/>
      <c r="AR63" s="746"/>
      <c r="AS63" s="746"/>
      <c r="AT63" s="747"/>
      <c r="AU63" s="748"/>
      <c r="AV63" s="748"/>
      <c r="AW63" s="749"/>
      <c r="AY63" s="734"/>
      <c r="AZ63" s="735"/>
      <c r="BA63" s="735"/>
      <c r="BB63" s="735"/>
      <c r="BC63" s="735"/>
      <c r="BD63" s="735"/>
      <c r="BE63" s="735"/>
      <c r="BF63" s="735"/>
      <c r="BG63" s="735"/>
      <c r="BH63" s="736"/>
    </row>
    <row r="64" spans="7:60" ht="15" customHeight="1" x14ac:dyDescent="0.25">
      <c r="AN64" s="727"/>
      <c r="AO64" s="727"/>
      <c r="AP64" s="727"/>
      <c r="AQ64" s="746"/>
      <c r="AR64" s="746"/>
      <c r="AS64" s="746"/>
      <c r="AT64" s="747"/>
      <c r="AU64" s="748"/>
      <c r="AV64" s="748"/>
      <c r="AW64" s="749"/>
    </row>
    <row r="65" spans="40:49" ht="15" customHeight="1" x14ac:dyDescent="0.25">
      <c r="AN65" s="727"/>
      <c r="AO65" s="727"/>
      <c r="AP65" s="727"/>
      <c r="AQ65" s="746"/>
      <c r="AR65" s="746"/>
      <c r="AS65" s="746"/>
      <c r="AT65" s="747"/>
      <c r="AU65" s="748"/>
      <c r="AV65" s="748"/>
      <c r="AW65" s="749"/>
    </row>
    <row r="66" spans="40:49" ht="15" customHeight="1" x14ac:dyDescent="0.25">
      <c r="AN66" s="727"/>
      <c r="AO66" s="727"/>
      <c r="AP66" s="727"/>
      <c r="AQ66" s="746"/>
      <c r="AR66" s="746"/>
      <c r="AS66" s="746"/>
      <c r="AT66" s="747"/>
      <c r="AU66" s="748"/>
      <c r="AV66" s="748"/>
      <c r="AW66" s="749"/>
    </row>
    <row r="67" spans="40:49" ht="15" customHeight="1" x14ac:dyDescent="0.25">
      <c r="AN67" s="727"/>
      <c r="AO67" s="727"/>
      <c r="AP67" s="727"/>
      <c r="AQ67" s="746"/>
      <c r="AR67" s="746"/>
      <c r="AS67" s="746"/>
      <c r="AT67" s="747"/>
      <c r="AU67" s="748"/>
      <c r="AV67" s="748"/>
      <c r="AW67" s="749"/>
    </row>
    <row r="68" spans="40:49" ht="15" customHeight="1" x14ac:dyDescent="0.25">
      <c r="AN68" s="727"/>
      <c r="AO68" s="727"/>
      <c r="AP68" s="727"/>
      <c r="AQ68" s="746"/>
      <c r="AR68" s="746"/>
      <c r="AS68" s="746"/>
      <c r="AT68" s="747"/>
      <c r="AU68" s="748"/>
      <c r="AV68" s="748"/>
      <c r="AW68" s="749"/>
    </row>
    <row r="69" spans="40:49" ht="15" customHeight="1" x14ac:dyDescent="0.25">
      <c r="AN69" s="727"/>
      <c r="AO69" s="727"/>
      <c r="AP69" s="727"/>
      <c r="AQ69" s="746"/>
      <c r="AR69" s="746"/>
      <c r="AS69" s="746"/>
      <c r="AT69" s="747"/>
      <c r="AU69" s="748"/>
      <c r="AV69" s="748"/>
      <c r="AW69" s="749"/>
    </row>
    <row r="70" spans="40:49" ht="15" customHeight="1" x14ac:dyDescent="0.25">
      <c r="AQ70" s="1254">
        <f>AQ55+AQ58+AQ61+AQ64+AQ67</f>
        <v>6</v>
      </c>
      <c r="AR70" s="1254"/>
      <c r="AS70" s="1254"/>
      <c r="AT70" s="747">
        <f>AT55+AT58+AT61+AT64+AT67</f>
        <v>235</v>
      </c>
      <c r="AU70" s="748"/>
      <c r="AV70" s="748"/>
      <c r="AW70" s="749"/>
    </row>
    <row r="71" spans="40:49" ht="15" customHeight="1" x14ac:dyDescent="0.25">
      <c r="AQ71" s="1254"/>
      <c r="AR71" s="1254"/>
      <c r="AS71" s="1254"/>
      <c r="AT71" s="747"/>
      <c r="AU71" s="748"/>
      <c r="AV71" s="748"/>
      <c r="AW71" s="749"/>
    </row>
    <row r="72" spans="40:49" ht="15" customHeight="1" x14ac:dyDescent="0.25">
      <c r="AQ72" s="1254"/>
      <c r="AR72" s="1254"/>
      <c r="AS72" s="1254"/>
      <c r="AT72" s="747"/>
      <c r="AU72" s="748"/>
      <c r="AV72" s="748"/>
      <c r="AW72" s="749"/>
    </row>
    <row r="73" spans="40:49" ht="15" customHeight="1" x14ac:dyDescent="0.25"/>
    <row r="74" spans="40:49" ht="15" customHeight="1" x14ac:dyDescent="0.25"/>
    <row r="75" spans="40:49" ht="15" customHeight="1" x14ac:dyDescent="0.25"/>
    <row r="76" spans="40:49" ht="15" customHeight="1" x14ac:dyDescent="0.25"/>
    <row r="77" spans="40:49" ht="15" customHeight="1" x14ac:dyDescent="0.25">
      <c r="AS77" s="27"/>
      <c r="AT77" s="27"/>
      <c r="AU77" s="27"/>
    </row>
  </sheetData>
  <mergeCells count="229">
    <mergeCell ref="P2:R2"/>
    <mergeCell ref="S2:T2"/>
    <mergeCell ref="U2:W2"/>
    <mergeCell ref="X2:Y2"/>
    <mergeCell ref="A2:D2"/>
    <mergeCell ref="E2:E3"/>
    <mergeCell ref="F2:H2"/>
    <mergeCell ref="I2:J2"/>
    <mergeCell ref="K2:M2"/>
    <mergeCell ref="N2:O2"/>
    <mergeCell ref="F3:J5"/>
    <mergeCell ref="K3:O5"/>
    <mergeCell ref="A4:D4"/>
    <mergeCell ref="E4:E5"/>
    <mergeCell ref="AY2:BA2"/>
    <mergeCell ref="BB2:BC2"/>
    <mergeCell ref="BD2:BF2"/>
    <mergeCell ref="BG2:BH2"/>
    <mergeCell ref="AY3:BA5"/>
    <mergeCell ref="BD3:BF5"/>
    <mergeCell ref="AX4:AX5"/>
    <mergeCell ref="AJ2:AL2"/>
    <mergeCell ref="AM2:AN2"/>
    <mergeCell ref="AO2:AQ2"/>
    <mergeCell ref="AR2:AS2"/>
    <mergeCell ref="A6:D6"/>
    <mergeCell ref="E6:E7"/>
    <mergeCell ref="F6:F7"/>
    <mergeCell ref="G6:J6"/>
    <mergeCell ref="K6:K7"/>
    <mergeCell ref="L6:O6"/>
    <mergeCell ref="P3:T5"/>
    <mergeCell ref="U3:Y5"/>
    <mergeCell ref="AJ3:AN5"/>
    <mergeCell ref="AY6:AY7"/>
    <mergeCell ref="AZ6:BC6"/>
    <mergeCell ref="BD6:BD7"/>
    <mergeCell ref="BE6:BH6"/>
    <mergeCell ref="AJ6:AJ7"/>
    <mergeCell ref="AK6:AN6"/>
    <mergeCell ref="AO6:AO7"/>
    <mergeCell ref="AP6:AS6"/>
    <mergeCell ref="P6:P7"/>
    <mergeCell ref="Q6:T6"/>
    <mergeCell ref="U6:U7"/>
    <mergeCell ref="V6:Y6"/>
    <mergeCell ref="BB8:BC8"/>
    <mergeCell ref="BD8:BF8"/>
    <mergeCell ref="BG8:BH8"/>
    <mergeCell ref="AY9:BA11"/>
    <mergeCell ref="BD9:BF11"/>
    <mergeCell ref="A10:D10"/>
    <mergeCell ref="E10:E11"/>
    <mergeCell ref="F10:I10"/>
    <mergeCell ref="J10:J11"/>
    <mergeCell ref="K10:N10"/>
    <mergeCell ref="AE8:AH8"/>
    <mergeCell ref="AI8:AI9"/>
    <mergeCell ref="AY8:BA8"/>
    <mergeCell ref="AJ8:AS9"/>
    <mergeCell ref="Z8:AC8"/>
    <mergeCell ref="AD8:AD9"/>
    <mergeCell ref="P8:Y9"/>
    <mergeCell ref="A8:D8"/>
    <mergeCell ref="E8:E9"/>
    <mergeCell ref="F8:O9"/>
    <mergeCell ref="AD10:AD11"/>
    <mergeCell ref="AE10:AH10"/>
    <mergeCell ref="AI10:AI11"/>
    <mergeCell ref="Y10:Y11"/>
    <mergeCell ref="Z10:AC10"/>
    <mergeCell ref="BB14:BC14"/>
    <mergeCell ref="BD14:BF14"/>
    <mergeCell ref="A12:D12"/>
    <mergeCell ref="E12:E13"/>
    <mergeCell ref="F12:I12"/>
    <mergeCell ref="J12:J13"/>
    <mergeCell ref="K12:N12"/>
    <mergeCell ref="O10:O11"/>
    <mergeCell ref="P10:S10"/>
    <mergeCell ref="T10:T11"/>
    <mergeCell ref="U10:X10"/>
    <mergeCell ref="O12:O13"/>
    <mergeCell ref="P12:S12"/>
    <mergeCell ref="T12:T13"/>
    <mergeCell ref="U12:X12"/>
    <mergeCell ref="BG14:BH14"/>
    <mergeCell ref="A15:E17"/>
    <mergeCell ref="AO15:AQ17"/>
    <mergeCell ref="AT15:AV17"/>
    <mergeCell ref="AY15:BA17"/>
    <mergeCell ref="BD15:BF17"/>
    <mergeCell ref="AZ12:BC12"/>
    <mergeCell ref="BD12:BD13"/>
    <mergeCell ref="BE12:BH12"/>
    <mergeCell ref="A14:C14"/>
    <mergeCell ref="D14:E14"/>
    <mergeCell ref="AO14:AQ14"/>
    <mergeCell ref="AR14:AS14"/>
    <mergeCell ref="AT14:AV14"/>
    <mergeCell ref="AW14:AX14"/>
    <mergeCell ref="AY14:BA14"/>
    <mergeCell ref="AD12:AD13"/>
    <mergeCell ref="AE12:AH12"/>
    <mergeCell ref="AI12:AI13"/>
    <mergeCell ref="AJ12:AM12"/>
    <mergeCell ref="AN12:AN13"/>
    <mergeCell ref="AY12:AY13"/>
    <mergeCell ref="Y12:Y13"/>
    <mergeCell ref="Z12:AC12"/>
    <mergeCell ref="BG20:BH20"/>
    <mergeCell ref="A20:C20"/>
    <mergeCell ref="D20:E20"/>
    <mergeCell ref="F20:H20"/>
    <mergeCell ref="I20:J20"/>
    <mergeCell ref="AO20:AQ20"/>
    <mergeCell ref="AR20:AS20"/>
    <mergeCell ref="A18:A19"/>
    <mergeCell ref="B18:E18"/>
    <mergeCell ref="AY18:AY19"/>
    <mergeCell ref="AZ18:BC18"/>
    <mergeCell ref="BD18:BD19"/>
    <mergeCell ref="BE18:BH18"/>
    <mergeCell ref="A21:C23"/>
    <mergeCell ref="F21:H23"/>
    <mergeCell ref="AO21:AQ23"/>
    <mergeCell ref="AT21:AV23"/>
    <mergeCell ref="AY21:BA23"/>
    <mergeCell ref="BD21:BF23"/>
    <mergeCell ref="AT20:AV20"/>
    <mergeCell ref="AW20:AX20"/>
    <mergeCell ref="AY20:BA20"/>
    <mergeCell ref="BB20:BC20"/>
    <mergeCell ref="BD20:BF20"/>
    <mergeCell ref="AY24:AY25"/>
    <mergeCell ref="AZ24:BC24"/>
    <mergeCell ref="BD24:BD25"/>
    <mergeCell ref="BE24:BH24"/>
    <mergeCell ref="A24:A25"/>
    <mergeCell ref="B24:E24"/>
    <mergeCell ref="F24:F25"/>
    <mergeCell ref="G24:J24"/>
    <mergeCell ref="AO24:AO25"/>
    <mergeCell ref="AP24:AS24"/>
    <mergeCell ref="AY26:BA26"/>
    <mergeCell ref="BB26:BC26"/>
    <mergeCell ref="BD26:BF26"/>
    <mergeCell ref="BG26:BH26"/>
    <mergeCell ref="A27:C29"/>
    <mergeCell ref="F27:H29"/>
    <mergeCell ref="AT27:AV29"/>
    <mergeCell ref="AY27:BA29"/>
    <mergeCell ref="BD27:BF29"/>
    <mergeCell ref="A26:C26"/>
    <mergeCell ref="D26:E26"/>
    <mergeCell ref="F26:H26"/>
    <mergeCell ref="I26:J26"/>
    <mergeCell ref="AT26:AV26"/>
    <mergeCell ref="AW26:AX26"/>
    <mergeCell ref="BD30:BD31"/>
    <mergeCell ref="BE30:BH30"/>
    <mergeCell ref="H32:J33"/>
    <mergeCell ref="Q32:V34"/>
    <mergeCell ref="X32:AB36"/>
    <mergeCell ref="AC32:AH36"/>
    <mergeCell ref="AJ32:AN42"/>
    <mergeCell ref="AO32:AS33"/>
    <mergeCell ref="A30:A31"/>
    <mergeCell ref="B30:E30"/>
    <mergeCell ref="F30:F31"/>
    <mergeCell ref="G30:J30"/>
    <mergeCell ref="AT30:AT31"/>
    <mergeCell ref="AU30:AX30"/>
    <mergeCell ref="H35:J35"/>
    <mergeCell ref="Q35:V42"/>
    <mergeCell ref="H36:J37"/>
    <mergeCell ref="X37:AB42"/>
    <mergeCell ref="AC37:AH42"/>
    <mergeCell ref="H38:J40"/>
    <mergeCell ref="H41:J42"/>
    <mergeCell ref="AY30:AY31"/>
    <mergeCell ref="AZ30:BC30"/>
    <mergeCell ref="AY45:BH47"/>
    <mergeCell ref="AL48:AN51"/>
    <mergeCell ref="AO48:AQ51"/>
    <mergeCell ref="AR48:AS51"/>
    <mergeCell ref="AT48:AU51"/>
    <mergeCell ref="AY48:BH49"/>
    <mergeCell ref="AY50:BH52"/>
    <mergeCell ref="AO41:AW42"/>
    <mergeCell ref="AD45:AH51"/>
    <mergeCell ref="AL45:AN47"/>
    <mergeCell ref="AO45:AQ47"/>
    <mergeCell ref="AR45:AS47"/>
    <mergeCell ref="AT45:AU47"/>
    <mergeCell ref="AY53:BH54"/>
    <mergeCell ref="AN55:AP57"/>
    <mergeCell ref="AQ55:AS57"/>
    <mergeCell ref="AT55:AW57"/>
    <mergeCell ref="AY55:BH58"/>
    <mergeCell ref="AN58:AP60"/>
    <mergeCell ref="AQ58:AS60"/>
    <mergeCell ref="AT58:AW60"/>
    <mergeCell ref="AY59:BH63"/>
    <mergeCell ref="AN61:AP63"/>
    <mergeCell ref="AQ70:AS72"/>
    <mergeCell ref="AT70:AW72"/>
    <mergeCell ref="Z2:AC2"/>
    <mergeCell ref="AD2:AD3"/>
    <mergeCell ref="Z4:AC4"/>
    <mergeCell ref="AD4:AD5"/>
    <mergeCell ref="AQ61:AS63"/>
    <mergeCell ref="AT61:AW63"/>
    <mergeCell ref="AN64:AP66"/>
    <mergeCell ref="AQ64:AS66"/>
    <mergeCell ref="AT64:AW66"/>
    <mergeCell ref="AN67:AP69"/>
    <mergeCell ref="AQ67:AS69"/>
    <mergeCell ref="AT67:AW69"/>
    <mergeCell ref="AT32:AW33"/>
    <mergeCell ref="AO34:AU40"/>
    <mergeCell ref="AV34:AW40"/>
    <mergeCell ref="AT24:AT25"/>
    <mergeCell ref="AU24:AX24"/>
    <mergeCell ref="AJ10:AM10"/>
    <mergeCell ref="AN10:AN11"/>
    <mergeCell ref="AX6:AX7"/>
    <mergeCell ref="AO3:AS5"/>
    <mergeCell ref="AX2:AX3"/>
  </mergeCells>
  <pageMargins left="0.25" right="0" top="0.7" bottom="0" header="0.3" footer="0.3"/>
  <pageSetup paperSize="8" scale="67" orientation="landscape" r:id="rId1"/>
  <headerFooter>
    <oddFooter>&amp;C&amp;"-,Bold Italic"&amp;16Prepared by Emir Cebecioglu&amp;RQuality Control Department</oddFooter>
  </headerFooter>
  <colBreaks count="1" manualBreakCount="1">
    <brk id="60" max="50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DD06F-C016-4BE1-B37A-64852AA53FFD}">
  <sheetPr>
    <pageSetUpPr fitToPage="1"/>
  </sheetPr>
  <dimension ref="A1:CB77"/>
  <sheetViews>
    <sheetView view="pageBreakPreview" topLeftCell="J7" zoomScaleNormal="70" zoomScaleSheetLayoutView="100" zoomScalePageLayoutView="55" workbookViewId="0">
      <selection activeCell="AC2" sqref="AC2:AD2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85546875" customWidth="1"/>
    <col min="47" max="47" width="9.4257812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1" customWidth="1"/>
    <col min="62" max="62" width="56.7109375" customWidth="1"/>
    <col min="63" max="63" width="13" customWidth="1"/>
    <col min="64" max="64" width="7" customWidth="1"/>
  </cols>
  <sheetData>
    <row r="1" spans="1:80" ht="158.25" customHeight="1" thickBot="1" x14ac:dyDescent="0.3"/>
    <row r="2" spans="1:80" ht="36" customHeight="1" thickTop="1" x14ac:dyDescent="0.25">
      <c r="A2" s="1736" t="s">
        <v>250</v>
      </c>
      <c r="B2" s="1737"/>
      <c r="C2" s="1737"/>
      <c r="D2" s="1738">
        <f>B7/((90*3.1415/59)*(37.5/3.281))</f>
        <v>3.8954748382761244E-2</v>
      </c>
      <c r="E2" s="1739"/>
      <c r="F2" s="1736" t="s">
        <v>250</v>
      </c>
      <c r="G2" s="1737"/>
      <c r="H2" s="1737"/>
      <c r="I2" s="1738">
        <f>G7/((90*3.1415/59)*(37.5/3.281))</f>
        <v>1.8257756084908719E-13</v>
      </c>
      <c r="J2" s="1739"/>
      <c r="K2" s="1736" t="s">
        <v>250</v>
      </c>
      <c r="L2" s="1737"/>
      <c r="M2" s="1737"/>
      <c r="N2" s="1738">
        <f>L7/((90*3.1415/59)*(37.5/3.281))</f>
        <v>4.6374700455668154E-3</v>
      </c>
      <c r="O2" s="1739"/>
      <c r="P2" s="1736" t="s">
        <v>250</v>
      </c>
      <c r="Q2" s="1737"/>
      <c r="R2" s="1737"/>
      <c r="S2" s="1738">
        <f>Q7/((90*3.1415/59)*(37.5/3.281))</f>
        <v>3.4306323683543485E-2</v>
      </c>
      <c r="T2" s="1739"/>
      <c r="U2" s="1765" t="s">
        <v>250</v>
      </c>
      <c r="V2" s="1766"/>
      <c r="W2" s="1766"/>
      <c r="X2" s="1752">
        <f>V7/((90*3.1415/59)*(45/3.281))</f>
        <v>0.30799313035567266</v>
      </c>
      <c r="Y2" s="1753"/>
      <c r="Z2" s="1765" t="s">
        <v>250</v>
      </c>
      <c r="AA2" s="1766"/>
      <c r="AB2" s="1766"/>
      <c r="AC2" s="1767">
        <f>AA7/((90*3.1415/59)*(45/3.281))</f>
        <v>3.0886037376970585E-3</v>
      </c>
      <c r="AD2" s="1768"/>
      <c r="AE2" s="1765" t="s">
        <v>250</v>
      </c>
      <c r="AF2" s="1766"/>
      <c r="AG2" s="1766"/>
      <c r="AH2" s="1767">
        <f>AF7/((90*3.1415/59)*(45/3.281))</f>
        <v>6.9562050683502222E-3</v>
      </c>
      <c r="AI2" s="1768"/>
      <c r="AJ2" s="1765" t="s">
        <v>250</v>
      </c>
      <c r="AK2" s="1766"/>
      <c r="AL2" s="1766"/>
      <c r="AM2" s="1767">
        <f>AK7/((90*3.1415/59)*(45/3.281))</f>
        <v>0.11941485367334548</v>
      </c>
      <c r="AN2" s="1768"/>
      <c r="AO2" s="1732" t="s">
        <v>250</v>
      </c>
      <c r="AP2" s="1733"/>
      <c r="AQ2" s="1733"/>
      <c r="AR2" s="1734">
        <f>AP7/((90*3.1415/59)*(40/3.281))</f>
        <v>1.7116646329601925E-12</v>
      </c>
      <c r="AS2" s="1735"/>
      <c r="AT2" s="1732" t="s">
        <v>250</v>
      </c>
      <c r="AU2" s="1733"/>
      <c r="AV2" s="1733"/>
      <c r="AW2" s="1734">
        <f>AU7/((90*3.1415/59)*(40/3.281))</f>
        <v>5.3910589279714219E-2</v>
      </c>
      <c r="AX2" s="1735"/>
      <c r="AY2" s="674"/>
      <c r="AZ2" s="674"/>
      <c r="BA2" s="674"/>
      <c r="BB2" s="1300"/>
      <c r="BC2" s="1300"/>
      <c r="BD2" s="674"/>
      <c r="BE2" s="674"/>
      <c r="BF2" s="674"/>
      <c r="BG2" s="1300"/>
      <c r="BH2" s="1300"/>
      <c r="BM2" s="27"/>
      <c r="BN2" s="27"/>
      <c r="BO2" s="27"/>
      <c r="BP2" s="27"/>
      <c r="BQ2" s="27"/>
      <c r="BR2" s="27"/>
      <c r="BW2" s="27"/>
      <c r="BX2" s="27"/>
      <c r="BY2" s="27"/>
      <c r="BZ2" s="27"/>
      <c r="CA2" s="27"/>
      <c r="CB2" s="27"/>
    </row>
    <row r="3" spans="1:80" ht="9.9499999999999993" hidden="1" customHeight="1" x14ac:dyDescent="0.25">
      <c r="A3" s="1723" t="s">
        <v>488</v>
      </c>
      <c r="B3" s="1724"/>
      <c r="C3" s="1724"/>
      <c r="D3" s="1724"/>
      <c r="E3" s="1725"/>
      <c r="F3" s="1680" t="s">
        <v>545</v>
      </c>
      <c r="G3" s="1681"/>
      <c r="H3" s="1681"/>
      <c r="I3" s="1681"/>
      <c r="J3" s="1682"/>
      <c r="K3" s="1680" t="s">
        <v>545</v>
      </c>
      <c r="L3" s="1681"/>
      <c r="M3" s="1681"/>
      <c r="N3" s="1681"/>
      <c r="O3" s="1682"/>
      <c r="P3" s="1723" t="s">
        <v>488</v>
      </c>
      <c r="Q3" s="1724"/>
      <c r="R3" s="1724"/>
      <c r="S3" s="1724"/>
      <c r="T3" s="1725"/>
      <c r="U3" s="1723" t="s">
        <v>488</v>
      </c>
      <c r="V3" s="1724"/>
      <c r="W3" s="1724"/>
      <c r="X3" s="1724"/>
      <c r="Y3" s="1725"/>
      <c r="Z3" s="1680" t="s">
        <v>545</v>
      </c>
      <c r="AA3" s="1681"/>
      <c r="AB3" s="1681"/>
      <c r="AC3" s="1681"/>
      <c r="AD3" s="1682"/>
      <c r="AE3" s="1680" t="s">
        <v>545</v>
      </c>
      <c r="AF3" s="1681"/>
      <c r="AG3" s="1681"/>
      <c r="AH3" s="1681"/>
      <c r="AI3" s="1682"/>
      <c r="AJ3" s="1723" t="s">
        <v>488</v>
      </c>
      <c r="AK3" s="1724"/>
      <c r="AL3" s="1724"/>
      <c r="AM3" s="1724"/>
      <c r="AN3" s="1725"/>
      <c r="AO3" s="1680" t="s">
        <v>545</v>
      </c>
      <c r="AP3" s="1681"/>
      <c r="AQ3" s="1681"/>
      <c r="AR3" s="1681"/>
      <c r="AS3" s="1682"/>
      <c r="AT3" s="1723" t="s">
        <v>488</v>
      </c>
      <c r="AU3" s="1724"/>
      <c r="AV3" s="1724"/>
      <c r="AW3" s="1724"/>
      <c r="AX3" s="1725"/>
      <c r="AY3" s="676"/>
      <c r="AZ3" s="676"/>
      <c r="BA3" s="676"/>
      <c r="BB3" s="36"/>
      <c r="BC3" s="36"/>
      <c r="BD3" s="676"/>
      <c r="BE3" s="676"/>
      <c r="BF3" s="676"/>
      <c r="BG3" s="36"/>
      <c r="BH3" s="36"/>
    </row>
    <row r="4" spans="1:80" ht="24.95" hidden="1" customHeight="1" x14ac:dyDescent="0.25">
      <c r="A4" s="1726"/>
      <c r="B4" s="1727"/>
      <c r="C4" s="1727"/>
      <c r="D4" s="1727"/>
      <c r="E4" s="1728"/>
      <c r="F4" s="1683"/>
      <c r="G4" s="1684"/>
      <c r="H4" s="1684"/>
      <c r="I4" s="1684"/>
      <c r="J4" s="1685"/>
      <c r="K4" s="1683"/>
      <c r="L4" s="1684"/>
      <c r="M4" s="1684"/>
      <c r="N4" s="1684"/>
      <c r="O4" s="1685"/>
      <c r="P4" s="1726"/>
      <c r="Q4" s="1727"/>
      <c r="R4" s="1727"/>
      <c r="S4" s="1727"/>
      <c r="T4" s="1728"/>
      <c r="U4" s="1726"/>
      <c r="V4" s="1727"/>
      <c r="W4" s="1727"/>
      <c r="X4" s="1727"/>
      <c r="Y4" s="1728"/>
      <c r="Z4" s="1683"/>
      <c r="AA4" s="1684"/>
      <c r="AB4" s="1684"/>
      <c r="AC4" s="1684"/>
      <c r="AD4" s="1685"/>
      <c r="AE4" s="1683"/>
      <c r="AF4" s="1684"/>
      <c r="AG4" s="1684"/>
      <c r="AH4" s="1684"/>
      <c r="AI4" s="1685"/>
      <c r="AJ4" s="1726"/>
      <c r="AK4" s="1727"/>
      <c r="AL4" s="1727"/>
      <c r="AM4" s="1727"/>
      <c r="AN4" s="1728"/>
      <c r="AO4" s="1683"/>
      <c r="AP4" s="1684"/>
      <c r="AQ4" s="1684"/>
      <c r="AR4" s="1684"/>
      <c r="AS4" s="1685"/>
      <c r="AT4" s="1726"/>
      <c r="AU4" s="1727"/>
      <c r="AV4" s="1727"/>
      <c r="AW4" s="1727"/>
      <c r="AX4" s="1728"/>
      <c r="AY4" s="676"/>
      <c r="AZ4" s="676"/>
      <c r="BA4" s="676"/>
      <c r="BB4" s="36"/>
      <c r="BC4" s="36"/>
      <c r="BD4" s="676"/>
      <c r="BE4" s="676"/>
      <c r="BF4" s="676"/>
      <c r="BG4" s="36"/>
      <c r="BH4" s="36"/>
    </row>
    <row r="5" spans="1:80" ht="25.5" customHeight="1" x14ac:dyDescent="0.25">
      <c r="A5" s="1729"/>
      <c r="B5" s="1730"/>
      <c r="C5" s="1730"/>
      <c r="D5" s="1730"/>
      <c r="E5" s="1731"/>
      <c r="F5" s="1686"/>
      <c r="G5" s="1687"/>
      <c r="H5" s="1687"/>
      <c r="I5" s="1687"/>
      <c r="J5" s="1688"/>
      <c r="K5" s="1686"/>
      <c r="L5" s="1687"/>
      <c r="M5" s="1687"/>
      <c r="N5" s="1687"/>
      <c r="O5" s="1688"/>
      <c r="P5" s="1729"/>
      <c r="Q5" s="1730"/>
      <c r="R5" s="1730"/>
      <c r="S5" s="1730"/>
      <c r="T5" s="1731"/>
      <c r="U5" s="1729"/>
      <c r="V5" s="1730"/>
      <c r="W5" s="1730"/>
      <c r="X5" s="1730"/>
      <c r="Y5" s="1731"/>
      <c r="Z5" s="1686"/>
      <c r="AA5" s="1687"/>
      <c r="AB5" s="1687"/>
      <c r="AC5" s="1687"/>
      <c r="AD5" s="1688"/>
      <c r="AE5" s="1686"/>
      <c r="AF5" s="1687"/>
      <c r="AG5" s="1687"/>
      <c r="AH5" s="1687"/>
      <c r="AI5" s="1688"/>
      <c r="AJ5" s="1729"/>
      <c r="AK5" s="1730"/>
      <c r="AL5" s="1730"/>
      <c r="AM5" s="1730"/>
      <c r="AN5" s="1731"/>
      <c r="AO5" s="1686"/>
      <c r="AP5" s="1687"/>
      <c r="AQ5" s="1687"/>
      <c r="AR5" s="1687"/>
      <c r="AS5" s="1688"/>
      <c r="AT5" s="1729"/>
      <c r="AU5" s="1730"/>
      <c r="AV5" s="1730"/>
      <c r="AW5" s="1730"/>
      <c r="AX5" s="1731"/>
      <c r="AY5" s="676"/>
      <c r="AZ5" s="676"/>
      <c r="BA5" s="676"/>
      <c r="BB5" s="36"/>
      <c r="BC5" s="36"/>
      <c r="BD5" s="676"/>
      <c r="BE5" s="676"/>
      <c r="BF5" s="676"/>
      <c r="BG5" s="36"/>
      <c r="BH5" s="36"/>
    </row>
    <row r="6" spans="1:80" ht="72" customHeight="1" x14ac:dyDescent="0.25">
      <c r="A6" s="1719" t="s">
        <v>555</v>
      </c>
      <c r="B6" s="1714">
        <v>7</v>
      </c>
      <c r="C6" s="1715"/>
      <c r="D6" s="1715"/>
      <c r="E6" s="1716"/>
      <c r="F6" s="1719" t="s">
        <v>555</v>
      </c>
      <c r="G6" s="1714">
        <v>8</v>
      </c>
      <c r="H6" s="1715"/>
      <c r="I6" s="1715"/>
      <c r="J6" s="1716"/>
      <c r="K6" s="1719" t="s">
        <v>555</v>
      </c>
      <c r="L6" s="1714">
        <v>9</v>
      </c>
      <c r="M6" s="1715"/>
      <c r="N6" s="1715"/>
      <c r="O6" s="1716"/>
      <c r="P6" s="1719" t="s">
        <v>555</v>
      </c>
      <c r="Q6" s="1714">
        <v>10</v>
      </c>
      <c r="R6" s="1715"/>
      <c r="S6" s="1715"/>
      <c r="T6" s="1716"/>
      <c r="U6" s="1754" t="s">
        <v>479</v>
      </c>
      <c r="V6" s="1714">
        <v>1</v>
      </c>
      <c r="W6" s="1715"/>
      <c r="X6" s="1715"/>
      <c r="Y6" s="1716"/>
      <c r="Z6" s="1754" t="s">
        <v>479</v>
      </c>
      <c r="AA6" s="1714">
        <v>2</v>
      </c>
      <c r="AB6" s="1715"/>
      <c r="AC6" s="1715"/>
      <c r="AD6" s="1716"/>
      <c r="AE6" s="1754" t="s">
        <v>479</v>
      </c>
      <c r="AF6" s="1714">
        <v>5</v>
      </c>
      <c r="AG6" s="1715"/>
      <c r="AH6" s="1715"/>
      <c r="AI6" s="1716"/>
      <c r="AJ6" s="1754" t="s">
        <v>479</v>
      </c>
      <c r="AK6" s="1714">
        <v>6</v>
      </c>
      <c r="AL6" s="1715"/>
      <c r="AM6" s="1715"/>
      <c r="AN6" s="1716"/>
      <c r="AO6" s="1712" t="s">
        <v>478</v>
      </c>
      <c r="AP6" s="1714">
        <v>3</v>
      </c>
      <c r="AQ6" s="1715"/>
      <c r="AR6" s="1715"/>
      <c r="AS6" s="1716"/>
      <c r="AT6" s="1712" t="s">
        <v>478</v>
      </c>
      <c r="AU6" s="1714">
        <v>4</v>
      </c>
      <c r="AV6" s="1715"/>
      <c r="AW6" s="1715"/>
      <c r="AX6" s="1716"/>
      <c r="AY6" s="677"/>
      <c r="AZ6" s="1332"/>
      <c r="BA6" s="1332"/>
      <c r="BB6" s="1332"/>
      <c r="BC6" s="1332"/>
      <c r="BD6" s="677"/>
      <c r="BE6" s="1332"/>
      <c r="BF6" s="1332"/>
      <c r="BG6" s="1332"/>
      <c r="BH6" s="1332"/>
      <c r="BM6" s="27"/>
      <c r="BN6" s="27"/>
      <c r="BO6" s="27"/>
      <c r="BP6" s="27"/>
      <c r="BQ6" s="27"/>
      <c r="BR6" s="27"/>
      <c r="BW6" s="27"/>
      <c r="BX6" s="27"/>
      <c r="BY6" s="27"/>
      <c r="BZ6" s="27"/>
      <c r="CA6" s="27"/>
      <c r="CB6" s="27"/>
    </row>
    <row r="7" spans="1:80" ht="35.1" customHeight="1" thickBot="1" x14ac:dyDescent="0.3">
      <c r="A7" s="1720"/>
      <c r="B7" s="241">
        <v>2.1335999999999999</v>
      </c>
      <c r="C7" s="242" t="s">
        <v>113</v>
      </c>
      <c r="D7" s="243"/>
      <c r="E7" s="244" t="s">
        <v>114</v>
      </c>
      <c r="F7" s="1720"/>
      <c r="G7" s="241">
        <v>9.9999999999999994E-12</v>
      </c>
      <c r="H7" s="242" t="s">
        <v>113</v>
      </c>
      <c r="I7" s="243"/>
      <c r="J7" s="244" t="s">
        <v>114</v>
      </c>
      <c r="K7" s="1720"/>
      <c r="L7" s="241">
        <v>0.254</v>
      </c>
      <c r="M7" s="242" t="s">
        <v>113</v>
      </c>
      <c r="N7" s="243"/>
      <c r="O7" s="244" t="s">
        <v>114</v>
      </c>
      <c r="P7" s="1720"/>
      <c r="Q7" s="241">
        <v>1.879</v>
      </c>
      <c r="R7" s="242" t="s">
        <v>113</v>
      </c>
      <c r="S7" s="243">
        <v>1</v>
      </c>
      <c r="T7" s="244" t="s">
        <v>114</v>
      </c>
      <c r="U7" s="1755"/>
      <c r="V7" s="241">
        <v>20.242999999999999</v>
      </c>
      <c r="W7" s="242" t="s">
        <v>113</v>
      </c>
      <c r="X7" s="243">
        <v>1</v>
      </c>
      <c r="Y7" s="244" t="s">
        <v>114</v>
      </c>
      <c r="Z7" s="1755"/>
      <c r="AA7" s="241">
        <v>0.20300000000000001</v>
      </c>
      <c r="AB7" s="242" t="s">
        <v>113</v>
      </c>
      <c r="AC7" s="243"/>
      <c r="AD7" s="244" t="s">
        <v>114</v>
      </c>
      <c r="AE7" s="1755"/>
      <c r="AF7" s="241">
        <v>0.4572</v>
      </c>
      <c r="AG7" s="242" t="s">
        <v>113</v>
      </c>
      <c r="AH7" s="243"/>
      <c r="AI7" s="244" t="s">
        <v>114</v>
      </c>
      <c r="AJ7" s="1755"/>
      <c r="AK7" s="241">
        <v>7.8486000000000002</v>
      </c>
      <c r="AL7" s="242" t="s">
        <v>113</v>
      </c>
      <c r="AM7" s="243">
        <v>1</v>
      </c>
      <c r="AN7" s="244" t="s">
        <v>114</v>
      </c>
      <c r="AO7" s="1713"/>
      <c r="AP7" s="241">
        <v>1E-10</v>
      </c>
      <c r="AQ7" s="242" t="s">
        <v>113</v>
      </c>
      <c r="AR7" s="243"/>
      <c r="AS7" s="244" t="s">
        <v>114</v>
      </c>
      <c r="AT7" s="1713"/>
      <c r="AU7" s="241">
        <v>3.1496</v>
      </c>
      <c r="AV7" s="242" t="s">
        <v>113</v>
      </c>
      <c r="AW7" s="243">
        <v>1</v>
      </c>
      <c r="AX7" s="244" t="s">
        <v>114</v>
      </c>
      <c r="AY7" s="677"/>
      <c r="AZ7" s="137"/>
      <c r="BA7" s="33"/>
      <c r="BB7" s="138"/>
      <c r="BC7" s="35"/>
      <c r="BD7" s="677"/>
      <c r="BE7" s="137"/>
      <c r="BF7" s="33"/>
      <c r="BG7" s="138"/>
      <c r="BH7" s="35"/>
      <c r="BM7" s="27"/>
      <c r="BN7" s="27"/>
      <c r="BO7" s="27"/>
      <c r="BP7" s="27"/>
      <c r="BQ7" s="27"/>
      <c r="BR7" s="27"/>
      <c r="BW7" s="27"/>
      <c r="BX7" s="27"/>
      <c r="BY7" s="27"/>
      <c r="BZ7" s="27"/>
      <c r="CA7" s="27"/>
      <c r="CB7" s="27"/>
    </row>
    <row r="8" spans="1:80" ht="30" customHeight="1" thickTop="1" x14ac:dyDescent="0.25">
      <c r="A8" s="1706" t="s">
        <v>556</v>
      </c>
      <c r="B8" s="1746"/>
      <c r="C8" s="1746"/>
      <c r="D8" s="1746"/>
      <c r="E8" s="1746"/>
      <c r="F8" s="1746"/>
      <c r="G8" s="1746"/>
      <c r="H8" s="1746"/>
      <c r="I8" s="1746"/>
      <c r="J8" s="1746"/>
      <c r="K8" s="1746"/>
      <c r="L8" s="1746"/>
      <c r="M8" s="1746"/>
      <c r="N8" s="1746"/>
      <c r="O8" s="1746"/>
      <c r="P8" s="1746"/>
      <c r="Q8" s="1746"/>
      <c r="R8" s="1746"/>
      <c r="S8" s="1746"/>
      <c r="T8" s="1747"/>
      <c r="U8" s="1699" t="s">
        <v>557</v>
      </c>
      <c r="V8" s="1760"/>
      <c r="W8" s="1760"/>
      <c r="X8" s="1760"/>
      <c r="Y8" s="1760"/>
      <c r="Z8" s="1760"/>
      <c r="AA8" s="1760"/>
      <c r="AB8" s="1760"/>
      <c r="AC8" s="1760"/>
      <c r="AD8" s="1760"/>
      <c r="AE8" s="1760"/>
      <c r="AF8" s="1760"/>
      <c r="AG8" s="1760"/>
      <c r="AH8" s="1760"/>
      <c r="AI8" s="1760"/>
      <c r="AJ8" s="1760"/>
      <c r="AK8" s="1760"/>
      <c r="AL8" s="1760"/>
      <c r="AM8" s="1760"/>
      <c r="AN8" s="1760"/>
      <c r="AO8" s="1760"/>
      <c r="AP8" s="1760"/>
      <c r="AQ8" s="1760"/>
      <c r="AR8" s="1760"/>
      <c r="AS8" s="1760"/>
      <c r="AT8" s="1760"/>
      <c r="AU8" s="1760"/>
      <c r="AV8" s="1760"/>
      <c r="AW8" s="1760"/>
      <c r="AX8" s="1761"/>
      <c r="AY8" s="674"/>
      <c r="AZ8" s="674"/>
      <c r="BA8" s="674"/>
      <c r="BB8" s="1300"/>
      <c r="BC8" s="1300"/>
      <c r="BD8" s="674"/>
      <c r="BE8" s="674"/>
      <c r="BF8" s="674"/>
      <c r="BG8" s="1300"/>
      <c r="BH8" s="1300"/>
      <c r="BM8" s="27"/>
      <c r="BN8" s="27"/>
      <c r="BO8" s="27"/>
      <c r="BP8" s="27"/>
      <c r="BQ8" s="27"/>
      <c r="BR8" s="27"/>
      <c r="BW8" s="27"/>
      <c r="BX8" s="27"/>
      <c r="BY8" s="27"/>
      <c r="BZ8" s="27"/>
      <c r="CA8" s="27"/>
      <c r="CB8" s="27"/>
    </row>
    <row r="9" spans="1:80" ht="30" customHeight="1" thickBot="1" x14ac:dyDescent="0.3">
      <c r="A9" s="1748"/>
      <c r="B9" s="1749"/>
      <c r="C9" s="1749"/>
      <c r="D9" s="1749"/>
      <c r="E9" s="1749"/>
      <c r="F9" s="1749"/>
      <c r="G9" s="1749"/>
      <c r="H9" s="1749"/>
      <c r="I9" s="1749"/>
      <c r="J9" s="1749"/>
      <c r="K9" s="1749"/>
      <c r="L9" s="1749"/>
      <c r="M9" s="1749"/>
      <c r="N9" s="1749"/>
      <c r="O9" s="1749"/>
      <c r="P9" s="1749"/>
      <c r="Q9" s="1749"/>
      <c r="R9" s="1749"/>
      <c r="S9" s="1749"/>
      <c r="T9" s="1750"/>
      <c r="U9" s="1762"/>
      <c r="V9" s="1763"/>
      <c r="W9" s="1763"/>
      <c r="X9" s="1763"/>
      <c r="Y9" s="1763"/>
      <c r="Z9" s="1763"/>
      <c r="AA9" s="1763"/>
      <c r="AB9" s="1763"/>
      <c r="AC9" s="1763"/>
      <c r="AD9" s="1763"/>
      <c r="AE9" s="1763"/>
      <c r="AF9" s="1763"/>
      <c r="AG9" s="1763"/>
      <c r="AH9" s="1763"/>
      <c r="AI9" s="1763"/>
      <c r="AJ9" s="1763"/>
      <c r="AK9" s="1763"/>
      <c r="AL9" s="1763"/>
      <c r="AM9" s="1763"/>
      <c r="AN9" s="1763"/>
      <c r="AO9" s="1763"/>
      <c r="AP9" s="1763"/>
      <c r="AQ9" s="1763"/>
      <c r="AR9" s="1763"/>
      <c r="AS9" s="1763"/>
      <c r="AT9" s="1763"/>
      <c r="AU9" s="1763"/>
      <c r="AV9" s="1763"/>
      <c r="AW9" s="1763"/>
      <c r="AX9" s="1764"/>
      <c r="AY9" s="676"/>
      <c r="AZ9" s="676"/>
      <c r="BA9" s="676"/>
      <c r="BB9" s="36"/>
      <c r="BC9" s="36"/>
      <c r="BD9" s="676"/>
      <c r="BE9" s="676"/>
      <c r="BF9" s="676"/>
      <c r="BG9" s="36"/>
      <c r="BH9" s="36"/>
    </row>
    <row r="10" spans="1:80" ht="30" customHeight="1" thickTop="1" x14ac:dyDescent="0.25">
      <c r="A10" s="1371"/>
      <c r="B10" s="1371"/>
      <c r="C10" s="1371"/>
      <c r="D10" s="1371"/>
      <c r="E10" s="1370"/>
      <c r="F10" s="1371"/>
      <c r="G10" s="1371"/>
      <c r="H10" s="1371"/>
      <c r="I10" s="1371"/>
      <c r="J10" s="1370"/>
      <c r="K10" s="1371"/>
      <c r="L10" s="1371"/>
      <c r="M10" s="1371"/>
      <c r="N10" s="1371"/>
      <c r="O10" s="1370"/>
      <c r="P10" s="1371"/>
      <c r="Q10" s="1371"/>
      <c r="R10" s="1371"/>
      <c r="S10" s="1371"/>
      <c r="T10" s="1370"/>
      <c r="U10" s="1371"/>
      <c r="V10" s="1371"/>
      <c r="W10" s="1371"/>
      <c r="X10" s="1371"/>
      <c r="Y10" s="1370"/>
      <c r="Z10" s="1371"/>
      <c r="AA10" s="1371"/>
      <c r="AB10" s="1371"/>
      <c r="AC10" s="1371"/>
      <c r="AD10" s="1370"/>
      <c r="AE10" s="1371"/>
      <c r="AF10" s="1371"/>
      <c r="AG10" s="1371"/>
      <c r="AH10" s="1371"/>
      <c r="AI10" s="1370"/>
      <c r="AJ10" s="1371"/>
      <c r="AK10" s="1371"/>
      <c r="AL10" s="1371"/>
      <c r="AM10" s="1371"/>
      <c r="AN10" s="1370"/>
      <c r="AO10" s="165"/>
      <c r="AP10" s="165"/>
      <c r="AQ10" s="165"/>
      <c r="AR10" s="165"/>
      <c r="AS10" s="165"/>
      <c r="AT10" s="165"/>
      <c r="AU10" s="165"/>
      <c r="AV10" s="165"/>
      <c r="AW10" s="165"/>
      <c r="AX10" s="165"/>
      <c r="AY10" s="676"/>
      <c r="AZ10" s="676"/>
      <c r="BA10" s="676"/>
      <c r="BB10" s="36"/>
      <c r="BC10" s="36"/>
      <c r="BD10" s="676"/>
      <c r="BE10" s="676"/>
      <c r="BF10" s="676"/>
      <c r="BG10" s="36"/>
      <c r="BH10" s="36"/>
    </row>
    <row r="11" spans="1:80" ht="62.25" customHeight="1" thickBot="1" x14ac:dyDescent="0.3">
      <c r="A11" s="32"/>
      <c r="B11" s="33"/>
      <c r="C11" s="34"/>
      <c r="D11" s="35"/>
      <c r="E11" s="1370"/>
      <c r="F11" s="32"/>
      <c r="G11" s="33"/>
      <c r="H11" s="34"/>
      <c r="I11" s="35"/>
      <c r="J11" s="1370"/>
      <c r="K11" s="32"/>
      <c r="L11" s="33"/>
      <c r="M11" s="34"/>
      <c r="N11" s="35"/>
      <c r="O11" s="1370"/>
      <c r="P11" s="32"/>
      <c r="Q11" s="33"/>
      <c r="R11" s="34"/>
      <c r="S11" s="35"/>
      <c r="T11" s="1370"/>
      <c r="U11" s="32"/>
      <c r="V11" s="33"/>
      <c r="W11" s="34"/>
      <c r="X11" s="35"/>
      <c r="Y11" s="1370"/>
      <c r="Z11" s="32"/>
      <c r="AA11" s="33"/>
      <c r="AB11" s="34"/>
      <c r="AC11" s="35"/>
      <c r="AD11" s="1370"/>
      <c r="AE11" s="32"/>
      <c r="AF11" s="33"/>
      <c r="AG11" s="34"/>
      <c r="AH11" s="35"/>
      <c r="AI11" s="1370"/>
      <c r="AJ11" s="32"/>
      <c r="AK11" s="33"/>
      <c r="AL11" s="34"/>
      <c r="AM11" s="35"/>
      <c r="AN11" s="1370"/>
      <c r="AO11" s="165"/>
      <c r="AP11" s="165"/>
      <c r="AQ11" s="165"/>
      <c r="AR11" s="165"/>
      <c r="AS11" s="165"/>
      <c r="AT11" s="165"/>
      <c r="AU11" s="165"/>
      <c r="AV11" s="165"/>
      <c r="AW11" s="165"/>
      <c r="AX11" s="165"/>
      <c r="AY11" s="676"/>
      <c r="AZ11" s="676"/>
      <c r="BA11" s="676"/>
      <c r="BB11" s="36"/>
      <c r="BC11" s="36"/>
      <c r="BD11" s="676"/>
      <c r="BE11" s="676"/>
      <c r="BF11" s="676"/>
      <c r="BG11" s="36"/>
      <c r="BH11" s="36"/>
    </row>
    <row r="12" spans="1:80" ht="30" customHeight="1" thickTop="1" x14ac:dyDescent="0.25">
      <c r="A12" s="1371"/>
      <c r="B12" s="1371"/>
      <c r="C12" s="1371"/>
      <c r="D12" s="1371"/>
      <c r="E12" s="1370"/>
      <c r="F12" s="1371"/>
      <c r="G12" s="1371"/>
      <c r="H12" s="1371"/>
      <c r="I12" s="1371"/>
      <c r="J12" s="1370"/>
      <c r="K12" s="1371"/>
      <c r="L12" s="1371"/>
      <c r="M12" s="1371"/>
      <c r="N12" s="1371"/>
      <c r="O12" s="1370"/>
      <c r="P12" s="1371"/>
      <c r="Q12" s="1371"/>
      <c r="R12" s="1371"/>
      <c r="S12" s="1371"/>
      <c r="T12" s="1370"/>
      <c r="U12" s="1756" t="s">
        <v>250</v>
      </c>
      <c r="V12" s="1757"/>
      <c r="W12" s="1757"/>
      <c r="X12" s="1758">
        <f>V17/((90*3.1415/59)*(45/3.281))</f>
        <v>3.0143555296184298E-2</v>
      </c>
      <c r="Y12" s="1759"/>
      <c r="Z12" s="1756" t="s">
        <v>250</v>
      </c>
      <c r="AA12" s="1757"/>
      <c r="AB12" s="1757"/>
      <c r="AC12" s="1758">
        <f>AA17/((90*3.1415/59)*(45/3.281))</f>
        <v>2.589254108774805E-2</v>
      </c>
      <c r="AD12" s="1759"/>
      <c r="AE12" s="1371"/>
      <c r="AF12" s="1371"/>
      <c r="AG12" s="1371"/>
      <c r="AH12" s="1371"/>
      <c r="AI12" s="1370"/>
      <c r="AJ12" s="1371"/>
      <c r="AK12" s="1371"/>
      <c r="AL12" s="1371"/>
      <c r="AM12" s="1371"/>
      <c r="AN12" s="1370"/>
      <c r="AO12" s="165"/>
      <c r="AP12" s="165"/>
      <c r="AQ12" s="165"/>
      <c r="AR12" s="165"/>
      <c r="AS12" s="165"/>
      <c r="AT12" s="165"/>
      <c r="AU12" s="165"/>
      <c r="AV12" s="165"/>
      <c r="AW12" s="165"/>
      <c r="AX12" s="165"/>
      <c r="AY12" s="677"/>
      <c r="AZ12" s="1332"/>
      <c r="BA12" s="1332"/>
      <c r="BB12" s="1332"/>
      <c r="BC12" s="1332"/>
      <c r="BD12" s="677"/>
      <c r="BE12" s="1332"/>
      <c r="BF12" s="1332"/>
      <c r="BG12" s="1332"/>
      <c r="BH12" s="1332"/>
      <c r="BM12" s="51"/>
      <c r="BN12" s="51"/>
      <c r="BO12" s="51"/>
      <c r="BP12" s="51"/>
      <c r="BQ12" s="51"/>
      <c r="BR12" s="51"/>
      <c r="BW12" s="27"/>
      <c r="BX12" s="27"/>
      <c r="BY12" s="27"/>
      <c r="BZ12" s="27"/>
      <c r="CA12" s="27"/>
      <c r="CB12" s="27"/>
    </row>
    <row r="13" spans="1:80" ht="15" customHeight="1" x14ac:dyDescent="0.25">
      <c r="A13" s="32"/>
      <c r="B13" s="33"/>
      <c r="C13" s="34"/>
      <c r="D13" s="35"/>
      <c r="E13" s="1370"/>
      <c r="F13" s="32"/>
      <c r="G13" s="33"/>
      <c r="H13" s="34"/>
      <c r="I13" s="35"/>
      <c r="J13" s="1370"/>
      <c r="K13" s="32"/>
      <c r="L13" s="33"/>
      <c r="M13" s="34"/>
      <c r="N13" s="35"/>
      <c r="O13" s="1370"/>
      <c r="P13" s="32"/>
      <c r="Q13" s="33"/>
      <c r="R13" s="34"/>
      <c r="S13" s="35"/>
      <c r="T13" s="1370"/>
      <c r="U13" s="1680" t="s">
        <v>545</v>
      </c>
      <c r="V13" s="1681"/>
      <c r="W13" s="1681"/>
      <c r="X13" s="1681"/>
      <c r="Y13" s="1682"/>
      <c r="Z13" s="1723" t="s">
        <v>488</v>
      </c>
      <c r="AA13" s="1724"/>
      <c r="AB13" s="1724"/>
      <c r="AC13" s="1724"/>
      <c r="AD13" s="1725"/>
      <c r="AE13" s="32"/>
      <c r="AF13" s="33"/>
      <c r="AG13" s="34"/>
      <c r="AH13" s="35"/>
      <c r="AI13" s="1370"/>
      <c r="AJ13" s="32"/>
      <c r="AK13" s="33"/>
      <c r="AL13" s="34"/>
      <c r="AM13" s="35"/>
      <c r="AN13" s="1370"/>
      <c r="AO13" s="165"/>
      <c r="AP13" s="165"/>
      <c r="AQ13" s="165"/>
      <c r="AR13" s="165"/>
      <c r="AS13" s="165"/>
      <c r="AT13" s="47"/>
      <c r="AU13" s="47"/>
      <c r="AV13" s="47"/>
      <c r="AW13" s="47"/>
      <c r="AX13" s="47"/>
      <c r="AY13" s="677"/>
      <c r="AZ13" s="137"/>
      <c r="BA13" s="33"/>
      <c r="BB13" s="138"/>
      <c r="BC13" s="35"/>
      <c r="BD13" s="677"/>
      <c r="BE13" s="137"/>
      <c r="BF13" s="33"/>
      <c r="BG13" s="138"/>
      <c r="BH13" s="35"/>
      <c r="BM13" s="51"/>
      <c r="BN13" s="51"/>
      <c r="BO13" s="51"/>
      <c r="BP13" s="51"/>
      <c r="BQ13" s="51"/>
      <c r="BR13" s="51"/>
      <c r="BW13" s="27"/>
      <c r="BX13" s="27"/>
      <c r="BY13" s="27"/>
      <c r="BZ13" s="27"/>
      <c r="CA13" s="27"/>
      <c r="CB13" s="27"/>
    </row>
    <row r="14" spans="1:80" ht="2.25" customHeight="1" x14ac:dyDescent="0.25">
      <c r="A14" s="674"/>
      <c r="B14" s="674"/>
      <c r="C14" s="674"/>
      <c r="D14" s="1776"/>
      <c r="E14" s="1776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1683"/>
      <c r="V14" s="1684"/>
      <c r="W14" s="1684"/>
      <c r="X14" s="1684"/>
      <c r="Y14" s="1685"/>
      <c r="Z14" s="1726"/>
      <c r="AA14" s="1727"/>
      <c r="AB14" s="1727"/>
      <c r="AC14" s="1727"/>
      <c r="AD14" s="1728"/>
      <c r="AE14" s="44"/>
      <c r="AF14" s="44"/>
      <c r="AG14" s="44"/>
      <c r="AH14" s="69"/>
      <c r="AI14" s="69"/>
      <c r="AJ14" s="44"/>
      <c r="AK14" s="44"/>
      <c r="AL14" s="44"/>
      <c r="AM14" s="69"/>
      <c r="AN14" s="69"/>
      <c r="AO14" s="674"/>
      <c r="AP14" s="674"/>
      <c r="AQ14" s="674"/>
      <c r="AR14" s="1300"/>
      <c r="AS14" s="1300"/>
      <c r="AT14" s="47"/>
      <c r="AU14" s="47"/>
      <c r="AV14" s="47"/>
      <c r="AW14" s="47"/>
      <c r="AX14" s="47"/>
      <c r="AY14" s="674"/>
      <c r="AZ14" s="674"/>
      <c r="BA14" s="674"/>
      <c r="BB14" s="1300"/>
      <c r="BC14" s="1300"/>
      <c r="BD14" s="674"/>
      <c r="BE14" s="674"/>
      <c r="BF14" s="674"/>
      <c r="BG14" s="1300"/>
      <c r="BH14" s="1300"/>
      <c r="BM14" s="51"/>
      <c r="BN14" s="51"/>
      <c r="BO14" s="51"/>
      <c r="BP14" s="51"/>
      <c r="BQ14" s="51"/>
      <c r="BR14" s="51"/>
      <c r="BW14" s="27"/>
      <c r="BX14" s="27"/>
      <c r="BY14" s="27"/>
      <c r="BZ14" s="27"/>
      <c r="CA14" s="27"/>
      <c r="CB14" s="27"/>
    </row>
    <row r="15" spans="1:80" ht="13.5" customHeight="1" x14ac:dyDescent="0.25">
      <c r="A15" s="1751"/>
      <c r="B15" s="1751"/>
      <c r="C15" s="1751"/>
      <c r="D15" s="1751"/>
      <c r="E15" s="1751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1686"/>
      <c r="V15" s="1687"/>
      <c r="W15" s="1687"/>
      <c r="X15" s="1687"/>
      <c r="Y15" s="1688"/>
      <c r="Z15" s="1729"/>
      <c r="AA15" s="1730"/>
      <c r="AB15" s="1730"/>
      <c r="AC15" s="1730"/>
      <c r="AD15" s="1731"/>
      <c r="AE15" s="47"/>
      <c r="AF15" s="47"/>
      <c r="AG15" s="47"/>
      <c r="AH15" s="36"/>
      <c r="AI15" s="36"/>
      <c r="AJ15" s="47"/>
      <c r="AK15" s="47"/>
      <c r="AL15" s="47"/>
      <c r="AM15" s="36"/>
      <c r="AN15" s="36"/>
      <c r="AO15" s="676"/>
      <c r="AP15" s="676"/>
      <c r="AQ15" s="676"/>
      <c r="AR15" s="36"/>
      <c r="AS15" s="36"/>
      <c r="AT15" s="47"/>
      <c r="AU15" s="47"/>
      <c r="AV15" s="47"/>
      <c r="AW15" s="47"/>
      <c r="AX15" s="47"/>
      <c r="AY15" s="676"/>
      <c r="AZ15" s="676"/>
      <c r="BA15" s="676"/>
      <c r="BB15" s="36"/>
      <c r="BC15" s="36"/>
      <c r="BD15" s="676"/>
      <c r="BE15" s="676"/>
      <c r="BF15" s="676"/>
      <c r="BG15" s="36"/>
      <c r="BH15" s="36"/>
    </row>
    <row r="16" spans="1:80" ht="77.25" x14ac:dyDescent="0.25">
      <c r="A16" s="1751"/>
      <c r="B16" s="1751"/>
      <c r="C16" s="1751"/>
      <c r="D16" s="1751"/>
      <c r="E16" s="1751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1769" t="s">
        <v>479</v>
      </c>
      <c r="V16" s="1714">
        <v>11</v>
      </c>
      <c r="W16" s="1715"/>
      <c r="X16" s="1715"/>
      <c r="Y16" s="1716"/>
      <c r="Z16" s="1769" t="s">
        <v>479</v>
      </c>
      <c r="AA16" s="1714">
        <v>12</v>
      </c>
      <c r="AB16" s="1715"/>
      <c r="AC16" s="1715"/>
      <c r="AD16" s="1716"/>
      <c r="AE16" s="47"/>
      <c r="AF16" s="47"/>
      <c r="AG16" s="47"/>
      <c r="AH16" s="140"/>
      <c r="AI16" s="36"/>
      <c r="AJ16" s="47"/>
      <c r="AK16" s="47" t="s">
        <v>16</v>
      </c>
      <c r="AL16" s="47"/>
      <c r="AM16" s="140"/>
      <c r="AN16" s="36"/>
      <c r="AO16" s="676"/>
      <c r="AP16" s="676"/>
      <c r="AQ16" s="676"/>
      <c r="AR16" s="140"/>
      <c r="AS16" s="36"/>
      <c r="AT16" s="47"/>
      <c r="AU16" s="47"/>
      <c r="AV16" s="47"/>
      <c r="AW16" s="47"/>
      <c r="AX16" s="47"/>
      <c r="AY16" s="676"/>
      <c r="AZ16" s="676"/>
      <c r="BA16" s="676"/>
      <c r="BB16" s="36"/>
      <c r="BC16" s="36"/>
      <c r="BD16" s="676"/>
      <c r="BE16" s="676"/>
      <c r="BF16" s="676"/>
      <c r="BG16" s="36"/>
      <c r="BH16" s="36"/>
    </row>
    <row r="17" spans="1:80" ht="42" customHeight="1" thickBot="1" x14ac:dyDescent="0.3">
      <c r="A17" s="1751"/>
      <c r="B17" s="1751"/>
      <c r="C17" s="1751"/>
      <c r="D17" s="1751"/>
      <c r="E17" s="1751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1770"/>
      <c r="V17" s="241">
        <v>1.9812000000000001</v>
      </c>
      <c r="W17" s="242" t="s">
        <v>113</v>
      </c>
      <c r="X17" s="243"/>
      <c r="Y17" s="244" t="s">
        <v>114</v>
      </c>
      <c r="Z17" s="1770"/>
      <c r="AA17" s="241">
        <v>1.7018</v>
      </c>
      <c r="AB17" s="242" t="s">
        <v>113</v>
      </c>
      <c r="AC17" s="243">
        <v>1</v>
      </c>
      <c r="AD17" s="244" t="s">
        <v>114</v>
      </c>
      <c r="AE17" s="47"/>
      <c r="AF17" s="47"/>
      <c r="AG17" s="47"/>
      <c r="AH17" s="36"/>
      <c r="AI17" s="36"/>
      <c r="AJ17" s="47"/>
      <c r="AK17" s="47"/>
      <c r="AL17" s="47"/>
      <c r="AM17" s="36"/>
      <c r="AN17" s="36"/>
      <c r="AO17" s="676"/>
      <c r="AP17" s="676"/>
      <c r="AQ17" s="676"/>
      <c r="AR17" s="36"/>
      <c r="AS17" s="36"/>
      <c r="AT17" s="47"/>
      <c r="AU17" s="47"/>
      <c r="AV17" s="47"/>
      <c r="AW17" s="47"/>
      <c r="AX17" s="47"/>
      <c r="AY17" s="676"/>
      <c r="AZ17" s="676"/>
      <c r="BA17" s="676"/>
      <c r="BB17" s="36"/>
      <c r="BC17" s="36"/>
      <c r="BD17" s="676"/>
      <c r="BE17" s="676"/>
      <c r="BF17" s="676"/>
      <c r="BG17" s="36"/>
      <c r="BH17" s="36"/>
    </row>
    <row r="18" spans="1:80" ht="48.75" customHeight="1" thickTop="1" thickBot="1" x14ac:dyDescent="0.3">
      <c r="A18" s="1771"/>
      <c r="B18" s="1772"/>
      <c r="C18" s="1772"/>
      <c r="D18" s="1772"/>
      <c r="E18" s="1772"/>
      <c r="F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U18" s="1773" t="s">
        <v>554</v>
      </c>
      <c r="V18" s="1774"/>
      <c r="W18" s="1774"/>
      <c r="X18" s="1774"/>
      <c r="Y18" s="1774"/>
      <c r="Z18" s="1774"/>
      <c r="AA18" s="1774"/>
      <c r="AB18" s="1774"/>
      <c r="AC18" s="1774"/>
      <c r="AD18" s="1775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47"/>
      <c r="AU18" s="47"/>
      <c r="AV18" s="47"/>
      <c r="AW18" s="47"/>
      <c r="AX18" s="47"/>
      <c r="AY18" s="677"/>
      <c r="AZ18" s="1332"/>
      <c r="BA18" s="1332"/>
      <c r="BB18" s="1332"/>
      <c r="BC18" s="1332"/>
      <c r="BD18" s="677"/>
      <c r="BE18" s="1332" t="s">
        <v>16</v>
      </c>
      <c r="BF18" s="1332"/>
      <c r="BG18" s="1332"/>
      <c r="BH18" s="1332"/>
      <c r="BM18" s="51"/>
      <c r="BN18" s="51"/>
      <c r="BO18" s="51"/>
      <c r="BP18" s="51"/>
      <c r="BQ18" s="51"/>
      <c r="BR18" s="51"/>
      <c r="BW18" s="27"/>
      <c r="BX18" s="27"/>
      <c r="BY18" s="27"/>
      <c r="BZ18" s="27"/>
      <c r="CA18" s="27"/>
      <c r="CB18" s="27"/>
    </row>
    <row r="19" spans="1:80" ht="26.25" hidden="1" x14ac:dyDescent="0.25">
      <c r="A19" s="1771"/>
      <c r="B19" s="405"/>
      <c r="C19" s="406"/>
      <c r="D19" s="407"/>
      <c r="E19" s="408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148"/>
      <c r="AU19" s="148"/>
      <c r="AV19" s="148"/>
      <c r="AW19" s="148"/>
      <c r="AX19" s="148"/>
      <c r="AY19" s="677"/>
      <c r="AZ19" s="137"/>
      <c r="BA19" s="33"/>
      <c r="BB19" s="138"/>
      <c r="BC19" s="35"/>
      <c r="BD19" s="677"/>
      <c r="BE19" s="137"/>
      <c r="BF19" s="33"/>
      <c r="BG19" s="138"/>
      <c r="BH19" s="35"/>
      <c r="BM19" s="51"/>
      <c r="BN19" s="51"/>
      <c r="BO19" s="51"/>
      <c r="BP19" s="51"/>
      <c r="BQ19" s="51"/>
      <c r="BR19" s="51"/>
      <c r="BW19" s="27"/>
      <c r="BX19" s="27"/>
      <c r="BY19" s="27"/>
      <c r="BZ19" s="27"/>
      <c r="CA19" s="27"/>
      <c r="CB19" s="27"/>
    </row>
    <row r="20" spans="1:80" ht="27" hidden="1" thickTop="1" x14ac:dyDescent="0.25">
      <c r="A20" s="1396"/>
      <c r="B20" s="1396"/>
      <c r="C20" s="1396"/>
      <c r="D20" s="1397"/>
      <c r="E20" s="1397"/>
      <c r="F20" s="674"/>
      <c r="G20" s="674"/>
      <c r="H20" s="674"/>
      <c r="I20" s="1300"/>
      <c r="J20" s="1300"/>
      <c r="K20" s="44"/>
      <c r="L20" s="44"/>
      <c r="M20" s="44"/>
      <c r="N20" s="69"/>
      <c r="O20" s="69"/>
      <c r="P20" s="44"/>
      <c r="Q20" s="44"/>
      <c r="R20" s="44"/>
      <c r="S20" s="69"/>
      <c r="T20" s="69"/>
      <c r="U20" s="44"/>
      <c r="V20" s="44"/>
      <c r="W20" s="44"/>
      <c r="X20" s="69"/>
      <c r="Y20" s="69"/>
      <c r="Z20" s="44"/>
      <c r="AA20" s="44"/>
      <c r="AB20" s="44"/>
      <c r="AC20" s="69"/>
      <c r="AD20" s="69"/>
      <c r="AE20" s="44"/>
      <c r="AF20" s="44"/>
      <c r="AG20" s="44"/>
      <c r="AH20" s="69"/>
      <c r="AI20" s="69"/>
      <c r="AJ20" s="44"/>
      <c r="AK20" s="44"/>
      <c r="AL20" s="44"/>
      <c r="AM20" s="69"/>
      <c r="AN20" s="69"/>
      <c r="AO20" s="674"/>
      <c r="AP20" s="674"/>
      <c r="AQ20" s="674"/>
      <c r="AR20" s="1300"/>
      <c r="AS20" s="1300"/>
      <c r="AT20" s="1389"/>
      <c r="AU20" s="1389"/>
      <c r="AV20" s="1389"/>
      <c r="AW20" s="1390"/>
      <c r="AX20" s="1390"/>
      <c r="AY20" s="674"/>
      <c r="AZ20" s="674"/>
      <c r="BA20" s="674"/>
      <c r="BB20" s="1300"/>
      <c r="BC20" s="1300"/>
      <c r="BD20" s="674"/>
      <c r="BE20" s="674"/>
      <c r="BF20" s="674"/>
      <c r="BG20" s="1300"/>
      <c r="BH20" s="1300"/>
      <c r="BM20" s="51"/>
      <c r="BN20" s="51"/>
      <c r="BO20" s="51"/>
      <c r="BP20" s="51"/>
      <c r="BQ20" s="51"/>
      <c r="BR20" s="51"/>
      <c r="BW20" s="27"/>
      <c r="BX20" s="27"/>
      <c r="BY20" s="27"/>
      <c r="BZ20" s="27"/>
      <c r="CA20" s="27"/>
      <c r="CB20" s="27"/>
    </row>
    <row r="21" spans="1:80" ht="21" hidden="1" x14ac:dyDescent="0.25">
      <c r="A21" s="1395"/>
      <c r="B21" s="1395"/>
      <c r="C21" s="1395"/>
      <c r="D21" s="149"/>
      <c r="E21" s="149"/>
      <c r="F21" s="676"/>
      <c r="G21" s="676"/>
      <c r="H21" s="676"/>
      <c r="I21" s="36"/>
      <c r="J21" s="36"/>
      <c r="K21" s="47"/>
      <c r="L21" s="47"/>
      <c r="M21" s="47"/>
      <c r="N21" s="36"/>
      <c r="O21" s="36"/>
      <c r="P21" s="47"/>
      <c r="Q21" s="47"/>
      <c r="R21" s="47"/>
      <c r="S21" s="36"/>
      <c r="T21" s="36"/>
      <c r="U21" s="47"/>
      <c r="V21" s="47"/>
      <c r="W21" s="47"/>
      <c r="X21" s="36"/>
      <c r="Y21" s="36"/>
      <c r="Z21" s="47"/>
      <c r="AA21" s="47"/>
      <c r="AB21" s="47"/>
      <c r="AC21" s="36"/>
      <c r="AD21" s="36"/>
      <c r="AE21" s="47"/>
      <c r="AF21" s="47"/>
      <c r="AG21" s="47"/>
      <c r="AH21" s="36"/>
      <c r="AI21" s="36"/>
      <c r="AJ21" s="47"/>
      <c r="AK21" s="47"/>
      <c r="AL21" s="47"/>
      <c r="AM21" s="36"/>
      <c r="AN21" s="36"/>
      <c r="AO21" s="676"/>
      <c r="AP21" s="676"/>
      <c r="AQ21" s="676"/>
      <c r="AR21" s="36"/>
      <c r="AS21" s="36"/>
      <c r="AT21" s="1388"/>
      <c r="AU21" s="1388"/>
      <c r="AV21" s="1388"/>
      <c r="AW21" s="139"/>
      <c r="AX21" s="139"/>
      <c r="AY21" s="676"/>
      <c r="AZ21" s="676"/>
      <c r="BA21" s="676"/>
      <c r="BB21" s="36"/>
      <c r="BC21" s="36"/>
      <c r="BD21" s="676"/>
      <c r="BE21" s="676"/>
      <c r="BF21" s="676"/>
      <c r="BG21" s="36"/>
      <c r="BH21" s="36"/>
    </row>
    <row r="22" spans="1:80" ht="36" hidden="1" x14ac:dyDescent="0.25">
      <c r="A22" s="1395"/>
      <c r="B22" s="1395"/>
      <c r="C22" s="1395"/>
      <c r="D22" s="150"/>
      <c r="E22" s="149"/>
      <c r="F22" s="676"/>
      <c r="G22" s="676"/>
      <c r="H22" s="676"/>
      <c r="I22" s="140"/>
      <c r="J22" s="36"/>
      <c r="K22" s="47"/>
      <c r="L22" s="47"/>
      <c r="M22" s="47"/>
      <c r="N22" s="140"/>
      <c r="O22" s="36"/>
      <c r="P22" s="47"/>
      <c r="Q22" s="47"/>
      <c r="R22" s="47"/>
      <c r="S22" s="140"/>
      <c r="T22" s="36"/>
      <c r="U22" s="47"/>
      <c r="V22" s="47"/>
      <c r="W22" s="47"/>
      <c r="X22" s="140"/>
      <c r="Y22" s="36"/>
      <c r="Z22" s="47"/>
      <c r="AA22" s="47"/>
      <c r="AB22" s="47"/>
      <c r="AC22" s="140"/>
      <c r="AD22" s="36"/>
      <c r="AE22" s="47"/>
      <c r="AF22" s="47"/>
      <c r="AG22" s="47"/>
      <c r="AH22" s="140"/>
      <c r="AI22" s="36"/>
      <c r="AJ22" s="47"/>
      <c r="AK22" s="47"/>
      <c r="AL22" s="47"/>
      <c r="AM22" s="140"/>
      <c r="AN22" s="36"/>
      <c r="AO22" s="676"/>
      <c r="AP22" s="676"/>
      <c r="AQ22" s="676"/>
      <c r="AR22" s="140"/>
      <c r="AS22" s="36"/>
      <c r="AT22" s="1388"/>
      <c r="AU22" s="1388"/>
      <c r="AV22" s="1388"/>
      <c r="AW22" s="141"/>
      <c r="AX22" s="139"/>
      <c r="AY22" s="676"/>
      <c r="AZ22" s="676"/>
      <c r="BA22" s="676"/>
      <c r="BB22" s="36"/>
      <c r="BC22" s="36"/>
      <c r="BD22" s="676"/>
      <c r="BE22" s="676"/>
      <c r="BF22" s="676"/>
      <c r="BG22" s="36"/>
      <c r="BH22" s="36"/>
    </row>
    <row r="23" spans="1:80" ht="21" hidden="1" x14ac:dyDescent="0.25">
      <c r="A23" s="1395"/>
      <c r="B23" s="1395"/>
      <c r="C23" s="1395"/>
      <c r="D23" s="149"/>
      <c r="E23" s="149"/>
      <c r="F23" s="676"/>
      <c r="G23" s="676"/>
      <c r="H23" s="676"/>
      <c r="I23" s="36"/>
      <c r="J23" s="36"/>
      <c r="K23" s="47"/>
      <c r="L23" s="47"/>
      <c r="M23" s="47"/>
      <c r="N23" s="36"/>
      <c r="O23" s="36"/>
      <c r="P23" s="47"/>
      <c r="Q23" s="47"/>
      <c r="R23" s="47"/>
      <c r="S23" s="36"/>
      <c r="T23" s="36"/>
      <c r="U23" s="47"/>
      <c r="V23" s="47"/>
      <c r="W23" s="47"/>
      <c r="X23" s="36"/>
      <c r="Y23" s="36"/>
      <c r="Z23" s="47"/>
      <c r="AA23" s="47"/>
      <c r="AB23" s="47"/>
      <c r="AC23" s="36"/>
      <c r="AD23" s="36"/>
      <c r="AE23" s="47"/>
      <c r="AF23" s="47"/>
      <c r="AG23" s="47"/>
      <c r="AH23" s="36"/>
      <c r="AI23" s="36"/>
      <c r="AJ23" s="47"/>
      <c r="AK23" s="47"/>
      <c r="AL23" s="47"/>
      <c r="AM23" s="36"/>
      <c r="AN23" s="36"/>
      <c r="AO23" s="676"/>
      <c r="AP23" s="676"/>
      <c r="AQ23" s="676"/>
      <c r="AR23" s="36"/>
      <c r="AS23" s="36"/>
      <c r="AT23" s="1388"/>
      <c r="AU23" s="1388"/>
      <c r="AV23" s="1388"/>
      <c r="AW23" s="139"/>
      <c r="AX23" s="139"/>
      <c r="AY23" s="676"/>
      <c r="AZ23" s="676"/>
      <c r="BA23" s="676"/>
      <c r="BB23" s="36"/>
      <c r="BC23" s="36"/>
      <c r="BD23" s="676"/>
      <c r="BE23" s="676"/>
      <c r="BF23" s="676"/>
      <c r="BG23" s="36"/>
      <c r="BH23" s="36"/>
    </row>
    <row r="24" spans="1:80" ht="77.25" hidden="1" x14ac:dyDescent="0.25">
      <c r="A24" s="1398"/>
      <c r="B24" s="1399"/>
      <c r="C24" s="1399"/>
      <c r="D24" s="1399"/>
      <c r="E24" s="1399"/>
      <c r="F24" s="1370"/>
      <c r="G24" s="1371"/>
      <c r="H24" s="1371"/>
      <c r="I24" s="1371"/>
      <c r="J24" s="1371"/>
      <c r="K24" s="230"/>
      <c r="L24" s="142"/>
      <c r="M24" s="142"/>
      <c r="N24" s="142"/>
      <c r="O24" s="142"/>
      <c r="P24" s="230"/>
      <c r="Q24" s="142"/>
      <c r="R24" s="142"/>
      <c r="S24" s="142"/>
      <c r="T24" s="142"/>
      <c r="U24" s="230"/>
      <c r="V24" s="142"/>
      <c r="W24" s="142"/>
      <c r="X24" s="142"/>
      <c r="Y24" s="142"/>
      <c r="Z24" s="230"/>
      <c r="AA24" s="142"/>
      <c r="AB24" s="142"/>
      <c r="AC24" s="142"/>
      <c r="AD24" s="142"/>
      <c r="AE24" s="230"/>
      <c r="AF24" s="142"/>
      <c r="AG24" s="142"/>
      <c r="AH24" s="142"/>
      <c r="AI24" s="142"/>
      <c r="AJ24" s="230"/>
      <c r="AK24" s="142"/>
      <c r="AL24" s="142"/>
      <c r="AM24" s="142"/>
      <c r="AN24" s="142"/>
      <c r="AO24" s="1370"/>
      <c r="AP24" s="1371"/>
      <c r="AQ24" s="1371"/>
      <c r="AR24" s="1371"/>
      <c r="AS24" s="1371"/>
      <c r="AT24" s="1439"/>
      <c r="AU24" s="1440"/>
      <c r="AV24" s="1440"/>
      <c r="AW24" s="1440"/>
      <c r="AX24" s="1440"/>
      <c r="AY24" s="677"/>
      <c r="AZ24" s="1332"/>
      <c r="BA24" s="1332"/>
      <c r="BB24" s="1332"/>
      <c r="BC24" s="1332"/>
      <c r="BD24" s="677"/>
      <c r="BE24" s="1332"/>
      <c r="BF24" s="1332"/>
      <c r="BG24" s="1332"/>
      <c r="BH24" s="1332"/>
      <c r="BM24" s="51"/>
      <c r="BN24" s="51"/>
      <c r="BO24" s="51"/>
      <c r="BP24" s="51"/>
      <c r="BQ24" s="51"/>
      <c r="BR24" s="51"/>
      <c r="BW24" s="27"/>
      <c r="BX24" s="27"/>
      <c r="BY24" s="27"/>
      <c r="BZ24" s="27"/>
      <c r="CA24" s="27"/>
      <c r="CB24" s="27"/>
    </row>
    <row r="25" spans="1:80" ht="26.25" hidden="1" x14ac:dyDescent="0.25">
      <c r="A25" s="1398"/>
      <c r="B25" s="151"/>
      <c r="C25" s="152"/>
      <c r="D25" s="153"/>
      <c r="E25" s="154"/>
      <c r="F25" s="1370"/>
      <c r="G25" s="32"/>
      <c r="H25" s="33"/>
      <c r="I25" s="34"/>
      <c r="J25" s="35"/>
      <c r="K25" s="230"/>
      <c r="L25" s="32"/>
      <c r="M25" s="33"/>
      <c r="N25" s="34"/>
      <c r="O25" s="35"/>
      <c r="P25" s="230"/>
      <c r="Q25" s="32"/>
      <c r="R25" s="33"/>
      <c r="S25" s="34"/>
      <c r="T25" s="35"/>
      <c r="U25" s="230"/>
      <c r="V25" s="32"/>
      <c r="W25" s="33"/>
      <c r="X25" s="34"/>
      <c r="Y25" s="35"/>
      <c r="Z25" s="230"/>
      <c r="AA25" s="32"/>
      <c r="AB25" s="33"/>
      <c r="AC25" s="34"/>
      <c r="AD25" s="35"/>
      <c r="AE25" s="230"/>
      <c r="AF25" s="32"/>
      <c r="AG25" s="33"/>
      <c r="AH25" s="34"/>
      <c r="AI25" s="35"/>
      <c r="AJ25" s="230"/>
      <c r="AK25" s="32"/>
      <c r="AL25" s="33"/>
      <c r="AM25" s="34"/>
      <c r="AN25" s="35"/>
      <c r="AO25" s="1370"/>
      <c r="AP25" s="32"/>
      <c r="AQ25" s="33"/>
      <c r="AR25" s="34"/>
      <c r="AS25" s="35"/>
      <c r="AT25" s="1439"/>
      <c r="AU25" s="155"/>
      <c r="AV25" s="148"/>
      <c r="AW25" s="156"/>
      <c r="AX25" s="157"/>
      <c r="AY25" s="677"/>
      <c r="AZ25" s="137"/>
      <c r="BA25" s="33"/>
      <c r="BB25" s="138"/>
      <c r="BC25" s="35"/>
      <c r="BD25" s="677"/>
      <c r="BE25" s="137"/>
      <c r="BF25" s="33"/>
      <c r="BG25" s="138"/>
      <c r="BH25" s="35"/>
      <c r="BM25" s="51"/>
      <c r="BN25" s="51"/>
      <c r="BO25" s="51"/>
      <c r="BP25" s="51"/>
      <c r="BQ25" s="51"/>
      <c r="BR25" s="51"/>
      <c r="BW25" s="27"/>
      <c r="BX25" s="27"/>
      <c r="BY25" s="27"/>
      <c r="BZ25" s="27"/>
      <c r="CA25" s="27"/>
      <c r="CB25" s="27"/>
    </row>
    <row r="26" spans="1:80" ht="26.25" hidden="1" x14ac:dyDescent="0.25">
      <c r="A26" s="1396"/>
      <c r="B26" s="1396"/>
      <c r="C26" s="1396"/>
      <c r="D26" s="1397"/>
      <c r="E26" s="1397"/>
      <c r="F26" s="674"/>
      <c r="G26" s="674"/>
      <c r="H26" s="674"/>
      <c r="I26" s="1300"/>
      <c r="J26" s="1300"/>
      <c r="K26" s="44"/>
      <c r="L26" s="44"/>
      <c r="M26" s="44"/>
      <c r="N26" s="69"/>
      <c r="O26" s="69"/>
      <c r="P26" s="44"/>
      <c r="Q26" s="44"/>
      <c r="R26" s="44"/>
      <c r="S26" s="69"/>
      <c r="T26" s="69"/>
      <c r="U26" s="44"/>
      <c r="V26" s="44"/>
      <c r="W26" s="44"/>
      <c r="X26" s="69"/>
      <c r="Y26" s="69"/>
      <c r="Z26" s="44"/>
      <c r="AA26" s="44"/>
      <c r="AB26" s="44"/>
      <c r="AC26" s="69"/>
      <c r="AD26" s="69"/>
      <c r="AE26" s="44"/>
      <c r="AF26" s="44"/>
      <c r="AG26" s="44"/>
      <c r="AH26" s="69"/>
      <c r="AI26" s="69"/>
      <c r="AJ26" s="44"/>
      <c r="AK26" s="44"/>
      <c r="AP26" s="44"/>
      <c r="AQ26" s="44"/>
      <c r="AT26" s="1389"/>
      <c r="AU26" s="1389"/>
      <c r="AV26" s="1389"/>
      <c r="AW26" s="1390"/>
      <c r="AX26" s="1390"/>
      <c r="AY26" s="674"/>
      <c r="AZ26" s="674"/>
      <c r="BA26" s="674"/>
      <c r="BB26" s="1300"/>
      <c r="BC26" s="1300"/>
      <c r="BD26" s="674"/>
      <c r="BE26" s="674"/>
      <c r="BF26" s="674"/>
      <c r="BG26" s="1300"/>
      <c r="BH26" s="1300"/>
      <c r="BM26" s="51"/>
      <c r="BN26" s="51"/>
      <c r="BO26" s="51"/>
      <c r="BP26" s="51"/>
      <c r="BQ26" s="51"/>
      <c r="BR26" s="51"/>
      <c r="BW26" s="27"/>
      <c r="BX26" s="27"/>
      <c r="BY26" s="27"/>
      <c r="BZ26" s="27"/>
      <c r="CA26" s="27"/>
      <c r="CB26" s="27"/>
    </row>
    <row r="27" spans="1:80" ht="21" hidden="1" x14ac:dyDescent="0.25">
      <c r="A27" s="1395"/>
      <c r="B27" s="1395"/>
      <c r="C27" s="1395"/>
      <c r="D27" s="149"/>
      <c r="E27" s="149"/>
      <c r="F27" s="676"/>
      <c r="G27" s="676"/>
      <c r="H27" s="676"/>
      <c r="I27" s="36"/>
      <c r="J27" s="36"/>
      <c r="K27" s="47"/>
      <c r="L27" s="47"/>
      <c r="M27" s="47"/>
      <c r="N27" s="36"/>
      <c r="O27" s="36"/>
      <c r="P27" s="47"/>
      <c r="Q27" s="47"/>
      <c r="R27" s="47"/>
      <c r="S27" s="36"/>
      <c r="T27" s="36"/>
      <c r="U27" s="47"/>
      <c r="V27" s="47"/>
      <c r="W27" s="47"/>
      <c r="X27" s="36"/>
      <c r="Y27" s="36"/>
      <c r="Z27" s="47"/>
      <c r="AA27" s="47"/>
      <c r="AB27" s="47"/>
      <c r="AC27" s="36"/>
      <c r="AD27" s="36"/>
      <c r="AE27" s="47"/>
      <c r="AF27" s="47"/>
      <c r="AG27" s="47"/>
      <c r="AH27" s="36"/>
      <c r="AI27" s="36"/>
      <c r="AJ27" s="47"/>
      <c r="AK27" s="47"/>
      <c r="AP27" s="47"/>
      <c r="AQ27" s="47"/>
      <c r="AT27" s="1388"/>
      <c r="AU27" s="1388"/>
      <c r="AV27" s="1388"/>
      <c r="AW27" s="139"/>
      <c r="AX27" s="139"/>
      <c r="AY27" s="676"/>
      <c r="AZ27" s="676"/>
      <c r="BA27" s="676"/>
      <c r="BB27" s="36"/>
      <c r="BC27" s="36"/>
      <c r="BD27" s="676"/>
      <c r="BE27" s="676"/>
      <c r="BF27" s="676"/>
      <c r="BG27" s="36"/>
      <c r="BH27" s="36"/>
    </row>
    <row r="28" spans="1:80" ht="36" hidden="1" x14ac:dyDescent="0.25">
      <c r="A28" s="1395"/>
      <c r="B28" s="1395"/>
      <c r="C28" s="1395"/>
      <c r="D28" s="150"/>
      <c r="E28" s="149"/>
      <c r="F28" s="676"/>
      <c r="G28" s="676"/>
      <c r="H28" s="676"/>
      <c r="I28" s="140"/>
      <c r="J28" s="36"/>
      <c r="K28" s="47"/>
      <c r="L28" s="47"/>
      <c r="M28" s="47"/>
      <c r="N28" s="140"/>
      <c r="O28" s="36"/>
      <c r="P28" s="47"/>
      <c r="Q28" s="47"/>
      <c r="R28" s="47"/>
      <c r="S28" s="140"/>
      <c r="T28" s="36"/>
      <c r="U28" s="47"/>
      <c r="V28" s="47"/>
      <c r="W28" s="47"/>
      <c r="X28" s="140"/>
      <c r="Y28" s="36"/>
      <c r="Z28" s="47"/>
      <c r="AA28" s="47"/>
      <c r="AB28" s="47"/>
      <c r="AC28" s="140"/>
      <c r="AD28" s="36"/>
      <c r="AE28" s="47"/>
      <c r="AF28" s="47"/>
      <c r="AG28" s="47"/>
      <c r="AH28" s="36"/>
      <c r="AI28" s="36"/>
      <c r="AJ28" s="47"/>
      <c r="AK28" s="47"/>
      <c r="AP28" s="47"/>
      <c r="AQ28" s="47"/>
      <c r="AT28" s="1388"/>
      <c r="AU28" s="1388"/>
      <c r="AV28" s="1388"/>
      <c r="AW28" s="139"/>
      <c r="AX28" s="139"/>
      <c r="AY28" s="676"/>
      <c r="AZ28" s="676"/>
      <c r="BA28" s="676"/>
      <c r="BB28" s="36"/>
      <c r="BC28" s="36"/>
      <c r="BD28" s="676"/>
      <c r="BE28" s="676"/>
      <c r="BF28" s="676"/>
      <c r="BG28" s="36"/>
      <c r="BH28" s="36"/>
    </row>
    <row r="29" spans="1:80" ht="21" hidden="1" x14ac:dyDescent="0.25">
      <c r="A29" s="1395"/>
      <c r="B29" s="1395"/>
      <c r="C29" s="1395"/>
      <c r="D29" s="149"/>
      <c r="E29" s="149"/>
      <c r="F29" s="676"/>
      <c r="G29" s="676"/>
      <c r="H29" s="676"/>
      <c r="I29" s="36"/>
      <c r="J29" s="36"/>
      <c r="K29" s="47"/>
      <c r="L29" s="47"/>
      <c r="M29" s="47"/>
      <c r="N29" s="36"/>
      <c r="O29" s="36"/>
      <c r="P29" s="47"/>
      <c r="Q29" s="47"/>
      <c r="R29" s="47"/>
      <c r="S29" s="36"/>
      <c r="T29" s="36"/>
      <c r="U29" s="47"/>
      <c r="V29" s="47"/>
      <c r="W29" s="47"/>
      <c r="X29" s="36"/>
      <c r="Y29" s="36"/>
      <c r="Z29" s="47"/>
      <c r="AA29" s="47"/>
      <c r="AB29" s="47"/>
      <c r="AC29" s="36"/>
      <c r="AD29" s="36"/>
      <c r="AE29" s="47"/>
      <c r="AF29" s="47"/>
      <c r="AG29" s="47"/>
      <c r="AH29" s="36"/>
      <c r="AI29" s="36"/>
      <c r="AJ29" s="47"/>
      <c r="AK29" s="47"/>
      <c r="AP29" s="47"/>
      <c r="AQ29" s="47"/>
      <c r="AR29" s="36"/>
      <c r="AS29" s="36"/>
      <c r="AT29" s="1388"/>
      <c r="AU29" s="1388"/>
      <c r="AV29" s="1388"/>
      <c r="AW29" s="139"/>
      <c r="AX29" s="139"/>
      <c r="AY29" s="676"/>
      <c r="AZ29" s="676"/>
      <c r="BA29" s="676"/>
      <c r="BB29" s="36"/>
      <c r="BC29" s="36"/>
      <c r="BD29" s="676"/>
      <c r="BE29" s="676"/>
      <c r="BF29" s="676"/>
      <c r="BG29" s="36"/>
      <c r="BH29" s="36"/>
    </row>
    <row r="30" spans="1:80" ht="60.75" hidden="1" customHeight="1" x14ac:dyDescent="0.25">
      <c r="A30" s="1400"/>
      <c r="B30" s="1401"/>
      <c r="C30" s="1401"/>
      <c r="D30" s="1401"/>
      <c r="E30" s="1401"/>
      <c r="F30" s="1370"/>
      <c r="G30" s="1371"/>
      <c r="H30" s="1371"/>
      <c r="I30" s="1371"/>
      <c r="J30" s="1371"/>
      <c r="K30" s="230"/>
      <c r="L30" s="142"/>
      <c r="M30" s="142"/>
      <c r="N30" s="142"/>
      <c r="O30" s="142"/>
      <c r="P30" s="230"/>
      <c r="Q30" s="142"/>
      <c r="R30" s="142"/>
      <c r="S30" s="142"/>
      <c r="T30" s="142"/>
      <c r="U30" s="230"/>
      <c r="V30" s="142"/>
      <c r="W30" s="142"/>
      <c r="X30" s="142"/>
      <c r="Y30" s="142"/>
      <c r="Z30" s="230"/>
      <c r="AA30" s="142"/>
      <c r="AB30" s="142"/>
      <c r="AC30" s="142"/>
      <c r="AD30" s="142"/>
      <c r="AE30" s="70"/>
      <c r="AF30" s="231"/>
      <c r="AG30" s="231"/>
      <c r="AH30" s="231"/>
      <c r="AI30" s="231"/>
      <c r="AJ30" s="70"/>
      <c r="AR30" s="132"/>
      <c r="AS30" s="132"/>
      <c r="AT30" s="677"/>
      <c r="AU30" s="1332"/>
      <c r="AV30" s="1332"/>
      <c r="AW30" s="1332"/>
      <c r="AX30" s="1332"/>
      <c r="AY30" s="677"/>
      <c r="AZ30" s="1332"/>
      <c r="BA30" s="1332"/>
      <c r="BB30" s="1332"/>
      <c r="BC30" s="1332"/>
      <c r="BD30" s="677" t="s">
        <v>254</v>
      </c>
      <c r="BE30" s="1332"/>
      <c r="BF30" s="1332"/>
      <c r="BG30" s="1332"/>
      <c r="BH30" s="1332"/>
      <c r="BM30" s="51"/>
      <c r="BN30" s="51"/>
      <c r="BO30" s="51"/>
      <c r="BP30" s="51"/>
      <c r="BQ30" s="51"/>
      <c r="BR30" s="51"/>
      <c r="BW30" s="27"/>
      <c r="BX30" s="27"/>
      <c r="BY30" s="27"/>
      <c r="BZ30" s="27"/>
      <c r="CA30" s="27"/>
      <c r="CB30" s="27"/>
    </row>
    <row r="31" spans="1:80" ht="54.75" customHeight="1" thickTop="1" x14ac:dyDescent="0.25">
      <c r="A31" s="1400"/>
      <c r="B31" s="158"/>
      <c r="C31" s="159"/>
      <c r="D31" s="160"/>
      <c r="E31" s="161"/>
      <c r="F31" s="1370"/>
      <c r="G31" s="32"/>
      <c r="H31" s="33"/>
      <c r="I31" s="34"/>
      <c r="J31" s="35"/>
      <c r="K31" s="230"/>
      <c r="L31" s="32"/>
      <c r="M31" s="33"/>
      <c r="N31" s="34"/>
      <c r="O31" s="35"/>
      <c r="P31" s="230"/>
      <c r="Q31" s="32"/>
      <c r="R31" s="33"/>
      <c r="S31" s="34"/>
      <c r="T31" s="35"/>
      <c r="U31" s="230"/>
      <c r="V31" s="32"/>
      <c r="W31" s="33"/>
      <c r="X31" s="34"/>
      <c r="Y31" s="35"/>
      <c r="Z31" s="230"/>
      <c r="AA31" s="32"/>
      <c r="AB31" s="33"/>
      <c r="AC31" s="34"/>
      <c r="AD31" s="35"/>
      <c r="AE31" s="70"/>
      <c r="AF31" s="137"/>
      <c r="AG31" s="33"/>
      <c r="AH31" s="138"/>
      <c r="AI31" s="35"/>
      <c r="AJ31" s="70"/>
      <c r="AK31" s="137"/>
      <c r="AL31" s="33"/>
      <c r="AM31" s="138"/>
      <c r="AN31" s="35"/>
      <c r="AO31" s="70"/>
      <c r="AP31" s="137"/>
      <c r="AQ31" s="33"/>
      <c r="AR31" s="138"/>
      <c r="AS31" s="35"/>
      <c r="AT31" s="677"/>
      <c r="AU31" s="137"/>
      <c r="AV31" s="33"/>
      <c r="AW31" s="138"/>
      <c r="AX31" s="35"/>
      <c r="AY31" s="677"/>
      <c r="AZ31" s="137" t="s">
        <v>16</v>
      </c>
      <c r="BA31" s="33"/>
      <c r="BB31" s="138"/>
      <c r="BC31" s="35"/>
      <c r="BD31" s="677"/>
      <c r="BE31" s="137" t="s">
        <v>15</v>
      </c>
      <c r="BF31" s="33"/>
      <c r="BG31" s="138"/>
      <c r="BH31" s="35"/>
      <c r="BM31" s="51"/>
      <c r="BN31" s="51"/>
      <c r="BO31" s="51"/>
      <c r="BP31" s="51"/>
      <c r="BQ31" s="51"/>
      <c r="BR31" s="51"/>
      <c r="BW31" s="27"/>
      <c r="BX31" s="27"/>
      <c r="BY31" s="27"/>
      <c r="BZ31" s="27"/>
      <c r="CA31" s="27"/>
      <c r="CB31" s="27"/>
    </row>
    <row r="32" spans="1:80" ht="59.25" customHeight="1" x14ac:dyDescent="0.25">
      <c r="A32" s="31"/>
      <c r="B32" s="162"/>
      <c r="C32" s="162"/>
      <c r="D32" s="162"/>
      <c r="F32" s="163"/>
      <c r="G32" s="163"/>
      <c r="H32" s="1413">
        <v>12</v>
      </c>
      <c r="I32" s="1413"/>
      <c r="J32" s="1413"/>
      <c r="K32" s="164"/>
      <c r="L32" s="160"/>
      <c r="M32" s="160"/>
      <c r="N32" s="160"/>
      <c r="O32" s="160"/>
      <c r="P32" s="160"/>
      <c r="Q32" s="1414" t="s">
        <v>255</v>
      </c>
      <c r="R32" s="1414"/>
      <c r="S32" s="1414"/>
      <c r="T32" s="1414"/>
      <c r="U32" s="1414"/>
      <c r="V32" s="1414"/>
      <c r="W32" s="165"/>
      <c r="X32" s="1690" t="s">
        <v>256</v>
      </c>
      <c r="Y32" s="1690"/>
      <c r="Z32" s="1690"/>
      <c r="AA32" s="1690"/>
      <c r="AB32" s="1690"/>
      <c r="AC32" s="1694">
        <f>G7+L7+Q7+B7+AK7+AP7+V7+AA7+AF7+AU7+V17+AA17</f>
        <v>39.851000000109998</v>
      </c>
      <c r="AD32" s="1694"/>
      <c r="AE32" s="1694"/>
      <c r="AF32" s="1694"/>
      <c r="AG32" s="1694"/>
      <c r="AH32" s="1694"/>
      <c r="AI32" s="166"/>
      <c r="AJ32" s="1416" t="s">
        <v>119</v>
      </c>
      <c r="AK32" s="1416"/>
      <c r="AL32" s="1416"/>
      <c r="AM32" s="1416"/>
      <c r="AN32" s="1416"/>
      <c r="AO32" s="1417">
        <f>AM7+N7+S7+D7+I7+AR7+X7+AC7+AH7+AW7+X17+AC17</f>
        <v>5</v>
      </c>
      <c r="AP32" s="1417"/>
      <c r="AQ32" s="1417"/>
      <c r="AR32" s="1417"/>
      <c r="AS32" s="1417"/>
      <c r="AT32" s="1402" t="s">
        <v>120</v>
      </c>
      <c r="AU32" s="1402"/>
      <c r="AV32" s="1402"/>
      <c r="AW32" s="1402"/>
      <c r="AX32" s="127"/>
      <c r="AY32" s="72"/>
      <c r="AZ32" s="72"/>
      <c r="BA32" s="72"/>
      <c r="BB32" s="72"/>
      <c r="BC32" s="72"/>
      <c r="BD32" s="72"/>
      <c r="BE32" t="s">
        <v>16</v>
      </c>
      <c r="BF32" s="167"/>
      <c r="BG32" s="167"/>
      <c r="BH32" s="167"/>
      <c r="BM32" s="51"/>
      <c r="BN32" s="51"/>
      <c r="BO32" s="51"/>
      <c r="BP32" s="51"/>
      <c r="BQ32" s="51"/>
      <c r="BR32" s="51"/>
      <c r="BW32" s="27"/>
      <c r="BX32" s="27"/>
      <c r="BY32" s="27"/>
      <c r="BZ32" s="27"/>
      <c r="CA32" s="27"/>
      <c r="CB32" s="27"/>
    </row>
    <row r="33" spans="1:80" ht="19.5" customHeight="1" x14ac:dyDescent="0.25">
      <c r="B33" s="162"/>
      <c r="C33" s="162"/>
      <c r="D33" s="162"/>
      <c r="E33" s="163"/>
      <c r="F33" s="163"/>
      <c r="G33" s="163"/>
      <c r="H33" s="1413"/>
      <c r="I33" s="1413"/>
      <c r="J33" s="1413"/>
      <c r="K33" s="168"/>
      <c r="L33" s="160"/>
      <c r="M33" s="160"/>
      <c r="N33" s="160"/>
      <c r="O33" s="160"/>
      <c r="P33" s="160"/>
      <c r="Q33" s="1414"/>
      <c r="R33" s="1414"/>
      <c r="S33" s="1414"/>
      <c r="T33" s="1414"/>
      <c r="U33" s="1414"/>
      <c r="V33" s="1414"/>
      <c r="W33" s="169"/>
      <c r="X33" s="1690"/>
      <c r="Y33" s="1690"/>
      <c r="Z33" s="1690"/>
      <c r="AA33" s="1690"/>
      <c r="AB33" s="1690"/>
      <c r="AC33" s="1694"/>
      <c r="AD33" s="1694"/>
      <c r="AE33" s="1694"/>
      <c r="AF33" s="1694"/>
      <c r="AG33" s="1694"/>
      <c r="AH33" s="1694"/>
      <c r="AI33" s="166"/>
      <c r="AJ33" s="1416"/>
      <c r="AK33" s="1416"/>
      <c r="AL33" s="1416"/>
      <c r="AM33" s="1416"/>
      <c r="AN33" s="1416"/>
      <c r="AO33" s="1417"/>
      <c r="AP33" s="1417"/>
      <c r="AQ33" s="1417"/>
      <c r="AR33" s="1417"/>
      <c r="AS33" s="1417"/>
      <c r="AT33" s="1402"/>
      <c r="AU33" s="1402"/>
      <c r="AV33" s="1402"/>
      <c r="AW33" s="1402"/>
      <c r="BI33" s="50"/>
      <c r="BJ33" s="50"/>
      <c r="BM33" s="51"/>
      <c r="BN33" s="51"/>
      <c r="BO33" s="51"/>
      <c r="BP33" s="51"/>
      <c r="BQ33" s="51"/>
      <c r="BR33" s="51"/>
      <c r="BS33" s="27"/>
      <c r="BT33" s="27"/>
      <c r="BU33" s="27"/>
      <c r="BW33" s="27"/>
      <c r="BX33" s="27"/>
      <c r="BY33" s="27"/>
      <c r="BZ33" s="27"/>
      <c r="CA33" s="27"/>
      <c r="CB33" s="27"/>
    </row>
    <row r="34" spans="1:80" ht="2.25" hidden="1" customHeight="1" x14ac:dyDescent="0.25">
      <c r="B34" s="162"/>
      <c r="C34" s="162"/>
      <c r="D34" s="162"/>
      <c r="E34" s="163"/>
      <c r="F34" s="163"/>
      <c r="G34" s="163"/>
      <c r="H34" s="168"/>
      <c r="I34" s="168"/>
      <c r="J34" s="168"/>
      <c r="K34" s="168"/>
      <c r="L34" s="160"/>
      <c r="M34" s="160"/>
      <c r="N34" s="160"/>
      <c r="O34" s="160"/>
      <c r="P34" s="160"/>
      <c r="Q34" s="1414"/>
      <c r="R34" s="1414"/>
      <c r="S34" s="1414"/>
      <c r="T34" s="1414"/>
      <c r="U34" s="1414"/>
      <c r="V34" s="1414"/>
      <c r="W34" s="169"/>
      <c r="X34" s="1690"/>
      <c r="Y34" s="1690"/>
      <c r="Z34" s="1690"/>
      <c r="AA34" s="1690"/>
      <c r="AB34" s="1690"/>
      <c r="AC34" s="1694"/>
      <c r="AD34" s="1694"/>
      <c r="AE34" s="1694"/>
      <c r="AF34" s="1694"/>
      <c r="AG34" s="1694"/>
      <c r="AH34" s="1694"/>
      <c r="AI34" s="166"/>
      <c r="AJ34" s="1416"/>
      <c r="AK34" s="1416"/>
      <c r="AL34" s="1416"/>
      <c r="AM34" s="1416"/>
      <c r="AN34" s="1416"/>
      <c r="AO34" s="1403">
        <f>AO32*1.5</f>
        <v>7.5</v>
      </c>
      <c r="AP34" s="1403"/>
      <c r="AQ34" s="1403"/>
      <c r="AR34" s="1403"/>
      <c r="AS34" s="1403"/>
      <c r="AT34" s="1403"/>
      <c r="AU34" s="1403"/>
      <c r="AV34" s="1404" t="s">
        <v>121</v>
      </c>
      <c r="AW34" s="1404"/>
      <c r="BI34" s="50"/>
      <c r="BJ34" s="50"/>
      <c r="BM34" s="27"/>
      <c r="BN34" s="27"/>
      <c r="BO34" s="27"/>
      <c r="BP34" s="27"/>
      <c r="BQ34" s="27"/>
      <c r="BR34" s="27"/>
      <c r="BS34" s="27"/>
      <c r="BT34" s="27"/>
      <c r="BU34" s="27"/>
      <c r="BW34" s="27"/>
      <c r="BX34" s="27"/>
      <c r="BY34" s="27"/>
      <c r="BZ34" s="27"/>
      <c r="CA34" s="27"/>
      <c r="CB34" s="27"/>
    </row>
    <row r="35" spans="1:80" ht="54.75" customHeight="1" x14ac:dyDescent="0.25">
      <c r="B35" s="162"/>
      <c r="C35" s="162"/>
      <c r="D35" s="162"/>
      <c r="E35" s="163"/>
      <c r="F35" s="163"/>
      <c r="G35" s="163"/>
      <c r="H35" s="1405">
        <v>12</v>
      </c>
      <c r="I35" s="1405"/>
      <c r="J35" s="1405"/>
      <c r="K35" s="168"/>
      <c r="L35" s="160"/>
      <c r="M35" s="160"/>
      <c r="N35" s="160"/>
      <c r="O35" s="160"/>
      <c r="P35" s="160"/>
      <c r="Q35" s="1692" t="s">
        <v>13</v>
      </c>
      <c r="R35" s="1693"/>
      <c r="S35" s="1693"/>
      <c r="T35" s="1693"/>
      <c r="U35" s="1693"/>
      <c r="V35" s="1693"/>
      <c r="W35" s="169"/>
      <c r="X35" s="1690"/>
      <c r="Y35" s="1690"/>
      <c r="Z35" s="1690"/>
      <c r="AA35" s="1690"/>
      <c r="AB35" s="1690"/>
      <c r="AC35" s="1694"/>
      <c r="AD35" s="1694"/>
      <c r="AE35" s="1694"/>
      <c r="AF35" s="1694"/>
      <c r="AG35" s="1694"/>
      <c r="AH35" s="1694"/>
      <c r="AI35" s="166"/>
      <c r="AJ35" s="1416"/>
      <c r="AK35" s="1416"/>
      <c r="AL35" s="1416"/>
      <c r="AM35" s="1416"/>
      <c r="AN35" s="1416"/>
      <c r="AO35" s="1403"/>
      <c r="AP35" s="1403"/>
      <c r="AQ35" s="1403"/>
      <c r="AR35" s="1403"/>
      <c r="AS35" s="1403"/>
      <c r="AT35" s="1403"/>
      <c r="AU35" s="1403"/>
      <c r="AV35" s="1404"/>
      <c r="AW35" s="1404"/>
      <c r="BI35" s="50"/>
      <c r="BJ35" s="50"/>
      <c r="BM35" s="27"/>
      <c r="BN35" s="27"/>
      <c r="BO35" s="27"/>
      <c r="BP35" s="27"/>
      <c r="BQ35" s="27"/>
      <c r="BR35" s="27"/>
      <c r="BS35" s="27"/>
      <c r="BT35" s="27"/>
      <c r="BU35" s="27"/>
      <c r="BW35" s="27"/>
      <c r="BX35" s="27"/>
      <c r="BY35" s="27"/>
      <c r="BZ35" s="27"/>
      <c r="CA35" s="27"/>
      <c r="CB35" s="27"/>
    </row>
    <row r="36" spans="1:80" ht="93" customHeight="1" x14ac:dyDescent="0.25">
      <c r="B36" s="162"/>
      <c r="C36" s="162"/>
      <c r="D36" s="162"/>
      <c r="E36" s="162"/>
      <c r="F36" s="162"/>
      <c r="G36" s="164"/>
      <c r="H36" s="1408"/>
      <c r="I36" s="1408"/>
      <c r="J36" s="1408"/>
      <c r="K36" s="168"/>
      <c r="L36" s="160"/>
      <c r="M36" s="160"/>
      <c r="N36" s="160"/>
      <c r="O36" s="160"/>
      <c r="P36" s="160"/>
      <c r="Q36" s="1693"/>
      <c r="R36" s="1693"/>
      <c r="S36" s="1693"/>
      <c r="T36" s="1693"/>
      <c r="U36" s="1693"/>
      <c r="V36" s="1693"/>
      <c r="W36" s="169"/>
      <c r="X36" s="1690"/>
      <c r="Y36" s="1690"/>
      <c r="Z36" s="1690"/>
      <c r="AA36" s="1690"/>
      <c r="AB36" s="1690"/>
      <c r="AC36" s="1694"/>
      <c r="AD36" s="1694"/>
      <c r="AE36" s="1694"/>
      <c r="AF36" s="1694"/>
      <c r="AG36" s="1694"/>
      <c r="AH36" s="1694"/>
      <c r="AI36" s="166"/>
      <c r="AJ36" s="1416"/>
      <c r="AK36" s="1416"/>
      <c r="AL36" s="1416"/>
      <c r="AM36" s="1416"/>
      <c r="AN36" s="1416"/>
      <c r="AO36" s="1403"/>
      <c r="AP36" s="1403"/>
      <c r="AQ36" s="1403"/>
      <c r="AR36" s="1403"/>
      <c r="AS36" s="1403"/>
      <c r="AT36" s="1403"/>
      <c r="AU36" s="1403"/>
      <c r="AV36" s="1404"/>
      <c r="AW36" s="1404"/>
      <c r="BI36" s="50"/>
      <c r="BJ36" s="50"/>
      <c r="BM36" s="27"/>
      <c r="BN36" s="27"/>
      <c r="BO36" s="27"/>
      <c r="BP36" s="27"/>
      <c r="BQ36" s="27"/>
      <c r="BR36" s="27"/>
      <c r="BS36" s="27"/>
      <c r="BT36" s="27"/>
      <c r="BU36" s="27"/>
      <c r="BW36" s="27"/>
      <c r="BX36" s="27"/>
      <c r="BY36" s="27"/>
      <c r="BZ36" s="27"/>
      <c r="CA36" s="27"/>
      <c r="CB36" s="27"/>
    </row>
    <row r="37" spans="1:80" ht="15" customHeight="1" x14ac:dyDescent="0.25">
      <c r="B37" s="162"/>
      <c r="C37" s="162"/>
      <c r="D37" s="162"/>
      <c r="E37" s="162"/>
      <c r="F37" s="162"/>
      <c r="G37" s="164"/>
      <c r="H37" s="1408"/>
      <c r="I37" s="1408"/>
      <c r="J37" s="1408"/>
      <c r="K37" s="164"/>
      <c r="L37" s="165"/>
      <c r="M37" s="165"/>
      <c r="N37" s="165"/>
      <c r="O37" s="165"/>
      <c r="P37" s="165"/>
      <c r="Q37" s="1693"/>
      <c r="R37" s="1693"/>
      <c r="S37" s="1693"/>
      <c r="T37" s="1693"/>
      <c r="U37" s="1693"/>
      <c r="V37" s="1693"/>
      <c r="W37" s="165"/>
      <c r="X37" s="1409" t="s">
        <v>257</v>
      </c>
      <c r="Y37" s="1409"/>
      <c r="Z37" s="1409"/>
      <c r="AA37" s="1409"/>
      <c r="AB37" s="1409"/>
      <c r="AC37" s="1694">
        <f>AC32-AD45</f>
        <v>-4.8999999890000367E-2</v>
      </c>
      <c r="AD37" s="1694"/>
      <c r="AE37" s="1694"/>
      <c r="AF37" s="1694"/>
      <c r="AG37" s="1694"/>
      <c r="AH37" s="1694"/>
      <c r="AI37" s="166"/>
      <c r="AJ37" s="1416"/>
      <c r="AK37" s="1416"/>
      <c r="AL37" s="1416"/>
      <c r="AM37" s="1416"/>
      <c r="AN37" s="1416"/>
      <c r="AO37" s="1403"/>
      <c r="AP37" s="1403"/>
      <c r="AQ37" s="1403"/>
      <c r="AR37" s="1403"/>
      <c r="AS37" s="1403"/>
      <c r="AT37" s="1403"/>
      <c r="AU37" s="1403"/>
      <c r="AV37" s="1404"/>
      <c r="AW37" s="1404"/>
      <c r="BI37" s="53"/>
      <c r="BJ37" s="53"/>
    </row>
    <row r="38" spans="1:80" ht="28.5" customHeight="1" x14ac:dyDescent="0.25">
      <c r="B38" s="162"/>
      <c r="C38" s="162"/>
      <c r="D38" s="162"/>
      <c r="E38" s="162"/>
      <c r="F38" s="162"/>
      <c r="G38" s="164"/>
      <c r="H38" s="1411"/>
      <c r="I38" s="1411"/>
      <c r="J38" s="1411"/>
      <c r="K38" s="168"/>
      <c r="L38" s="165"/>
      <c r="M38" s="165"/>
      <c r="N38" s="165"/>
      <c r="O38" s="165"/>
      <c r="P38" s="165"/>
      <c r="Q38" s="1693"/>
      <c r="R38" s="1693"/>
      <c r="S38" s="1693"/>
      <c r="T38" s="1693"/>
      <c r="U38" s="1693"/>
      <c r="V38" s="1693"/>
      <c r="W38" s="165"/>
      <c r="X38" s="1409"/>
      <c r="Y38" s="1409"/>
      <c r="Z38" s="1409"/>
      <c r="AA38" s="1409"/>
      <c r="AB38" s="1409"/>
      <c r="AC38" s="1694"/>
      <c r="AD38" s="1694"/>
      <c r="AE38" s="1694"/>
      <c r="AF38" s="1694"/>
      <c r="AG38" s="1694"/>
      <c r="AH38" s="1694"/>
      <c r="AI38" s="166"/>
      <c r="AJ38" s="1416"/>
      <c r="AK38" s="1416"/>
      <c r="AL38" s="1416"/>
      <c r="AM38" s="1416"/>
      <c r="AN38" s="1416"/>
      <c r="AO38" s="1403"/>
      <c r="AP38" s="1403"/>
      <c r="AQ38" s="1403"/>
      <c r="AR38" s="1403"/>
      <c r="AS38" s="1403"/>
      <c r="AT38" s="1403"/>
      <c r="AU38" s="1403"/>
      <c r="AV38" s="1404"/>
      <c r="AW38" s="1404"/>
      <c r="BI38" s="53"/>
      <c r="BJ38" s="53"/>
    </row>
    <row r="39" spans="1:80" ht="15" customHeight="1" x14ac:dyDescent="0.25">
      <c r="B39" s="162"/>
      <c r="C39" s="162"/>
      <c r="D39" s="162"/>
      <c r="E39" s="162"/>
      <c r="F39" s="162"/>
      <c r="G39" s="164"/>
      <c r="H39" s="1411"/>
      <c r="I39" s="1411"/>
      <c r="J39" s="1411"/>
      <c r="K39" s="168"/>
      <c r="L39" s="165"/>
      <c r="M39" s="165"/>
      <c r="N39" s="165"/>
      <c r="O39" s="165"/>
      <c r="P39" s="165"/>
      <c r="Q39" s="1693"/>
      <c r="R39" s="1693"/>
      <c r="S39" s="1693"/>
      <c r="T39" s="1693"/>
      <c r="U39" s="1693"/>
      <c r="V39" s="1693"/>
      <c r="W39" s="165"/>
      <c r="X39" s="1409"/>
      <c r="Y39" s="1409"/>
      <c r="Z39" s="1409"/>
      <c r="AA39" s="1409"/>
      <c r="AB39" s="1409"/>
      <c r="AC39" s="1694"/>
      <c r="AD39" s="1694"/>
      <c r="AE39" s="1694"/>
      <c r="AF39" s="1694"/>
      <c r="AG39" s="1694"/>
      <c r="AH39" s="1694"/>
      <c r="AI39" s="166"/>
      <c r="AJ39" s="1416"/>
      <c r="AK39" s="1416"/>
      <c r="AL39" s="1416"/>
      <c r="AM39" s="1416"/>
      <c r="AN39" s="1416"/>
      <c r="AO39" s="1403"/>
      <c r="AP39" s="1403"/>
      <c r="AQ39" s="1403"/>
      <c r="AR39" s="1403"/>
      <c r="AS39" s="1403"/>
      <c r="AT39" s="1403"/>
      <c r="AU39" s="1403"/>
      <c r="AV39" s="1404"/>
      <c r="AW39" s="1404"/>
      <c r="BI39" s="53"/>
      <c r="BJ39" s="53"/>
    </row>
    <row r="40" spans="1:80" ht="42.75" customHeight="1" x14ac:dyDescent="0.35">
      <c r="A40" s="54"/>
      <c r="B40" s="162"/>
      <c r="C40" s="162"/>
      <c r="D40" s="162"/>
      <c r="E40" s="162"/>
      <c r="F40" s="162"/>
      <c r="G40" s="164"/>
      <c r="H40" s="1411"/>
      <c r="I40" s="1411"/>
      <c r="J40" s="1411"/>
      <c r="K40" s="168"/>
      <c r="L40" s="165"/>
      <c r="M40" s="165"/>
      <c r="N40" s="165"/>
      <c r="O40" s="165"/>
      <c r="P40" s="165"/>
      <c r="Q40" s="1693"/>
      <c r="R40" s="1693"/>
      <c r="S40" s="1693"/>
      <c r="T40" s="1693"/>
      <c r="U40" s="1693"/>
      <c r="V40" s="1693"/>
      <c r="W40" s="165"/>
      <c r="X40" s="1409"/>
      <c r="Y40" s="1409"/>
      <c r="Z40" s="1409"/>
      <c r="AA40" s="1409"/>
      <c r="AB40" s="1409"/>
      <c r="AC40" s="1694"/>
      <c r="AD40" s="1694"/>
      <c r="AE40" s="1694"/>
      <c r="AF40" s="1694"/>
      <c r="AG40" s="1694"/>
      <c r="AH40" s="1694"/>
      <c r="AI40" s="166"/>
      <c r="AJ40" s="1416"/>
      <c r="AK40" s="1416"/>
      <c r="AL40" s="1416"/>
      <c r="AM40" s="1416"/>
      <c r="AN40" s="1416"/>
      <c r="AO40" s="1403"/>
      <c r="AP40" s="1403"/>
      <c r="AQ40" s="1403"/>
      <c r="AR40" s="1403"/>
      <c r="AS40" s="1403"/>
      <c r="AT40" s="1403"/>
      <c r="AU40" s="1403"/>
      <c r="AV40" s="1404"/>
      <c r="AW40" s="1404"/>
      <c r="BI40" s="53"/>
      <c r="BJ40" s="53"/>
    </row>
    <row r="41" spans="1:80" ht="38.25" customHeight="1" x14ac:dyDescent="0.35">
      <c r="A41" s="54"/>
      <c r="B41" s="162"/>
      <c r="C41" s="162"/>
      <c r="D41" s="162"/>
      <c r="E41" s="162"/>
      <c r="F41" s="162"/>
      <c r="G41" s="164"/>
      <c r="H41" s="1412"/>
      <c r="I41" s="1412"/>
      <c r="J41" s="1412"/>
      <c r="K41" s="168"/>
      <c r="L41" s="175"/>
      <c r="M41" s="175"/>
      <c r="N41" s="175"/>
      <c r="O41" s="175"/>
      <c r="P41" s="175"/>
      <c r="Q41" s="1693"/>
      <c r="R41" s="1693"/>
      <c r="S41" s="1693"/>
      <c r="T41" s="1693"/>
      <c r="U41" s="1693"/>
      <c r="V41" s="1693"/>
      <c r="W41" s="176"/>
      <c r="X41" s="1409"/>
      <c r="Y41" s="1409"/>
      <c r="Z41" s="1409"/>
      <c r="AA41" s="1409"/>
      <c r="AB41" s="1409"/>
      <c r="AC41" s="1694"/>
      <c r="AD41" s="1694"/>
      <c r="AE41" s="1694"/>
      <c r="AF41" s="1694"/>
      <c r="AG41" s="1694"/>
      <c r="AH41" s="1694"/>
      <c r="AI41" s="166"/>
      <c r="AJ41" s="1416"/>
      <c r="AK41" s="1416"/>
      <c r="AL41" s="1416"/>
      <c r="AM41" s="1416"/>
      <c r="AN41" s="1416"/>
      <c r="AO41" s="1418"/>
      <c r="AP41" s="1418"/>
      <c r="AQ41" s="1418"/>
      <c r="AR41" s="1418"/>
      <c r="AS41" s="1418"/>
      <c r="AT41" s="1418"/>
      <c r="AU41" s="1418"/>
      <c r="AV41" s="1418"/>
      <c r="AW41" s="1418"/>
      <c r="AX41" s="54"/>
      <c r="AY41" s="54"/>
      <c r="BI41" s="170"/>
      <c r="BJ41" s="170"/>
    </row>
    <row r="42" spans="1:80" ht="60" customHeight="1" x14ac:dyDescent="0.35">
      <c r="H42" s="1412"/>
      <c r="I42" s="1412"/>
      <c r="J42" s="1412"/>
      <c r="L42" s="175"/>
      <c r="M42" s="175"/>
      <c r="N42" s="175"/>
      <c r="O42" s="175"/>
      <c r="P42" s="175"/>
      <c r="Q42" s="1693"/>
      <c r="R42" s="1693"/>
      <c r="S42" s="1693"/>
      <c r="T42" s="1693"/>
      <c r="U42" s="1693"/>
      <c r="V42" s="1693"/>
      <c r="W42" s="176"/>
      <c r="X42" s="1409"/>
      <c r="Y42" s="1409"/>
      <c r="Z42" s="1409"/>
      <c r="AA42" s="1409"/>
      <c r="AB42" s="1409"/>
      <c r="AC42" s="1694"/>
      <c r="AD42" s="1694"/>
      <c r="AE42" s="1694"/>
      <c r="AF42" s="1694"/>
      <c r="AG42" s="1694"/>
      <c r="AH42" s="1694"/>
      <c r="AI42" s="166"/>
      <c r="AJ42" s="1416"/>
      <c r="AK42" s="1416"/>
      <c r="AL42" s="1416"/>
      <c r="AM42" s="1416"/>
      <c r="AN42" s="1416"/>
      <c r="AO42" s="1418"/>
      <c r="AP42" s="1418"/>
      <c r="AQ42" s="1418"/>
      <c r="AR42" s="1418"/>
      <c r="AS42" s="1418"/>
      <c r="AT42" s="1418"/>
      <c r="AU42" s="1418"/>
      <c r="AV42" s="1418"/>
      <c r="AW42" s="1418"/>
      <c r="AX42" s="54"/>
      <c r="AY42" s="54"/>
      <c r="BI42" s="170"/>
      <c r="BJ42" s="170"/>
    </row>
    <row r="43" spans="1:80" ht="15" customHeight="1" x14ac:dyDescent="0.35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1"/>
      <c r="AI43" s="171"/>
      <c r="AJ43" s="171"/>
      <c r="AK43" s="171"/>
      <c r="AL43" s="171"/>
      <c r="AM43" s="171"/>
      <c r="AN43" s="171"/>
      <c r="AO43" s="172"/>
      <c r="AP43" s="172"/>
      <c r="AQ43" s="172"/>
      <c r="AR43" s="172"/>
      <c r="AS43" s="172"/>
      <c r="AT43" s="172"/>
      <c r="AU43" s="172"/>
      <c r="AV43" s="172"/>
      <c r="AW43" s="172"/>
    </row>
    <row r="44" spans="1:80" ht="15.75" customHeight="1" thickBot="1" x14ac:dyDescent="0.4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3"/>
      <c r="Y44" s="171"/>
      <c r="Z44" s="171"/>
      <c r="AA44" s="171"/>
      <c r="AB44" s="171"/>
      <c r="AC44" s="171"/>
      <c r="AD44" s="171"/>
      <c r="AE44" s="171"/>
      <c r="AF44" s="171"/>
      <c r="AG44" s="171"/>
      <c r="AH44" s="171"/>
      <c r="AI44" s="171"/>
      <c r="AJ44" s="171"/>
      <c r="AK44" s="171"/>
      <c r="AL44" s="171"/>
      <c r="AM44" s="171"/>
      <c r="AN44" s="171"/>
      <c r="AO44" s="172"/>
      <c r="AP44" s="172"/>
      <c r="AQ44" s="172"/>
      <c r="AR44" s="172"/>
      <c r="AS44" s="172"/>
      <c r="AT44" s="172"/>
      <c r="AU44" s="172"/>
      <c r="AV44" s="172"/>
      <c r="AW44" s="172"/>
    </row>
    <row r="45" spans="1:80" ht="15.75" thickTop="1" x14ac:dyDescent="0.25">
      <c r="J45" t="s">
        <v>16</v>
      </c>
      <c r="AD45" s="775">
        <v>39.9</v>
      </c>
      <c r="AE45" s="776"/>
      <c r="AF45" s="776"/>
      <c r="AG45" s="776"/>
      <c r="AH45" s="777"/>
      <c r="AL45" s="727" t="s">
        <v>122</v>
      </c>
      <c r="AM45" s="727"/>
      <c r="AN45" s="727"/>
      <c r="AO45" s="727" t="s">
        <v>123</v>
      </c>
      <c r="AP45" s="727"/>
      <c r="AQ45" s="727"/>
      <c r="AR45" s="727" t="s">
        <v>124</v>
      </c>
      <c r="AS45" s="727"/>
      <c r="AT45" s="727" t="s">
        <v>125</v>
      </c>
      <c r="AU45" s="727"/>
      <c r="AY45" s="739" t="s">
        <v>126</v>
      </c>
      <c r="AZ45" s="740"/>
      <c r="BA45" s="740"/>
      <c r="BB45" s="740"/>
      <c r="BC45" s="740"/>
      <c r="BD45" s="740"/>
      <c r="BE45" s="740"/>
      <c r="BF45" s="740"/>
      <c r="BG45" s="740"/>
      <c r="BH45" s="741"/>
    </row>
    <row r="46" spans="1:80" x14ac:dyDescent="0.25">
      <c r="AD46" s="778"/>
      <c r="AE46" s="779"/>
      <c r="AF46" s="779"/>
      <c r="AG46" s="779"/>
      <c r="AH46" s="780"/>
      <c r="AL46" s="727"/>
      <c r="AM46" s="727"/>
      <c r="AN46" s="727"/>
      <c r="AO46" s="727"/>
      <c r="AP46" s="727"/>
      <c r="AQ46" s="727"/>
      <c r="AR46" s="727"/>
      <c r="AS46" s="727"/>
      <c r="AT46" s="727"/>
      <c r="AU46" s="727"/>
      <c r="AY46" s="750"/>
      <c r="AZ46" s="751"/>
      <c r="BA46" s="751"/>
      <c r="BB46" s="751"/>
      <c r="BC46" s="751"/>
      <c r="BD46" s="751"/>
      <c r="BE46" s="751"/>
      <c r="BF46" s="751"/>
      <c r="BG46" s="751"/>
      <c r="BH46" s="752"/>
    </row>
    <row r="47" spans="1:80" x14ac:dyDescent="0.25">
      <c r="AA47" s="56"/>
      <c r="AD47" s="778"/>
      <c r="AE47" s="779"/>
      <c r="AF47" s="779"/>
      <c r="AG47" s="779"/>
      <c r="AH47" s="780"/>
      <c r="AL47" s="727"/>
      <c r="AM47" s="727"/>
      <c r="AN47" s="727"/>
      <c r="AO47" s="727"/>
      <c r="AP47" s="727"/>
      <c r="AQ47" s="727"/>
      <c r="AR47" s="727"/>
      <c r="AS47" s="727"/>
      <c r="AT47" s="727"/>
      <c r="AU47" s="727"/>
      <c r="AY47" s="742"/>
      <c r="AZ47" s="743"/>
      <c r="BA47" s="743"/>
      <c r="BB47" s="743"/>
      <c r="BC47" s="743"/>
      <c r="BD47" s="743"/>
      <c r="BE47" s="743"/>
      <c r="BF47" s="743"/>
      <c r="BG47" s="743"/>
      <c r="BH47" s="744"/>
    </row>
    <row r="48" spans="1:80" x14ac:dyDescent="0.25">
      <c r="K48" t="s">
        <v>258</v>
      </c>
      <c r="AD48" s="778"/>
      <c r="AE48" s="779"/>
      <c r="AF48" s="779"/>
      <c r="AG48" s="779"/>
      <c r="AH48" s="780"/>
      <c r="AL48" s="727">
        <v>500</v>
      </c>
      <c r="AM48" s="727"/>
      <c r="AN48" s="727"/>
      <c r="AO48" s="727">
        <f>AT70</f>
        <v>500</v>
      </c>
      <c r="AP48" s="727"/>
      <c r="AQ48" s="727"/>
      <c r="AR48" s="1689">
        <f>AC32</f>
        <v>39.851000000109998</v>
      </c>
      <c r="AS48" s="1689"/>
      <c r="AT48" s="1689">
        <f>AC32+AO34</f>
        <v>47.351000000109998</v>
      </c>
      <c r="AU48" s="1689"/>
      <c r="AY48" s="727" t="s">
        <v>128</v>
      </c>
      <c r="AZ48" s="727"/>
      <c r="BA48" s="727"/>
      <c r="BB48" s="727"/>
      <c r="BC48" s="727"/>
      <c r="BD48" s="727"/>
      <c r="BE48" s="727"/>
      <c r="BF48" s="727"/>
      <c r="BG48" s="727"/>
      <c r="BH48" s="727"/>
    </row>
    <row r="49" spans="7:60" x14ac:dyDescent="0.25">
      <c r="G49" t="s">
        <v>16</v>
      </c>
      <c r="AD49" s="778"/>
      <c r="AE49" s="779"/>
      <c r="AF49" s="779"/>
      <c r="AG49" s="779"/>
      <c r="AH49" s="780"/>
      <c r="AL49" s="727"/>
      <c r="AM49" s="727"/>
      <c r="AN49" s="727"/>
      <c r="AO49" s="727"/>
      <c r="AP49" s="727"/>
      <c r="AQ49" s="727"/>
      <c r="AR49" s="1689"/>
      <c r="AS49" s="1689"/>
      <c r="AT49" s="1689"/>
      <c r="AU49" s="1689"/>
      <c r="AY49" s="727"/>
      <c r="AZ49" s="727"/>
      <c r="BA49" s="727"/>
      <c r="BB49" s="727"/>
      <c r="BC49" s="727"/>
      <c r="BD49" s="727"/>
      <c r="BE49" s="727"/>
      <c r="BF49" s="727"/>
      <c r="BG49" s="727"/>
      <c r="BH49" s="727"/>
    </row>
    <row r="50" spans="7:60" ht="15" customHeight="1" x14ac:dyDescent="0.25">
      <c r="AD50" s="778"/>
      <c r="AE50" s="779"/>
      <c r="AF50" s="779"/>
      <c r="AG50" s="779"/>
      <c r="AH50" s="780"/>
      <c r="AL50" s="727"/>
      <c r="AM50" s="727"/>
      <c r="AN50" s="727"/>
      <c r="AO50" s="727"/>
      <c r="AP50" s="727"/>
      <c r="AQ50" s="727"/>
      <c r="AR50" s="1689"/>
      <c r="AS50" s="1689"/>
      <c r="AT50" s="1689"/>
      <c r="AU50" s="1689"/>
      <c r="AY50" s="728">
        <f>AR48/((84*3.1415/59)*(AO48/3.281))</f>
        <v>5.8467040532815623E-2</v>
      </c>
      <c r="AZ50" s="729"/>
      <c r="BA50" s="729"/>
      <c r="BB50" s="729"/>
      <c r="BC50" s="729"/>
      <c r="BD50" s="729"/>
      <c r="BE50" s="729"/>
      <c r="BF50" s="729"/>
      <c r="BG50" s="729"/>
      <c r="BH50" s="730"/>
    </row>
    <row r="51" spans="7:60" ht="15.75" customHeight="1" thickBot="1" x14ac:dyDescent="0.3">
      <c r="AD51" s="781"/>
      <c r="AE51" s="782"/>
      <c r="AF51" s="782"/>
      <c r="AG51" s="782"/>
      <c r="AH51" s="783"/>
      <c r="AL51" s="727"/>
      <c r="AM51" s="727"/>
      <c r="AN51" s="727"/>
      <c r="AO51" s="727"/>
      <c r="AP51" s="727"/>
      <c r="AQ51" s="727"/>
      <c r="AR51" s="1689"/>
      <c r="AS51" s="1689"/>
      <c r="AT51" s="1689"/>
      <c r="AU51" s="1689"/>
      <c r="AY51" s="731"/>
      <c r="AZ51" s="732"/>
      <c r="BA51" s="732"/>
      <c r="BB51" s="732"/>
      <c r="BC51" s="732"/>
      <c r="BD51" s="732"/>
      <c r="BE51" s="732"/>
      <c r="BF51" s="732"/>
      <c r="BG51" s="732"/>
      <c r="BH51" s="733"/>
    </row>
    <row r="52" spans="7:60" ht="15.75" customHeight="1" thickTop="1" x14ac:dyDescent="0.25">
      <c r="AY52" s="734"/>
      <c r="AZ52" s="735"/>
      <c r="BA52" s="735"/>
      <c r="BB52" s="735"/>
      <c r="BC52" s="735"/>
      <c r="BD52" s="735"/>
      <c r="BE52" s="735"/>
      <c r="BF52" s="735"/>
      <c r="BG52" s="735"/>
      <c r="BH52" s="736"/>
    </row>
    <row r="53" spans="7:60" x14ac:dyDescent="0.25">
      <c r="AY53" s="739" t="s">
        <v>129</v>
      </c>
      <c r="AZ53" s="740"/>
      <c r="BA53" s="740"/>
      <c r="BB53" s="740"/>
      <c r="BC53" s="740"/>
      <c r="BD53" s="740"/>
      <c r="BE53" s="740"/>
      <c r="BF53" s="740"/>
      <c r="BG53" s="740"/>
      <c r="BH53" s="741"/>
    </row>
    <row r="54" spans="7:60" x14ac:dyDescent="0.25">
      <c r="AY54" s="742"/>
      <c r="AZ54" s="743"/>
      <c r="BA54" s="743"/>
      <c r="BB54" s="743"/>
      <c r="BC54" s="743"/>
      <c r="BD54" s="743"/>
      <c r="BE54" s="743"/>
      <c r="BF54" s="743"/>
      <c r="BG54" s="743"/>
      <c r="BH54" s="744"/>
    </row>
    <row r="55" spans="7:60" x14ac:dyDescent="0.25">
      <c r="AN55" s="727">
        <v>45</v>
      </c>
      <c r="AO55" s="727"/>
      <c r="AP55" s="727"/>
      <c r="AQ55" s="746">
        <v>6</v>
      </c>
      <c r="AR55" s="746"/>
      <c r="AS55" s="746"/>
      <c r="AT55" s="747">
        <f>AQ55*AN55</f>
        <v>270</v>
      </c>
      <c r="AU55" s="748"/>
      <c r="AV55" s="748"/>
      <c r="AW55" s="749"/>
      <c r="AY55" s="739" t="s">
        <v>130</v>
      </c>
      <c r="AZ55" s="740"/>
      <c r="BA55" s="740"/>
      <c r="BB55" s="740"/>
      <c r="BC55" s="740"/>
      <c r="BD55" s="740"/>
      <c r="BE55" s="740"/>
      <c r="BF55" s="740"/>
      <c r="BG55" s="740"/>
      <c r="BH55" s="741"/>
    </row>
    <row r="56" spans="7:60" x14ac:dyDescent="0.25">
      <c r="AN56" s="727"/>
      <c r="AO56" s="727"/>
      <c r="AP56" s="727"/>
      <c r="AQ56" s="746"/>
      <c r="AR56" s="746"/>
      <c r="AS56" s="746"/>
      <c r="AT56" s="747"/>
      <c r="AU56" s="748"/>
      <c r="AV56" s="748"/>
      <c r="AW56" s="749"/>
      <c r="AY56" s="750"/>
      <c r="AZ56" s="751"/>
      <c r="BA56" s="751"/>
      <c r="BB56" s="751"/>
      <c r="BC56" s="751"/>
      <c r="BD56" s="751"/>
      <c r="BE56" s="751"/>
      <c r="BF56" s="751"/>
      <c r="BG56" s="751"/>
      <c r="BH56" s="752"/>
    </row>
    <row r="57" spans="7:60" ht="15" customHeight="1" x14ac:dyDescent="0.25">
      <c r="AN57" s="727"/>
      <c r="AO57" s="727"/>
      <c r="AP57" s="727"/>
      <c r="AQ57" s="746"/>
      <c r="AR57" s="746"/>
      <c r="AS57" s="746"/>
      <c r="AT57" s="747"/>
      <c r="AU57" s="748"/>
      <c r="AV57" s="748"/>
      <c r="AW57" s="749"/>
      <c r="AY57" s="750"/>
      <c r="AZ57" s="751"/>
      <c r="BA57" s="751"/>
      <c r="BB57" s="751"/>
      <c r="BC57" s="751"/>
      <c r="BD57" s="751"/>
      <c r="BE57" s="751"/>
      <c r="BF57" s="751"/>
      <c r="BG57" s="751"/>
      <c r="BH57" s="752"/>
    </row>
    <row r="58" spans="7:60" ht="15" customHeight="1" x14ac:dyDescent="0.25">
      <c r="AN58" s="727">
        <v>40</v>
      </c>
      <c r="AO58" s="727"/>
      <c r="AP58" s="727"/>
      <c r="AQ58" s="746">
        <v>2</v>
      </c>
      <c r="AR58" s="746"/>
      <c r="AS58" s="746"/>
      <c r="AT58" s="747">
        <f t="shared" ref="AT58" si="0">AQ58*AN58</f>
        <v>80</v>
      </c>
      <c r="AU58" s="748"/>
      <c r="AV58" s="748"/>
      <c r="AW58" s="749"/>
      <c r="AY58" s="742"/>
      <c r="AZ58" s="743"/>
      <c r="BA58" s="743"/>
      <c r="BB58" s="743"/>
      <c r="BC58" s="743"/>
      <c r="BD58" s="743"/>
      <c r="BE58" s="743"/>
      <c r="BF58" s="743"/>
      <c r="BG58" s="743"/>
      <c r="BH58" s="744"/>
    </row>
    <row r="59" spans="7:60" ht="15" customHeight="1" x14ac:dyDescent="0.25">
      <c r="AN59" s="727"/>
      <c r="AO59" s="727"/>
      <c r="AP59" s="727"/>
      <c r="AQ59" s="746"/>
      <c r="AR59" s="746"/>
      <c r="AS59" s="746"/>
      <c r="AT59" s="747"/>
      <c r="AU59" s="748"/>
      <c r="AV59" s="748"/>
      <c r="AW59" s="749"/>
      <c r="AY59" s="728">
        <f>AT48/((84*3.1415/59)*(AO48/3.281))</f>
        <v>6.9470598887559715E-2</v>
      </c>
      <c r="AZ59" s="729"/>
      <c r="BA59" s="729"/>
      <c r="BB59" s="729"/>
      <c r="BC59" s="729"/>
      <c r="BD59" s="729"/>
      <c r="BE59" s="729"/>
      <c r="BF59" s="729"/>
      <c r="BG59" s="729"/>
      <c r="BH59" s="730"/>
    </row>
    <row r="60" spans="7:60" ht="15" customHeight="1" x14ac:dyDescent="0.25">
      <c r="AN60" s="727"/>
      <c r="AO60" s="727"/>
      <c r="AP60" s="727"/>
      <c r="AQ60" s="746"/>
      <c r="AR60" s="746"/>
      <c r="AS60" s="746"/>
      <c r="AT60" s="747"/>
      <c r="AU60" s="748"/>
      <c r="AV60" s="748"/>
      <c r="AW60" s="749"/>
      <c r="AY60" s="731"/>
      <c r="AZ60" s="732"/>
      <c r="BA60" s="732"/>
      <c r="BB60" s="732"/>
      <c r="BC60" s="732"/>
      <c r="BD60" s="732"/>
      <c r="BE60" s="732"/>
      <c r="BF60" s="732"/>
      <c r="BG60" s="732"/>
      <c r="BH60" s="733"/>
    </row>
    <row r="61" spans="7:60" ht="15" customHeight="1" x14ac:dyDescent="0.25">
      <c r="AN61" s="727">
        <v>37.5</v>
      </c>
      <c r="AO61" s="727"/>
      <c r="AP61" s="727"/>
      <c r="AQ61" s="746">
        <v>4</v>
      </c>
      <c r="AR61" s="746"/>
      <c r="AS61" s="746"/>
      <c r="AT61" s="747">
        <f t="shared" ref="AT61" si="1">AQ61*AN61</f>
        <v>150</v>
      </c>
      <c r="AU61" s="748"/>
      <c r="AV61" s="748"/>
      <c r="AW61" s="749"/>
      <c r="AY61" s="731"/>
      <c r="AZ61" s="732"/>
      <c r="BA61" s="732"/>
      <c r="BB61" s="732"/>
      <c r="BC61" s="732"/>
      <c r="BD61" s="732"/>
      <c r="BE61" s="732"/>
      <c r="BF61" s="732"/>
      <c r="BG61" s="732"/>
      <c r="BH61" s="733"/>
    </row>
    <row r="62" spans="7:60" ht="15" customHeight="1" x14ac:dyDescent="0.25">
      <c r="AN62" s="727"/>
      <c r="AO62" s="727"/>
      <c r="AP62" s="727"/>
      <c r="AQ62" s="746"/>
      <c r="AR62" s="746"/>
      <c r="AS62" s="746"/>
      <c r="AT62" s="747"/>
      <c r="AU62" s="748"/>
      <c r="AV62" s="748"/>
      <c r="AW62" s="749"/>
      <c r="AY62" s="731"/>
      <c r="AZ62" s="732"/>
      <c r="BA62" s="732"/>
      <c r="BB62" s="732"/>
      <c r="BC62" s="732"/>
      <c r="BD62" s="732"/>
      <c r="BE62" s="732"/>
      <c r="BF62" s="732"/>
      <c r="BG62" s="732"/>
      <c r="BH62" s="733"/>
    </row>
    <row r="63" spans="7:60" ht="15" customHeight="1" x14ac:dyDescent="0.25">
      <c r="AN63" s="727"/>
      <c r="AO63" s="727"/>
      <c r="AP63" s="727"/>
      <c r="AQ63" s="746"/>
      <c r="AR63" s="746"/>
      <c r="AS63" s="746"/>
      <c r="AT63" s="747"/>
      <c r="AU63" s="748"/>
      <c r="AV63" s="748"/>
      <c r="AW63" s="749"/>
      <c r="AY63" s="734"/>
      <c r="AZ63" s="735"/>
      <c r="BA63" s="735"/>
      <c r="BB63" s="735"/>
      <c r="BC63" s="735"/>
      <c r="BD63" s="735"/>
      <c r="BE63" s="735"/>
      <c r="BF63" s="735"/>
      <c r="BG63" s="735"/>
      <c r="BH63" s="736"/>
    </row>
    <row r="64" spans="7:60" ht="15" customHeight="1" x14ac:dyDescent="0.25">
      <c r="AN64" s="727"/>
      <c r="AO64" s="727"/>
      <c r="AP64" s="727"/>
      <c r="AQ64" s="746"/>
      <c r="AR64" s="746"/>
      <c r="AS64" s="746"/>
      <c r="AT64" s="747"/>
      <c r="AU64" s="748"/>
      <c r="AV64" s="748"/>
      <c r="AW64" s="749"/>
    </row>
    <row r="65" spans="40:49" ht="15" customHeight="1" x14ac:dyDescent="0.25">
      <c r="AN65" s="727"/>
      <c r="AO65" s="727"/>
      <c r="AP65" s="727"/>
      <c r="AQ65" s="746"/>
      <c r="AR65" s="746"/>
      <c r="AS65" s="746"/>
      <c r="AT65" s="747"/>
      <c r="AU65" s="748"/>
      <c r="AV65" s="748"/>
      <c r="AW65" s="749"/>
    </row>
    <row r="66" spans="40:49" ht="15" customHeight="1" x14ac:dyDescent="0.25">
      <c r="AN66" s="727"/>
      <c r="AO66" s="727"/>
      <c r="AP66" s="727"/>
      <c r="AQ66" s="746"/>
      <c r="AR66" s="746"/>
      <c r="AS66" s="746"/>
      <c r="AT66" s="747"/>
      <c r="AU66" s="748"/>
      <c r="AV66" s="748"/>
      <c r="AW66" s="749"/>
    </row>
    <row r="67" spans="40:49" ht="15" customHeight="1" x14ac:dyDescent="0.25">
      <c r="AN67" s="727"/>
      <c r="AO67" s="727"/>
      <c r="AP67" s="727"/>
      <c r="AQ67" s="746"/>
      <c r="AR67" s="746"/>
      <c r="AS67" s="746"/>
      <c r="AT67" s="747"/>
      <c r="AU67" s="748"/>
      <c r="AV67" s="748"/>
      <c r="AW67" s="749"/>
    </row>
    <row r="68" spans="40:49" ht="15" customHeight="1" x14ac:dyDescent="0.25">
      <c r="AN68" s="727"/>
      <c r="AO68" s="727"/>
      <c r="AP68" s="727"/>
      <c r="AQ68" s="746"/>
      <c r="AR68" s="746"/>
      <c r="AS68" s="746"/>
      <c r="AT68" s="747"/>
      <c r="AU68" s="748"/>
      <c r="AV68" s="748"/>
      <c r="AW68" s="749"/>
    </row>
    <row r="69" spans="40:49" ht="15" customHeight="1" x14ac:dyDescent="0.25">
      <c r="AN69" s="727"/>
      <c r="AO69" s="727"/>
      <c r="AP69" s="727"/>
      <c r="AQ69" s="746"/>
      <c r="AR69" s="746"/>
      <c r="AS69" s="746"/>
      <c r="AT69" s="747"/>
      <c r="AU69" s="748"/>
      <c r="AV69" s="748"/>
      <c r="AW69" s="749"/>
    </row>
    <row r="70" spans="40:49" ht="15" customHeight="1" x14ac:dyDescent="0.25">
      <c r="AQ70" s="1254">
        <f>AQ55+AQ58+AQ61+AQ64+AQ67</f>
        <v>12</v>
      </c>
      <c r="AR70" s="1254"/>
      <c r="AS70" s="1254"/>
      <c r="AT70" s="747">
        <f>AT55+AT58+AT61+AT64+AT67</f>
        <v>500</v>
      </c>
      <c r="AU70" s="748"/>
      <c r="AV70" s="748"/>
      <c r="AW70" s="749"/>
    </row>
    <row r="71" spans="40:49" ht="15" customHeight="1" x14ac:dyDescent="0.25">
      <c r="AQ71" s="1254"/>
      <c r="AR71" s="1254"/>
      <c r="AS71" s="1254"/>
      <c r="AT71" s="747"/>
      <c r="AU71" s="748"/>
      <c r="AV71" s="748"/>
      <c r="AW71" s="749"/>
    </row>
    <row r="72" spans="40:49" ht="15" customHeight="1" x14ac:dyDescent="0.25">
      <c r="AQ72" s="1254"/>
      <c r="AR72" s="1254"/>
      <c r="AS72" s="1254"/>
      <c r="AT72" s="747"/>
      <c r="AU72" s="748"/>
      <c r="AV72" s="748"/>
      <c r="AW72" s="749"/>
    </row>
    <row r="73" spans="40:49" ht="15" customHeight="1" x14ac:dyDescent="0.25"/>
    <row r="74" spans="40:49" ht="15" customHeight="1" x14ac:dyDescent="0.25"/>
    <row r="75" spans="40:49" ht="15" customHeight="1" x14ac:dyDescent="0.25"/>
    <row r="76" spans="40:49" ht="15" customHeight="1" x14ac:dyDescent="0.25"/>
    <row r="77" spans="40:49" ht="15" customHeight="1" x14ac:dyDescent="0.25">
      <c r="AS77" s="27"/>
      <c r="AT77" s="27"/>
      <c r="AU77" s="27"/>
    </row>
  </sheetData>
  <mergeCells count="233">
    <mergeCell ref="BB2:BC2"/>
    <mergeCell ref="BD2:BF2"/>
    <mergeCell ref="BG2:BH2"/>
    <mergeCell ref="F3:J5"/>
    <mergeCell ref="K3:O5"/>
    <mergeCell ref="P3:T5"/>
    <mergeCell ref="A3:E5"/>
    <mergeCell ref="AJ3:AN5"/>
    <mergeCell ref="AO3:AS5"/>
    <mergeCell ref="AY3:BA5"/>
    <mergeCell ref="AJ2:AL2"/>
    <mergeCell ref="AM2:AN2"/>
    <mergeCell ref="AO2:AQ2"/>
    <mergeCell ref="AR2:AS2"/>
    <mergeCell ref="AY2:BA2"/>
    <mergeCell ref="P2:R2"/>
    <mergeCell ref="S2:T2"/>
    <mergeCell ref="A2:C2"/>
    <mergeCell ref="D2:E2"/>
    <mergeCell ref="F2:H2"/>
    <mergeCell ref="I2:J2"/>
    <mergeCell ref="K2:M2"/>
    <mergeCell ref="N2:O2"/>
    <mergeCell ref="U2:W2"/>
    <mergeCell ref="AJ6:AJ7"/>
    <mergeCell ref="AK6:AN6"/>
    <mergeCell ref="V6:Y6"/>
    <mergeCell ref="F6:F7"/>
    <mergeCell ref="G6:J6"/>
    <mergeCell ref="K6:K7"/>
    <mergeCell ref="L6:O6"/>
    <mergeCell ref="BD3:BF5"/>
    <mergeCell ref="AT3:AX5"/>
    <mergeCell ref="P6:P7"/>
    <mergeCell ref="Q6:T6"/>
    <mergeCell ref="Z3:AD5"/>
    <mergeCell ref="Z6:Z7"/>
    <mergeCell ref="AA6:AD6"/>
    <mergeCell ref="AY8:BA8"/>
    <mergeCell ref="BB8:BC8"/>
    <mergeCell ref="BD8:BF8"/>
    <mergeCell ref="BG8:BH8"/>
    <mergeCell ref="AY9:BA11"/>
    <mergeCell ref="BD9:BF11"/>
    <mergeCell ref="BE6:BH6"/>
    <mergeCell ref="AO6:AO7"/>
    <mergeCell ref="AP6:AS6"/>
    <mergeCell ref="AY6:AY7"/>
    <mergeCell ref="AZ6:BC6"/>
    <mergeCell ref="BD6:BD7"/>
    <mergeCell ref="AT6:AT7"/>
    <mergeCell ref="AU6:AX6"/>
    <mergeCell ref="BD12:BD13"/>
    <mergeCell ref="BE12:BH12"/>
    <mergeCell ref="A14:C14"/>
    <mergeCell ref="D14:E14"/>
    <mergeCell ref="AO14:AQ14"/>
    <mergeCell ref="AR14:AS14"/>
    <mergeCell ref="AY14:BA14"/>
    <mergeCell ref="BB14:BC14"/>
    <mergeCell ref="AE12:AH12"/>
    <mergeCell ref="AI12:AI13"/>
    <mergeCell ref="AJ12:AM12"/>
    <mergeCell ref="AN12:AN13"/>
    <mergeCell ref="AY12:AY13"/>
    <mergeCell ref="AZ12:BC12"/>
    <mergeCell ref="P12:S12"/>
    <mergeCell ref="T12:T13"/>
    <mergeCell ref="A12:D12"/>
    <mergeCell ref="E12:E13"/>
    <mergeCell ref="F12:I12"/>
    <mergeCell ref="J12:J13"/>
    <mergeCell ref="K12:N12"/>
    <mergeCell ref="O12:O13"/>
    <mergeCell ref="BD14:BF14"/>
    <mergeCell ref="BG14:BH14"/>
    <mergeCell ref="AO15:AQ17"/>
    <mergeCell ref="AY15:BA17"/>
    <mergeCell ref="BD15:BF17"/>
    <mergeCell ref="U16:U17"/>
    <mergeCell ref="V16:Y16"/>
    <mergeCell ref="Z16:Z17"/>
    <mergeCell ref="BG20:BH20"/>
    <mergeCell ref="A20:C20"/>
    <mergeCell ref="D20:E20"/>
    <mergeCell ref="F20:H20"/>
    <mergeCell ref="I20:J20"/>
    <mergeCell ref="AO20:AQ20"/>
    <mergeCell ref="AR20:AS20"/>
    <mergeCell ref="A18:A19"/>
    <mergeCell ref="B18:E18"/>
    <mergeCell ref="AY18:AY19"/>
    <mergeCell ref="AZ18:BC18"/>
    <mergeCell ref="BD18:BD19"/>
    <mergeCell ref="BE18:BH18"/>
    <mergeCell ref="AA16:AD16"/>
    <mergeCell ref="U18:AD18"/>
    <mergeCell ref="A21:C23"/>
    <mergeCell ref="F21:H23"/>
    <mergeCell ref="AO21:AQ23"/>
    <mergeCell ref="AT21:AV23"/>
    <mergeCell ref="AY21:BA23"/>
    <mergeCell ref="BD21:BF23"/>
    <mergeCell ref="AT20:AV20"/>
    <mergeCell ref="AW20:AX20"/>
    <mergeCell ref="AY20:BA20"/>
    <mergeCell ref="BB20:BC20"/>
    <mergeCell ref="BD20:BF20"/>
    <mergeCell ref="AY24:AY25"/>
    <mergeCell ref="AZ24:BC24"/>
    <mergeCell ref="BD24:BD25"/>
    <mergeCell ref="BE24:BH24"/>
    <mergeCell ref="A24:A25"/>
    <mergeCell ref="B24:E24"/>
    <mergeCell ref="F24:F25"/>
    <mergeCell ref="G24:J24"/>
    <mergeCell ref="AO24:AO25"/>
    <mergeCell ref="AP24:AS24"/>
    <mergeCell ref="AT24:AT25"/>
    <mergeCell ref="AU24:AX24"/>
    <mergeCell ref="AY26:BA26"/>
    <mergeCell ref="BB26:BC26"/>
    <mergeCell ref="BD26:BF26"/>
    <mergeCell ref="BG26:BH26"/>
    <mergeCell ref="A27:C29"/>
    <mergeCell ref="F27:H29"/>
    <mergeCell ref="AT27:AV29"/>
    <mergeCell ref="AY27:BA29"/>
    <mergeCell ref="BD27:BF29"/>
    <mergeCell ref="A26:C26"/>
    <mergeCell ref="D26:E26"/>
    <mergeCell ref="F26:H26"/>
    <mergeCell ref="I26:J26"/>
    <mergeCell ref="AT26:AV26"/>
    <mergeCell ref="AW26:AX26"/>
    <mergeCell ref="A30:A31"/>
    <mergeCell ref="B30:E30"/>
    <mergeCell ref="F30:F31"/>
    <mergeCell ref="G30:J30"/>
    <mergeCell ref="AT30:AT31"/>
    <mergeCell ref="AU30:AX30"/>
    <mergeCell ref="H35:J35"/>
    <mergeCell ref="Q35:V42"/>
    <mergeCell ref="H36:J37"/>
    <mergeCell ref="X37:AB42"/>
    <mergeCell ref="AC37:AH42"/>
    <mergeCell ref="H38:J40"/>
    <mergeCell ref="H41:J42"/>
    <mergeCell ref="AO45:AQ47"/>
    <mergeCell ref="AR45:AS47"/>
    <mergeCell ref="AT45:AU47"/>
    <mergeCell ref="BD30:BD31"/>
    <mergeCell ref="BE30:BH30"/>
    <mergeCell ref="H32:J33"/>
    <mergeCell ref="Q32:V34"/>
    <mergeCell ref="X32:AB36"/>
    <mergeCell ref="AC32:AH36"/>
    <mergeCell ref="AJ32:AN42"/>
    <mergeCell ref="AO32:AS33"/>
    <mergeCell ref="AY30:AY31"/>
    <mergeCell ref="AZ30:BC30"/>
    <mergeCell ref="AV34:AW40"/>
    <mergeCell ref="AE10:AH10"/>
    <mergeCell ref="AI10:AI11"/>
    <mergeCell ref="AY53:BH54"/>
    <mergeCell ref="AN55:AP57"/>
    <mergeCell ref="AQ55:AS57"/>
    <mergeCell ref="AT55:AW57"/>
    <mergeCell ref="AY55:BH58"/>
    <mergeCell ref="AN58:AP60"/>
    <mergeCell ref="AQ58:AS60"/>
    <mergeCell ref="AT58:AW60"/>
    <mergeCell ref="AY59:BH63"/>
    <mergeCell ref="AN61:AP63"/>
    <mergeCell ref="AY45:BH47"/>
    <mergeCell ref="AL48:AN51"/>
    <mergeCell ref="AO48:AQ51"/>
    <mergeCell ref="AR48:AS51"/>
    <mergeCell ref="AT48:AU51"/>
    <mergeCell ref="AY48:BH49"/>
    <mergeCell ref="AY50:BH52"/>
    <mergeCell ref="AO41:AW42"/>
    <mergeCell ref="AD45:AH51"/>
    <mergeCell ref="AJ10:AM10"/>
    <mergeCell ref="AN10:AN11"/>
    <mergeCell ref="AL45:AN47"/>
    <mergeCell ref="A6:A7"/>
    <mergeCell ref="B6:E6"/>
    <mergeCell ref="U8:AX9"/>
    <mergeCell ref="AQ70:AS72"/>
    <mergeCell ref="AT70:AW72"/>
    <mergeCell ref="AE2:AG2"/>
    <mergeCell ref="AH2:AI2"/>
    <mergeCell ref="AE3:AI5"/>
    <mergeCell ref="AE6:AE7"/>
    <mergeCell ref="AF6:AI6"/>
    <mergeCell ref="AT2:AV2"/>
    <mergeCell ref="AW2:AX2"/>
    <mergeCell ref="AQ61:AS63"/>
    <mergeCell ref="AT61:AW63"/>
    <mergeCell ref="AN64:AP66"/>
    <mergeCell ref="AQ64:AS66"/>
    <mergeCell ref="AT64:AW66"/>
    <mergeCell ref="AN67:AP69"/>
    <mergeCell ref="AQ67:AS69"/>
    <mergeCell ref="AT67:AW69"/>
    <mergeCell ref="AT32:AW33"/>
    <mergeCell ref="AO34:AU40"/>
    <mergeCell ref="Z2:AB2"/>
    <mergeCell ref="AC2:AD2"/>
    <mergeCell ref="X2:Y2"/>
    <mergeCell ref="U3:Y5"/>
    <mergeCell ref="U6:U7"/>
    <mergeCell ref="U12:W12"/>
    <mergeCell ref="X12:Y12"/>
    <mergeCell ref="Z12:AB12"/>
    <mergeCell ref="AC12:AD12"/>
    <mergeCell ref="U13:Y15"/>
    <mergeCell ref="Z13:AD15"/>
    <mergeCell ref="A8:T9"/>
    <mergeCell ref="A15:E17"/>
    <mergeCell ref="P10:S10"/>
    <mergeCell ref="T10:T11"/>
    <mergeCell ref="U10:X10"/>
    <mergeCell ref="Y10:Y11"/>
    <mergeCell ref="Z10:AC10"/>
    <mergeCell ref="AD10:AD11"/>
    <mergeCell ref="A10:D10"/>
    <mergeCell ref="E10:E11"/>
    <mergeCell ref="F10:I10"/>
    <mergeCell ref="J10:J11"/>
    <mergeCell ref="K10:N10"/>
    <mergeCell ref="O10:O11"/>
  </mergeCells>
  <pageMargins left="0.25" right="0" top="0.7" bottom="0" header="0.3" footer="0.3"/>
  <pageSetup paperSize="8" scale="67" orientation="landscape" r:id="rId1"/>
  <headerFooter>
    <oddFooter>&amp;C&amp;"-,Bold Italic"&amp;16Prepared by Emir Cebecioglu&amp;RQuality Control Department</oddFooter>
  </headerFooter>
  <colBreaks count="1" manualBreakCount="1">
    <brk id="60" max="50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91473-A02F-481C-9082-C80E600241A6}">
  <sheetPr>
    <pageSetUpPr fitToPage="1"/>
  </sheetPr>
  <dimension ref="A1:DH195"/>
  <sheetViews>
    <sheetView view="pageBreakPreview" zoomScale="40" zoomScaleNormal="115" zoomScaleSheetLayoutView="40" workbookViewId="0">
      <selection activeCell="F26" sqref="F26:J29"/>
    </sheetView>
  </sheetViews>
  <sheetFormatPr defaultRowHeight="15" x14ac:dyDescent="0.25"/>
  <cols>
    <col min="1" max="1" width="4" customWidth="1"/>
    <col min="2" max="2" width="13.5703125" customWidth="1"/>
    <col min="3" max="3" width="6.28515625" customWidth="1"/>
    <col min="4" max="4" width="9.85546875" customWidth="1"/>
    <col min="5" max="5" width="6.28515625" customWidth="1"/>
    <col min="6" max="6" width="4.140625" customWidth="1"/>
    <col min="7" max="7" width="13.5703125" customWidth="1"/>
    <col min="8" max="8" width="6.28515625" customWidth="1"/>
    <col min="9" max="9" width="9.85546875" customWidth="1"/>
    <col min="10" max="10" width="6.28515625" customWidth="1"/>
    <col min="11" max="11" width="4.140625" customWidth="1"/>
    <col min="12" max="12" width="13.5703125" customWidth="1"/>
    <col min="13" max="13" width="6.28515625" customWidth="1"/>
    <col min="14" max="14" width="9.85546875" customWidth="1"/>
    <col min="15" max="15" width="6.28515625" customWidth="1"/>
    <col min="16" max="16" width="4.140625" customWidth="1"/>
    <col min="17" max="17" width="13.5703125" customWidth="1"/>
    <col min="18" max="18" width="6.28515625" customWidth="1"/>
    <col min="19" max="19" width="9.85546875" customWidth="1"/>
    <col min="20" max="20" width="6.28515625" customWidth="1"/>
    <col min="21" max="21" width="4.140625" customWidth="1"/>
    <col min="22" max="22" width="13.5703125" customWidth="1"/>
    <col min="23" max="23" width="6.28515625" customWidth="1"/>
    <col min="24" max="24" width="9.85546875" customWidth="1"/>
    <col min="25" max="25" width="6.28515625" customWidth="1"/>
    <col min="26" max="26" width="4.140625" customWidth="1"/>
    <col min="27" max="27" width="13.5703125" customWidth="1"/>
    <col min="28" max="28" width="6.28515625" customWidth="1"/>
    <col min="29" max="29" width="9.85546875" customWidth="1"/>
    <col min="30" max="30" width="6.28515625" customWidth="1"/>
    <col min="31" max="31" width="4.140625" customWidth="1"/>
    <col min="32" max="32" width="13.5703125" customWidth="1"/>
    <col min="33" max="33" width="6.28515625" customWidth="1"/>
    <col min="34" max="34" width="9.85546875" customWidth="1"/>
    <col min="35" max="35" width="6.28515625" customWidth="1"/>
    <col min="36" max="36" width="4.140625" customWidth="1"/>
    <col min="37" max="37" width="13.5703125" customWidth="1"/>
    <col min="38" max="38" width="6.28515625" customWidth="1"/>
    <col min="39" max="39" width="9.85546875" customWidth="1"/>
    <col min="40" max="40" width="6.28515625" customWidth="1"/>
    <col min="41" max="41" width="4.140625" customWidth="1"/>
    <col min="42" max="42" width="13.5703125" customWidth="1"/>
    <col min="43" max="43" width="6.28515625" customWidth="1"/>
    <col min="44" max="44" width="9.85546875" customWidth="1"/>
    <col min="45" max="45" width="6.28515625" customWidth="1"/>
    <col min="46" max="46" width="4.140625" customWidth="1"/>
    <col min="47" max="47" width="13.5703125" customWidth="1"/>
    <col min="48" max="48" width="6.28515625" customWidth="1"/>
    <col min="49" max="49" width="9.85546875" customWidth="1"/>
    <col min="50" max="50" width="6.28515625" customWidth="1"/>
    <col min="51" max="51" width="4.140625" customWidth="1"/>
    <col min="52" max="52" width="13.5703125" customWidth="1"/>
    <col min="53" max="53" width="6.28515625" customWidth="1"/>
    <col min="54" max="54" width="9.85546875" customWidth="1"/>
    <col min="55" max="55" width="6.28515625" customWidth="1"/>
    <col min="56" max="56" width="4.140625" customWidth="1"/>
    <col min="57" max="57" width="13.5703125" customWidth="1"/>
    <col min="58" max="58" width="6.28515625" customWidth="1"/>
    <col min="59" max="59" width="9.85546875" customWidth="1"/>
    <col min="60" max="60" width="6.28515625" customWidth="1"/>
    <col min="61" max="61" width="4.140625" customWidth="1"/>
    <col min="62" max="62" width="13.5703125" customWidth="1"/>
    <col min="63" max="63" width="6.28515625" customWidth="1"/>
    <col min="64" max="64" width="9.85546875" customWidth="1"/>
    <col min="65" max="65" width="6.28515625" customWidth="1"/>
    <col min="66" max="66" width="4.140625" customWidth="1"/>
    <col min="67" max="67" width="13.5703125" customWidth="1"/>
    <col min="68" max="68" width="6.28515625" customWidth="1"/>
    <col min="69" max="69" width="9.85546875" customWidth="1"/>
    <col min="70" max="70" width="6.28515625" customWidth="1"/>
    <col min="71" max="71" width="1" customWidth="1"/>
    <col min="72" max="72" width="56.7109375" customWidth="1"/>
    <col min="73" max="73" width="13" customWidth="1"/>
    <col min="74" max="74" width="7" customWidth="1"/>
  </cols>
  <sheetData>
    <row r="1" spans="1:83" ht="253.5" customHeight="1" thickBot="1" x14ac:dyDescent="0.3"/>
    <row r="2" spans="1:83" ht="22.5" customHeight="1" thickTop="1" x14ac:dyDescent="0.25">
      <c r="A2" s="1900" t="s">
        <v>110</v>
      </c>
      <c r="B2" s="1901"/>
      <c r="C2" s="1904">
        <f>B7/((90*3.1415/59)*(42.5/3.281))</f>
        <v>4.0918853343236599E-3</v>
      </c>
      <c r="D2" s="1904"/>
      <c r="E2" s="1905"/>
      <c r="F2" s="1900" t="s">
        <v>110</v>
      </c>
      <c r="G2" s="1901"/>
      <c r="H2" s="1904">
        <f t="shared" ref="H2" si="0">G7/((90*3.1415/59)*(42.5/3.281))</f>
        <v>3.2735082674589279E-3</v>
      </c>
      <c r="I2" s="1904"/>
      <c r="J2" s="1905"/>
      <c r="K2" s="1900" t="s">
        <v>110</v>
      </c>
      <c r="L2" s="1901"/>
      <c r="M2" s="1904">
        <f t="shared" ref="M2" si="1">L7/((90*3.1415/59)*(42.5/3.281))</f>
        <v>2.0459426671618299E-3</v>
      </c>
      <c r="N2" s="1904"/>
      <c r="O2" s="1905"/>
      <c r="P2" s="1900" t="s">
        <v>110</v>
      </c>
      <c r="Q2" s="1901"/>
      <c r="R2" s="1904">
        <f t="shared" ref="R2" si="2">Q7/((90*3.1415/59)*(42.5/3.281))</f>
        <v>1.610978478080181E-16</v>
      </c>
      <c r="S2" s="1904"/>
      <c r="T2" s="1905"/>
      <c r="U2" s="1900" t="s">
        <v>110</v>
      </c>
      <c r="V2" s="1901"/>
      <c r="W2" s="1904">
        <f t="shared" ref="W2" si="3">V7/((90*3.1415/59)*(42.5/3.281))</f>
        <v>6.7925296549772751E-2</v>
      </c>
      <c r="X2" s="1904"/>
      <c r="Y2" s="1905"/>
      <c r="Z2" s="1900" t="s">
        <v>110</v>
      </c>
      <c r="AA2" s="1901"/>
      <c r="AB2" s="1904">
        <f t="shared" ref="AB2" si="4">AA7/((90*3.1415/59)*(42.5/3.281))</f>
        <v>2.8643197340265619E-3</v>
      </c>
      <c r="AC2" s="1904"/>
      <c r="AD2" s="1905"/>
      <c r="AE2" s="1890" t="s">
        <v>110</v>
      </c>
      <c r="AF2" s="1891"/>
      <c r="AG2" s="1894">
        <f>AF7/((90*3.1415/59)*(45/3.281))</f>
        <v>1.5214796737423934E-16</v>
      </c>
      <c r="AH2" s="1894"/>
      <c r="AI2" s="1895"/>
      <c r="AJ2" s="1890" t="s">
        <v>110</v>
      </c>
      <c r="AK2" s="1891"/>
      <c r="AL2" s="1894">
        <f t="shared" ref="AL2" si="5">AK7/((90*3.1415/59)*(45/3.281))</f>
        <v>2.589254108774805E-2</v>
      </c>
      <c r="AM2" s="1894"/>
      <c r="AN2" s="1895"/>
      <c r="AO2" s="1890" t="s">
        <v>110</v>
      </c>
      <c r="AP2" s="1891"/>
      <c r="AQ2" s="1894">
        <f t="shared" ref="AQ2" si="6">AP7/((90*3.1415/59)*(45/3.281))</f>
        <v>1.5214796737423933E-18</v>
      </c>
      <c r="AR2" s="1894"/>
      <c r="AS2" s="1895"/>
      <c r="AT2" s="1890" t="s">
        <v>110</v>
      </c>
      <c r="AU2" s="1891"/>
      <c r="AV2" s="1894">
        <f t="shared" ref="AV2" si="7">AU7/((90*3.1415/59)*(45/3.281))</f>
        <v>1.5214796737423934E-12</v>
      </c>
      <c r="AW2" s="1894"/>
      <c r="AX2" s="1895"/>
      <c r="AY2" s="1890" t="s">
        <v>110</v>
      </c>
      <c r="AZ2" s="1891"/>
      <c r="BA2" s="1894">
        <f t="shared" ref="BA2" si="8">AZ7/((90*3.1415/59)*(45/3.281))</f>
        <v>1.5214796737423934E-12</v>
      </c>
      <c r="BB2" s="1894"/>
      <c r="BC2" s="1895"/>
      <c r="BD2" s="1890" t="s">
        <v>110</v>
      </c>
      <c r="BE2" s="1891"/>
      <c r="BF2" s="1894">
        <f t="shared" ref="BF2" si="9">BE7/((90*3.1415/59)*(45/3.281))</f>
        <v>1.5214796737423934E-14</v>
      </c>
      <c r="BG2" s="1894"/>
      <c r="BH2" s="1895"/>
      <c r="BI2" s="1890" t="s">
        <v>110</v>
      </c>
      <c r="BJ2" s="1891"/>
      <c r="BK2" s="1894">
        <f t="shared" ref="BK2" si="10">BJ7/((90*3.1415/59)*(45/3.281))</f>
        <v>3.8645583713056791E-3</v>
      </c>
      <c r="BL2" s="1894"/>
      <c r="BM2" s="1895"/>
      <c r="BN2" s="1890" t="s">
        <v>110</v>
      </c>
      <c r="BO2" s="1891"/>
      <c r="BP2" s="1894">
        <f t="shared" ref="BP2" si="11">BO7/((90*3.1415/59)*(45/3.281))</f>
        <v>1.5214796737423935E-17</v>
      </c>
      <c r="BQ2" s="1894"/>
      <c r="BR2" s="1895"/>
    </row>
    <row r="3" spans="1:83" ht="22.5" customHeight="1" x14ac:dyDescent="0.25">
      <c r="A3" s="1902"/>
      <c r="B3" s="1903"/>
      <c r="C3" s="1906"/>
      <c r="D3" s="1906"/>
      <c r="E3" s="1907"/>
      <c r="F3" s="1902"/>
      <c r="G3" s="1903"/>
      <c r="H3" s="1906"/>
      <c r="I3" s="1906"/>
      <c r="J3" s="1907"/>
      <c r="K3" s="1902"/>
      <c r="L3" s="1903"/>
      <c r="M3" s="1906"/>
      <c r="N3" s="1906"/>
      <c r="O3" s="1907"/>
      <c r="P3" s="1902"/>
      <c r="Q3" s="1903"/>
      <c r="R3" s="1906"/>
      <c r="S3" s="1906"/>
      <c r="T3" s="1907"/>
      <c r="U3" s="1902"/>
      <c r="V3" s="1903"/>
      <c r="W3" s="1906"/>
      <c r="X3" s="1906"/>
      <c r="Y3" s="1907"/>
      <c r="Z3" s="1902"/>
      <c r="AA3" s="1903"/>
      <c r="AB3" s="1906"/>
      <c r="AC3" s="1906"/>
      <c r="AD3" s="1907"/>
      <c r="AE3" s="1892"/>
      <c r="AF3" s="1893"/>
      <c r="AG3" s="1896"/>
      <c r="AH3" s="1896"/>
      <c r="AI3" s="1897"/>
      <c r="AJ3" s="1892"/>
      <c r="AK3" s="1893"/>
      <c r="AL3" s="1896"/>
      <c r="AM3" s="1896"/>
      <c r="AN3" s="1897"/>
      <c r="AO3" s="1892"/>
      <c r="AP3" s="1893"/>
      <c r="AQ3" s="1896"/>
      <c r="AR3" s="1896"/>
      <c r="AS3" s="1897"/>
      <c r="AT3" s="1892"/>
      <c r="AU3" s="1893"/>
      <c r="AV3" s="1896"/>
      <c r="AW3" s="1896"/>
      <c r="AX3" s="1897"/>
      <c r="AY3" s="1892"/>
      <c r="AZ3" s="1893"/>
      <c r="BA3" s="1896"/>
      <c r="BB3" s="1896"/>
      <c r="BC3" s="1897"/>
      <c r="BD3" s="1892"/>
      <c r="BE3" s="1893"/>
      <c r="BF3" s="1896"/>
      <c r="BG3" s="1896"/>
      <c r="BH3" s="1897"/>
      <c r="BI3" s="1892"/>
      <c r="BJ3" s="1893"/>
      <c r="BK3" s="1896"/>
      <c r="BL3" s="1896"/>
      <c r="BM3" s="1897"/>
      <c r="BN3" s="1892"/>
      <c r="BO3" s="1893"/>
      <c r="BP3" s="1896"/>
      <c r="BQ3" s="1896"/>
      <c r="BR3" s="1897"/>
    </row>
    <row r="4" spans="1:83" ht="33" customHeight="1" x14ac:dyDescent="0.25">
      <c r="A4" s="1791" t="s">
        <v>545</v>
      </c>
      <c r="B4" s="1792"/>
      <c r="C4" s="1792"/>
      <c r="D4" s="1792"/>
      <c r="E4" s="1793"/>
      <c r="F4" s="1791" t="s">
        <v>545</v>
      </c>
      <c r="G4" s="1792"/>
      <c r="H4" s="1792"/>
      <c r="I4" s="1792"/>
      <c r="J4" s="1793"/>
      <c r="K4" s="1809" t="s">
        <v>488</v>
      </c>
      <c r="L4" s="1663"/>
      <c r="M4" s="1663"/>
      <c r="N4" s="1663"/>
      <c r="O4" s="1664"/>
      <c r="P4" s="1809" t="s">
        <v>488</v>
      </c>
      <c r="Q4" s="1663"/>
      <c r="R4" s="1663"/>
      <c r="S4" s="1663"/>
      <c r="T4" s="1664"/>
      <c r="U4" s="1809" t="s">
        <v>488</v>
      </c>
      <c r="V4" s="1663"/>
      <c r="W4" s="1663"/>
      <c r="X4" s="1663"/>
      <c r="Y4" s="1664"/>
      <c r="Z4" s="1791" t="s">
        <v>545</v>
      </c>
      <c r="AA4" s="1792"/>
      <c r="AB4" s="1792"/>
      <c r="AC4" s="1792"/>
      <c r="AD4" s="1793"/>
      <c r="AE4" s="1791" t="s">
        <v>545</v>
      </c>
      <c r="AF4" s="1792"/>
      <c r="AG4" s="1792"/>
      <c r="AH4" s="1792"/>
      <c r="AI4" s="1793"/>
      <c r="AJ4" s="1809" t="s">
        <v>488</v>
      </c>
      <c r="AK4" s="1663"/>
      <c r="AL4" s="1663"/>
      <c r="AM4" s="1663"/>
      <c r="AN4" s="1664"/>
      <c r="AO4" s="1791" t="s">
        <v>545</v>
      </c>
      <c r="AP4" s="1792"/>
      <c r="AQ4" s="1792"/>
      <c r="AR4" s="1792"/>
      <c r="AS4" s="1793"/>
      <c r="AT4" s="1791" t="s">
        <v>545</v>
      </c>
      <c r="AU4" s="1792"/>
      <c r="AV4" s="1792"/>
      <c r="AW4" s="1792"/>
      <c r="AX4" s="1793"/>
      <c r="AY4" s="1791" t="s">
        <v>545</v>
      </c>
      <c r="AZ4" s="1792"/>
      <c r="BA4" s="1792"/>
      <c r="BB4" s="1792"/>
      <c r="BC4" s="1793"/>
      <c r="BD4" s="1809" t="s">
        <v>488</v>
      </c>
      <c r="BE4" s="1663"/>
      <c r="BF4" s="1663"/>
      <c r="BG4" s="1663"/>
      <c r="BH4" s="1664"/>
      <c r="BI4" s="1791" t="s">
        <v>545</v>
      </c>
      <c r="BJ4" s="1792"/>
      <c r="BK4" s="1792"/>
      <c r="BL4" s="1792"/>
      <c r="BM4" s="1793"/>
      <c r="BN4" s="1809" t="s">
        <v>488</v>
      </c>
      <c r="BO4" s="1663"/>
      <c r="BP4" s="1663"/>
      <c r="BQ4" s="1663"/>
      <c r="BR4" s="1664"/>
    </row>
    <row r="5" spans="1:83" ht="33" customHeight="1" x14ac:dyDescent="0.25">
      <c r="A5" s="1794"/>
      <c r="B5" s="1795"/>
      <c r="C5" s="1795"/>
      <c r="D5" s="1795"/>
      <c r="E5" s="1796"/>
      <c r="F5" s="1794"/>
      <c r="G5" s="1795"/>
      <c r="H5" s="1795"/>
      <c r="I5" s="1795"/>
      <c r="J5" s="1796"/>
      <c r="K5" s="1810"/>
      <c r="L5" s="1669"/>
      <c r="M5" s="1669"/>
      <c r="N5" s="1669"/>
      <c r="O5" s="1670"/>
      <c r="P5" s="1810"/>
      <c r="Q5" s="1669"/>
      <c r="R5" s="1669"/>
      <c r="S5" s="1669"/>
      <c r="T5" s="1670"/>
      <c r="U5" s="1810"/>
      <c r="V5" s="1669"/>
      <c r="W5" s="1669"/>
      <c r="X5" s="1669"/>
      <c r="Y5" s="1670"/>
      <c r="Z5" s="1794"/>
      <c r="AA5" s="1795"/>
      <c r="AB5" s="1795"/>
      <c r="AC5" s="1795"/>
      <c r="AD5" s="1796"/>
      <c r="AE5" s="1794"/>
      <c r="AF5" s="1795"/>
      <c r="AG5" s="1795"/>
      <c r="AH5" s="1795"/>
      <c r="AI5" s="1796"/>
      <c r="AJ5" s="1810"/>
      <c r="AK5" s="1669"/>
      <c r="AL5" s="1669"/>
      <c r="AM5" s="1669"/>
      <c r="AN5" s="1670"/>
      <c r="AO5" s="1794"/>
      <c r="AP5" s="1795"/>
      <c r="AQ5" s="1795"/>
      <c r="AR5" s="1795"/>
      <c r="AS5" s="1796"/>
      <c r="AT5" s="1794"/>
      <c r="AU5" s="1795"/>
      <c r="AV5" s="1795"/>
      <c r="AW5" s="1795"/>
      <c r="AX5" s="1796"/>
      <c r="AY5" s="1794"/>
      <c r="AZ5" s="1795"/>
      <c r="BA5" s="1795"/>
      <c r="BB5" s="1795"/>
      <c r="BC5" s="1796"/>
      <c r="BD5" s="1810"/>
      <c r="BE5" s="1669"/>
      <c r="BF5" s="1669"/>
      <c r="BG5" s="1669"/>
      <c r="BH5" s="1670"/>
      <c r="BI5" s="1794"/>
      <c r="BJ5" s="1795"/>
      <c r="BK5" s="1795"/>
      <c r="BL5" s="1795"/>
      <c r="BM5" s="1796"/>
      <c r="BN5" s="1810"/>
      <c r="BO5" s="1669"/>
      <c r="BP5" s="1669"/>
      <c r="BQ5" s="1669"/>
      <c r="BR5" s="1670"/>
    </row>
    <row r="6" spans="1:83" s="22" customFormat="1" ht="84.95" customHeight="1" x14ac:dyDescent="1.35">
      <c r="A6" s="1898" t="s">
        <v>558</v>
      </c>
      <c r="B6" s="588">
        <v>1</v>
      </c>
      <c r="C6" s="589"/>
      <c r="D6" s="589"/>
      <c r="E6" s="590"/>
      <c r="F6" s="1898" t="s">
        <v>558</v>
      </c>
      <c r="G6" s="588">
        <v>2</v>
      </c>
      <c r="H6" s="589"/>
      <c r="I6" s="589"/>
      <c r="J6" s="590"/>
      <c r="K6" s="1898" t="s">
        <v>558</v>
      </c>
      <c r="L6" s="588">
        <v>3</v>
      </c>
      <c r="M6" s="589"/>
      <c r="N6" s="589"/>
      <c r="O6" s="590"/>
      <c r="P6" s="1898" t="s">
        <v>558</v>
      </c>
      <c r="Q6" s="588">
        <v>4</v>
      </c>
      <c r="R6" s="589"/>
      <c r="S6" s="589"/>
      <c r="T6" s="590"/>
      <c r="U6" s="1898" t="s">
        <v>558</v>
      </c>
      <c r="V6" s="588">
        <v>5</v>
      </c>
      <c r="W6" s="589"/>
      <c r="X6" s="589"/>
      <c r="Y6" s="590"/>
      <c r="Z6" s="1898" t="s">
        <v>558</v>
      </c>
      <c r="AA6" s="588">
        <v>6</v>
      </c>
      <c r="AB6" s="589"/>
      <c r="AC6" s="589"/>
      <c r="AD6" s="590"/>
      <c r="AE6" s="1872" t="s">
        <v>133</v>
      </c>
      <c r="AF6" s="588">
        <v>7</v>
      </c>
      <c r="AG6" s="589"/>
      <c r="AH6" s="589"/>
      <c r="AI6" s="590"/>
      <c r="AJ6" s="1872" t="s">
        <v>133</v>
      </c>
      <c r="AK6" s="588">
        <v>9</v>
      </c>
      <c r="AL6" s="589"/>
      <c r="AM6" s="589"/>
      <c r="AN6" s="590"/>
      <c r="AO6" s="1872" t="s">
        <v>133</v>
      </c>
      <c r="AP6" s="588">
        <v>10</v>
      </c>
      <c r="AQ6" s="589"/>
      <c r="AR6" s="589"/>
      <c r="AS6" s="590"/>
      <c r="AT6" s="1872" t="s">
        <v>133</v>
      </c>
      <c r="AU6" s="588">
        <v>11</v>
      </c>
      <c r="AV6" s="589"/>
      <c r="AW6" s="589"/>
      <c r="AX6" s="590"/>
      <c r="AY6" s="1872" t="s">
        <v>133</v>
      </c>
      <c r="AZ6" s="588">
        <v>12</v>
      </c>
      <c r="BA6" s="589"/>
      <c r="BB6" s="589"/>
      <c r="BC6" s="590"/>
      <c r="BD6" s="1872" t="s">
        <v>133</v>
      </c>
      <c r="BE6" s="588">
        <v>13</v>
      </c>
      <c r="BF6" s="589"/>
      <c r="BG6" s="589"/>
      <c r="BH6" s="590"/>
      <c r="BI6" s="1872" t="s">
        <v>133</v>
      </c>
      <c r="BJ6" s="588">
        <v>14</v>
      </c>
      <c r="BK6" s="589"/>
      <c r="BL6" s="589"/>
      <c r="BM6" s="590"/>
      <c r="BN6" s="1872" t="s">
        <v>133</v>
      </c>
      <c r="BO6" s="588">
        <v>15</v>
      </c>
      <c r="BP6" s="589"/>
      <c r="BQ6" s="589"/>
      <c r="BR6" s="590"/>
    </row>
    <row r="7" spans="1:83" ht="37.5" customHeight="1" thickBot="1" x14ac:dyDescent="0.3">
      <c r="A7" s="1899"/>
      <c r="B7" s="61">
        <v>0.254</v>
      </c>
      <c r="C7" s="62" t="s">
        <v>113</v>
      </c>
      <c r="D7" s="63"/>
      <c r="E7" s="64" t="s">
        <v>114</v>
      </c>
      <c r="F7" s="1899"/>
      <c r="G7" s="61">
        <v>0.20319999999999999</v>
      </c>
      <c r="H7" s="62" t="s">
        <v>113</v>
      </c>
      <c r="I7" s="63"/>
      <c r="J7" s="64" t="s">
        <v>114</v>
      </c>
      <c r="K7" s="1899"/>
      <c r="L7" s="61">
        <v>0.127</v>
      </c>
      <c r="M7" s="62" t="s">
        <v>113</v>
      </c>
      <c r="N7" s="63">
        <v>1</v>
      </c>
      <c r="O7" s="64" t="s">
        <v>114</v>
      </c>
      <c r="P7" s="1899"/>
      <c r="Q7" s="61">
        <v>1E-14</v>
      </c>
      <c r="R7" s="62" t="s">
        <v>113</v>
      </c>
      <c r="S7" s="63"/>
      <c r="T7" s="64" t="s">
        <v>114</v>
      </c>
      <c r="U7" s="1899"/>
      <c r="V7" s="61">
        <v>4.2164000000000001</v>
      </c>
      <c r="W7" s="62" t="s">
        <v>113</v>
      </c>
      <c r="X7" s="63"/>
      <c r="Y7" s="64" t="s">
        <v>114</v>
      </c>
      <c r="Z7" s="1899"/>
      <c r="AA7" s="61">
        <v>0.17780000000000001</v>
      </c>
      <c r="AB7" s="62" t="s">
        <v>113</v>
      </c>
      <c r="AC7" s="63">
        <v>1</v>
      </c>
      <c r="AD7" s="64" t="s">
        <v>114</v>
      </c>
      <c r="AE7" s="1873"/>
      <c r="AF7" s="61">
        <v>1E-14</v>
      </c>
      <c r="AG7" s="62" t="s">
        <v>113</v>
      </c>
      <c r="AH7" s="63"/>
      <c r="AI7" s="64" t="s">
        <v>114</v>
      </c>
      <c r="AJ7" s="1873"/>
      <c r="AK7" s="61">
        <v>1.7018</v>
      </c>
      <c r="AL7" s="62" t="s">
        <v>113</v>
      </c>
      <c r="AM7" s="63"/>
      <c r="AN7" s="64" t="s">
        <v>114</v>
      </c>
      <c r="AO7" s="1873"/>
      <c r="AP7" s="61">
        <v>9.9999999999999998E-17</v>
      </c>
      <c r="AQ7" s="62" t="s">
        <v>113</v>
      </c>
      <c r="AR7" s="63"/>
      <c r="AS7" s="64" t="s">
        <v>114</v>
      </c>
      <c r="AT7" s="1873"/>
      <c r="AU7" s="61">
        <v>1E-10</v>
      </c>
      <c r="AV7" s="62" t="s">
        <v>113</v>
      </c>
      <c r="AW7" s="63">
        <v>1</v>
      </c>
      <c r="AX7" s="64" t="s">
        <v>114</v>
      </c>
      <c r="AY7" s="1873"/>
      <c r="AZ7" s="61">
        <v>1E-10</v>
      </c>
      <c r="BA7" s="62" t="s">
        <v>113</v>
      </c>
      <c r="BB7" s="63"/>
      <c r="BC7" s="64" t="s">
        <v>114</v>
      </c>
      <c r="BD7" s="1873"/>
      <c r="BE7" s="61">
        <v>9.9999999999999998E-13</v>
      </c>
      <c r="BF7" s="62" t="s">
        <v>113</v>
      </c>
      <c r="BG7" s="63"/>
      <c r="BH7" s="64" t="s">
        <v>114</v>
      </c>
      <c r="BI7" s="1873"/>
      <c r="BJ7" s="61">
        <v>0.254</v>
      </c>
      <c r="BK7" s="62" t="s">
        <v>113</v>
      </c>
      <c r="BL7" s="63">
        <v>1</v>
      </c>
      <c r="BM7" s="64" t="s">
        <v>114</v>
      </c>
      <c r="BN7" s="1873"/>
      <c r="BO7" s="61">
        <v>1.0000000000000001E-15</v>
      </c>
      <c r="BP7" s="62" t="s">
        <v>113</v>
      </c>
      <c r="BQ7" s="63"/>
      <c r="BR7" s="64" t="s">
        <v>114</v>
      </c>
      <c r="BW7" s="27"/>
      <c r="BX7" s="27"/>
      <c r="BY7" s="27"/>
      <c r="BZ7" s="27"/>
      <c r="CA7" s="27"/>
      <c r="CB7" s="27"/>
      <c r="CC7" s="27"/>
      <c r="CD7" s="27"/>
      <c r="CE7" s="27"/>
    </row>
    <row r="8" spans="1:83" ht="22.5" customHeight="1" thickTop="1" x14ac:dyDescent="0.25">
      <c r="A8" s="1890" t="s">
        <v>110</v>
      </c>
      <c r="B8" s="1891"/>
      <c r="C8" s="1894">
        <f>B13/((90*3.1415/59)*(45/3.281))</f>
        <v>1.9322791856528395E-3</v>
      </c>
      <c r="D8" s="1894"/>
      <c r="E8" s="1895"/>
      <c r="F8" s="1882" t="s">
        <v>110</v>
      </c>
      <c r="G8" s="1883"/>
      <c r="H8" s="1886">
        <f>G13/((90*3.1415/59)*(55/3.281))</f>
        <v>1.2448470057892309E-15</v>
      </c>
      <c r="I8" s="1886"/>
      <c r="J8" s="1887"/>
      <c r="K8" s="1882" t="s">
        <v>110</v>
      </c>
      <c r="L8" s="1883"/>
      <c r="M8" s="1886">
        <f t="shared" ref="M8" si="12">L13/((90*3.1415/59)*(55/3.281))</f>
        <v>1.2448470057892308E-22</v>
      </c>
      <c r="N8" s="1886"/>
      <c r="O8" s="1887"/>
      <c r="P8" s="1882" t="s">
        <v>110</v>
      </c>
      <c r="Q8" s="1883"/>
      <c r="R8" s="1886">
        <f t="shared" ref="R8" si="13">Q13/((90*3.1415/59)*(55/3.281))</f>
        <v>1.770670381034602E-2</v>
      </c>
      <c r="S8" s="1886"/>
      <c r="T8" s="1887"/>
      <c r="U8" s="1882" t="s">
        <v>110</v>
      </c>
      <c r="V8" s="1883"/>
      <c r="W8" s="1886">
        <f t="shared" ref="W8" si="14">V13/((90*3.1415/59)*(55/3.281))</f>
        <v>9.2011621585905215E-2</v>
      </c>
      <c r="X8" s="1886"/>
      <c r="Y8" s="1887"/>
      <c r="Z8" s="1882" t="s">
        <v>110</v>
      </c>
      <c r="AA8" s="1883"/>
      <c r="AB8" s="1886">
        <f t="shared" ref="AB8" si="15">AA13/((90*3.1415/59)*(55/3.281))</f>
        <v>1.244847005789231E-16</v>
      </c>
      <c r="AC8" s="1886"/>
      <c r="AD8" s="1887"/>
      <c r="AE8" s="1882" t="s">
        <v>110</v>
      </c>
      <c r="AF8" s="1883"/>
      <c r="AG8" s="1886">
        <f t="shared" ref="AG8" si="16">AF13/((90*3.1415/59)*(55/3.281))</f>
        <v>1.6755640697923048E-2</v>
      </c>
      <c r="AH8" s="1886"/>
      <c r="AI8" s="1887"/>
      <c r="AJ8" s="1874" t="s">
        <v>110</v>
      </c>
      <c r="AK8" s="1875"/>
      <c r="AL8" s="1878">
        <f>AK13/((90*3.1415/59)*(60/3.281))</f>
        <v>1.1411097553067949E-15</v>
      </c>
      <c r="AM8" s="1878"/>
      <c r="AN8" s="1879"/>
      <c r="AO8" s="1874" t="s">
        <v>110</v>
      </c>
      <c r="AP8" s="1875"/>
      <c r="AQ8" s="1878">
        <f t="shared" ref="AQ8" si="17">AP13/((90*3.1415/59)*(60/3.281))</f>
        <v>1.141109755306795E-14</v>
      </c>
      <c r="AR8" s="1878"/>
      <c r="AS8" s="1879"/>
      <c r="AT8" s="1874" t="s">
        <v>110</v>
      </c>
      <c r="AU8" s="1875"/>
      <c r="AV8" s="1878">
        <f t="shared" ref="AV8" si="18">AU13/((90*3.1415/59)*(60/3.281))</f>
        <v>3.4781025341751111E-3</v>
      </c>
      <c r="AW8" s="1878"/>
      <c r="AX8" s="1879"/>
      <c r="AY8" s="1874" t="s">
        <v>110</v>
      </c>
      <c r="AZ8" s="1875"/>
      <c r="BA8" s="1878">
        <f t="shared" ref="BA8" si="19">AZ13/((90*3.1415/59)*(60/3.281))</f>
        <v>1.1411097553067949E-10</v>
      </c>
      <c r="BB8" s="1878"/>
      <c r="BC8" s="1879"/>
      <c r="BD8" s="1874" t="s">
        <v>110</v>
      </c>
      <c r="BE8" s="1875"/>
      <c r="BF8" s="1878">
        <f t="shared" ref="BF8" si="20">BE13/((90*3.1415/59)*(60/3.281))</f>
        <v>9.5624997494709405E-3</v>
      </c>
      <c r="BG8" s="1878"/>
      <c r="BH8" s="1879"/>
      <c r="BI8" s="1874" t="s">
        <v>110</v>
      </c>
      <c r="BJ8" s="1875"/>
      <c r="BK8" s="1878">
        <f t="shared" ref="BK8" si="21">BJ13/((90*3.1415/59)*(60/3.281))</f>
        <v>1.141109755306795E-12</v>
      </c>
      <c r="BL8" s="1878"/>
      <c r="BM8" s="1879"/>
      <c r="BN8" s="1862" t="s">
        <v>110</v>
      </c>
      <c r="BO8" s="1863"/>
      <c r="BP8" s="1866">
        <f>BO13/((90*3.1415/59)*(65/3.281))</f>
        <v>2.3008985995312276E-2</v>
      </c>
      <c r="BQ8" s="1866"/>
      <c r="BR8" s="1867"/>
    </row>
    <row r="9" spans="1:83" ht="22.5" customHeight="1" x14ac:dyDescent="0.25">
      <c r="A9" s="1892"/>
      <c r="B9" s="1893"/>
      <c r="C9" s="1896"/>
      <c r="D9" s="1896"/>
      <c r="E9" s="1897"/>
      <c r="F9" s="1884"/>
      <c r="G9" s="1885"/>
      <c r="H9" s="1888"/>
      <c r="I9" s="1888"/>
      <c r="J9" s="1889"/>
      <c r="K9" s="1884"/>
      <c r="L9" s="1885"/>
      <c r="M9" s="1888"/>
      <c r="N9" s="1888"/>
      <c r="O9" s="1889"/>
      <c r="P9" s="1884"/>
      <c r="Q9" s="1885"/>
      <c r="R9" s="1888"/>
      <c r="S9" s="1888"/>
      <c r="T9" s="1889"/>
      <c r="U9" s="1884"/>
      <c r="V9" s="1885"/>
      <c r="W9" s="1888"/>
      <c r="X9" s="1888"/>
      <c r="Y9" s="1889"/>
      <c r="Z9" s="1884"/>
      <c r="AA9" s="1885"/>
      <c r="AB9" s="1888"/>
      <c r="AC9" s="1888"/>
      <c r="AD9" s="1889"/>
      <c r="AE9" s="1884"/>
      <c r="AF9" s="1885"/>
      <c r="AG9" s="1888"/>
      <c r="AH9" s="1888"/>
      <c r="AI9" s="1889"/>
      <c r="AJ9" s="1876"/>
      <c r="AK9" s="1877"/>
      <c r="AL9" s="1880"/>
      <c r="AM9" s="1880"/>
      <c r="AN9" s="1881"/>
      <c r="AO9" s="1876"/>
      <c r="AP9" s="1877"/>
      <c r="AQ9" s="1880"/>
      <c r="AR9" s="1880"/>
      <c r="AS9" s="1881"/>
      <c r="AT9" s="1876"/>
      <c r="AU9" s="1877"/>
      <c r="AV9" s="1880"/>
      <c r="AW9" s="1880"/>
      <c r="AX9" s="1881"/>
      <c r="AY9" s="1876"/>
      <c r="AZ9" s="1877"/>
      <c r="BA9" s="1880"/>
      <c r="BB9" s="1880"/>
      <c r="BC9" s="1881"/>
      <c r="BD9" s="1876"/>
      <c r="BE9" s="1877"/>
      <c r="BF9" s="1880"/>
      <c r="BG9" s="1880"/>
      <c r="BH9" s="1881"/>
      <c r="BI9" s="1876"/>
      <c r="BJ9" s="1877"/>
      <c r="BK9" s="1880"/>
      <c r="BL9" s="1880"/>
      <c r="BM9" s="1881"/>
      <c r="BN9" s="1864"/>
      <c r="BO9" s="1865"/>
      <c r="BP9" s="1868"/>
      <c r="BQ9" s="1868"/>
      <c r="BR9" s="1869"/>
    </row>
    <row r="10" spans="1:83" ht="33" customHeight="1" x14ac:dyDescent="0.25">
      <c r="A10" s="1791" t="s">
        <v>545</v>
      </c>
      <c r="B10" s="1792"/>
      <c r="C10" s="1792"/>
      <c r="D10" s="1792"/>
      <c r="E10" s="1793"/>
      <c r="F10" s="1791" t="s">
        <v>545</v>
      </c>
      <c r="G10" s="1792"/>
      <c r="H10" s="1792"/>
      <c r="I10" s="1792"/>
      <c r="J10" s="1793"/>
      <c r="K10" s="1791" t="s">
        <v>545</v>
      </c>
      <c r="L10" s="1792"/>
      <c r="M10" s="1792"/>
      <c r="N10" s="1792"/>
      <c r="O10" s="1793"/>
      <c r="P10" s="1791" t="s">
        <v>545</v>
      </c>
      <c r="Q10" s="1792"/>
      <c r="R10" s="1792"/>
      <c r="S10" s="1792"/>
      <c r="T10" s="1793"/>
      <c r="U10" s="1791" t="s">
        <v>545</v>
      </c>
      <c r="V10" s="1792"/>
      <c r="W10" s="1792"/>
      <c r="X10" s="1792"/>
      <c r="Y10" s="1793"/>
      <c r="Z10" s="1791" t="s">
        <v>545</v>
      </c>
      <c r="AA10" s="1792"/>
      <c r="AB10" s="1792"/>
      <c r="AC10" s="1792"/>
      <c r="AD10" s="1793"/>
      <c r="AE10" s="1791" t="s">
        <v>545</v>
      </c>
      <c r="AF10" s="1792"/>
      <c r="AG10" s="1792"/>
      <c r="AH10" s="1792"/>
      <c r="AI10" s="1793"/>
      <c r="AJ10" s="1791" t="s">
        <v>545</v>
      </c>
      <c r="AK10" s="1792"/>
      <c r="AL10" s="1792"/>
      <c r="AM10" s="1792"/>
      <c r="AN10" s="1793"/>
      <c r="AO10" s="1791" t="s">
        <v>545</v>
      </c>
      <c r="AP10" s="1792"/>
      <c r="AQ10" s="1792"/>
      <c r="AR10" s="1792"/>
      <c r="AS10" s="1793"/>
      <c r="AT10" s="1791" t="s">
        <v>545</v>
      </c>
      <c r="AU10" s="1792"/>
      <c r="AV10" s="1792"/>
      <c r="AW10" s="1792"/>
      <c r="AX10" s="1793"/>
      <c r="AY10" s="1791" t="s">
        <v>545</v>
      </c>
      <c r="AZ10" s="1792"/>
      <c r="BA10" s="1792"/>
      <c r="BB10" s="1792"/>
      <c r="BC10" s="1793"/>
      <c r="BD10" s="1791" t="s">
        <v>545</v>
      </c>
      <c r="BE10" s="1792"/>
      <c r="BF10" s="1792"/>
      <c r="BG10" s="1792"/>
      <c r="BH10" s="1793"/>
      <c r="BI10" s="1791" t="s">
        <v>545</v>
      </c>
      <c r="BJ10" s="1792"/>
      <c r="BK10" s="1792"/>
      <c r="BL10" s="1792"/>
      <c r="BM10" s="1793"/>
      <c r="BN10" s="1791" t="s">
        <v>545</v>
      </c>
      <c r="BO10" s="1792"/>
      <c r="BP10" s="1792"/>
      <c r="BQ10" s="1792"/>
      <c r="BR10" s="1793"/>
    </row>
    <row r="11" spans="1:83" ht="33" customHeight="1" x14ac:dyDescent="0.25">
      <c r="A11" s="1794"/>
      <c r="B11" s="1795"/>
      <c r="C11" s="1795"/>
      <c r="D11" s="1795"/>
      <c r="E11" s="1796"/>
      <c r="F11" s="1794"/>
      <c r="G11" s="1795"/>
      <c r="H11" s="1795"/>
      <c r="I11" s="1795"/>
      <c r="J11" s="1796"/>
      <c r="K11" s="1794"/>
      <c r="L11" s="1795"/>
      <c r="M11" s="1795"/>
      <c r="N11" s="1795"/>
      <c r="O11" s="1796"/>
      <c r="P11" s="1794"/>
      <c r="Q11" s="1795"/>
      <c r="R11" s="1795"/>
      <c r="S11" s="1795"/>
      <c r="T11" s="1796"/>
      <c r="U11" s="1794"/>
      <c r="V11" s="1795"/>
      <c r="W11" s="1795"/>
      <c r="X11" s="1795"/>
      <c r="Y11" s="1796"/>
      <c r="Z11" s="1794"/>
      <c r="AA11" s="1795"/>
      <c r="AB11" s="1795"/>
      <c r="AC11" s="1795"/>
      <c r="AD11" s="1796"/>
      <c r="AE11" s="1794"/>
      <c r="AF11" s="1795"/>
      <c r="AG11" s="1795"/>
      <c r="AH11" s="1795"/>
      <c r="AI11" s="1796"/>
      <c r="AJ11" s="1794"/>
      <c r="AK11" s="1795"/>
      <c r="AL11" s="1795"/>
      <c r="AM11" s="1795"/>
      <c r="AN11" s="1796"/>
      <c r="AO11" s="1794"/>
      <c r="AP11" s="1795"/>
      <c r="AQ11" s="1795"/>
      <c r="AR11" s="1795"/>
      <c r="AS11" s="1796"/>
      <c r="AT11" s="1794"/>
      <c r="AU11" s="1795"/>
      <c r="AV11" s="1795"/>
      <c r="AW11" s="1795"/>
      <c r="AX11" s="1796"/>
      <c r="AY11" s="1794"/>
      <c r="AZ11" s="1795"/>
      <c r="BA11" s="1795"/>
      <c r="BB11" s="1795"/>
      <c r="BC11" s="1796"/>
      <c r="BD11" s="1794"/>
      <c r="BE11" s="1795"/>
      <c r="BF11" s="1795"/>
      <c r="BG11" s="1795"/>
      <c r="BH11" s="1796"/>
      <c r="BI11" s="1794"/>
      <c r="BJ11" s="1795"/>
      <c r="BK11" s="1795"/>
      <c r="BL11" s="1795"/>
      <c r="BM11" s="1796"/>
      <c r="BN11" s="1794"/>
      <c r="BO11" s="1795"/>
      <c r="BP11" s="1795"/>
      <c r="BQ11" s="1795"/>
      <c r="BR11" s="1796"/>
    </row>
    <row r="12" spans="1:83" s="22" customFormat="1" ht="84.95" customHeight="1" x14ac:dyDescent="1.35">
      <c r="A12" s="1872" t="s">
        <v>133</v>
      </c>
      <c r="B12" s="588">
        <v>17</v>
      </c>
      <c r="C12" s="589"/>
      <c r="D12" s="589"/>
      <c r="E12" s="590"/>
      <c r="F12" s="1870" t="s">
        <v>492</v>
      </c>
      <c r="G12" s="588">
        <v>8</v>
      </c>
      <c r="H12" s="589"/>
      <c r="I12" s="589"/>
      <c r="J12" s="590"/>
      <c r="K12" s="1870" t="s">
        <v>492</v>
      </c>
      <c r="L12" s="588">
        <v>16</v>
      </c>
      <c r="M12" s="589"/>
      <c r="N12" s="589"/>
      <c r="O12" s="590"/>
      <c r="P12" s="1870" t="s">
        <v>492</v>
      </c>
      <c r="Q12" s="588">
        <v>18</v>
      </c>
      <c r="R12" s="589"/>
      <c r="S12" s="589"/>
      <c r="T12" s="590"/>
      <c r="U12" s="1870" t="s">
        <v>492</v>
      </c>
      <c r="V12" s="588">
        <v>19</v>
      </c>
      <c r="W12" s="589"/>
      <c r="X12" s="589"/>
      <c r="Y12" s="590"/>
      <c r="Z12" s="1870" t="s">
        <v>492</v>
      </c>
      <c r="AA12" s="588">
        <v>20</v>
      </c>
      <c r="AB12" s="589"/>
      <c r="AC12" s="589"/>
      <c r="AD12" s="590"/>
      <c r="AE12" s="1870" t="s">
        <v>492</v>
      </c>
      <c r="AF12" s="588">
        <v>21</v>
      </c>
      <c r="AG12" s="589"/>
      <c r="AH12" s="589"/>
      <c r="AI12" s="590"/>
      <c r="AJ12" s="1860" t="s">
        <v>169</v>
      </c>
      <c r="AK12" s="588">
        <v>22</v>
      </c>
      <c r="AL12" s="589"/>
      <c r="AM12" s="589"/>
      <c r="AN12" s="590"/>
      <c r="AO12" s="1860" t="s">
        <v>169</v>
      </c>
      <c r="AP12" s="588">
        <v>23</v>
      </c>
      <c r="AQ12" s="589"/>
      <c r="AR12" s="589"/>
      <c r="AS12" s="590"/>
      <c r="AT12" s="1860" t="s">
        <v>169</v>
      </c>
      <c r="AU12" s="588">
        <v>24</v>
      </c>
      <c r="AV12" s="589"/>
      <c r="AW12" s="589"/>
      <c r="AX12" s="590"/>
      <c r="AY12" s="1860" t="s">
        <v>169</v>
      </c>
      <c r="AZ12" s="588">
        <v>26</v>
      </c>
      <c r="BA12" s="589"/>
      <c r="BB12" s="589"/>
      <c r="BC12" s="590"/>
      <c r="BD12" s="1860" t="s">
        <v>169</v>
      </c>
      <c r="BE12" s="588">
        <v>28</v>
      </c>
      <c r="BF12" s="589"/>
      <c r="BG12" s="589"/>
      <c r="BH12" s="590"/>
      <c r="BI12" s="1860" t="s">
        <v>169</v>
      </c>
      <c r="BJ12" s="588">
        <v>29</v>
      </c>
      <c r="BK12" s="589"/>
      <c r="BL12" s="589"/>
      <c r="BM12" s="590"/>
      <c r="BN12" s="1849" t="s">
        <v>165</v>
      </c>
      <c r="BO12" s="588">
        <v>27</v>
      </c>
      <c r="BP12" s="589"/>
      <c r="BQ12" s="589"/>
      <c r="BR12" s="590"/>
    </row>
    <row r="13" spans="1:83" ht="37.5" customHeight="1" thickBot="1" x14ac:dyDescent="0.3">
      <c r="A13" s="1873"/>
      <c r="B13" s="61">
        <v>0.127</v>
      </c>
      <c r="C13" s="62" t="s">
        <v>113</v>
      </c>
      <c r="D13" s="63"/>
      <c r="E13" s="64" t="s">
        <v>114</v>
      </c>
      <c r="F13" s="1871"/>
      <c r="G13" s="61">
        <v>1E-13</v>
      </c>
      <c r="H13" s="62" t="s">
        <v>113</v>
      </c>
      <c r="I13" s="63">
        <v>1</v>
      </c>
      <c r="J13" s="64" t="s">
        <v>114</v>
      </c>
      <c r="K13" s="1871"/>
      <c r="L13" s="61">
        <v>9.9999999999999995E-21</v>
      </c>
      <c r="M13" s="62" t="s">
        <v>113</v>
      </c>
      <c r="N13" s="63">
        <v>1</v>
      </c>
      <c r="O13" s="64" t="s">
        <v>114</v>
      </c>
      <c r="P13" s="1871"/>
      <c r="Q13" s="61">
        <v>1.4224000000000001</v>
      </c>
      <c r="R13" s="62" t="s">
        <v>113</v>
      </c>
      <c r="S13" s="63"/>
      <c r="T13" s="64" t="s">
        <v>114</v>
      </c>
      <c r="U13" s="1871"/>
      <c r="V13" s="61">
        <v>7.3914</v>
      </c>
      <c r="W13" s="62" t="s">
        <v>113</v>
      </c>
      <c r="X13" s="63">
        <v>1</v>
      </c>
      <c r="Y13" s="64" t="s">
        <v>114</v>
      </c>
      <c r="Z13" s="1871"/>
      <c r="AA13" s="61">
        <v>1E-14</v>
      </c>
      <c r="AB13" s="62" t="s">
        <v>113</v>
      </c>
      <c r="AC13" s="63"/>
      <c r="AD13" s="64" t="s">
        <v>114</v>
      </c>
      <c r="AE13" s="1871"/>
      <c r="AF13" s="61">
        <v>1.3460000000000001</v>
      </c>
      <c r="AG13" s="62" t="s">
        <v>113</v>
      </c>
      <c r="AH13" s="63">
        <v>1</v>
      </c>
      <c r="AI13" s="64" t="s">
        <v>114</v>
      </c>
      <c r="AJ13" s="1861"/>
      <c r="AK13" s="61">
        <v>1E-13</v>
      </c>
      <c r="AL13" s="62" t="s">
        <v>113</v>
      </c>
      <c r="AM13" s="63"/>
      <c r="AN13" s="64" t="s">
        <v>114</v>
      </c>
      <c r="AO13" s="1861"/>
      <c r="AP13" s="61">
        <v>9.9999999999999998E-13</v>
      </c>
      <c r="AQ13" s="62" t="s">
        <v>113</v>
      </c>
      <c r="AR13" s="63">
        <v>1</v>
      </c>
      <c r="AS13" s="64" t="s">
        <v>114</v>
      </c>
      <c r="AT13" s="1861"/>
      <c r="AU13" s="61">
        <v>0.30480000000000002</v>
      </c>
      <c r="AV13" s="62" t="s">
        <v>113</v>
      </c>
      <c r="AW13" s="63"/>
      <c r="AX13" s="64" t="s">
        <v>114</v>
      </c>
      <c r="AY13" s="1861"/>
      <c r="AZ13" s="61">
        <v>1E-8</v>
      </c>
      <c r="BA13" s="62" t="s">
        <v>113</v>
      </c>
      <c r="BB13" s="63"/>
      <c r="BC13" s="64" t="s">
        <v>114</v>
      </c>
      <c r="BD13" s="1861"/>
      <c r="BE13" s="61">
        <v>0.83799999999999997</v>
      </c>
      <c r="BF13" s="62" t="s">
        <v>113</v>
      </c>
      <c r="BG13" s="63"/>
      <c r="BH13" s="64" t="s">
        <v>114</v>
      </c>
      <c r="BI13" s="1861"/>
      <c r="BJ13" s="61">
        <v>1E-10</v>
      </c>
      <c r="BK13" s="62" t="s">
        <v>113</v>
      </c>
      <c r="BL13" s="63">
        <v>1</v>
      </c>
      <c r="BM13" s="64" t="s">
        <v>114</v>
      </c>
      <c r="BN13" s="1850"/>
      <c r="BO13" s="61">
        <v>2.1844000000000001</v>
      </c>
      <c r="BP13" s="62" t="s">
        <v>113</v>
      </c>
      <c r="BQ13" s="63">
        <v>1</v>
      </c>
      <c r="BR13" s="64" t="s">
        <v>114</v>
      </c>
      <c r="BW13" s="27"/>
      <c r="BX13" s="27"/>
      <c r="BY13" s="27"/>
      <c r="BZ13" s="27"/>
      <c r="CA13" s="27"/>
      <c r="CB13" s="27"/>
      <c r="CC13" s="27"/>
      <c r="CD13" s="27"/>
      <c r="CE13" s="27"/>
    </row>
    <row r="14" spans="1:83" ht="22.5" customHeight="1" thickTop="1" x14ac:dyDescent="0.25">
      <c r="A14" s="1862" t="s">
        <v>110</v>
      </c>
      <c r="B14" s="1863"/>
      <c r="C14" s="1866">
        <f>B19/((90*3.1415/59)*(65/3.281))</f>
        <v>4.548287929305915E-3</v>
      </c>
      <c r="D14" s="1866"/>
      <c r="E14" s="1867"/>
      <c r="F14" s="1862" t="s">
        <v>110</v>
      </c>
      <c r="G14" s="1863"/>
      <c r="H14" s="1866">
        <f>G19/((90*3.1415/59)*(65/3.281))</f>
        <v>4.8158342780886152E-3</v>
      </c>
      <c r="I14" s="1866"/>
      <c r="J14" s="1867"/>
      <c r="K14" s="1851" t="s">
        <v>110</v>
      </c>
      <c r="L14" s="1852"/>
      <c r="M14" s="1855">
        <f>L19/((90*3.1415/59)*(70/3.281))</f>
        <v>9.7809407597725285E-19</v>
      </c>
      <c r="N14" s="1855"/>
      <c r="O14" s="1856"/>
      <c r="P14" s="1851" t="s">
        <v>110</v>
      </c>
      <c r="Q14" s="1852"/>
      <c r="R14" s="1855">
        <f t="shared" ref="R14" si="22">Q19/((90*3.1415/59)*(70/3.281))</f>
        <v>9.7809407597725273E-14</v>
      </c>
      <c r="S14" s="1855"/>
      <c r="T14" s="1856"/>
      <c r="U14" s="1851" t="s">
        <v>110</v>
      </c>
      <c r="V14" s="1852"/>
      <c r="W14" s="1855">
        <f t="shared" ref="W14" si="23">V19/((90*3.1415/59)*(70/3.281))</f>
        <v>2.9066999749891999E-2</v>
      </c>
      <c r="X14" s="1855"/>
      <c r="Y14" s="1856"/>
      <c r="Z14" s="712"/>
      <c r="AA14" s="710"/>
      <c r="AB14" s="1804"/>
      <c r="AC14" s="1804"/>
      <c r="AD14" s="1804"/>
      <c r="AE14" s="710"/>
      <c r="AF14" s="710"/>
      <c r="AG14" s="1804"/>
      <c r="AH14" s="1804"/>
      <c r="AI14" s="1804"/>
      <c r="AJ14" s="710"/>
      <c r="AK14" s="710"/>
      <c r="AL14" s="1804"/>
      <c r="AM14" s="1804"/>
      <c r="AN14" s="1804"/>
      <c r="AO14" s="710"/>
      <c r="AP14" s="710"/>
      <c r="AQ14" s="1804"/>
      <c r="AR14" s="1804"/>
      <c r="AS14" s="1804"/>
      <c r="AT14" s="710"/>
      <c r="AU14" s="710"/>
      <c r="AV14" s="1804"/>
      <c r="AW14" s="1804"/>
      <c r="AX14" s="1804"/>
      <c r="AY14" s="710"/>
      <c r="AZ14" s="710"/>
      <c r="BA14" s="1804"/>
      <c r="BB14" s="1804"/>
      <c r="BC14" s="1804"/>
      <c r="BD14" s="710"/>
      <c r="BE14" s="710"/>
      <c r="BF14" s="1804"/>
      <c r="BG14" s="1804"/>
      <c r="BH14" s="1804"/>
      <c r="BI14" s="710"/>
      <c r="BJ14" s="710"/>
      <c r="BK14" s="1804"/>
      <c r="BL14" s="1804"/>
      <c r="BM14" s="1804"/>
      <c r="BN14" s="710"/>
      <c r="BO14" s="710"/>
      <c r="BP14" s="1804"/>
      <c r="BQ14" s="1804"/>
      <c r="BR14" s="1804"/>
    </row>
    <row r="15" spans="1:83" ht="22.5" customHeight="1" x14ac:dyDescent="0.25">
      <c r="A15" s="1864"/>
      <c r="B15" s="1865"/>
      <c r="C15" s="1868"/>
      <c r="D15" s="1868"/>
      <c r="E15" s="1869"/>
      <c r="F15" s="1864"/>
      <c r="G15" s="1865"/>
      <c r="H15" s="1868"/>
      <c r="I15" s="1868"/>
      <c r="J15" s="1869"/>
      <c r="K15" s="1853"/>
      <c r="L15" s="1854"/>
      <c r="M15" s="1857"/>
      <c r="N15" s="1857"/>
      <c r="O15" s="1858"/>
      <c r="P15" s="1853"/>
      <c r="Q15" s="1854"/>
      <c r="R15" s="1857"/>
      <c r="S15" s="1857"/>
      <c r="T15" s="1858"/>
      <c r="U15" s="1853"/>
      <c r="V15" s="1854"/>
      <c r="W15" s="1857"/>
      <c r="X15" s="1857"/>
      <c r="Y15" s="1858"/>
      <c r="Z15" s="1859"/>
      <c r="AA15" s="719"/>
      <c r="AB15" s="1300"/>
      <c r="AC15" s="1300"/>
      <c r="AD15" s="1300"/>
      <c r="AE15" s="719"/>
      <c r="AF15" s="719"/>
      <c r="AG15" s="1300"/>
      <c r="AH15" s="1300"/>
      <c r="AI15" s="1300"/>
      <c r="AJ15" s="719"/>
      <c r="AK15" s="719"/>
      <c r="AL15" s="1300"/>
      <c r="AM15" s="1300"/>
      <c r="AN15" s="1300"/>
      <c r="AO15" s="719"/>
      <c r="AP15" s="719"/>
      <c r="AQ15" s="1300"/>
      <c r="AR15" s="1300"/>
      <c r="AS15" s="1300"/>
      <c r="AT15" s="719"/>
      <c r="AU15" s="719"/>
      <c r="AV15" s="1300"/>
      <c r="AW15" s="1300"/>
      <c r="AX15" s="1300"/>
      <c r="AY15" s="719"/>
      <c r="AZ15" s="719"/>
      <c r="BA15" s="1300"/>
      <c r="BB15" s="1300"/>
      <c r="BC15" s="1300"/>
      <c r="BD15" s="719"/>
      <c r="BE15" s="719"/>
      <c r="BF15" s="1300"/>
      <c r="BG15" s="1300"/>
      <c r="BH15" s="1300"/>
      <c r="BI15" s="719"/>
      <c r="BJ15" s="719"/>
      <c r="BK15" s="1300"/>
      <c r="BL15" s="1300"/>
      <c r="BM15" s="1300"/>
      <c r="BN15" s="719"/>
      <c r="BO15" s="719"/>
      <c r="BP15" s="1300"/>
      <c r="BQ15" s="1300"/>
      <c r="BR15" s="1300"/>
    </row>
    <row r="16" spans="1:83" ht="33" customHeight="1" x14ac:dyDescent="0.25">
      <c r="A16" s="1791" t="s">
        <v>545</v>
      </c>
      <c r="B16" s="1792"/>
      <c r="C16" s="1792"/>
      <c r="D16" s="1792"/>
      <c r="E16" s="1793"/>
      <c r="F16" s="1791" t="s">
        <v>545</v>
      </c>
      <c r="G16" s="1792"/>
      <c r="H16" s="1792"/>
      <c r="I16" s="1792"/>
      <c r="J16" s="1793"/>
      <c r="K16" s="1791" t="s">
        <v>545</v>
      </c>
      <c r="L16" s="1792"/>
      <c r="M16" s="1792"/>
      <c r="N16" s="1792"/>
      <c r="O16" s="1793"/>
      <c r="P16" s="1791" t="s">
        <v>545</v>
      </c>
      <c r="Q16" s="1792"/>
      <c r="R16" s="1792"/>
      <c r="S16" s="1792"/>
      <c r="T16" s="1793"/>
      <c r="U16" s="1791" t="s">
        <v>545</v>
      </c>
      <c r="V16" s="1792"/>
      <c r="W16" s="1792"/>
      <c r="X16" s="1792"/>
      <c r="Y16" s="1793"/>
      <c r="Z16" s="721"/>
      <c r="AA16" s="714"/>
      <c r="AB16" s="714"/>
      <c r="AC16" s="714"/>
      <c r="AD16" s="714"/>
      <c r="AE16" s="714"/>
      <c r="AF16" s="714"/>
      <c r="AG16" s="714"/>
      <c r="AH16" s="714"/>
      <c r="AI16" s="714"/>
      <c r="AJ16" s="714" t="e" vm="2">
        <v>#VALUE!</v>
      </c>
      <c r="AK16" s="714"/>
      <c r="AL16" s="714"/>
      <c r="AM16" s="714"/>
      <c r="AN16" s="714"/>
      <c r="AO16" s="714"/>
      <c r="AP16" s="714"/>
      <c r="AQ16" s="714"/>
      <c r="AR16" s="714"/>
      <c r="AS16" s="714"/>
      <c r="AT16" s="714"/>
      <c r="AU16" s="714"/>
      <c r="AV16" s="714"/>
      <c r="AW16" s="714"/>
      <c r="AX16" s="714"/>
      <c r="AY16" s="714"/>
      <c r="AZ16" s="714"/>
      <c r="BA16" s="714"/>
      <c r="BB16" s="714"/>
      <c r="BC16" s="714"/>
      <c r="BD16" s="714"/>
      <c r="BE16" s="714"/>
      <c r="BF16" s="714"/>
      <c r="BG16" s="714"/>
      <c r="BH16" s="714"/>
      <c r="BI16" s="714"/>
      <c r="BJ16" s="714"/>
      <c r="BK16" s="714"/>
      <c r="BL16" s="714"/>
      <c r="BM16" s="714"/>
      <c r="BN16" s="714"/>
      <c r="BO16" s="714"/>
      <c r="BP16" s="714"/>
      <c r="BQ16" s="714"/>
      <c r="BR16" s="714"/>
    </row>
    <row r="17" spans="1:112" ht="33" customHeight="1" x14ac:dyDescent="0.25">
      <c r="A17" s="1794"/>
      <c r="B17" s="1795"/>
      <c r="C17" s="1795"/>
      <c r="D17" s="1795"/>
      <c r="E17" s="1796"/>
      <c r="F17" s="1794"/>
      <c r="G17" s="1795"/>
      <c r="H17" s="1795"/>
      <c r="I17" s="1795"/>
      <c r="J17" s="1796"/>
      <c r="K17" s="1794"/>
      <c r="L17" s="1795"/>
      <c r="M17" s="1795"/>
      <c r="N17" s="1795"/>
      <c r="O17" s="1796"/>
      <c r="P17" s="1794"/>
      <c r="Q17" s="1795"/>
      <c r="R17" s="1795"/>
      <c r="S17" s="1795"/>
      <c r="T17" s="1796"/>
      <c r="U17" s="1794"/>
      <c r="V17" s="1795"/>
      <c r="W17" s="1795"/>
      <c r="X17" s="1795"/>
      <c r="Y17" s="1796"/>
      <c r="Z17" s="721"/>
      <c r="AA17" s="714"/>
      <c r="AB17" s="714"/>
      <c r="AC17" s="714"/>
      <c r="AD17" s="714"/>
      <c r="AE17" s="714"/>
      <c r="AF17" s="714"/>
      <c r="AG17" s="714"/>
      <c r="AH17" s="714"/>
      <c r="AI17" s="714"/>
      <c r="AJ17" s="714"/>
      <c r="AK17" s="714"/>
      <c r="AL17" s="714"/>
      <c r="AM17" s="714"/>
      <c r="AN17" s="714"/>
      <c r="AO17" s="714"/>
      <c r="AP17" s="714"/>
      <c r="AQ17" s="714"/>
      <c r="AR17" s="714"/>
      <c r="AS17" s="714"/>
      <c r="AT17" s="714"/>
      <c r="AU17" s="714"/>
      <c r="AV17" s="714"/>
      <c r="AW17" s="714"/>
      <c r="AX17" s="714"/>
      <c r="AY17" s="714"/>
      <c r="AZ17" s="714"/>
      <c r="BA17" s="714"/>
      <c r="BB17" s="714"/>
      <c r="BC17" s="714"/>
      <c r="BD17" s="714"/>
      <c r="BE17" s="714"/>
      <c r="BF17" s="714"/>
      <c r="BG17" s="714"/>
      <c r="BH17" s="714"/>
      <c r="BI17" s="714"/>
      <c r="BJ17" s="714"/>
      <c r="BK17" s="714"/>
      <c r="BL17" s="714"/>
      <c r="BM17" s="714"/>
      <c r="BN17" s="714"/>
      <c r="BO17" s="714"/>
      <c r="BP17" s="714"/>
      <c r="BQ17" s="714"/>
      <c r="BR17" s="714"/>
    </row>
    <row r="18" spans="1:112" s="22" customFormat="1" ht="103.5" customHeight="1" x14ac:dyDescent="1.35">
      <c r="A18" s="1849" t="s">
        <v>165</v>
      </c>
      <c r="B18" s="588">
        <v>30</v>
      </c>
      <c r="C18" s="589"/>
      <c r="D18" s="589"/>
      <c r="E18" s="590"/>
      <c r="F18" s="1849" t="s">
        <v>165</v>
      </c>
      <c r="G18" s="588">
        <v>31</v>
      </c>
      <c r="H18" s="589"/>
      <c r="I18" s="589"/>
      <c r="J18" s="590"/>
      <c r="K18" s="1847" t="s">
        <v>137</v>
      </c>
      <c r="L18" s="588">
        <v>25</v>
      </c>
      <c r="M18" s="589"/>
      <c r="N18" s="589"/>
      <c r="O18" s="590"/>
      <c r="P18" s="1847" t="s">
        <v>137</v>
      </c>
      <c r="Q18" s="588">
        <v>32</v>
      </c>
      <c r="R18" s="589"/>
      <c r="S18" s="589"/>
      <c r="T18" s="590"/>
      <c r="U18" s="1847" t="s">
        <v>137</v>
      </c>
      <c r="V18" s="588">
        <v>33</v>
      </c>
      <c r="W18" s="589"/>
      <c r="X18" s="589"/>
      <c r="Y18" s="590"/>
      <c r="Z18" s="718"/>
      <c r="AA18" s="717"/>
      <c r="AB18" s="717"/>
      <c r="AC18" s="717"/>
      <c r="AD18" s="717"/>
      <c r="AE18" s="716"/>
      <c r="AF18" s="717"/>
      <c r="AG18" s="717"/>
      <c r="AH18" s="717"/>
      <c r="AI18" s="717"/>
      <c r="AJ18" s="714"/>
      <c r="AK18" s="714"/>
      <c r="AL18" s="714"/>
      <c r="AM18" s="714"/>
      <c r="AN18" s="714"/>
      <c r="AO18" s="714"/>
      <c r="AP18" s="714"/>
      <c r="AQ18" s="714"/>
      <c r="AR18" s="714"/>
      <c r="AS18" s="714"/>
      <c r="AT18" s="714"/>
      <c r="AU18" s="714"/>
      <c r="AV18" s="714"/>
      <c r="AW18" s="714"/>
      <c r="AX18" s="714"/>
      <c r="AY18" s="714"/>
      <c r="AZ18" s="714"/>
      <c r="BA18" s="714"/>
      <c r="BB18" s="714"/>
      <c r="BC18" s="714"/>
      <c r="BD18" s="714"/>
      <c r="BE18" s="714"/>
      <c r="BF18" s="714"/>
      <c r="BG18" s="714"/>
      <c r="BH18" s="714"/>
      <c r="BI18" s="714"/>
      <c r="BJ18" s="714"/>
      <c r="BK18" s="714"/>
      <c r="BL18" s="714"/>
      <c r="BM18" s="714"/>
      <c r="BN18" s="714"/>
      <c r="BO18" s="714"/>
      <c r="BP18" s="714"/>
      <c r="BQ18" s="714"/>
      <c r="BR18" s="714"/>
    </row>
    <row r="19" spans="1:112" ht="37.5" customHeight="1" thickBot="1" x14ac:dyDescent="0.3">
      <c r="A19" s="1850"/>
      <c r="B19" s="61">
        <v>0.43180000000000002</v>
      </c>
      <c r="C19" s="62" t="s">
        <v>113</v>
      </c>
      <c r="D19" s="63"/>
      <c r="E19" s="64" t="s">
        <v>114</v>
      </c>
      <c r="F19" s="1850"/>
      <c r="G19" s="61">
        <v>0.4572</v>
      </c>
      <c r="H19" s="62" t="s">
        <v>113</v>
      </c>
      <c r="I19" s="63">
        <v>1</v>
      </c>
      <c r="J19" s="64" t="s">
        <v>114</v>
      </c>
      <c r="K19" s="1848"/>
      <c r="L19" s="61">
        <v>9.9999999999999998E-17</v>
      </c>
      <c r="M19" s="62" t="s">
        <v>113</v>
      </c>
      <c r="N19" s="63">
        <v>1</v>
      </c>
      <c r="O19" s="64" t="s">
        <v>114</v>
      </c>
      <c r="P19" s="1848"/>
      <c r="Q19" s="61">
        <v>9.9999999999999994E-12</v>
      </c>
      <c r="R19" s="62" t="s">
        <v>113</v>
      </c>
      <c r="S19" s="63"/>
      <c r="T19" s="64" t="s">
        <v>114</v>
      </c>
      <c r="U19" s="1848"/>
      <c r="V19" s="61">
        <v>2.9718</v>
      </c>
      <c r="W19" s="62" t="s">
        <v>113</v>
      </c>
      <c r="X19" s="63">
        <v>1</v>
      </c>
      <c r="Y19" s="64" t="s">
        <v>114</v>
      </c>
      <c r="Z19" s="718"/>
      <c r="AA19" s="32"/>
      <c r="AB19" s="33"/>
      <c r="AC19" s="34"/>
      <c r="AD19" s="35"/>
      <c r="AE19" s="716"/>
      <c r="AF19" s="32"/>
      <c r="AG19" s="33"/>
      <c r="AH19" s="34"/>
      <c r="AI19" s="35"/>
      <c r="AJ19" s="714"/>
      <c r="AK19" s="714"/>
      <c r="AL19" s="714"/>
      <c r="AM19" s="714"/>
      <c r="AN19" s="714"/>
      <c r="AO19" s="714"/>
      <c r="AP19" s="714"/>
      <c r="AQ19" s="714"/>
      <c r="AR19" s="714"/>
      <c r="AS19" s="714"/>
      <c r="AT19" s="714"/>
      <c r="AU19" s="714"/>
      <c r="AV19" s="714"/>
      <c r="AW19" s="714"/>
      <c r="AX19" s="714"/>
      <c r="AY19" s="714"/>
      <c r="AZ19" s="714"/>
      <c r="BA19" s="714"/>
      <c r="BB19" s="714"/>
      <c r="BC19" s="714"/>
      <c r="BD19" s="714"/>
      <c r="BE19" s="714"/>
      <c r="BF19" s="714"/>
      <c r="BG19" s="714"/>
      <c r="BH19" s="714"/>
      <c r="BI19" s="714"/>
      <c r="BJ19" s="714"/>
      <c r="BK19" s="714"/>
      <c r="BL19" s="714"/>
      <c r="BM19" s="714"/>
      <c r="BN19" s="714"/>
      <c r="BO19" s="714"/>
      <c r="BP19" s="714"/>
      <c r="BQ19" s="714"/>
      <c r="BR19" s="714"/>
      <c r="BW19" s="27"/>
      <c r="BX19" s="27"/>
      <c r="BY19" s="27"/>
      <c r="BZ19" s="27"/>
      <c r="CA19" s="27"/>
      <c r="CB19" s="27"/>
      <c r="CC19" s="27"/>
      <c r="CD19" s="27"/>
      <c r="CE19" s="27"/>
    </row>
    <row r="20" spans="1:112" ht="22.5" customHeight="1" thickTop="1" x14ac:dyDescent="0.25">
      <c r="A20" s="710"/>
      <c r="B20" s="710"/>
      <c r="C20" s="1804"/>
      <c r="D20" s="1804"/>
      <c r="E20" s="1804"/>
      <c r="F20" s="710"/>
      <c r="G20" s="710"/>
      <c r="H20" s="1804"/>
      <c r="I20" s="1804"/>
      <c r="J20" s="1804"/>
      <c r="K20" s="710"/>
      <c r="L20" s="710"/>
      <c r="M20" s="1804"/>
      <c r="N20" s="1804"/>
      <c r="O20" s="1804"/>
      <c r="P20" s="710"/>
      <c r="Q20" s="710"/>
      <c r="R20" s="1804"/>
      <c r="S20" s="1804"/>
      <c r="T20" s="1804"/>
      <c r="U20" s="710"/>
      <c r="V20" s="710"/>
      <c r="W20" s="1804"/>
      <c r="X20" s="1804"/>
      <c r="Y20" s="1804"/>
      <c r="Z20" s="719"/>
      <c r="AA20" s="719"/>
      <c r="AB20" s="1300"/>
      <c r="AC20" s="1300"/>
      <c r="AD20" s="1300"/>
      <c r="AE20" s="719"/>
      <c r="AF20" s="719"/>
      <c r="AG20" s="1300"/>
      <c r="AH20" s="1300"/>
      <c r="AI20" s="1300"/>
      <c r="AJ20" s="714"/>
      <c r="AK20" s="714"/>
      <c r="AL20" s="714"/>
      <c r="AM20" s="714"/>
      <c r="AN20" s="714"/>
      <c r="AO20" s="714"/>
      <c r="AP20" s="714"/>
      <c r="AQ20" s="714"/>
      <c r="AR20" s="714"/>
      <c r="AS20" s="714"/>
      <c r="AT20" s="714"/>
      <c r="AU20" s="714"/>
      <c r="AV20" s="714"/>
      <c r="AW20" s="714"/>
      <c r="AX20" s="714"/>
      <c r="AY20" s="714"/>
      <c r="AZ20" s="714"/>
      <c r="BA20" s="714"/>
      <c r="BB20" s="714"/>
      <c r="BC20" s="714"/>
      <c r="BD20" s="714"/>
      <c r="BE20" s="714"/>
      <c r="BF20" s="714"/>
      <c r="BG20" s="714"/>
      <c r="BH20" s="714"/>
      <c r="BI20" s="714"/>
      <c r="BJ20" s="714"/>
      <c r="BK20" s="714"/>
      <c r="BL20" s="714"/>
      <c r="BM20" s="714"/>
      <c r="BN20" s="714"/>
      <c r="BO20" s="714"/>
      <c r="BP20" s="714"/>
      <c r="BQ20" s="714"/>
      <c r="BR20" s="714"/>
    </row>
    <row r="21" spans="1:112" ht="99.75" customHeight="1" x14ac:dyDescent="0.25">
      <c r="A21" s="719"/>
      <c r="B21" s="719"/>
      <c r="C21" s="1300"/>
      <c r="D21" s="1300"/>
      <c r="E21" s="1300"/>
      <c r="F21" s="719"/>
      <c r="G21" s="719"/>
      <c r="H21" s="1300"/>
      <c r="I21" s="1300"/>
      <c r="J21" s="1300"/>
      <c r="K21" s="719"/>
      <c r="L21" s="719"/>
      <c r="M21" s="1300"/>
      <c r="N21" s="1300"/>
      <c r="O21" s="1300"/>
      <c r="P21" s="719"/>
      <c r="Q21" s="719"/>
      <c r="R21" s="1300"/>
      <c r="S21" s="1300"/>
      <c r="T21" s="1300"/>
      <c r="U21" s="719"/>
      <c r="V21" s="719"/>
      <c r="W21" s="1300"/>
      <c r="X21" s="1300"/>
      <c r="Y21" s="1300"/>
      <c r="Z21" s="719"/>
      <c r="AA21" s="719"/>
      <c r="AB21" s="1300"/>
      <c r="AC21" s="1300"/>
      <c r="AD21" s="1300"/>
      <c r="AE21" s="719"/>
      <c r="AF21" s="719"/>
      <c r="AG21" s="1300"/>
      <c r="AH21" s="1300"/>
      <c r="AI21" s="1300"/>
      <c r="AJ21" s="714"/>
      <c r="AK21" s="714"/>
      <c r="AL21" s="714"/>
      <c r="AM21" s="714"/>
      <c r="AN21" s="714"/>
      <c r="AO21" s="714"/>
      <c r="AP21" s="714"/>
      <c r="AQ21" s="714"/>
      <c r="AR21" s="714"/>
      <c r="AS21" s="714"/>
      <c r="AT21" s="714"/>
      <c r="AU21" s="714"/>
      <c r="AV21" s="714"/>
      <c r="AW21" s="714"/>
      <c r="AX21" s="714"/>
      <c r="AY21" s="714"/>
      <c r="AZ21" s="714"/>
      <c r="BA21" s="714"/>
      <c r="BB21" s="714"/>
      <c r="BC21" s="714"/>
      <c r="BD21" s="714"/>
      <c r="BE21" s="714"/>
      <c r="BF21" s="714"/>
      <c r="BG21" s="714"/>
      <c r="BH21" s="714"/>
      <c r="BI21" s="714"/>
      <c r="BJ21" s="714"/>
      <c r="BK21" s="714"/>
      <c r="BL21" s="714"/>
      <c r="BM21" s="714"/>
      <c r="BN21" s="714"/>
      <c r="BO21" s="714"/>
      <c r="BP21" s="714"/>
      <c r="BQ21" s="714"/>
      <c r="BR21" s="714"/>
    </row>
    <row r="22" spans="1:112" ht="33" customHeight="1" x14ac:dyDescent="0.25">
      <c r="A22" s="714"/>
      <c r="B22" s="714"/>
      <c r="C22" s="714"/>
      <c r="D22" s="714"/>
      <c r="E22" s="714"/>
      <c r="F22" s="714"/>
      <c r="G22" s="714"/>
      <c r="H22" s="714"/>
      <c r="I22" s="714"/>
      <c r="J22" s="714"/>
      <c r="K22" s="714"/>
      <c r="L22" s="714"/>
      <c r="M22" s="714"/>
      <c r="N22" s="714"/>
      <c r="O22" s="714"/>
      <c r="P22" s="714"/>
      <c r="Q22" s="714"/>
      <c r="R22" s="714"/>
      <c r="S22" s="714"/>
      <c r="T22" s="714"/>
      <c r="U22" s="714"/>
      <c r="V22" s="714"/>
      <c r="W22" s="714"/>
      <c r="X22" s="714"/>
      <c r="Y22" s="714"/>
      <c r="Z22" s="714"/>
      <c r="AA22" s="714"/>
      <c r="AB22" s="714"/>
      <c r="AC22" s="714"/>
      <c r="AD22" s="714"/>
      <c r="AE22" s="714"/>
      <c r="AF22" s="714"/>
      <c r="AG22" s="714"/>
      <c r="AH22" s="714"/>
      <c r="AI22" s="714"/>
      <c r="AJ22" s="714"/>
      <c r="AK22" s="714"/>
      <c r="AL22" s="714"/>
      <c r="AM22" s="714"/>
      <c r="AN22" s="714"/>
      <c r="AO22" s="714"/>
      <c r="AP22" s="714"/>
      <c r="AQ22" s="714"/>
      <c r="AR22" s="714"/>
      <c r="AS22" s="714"/>
      <c r="AT22" s="714"/>
      <c r="AU22" s="714"/>
      <c r="AV22" s="714"/>
      <c r="AW22" s="714"/>
      <c r="AX22" s="714"/>
      <c r="AY22" s="714"/>
      <c r="AZ22" s="714"/>
      <c r="BA22" s="714"/>
      <c r="BB22" s="714"/>
      <c r="BC22" s="714"/>
      <c r="BD22" s="714"/>
      <c r="BE22" s="714"/>
      <c r="BF22" s="714"/>
      <c r="BG22" s="714"/>
      <c r="BH22" s="714"/>
      <c r="BI22" s="714"/>
      <c r="BJ22" s="714"/>
      <c r="BK22" s="714"/>
      <c r="BL22" s="714"/>
      <c r="BM22" s="714"/>
      <c r="BN22" s="714"/>
      <c r="BO22" s="714"/>
      <c r="BP22" s="714"/>
      <c r="BQ22" s="714"/>
      <c r="BR22" s="714"/>
    </row>
    <row r="23" spans="1:112" ht="65.25" customHeight="1" x14ac:dyDescent="0.25">
      <c r="A23" s="714"/>
      <c r="B23" s="714"/>
      <c r="C23" s="714"/>
      <c r="D23" s="714"/>
      <c r="E23" s="714"/>
      <c r="F23" s="714"/>
      <c r="G23" s="714"/>
      <c r="H23" s="714"/>
      <c r="I23" s="714"/>
      <c r="J23" s="714"/>
      <c r="K23" s="714"/>
      <c r="L23" s="714"/>
      <c r="M23" s="714"/>
      <c r="N23" s="714"/>
      <c r="O23" s="714"/>
      <c r="P23" s="714"/>
      <c r="Q23" s="714"/>
      <c r="R23" s="714"/>
      <c r="S23" s="714"/>
      <c r="T23" s="714"/>
      <c r="U23" s="714"/>
      <c r="V23" s="714"/>
      <c r="W23" s="714"/>
      <c r="X23" s="714"/>
      <c r="Y23" s="714"/>
      <c r="Z23" s="714"/>
      <c r="AA23" s="714"/>
      <c r="AB23" s="714"/>
      <c r="AC23" s="714"/>
      <c r="AD23" s="714"/>
      <c r="AE23" s="714"/>
      <c r="AF23" s="714"/>
      <c r="AG23" s="714"/>
      <c r="AH23" s="714"/>
      <c r="AI23" s="714"/>
      <c r="AJ23" s="714"/>
      <c r="AK23" s="714"/>
      <c r="AL23" s="714"/>
      <c r="AM23" s="714"/>
      <c r="AN23" s="714"/>
      <c r="AO23" s="714"/>
      <c r="AP23" s="714"/>
      <c r="AQ23" s="714"/>
      <c r="AR23" s="714"/>
      <c r="AS23" s="714"/>
      <c r="AT23" s="714"/>
      <c r="AU23" s="714"/>
      <c r="AV23" s="714"/>
      <c r="AW23" s="714"/>
      <c r="AX23" s="714"/>
      <c r="AY23" s="714"/>
      <c r="AZ23" s="714"/>
      <c r="BA23" s="714"/>
      <c r="BB23" s="714"/>
      <c r="BC23" s="714"/>
      <c r="BD23" s="714"/>
      <c r="BE23" s="714"/>
      <c r="BF23" s="714"/>
      <c r="BG23" s="714"/>
      <c r="BH23" s="714"/>
      <c r="BI23" s="714"/>
      <c r="BJ23" s="714"/>
      <c r="BK23" s="714"/>
      <c r="BL23" s="714"/>
      <c r="BM23" s="714"/>
      <c r="BN23" s="714"/>
      <c r="BO23" s="714"/>
      <c r="BP23" s="714"/>
      <c r="BQ23" s="714"/>
      <c r="BR23" s="714"/>
    </row>
    <row r="24" spans="1:112" s="22" customFormat="1" ht="84.95" customHeight="1" x14ac:dyDescent="1.35">
      <c r="A24" s="716"/>
      <c r="B24" s="717"/>
      <c r="C24" s="717"/>
      <c r="D24" s="717"/>
      <c r="E24" s="717"/>
      <c r="F24" s="716"/>
      <c r="G24" s="717"/>
      <c r="H24" s="717"/>
      <c r="I24" s="717"/>
      <c r="J24" s="717"/>
      <c r="K24" s="716"/>
      <c r="L24" s="717"/>
      <c r="M24" s="717"/>
      <c r="N24" s="717"/>
      <c r="O24" s="717"/>
      <c r="P24" s="716"/>
      <c r="Q24" s="717"/>
      <c r="R24" s="717"/>
      <c r="S24" s="717"/>
      <c r="T24" s="717"/>
      <c r="U24" s="716"/>
      <c r="V24" s="717"/>
      <c r="W24" s="717"/>
      <c r="X24" s="717"/>
      <c r="Y24" s="717"/>
      <c r="Z24" s="716"/>
      <c r="AA24" s="717"/>
      <c r="AB24" s="717"/>
      <c r="AC24" s="717"/>
      <c r="AD24" s="717"/>
      <c r="AE24" s="716"/>
      <c r="AF24" s="717"/>
      <c r="AG24" s="717"/>
      <c r="AH24" s="717"/>
      <c r="AI24" s="717"/>
      <c r="AJ24" s="716"/>
      <c r="AK24" s="717"/>
      <c r="AL24" s="717"/>
      <c r="AM24" s="717"/>
      <c r="AN24" s="717"/>
      <c r="AO24" s="716"/>
      <c r="AP24" s="717"/>
      <c r="AQ24" s="717"/>
      <c r="AR24" s="717"/>
      <c r="AS24" s="717"/>
      <c r="AT24" s="716"/>
      <c r="AU24" s="717"/>
      <c r="AV24" s="717"/>
      <c r="AW24" s="717"/>
      <c r="AX24" s="717"/>
      <c r="AY24" s="716"/>
      <c r="AZ24" s="717"/>
      <c r="BA24" s="717"/>
      <c r="BB24" s="717"/>
      <c r="BC24" s="717"/>
      <c r="BD24" s="716"/>
      <c r="BE24" s="717"/>
      <c r="BF24" s="717"/>
      <c r="BG24" s="717"/>
      <c r="BH24" s="717"/>
      <c r="BI24" s="716"/>
      <c r="BJ24" s="717"/>
      <c r="BK24" s="717"/>
      <c r="BL24" s="717"/>
      <c r="BM24" s="717"/>
      <c r="BN24" s="716"/>
      <c r="BO24" s="717"/>
      <c r="BP24" s="717"/>
      <c r="BQ24" s="717"/>
      <c r="BR24" s="717"/>
    </row>
    <row r="25" spans="1:112" ht="37.5" customHeight="1" thickBot="1" x14ac:dyDescent="0.3">
      <c r="A25" s="716"/>
      <c r="B25" s="32"/>
      <c r="C25" s="33"/>
      <c r="D25" s="34"/>
      <c r="E25" s="35"/>
      <c r="F25" s="716"/>
      <c r="G25" s="32"/>
      <c r="H25" s="33"/>
      <c r="I25" s="34"/>
      <c r="J25" s="35"/>
      <c r="K25" s="716"/>
      <c r="L25" s="32"/>
      <c r="M25" s="33"/>
      <c r="N25" s="34"/>
      <c r="O25" s="35"/>
      <c r="P25" s="716"/>
      <c r="Q25" s="32"/>
      <c r="R25" s="33"/>
      <c r="S25" s="34"/>
      <c r="T25" s="35"/>
      <c r="U25" s="716"/>
      <c r="V25" s="32"/>
      <c r="W25" s="33"/>
      <c r="X25" s="34"/>
      <c r="Y25" s="35"/>
      <c r="Z25" s="716"/>
      <c r="AA25" s="32"/>
      <c r="AB25" s="33"/>
      <c r="AC25" s="34"/>
      <c r="AD25" s="35"/>
      <c r="AE25" s="716"/>
      <c r="AF25" s="32"/>
      <c r="AG25" s="33"/>
      <c r="AH25" s="34"/>
      <c r="AI25" s="35"/>
      <c r="AJ25" s="716"/>
      <c r="AK25" s="32"/>
      <c r="AL25" s="33"/>
      <c r="AM25" s="34"/>
      <c r="AN25" s="35"/>
      <c r="AO25" s="716"/>
      <c r="AP25" s="32"/>
      <c r="AQ25" s="33"/>
      <c r="AR25" s="34"/>
      <c r="AS25" s="35"/>
      <c r="AT25" s="716"/>
      <c r="AU25" s="32"/>
      <c r="AV25" s="33"/>
      <c r="AW25" s="34"/>
      <c r="AX25" s="35"/>
      <c r="AY25" s="716"/>
      <c r="AZ25" s="32"/>
      <c r="BA25" s="33"/>
      <c r="BB25" s="34"/>
      <c r="BC25" s="35"/>
      <c r="BD25" s="716"/>
      <c r="BE25" s="32"/>
      <c r="BF25" s="33"/>
      <c r="BG25" s="34"/>
      <c r="BH25" s="35"/>
      <c r="BI25" s="716"/>
      <c r="BJ25" s="32"/>
      <c r="BK25" s="33"/>
      <c r="BL25" s="34"/>
      <c r="BM25" s="35"/>
      <c r="BN25" s="716"/>
      <c r="BO25" s="32"/>
      <c r="BP25" s="33"/>
      <c r="BQ25" s="34"/>
      <c r="BR25" s="35"/>
      <c r="BW25" s="27"/>
    </row>
    <row r="26" spans="1:112" ht="22.5" customHeight="1" thickTop="1" x14ac:dyDescent="0.25">
      <c r="A26" s="1843" t="s">
        <v>110</v>
      </c>
      <c r="B26" s="1844"/>
      <c r="C26" s="1839">
        <f>B31/((90*3.1415/59)*(42.5/3.281))</f>
        <v>1.610978478080181E-9</v>
      </c>
      <c r="D26" s="1839"/>
      <c r="E26" s="1840"/>
      <c r="F26" s="1843" t="s">
        <v>110</v>
      </c>
      <c r="G26" s="1844"/>
      <c r="H26" s="1839">
        <f t="shared" ref="H26" si="24">G31/((90*3.1415/59)*(42.5/3.281))</f>
        <v>4.5829115744424991E-2</v>
      </c>
      <c r="I26" s="1839"/>
      <c r="J26" s="1840"/>
      <c r="K26" s="1843" t="s">
        <v>110</v>
      </c>
      <c r="L26" s="1844"/>
      <c r="M26" s="1839">
        <f t="shared" ref="M26" si="25">L31/((90*3.1415/59)*(42.5/3.281))</f>
        <v>1.3912410136700444E-2</v>
      </c>
      <c r="N26" s="1839"/>
      <c r="O26" s="1840"/>
      <c r="P26" s="1843" t="s">
        <v>110</v>
      </c>
      <c r="Q26" s="1844"/>
      <c r="R26" s="1839">
        <f t="shared" ref="R26" si="26">Q31/((90*3.1415/59)*(42.5/3.281))</f>
        <v>0.1489446261693812</v>
      </c>
      <c r="S26" s="1839"/>
      <c r="T26" s="1840"/>
      <c r="U26" s="1843" t="s">
        <v>110</v>
      </c>
      <c r="V26" s="1844"/>
      <c r="W26" s="1839">
        <f t="shared" ref="W26" si="27">V31/((90*3.1415/59)*(42.5/3.281))</f>
        <v>6.5470165349178558E-3</v>
      </c>
      <c r="X26" s="1839"/>
      <c r="Y26" s="1840"/>
      <c r="Z26" s="1843" t="s">
        <v>110</v>
      </c>
      <c r="AA26" s="1844"/>
      <c r="AB26" s="1839">
        <f t="shared" ref="AB26" si="28">AA31/((90*3.1415/59)*(42.5/3.281))</f>
        <v>8.5929592020796849E-2</v>
      </c>
      <c r="AC26" s="1839"/>
      <c r="AD26" s="1840"/>
      <c r="AE26" s="1835" t="s">
        <v>110</v>
      </c>
      <c r="AF26" s="1836"/>
      <c r="AG26" s="1831">
        <f>AF31/((90*3.1415/59)*(45/3.281))</f>
        <v>5.7968375569585184E-3</v>
      </c>
      <c r="AH26" s="1831"/>
      <c r="AI26" s="1832"/>
      <c r="AJ26" s="1835" t="s">
        <v>110</v>
      </c>
      <c r="AK26" s="1836"/>
      <c r="AL26" s="1831">
        <f t="shared" ref="AL26" si="29">AK31/((90*3.1415/59)*(45/3.281))</f>
        <v>8.3474460820202656E-2</v>
      </c>
      <c r="AM26" s="1831"/>
      <c r="AN26" s="1832"/>
      <c r="AO26" s="1835" t="s">
        <v>110</v>
      </c>
      <c r="AP26" s="1836"/>
      <c r="AQ26" s="1831">
        <f t="shared" ref="AQ26" si="30">AP31/((90*3.1415/59)*(45/3.281))</f>
        <v>3.4781025341751111E-3</v>
      </c>
      <c r="AR26" s="1831"/>
      <c r="AS26" s="1832"/>
      <c r="AT26" s="1835" t="s">
        <v>110</v>
      </c>
      <c r="AU26" s="1836"/>
      <c r="AV26" s="1831">
        <f t="shared" ref="AV26" si="31">AU31/((90*3.1415/59)*(45/3.281))</f>
        <v>5.5263184709671211E-2</v>
      </c>
      <c r="AW26" s="1831"/>
      <c r="AX26" s="1832"/>
      <c r="AY26" s="1835" t="s">
        <v>110</v>
      </c>
      <c r="AZ26" s="1836"/>
      <c r="BA26" s="1831">
        <f t="shared" ref="BA26" si="32">AZ31/((90*3.1415/59)*(45/3.281))</f>
        <v>1.0434307602525332E-2</v>
      </c>
      <c r="BB26" s="1831"/>
      <c r="BC26" s="1832"/>
      <c r="BD26" s="1835" t="s">
        <v>110</v>
      </c>
      <c r="BE26" s="1836"/>
      <c r="BF26" s="1831">
        <f t="shared" ref="BF26" si="33">BE31/((90*3.1415/59)*(45/3.281))</f>
        <v>1.2366586788178173E-2</v>
      </c>
      <c r="BG26" s="1831"/>
      <c r="BH26" s="1832"/>
      <c r="BI26" s="1819" t="s">
        <v>110</v>
      </c>
      <c r="BJ26" s="1820"/>
      <c r="BK26" s="1823">
        <f>BJ31/((90*3.1415/59)*(47.5/3.281))</f>
        <v>4.0633116634229742E-2</v>
      </c>
      <c r="BL26" s="1823"/>
      <c r="BM26" s="1824"/>
      <c r="BN26" s="1819" t="s">
        <v>110</v>
      </c>
      <c r="BO26" s="1820"/>
      <c r="BP26" s="1823">
        <f>BO31/((90*3.1415/59)*(47.5/3.281))</f>
        <v>2.7824820273400885E-2</v>
      </c>
      <c r="BQ26" s="1823"/>
      <c r="BR26" s="1824"/>
    </row>
    <row r="27" spans="1:112" ht="22.5" customHeight="1" x14ac:dyDescent="0.25">
      <c r="A27" s="1845"/>
      <c r="B27" s="1846"/>
      <c r="C27" s="1841"/>
      <c r="D27" s="1841"/>
      <c r="E27" s="1842"/>
      <c r="F27" s="1845"/>
      <c r="G27" s="1846"/>
      <c r="H27" s="1841"/>
      <c r="I27" s="1841"/>
      <c r="J27" s="1842"/>
      <c r="K27" s="1845"/>
      <c r="L27" s="1846"/>
      <c r="M27" s="1841"/>
      <c r="N27" s="1841"/>
      <c r="O27" s="1842"/>
      <c r="P27" s="1845"/>
      <c r="Q27" s="1846"/>
      <c r="R27" s="1841"/>
      <c r="S27" s="1841"/>
      <c r="T27" s="1842"/>
      <c r="U27" s="1845"/>
      <c r="V27" s="1846"/>
      <c r="W27" s="1841"/>
      <c r="X27" s="1841"/>
      <c r="Y27" s="1842"/>
      <c r="Z27" s="1845"/>
      <c r="AA27" s="1846"/>
      <c r="AB27" s="1841"/>
      <c r="AC27" s="1841"/>
      <c r="AD27" s="1842"/>
      <c r="AE27" s="1837"/>
      <c r="AF27" s="1838"/>
      <c r="AG27" s="1833"/>
      <c r="AH27" s="1833"/>
      <c r="AI27" s="1834"/>
      <c r="AJ27" s="1837"/>
      <c r="AK27" s="1838"/>
      <c r="AL27" s="1833"/>
      <c r="AM27" s="1833"/>
      <c r="AN27" s="1834"/>
      <c r="AO27" s="1837"/>
      <c r="AP27" s="1838"/>
      <c r="AQ27" s="1833"/>
      <c r="AR27" s="1833"/>
      <c r="AS27" s="1834"/>
      <c r="AT27" s="1837"/>
      <c r="AU27" s="1838"/>
      <c r="AV27" s="1833"/>
      <c r="AW27" s="1833"/>
      <c r="AX27" s="1834"/>
      <c r="AY27" s="1837"/>
      <c r="AZ27" s="1838"/>
      <c r="BA27" s="1833"/>
      <c r="BB27" s="1833"/>
      <c r="BC27" s="1834"/>
      <c r="BD27" s="1837"/>
      <c r="BE27" s="1838"/>
      <c r="BF27" s="1833"/>
      <c r="BG27" s="1833"/>
      <c r="BH27" s="1834"/>
      <c r="BI27" s="1821"/>
      <c r="BJ27" s="1822"/>
      <c r="BK27" s="1825"/>
      <c r="BL27" s="1825"/>
      <c r="BM27" s="1826"/>
      <c r="BN27" s="1821"/>
      <c r="BO27" s="1822"/>
      <c r="BP27" s="1825"/>
      <c r="BQ27" s="1825"/>
      <c r="BR27" s="1826"/>
      <c r="DG27" s="13"/>
      <c r="DH27" s="13"/>
    </row>
    <row r="28" spans="1:112" ht="33" customHeight="1" x14ac:dyDescent="0.25">
      <c r="A28" s="1791" t="s">
        <v>545</v>
      </c>
      <c r="B28" s="1792"/>
      <c r="C28" s="1792"/>
      <c r="D28" s="1792"/>
      <c r="E28" s="1793"/>
      <c r="F28" s="1809" t="s">
        <v>488</v>
      </c>
      <c r="G28" s="1663"/>
      <c r="H28" s="1663"/>
      <c r="I28" s="1663"/>
      <c r="J28" s="1664"/>
      <c r="K28" s="1791" t="s">
        <v>545</v>
      </c>
      <c r="L28" s="1792"/>
      <c r="M28" s="1792"/>
      <c r="N28" s="1792"/>
      <c r="O28" s="1793"/>
      <c r="P28" s="1809" t="s">
        <v>488</v>
      </c>
      <c r="Q28" s="1663"/>
      <c r="R28" s="1663"/>
      <c r="S28" s="1663"/>
      <c r="T28" s="1664"/>
      <c r="U28" s="1791" t="s">
        <v>552</v>
      </c>
      <c r="V28" s="1792"/>
      <c r="W28" s="1792"/>
      <c r="X28" s="1792"/>
      <c r="Y28" s="1793"/>
      <c r="Z28" s="1809" t="s">
        <v>488</v>
      </c>
      <c r="AA28" s="1663"/>
      <c r="AB28" s="1663"/>
      <c r="AC28" s="1663"/>
      <c r="AD28" s="1664"/>
      <c r="AE28" s="1791" t="s">
        <v>545</v>
      </c>
      <c r="AF28" s="1792"/>
      <c r="AG28" s="1792"/>
      <c r="AH28" s="1792"/>
      <c r="AI28" s="1793"/>
      <c r="AJ28" s="1791" t="s">
        <v>545</v>
      </c>
      <c r="AK28" s="1792"/>
      <c r="AL28" s="1792"/>
      <c r="AM28" s="1792"/>
      <c r="AN28" s="1793"/>
      <c r="AO28" s="1791" t="s">
        <v>545</v>
      </c>
      <c r="AP28" s="1792"/>
      <c r="AQ28" s="1792"/>
      <c r="AR28" s="1792"/>
      <c r="AS28" s="1793"/>
      <c r="AT28" s="1809" t="s">
        <v>488</v>
      </c>
      <c r="AU28" s="1663"/>
      <c r="AV28" s="1663"/>
      <c r="AW28" s="1663"/>
      <c r="AX28" s="1664"/>
      <c r="AY28" s="1809" t="s">
        <v>488</v>
      </c>
      <c r="AZ28" s="1663"/>
      <c r="BA28" s="1663"/>
      <c r="BB28" s="1663"/>
      <c r="BC28" s="1664"/>
      <c r="BD28" s="1809" t="s">
        <v>488</v>
      </c>
      <c r="BE28" s="1663"/>
      <c r="BF28" s="1663"/>
      <c r="BG28" s="1663"/>
      <c r="BH28" s="1664"/>
      <c r="BI28" s="1809" t="s">
        <v>488</v>
      </c>
      <c r="BJ28" s="1663"/>
      <c r="BK28" s="1663"/>
      <c r="BL28" s="1663"/>
      <c r="BM28" s="1664"/>
      <c r="BN28" s="1809" t="s">
        <v>488</v>
      </c>
      <c r="BO28" s="1663"/>
      <c r="BP28" s="1663"/>
      <c r="BQ28" s="1663"/>
      <c r="BR28" s="1664"/>
      <c r="DG28" s="13"/>
      <c r="DH28" s="13"/>
    </row>
    <row r="29" spans="1:112" ht="33" customHeight="1" x14ac:dyDescent="0.25">
      <c r="A29" s="1794"/>
      <c r="B29" s="1795"/>
      <c r="C29" s="1795"/>
      <c r="D29" s="1795"/>
      <c r="E29" s="1796"/>
      <c r="F29" s="1810"/>
      <c r="G29" s="1669"/>
      <c r="H29" s="1669"/>
      <c r="I29" s="1669"/>
      <c r="J29" s="1670"/>
      <c r="K29" s="1794"/>
      <c r="L29" s="1795"/>
      <c r="M29" s="1795"/>
      <c r="N29" s="1795"/>
      <c r="O29" s="1796"/>
      <c r="P29" s="1810"/>
      <c r="Q29" s="1669"/>
      <c r="R29" s="1669"/>
      <c r="S29" s="1669"/>
      <c r="T29" s="1670"/>
      <c r="U29" s="1794"/>
      <c r="V29" s="1795"/>
      <c r="W29" s="1795"/>
      <c r="X29" s="1795"/>
      <c r="Y29" s="1796"/>
      <c r="Z29" s="1810"/>
      <c r="AA29" s="1669"/>
      <c r="AB29" s="1669"/>
      <c r="AC29" s="1669"/>
      <c r="AD29" s="1670"/>
      <c r="AE29" s="1794"/>
      <c r="AF29" s="1795"/>
      <c r="AG29" s="1795"/>
      <c r="AH29" s="1795"/>
      <c r="AI29" s="1796"/>
      <c r="AJ29" s="1794"/>
      <c r="AK29" s="1795"/>
      <c r="AL29" s="1795"/>
      <c r="AM29" s="1795"/>
      <c r="AN29" s="1796"/>
      <c r="AO29" s="1794"/>
      <c r="AP29" s="1795"/>
      <c r="AQ29" s="1795"/>
      <c r="AR29" s="1795"/>
      <c r="AS29" s="1796"/>
      <c r="AT29" s="1810"/>
      <c r="AU29" s="1669"/>
      <c r="AV29" s="1669"/>
      <c r="AW29" s="1669"/>
      <c r="AX29" s="1670"/>
      <c r="AY29" s="1810"/>
      <c r="AZ29" s="1669"/>
      <c r="BA29" s="1669"/>
      <c r="BB29" s="1669"/>
      <c r="BC29" s="1670"/>
      <c r="BD29" s="1810"/>
      <c r="BE29" s="1669"/>
      <c r="BF29" s="1669"/>
      <c r="BG29" s="1669"/>
      <c r="BH29" s="1670"/>
      <c r="BI29" s="1810"/>
      <c r="BJ29" s="1669"/>
      <c r="BK29" s="1669"/>
      <c r="BL29" s="1669"/>
      <c r="BM29" s="1670"/>
      <c r="BN29" s="1810"/>
      <c r="BO29" s="1669"/>
      <c r="BP29" s="1669"/>
      <c r="BQ29" s="1669"/>
      <c r="BR29" s="1670"/>
      <c r="DG29" s="13"/>
      <c r="DH29" s="13"/>
    </row>
    <row r="30" spans="1:112" s="22" customFormat="1" ht="85.5" customHeight="1" x14ac:dyDescent="1.35">
      <c r="A30" s="1829" t="s">
        <v>558</v>
      </c>
      <c r="B30" s="588">
        <v>34</v>
      </c>
      <c r="C30" s="589"/>
      <c r="D30" s="589"/>
      <c r="E30" s="590"/>
      <c r="F30" s="1829" t="s">
        <v>558</v>
      </c>
      <c r="G30" s="588">
        <v>35</v>
      </c>
      <c r="H30" s="589"/>
      <c r="I30" s="589"/>
      <c r="J30" s="590"/>
      <c r="K30" s="1829" t="s">
        <v>558</v>
      </c>
      <c r="L30" s="588">
        <v>36</v>
      </c>
      <c r="M30" s="589"/>
      <c r="N30" s="589"/>
      <c r="O30" s="590"/>
      <c r="P30" s="1829" t="s">
        <v>558</v>
      </c>
      <c r="Q30" s="588">
        <v>37</v>
      </c>
      <c r="R30" s="589"/>
      <c r="S30" s="589"/>
      <c r="T30" s="590"/>
      <c r="U30" s="1829" t="s">
        <v>558</v>
      </c>
      <c r="V30" s="588">
        <v>38</v>
      </c>
      <c r="W30" s="589"/>
      <c r="X30" s="589"/>
      <c r="Y30" s="590"/>
      <c r="Z30" s="1829" t="s">
        <v>558</v>
      </c>
      <c r="AA30" s="588">
        <v>39</v>
      </c>
      <c r="AB30" s="589"/>
      <c r="AC30" s="589"/>
      <c r="AD30" s="590"/>
      <c r="AE30" s="1827" t="s">
        <v>133</v>
      </c>
      <c r="AF30" s="588">
        <v>40</v>
      </c>
      <c r="AG30" s="589"/>
      <c r="AH30" s="589"/>
      <c r="AI30" s="590"/>
      <c r="AJ30" s="1827" t="s">
        <v>133</v>
      </c>
      <c r="AK30" s="588">
        <v>41</v>
      </c>
      <c r="AL30" s="589"/>
      <c r="AM30" s="589"/>
      <c r="AN30" s="590"/>
      <c r="AO30" s="1827" t="s">
        <v>133</v>
      </c>
      <c r="AP30" s="588">
        <v>42</v>
      </c>
      <c r="AQ30" s="589"/>
      <c r="AR30" s="589"/>
      <c r="AS30" s="590"/>
      <c r="AT30" s="1827" t="s">
        <v>133</v>
      </c>
      <c r="AU30" s="588">
        <v>43</v>
      </c>
      <c r="AV30" s="589"/>
      <c r="AW30" s="589"/>
      <c r="AX30" s="590"/>
      <c r="AY30" s="1827" t="s">
        <v>133</v>
      </c>
      <c r="AZ30" s="588">
        <v>44</v>
      </c>
      <c r="BA30" s="589"/>
      <c r="BB30" s="589"/>
      <c r="BC30" s="590"/>
      <c r="BD30" s="1827" t="s">
        <v>133</v>
      </c>
      <c r="BE30" s="588">
        <v>45</v>
      </c>
      <c r="BF30" s="589"/>
      <c r="BG30" s="589"/>
      <c r="BH30" s="590"/>
      <c r="BI30" s="1807" t="s">
        <v>559</v>
      </c>
      <c r="BJ30" s="588">
        <v>46</v>
      </c>
      <c r="BK30" s="589"/>
      <c r="BL30" s="589"/>
      <c r="BM30" s="590"/>
      <c r="BN30" s="1807" t="s">
        <v>559</v>
      </c>
      <c r="BO30" s="588">
        <v>47</v>
      </c>
      <c r="BP30" s="589"/>
      <c r="BQ30" s="589"/>
      <c r="BR30" s="590"/>
      <c r="DG30" s="317"/>
      <c r="DH30" s="317"/>
    </row>
    <row r="31" spans="1:112" ht="37.5" customHeight="1" thickBot="1" x14ac:dyDescent="0.3">
      <c r="A31" s="1830"/>
      <c r="B31" s="61">
        <v>9.9999999999999995E-8</v>
      </c>
      <c r="C31" s="62" t="s">
        <v>113</v>
      </c>
      <c r="D31" s="63"/>
      <c r="E31" s="64" t="s">
        <v>114</v>
      </c>
      <c r="F31" s="1830"/>
      <c r="G31" s="61">
        <v>2.8448000000000002</v>
      </c>
      <c r="H31" s="62" t="s">
        <v>113</v>
      </c>
      <c r="I31" s="63">
        <v>1</v>
      </c>
      <c r="J31" s="64" t="s">
        <v>114</v>
      </c>
      <c r="K31" s="1830"/>
      <c r="L31" s="61">
        <v>0.86360000000000003</v>
      </c>
      <c r="M31" s="62" t="s">
        <v>113</v>
      </c>
      <c r="N31" s="63"/>
      <c r="O31" s="64" t="s">
        <v>114</v>
      </c>
      <c r="P31" s="1830"/>
      <c r="Q31" s="61">
        <v>9.2455999999999996</v>
      </c>
      <c r="R31" s="62" t="s">
        <v>113</v>
      </c>
      <c r="S31" s="63">
        <v>1</v>
      </c>
      <c r="T31" s="64" t="s">
        <v>114</v>
      </c>
      <c r="U31" s="1830"/>
      <c r="V31" s="61">
        <v>0.40639999999999998</v>
      </c>
      <c r="W31" s="62" t="s">
        <v>113</v>
      </c>
      <c r="X31" s="63"/>
      <c r="Y31" s="64" t="s">
        <v>114</v>
      </c>
      <c r="Z31" s="1830"/>
      <c r="AA31" s="61">
        <v>5.3339999999999996</v>
      </c>
      <c r="AB31" s="62" t="s">
        <v>113</v>
      </c>
      <c r="AC31" s="63">
        <v>1</v>
      </c>
      <c r="AD31" s="64" t="s">
        <v>114</v>
      </c>
      <c r="AE31" s="1828"/>
      <c r="AF31" s="61">
        <v>0.38100000000000001</v>
      </c>
      <c r="AG31" s="62" t="s">
        <v>113</v>
      </c>
      <c r="AH31" s="63"/>
      <c r="AI31" s="64" t="s">
        <v>114</v>
      </c>
      <c r="AJ31" s="1828"/>
      <c r="AK31" s="61">
        <v>5.4863999999999997</v>
      </c>
      <c r="AL31" s="62" t="s">
        <v>113</v>
      </c>
      <c r="AM31" s="63">
        <v>1</v>
      </c>
      <c r="AN31" s="64" t="s">
        <v>114</v>
      </c>
      <c r="AO31" s="1828"/>
      <c r="AP31" s="61">
        <v>0.2286</v>
      </c>
      <c r="AQ31" s="62" t="s">
        <v>113</v>
      </c>
      <c r="AR31" s="63"/>
      <c r="AS31" s="64" t="s">
        <v>114</v>
      </c>
      <c r="AT31" s="1828"/>
      <c r="AU31" s="61">
        <v>3.6322000000000001</v>
      </c>
      <c r="AV31" s="62" t="s">
        <v>113</v>
      </c>
      <c r="AW31" s="63">
        <v>1</v>
      </c>
      <c r="AX31" s="64" t="s">
        <v>114</v>
      </c>
      <c r="AY31" s="1828"/>
      <c r="AZ31" s="61">
        <v>0.68579999999999997</v>
      </c>
      <c r="BA31" s="62" t="s">
        <v>113</v>
      </c>
      <c r="BB31" s="63"/>
      <c r="BC31" s="64" t="s">
        <v>114</v>
      </c>
      <c r="BD31" s="1828"/>
      <c r="BE31" s="61">
        <v>0.81279999999999997</v>
      </c>
      <c r="BF31" s="62" t="s">
        <v>113</v>
      </c>
      <c r="BG31" s="63">
        <v>1</v>
      </c>
      <c r="BH31" s="64" t="s">
        <v>114</v>
      </c>
      <c r="BI31" s="1808"/>
      <c r="BJ31" s="61">
        <v>2.819</v>
      </c>
      <c r="BK31" s="62" t="s">
        <v>113</v>
      </c>
      <c r="BL31" s="63"/>
      <c r="BM31" s="64" t="s">
        <v>114</v>
      </c>
      <c r="BN31" s="1808"/>
      <c r="BO31" s="61">
        <v>1.9303999999999999</v>
      </c>
      <c r="BP31" s="62" t="s">
        <v>113</v>
      </c>
      <c r="BQ31" s="63">
        <v>1</v>
      </c>
      <c r="BR31" s="64" t="s">
        <v>114</v>
      </c>
      <c r="BW31" s="27"/>
      <c r="DG31" s="13"/>
      <c r="DH31" s="13"/>
    </row>
    <row r="32" spans="1:112" ht="22.5" customHeight="1" thickTop="1" x14ac:dyDescent="0.25">
      <c r="A32" s="1819" t="s">
        <v>110</v>
      </c>
      <c r="B32" s="1820"/>
      <c r="C32" s="1823">
        <f t="shared" ref="C32" si="34">B37/((90*3.1415/59)*(47.5/3.281))</f>
        <v>1.6841338586532119E-2</v>
      </c>
      <c r="D32" s="1823"/>
      <c r="E32" s="1824"/>
      <c r="F32" s="1819" t="s">
        <v>110</v>
      </c>
      <c r="G32" s="1820"/>
      <c r="H32" s="1823">
        <f t="shared" ref="H32" si="35">G37/((90*3.1415/59)*(47.5/3.281))</f>
        <v>3.0753748723232558E-2</v>
      </c>
      <c r="I32" s="1823"/>
      <c r="J32" s="1824"/>
      <c r="K32" s="1819" t="s">
        <v>110</v>
      </c>
      <c r="L32" s="1820"/>
      <c r="M32" s="1823">
        <f t="shared" ref="M32" si="36">L37/((90*3.1415/59)*(47.5/3.281))</f>
        <v>1.5376874361616279E-2</v>
      </c>
      <c r="N32" s="1823"/>
      <c r="O32" s="1824"/>
      <c r="P32" s="1819" t="s">
        <v>110</v>
      </c>
      <c r="Q32" s="1820"/>
      <c r="R32" s="1823">
        <f t="shared" ref="R32" si="37">Q37/((90*3.1415/59)*(47.5/3.281))</f>
        <v>4.2835578578788211E-2</v>
      </c>
      <c r="S32" s="1823"/>
      <c r="T32" s="1824"/>
      <c r="U32" s="1811" t="s">
        <v>110</v>
      </c>
      <c r="V32" s="1812"/>
      <c r="W32" s="1815">
        <f>V37/((90*3.1415/59)*(65/3.281))</f>
        <v>1.2842224741569642E-2</v>
      </c>
      <c r="X32" s="1815"/>
      <c r="Y32" s="1816"/>
      <c r="Z32" s="1811" t="s">
        <v>110</v>
      </c>
      <c r="AA32" s="1812"/>
      <c r="AB32" s="1815">
        <f>AA37/((90*3.1415/59)*(65/3.281))</f>
        <v>4.3871281207872009E-2</v>
      </c>
      <c r="AC32" s="1815"/>
      <c r="AD32" s="1816"/>
      <c r="AE32" s="1811" t="s">
        <v>110</v>
      </c>
      <c r="AF32" s="1812"/>
      <c r="AG32" s="1815">
        <f>AF37/((90*3.1415/59)*(65/3.281))</f>
        <v>2.3811625041660379E-2</v>
      </c>
      <c r="AH32" s="1815"/>
      <c r="AI32" s="1816"/>
      <c r="AJ32" s="710"/>
      <c r="AK32" s="710"/>
      <c r="AL32" s="1804"/>
      <c r="AM32" s="1804"/>
      <c r="AN32" s="1804"/>
      <c r="AO32" s="710"/>
      <c r="AP32" s="710"/>
      <c r="AQ32" s="1804"/>
      <c r="AR32" s="1804"/>
      <c r="AS32" s="1804"/>
      <c r="AT32" s="710"/>
      <c r="AU32" s="710"/>
      <c r="AV32" s="1804"/>
      <c r="AW32" s="1804"/>
      <c r="AX32" s="1804"/>
      <c r="AY32" s="710"/>
      <c r="AZ32" s="710"/>
      <c r="BA32" s="1804"/>
      <c r="BB32" s="1804"/>
      <c r="BC32" s="1804"/>
      <c r="BD32" s="710"/>
      <c r="BE32" s="710"/>
      <c r="BF32" s="1804"/>
      <c r="BG32" s="1804"/>
      <c r="BH32" s="1804"/>
      <c r="BI32" s="710"/>
      <c r="BJ32" s="710"/>
      <c r="BK32" s="1804"/>
      <c r="BL32" s="1804"/>
      <c r="BM32" s="1804"/>
      <c r="BN32" s="710"/>
      <c r="BO32" s="710"/>
      <c r="BP32" s="1804"/>
      <c r="BQ32" s="1804"/>
      <c r="BR32" s="1804"/>
      <c r="DG32" s="57"/>
      <c r="DH32" s="57"/>
    </row>
    <row r="33" spans="1:112" ht="22.5" customHeight="1" x14ac:dyDescent="0.25">
      <c r="A33" s="1821"/>
      <c r="B33" s="1822"/>
      <c r="C33" s="1825"/>
      <c r="D33" s="1825"/>
      <c r="E33" s="1826"/>
      <c r="F33" s="1821"/>
      <c r="G33" s="1822"/>
      <c r="H33" s="1825"/>
      <c r="I33" s="1825"/>
      <c r="J33" s="1826"/>
      <c r="K33" s="1821"/>
      <c r="L33" s="1822"/>
      <c r="M33" s="1825"/>
      <c r="N33" s="1825"/>
      <c r="O33" s="1826"/>
      <c r="P33" s="1821"/>
      <c r="Q33" s="1822"/>
      <c r="R33" s="1825"/>
      <c r="S33" s="1825"/>
      <c r="T33" s="1826"/>
      <c r="U33" s="1813"/>
      <c r="V33" s="1814"/>
      <c r="W33" s="1817"/>
      <c r="X33" s="1817"/>
      <c r="Y33" s="1818"/>
      <c r="Z33" s="1813"/>
      <c r="AA33" s="1814"/>
      <c r="AB33" s="1817"/>
      <c r="AC33" s="1817"/>
      <c r="AD33" s="1818"/>
      <c r="AE33" s="1813"/>
      <c r="AF33" s="1814"/>
      <c r="AG33" s="1817"/>
      <c r="AH33" s="1817"/>
      <c r="AI33" s="1818"/>
      <c r="AJ33" s="719"/>
      <c r="AK33" s="719"/>
      <c r="AL33" s="1300"/>
      <c r="AM33" s="1300"/>
      <c r="AN33" s="1300"/>
      <c r="AO33" s="719"/>
      <c r="AP33" s="719"/>
      <c r="AQ33" s="1300"/>
      <c r="AR33" s="1300"/>
      <c r="AS33" s="1300"/>
      <c r="AT33" s="719"/>
      <c r="AU33" s="719"/>
      <c r="AV33" s="1300"/>
      <c r="AW33" s="1300"/>
      <c r="AX33" s="1300"/>
      <c r="AY33" s="719"/>
      <c r="AZ33" s="719"/>
      <c r="BA33" s="1300"/>
      <c r="BB33" s="1300"/>
      <c r="BC33" s="1300"/>
      <c r="BD33" s="719"/>
      <c r="BE33" s="719"/>
      <c r="BF33" s="1300"/>
      <c r="BG33" s="1300"/>
      <c r="BH33" s="1300"/>
      <c r="BI33" s="719"/>
      <c r="BJ33" s="719"/>
      <c r="BK33" s="1300"/>
      <c r="BL33" s="1300"/>
      <c r="BM33" s="1300"/>
      <c r="BN33" s="719"/>
      <c r="BO33" s="719"/>
      <c r="BP33" s="1300"/>
      <c r="BQ33" s="1300"/>
      <c r="BR33" s="1300"/>
      <c r="DG33" s="57"/>
      <c r="DH33" s="57"/>
    </row>
    <row r="34" spans="1:112" ht="33" customHeight="1" x14ac:dyDescent="0.25">
      <c r="A34" s="1791" t="s">
        <v>545</v>
      </c>
      <c r="B34" s="1792"/>
      <c r="C34" s="1792"/>
      <c r="D34" s="1792"/>
      <c r="E34" s="1793"/>
      <c r="F34" s="1791" t="s">
        <v>545</v>
      </c>
      <c r="G34" s="1792"/>
      <c r="H34" s="1792"/>
      <c r="I34" s="1792"/>
      <c r="J34" s="1793"/>
      <c r="K34" s="1791" t="s">
        <v>545</v>
      </c>
      <c r="L34" s="1792"/>
      <c r="M34" s="1792"/>
      <c r="N34" s="1792"/>
      <c r="O34" s="1793"/>
      <c r="P34" s="1809" t="s">
        <v>488</v>
      </c>
      <c r="Q34" s="1663"/>
      <c r="R34" s="1663"/>
      <c r="S34" s="1663"/>
      <c r="T34" s="1664"/>
      <c r="U34" s="1791" t="s">
        <v>545</v>
      </c>
      <c r="V34" s="1792"/>
      <c r="W34" s="1792"/>
      <c r="X34" s="1792"/>
      <c r="Y34" s="1793"/>
      <c r="Z34" s="1791" t="s">
        <v>545</v>
      </c>
      <c r="AA34" s="1792"/>
      <c r="AB34" s="1792"/>
      <c r="AC34" s="1792"/>
      <c r="AD34" s="1793"/>
      <c r="AE34" s="1791" t="s">
        <v>545</v>
      </c>
      <c r="AF34" s="1792"/>
      <c r="AG34" s="1792"/>
      <c r="AH34" s="1792"/>
      <c r="AI34" s="1793"/>
      <c r="AJ34" s="719" t="e" vm="3">
        <v>#VALUE!</v>
      </c>
      <c r="AK34" s="719"/>
      <c r="AL34" s="719"/>
      <c r="AM34" s="719"/>
      <c r="AN34" s="719"/>
      <c r="AO34" s="719"/>
      <c r="AP34" s="719"/>
      <c r="AQ34" s="719"/>
      <c r="AR34" s="719"/>
      <c r="AS34" s="719"/>
      <c r="AT34" s="719"/>
      <c r="AU34" s="719"/>
      <c r="AV34" s="719"/>
      <c r="AW34" s="719"/>
      <c r="AX34" s="719"/>
      <c r="AY34" s="719"/>
      <c r="AZ34" s="719"/>
      <c r="BA34" s="719"/>
      <c r="BB34" s="719"/>
      <c r="BC34" s="719"/>
      <c r="BD34" s="719"/>
      <c r="BE34" s="719"/>
      <c r="BF34" s="719"/>
      <c r="BG34" s="719"/>
      <c r="BH34" s="719"/>
      <c r="BI34" s="719"/>
      <c r="BJ34" s="719"/>
      <c r="BK34" s="719"/>
      <c r="BL34" s="719"/>
      <c r="BM34" s="719"/>
      <c r="BN34" s="719"/>
      <c r="BO34" s="719"/>
      <c r="BP34" s="719"/>
      <c r="BQ34" s="719"/>
      <c r="BR34" s="719"/>
      <c r="DG34" s="57"/>
      <c r="DH34" s="57"/>
    </row>
    <row r="35" spans="1:112" ht="33" customHeight="1" x14ac:dyDescent="0.25">
      <c r="A35" s="1794"/>
      <c r="B35" s="1795"/>
      <c r="C35" s="1795"/>
      <c r="D35" s="1795"/>
      <c r="E35" s="1796"/>
      <c r="F35" s="1794"/>
      <c r="G35" s="1795"/>
      <c r="H35" s="1795"/>
      <c r="I35" s="1795"/>
      <c r="J35" s="1796"/>
      <c r="K35" s="1794"/>
      <c r="L35" s="1795"/>
      <c r="M35" s="1795"/>
      <c r="N35" s="1795"/>
      <c r="O35" s="1796"/>
      <c r="P35" s="1810"/>
      <c r="Q35" s="1669"/>
      <c r="R35" s="1669"/>
      <c r="S35" s="1669"/>
      <c r="T35" s="1670"/>
      <c r="U35" s="1794"/>
      <c r="V35" s="1795"/>
      <c r="W35" s="1795"/>
      <c r="X35" s="1795"/>
      <c r="Y35" s="1796"/>
      <c r="Z35" s="1794"/>
      <c r="AA35" s="1795"/>
      <c r="AB35" s="1795"/>
      <c r="AC35" s="1795"/>
      <c r="AD35" s="1796"/>
      <c r="AE35" s="1794"/>
      <c r="AF35" s="1795"/>
      <c r="AG35" s="1795"/>
      <c r="AH35" s="1795"/>
      <c r="AI35" s="1796"/>
      <c r="AJ35" s="719"/>
      <c r="AK35" s="719"/>
      <c r="AL35" s="719"/>
      <c r="AM35" s="719"/>
      <c r="AN35" s="719"/>
      <c r="AO35" s="719"/>
      <c r="AP35" s="719"/>
      <c r="AQ35" s="719"/>
      <c r="AR35" s="719"/>
      <c r="AS35" s="719"/>
      <c r="AT35" s="719"/>
      <c r="AU35" s="719"/>
      <c r="AV35" s="719"/>
      <c r="AW35" s="719"/>
      <c r="AX35" s="719"/>
      <c r="AY35" s="719"/>
      <c r="AZ35" s="719"/>
      <c r="BA35" s="719"/>
      <c r="BB35" s="719"/>
      <c r="BC35" s="719"/>
      <c r="BD35" s="719"/>
      <c r="BE35" s="719"/>
      <c r="BF35" s="719"/>
      <c r="BG35" s="719"/>
      <c r="BH35" s="719"/>
      <c r="BI35" s="719"/>
      <c r="BJ35" s="719"/>
      <c r="BK35" s="719"/>
      <c r="BL35" s="719"/>
      <c r="BM35" s="719"/>
      <c r="BN35" s="719"/>
      <c r="BO35" s="719"/>
      <c r="BP35" s="719"/>
      <c r="BQ35" s="719"/>
      <c r="BR35" s="719"/>
      <c r="DG35" s="13"/>
      <c r="DH35" s="13"/>
    </row>
    <row r="36" spans="1:112" s="22" customFormat="1" ht="74.25" customHeight="1" x14ac:dyDescent="1.35">
      <c r="A36" s="1807" t="s">
        <v>559</v>
      </c>
      <c r="B36" s="588">
        <v>49</v>
      </c>
      <c r="C36" s="589"/>
      <c r="D36" s="589"/>
      <c r="E36" s="590"/>
      <c r="F36" s="1807" t="s">
        <v>559</v>
      </c>
      <c r="G36" s="588">
        <v>50</v>
      </c>
      <c r="H36" s="589"/>
      <c r="I36" s="589"/>
      <c r="J36" s="590"/>
      <c r="K36" s="1807" t="s">
        <v>559</v>
      </c>
      <c r="L36" s="588">
        <v>51</v>
      </c>
      <c r="M36" s="589"/>
      <c r="N36" s="589"/>
      <c r="O36" s="590"/>
      <c r="P36" s="1807" t="s">
        <v>559</v>
      </c>
      <c r="Q36" s="588">
        <v>52</v>
      </c>
      <c r="R36" s="589"/>
      <c r="S36" s="589"/>
      <c r="T36" s="590"/>
      <c r="U36" s="1805" t="s">
        <v>165</v>
      </c>
      <c r="V36" s="588">
        <v>48</v>
      </c>
      <c r="W36" s="589"/>
      <c r="X36" s="589"/>
      <c r="Y36" s="590"/>
      <c r="Z36" s="1805" t="s">
        <v>165</v>
      </c>
      <c r="AA36" s="588">
        <v>53</v>
      </c>
      <c r="AB36" s="589"/>
      <c r="AC36" s="589"/>
      <c r="AD36" s="590"/>
      <c r="AE36" s="1805" t="s">
        <v>165</v>
      </c>
      <c r="AF36" s="588">
        <v>54</v>
      </c>
      <c r="AG36" s="589"/>
      <c r="AH36" s="589"/>
      <c r="AI36" s="590"/>
      <c r="AJ36" s="719"/>
      <c r="AK36" s="719"/>
      <c r="AL36" s="719"/>
      <c r="AM36" s="719"/>
      <c r="AN36" s="719"/>
      <c r="AO36" s="719"/>
      <c r="AP36" s="719"/>
      <c r="AQ36" s="719"/>
      <c r="AR36" s="719"/>
      <c r="AS36" s="719"/>
      <c r="AT36" s="719"/>
      <c r="AU36" s="719"/>
      <c r="AV36" s="719"/>
      <c r="AW36" s="719"/>
      <c r="AX36" s="719"/>
      <c r="AY36" s="719"/>
      <c r="AZ36" s="719"/>
      <c r="BA36" s="719"/>
      <c r="BB36" s="719"/>
      <c r="BC36" s="719"/>
      <c r="BD36" s="719"/>
      <c r="BE36" s="719"/>
      <c r="BF36" s="719"/>
      <c r="BG36" s="719"/>
      <c r="BH36" s="719"/>
      <c r="BI36" s="719"/>
      <c r="BJ36" s="719"/>
      <c r="BK36" s="719"/>
      <c r="BL36" s="719"/>
      <c r="BM36" s="719"/>
      <c r="BN36" s="719"/>
      <c r="BO36" s="719"/>
      <c r="BP36" s="719"/>
      <c r="BQ36" s="719"/>
      <c r="BR36" s="719"/>
      <c r="DG36" s="317"/>
      <c r="DH36" s="317"/>
    </row>
    <row r="37" spans="1:112" ht="37.5" customHeight="1" thickBot="1" x14ac:dyDescent="0.3">
      <c r="A37" s="1808"/>
      <c r="B37" s="61">
        <v>1.1684000000000001</v>
      </c>
      <c r="C37" s="62" t="s">
        <v>113</v>
      </c>
      <c r="D37" s="63"/>
      <c r="E37" s="64" t="s">
        <v>114</v>
      </c>
      <c r="F37" s="1808"/>
      <c r="G37" s="61">
        <v>2.1335999999999999</v>
      </c>
      <c r="H37" s="62" t="s">
        <v>113</v>
      </c>
      <c r="I37" s="63">
        <v>1</v>
      </c>
      <c r="J37" s="64" t="s">
        <v>114</v>
      </c>
      <c r="K37" s="1808"/>
      <c r="L37" s="61">
        <v>1.0668</v>
      </c>
      <c r="M37" s="62" t="s">
        <v>113</v>
      </c>
      <c r="N37" s="63"/>
      <c r="O37" s="64" t="s">
        <v>114</v>
      </c>
      <c r="P37" s="1808"/>
      <c r="Q37" s="61">
        <v>2.9718</v>
      </c>
      <c r="R37" s="62" t="s">
        <v>113</v>
      </c>
      <c r="S37" s="63">
        <v>1</v>
      </c>
      <c r="T37" s="64" t="s">
        <v>114</v>
      </c>
      <c r="U37" s="1806"/>
      <c r="V37" s="61">
        <v>1.2192000000000001</v>
      </c>
      <c r="W37" s="62" t="s">
        <v>113</v>
      </c>
      <c r="X37" s="63">
        <v>1</v>
      </c>
      <c r="Y37" s="64" t="s">
        <v>114</v>
      </c>
      <c r="Z37" s="1806"/>
      <c r="AA37" s="61">
        <v>4.165</v>
      </c>
      <c r="AB37" s="62" t="s">
        <v>113</v>
      </c>
      <c r="AC37" s="63">
        <v>1</v>
      </c>
      <c r="AD37" s="64" t="s">
        <v>114</v>
      </c>
      <c r="AE37" s="1806"/>
      <c r="AF37" s="61">
        <v>2.2606000000000002</v>
      </c>
      <c r="AG37" s="62" t="s">
        <v>113</v>
      </c>
      <c r="AH37" s="63">
        <v>1</v>
      </c>
      <c r="AI37" s="64" t="s">
        <v>114</v>
      </c>
      <c r="AJ37" s="719"/>
      <c r="AK37" s="719"/>
      <c r="AL37" s="719"/>
      <c r="AM37" s="719"/>
      <c r="AN37" s="719"/>
      <c r="AO37" s="719"/>
      <c r="AP37" s="719"/>
      <c r="AQ37" s="719"/>
      <c r="AR37" s="719"/>
      <c r="AS37" s="719"/>
      <c r="AT37" s="719"/>
      <c r="AU37" s="719"/>
      <c r="AV37" s="719"/>
      <c r="AW37" s="719"/>
      <c r="AX37" s="719"/>
      <c r="AY37" s="719"/>
      <c r="AZ37" s="719"/>
      <c r="BA37" s="719"/>
      <c r="BB37" s="719"/>
      <c r="BC37" s="719"/>
      <c r="BD37" s="719"/>
      <c r="BE37" s="719"/>
      <c r="BF37" s="719"/>
      <c r="BG37" s="719"/>
      <c r="BH37" s="719"/>
      <c r="BI37" s="719"/>
      <c r="BJ37" s="719"/>
      <c r="BK37" s="719"/>
      <c r="BL37" s="719"/>
      <c r="BM37" s="719"/>
      <c r="BN37" s="719"/>
      <c r="BO37" s="719"/>
      <c r="BP37" s="719"/>
      <c r="BQ37" s="719"/>
      <c r="BR37" s="719"/>
      <c r="BW37" s="27"/>
      <c r="DG37" s="13"/>
      <c r="DH37" s="13"/>
    </row>
    <row r="38" spans="1:112" ht="18.600000000000001" customHeight="1" thickTop="1" x14ac:dyDescent="0.25">
      <c r="A38" s="710"/>
      <c r="B38" s="710"/>
      <c r="C38" s="1804"/>
      <c r="D38" s="1804"/>
      <c r="E38" s="1804"/>
      <c r="F38" s="710"/>
      <c r="G38" s="710"/>
      <c r="H38" s="1804"/>
      <c r="I38" s="1804"/>
      <c r="J38" s="1804"/>
      <c r="K38" s="710"/>
      <c r="L38" s="710"/>
      <c r="M38" s="1804"/>
      <c r="N38" s="1804"/>
      <c r="O38" s="1804"/>
      <c r="P38" s="719"/>
      <c r="Q38" s="719"/>
      <c r="R38" s="1300"/>
      <c r="S38" s="1300"/>
      <c r="T38" s="1300"/>
      <c r="U38" s="719"/>
      <c r="V38" s="719"/>
      <c r="W38" s="1300"/>
      <c r="X38" s="1300"/>
      <c r="Y38" s="1300"/>
      <c r="Z38" s="719"/>
      <c r="AA38" s="719"/>
      <c r="AB38" s="1300"/>
      <c r="AC38" s="1300"/>
      <c r="AD38" s="1300"/>
      <c r="AE38" s="719"/>
      <c r="AF38" s="719"/>
      <c r="AG38" s="1300"/>
      <c r="AH38" s="1300"/>
      <c r="AI38" s="1300"/>
      <c r="AJ38" s="719"/>
      <c r="AK38" s="719"/>
      <c r="AL38" s="719"/>
      <c r="AM38" s="719"/>
      <c r="AN38" s="719"/>
      <c r="AO38" s="719"/>
      <c r="AP38" s="719"/>
      <c r="AQ38" s="719"/>
      <c r="AR38" s="719"/>
      <c r="AS38" s="719"/>
      <c r="AT38" s="719"/>
      <c r="AU38" s="719"/>
      <c r="AV38" s="719"/>
      <c r="AW38" s="719"/>
      <c r="AX38" s="719"/>
      <c r="AY38" s="719"/>
      <c r="AZ38" s="719"/>
      <c r="BA38" s="719"/>
      <c r="BB38" s="719"/>
      <c r="BC38" s="719"/>
      <c r="BD38" s="719"/>
      <c r="BE38" s="719"/>
      <c r="BF38" s="719"/>
      <c r="BG38" s="719"/>
      <c r="BH38" s="719"/>
      <c r="BI38" s="719"/>
      <c r="BJ38" s="719"/>
      <c r="BK38" s="719"/>
      <c r="BL38" s="719"/>
      <c r="BM38" s="719"/>
      <c r="BN38" s="719"/>
      <c r="BO38" s="719"/>
      <c r="BP38" s="719"/>
      <c r="BQ38" s="719"/>
      <c r="BR38" s="719"/>
      <c r="DG38" s="13"/>
      <c r="DH38" s="13"/>
    </row>
    <row r="39" spans="1:112" ht="18.600000000000001" hidden="1" customHeight="1" x14ac:dyDescent="0.25">
      <c r="A39" s="719"/>
      <c r="B39" s="719"/>
      <c r="C39" s="1300"/>
      <c r="D39" s="1300"/>
      <c r="E39" s="1300"/>
      <c r="F39" s="719"/>
      <c r="G39" s="719"/>
      <c r="H39" s="1300"/>
      <c r="I39" s="1300"/>
      <c r="J39" s="1300"/>
      <c r="K39" s="719"/>
      <c r="L39" s="719"/>
      <c r="M39" s="1300"/>
      <c r="N39" s="1300"/>
      <c r="O39" s="1300"/>
      <c r="P39" s="719"/>
      <c r="Q39" s="719"/>
      <c r="R39" s="1300"/>
      <c r="S39" s="1300"/>
      <c r="T39" s="1300"/>
      <c r="U39" s="719"/>
      <c r="V39" s="719"/>
      <c r="W39" s="1300"/>
      <c r="X39" s="1300"/>
      <c r="Y39" s="1300"/>
      <c r="Z39" s="719"/>
      <c r="AA39" s="719"/>
      <c r="AB39" s="1300"/>
      <c r="AC39" s="1300"/>
      <c r="AD39" s="1300"/>
      <c r="AE39" s="719"/>
      <c r="AF39" s="719"/>
      <c r="AG39" s="1300"/>
      <c r="AH39" s="1300"/>
      <c r="AI39" s="1300"/>
      <c r="AJ39" s="719"/>
      <c r="AK39" s="719"/>
      <c r="AL39" s="719"/>
      <c r="AM39" s="719"/>
      <c r="AN39" s="719"/>
      <c r="AO39" s="719"/>
      <c r="AP39" s="719"/>
      <c r="AQ39" s="719"/>
      <c r="AR39" s="719"/>
      <c r="AS39" s="719"/>
      <c r="AT39" s="719"/>
      <c r="AU39" s="719"/>
      <c r="AV39" s="719"/>
      <c r="AW39" s="719"/>
      <c r="AX39" s="719"/>
      <c r="AY39" s="719"/>
      <c r="AZ39" s="719"/>
      <c r="BA39" s="719"/>
      <c r="BB39" s="719"/>
      <c r="BC39" s="719"/>
      <c r="BD39" s="719"/>
      <c r="BE39" s="719"/>
      <c r="BF39" s="719"/>
      <c r="BG39" s="719"/>
      <c r="BH39" s="719"/>
      <c r="BI39" s="719"/>
      <c r="BJ39" s="719"/>
      <c r="BK39" s="719"/>
      <c r="BL39" s="719"/>
      <c r="BM39" s="719"/>
      <c r="BN39" s="719"/>
      <c r="BO39" s="719"/>
      <c r="BP39" s="719"/>
      <c r="BQ39" s="719"/>
      <c r="BR39" s="719"/>
      <c r="DG39" s="13"/>
      <c r="DH39" s="13"/>
    </row>
    <row r="40" spans="1:112" ht="9.9499999999999993" hidden="1" customHeight="1" x14ac:dyDescent="0.25">
      <c r="A40" s="719"/>
      <c r="B40" s="719"/>
      <c r="C40" s="719"/>
      <c r="D40" s="719"/>
      <c r="E40" s="719"/>
      <c r="F40" s="719"/>
      <c r="G40" s="719"/>
      <c r="H40" s="719"/>
      <c r="I40" s="719"/>
      <c r="J40" s="719"/>
      <c r="K40" s="719"/>
      <c r="L40" s="719"/>
      <c r="M40" s="719"/>
      <c r="N40" s="719"/>
      <c r="O40" s="719"/>
      <c r="P40" s="719"/>
      <c r="Q40" s="719"/>
      <c r="R40" s="719"/>
      <c r="S40" s="719"/>
      <c r="T40" s="719"/>
      <c r="U40" s="719"/>
      <c r="V40" s="719"/>
      <c r="W40" s="719"/>
      <c r="X40" s="719"/>
      <c r="Y40" s="719"/>
      <c r="Z40" s="719"/>
      <c r="AA40" s="719"/>
      <c r="AB40" s="719"/>
      <c r="AC40" s="719"/>
      <c r="AD40" s="719"/>
      <c r="AE40" s="719"/>
      <c r="AF40" s="719"/>
      <c r="AG40" s="719"/>
      <c r="AH40" s="719"/>
      <c r="AI40" s="719"/>
      <c r="AJ40" s="719"/>
      <c r="AK40" s="719"/>
      <c r="AL40" s="719"/>
      <c r="AM40" s="719"/>
      <c r="AN40" s="719"/>
      <c r="AO40" s="719"/>
      <c r="AP40" s="719"/>
      <c r="AQ40" s="719"/>
      <c r="AR40" s="719"/>
      <c r="AS40" s="719"/>
      <c r="AT40" s="719"/>
      <c r="AU40" s="719"/>
      <c r="AV40" s="719"/>
      <c r="AW40" s="719"/>
      <c r="AX40" s="719"/>
      <c r="AY40" s="719"/>
      <c r="AZ40" s="719"/>
      <c r="BA40" s="719"/>
      <c r="BB40" s="719"/>
      <c r="BC40" s="719"/>
      <c r="BD40" s="719"/>
      <c r="BE40" s="719"/>
      <c r="BF40" s="719"/>
      <c r="BG40" s="719"/>
      <c r="BH40" s="719"/>
      <c r="BI40" s="719"/>
      <c r="BJ40" s="719"/>
      <c r="BK40" s="719"/>
      <c r="BL40" s="719"/>
      <c r="BM40" s="719"/>
      <c r="BN40" s="719"/>
      <c r="BO40" s="719"/>
      <c r="BP40" s="719"/>
      <c r="BQ40" s="719"/>
      <c r="BR40" s="719"/>
      <c r="DG40" s="13"/>
      <c r="DH40" s="13"/>
    </row>
    <row r="41" spans="1:112" ht="9.9499999999999993" hidden="1" customHeight="1" x14ac:dyDescent="0.25">
      <c r="A41" s="719"/>
      <c r="B41" s="719"/>
      <c r="C41" s="719"/>
      <c r="D41" s="719"/>
      <c r="E41" s="719"/>
      <c r="F41" s="719"/>
      <c r="G41" s="719"/>
      <c r="H41" s="719"/>
      <c r="I41" s="719"/>
      <c r="J41" s="719"/>
      <c r="K41" s="719"/>
      <c r="L41" s="719"/>
      <c r="M41" s="719"/>
      <c r="N41" s="719"/>
      <c r="O41" s="719"/>
      <c r="P41" s="719"/>
      <c r="Q41" s="719"/>
      <c r="R41" s="719"/>
      <c r="S41" s="719"/>
      <c r="T41" s="719"/>
      <c r="U41" s="719"/>
      <c r="V41" s="719"/>
      <c r="W41" s="719"/>
      <c r="X41" s="719"/>
      <c r="Y41" s="719"/>
      <c r="Z41" s="719"/>
      <c r="AA41" s="719"/>
      <c r="AB41" s="719"/>
      <c r="AC41" s="719"/>
      <c r="AD41" s="719"/>
      <c r="AE41" s="719"/>
      <c r="AF41" s="719"/>
      <c r="AG41" s="719"/>
      <c r="AH41" s="719"/>
      <c r="AI41" s="719"/>
      <c r="AJ41" s="719"/>
      <c r="AK41" s="719"/>
      <c r="AL41" s="719"/>
      <c r="AM41" s="719"/>
      <c r="AN41" s="719"/>
      <c r="AO41" s="719"/>
      <c r="AP41" s="719"/>
      <c r="AQ41" s="719"/>
      <c r="AR41" s="719"/>
      <c r="AS41" s="719"/>
      <c r="AT41" s="719"/>
      <c r="AU41" s="719"/>
      <c r="AV41" s="719"/>
      <c r="AW41" s="719"/>
      <c r="AX41" s="719"/>
      <c r="AY41" s="719"/>
      <c r="AZ41" s="719"/>
      <c r="BA41" s="719"/>
      <c r="BB41" s="719"/>
      <c r="BC41" s="719"/>
      <c r="BD41" s="719"/>
      <c r="BE41" s="719"/>
      <c r="BF41" s="719"/>
      <c r="BG41" s="719"/>
      <c r="BH41" s="719"/>
      <c r="BI41" s="719"/>
      <c r="BJ41" s="719"/>
      <c r="BK41" s="719"/>
      <c r="BL41" s="719"/>
      <c r="BM41" s="719"/>
      <c r="BN41" s="719"/>
      <c r="BO41" s="719"/>
      <c r="BP41" s="719"/>
      <c r="BQ41" s="719"/>
      <c r="BR41" s="719"/>
      <c r="DG41" s="57"/>
      <c r="DH41" s="57"/>
    </row>
    <row r="42" spans="1:112" s="22" customFormat="1" ht="84.95" hidden="1" customHeight="1" x14ac:dyDescent="1.35">
      <c r="A42" s="716"/>
      <c r="B42" s="1797"/>
      <c r="C42" s="1797"/>
      <c r="D42" s="1797"/>
      <c r="E42" s="1797"/>
      <c r="F42" s="716"/>
      <c r="G42" s="1797"/>
      <c r="H42" s="1797"/>
      <c r="I42" s="1797"/>
      <c r="J42" s="1797"/>
      <c r="K42" s="716"/>
      <c r="L42" s="1797"/>
      <c r="M42" s="1797"/>
      <c r="N42" s="1797"/>
      <c r="O42" s="1797"/>
      <c r="P42" s="716"/>
      <c r="Q42" s="1797"/>
      <c r="R42" s="1797"/>
      <c r="S42" s="1797"/>
      <c r="T42" s="1797"/>
      <c r="U42" s="716"/>
      <c r="V42" s="1797"/>
      <c r="W42" s="1797"/>
      <c r="X42" s="1797"/>
      <c r="Y42" s="1797"/>
      <c r="Z42" s="716"/>
      <c r="AA42" s="1797"/>
      <c r="AB42" s="1797"/>
      <c r="AC42" s="1797"/>
      <c r="AD42" s="1797"/>
      <c r="AE42" s="716"/>
      <c r="AF42" s="1797"/>
      <c r="AG42" s="1797"/>
      <c r="AH42" s="1797"/>
      <c r="AI42" s="1797"/>
      <c r="AJ42" s="719"/>
      <c r="AK42" s="719"/>
      <c r="AL42" s="719"/>
      <c r="AM42" s="719"/>
      <c r="AN42" s="719"/>
      <c r="AO42" s="719"/>
      <c r="AP42" s="719"/>
      <c r="AQ42" s="719"/>
      <c r="AR42" s="719"/>
      <c r="AS42" s="719"/>
      <c r="AT42" s="719"/>
      <c r="AU42" s="719"/>
      <c r="AV42" s="719"/>
      <c r="AW42" s="719"/>
      <c r="AX42" s="719"/>
      <c r="AY42" s="719"/>
      <c r="AZ42" s="719"/>
      <c r="BA42" s="719"/>
      <c r="BB42" s="719"/>
      <c r="BC42" s="719"/>
      <c r="BD42" s="719"/>
      <c r="BE42" s="719"/>
      <c r="BF42" s="719"/>
      <c r="BG42" s="719"/>
      <c r="BH42" s="719"/>
      <c r="BI42" s="719"/>
      <c r="BJ42" s="719"/>
      <c r="BK42" s="719"/>
      <c r="BL42" s="719"/>
      <c r="BM42" s="719"/>
      <c r="BN42" s="719"/>
      <c r="BO42" s="719"/>
      <c r="BP42" s="719"/>
      <c r="BQ42" s="719"/>
      <c r="BR42" s="719"/>
      <c r="DG42" s="57"/>
      <c r="DH42" s="57"/>
    </row>
    <row r="43" spans="1:112" ht="23.1" hidden="1" customHeight="1" x14ac:dyDescent="0.25">
      <c r="A43" s="716"/>
      <c r="B43" s="32"/>
      <c r="C43" s="33"/>
      <c r="D43" s="34"/>
      <c r="E43" s="35"/>
      <c r="F43" s="716"/>
      <c r="G43" s="32"/>
      <c r="H43" s="33"/>
      <c r="I43" s="34"/>
      <c r="J43" s="35"/>
      <c r="K43" s="716"/>
      <c r="L43" s="32"/>
      <c r="M43" s="33"/>
      <c r="N43" s="34"/>
      <c r="O43" s="35"/>
      <c r="P43" s="716"/>
      <c r="Q43" s="32"/>
      <c r="R43" s="33"/>
      <c r="S43" s="34"/>
      <c r="T43" s="35"/>
      <c r="U43" s="716"/>
      <c r="V43" s="32"/>
      <c r="W43" s="33"/>
      <c r="X43" s="34"/>
      <c r="Y43" s="35"/>
      <c r="Z43" s="716"/>
      <c r="AA43" s="32"/>
      <c r="AB43" s="33"/>
      <c r="AC43" s="34"/>
      <c r="AD43" s="35"/>
      <c r="AE43" s="716"/>
      <c r="AF43" s="32"/>
      <c r="AG43" s="33"/>
      <c r="AH43" s="34"/>
      <c r="AI43" s="35"/>
      <c r="AJ43" s="719"/>
      <c r="AK43" s="719"/>
      <c r="AL43" s="719"/>
      <c r="AM43" s="719"/>
      <c r="AN43" s="719"/>
      <c r="AO43" s="719"/>
      <c r="AP43" s="719"/>
      <c r="AQ43" s="719"/>
      <c r="AR43" s="719"/>
      <c r="AS43" s="719"/>
      <c r="AT43" s="719"/>
      <c r="AU43" s="719"/>
      <c r="AV43" s="719"/>
      <c r="AW43" s="719"/>
      <c r="AX43" s="719"/>
      <c r="AY43" s="719"/>
      <c r="AZ43" s="719"/>
      <c r="BA43" s="719"/>
      <c r="BB43" s="719"/>
      <c r="BC43" s="719"/>
      <c r="BD43" s="719"/>
      <c r="BE43" s="719"/>
      <c r="BF43" s="719"/>
      <c r="BG43" s="719"/>
      <c r="BH43" s="719"/>
      <c r="BI43" s="719"/>
      <c r="BJ43" s="719"/>
      <c r="BK43" s="719"/>
      <c r="BL43" s="719"/>
      <c r="BM43" s="719"/>
      <c r="BN43" s="719"/>
      <c r="BO43" s="719"/>
      <c r="BP43" s="719"/>
      <c r="BQ43" s="719"/>
      <c r="BR43" s="719"/>
      <c r="BW43" s="27"/>
      <c r="DG43" s="57"/>
      <c r="DH43" s="57"/>
    </row>
    <row r="44" spans="1:112" ht="18.600000000000001" hidden="1" customHeight="1" x14ac:dyDescent="0.25">
      <c r="A44" s="719"/>
      <c r="B44" s="719"/>
      <c r="C44" s="1300"/>
      <c r="D44" s="1300"/>
      <c r="E44" s="1300"/>
      <c r="F44" s="719"/>
      <c r="G44" s="719"/>
      <c r="H44" s="1300"/>
      <c r="I44" s="1300"/>
      <c r="J44" s="1300"/>
      <c r="K44" s="719"/>
      <c r="L44" s="719"/>
      <c r="M44" s="1300"/>
      <c r="N44" s="1300"/>
      <c r="O44" s="1300"/>
      <c r="P44" s="719"/>
      <c r="Q44" s="719"/>
      <c r="R44" s="1300"/>
      <c r="S44" s="1300"/>
      <c r="T44" s="1300"/>
      <c r="U44" s="719"/>
      <c r="V44" s="719"/>
      <c r="W44" s="1300"/>
      <c r="X44" s="1300"/>
      <c r="Y44" s="1300"/>
      <c r="Z44" s="719"/>
      <c r="AA44" s="719"/>
      <c r="AB44" s="1300"/>
      <c r="AC44" s="1300"/>
      <c r="AD44" s="1300"/>
      <c r="AE44" s="719"/>
      <c r="AF44" s="719"/>
      <c r="AG44" s="1300"/>
      <c r="AH44" s="1300"/>
      <c r="AI44" s="1300"/>
      <c r="AJ44" s="719"/>
      <c r="AK44" s="719"/>
      <c r="AL44" s="719"/>
      <c r="AM44" s="719"/>
      <c r="AN44" s="719"/>
      <c r="AO44" s="719"/>
      <c r="AP44" s="719"/>
      <c r="AQ44" s="719"/>
      <c r="AR44" s="719"/>
      <c r="AS44" s="719"/>
      <c r="AT44" s="719"/>
      <c r="AU44" s="719"/>
      <c r="AV44" s="719"/>
      <c r="AW44" s="719"/>
      <c r="AX44" s="719"/>
      <c r="AY44" s="719"/>
      <c r="AZ44" s="719"/>
      <c r="BA44" s="719"/>
      <c r="BB44" s="719"/>
      <c r="BC44" s="719"/>
      <c r="BD44" s="719"/>
      <c r="BE44" s="719"/>
      <c r="BF44" s="719"/>
      <c r="BG44" s="719"/>
      <c r="BH44" s="719"/>
      <c r="BI44" s="719"/>
      <c r="BJ44" s="719"/>
      <c r="BK44" s="719"/>
      <c r="BL44" s="719"/>
      <c r="BM44" s="719"/>
      <c r="BN44" s="719"/>
      <c r="BO44" s="719"/>
      <c r="BP44" s="719"/>
      <c r="BQ44" s="719"/>
      <c r="BR44" s="719"/>
      <c r="DG44" s="57"/>
      <c r="DH44" s="57"/>
    </row>
    <row r="45" spans="1:112" ht="18.600000000000001" hidden="1" customHeight="1" x14ac:dyDescent="0.25">
      <c r="A45" s="719"/>
      <c r="B45" s="719"/>
      <c r="C45" s="1300"/>
      <c r="D45" s="1300"/>
      <c r="E45" s="1300"/>
      <c r="F45" s="719"/>
      <c r="G45" s="719"/>
      <c r="H45" s="1300"/>
      <c r="I45" s="1300"/>
      <c r="J45" s="1300"/>
      <c r="K45" s="719"/>
      <c r="L45" s="719"/>
      <c r="M45" s="1300"/>
      <c r="N45" s="1300"/>
      <c r="O45" s="1300"/>
      <c r="P45" s="719"/>
      <c r="Q45" s="719"/>
      <c r="R45" s="1300"/>
      <c r="S45" s="1300"/>
      <c r="T45" s="1300"/>
      <c r="U45" s="719"/>
      <c r="V45" s="719"/>
      <c r="W45" s="1300"/>
      <c r="X45" s="1300"/>
      <c r="Y45" s="1300"/>
      <c r="Z45" s="719"/>
      <c r="AA45" s="719"/>
      <c r="AB45" s="1300"/>
      <c r="AC45" s="1300"/>
      <c r="AD45" s="1300"/>
      <c r="AE45" s="719"/>
      <c r="AF45" s="719"/>
      <c r="AG45" s="1300"/>
      <c r="AH45" s="1300"/>
      <c r="AI45" s="1300"/>
      <c r="AJ45" s="719"/>
      <c r="AK45" s="719"/>
      <c r="AL45" s="719"/>
      <c r="AM45" s="719"/>
      <c r="AN45" s="719"/>
      <c r="AO45" s="719"/>
      <c r="AP45" s="719"/>
      <c r="AQ45" s="719"/>
      <c r="AR45" s="719"/>
      <c r="AS45" s="719"/>
      <c r="AT45" s="719"/>
      <c r="AU45" s="719"/>
      <c r="AV45" s="719"/>
      <c r="AW45" s="719"/>
      <c r="AX45" s="719"/>
      <c r="AY45" s="719"/>
      <c r="AZ45" s="719"/>
      <c r="BA45" s="719"/>
      <c r="BB45" s="719"/>
      <c r="BC45" s="719"/>
      <c r="BD45" s="719"/>
      <c r="BE45" s="719"/>
      <c r="BF45" s="719"/>
      <c r="BG45" s="719"/>
      <c r="BH45" s="719"/>
      <c r="BI45" s="719"/>
      <c r="BJ45" s="719"/>
      <c r="BK45" s="719"/>
      <c r="BL45" s="719"/>
      <c r="BM45" s="719"/>
      <c r="BN45" s="719"/>
      <c r="BO45" s="719"/>
      <c r="BP45" s="719"/>
      <c r="BQ45" s="719"/>
      <c r="BR45" s="719"/>
      <c r="DG45" s="57"/>
      <c r="DH45" s="57"/>
    </row>
    <row r="46" spans="1:112" ht="9.9499999999999993" hidden="1" customHeight="1" x14ac:dyDescent="0.25">
      <c r="A46" s="719"/>
      <c r="B46" s="719"/>
      <c r="C46" s="719"/>
      <c r="D46" s="719"/>
      <c r="E46" s="719"/>
      <c r="F46" s="719"/>
      <c r="G46" s="719"/>
      <c r="H46" s="719"/>
      <c r="I46" s="719"/>
      <c r="J46" s="719"/>
      <c r="K46" s="719"/>
      <c r="L46" s="719"/>
      <c r="M46" s="719"/>
      <c r="N46" s="719"/>
      <c r="O46" s="719"/>
      <c r="P46" s="719"/>
      <c r="Q46" s="719"/>
      <c r="R46" s="719"/>
      <c r="S46" s="719"/>
      <c r="T46" s="719"/>
      <c r="U46" s="719"/>
      <c r="V46" s="719"/>
      <c r="W46" s="719"/>
      <c r="X46" s="719"/>
      <c r="Y46" s="719"/>
      <c r="Z46" s="719"/>
      <c r="AA46" s="719"/>
      <c r="AB46" s="719"/>
      <c r="AC46" s="719"/>
      <c r="AD46" s="719"/>
      <c r="AE46" s="719"/>
      <c r="AF46" s="719"/>
      <c r="AG46" s="719"/>
      <c r="AH46" s="719"/>
      <c r="AI46" s="719"/>
      <c r="AJ46" s="719"/>
      <c r="AK46" s="719"/>
      <c r="AL46" s="719"/>
      <c r="AM46" s="719"/>
      <c r="AN46" s="719"/>
      <c r="AO46" s="719"/>
      <c r="AP46" s="719"/>
      <c r="AQ46" s="719"/>
      <c r="AR46" s="719"/>
      <c r="AS46" s="719"/>
      <c r="AT46" s="719"/>
      <c r="AU46" s="719"/>
      <c r="AV46" s="719"/>
      <c r="AW46" s="719"/>
      <c r="AX46" s="719"/>
      <c r="AY46" s="719"/>
      <c r="AZ46" s="719"/>
      <c r="BA46" s="719"/>
      <c r="BB46" s="719"/>
      <c r="BC46" s="719"/>
      <c r="BD46" s="719"/>
      <c r="BE46" s="719"/>
      <c r="BF46" s="719"/>
      <c r="BG46" s="719"/>
      <c r="BH46" s="719"/>
      <c r="BI46" s="719"/>
      <c r="BJ46" s="719"/>
      <c r="BK46" s="719"/>
      <c r="BL46" s="719"/>
      <c r="BM46" s="719"/>
      <c r="BN46" s="719"/>
      <c r="BO46" s="719"/>
      <c r="BP46" s="719"/>
      <c r="BQ46" s="719"/>
      <c r="BR46" s="719"/>
    </row>
    <row r="47" spans="1:112" ht="9.9499999999999993" hidden="1" customHeight="1" x14ac:dyDescent="0.25">
      <c r="A47" s="719"/>
      <c r="B47" s="719"/>
      <c r="C47" s="719"/>
      <c r="D47" s="719"/>
      <c r="E47" s="719"/>
      <c r="F47" s="719"/>
      <c r="G47" s="719"/>
      <c r="H47" s="719"/>
      <c r="I47" s="719"/>
      <c r="J47" s="719"/>
      <c r="K47" s="719"/>
      <c r="L47" s="719"/>
      <c r="M47" s="719"/>
      <c r="N47" s="719"/>
      <c r="O47" s="719"/>
      <c r="P47" s="719"/>
      <c r="Q47" s="719"/>
      <c r="R47" s="719"/>
      <c r="S47" s="719"/>
      <c r="T47" s="719"/>
      <c r="U47" s="719"/>
      <c r="V47" s="719"/>
      <c r="W47" s="719"/>
      <c r="X47" s="719"/>
      <c r="Y47" s="719"/>
      <c r="Z47" s="719"/>
      <c r="AA47" s="719"/>
      <c r="AB47" s="719"/>
      <c r="AC47" s="719"/>
      <c r="AD47" s="719"/>
      <c r="AE47" s="719"/>
      <c r="AF47" s="719"/>
      <c r="AG47" s="719"/>
      <c r="AH47" s="719"/>
      <c r="AI47" s="719"/>
      <c r="AJ47" s="719"/>
      <c r="AK47" s="719"/>
      <c r="AL47" s="719"/>
      <c r="AM47" s="719"/>
      <c r="AN47" s="719"/>
      <c r="AO47" s="719"/>
      <c r="AP47" s="719"/>
      <c r="AQ47" s="719"/>
      <c r="AR47" s="719"/>
      <c r="AS47" s="719"/>
      <c r="AT47" s="719"/>
      <c r="AU47" s="719"/>
      <c r="AV47" s="719"/>
      <c r="AW47" s="719"/>
      <c r="AX47" s="719"/>
      <c r="AY47" s="719"/>
      <c r="AZ47" s="719"/>
      <c r="BA47" s="719"/>
      <c r="BB47" s="719"/>
      <c r="BC47" s="719"/>
      <c r="BD47" s="719"/>
      <c r="BE47" s="719"/>
      <c r="BF47" s="719"/>
      <c r="BG47" s="719"/>
      <c r="BH47" s="719"/>
      <c r="BI47" s="719"/>
      <c r="BJ47" s="719"/>
      <c r="BK47" s="719"/>
      <c r="BL47" s="719"/>
      <c r="BM47" s="719"/>
      <c r="BN47" s="719"/>
      <c r="BO47" s="719"/>
      <c r="BP47" s="719"/>
      <c r="BQ47" s="719"/>
      <c r="BR47" s="719"/>
    </row>
    <row r="48" spans="1:112" s="22" customFormat="1" ht="84.95" hidden="1" customHeight="1" x14ac:dyDescent="1.35">
      <c r="A48" s="716"/>
      <c r="B48" s="1797"/>
      <c r="C48" s="1797"/>
      <c r="D48" s="1797"/>
      <c r="E48" s="1797"/>
      <c r="F48" s="716"/>
      <c r="G48" s="1797"/>
      <c r="H48" s="1797"/>
      <c r="I48" s="1797"/>
      <c r="J48" s="1797"/>
      <c r="K48" s="716"/>
      <c r="L48" s="1797"/>
      <c r="M48" s="1797"/>
      <c r="N48" s="1797"/>
      <c r="O48" s="1797"/>
      <c r="P48" s="716"/>
      <c r="Q48" s="1797"/>
      <c r="R48" s="1797"/>
      <c r="S48" s="1797"/>
      <c r="T48" s="1797"/>
      <c r="U48" s="716"/>
      <c r="V48" s="1797"/>
      <c r="W48" s="1797"/>
      <c r="X48" s="1797"/>
      <c r="Y48" s="1797"/>
      <c r="Z48" s="716"/>
      <c r="AA48" s="1797"/>
      <c r="AB48" s="1797"/>
      <c r="AC48" s="1797"/>
      <c r="AD48" s="1797"/>
      <c r="AE48" s="716"/>
      <c r="AF48" s="1797"/>
      <c r="AG48" s="1797"/>
      <c r="AH48" s="1797"/>
      <c r="AI48" s="1797"/>
      <c r="AJ48" s="719"/>
      <c r="AK48" s="719"/>
      <c r="AL48" s="719"/>
      <c r="AM48" s="719"/>
      <c r="AN48" s="719"/>
      <c r="AO48" s="719"/>
      <c r="AP48" s="719"/>
      <c r="AQ48" s="719"/>
      <c r="AR48" s="719"/>
      <c r="AS48" s="719"/>
      <c r="AT48" s="719"/>
      <c r="AU48" s="719"/>
      <c r="AV48" s="719"/>
      <c r="AW48" s="719"/>
      <c r="AX48" s="719"/>
      <c r="AY48" s="719"/>
      <c r="AZ48" s="719"/>
      <c r="BA48" s="719"/>
      <c r="BB48" s="719"/>
      <c r="BC48" s="719"/>
      <c r="BD48" s="719"/>
      <c r="BE48" s="719"/>
      <c r="BF48" s="719"/>
      <c r="BG48" s="719"/>
      <c r="BH48" s="719"/>
      <c r="BI48" s="719"/>
      <c r="BJ48" s="719"/>
      <c r="BK48" s="719"/>
      <c r="BL48" s="719"/>
      <c r="BM48" s="719"/>
      <c r="BN48" s="719"/>
      <c r="BO48" s="719"/>
      <c r="BP48" s="719"/>
      <c r="BQ48" s="719"/>
      <c r="BR48" s="719"/>
      <c r="DG48"/>
      <c r="DH48"/>
    </row>
    <row r="49" spans="1:83" ht="23.1" hidden="1" customHeight="1" thickBot="1" x14ac:dyDescent="0.3">
      <c r="A49" s="716"/>
      <c r="B49" s="32"/>
      <c r="C49" s="33"/>
      <c r="D49" s="34"/>
      <c r="E49" s="35"/>
      <c r="F49" s="716"/>
      <c r="G49" s="32"/>
      <c r="H49" s="33"/>
      <c r="I49" s="34"/>
      <c r="J49" s="35"/>
      <c r="K49" s="716"/>
      <c r="L49" s="32"/>
      <c r="M49" s="33"/>
      <c r="N49" s="34"/>
      <c r="O49" s="35"/>
      <c r="P49" s="716"/>
      <c r="Q49" s="32"/>
      <c r="R49" s="33"/>
      <c r="S49" s="34"/>
      <c r="T49" s="35"/>
      <c r="U49" s="716"/>
      <c r="V49" s="32"/>
      <c r="W49" s="33"/>
      <c r="X49" s="34"/>
      <c r="Y49" s="35"/>
      <c r="Z49" s="716"/>
      <c r="AA49" s="32"/>
      <c r="AB49" s="33"/>
      <c r="AC49" s="34"/>
      <c r="AD49" s="35"/>
      <c r="AE49" s="716"/>
      <c r="AF49" s="32"/>
      <c r="AG49" s="33"/>
      <c r="AH49" s="34"/>
      <c r="AI49" s="35"/>
      <c r="AJ49" s="719"/>
      <c r="AK49" s="719"/>
      <c r="AL49" s="719"/>
      <c r="AM49" s="719"/>
      <c r="AN49" s="719"/>
      <c r="AO49" s="719"/>
      <c r="AP49" s="719"/>
      <c r="AQ49" s="719"/>
      <c r="AR49" s="719"/>
      <c r="AS49" s="719"/>
      <c r="AT49" s="719"/>
      <c r="AU49" s="719"/>
      <c r="AV49" s="719"/>
      <c r="AW49" s="719"/>
      <c r="AX49" s="719"/>
      <c r="AY49" s="719"/>
      <c r="AZ49" s="719"/>
      <c r="BA49" s="719"/>
      <c r="BB49" s="719"/>
      <c r="BC49" s="719"/>
      <c r="BD49" s="719"/>
      <c r="BE49" s="719"/>
      <c r="BF49" s="719"/>
      <c r="BG49" s="719"/>
      <c r="BH49" s="719"/>
      <c r="BI49" s="719"/>
      <c r="BJ49" s="719"/>
      <c r="BK49" s="719"/>
      <c r="BL49" s="719"/>
      <c r="BM49" s="719"/>
      <c r="BN49" s="719"/>
      <c r="BO49" s="719"/>
      <c r="BP49" s="719"/>
      <c r="BQ49" s="719"/>
      <c r="BR49" s="719"/>
      <c r="BW49" s="27"/>
    </row>
    <row r="50" spans="1:83" ht="26.1" hidden="1" customHeight="1" thickTop="1" x14ac:dyDescent="0.25">
      <c r="A50" s="719"/>
      <c r="B50" s="719"/>
      <c r="C50" s="1300"/>
      <c r="D50" s="1300"/>
      <c r="E50" s="1300"/>
      <c r="F50" s="719"/>
      <c r="G50" s="719"/>
      <c r="H50" s="1300"/>
      <c r="I50" s="1300"/>
      <c r="J50" s="1300"/>
      <c r="K50" s="719"/>
      <c r="L50" s="719"/>
      <c r="M50" s="1300"/>
      <c r="N50" s="1300"/>
      <c r="O50" s="1300"/>
      <c r="P50" s="719"/>
      <c r="Q50" s="719"/>
      <c r="R50" s="1300"/>
      <c r="S50" s="1300"/>
      <c r="T50" s="1300"/>
      <c r="U50" s="719"/>
      <c r="V50" s="719"/>
      <c r="W50" s="1300"/>
      <c r="X50" s="1300"/>
      <c r="Y50" s="1300"/>
      <c r="Z50" s="719"/>
      <c r="AA50" s="719"/>
      <c r="AB50" s="1300"/>
      <c r="AC50" s="1300"/>
      <c r="AD50" s="1300"/>
      <c r="AE50" s="719"/>
      <c r="AF50" s="719"/>
      <c r="AG50" s="1300"/>
      <c r="AH50" s="1300"/>
      <c r="AI50" s="1300"/>
      <c r="AJ50" s="719"/>
      <c r="AK50" s="719"/>
      <c r="AL50" s="719"/>
      <c r="AM50" s="719"/>
      <c r="AN50" s="719"/>
      <c r="AO50" s="719"/>
      <c r="AP50" s="719"/>
      <c r="AQ50" s="719"/>
      <c r="AR50" s="719"/>
      <c r="AS50" s="719"/>
      <c r="AT50" s="719"/>
      <c r="AU50" s="719"/>
      <c r="AV50" s="719"/>
      <c r="AW50" s="719"/>
      <c r="AX50" s="719"/>
      <c r="AY50" s="719"/>
      <c r="AZ50" s="719"/>
      <c r="BA50" s="719"/>
      <c r="BB50" s="719"/>
      <c r="BC50" s="719"/>
      <c r="BD50" s="719"/>
      <c r="BE50" s="719"/>
      <c r="BF50" s="719"/>
      <c r="BG50" s="719"/>
      <c r="BH50" s="719"/>
      <c r="BI50" s="719"/>
      <c r="BJ50" s="719"/>
      <c r="BK50" s="719"/>
      <c r="BL50" s="719"/>
      <c r="BM50" s="719"/>
      <c r="BN50" s="719"/>
      <c r="BO50" s="719"/>
      <c r="BP50" s="719"/>
      <c r="BQ50" s="719"/>
      <c r="BR50" s="719"/>
    </row>
    <row r="51" spans="1:83" ht="6.75" hidden="1" customHeight="1" x14ac:dyDescent="0.25">
      <c r="A51" s="719"/>
      <c r="B51" s="719"/>
      <c r="C51" s="1300"/>
      <c r="D51" s="1300"/>
      <c r="E51" s="1300"/>
      <c r="F51" s="719"/>
      <c r="G51" s="719"/>
      <c r="H51" s="1300"/>
      <c r="I51" s="1300"/>
      <c r="J51" s="1300"/>
      <c r="K51" s="719"/>
      <c r="L51" s="719"/>
      <c r="M51" s="1300"/>
      <c r="N51" s="1300"/>
      <c r="O51" s="1300"/>
      <c r="P51" s="719"/>
      <c r="Q51" s="719"/>
      <c r="R51" s="1300"/>
      <c r="S51" s="1300"/>
      <c r="T51" s="1300"/>
      <c r="U51" s="719"/>
      <c r="V51" s="719"/>
      <c r="W51" s="1300"/>
      <c r="X51" s="1300"/>
      <c r="Y51" s="1300"/>
      <c r="Z51" s="719"/>
      <c r="AA51" s="719"/>
      <c r="AB51" s="1300"/>
      <c r="AC51" s="1300"/>
      <c r="AD51" s="1300"/>
      <c r="AE51" s="719"/>
      <c r="AF51" s="719"/>
      <c r="AG51" s="1300"/>
      <c r="AH51" s="1300"/>
      <c r="AI51" s="1300"/>
      <c r="AJ51" s="719"/>
      <c r="AK51" s="719"/>
      <c r="AL51" s="719"/>
      <c r="AM51" s="719"/>
      <c r="AN51" s="719"/>
      <c r="AO51" s="719"/>
      <c r="AP51" s="719"/>
      <c r="AQ51" s="719"/>
      <c r="AR51" s="719"/>
      <c r="AS51" s="719"/>
      <c r="AT51" s="719"/>
      <c r="AU51" s="719"/>
      <c r="AV51" s="719"/>
      <c r="AW51" s="719"/>
      <c r="AX51" s="719"/>
      <c r="AY51" s="719"/>
      <c r="AZ51" s="719"/>
      <c r="BA51" s="719"/>
      <c r="BB51" s="719"/>
      <c r="BC51" s="719"/>
      <c r="BD51" s="719"/>
      <c r="BE51" s="719"/>
      <c r="BF51" s="719"/>
      <c r="BG51" s="719"/>
      <c r="BH51" s="719"/>
      <c r="BI51" s="719"/>
      <c r="BJ51" s="719"/>
      <c r="BK51" s="719"/>
      <c r="BL51" s="719"/>
      <c r="BM51" s="719"/>
      <c r="BN51" s="719"/>
      <c r="BO51" s="719"/>
      <c r="BP51" s="719"/>
      <c r="BQ51" s="719"/>
      <c r="BR51" s="719"/>
    </row>
    <row r="52" spans="1:83" ht="21.95" hidden="1" customHeight="1" x14ac:dyDescent="0.25">
      <c r="A52" s="719"/>
      <c r="B52" s="719"/>
      <c r="C52" s="719"/>
      <c r="D52" s="719"/>
      <c r="E52" s="719"/>
      <c r="F52" s="719"/>
      <c r="G52" s="719"/>
      <c r="H52" s="719"/>
      <c r="I52" s="719"/>
      <c r="J52" s="719"/>
      <c r="K52" s="719"/>
      <c r="L52" s="719"/>
      <c r="M52" s="719"/>
      <c r="N52" s="719"/>
      <c r="O52" s="719"/>
      <c r="P52" s="719"/>
      <c r="Q52" s="719"/>
      <c r="R52" s="719"/>
      <c r="S52" s="719"/>
      <c r="T52" s="719"/>
      <c r="U52" s="719"/>
      <c r="V52" s="719"/>
      <c r="W52" s="719"/>
      <c r="X52" s="719"/>
      <c r="Y52" s="719"/>
      <c r="Z52" s="719"/>
      <c r="AA52" s="719"/>
      <c r="AB52" s="719"/>
      <c r="AC52" s="719"/>
      <c r="AD52" s="719"/>
      <c r="AE52" s="719"/>
      <c r="AF52" s="719"/>
      <c r="AG52" s="719"/>
      <c r="AH52" s="719"/>
      <c r="AI52" s="719"/>
      <c r="AJ52" s="719"/>
      <c r="AK52" s="719"/>
      <c r="AL52" s="719"/>
      <c r="AM52" s="719"/>
      <c r="AN52" s="719"/>
      <c r="AO52" s="719"/>
      <c r="AP52" s="719"/>
      <c r="AQ52" s="719"/>
      <c r="AR52" s="719"/>
      <c r="AS52" s="719"/>
      <c r="AT52" s="719"/>
      <c r="AU52" s="719"/>
      <c r="AV52" s="719"/>
      <c r="AW52" s="719"/>
      <c r="AX52" s="719"/>
      <c r="AY52" s="719"/>
      <c r="AZ52" s="719"/>
      <c r="BA52" s="719"/>
      <c r="BB52" s="719"/>
      <c r="BC52" s="719"/>
      <c r="BD52" s="719"/>
      <c r="BE52" s="719"/>
      <c r="BF52" s="719"/>
      <c r="BG52" s="719"/>
      <c r="BH52" s="719"/>
      <c r="BI52" s="719"/>
      <c r="BJ52" s="719"/>
      <c r="BK52" s="719"/>
      <c r="BL52" s="719"/>
      <c r="BM52" s="719"/>
      <c r="BN52" s="719"/>
      <c r="BO52" s="719"/>
      <c r="BP52" s="719"/>
      <c r="BQ52" s="719"/>
      <c r="BR52" s="719"/>
    </row>
    <row r="53" spans="1:83" ht="6" hidden="1" customHeight="1" x14ac:dyDescent="0.25">
      <c r="A53" s="719"/>
      <c r="B53" s="719"/>
      <c r="C53" s="719"/>
      <c r="D53" s="719"/>
      <c r="E53" s="719"/>
      <c r="F53" s="719"/>
      <c r="G53" s="719"/>
      <c r="H53" s="719"/>
      <c r="I53" s="719"/>
      <c r="J53" s="719"/>
      <c r="K53" s="719"/>
      <c r="L53" s="719"/>
      <c r="M53" s="719"/>
      <c r="N53" s="719"/>
      <c r="O53" s="719"/>
      <c r="P53" s="719"/>
      <c r="Q53" s="719"/>
      <c r="R53" s="719"/>
      <c r="S53" s="719"/>
      <c r="T53" s="719"/>
      <c r="U53" s="719"/>
      <c r="V53" s="719"/>
      <c r="W53" s="719"/>
      <c r="X53" s="719"/>
      <c r="Y53" s="719"/>
      <c r="Z53" s="719"/>
      <c r="AA53" s="719"/>
      <c r="AB53" s="719"/>
      <c r="AC53" s="719"/>
      <c r="AD53" s="719"/>
      <c r="AE53" s="719"/>
      <c r="AF53" s="719"/>
      <c r="AG53" s="719"/>
      <c r="AH53" s="719"/>
      <c r="AI53" s="719"/>
      <c r="AJ53" s="719"/>
      <c r="AK53" s="719"/>
      <c r="AL53" s="719"/>
      <c r="AM53" s="719"/>
      <c r="AN53" s="719"/>
      <c r="AO53" s="719"/>
      <c r="AP53" s="719"/>
      <c r="AQ53" s="719"/>
      <c r="AR53" s="719"/>
      <c r="AS53" s="719"/>
      <c r="AT53" s="719"/>
      <c r="AU53" s="719"/>
      <c r="AV53" s="719"/>
      <c r="AW53" s="719"/>
      <c r="AX53" s="719"/>
      <c r="AY53" s="719"/>
      <c r="AZ53" s="719"/>
      <c r="BA53" s="719"/>
      <c r="BB53" s="719"/>
      <c r="BC53" s="719"/>
      <c r="BD53" s="719"/>
      <c r="BE53" s="719"/>
      <c r="BF53" s="719"/>
      <c r="BG53" s="719"/>
      <c r="BH53" s="719"/>
      <c r="BI53" s="719"/>
      <c r="BJ53" s="719"/>
      <c r="BK53" s="719"/>
      <c r="BL53" s="719"/>
      <c r="BM53" s="719"/>
      <c r="BN53" s="719"/>
      <c r="BO53" s="719"/>
      <c r="BP53" s="719"/>
      <c r="BQ53" s="719"/>
      <c r="BR53" s="719"/>
    </row>
    <row r="54" spans="1:83" ht="60" hidden="1" customHeight="1" thickTop="1" thickBot="1" x14ac:dyDescent="0.3">
      <c r="A54" s="716"/>
      <c r="B54" s="1797"/>
      <c r="C54" s="1797"/>
      <c r="D54" s="1797"/>
      <c r="E54" s="1797"/>
      <c r="F54" s="716"/>
      <c r="G54" s="1797"/>
      <c r="H54" s="1797"/>
      <c r="I54" s="1797"/>
      <c r="J54" s="1797"/>
      <c r="K54" s="716"/>
      <c r="L54" s="1797"/>
      <c r="M54" s="1797"/>
      <c r="N54" s="1797"/>
      <c r="O54" s="1797"/>
      <c r="P54" s="716"/>
      <c r="Q54" s="1797"/>
      <c r="R54" s="1797"/>
      <c r="S54" s="1797"/>
      <c r="T54" s="1797"/>
      <c r="U54" s="716"/>
      <c r="V54" s="1797"/>
      <c r="W54" s="1797"/>
      <c r="X54" s="1797"/>
      <c r="Y54" s="1797"/>
      <c r="Z54" s="716"/>
      <c r="AA54" s="1797"/>
      <c r="AB54" s="1797"/>
      <c r="AC54" s="1797"/>
      <c r="AD54" s="1797"/>
      <c r="AE54" s="716"/>
      <c r="AF54" s="1797"/>
      <c r="AG54" s="1797"/>
      <c r="AH54" s="1797"/>
      <c r="AI54" s="1797"/>
      <c r="AJ54" s="719"/>
      <c r="AK54" s="719"/>
      <c r="AL54" s="719"/>
      <c r="AM54" s="719"/>
      <c r="AN54" s="719"/>
      <c r="AO54" s="719"/>
      <c r="AP54" s="719"/>
      <c r="AQ54" s="719"/>
      <c r="AR54" s="719"/>
      <c r="AS54" s="719"/>
      <c r="AT54" s="719"/>
      <c r="AU54" s="719"/>
      <c r="AV54" s="719"/>
      <c r="AW54" s="719"/>
      <c r="AX54" s="719"/>
      <c r="AY54" s="719"/>
      <c r="AZ54" s="719"/>
      <c r="BA54" s="719"/>
      <c r="BB54" s="719"/>
      <c r="BC54" s="719"/>
      <c r="BD54" s="719"/>
      <c r="BE54" s="719"/>
      <c r="BF54" s="719"/>
      <c r="BG54" s="719"/>
      <c r="BH54" s="719"/>
      <c r="BI54" s="719"/>
      <c r="BJ54" s="719"/>
      <c r="BK54" s="719"/>
      <c r="BL54" s="719"/>
      <c r="BM54" s="719"/>
      <c r="BN54" s="719"/>
      <c r="BO54" s="719"/>
      <c r="BP54" s="719"/>
      <c r="BQ54" s="719"/>
      <c r="BR54" s="719"/>
    </row>
    <row r="55" spans="1:83" ht="27.75" hidden="1" customHeight="1" thickTop="1" thickBot="1" x14ac:dyDescent="0.3">
      <c r="A55" s="716"/>
      <c r="B55" s="32"/>
      <c r="C55" s="33"/>
      <c r="D55" s="34"/>
      <c r="E55" s="35"/>
      <c r="F55" s="716"/>
      <c r="G55" s="32"/>
      <c r="H55" s="33"/>
      <c r="I55" s="34"/>
      <c r="J55" s="35"/>
      <c r="K55" s="716"/>
      <c r="L55" s="32"/>
      <c r="M55" s="33"/>
      <c r="N55" s="34"/>
      <c r="O55" s="35"/>
      <c r="P55" s="716"/>
      <c r="Q55" s="32"/>
      <c r="R55" s="33"/>
      <c r="S55" s="34"/>
      <c r="T55" s="35"/>
      <c r="U55" s="716"/>
      <c r="V55" s="32"/>
      <c r="W55" s="33"/>
      <c r="X55" s="34"/>
      <c r="Y55" s="35"/>
      <c r="Z55" s="716"/>
      <c r="AA55" s="32"/>
      <c r="AB55" s="33"/>
      <c r="AC55" s="34"/>
      <c r="AD55" s="35"/>
      <c r="AE55" s="716"/>
      <c r="AF55" s="32"/>
      <c r="AG55" s="33"/>
      <c r="AH55" s="34"/>
      <c r="AI55" s="35"/>
      <c r="AJ55" s="719"/>
      <c r="AK55" s="719"/>
      <c r="AL55" s="719"/>
      <c r="AM55" s="719"/>
      <c r="AN55" s="719"/>
      <c r="AO55" s="719"/>
      <c r="AP55" s="719"/>
      <c r="AQ55" s="719"/>
      <c r="AR55" s="719"/>
      <c r="AS55" s="719"/>
      <c r="AT55" s="719"/>
      <c r="AU55" s="719"/>
      <c r="AV55" s="719"/>
      <c r="AW55" s="719"/>
      <c r="AX55" s="719"/>
      <c r="AY55" s="719"/>
      <c r="AZ55" s="719"/>
      <c r="BA55" s="719"/>
      <c r="BB55" s="719"/>
      <c r="BC55" s="719"/>
      <c r="BD55" s="719"/>
      <c r="BE55" s="719"/>
      <c r="BF55" s="719"/>
      <c r="BG55" s="719"/>
      <c r="BH55" s="719"/>
      <c r="BI55" s="719"/>
      <c r="BJ55" s="719"/>
      <c r="BK55" s="719"/>
      <c r="BL55" s="719"/>
      <c r="BM55" s="719"/>
      <c r="BN55" s="719"/>
      <c r="BO55" s="719"/>
      <c r="BP55" s="719"/>
      <c r="BQ55" s="719"/>
      <c r="BR55" s="719"/>
      <c r="BW55" s="27"/>
      <c r="BX55" s="27"/>
      <c r="BY55" s="27"/>
      <c r="BZ55" s="27"/>
      <c r="CA55" s="27"/>
      <c r="CB55" s="27"/>
      <c r="CC55" s="27"/>
      <c r="CD55" s="27"/>
      <c r="CE55" s="27"/>
    </row>
    <row r="56" spans="1:83" ht="26.1" hidden="1" customHeight="1" x14ac:dyDescent="0.25">
      <c r="A56" s="719"/>
      <c r="B56" s="719"/>
      <c r="C56" s="1300"/>
      <c r="D56" s="1300"/>
      <c r="E56" s="1300"/>
      <c r="F56" s="719"/>
      <c r="G56" s="719"/>
      <c r="H56" s="1300"/>
      <c r="I56" s="1300"/>
      <c r="J56" s="1300"/>
      <c r="K56" s="719"/>
      <c r="L56" s="719"/>
      <c r="M56" s="1300"/>
      <c r="N56" s="1300"/>
      <c r="O56" s="1300"/>
      <c r="P56" s="719"/>
      <c r="Q56" s="719"/>
      <c r="R56" s="1300"/>
      <c r="S56" s="1300"/>
      <c r="T56" s="1300"/>
      <c r="U56" s="719"/>
      <c r="V56" s="719"/>
      <c r="W56" s="1300"/>
      <c r="X56" s="1300"/>
      <c r="Y56" s="1300"/>
      <c r="Z56" s="719"/>
      <c r="AA56" s="719"/>
      <c r="AB56" s="1300"/>
      <c r="AC56" s="1300"/>
      <c r="AD56" s="1300"/>
      <c r="AE56" s="719"/>
      <c r="AF56" s="719"/>
      <c r="AG56" s="1300"/>
      <c r="AH56" s="1300"/>
      <c r="AI56" s="1300"/>
      <c r="AJ56" s="719"/>
      <c r="AK56" s="719"/>
      <c r="AL56" s="719"/>
      <c r="AM56" s="719"/>
      <c r="AN56" s="719"/>
      <c r="AO56" s="719"/>
      <c r="AP56" s="719"/>
      <c r="AQ56" s="719"/>
      <c r="AR56" s="719"/>
      <c r="AS56" s="719"/>
      <c r="AT56" s="719"/>
      <c r="AU56" s="719"/>
      <c r="AV56" s="719"/>
      <c r="AW56" s="719"/>
      <c r="AX56" s="719"/>
      <c r="AY56" s="719"/>
      <c r="AZ56" s="719"/>
      <c r="BA56" s="719"/>
      <c r="BB56" s="719"/>
      <c r="BC56" s="719"/>
      <c r="BD56" s="719"/>
      <c r="BE56" s="719"/>
      <c r="BF56" s="719"/>
      <c r="BG56" s="719"/>
      <c r="BH56" s="719"/>
      <c r="BI56" s="719"/>
      <c r="BJ56" s="719"/>
      <c r="BK56" s="719"/>
      <c r="BL56" s="719"/>
      <c r="BM56" s="719"/>
      <c r="BN56" s="719"/>
      <c r="BO56" s="719"/>
      <c r="BP56" s="719"/>
      <c r="BQ56" s="719"/>
      <c r="BR56" s="719"/>
    </row>
    <row r="57" spans="1:83" ht="6.75" hidden="1" customHeight="1" x14ac:dyDescent="0.25">
      <c r="A57" s="719"/>
      <c r="B57" s="719"/>
      <c r="C57" s="1300"/>
      <c r="D57" s="1300"/>
      <c r="E57" s="1300"/>
      <c r="F57" s="719"/>
      <c r="G57" s="719"/>
      <c r="H57" s="1300"/>
      <c r="I57" s="1300"/>
      <c r="J57" s="1300"/>
      <c r="K57" s="719"/>
      <c r="L57" s="719"/>
      <c r="M57" s="1300"/>
      <c r="N57" s="1300"/>
      <c r="O57" s="1300"/>
      <c r="P57" s="719"/>
      <c r="Q57" s="719"/>
      <c r="R57" s="1300"/>
      <c r="S57" s="1300"/>
      <c r="T57" s="1300"/>
      <c r="U57" s="719"/>
      <c r="V57" s="719"/>
      <c r="W57" s="1300"/>
      <c r="X57" s="1300"/>
      <c r="Y57" s="1300"/>
      <c r="Z57" s="719"/>
      <c r="AA57" s="719"/>
      <c r="AB57" s="1300"/>
      <c r="AC57" s="1300"/>
      <c r="AD57" s="1300"/>
      <c r="AE57" s="719"/>
      <c r="AF57" s="719"/>
      <c r="AG57" s="1300"/>
      <c r="AH57" s="1300"/>
      <c r="AI57" s="1300"/>
      <c r="AJ57" s="719"/>
      <c r="AK57" s="719"/>
      <c r="AL57" s="719"/>
      <c r="AM57" s="719"/>
      <c r="AN57" s="719"/>
      <c r="AO57" s="719"/>
      <c r="AP57" s="719"/>
      <c r="AQ57" s="719"/>
      <c r="AR57" s="719"/>
      <c r="AS57" s="719"/>
      <c r="AT57" s="719"/>
      <c r="AU57" s="719"/>
      <c r="AV57" s="719"/>
      <c r="AW57" s="719"/>
      <c r="AX57" s="719"/>
      <c r="AY57" s="719"/>
      <c r="AZ57" s="719"/>
      <c r="BA57" s="719"/>
      <c r="BB57" s="719"/>
      <c r="BC57" s="719"/>
      <c r="BD57" s="719"/>
      <c r="BE57" s="719"/>
      <c r="BF57" s="719"/>
      <c r="BG57" s="719"/>
      <c r="BH57" s="719"/>
      <c r="BI57" s="719"/>
      <c r="BJ57" s="719"/>
      <c r="BK57" s="719"/>
      <c r="BL57" s="719"/>
      <c r="BM57" s="719"/>
      <c r="BN57" s="719"/>
      <c r="BO57" s="719"/>
      <c r="BP57" s="719"/>
      <c r="BQ57" s="719"/>
      <c r="BR57" s="719"/>
    </row>
    <row r="58" spans="1:83" ht="21.95" hidden="1" customHeight="1" x14ac:dyDescent="0.25">
      <c r="A58" s="719"/>
      <c r="B58" s="719"/>
      <c r="C58" s="719"/>
      <c r="D58" s="719"/>
      <c r="E58" s="719"/>
      <c r="F58" s="719"/>
      <c r="G58" s="719"/>
      <c r="H58" s="719"/>
      <c r="I58" s="719"/>
      <c r="J58" s="719"/>
      <c r="K58" s="719"/>
      <c r="L58" s="719"/>
      <c r="M58" s="719"/>
      <c r="N58" s="719"/>
      <c r="O58" s="719"/>
      <c r="P58" s="719"/>
      <c r="Q58" s="719"/>
      <c r="R58" s="719"/>
      <c r="S58" s="719"/>
      <c r="T58" s="719"/>
      <c r="U58" s="719"/>
      <c r="V58" s="719"/>
      <c r="W58" s="719"/>
      <c r="X58" s="719"/>
      <c r="Y58" s="719"/>
      <c r="Z58" s="719"/>
      <c r="AA58" s="719"/>
      <c r="AB58" s="719"/>
      <c r="AC58" s="719"/>
      <c r="AD58" s="719"/>
      <c r="AE58" s="719"/>
      <c r="AF58" s="719"/>
      <c r="AG58" s="719"/>
      <c r="AH58" s="719"/>
      <c r="AI58" s="719"/>
      <c r="AJ58" s="719"/>
      <c r="AK58" s="719"/>
      <c r="AL58" s="719"/>
      <c r="AM58" s="719"/>
      <c r="AN58" s="719"/>
      <c r="AO58" s="719"/>
      <c r="AP58" s="719"/>
      <c r="AQ58" s="719"/>
      <c r="AR58" s="719"/>
      <c r="AS58" s="719"/>
      <c r="AT58" s="719"/>
      <c r="AU58" s="719"/>
      <c r="AV58" s="719"/>
      <c r="AW58" s="719"/>
      <c r="AX58" s="719"/>
      <c r="AY58" s="719"/>
      <c r="AZ58" s="719"/>
      <c r="BA58" s="719"/>
      <c r="BB58" s="719"/>
      <c r="BC58" s="719"/>
      <c r="BD58" s="719"/>
      <c r="BE58" s="719"/>
      <c r="BF58" s="719"/>
      <c r="BG58" s="719"/>
      <c r="BH58" s="719"/>
      <c r="BI58" s="719"/>
      <c r="BJ58" s="719"/>
      <c r="BK58" s="719"/>
      <c r="BL58" s="719"/>
      <c r="BM58" s="719"/>
      <c r="BN58" s="719"/>
      <c r="BO58" s="719"/>
      <c r="BP58" s="719"/>
      <c r="BQ58" s="719"/>
      <c r="BR58" s="719"/>
    </row>
    <row r="59" spans="1:83" ht="6" hidden="1" customHeight="1" x14ac:dyDescent="0.25">
      <c r="A59" s="719"/>
      <c r="B59" s="719"/>
      <c r="C59" s="719"/>
      <c r="D59" s="719"/>
      <c r="E59" s="719"/>
      <c r="F59" s="719"/>
      <c r="G59" s="719"/>
      <c r="H59" s="719"/>
      <c r="I59" s="719"/>
      <c r="J59" s="719"/>
      <c r="K59" s="719"/>
      <c r="L59" s="719"/>
      <c r="M59" s="719"/>
      <c r="N59" s="719"/>
      <c r="O59" s="719"/>
      <c r="P59" s="719"/>
      <c r="Q59" s="719"/>
      <c r="R59" s="719"/>
      <c r="S59" s="719"/>
      <c r="T59" s="719"/>
      <c r="U59" s="719"/>
      <c r="V59" s="719"/>
      <c r="W59" s="719"/>
      <c r="X59" s="719"/>
      <c r="Y59" s="719"/>
      <c r="Z59" s="719"/>
      <c r="AA59" s="719"/>
      <c r="AB59" s="719"/>
      <c r="AC59" s="719"/>
      <c r="AD59" s="719"/>
      <c r="AE59" s="719"/>
      <c r="AF59" s="719"/>
      <c r="AG59" s="719"/>
      <c r="AH59" s="719"/>
      <c r="AI59" s="719"/>
      <c r="AJ59" s="719"/>
      <c r="AK59" s="719"/>
      <c r="AL59" s="719"/>
      <c r="AM59" s="719"/>
      <c r="AN59" s="719"/>
      <c r="AO59" s="719"/>
      <c r="AP59" s="719"/>
      <c r="AQ59" s="719"/>
      <c r="AR59" s="719"/>
      <c r="AS59" s="719"/>
      <c r="AT59" s="719"/>
      <c r="AU59" s="719"/>
      <c r="AV59" s="719"/>
      <c r="AW59" s="719"/>
      <c r="AX59" s="719"/>
      <c r="AY59" s="719"/>
      <c r="AZ59" s="719"/>
      <c r="BA59" s="719"/>
      <c r="BB59" s="719"/>
      <c r="BC59" s="719"/>
      <c r="BD59" s="719"/>
      <c r="BE59" s="719"/>
      <c r="BF59" s="719"/>
      <c r="BG59" s="719"/>
      <c r="BH59" s="719"/>
      <c r="BI59" s="719"/>
      <c r="BJ59" s="719"/>
      <c r="BK59" s="719"/>
      <c r="BL59" s="719"/>
      <c r="BM59" s="719"/>
      <c r="BN59" s="719"/>
      <c r="BO59" s="719"/>
      <c r="BP59" s="719"/>
      <c r="BQ59" s="719"/>
      <c r="BR59" s="719"/>
    </row>
    <row r="60" spans="1:83" ht="60" hidden="1" customHeight="1" thickTop="1" thickBot="1" x14ac:dyDescent="0.3">
      <c r="A60" s="716"/>
      <c r="B60" s="1797"/>
      <c r="C60" s="1797"/>
      <c r="D60" s="1797"/>
      <c r="E60" s="1797"/>
      <c r="F60" s="716"/>
      <c r="G60" s="1797"/>
      <c r="H60" s="1797"/>
      <c r="I60" s="1797"/>
      <c r="J60" s="1797"/>
      <c r="K60" s="716"/>
      <c r="L60" s="1797"/>
      <c r="M60" s="1797"/>
      <c r="N60" s="1797"/>
      <c r="O60" s="1797"/>
      <c r="P60" s="716"/>
      <c r="Q60" s="1797"/>
      <c r="R60" s="1797"/>
      <c r="S60" s="1797"/>
      <c r="T60" s="1797"/>
      <c r="U60" s="716"/>
      <c r="V60" s="1797"/>
      <c r="W60" s="1797"/>
      <c r="X60" s="1797"/>
      <c r="Y60" s="1797"/>
      <c r="Z60" s="716"/>
      <c r="AA60" s="1797"/>
      <c r="AB60" s="1797"/>
      <c r="AC60" s="1797"/>
      <c r="AD60" s="1797"/>
      <c r="AE60" s="716"/>
      <c r="AF60" s="1797"/>
      <c r="AG60" s="1797"/>
      <c r="AH60" s="1797"/>
      <c r="AI60" s="1797"/>
      <c r="AJ60" s="719"/>
      <c r="AK60" s="719"/>
      <c r="AL60" s="719"/>
      <c r="AM60" s="719"/>
      <c r="AN60" s="719"/>
      <c r="AO60" s="719"/>
      <c r="AP60" s="719"/>
      <c r="AQ60" s="719"/>
      <c r="AR60" s="719"/>
      <c r="AS60" s="719"/>
      <c r="AT60" s="719"/>
      <c r="AU60" s="719"/>
      <c r="AV60" s="719"/>
      <c r="AW60" s="719"/>
      <c r="AX60" s="719"/>
      <c r="AY60" s="719"/>
      <c r="AZ60" s="719"/>
      <c r="BA60" s="719"/>
      <c r="BB60" s="719"/>
      <c r="BC60" s="719"/>
      <c r="BD60" s="719"/>
      <c r="BE60" s="719"/>
      <c r="BF60" s="719"/>
      <c r="BG60" s="719"/>
      <c r="BH60" s="719"/>
      <c r="BI60" s="719"/>
      <c r="BJ60" s="719"/>
      <c r="BK60" s="719"/>
      <c r="BL60" s="719"/>
      <c r="BM60" s="719"/>
      <c r="BN60" s="719"/>
      <c r="BO60" s="719"/>
      <c r="BP60" s="719"/>
      <c r="BQ60" s="719"/>
      <c r="BR60" s="719"/>
    </row>
    <row r="61" spans="1:83" ht="27.75" hidden="1" customHeight="1" thickTop="1" thickBot="1" x14ac:dyDescent="0.3">
      <c r="A61" s="716"/>
      <c r="B61" s="32"/>
      <c r="C61" s="33"/>
      <c r="D61" s="34"/>
      <c r="E61" s="35"/>
      <c r="F61" s="716"/>
      <c r="G61" s="32"/>
      <c r="H61" s="33"/>
      <c r="I61" s="34"/>
      <c r="J61" s="35"/>
      <c r="K61" s="716"/>
      <c r="L61" s="32"/>
      <c r="M61" s="33"/>
      <c r="N61" s="34"/>
      <c r="O61" s="35"/>
      <c r="P61" s="716"/>
      <c r="Q61" s="32"/>
      <c r="R61" s="33"/>
      <c r="S61" s="34"/>
      <c r="T61" s="35"/>
      <c r="U61" s="716"/>
      <c r="V61" s="32"/>
      <c r="W61" s="33"/>
      <c r="X61" s="34"/>
      <c r="Y61" s="35"/>
      <c r="Z61" s="716"/>
      <c r="AA61" s="32"/>
      <c r="AB61" s="33"/>
      <c r="AC61" s="34"/>
      <c r="AD61" s="35"/>
      <c r="AE61" s="716"/>
      <c r="AF61" s="32"/>
      <c r="AG61" s="33"/>
      <c r="AH61" s="34"/>
      <c r="AI61" s="35"/>
      <c r="AJ61" s="719"/>
      <c r="AK61" s="719"/>
      <c r="AL61" s="719"/>
      <c r="AM61" s="719"/>
      <c r="AN61" s="719"/>
      <c r="AO61" s="719"/>
      <c r="AP61" s="719"/>
      <c r="AQ61" s="719"/>
      <c r="AR61" s="719"/>
      <c r="AS61" s="719"/>
      <c r="AT61" s="719"/>
      <c r="AU61" s="719"/>
      <c r="AV61" s="719"/>
      <c r="AW61" s="719"/>
      <c r="AX61" s="719"/>
      <c r="AY61" s="719"/>
      <c r="AZ61" s="719"/>
      <c r="BA61" s="719"/>
      <c r="BB61" s="719"/>
      <c r="BC61" s="719"/>
      <c r="BD61" s="719"/>
      <c r="BE61" s="719"/>
      <c r="BF61" s="719"/>
      <c r="BG61" s="719"/>
      <c r="BH61" s="719"/>
      <c r="BI61" s="719"/>
      <c r="BJ61" s="719"/>
      <c r="BK61" s="719"/>
      <c r="BL61" s="719"/>
      <c r="BM61" s="719"/>
      <c r="BN61" s="719"/>
      <c r="BO61" s="719"/>
      <c r="BP61" s="719"/>
      <c r="BQ61" s="719"/>
      <c r="BR61" s="719"/>
      <c r="BW61" s="27"/>
      <c r="BX61" s="27"/>
      <c r="BY61" s="27"/>
      <c r="BZ61" s="27"/>
      <c r="CA61" s="27"/>
      <c r="CB61" s="27"/>
      <c r="CC61" s="27"/>
      <c r="CD61" s="27"/>
      <c r="CE61" s="27"/>
    </row>
    <row r="62" spans="1:83" s="42" customFormat="1" ht="18.600000000000001" hidden="1" customHeight="1" thickTop="1" x14ac:dyDescent="0.25">
      <c r="A62" s="719"/>
      <c r="B62" s="719"/>
      <c r="C62" s="1300"/>
      <c r="D62" s="1300"/>
      <c r="E62" s="1300"/>
      <c r="F62" s="719"/>
      <c r="G62" s="719"/>
      <c r="H62" s="1300"/>
      <c r="I62" s="1300"/>
      <c r="J62" s="1300"/>
      <c r="K62" s="719"/>
      <c r="L62" s="719"/>
      <c r="M62" s="1300"/>
      <c r="N62" s="1300"/>
      <c r="O62" s="1300"/>
      <c r="P62" s="719"/>
      <c r="Q62" s="719"/>
      <c r="R62" s="1300"/>
      <c r="S62" s="1300"/>
      <c r="T62" s="1300"/>
      <c r="U62" s="719"/>
      <c r="V62" s="719"/>
      <c r="W62" s="1300"/>
      <c r="X62" s="1300"/>
      <c r="Y62" s="1300"/>
      <c r="Z62" s="719"/>
      <c r="AA62" s="719"/>
      <c r="AB62" s="1300"/>
      <c r="AC62" s="1300"/>
      <c r="AD62" s="1300"/>
      <c r="AE62" s="719"/>
      <c r="AF62" s="719"/>
      <c r="AG62" s="1300"/>
      <c r="AH62" s="1300"/>
      <c r="AI62" s="1300"/>
      <c r="AJ62" s="719"/>
      <c r="AK62" s="719"/>
      <c r="AL62" s="719"/>
      <c r="AM62" s="719"/>
      <c r="AN62" s="719"/>
      <c r="AO62" s="719"/>
      <c r="AP62" s="719"/>
      <c r="AQ62" s="719"/>
      <c r="AR62" s="719"/>
      <c r="AS62" s="719"/>
      <c r="AT62" s="719"/>
      <c r="AU62" s="719"/>
      <c r="AV62" s="719"/>
      <c r="AW62" s="719"/>
      <c r="AX62" s="719"/>
      <c r="AY62" s="719"/>
      <c r="AZ62" s="719"/>
      <c r="BA62" s="719"/>
      <c r="BB62" s="719"/>
      <c r="BC62" s="719"/>
      <c r="BD62" s="719"/>
      <c r="BE62" s="719"/>
      <c r="BF62" s="719"/>
      <c r="BG62" s="719"/>
      <c r="BH62" s="719"/>
      <c r="BI62" s="719"/>
      <c r="BJ62" s="719"/>
      <c r="BK62" s="719"/>
      <c r="BL62" s="719"/>
      <c r="BM62" s="719"/>
      <c r="BN62" s="719"/>
      <c r="BO62" s="719"/>
      <c r="BP62" s="719"/>
      <c r="BQ62" s="719"/>
      <c r="BR62" s="719"/>
      <c r="BW62" s="43"/>
      <c r="BX62" s="43"/>
      <c r="BY62" s="43"/>
      <c r="BZ62" s="43"/>
      <c r="CA62" s="43"/>
      <c r="CB62" s="43"/>
      <c r="CC62" s="43"/>
      <c r="CD62" s="43"/>
      <c r="CE62" s="43"/>
    </row>
    <row r="63" spans="1:83" ht="18.600000000000001" hidden="1" customHeight="1" x14ac:dyDescent="0.25">
      <c r="A63" s="719"/>
      <c r="B63" s="719"/>
      <c r="C63" s="1300"/>
      <c r="D63" s="1300"/>
      <c r="E63" s="1300"/>
      <c r="F63" s="719"/>
      <c r="G63" s="719"/>
      <c r="H63" s="1300"/>
      <c r="I63" s="1300"/>
      <c r="J63" s="1300"/>
      <c r="K63" s="719"/>
      <c r="L63" s="719"/>
      <c r="M63" s="1300"/>
      <c r="N63" s="1300"/>
      <c r="O63" s="1300"/>
      <c r="P63" s="719"/>
      <c r="Q63" s="719"/>
      <c r="R63" s="1300"/>
      <c r="S63" s="1300"/>
      <c r="T63" s="1300"/>
      <c r="U63" s="719"/>
      <c r="V63" s="719"/>
      <c r="W63" s="1300"/>
      <c r="X63" s="1300"/>
      <c r="Y63" s="1300"/>
      <c r="Z63" s="719"/>
      <c r="AA63" s="719"/>
      <c r="AB63" s="1300"/>
      <c r="AC63" s="1300"/>
      <c r="AD63" s="1300"/>
      <c r="AE63" s="719"/>
      <c r="AF63" s="719"/>
      <c r="AG63" s="1300"/>
      <c r="AH63" s="1300"/>
      <c r="AI63" s="1300"/>
      <c r="AJ63" s="719"/>
      <c r="AK63" s="719"/>
      <c r="AL63" s="719"/>
      <c r="AM63" s="719"/>
      <c r="AN63" s="719"/>
      <c r="AO63" s="719"/>
      <c r="AP63" s="719"/>
      <c r="AQ63" s="719"/>
      <c r="AR63" s="719"/>
      <c r="AS63" s="719"/>
      <c r="AT63" s="719"/>
      <c r="AU63" s="719"/>
      <c r="AV63" s="719"/>
      <c r="AW63" s="719"/>
      <c r="AX63" s="719"/>
      <c r="AY63" s="719"/>
      <c r="AZ63" s="719"/>
      <c r="BA63" s="719"/>
      <c r="BB63" s="719"/>
      <c r="BC63" s="719"/>
      <c r="BD63" s="719"/>
      <c r="BE63" s="719"/>
      <c r="BF63" s="719"/>
      <c r="BG63" s="719"/>
      <c r="BH63" s="719"/>
      <c r="BI63" s="719"/>
      <c r="BJ63" s="719"/>
      <c r="BK63" s="719"/>
      <c r="BL63" s="719"/>
      <c r="BM63" s="719"/>
      <c r="BN63" s="719"/>
      <c r="BO63" s="719"/>
      <c r="BP63" s="719"/>
      <c r="BQ63" s="719"/>
      <c r="BR63" s="719"/>
    </row>
    <row r="64" spans="1:83" ht="9.9499999999999993" hidden="1" customHeight="1" x14ac:dyDescent="0.25">
      <c r="A64" s="719"/>
      <c r="B64" s="719"/>
      <c r="C64" s="719"/>
      <c r="D64" s="719"/>
      <c r="E64" s="719"/>
      <c r="F64" s="719"/>
      <c r="G64" s="719"/>
      <c r="H64" s="719"/>
      <c r="I64" s="719"/>
      <c r="J64" s="719"/>
      <c r="K64" s="719"/>
      <c r="L64" s="719"/>
      <c r="M64" s="719"/>
      <c r="N64" s="719"/>
      <c r="O64" s="719"/>
      <c r="P64" s="719"/>
      <c r="Q64" s="719"/>
      <c r="R64" s="719"/>
      <c r="S64" s="719"/>
      <c r="T64" s="719"/>
      <c r="U64" s="719"/>
      <c r="V64" s="719"/>
      <c r="W64" s="719"/>
      <c r="X64" s="719"/>
      <c r="Y64" s="719"/>
      <c r="Z64" s="719"/>
      <c r="AA64" s="719"/>
      <c r="AB64" s="719"/>
      <c r="AC64" s="719"/>
      <c r="AD64" s="719"/>
      <c r="AE64" s="719"/>
      <c r="AF64" s="719"/>
      <c r="AG64" s="719"/>
      <c r="AH64" s="719"/>
      <c r="AI64" s="719"/>
      <c r="AJ64" s="719"/>
      <c r="AK64" s="719"/>
      <c r="AL64" s="719"/>
      <c r="AM64" s="719"/>
      <c r="AN64" s="719"/>
      <c r="AO64" s="719"/>
      <c r="AP64" s="719"/>
      <c r="AQ64" s="719"/>
      <c r="AR64" s="719"/>
      <c r="AS64" s="719"/>
      <c r="AT64" s="719"/>
      <c r="AU64" s="719"/>
      <c r="AV64" s="719"/>
      <c r="AW64" s="719"/>
      <c r="AX64" s="719"/>
      <c r="AY64" s="719"/>
      <c r="AZ64" s="719"/>
      <c r="BA64" s="719"/>
      <c r="BB64" s="719"/>
      <c r="BC64" s="719"/>
      <c r="BD64" s="719"/>
      <c r="BE64" s="719"/>
      <c r="BF64" s="719"/>
      <c r="BG64" s="719"/>
      <c r="BH64" s="719"/>
      <c r="BI64" s="719"/>
      <c r="BJ64" s="719"/>
      <c r="BK64" s="719"/>
      <c r="BL64" s="719"/>
      <c r="BM64" s="719"/>
      <c r="BN64" s="719"/>
      <c r="BO64" s="719"/>
      <c r="BP64" s="719"/>
      <c r="BQ64" s="719"/>
      <c r="BR64" s="719"/>
    </row>
    <row r="65" spans="1:90" ht="9.9499999999999993" hidden="1" customHeight="1" x14ac:dyDescent="0.25">
      <c r="A65" s="719"/>
      <c r="B65" s="719"/>
      <c r="C65" s="719"/>
      <c r="D65" s="719"/>
      <c r="E65" s="719"/>
      <c r="F65" s="719"/>
      <c r="G65" s="719"/>
      <c r="H65" s="719"/>
      <c r="I65" s="719"/>
      <c r="J65" s="719"/>
      <c r="K65" s="719"/>
      <c r="L65" s="719"/>
      <c r="M65" s="719"/>
      <c r="N65" s="719"/>
      <c r="O65" s="719"/>
      <c r="P65" s="719"/>
      <c r="Q65" s="719"/>
      <c r="R65" s="719"/>
      <c r="S65" s="719"/>
      <c r="T65" s="719"/>
      <c r="U65" s="719"/>
      <c r="V65" s="719"/>
      <c r="W65" s="719"/>
      <c r="X65" s="719"/>
      <c r="Y65" s="719"/>
      <c r="Z65" s="719"/>
      <c r="AA65" s="719"/>
      <c r="AB65" s="719"/>
      <c r="AC65" s="719"/>
      <c r="AD65" s="719"/>
      <c r="AE65" s="719"/>
      <c r="AF65" s="719"/>
      <c r="AG65" s="719"/>
      <c r="AH65" s="719"/>
      <c r="AI65" s="719"/>
      <c r="AJ65" s="719"/>
      <c r="AK65" s="719"/>
      <c r="AL65" s="719"/>
      <c r="AM65" s="719"/>
      <c r="AN65" s="719"/>
      <c r="AO65" s="719"/>
      <c r="AP65" s="719"/>
      <c r="AQ65" s="719"/>
      <c r="AR65" s="719"/>
      <c r="AS65" s="719"/>
      <c r="AT65" s="719"/>
      <c r="AU65" s="719"/>
      <c r="AV65" s="719"/>
      <c r="AW65" s="719"/>
      <c r="AX65" s="719"/>
      <c r="AY65" s="719"/>
      <c r="AZ65" s="719"/>
      <c r="BA65" s="719"/>
      <c r="BB65" s="719"/>
      <c r="BC65" s="719"/>
      <c r="BD65" s="719"/>
      <c r="BE65" s="719"/>
      <c r="BF65" s="719"/>
      <c r="BG65" s="719"/>
      <c r="BH65" s="719"/>
      <c r="BI65" s="719"/>
      <c r="BJ65" s="719"/>
      <c r="BK65" s="719"/>
      <c r="BL65" s="719"/>
      <c r="BM65" s="719"/>
      <c r="BN65" s="719"/>
      <c r="BO65" s="719"/>
      <c r="BP65" s="719"/>
      <c r="BQ65" s="719"/>
      <c r="BR65" s="719"/>
    </row>
    <row r="66" spans="1:90" ht="84.95" hidden="1" customHeight="1" x14ac:dyDescent="0.25">
      <c r="A66" s="716"/>
      <c r="B66" s="1797"/>
      <c r="C66" s="1797"/>
      <c r="D66" s="1797"/>
      <c r="E66" s="1797"/>
      <c r="F66" s="716"/>
      <c r="G66" s="1797"/>
      <c r="H66" s="1797"/>
      <c r="I66" s="1797"/>
      <c r="J66" s="1797"/>
      <c r="K66" s="716"/>
      <c r="L66" s="1797"/>
      <c r="M66" s="1797"/>
      <c r="N66" s="1797"/>
      <c r="O66" s="1797"/>
      <c r="P66" s="716"/>
      <c r="Q66" s="1797"/>
      <c r="R66" s="1797"/>
      <c r="S66" s="1797"/>
      <c r="T66" s="1797"/>
      <c r="U66" s="716"/>
      <c r="V66" s="1797"/>
      <c r="W66" s="1797"/>
      <c r="X66" s="1797"/>
      <c r="Y66" s="1797"/>
      <c r="Z66" s="716"/>
      <c r="AA66" s="1797"/>
      <c r="AB66" s="1797"/>
      <c r="AC66" s="1797"/>
      <c r="AD66" s="1797"/>
      <c r="AE66" s="716"/>
      <c r="AF66" s="1797"/>
      <c r="AG66" s="1797"/>
      <c r="AH66" s="1797"/>
      <c r="AI66" s="1797"/>
      <c r="AJ66" s="719"/>
      <c r="AK66" s="719"/>
      <c r="AL66" s="719"/>
      <c r="AM66" s="719"/>
      <c r="AN66" s="719"/>
      <c r="AO66" s="719"/>
      <c r="AP66" s="719"/>
      <c r="AQ66" s="719"/>
      <c r="AR66" s="719"/>
      <c r="AS66" s="719"/>
      <c r="AT66" s="719"/>
      <c r="AU66" s="719"/>
      <c r="AV66" s="719"/>
      <c r="AW66" s="719"/>
      <c r="AX66" s="719"/>
      <c r="AY66" s="719"/>
      <c r="AZ66" s="719"/>
      <c r="BA66" s="719"/>
      <c r="BB66" s="719"/>
      <c r="BC66" s="719"/>
      <c r="BD66" s="719"/>
      <c r="BE66" s="719"/>
      <c r="BF66" s="719"/>
      <c r="BG66" s="719"/>
      <c r="BH66" s="719"/>
      <c r="BI66" s="719"/>
      <c r="BJ66" s="719"/>
      <c r="BK66" s="719"/>
      <c r="BL66" s="719"/>
      <c r="BM66" s="719"/>
      <c r="BN66" s="719"/>
      <c r="BO66" s="719"/>
      <c r="BP66" s="719"/>
      <c r="BQ66" s="719"/>
      <c r="BR66" s="719"/>
    </row>
    <row r="67" spans="1:90" ht="23.1" hidden="1" customHeight="1" x14ac:dyDescent="0.25">
      <c r="A67" s="716"/>
      <c r="B67" s="32"/>
      <c r="C67" s="33"/>
      <c r="D67" s="34"/>
      <c r="E67" s="35"/>
      <c r="F67" s="716"/>
      <c r="G67" s="32"/>
      <c r="H67" s="33"/>
      <c r="I67" s="34"/>
      <c r="J67" s="35"/>
      <c r="K67" s="716"/>
      <c r="L67" s="32"/>
      <c r="M67" s="33"/>
      <c r="N67" s="34"/>
      <c r="O67" s="35"/>
      <c r="P67" s="716"/>
      <c r="Q67" s="32"/>
      <c r="R67" s="33"/>
      <c r="S67" s="34"/>
      <c r="T67" s="35"/>
      <c r="U67" s="716"/>
      <c r="V67" s="32"/>
      <c r="W67" s="33"/>
      <c r="X67" s="34"/>
      <c r="Y67" s="35"/>
      <c r="Z67" s="716"/>
      <c r="AA67" s="32"/>
      <c r="AB67" s="33"/>
      <c r="AC67" s="34"/>
      <c r="AD67" s="35"/>
      <c r="AE67" s="716"/>
      <c r="AF67" s="32"/>
      <c r="AG67" s="33"/>
      <c r="AH67" s="34"/>
      <c r="AI67" s="35"/>
      <c r="AJ67" s="719"/>
      <c r="AK67" s="719"/>
      <c r="AL67" s="719"/>
      <c r="AM67" s="719"/>
      <c r="AN67" s="719"/>
      <c r="AO67" s="719"/>
      <c r="AP67" s="719"/>
      <c r="AQ67" s="719"/>
      <c r="AR67" s="719"/>
      <c r="AS67" s="719"/>
      <c r="AT67" s="719"/>
      <c r="AU67" s="719"/>
      <c r="AV67" s="719"/>
      <c r="AW67" s="719"/>
      <c r="AX67" s="719"/>
      <c r="AY67" s="719"/>
      <c r="AZ67" s="719"/>
      <c r="BA67" s="719"/>
      <c r="BB67" s="719"/>
      <c r="BC67" s="719"/>
      <c r="BD67" s="719"/>
      <c r="BE67" s="719"/>
      <c r="BF67" s="719"/>
      <c r="BG67" s="719"/>
      <c r="BH67" s="719"/>
      <c r="BI67" s="719"/>
      <c r="BJ67" s="719"/>
      <c r="BK67" s="719"/>
      <c r="BL67" s="719"/>
      <c r="BM67" s="719"/>
      <c r="BN67" s="719"/>
      <c r="BO67" s="719"/>
      <c r="BP67" s="719"/>
      <c r="BQ67" s="719"/>
      <c r="BR67" s="719"/>
      <c r="BS67" s="50"/>
      <c r="BT67" s="50"/>
      <c r="BW67" s="51"/>
      <c r="BX67" s="51"/>
      <c r="BY67" s="51"/>
      <c r="BZ67" s="51"/>
      <c r="CA67" s="51"/>
      <c r="CB67" s="51"/>
      <c r="CC67" s="27"/>
      <c r="CD67" s="27"/>
      <c r="CE67" s="27"/>
      <c r="CG67" s="27"/>
      <c r="CH67" s="27"/>
      <c r="CI67" s="27"/>
      <c r="CJ67" s="27"/>
      <c r="CK67" s="27"/>
      <c r="CL67" s="27"/>
    </row>
    <row r="68" spans="1:90" ht="18.600000000000001" hidden="1" customHeight="1" x14ac:dyDescent="0.25">
      <c r="A68" s="719"/>
      <c r="B68" s="719"/>
      <c r="C68" s="1300"/>
      <c r="D68" s="1300"/>
      <c r="E68" s="1300"/>
      <c r="F68" s="719"/>
      <c r="G68" s="719"/>
      <c r="H68" s="1300"/>
      <c r="I68" s="1300"/>
      <c r="J68" s="1300"/>
      <c r="K68" s="719"/>
      <c r="L68" s="719"/>
      <c r="M68" s="1300"/>
      <c r="N68" s="1300"/>
      <c r="O68" s="1300"/>
      <c r="P68" s="719"/>
      <c r="Q68" s="719"/>
      <c r="R68" s="1300"/>
      <c r="S68" s="1300"/>
      <c r="T68" s="1300"/>
      <c r="U68" s="719"/>
      <c r="V68" s="719"/>
      <c r="W68" s="1300"/>
      <c r="X68" s="1300"/>
      <c r="Y68" s="1300"/>
      <c r="Z68" s="719"/>
      <c r="AA68" s="719"/>
      <c r="AB68" s="1300"/>
      <c r="AC68" s="1300"/>
      <c r="AD68" s="1300"/>
      <c r="AE68" s="719"/>
      <c r="AF68" s="719"/>
      <c r="AG68" s="1300"/>
      <c r="AH68" s="1300"/>
      <c r="AI68" s="1300"/>
      <c r="AJ68" s="719"/>
      <c r="AK68" s="719"/>
      <c r="AL68" s="719"/>
      <c r="AM68" s="719"/>
      <c r="AN68" s="719"/>
      <c r="AO68" s="719"/>
      <c r="AP68" s="719"/>
      <c r="AQ68" s="719"/>
      <c r="AR68" s="719"/>
      <c r="AS68" s="719"/>
      <c r="AT68" s="719"/>
      <c r="AU68" s="719"/>
      <c r="AV68" s="719"/>
      <c r="AW68" s="719"/>
      <c r="AX68" s="719"/>
      <c r="AY68" s="719"/>
      <c r="AZ68" s="719"/>
      <c r="BA68" s="719"/>
      <c r="BB68" s="719"/>
      <c r="BC68" s="719"/>
      <c r="BD68" s="719"/>
      <c r="BE68" s="719"/>
      <c r="BF68" s="719"/>
      <c r="BG68" s="719"/>
      <c r="BH68" s="719"/>
      <c r="BI68" s="719"/>
      <c r="BJ68" s="719"/>
      <c r="BK68" s="719"/>
      <c r="BL68" s="719"/>
      <c r="BM68" s="719"/>
      <c r="BN68" s="719"/>
      <c r="BO68" s="719"/>
      <c r="BP68" s="719"/>
      <c r="BQ68" s="719"/>
      <c r="BR68" s="719"/>
      <c r="BS68" s="50"/>
      <c r="BT68" s="50"/>
      <c r="BW68" s="27"/>
      <c r="BX68" s="27"/>
      <c r="BY68" s="27"/>
      <c r="BZ68" s="27"/>
      <c r="CA68" s="27"/>
      <c r="CB68" s="27"/>
      <c r="CC68" s="27"/>
      <c r="CD68" s="27"/>
      <c r="CE68" s="27"/>
      <c r="CG68" s="27"/>
      <c r="CH68" s="27"/>
      <c r="CI68" s="27"/>
      <c r="CJ68" s="27"/>
      <c r="CK68" s="27"/>
      <c r="CL68" s="27"/>
    </row>
    <row r="69" spans="1:90" ht="18.600000000000001" hidden="1" customHeight="1" x14ac:dyDescent="0.25">
      <c r="A69" s="719"/>
      <c r="B69" s="719"/>
      <c r="C69" s="1300"/>
      <c r="D69" s="1300"/>
      <c r="E69" s="1300"/>
      <c r="F69" s="719"/>
      <c r="G69" s="719"/>
      <c r="H69" s="1300"/>
      <c r="I69" s="1300"/>
      <c r="J69" s="1300"/>
      <c r="K69" s="719"/>
      <c r="L69" s="719"/>
      <c r="M69" s="1300"/>
      <c r="N69" s="1300"/>
      <c r="O69" s="1300"/>
      <c r="P69" s="719"/>
      <c r="Q69" s="719"/>
      <c r="R69" s="1300"/>
      <c r="S69" s="1300"/>
      <c r="T69" s="1300"/>
      <c r="U69" s="719"/>
      <c r="V69" s="719"/>
      <c r="W69" s="1300"/>
      <c r="X69" s="1300"/>
      <c r="Y69" s="1300"/>
      <c r="Z69" s="719"/>
      <c r="AA69" s="719"/>
      <c r="AB69" s="1300"/>
      <c r="AC69" s="1300"/>
      <c r="AD69" s="1300"/>
      <c r="AE69" s="719"/>
      <c r="AF69" s="719"/>
      <c r="AG69" s="1300"/>
      <c r="AH69" s="1300"/>
      <c r="AI69" s="1300"/>
      <c r="AJ69" s="719"/>
      <c r="AK69" s="719"/>
      <c r="AL69" s="719"/>
      <c r="AM69" s="719"/>
      <c r="AN69" s="719"/>
      <c r="AO69" s="719"/>
      <c r="AP69" s="719"/>
      <c r="AQ69" s="719"/>
      <c r="AR69" s="719"/>
      <c r="AS69" s="719"/>
      <c r="AT69" s="719"/>
      <c r="AU69" s="719"/>
      <c r="AV69" s="719"/>
      <c r="AW69" s="719"/>
      <c r="AX69" s="719"/>
      <c r="AY69" s="719"/>
      <c r="AZ69" s="719"/>
      <c r="BA69" s="719"/>
      <c r="BB69" s="719"/>
      <c r="BC69" s="719"/>
      <c r="BD69" s="719"/>
      <c r="BE69" s="719"/>
      <c r="BF69" s="719"/>
      <c r="BG69" s="719"/>
      <c r="BH69" s="719"/>
      <c r="BI69" s="719"/>
      <c r="BJ69" s="719"/>
      <c r="BK69" s="719"/>
      <c r="BL69" s="719"/>
      <c r="BM69" s="719"/>
      <c r="BN69" s="719"/>
      <c r="BO69" s="719"/>
      <c r="BP69" s="719"/>
      <c r="BQ69" s="719"/>
      <c r="BR69" s="719"/>
      <c r="BS69" s="50"/>
      <c r="BT69" s="50"/>
      <c r="BW69" s="27"/>
      <c r="BX69" s="27"/>
      <c r="BY69" s="27"/>
      <c r="BZ69" s="27"/>
      <c r="CA69" s="27"/>
      <c r="CB69" s="27"/>
      <c r="CC69" s="27"/>
      <c r="CD69" s="27"/>
      <c r="CE69" s="27"/>
      <c r="CG69" s="27"/>
      <c r="CH69" s="27"/>
      <c r="CI69" s="27"/>
      <c r="CJ69" s="27"/>
      <c r="CK69" s="27"/>
      <c r="CL69" s="27"/>
    </row>
    <row r="70" spans="1:90" ht="9.9499999999999993" hidden="1" customHeight="1" x14ac:dyDescent="0.25">
      <c r="A70" s="719"/>
      <c r="B70" s="719"/>
      <c r="C70" s="719"/>
      <c r="D70" s="719"/>
      <c r="E70" s="719"/>
      <c r="F70" s="719"/>
      <c r="G70" s="719"/>
      <c r="H70" s="719"/>
      <c r="I70" s="719"/>
      <c r="J70" s="719"/>
      <c r="K70" s="719"/>
      <c r="L70" s="719"/>
      <c r="M70" s="719"/>
      <c r="N70" s="719"/>
      <c r="O70" s="719"/>
      <c r="P70" s="719"/>
      <c r="Q70" s="719"/>
      <c r="R70" s="719"/>
      <c r="S70" s="719"/>
      <c r="T70" s="719"/>
      <c r="U70" s="719"/>
      <c r="V70" s="719"/>
      <c r="W70" s="719"/>
      <c r="X70" s="719"/>
      <c r="Y70" s="719"/>
      <c r="Z70" s="719"/>
      <c r="AA70" s="719"/>
      <c r="AB70" s="719"/>
      <c r="AC70" s="719"/>
      <c r="AD70" s="719"/>
      <c r="AE70" s="719"/>
      <c r="AF70" s="719"/>
      <c r="AG70" s="719"/>
      <c r="AH70" s="719"/>
      <c r="AI70" s="719"/>
      <c r="AJ70" s="719"/>
      <c r="AK70" s="719"/>
      <c r="AL70" s="719"/>
      <c r="AM70" s="719"/>
      <c r="AN70" s="719"/>
      <c r="AO70" s="719"/>
      <c r="AP70" s="719"/>
      <c r="AQ70" s="719"/>
      <c r="AR70" s="719"/>
      <c r="AS70" s="719"/>
      <c r="AT70" s="719"/>
      <c r="AU70" s="719"/>
      <c r="AV70" s="719"/>
      <c r="AW70" s="719"/>
      <c r="AX70" s="719"/>
      <c r="AY70" s="719"/>
      <c r="AZ70" s="719"/>
      <c r="BA70" s="719"/>
      <c r="BB70" s="719"/>
      <c r="BC70" s="719"/>
      <c r="BD70" s="719"/>
      <c r="BE70" s="719"/>
      <c r="BF70" s="719"/>
      <c r="BG70" s="719"/>
      <c r="BH70" s="719"/>
      <c r="BI70" s="719"/>
      <c r="BJ70" s="719"/>
      <c r="BK70" s="719"/>
      <c r="BL70" s="719"/>
      <c r="BM70" s="719"/>
      <c r="BN70" s="719"/>
      <c r="BO70" s="719"/>
      <c r="BP70" s="719"/>
      <c r="BQ70" s="719"/>
      <c r="BR70" s="719"/>
      <c r="BS70" s="50"/>
      <c r="BT70" s="50"/>
      <c r="BW70" s="27"/>
      <c r="BX70" s="27"/>
      <c r="BY70" s="27"/>
      <c r="BZ70" s="27"/>
      <c r="CA70" s="27"/>
      <c r="CB70" s="27"/>
      <c r="CC70" s="27"/>
      <c r="CD70" s="27"/>
      <c r="CE70" s="27"/>
      <c r="CG70" s="27"/>
      <c r="CH70" s="27"/>
      <c r="CI70" s="27"/>
      <c r="CJ70" s="27"/>
      <c r="CK70" s="27"/>
      <c r="CL70" s="27"/>
    </row>
    <row r="71" spans="1:90" ht="9.9499999999999993" hidden="1" customHeight="1" x14ac:dyDescent="0.25">
      <c r="A71" s="719"/>
      <c r="B71" s="719"/>
      <c r="C71" s="719"/>
      <c r="D71" s="719"/>
      <c r="E71" s="719"/>
      <c r="F71" s="719"/>
      <c r="G71" s="719"/>
      <c r="H71" s="719"/>
      <c r="I71" s="719"/>
      <c r="J71" s="719"/>
      <c r="K71" s="719"/>
      <c r="L71" s="719"/>
      <c r="M71" s="719"/>
      <c r="N71" s="719"/>
      <c r="O71" s="719"/>
      <c r="P71" s="719"/>
      <c r="Q71" s="719"/>
      <c r="R71" s="719"/>
      <c r="S71" s="719"/>
      <c r="T71" s="719"/>
      <c r="U71" s="719"/>
      <c r="V71" s="719"/>
      <c r="W71" s="719"/>
      <c r="X71" s="719"/>
      <c r="Y71" s="719"/>
      <c r="Z71" s="719"/>
      <c r="AA71" s="719"/>
      <c r="AB71" s="719"/>
      <c r="AC71" s="719"/>
      <c r="AD71" s="719"/>
      <c r="AE71" s="719"/>
      <c r="AF71" s="719"/>
      <c r="AG71" s="719"/>
      <c r="AH71" s="719"/>
      <c r="AI71" s="719"/>
      <c r="AJ71" s="719"/>
      <c r="AK71" s="719"/>
      <c r="AL71" s="719"/>
      <c r="AM71" s="719"/>
      <c r="AN71" s="719"/>
      <c r="AO71" s="719"/>
      <c r="AP71" s="719"/>
      <c r="AQ71" s="719"/>
      <c r="AR71" s="719"/>
      <c r="AS71" s="719"/>
      <c r="AT71" s="719"/>
      <c r="AU71" s="719"/>
      <c r="AV71" s="719"/>
      <c r="AW71" s="719"/>
      <c r="AX71" s="719"/>
      <c r="AY71" s="719"/>
      <c r="AZ71" s="719"/>
      <c r="BA71" s="719"/>
      <c r="BB71" s="719"/>
      <c r="BC71" s="719"/>
      <c r="BD71" s="719"/>
      <c r="BE71" s="719"/>
      <c r="BF71" s="719"/>
      <c r="BG71" s="719"/>
      <c r="BH71" s="719"/>
      <c r="BI71" s="719"/>
      <c r="BJ71" s="719"/>
      <c r="BK71" s="719"/>
      <c r="BL71" s="719"/>
      <c r="BM71" s="719"/>
      <c r="BN71" s="719"/>
      <c r="BO71" s="719"/>
      <c r="BP71" s="719"/>
      <c r="BQ71" s="719"/>
      <c r="BR71" s="719"/>
      <c r="BS71" s="53"/>
      <c r="BT71" s="53"/>
    </row>
    <row r="72" spans="1:90" ht="84.95" hidden="1" customHeight="1" x14ac:dyDescent="0.25">
      <c r="A72" s="716"/>
      <c r="B72" s="1797"/>
      <c r="C72" s="1797"/>
      <c r="D72" s="1797"/>
      <c r="E72" s="1797"/>
      <c r="F72" s="716"/>
      <c r="G72" s="1797"/>
      <c r="H72" s="1797"/>
      <c r="I72" s="1797"/>
      <c r="J72" s="1797"/>
      <c r="K72" s="716"/>
      <c r="L72" s="1797"/>
      <c r="M72" s="1797"/>
      <c r="N72" s="1797"/>
      <c r="O72" s="1797"/>
      <c r="P72" s="716"/>
      <c r="Q72" s="1797"/>
      <c r="R72" s="1797"/>
      <c r="S72" s="1797"/>
      <c r="T72" s="1797"/>
      <c r="U72" s="716"/>
      <c r="V72" s="1797"/>
      <c r="W72" s="1797"/>
      <c r="X72" s="1797"/>
      <c r="Y72" s="1797"/>
      <c r="Z72" s="716"/>
      <c r="AA72" s="1797"/>
      <c r="AB72" s="1797"/>
      <c r="AC72" s="1797"/>
      <c r="AD72" s="1797"/>
      <c r="AE72" s="716"/>
      <c r="AF72" s="1797"/>
      <c r="AG72" s="1797"/>
      <c r="AH72" s="1797"/>
      <c r="AI72" s="1797"/>
      <c r="AJ72" s="719"/>
      <c r="AK72" s="719"/>
      <c r="AL72" s="719"/>
      <c r="AM72" s="719"/>
      <c r="AN72" s="719"/>
      <c r="AO72" s="719"/>
      <c r="AP72" s="719"/>
      <c r="AQ72" s="719"/>
      <c r="AR72" s="719"/>
      <c r="AS72" s="719"/>
      <c r="AT72" s="719"/>
      <c r="AU72" s="719"/>
      <c r="AV72" s="719"/>
      <c r="AW72" s="719"/>
      <c r="AX72" s="719"/>
      <c r="AY72" s="719"/>
      <c r="AZ72" s="719"/>
      <c r="BA72" s="719"/>
      <c r="BB72" s="719"/>
      <c r="BC72" s="719"/>
      <c r="BD72" s="719"/>
      <c r="BE72" s="719"/>
      <c r="BF72" s="719"/>
      <c r="BG72" s="719"/>
      <c r="BH72" s="719"/>
      <c r="BI72" s="719"/>
      <c r="BJ72" s="719"/>
      <c r="BK72" s="719"/>
      <c r="BL72" s="719"/>
      <c r="BM72" s="719"/>
      <c r="BN72" s="719"/>
      <c r="BO72" s="719"/>
      <c r="BP72" s="719"/>
      <c r="BQ72" s="719"/>
      <c r="BR72" s="719"/>
      <c r="BS72" s="53"/>
      <c r="BT72" s="53"/>
    </row>
    <row r="73" spans="1:90" ht="23.1" hidden="1" customHeight="1" x14ac:dyDescent="0.25">
      <c r="A73" s="716"/>
      <c r="B73" s="32"/>
      <c r="C73" s="33"/>
      <c r="D73" s="34"/>
      <c r="E73" s="35"/>
      <c r="F73" s="716"/>
      <c r="G73" s="32"/>
      <c r="H73" s="33"/>
      <c r="I73" s="34"/>
      <c r="J73" s="35"/>
      <c r="K73" s="716"/>
      <c r="L73" s="32"/>
      <c r="M73" s="33"/>
      <c r="N73" s="34"/>
      <c r="O73" s="35"/>
      <c r="P73" s="716"/>
      <c r="Q73" s="32"/>
      <c r="R73" s="33"/>
      <c r="S73" s="34"/>
      <c r="T73" s="35"/>
      <c r="U73" s="716"/>
      <c r="V73" s="32"/>
      <c r="W73" s="33"/>
      <c r="X73" s="34"/>
      <c r="Y73" s="35"/>
      <c r="Z73" s="716"/>
      <c r="AA73" s="32"/>
      <c r="AB73" s="33"/>
      <c r="AC73" s="34"/>
      <c r="AD73" s="35"/>
      <c r="AE73" s="716"/>
      <c r="AF73" s="32"/>
      <c r="AG73" s="33"/>
      <c r="AH73" s="34"/>
      <c r="AI73" s="35"/>
      <c r="AJ73" s="719"/>
      <c r="AK73" s="719"/>
      <c r="AL73" s="719"/>
      <c r="AM73" s="719"/>
      <c r="AN73" s="719"/>
      <c r="AO73" s="719"/>
      <c r="AP73" s="719"/>
      <c r="AQ73" s="719"/>
      <c r="AR73" s="719"/>
      <c r="AS73" s="719"/>
      <c r="AT73" s="719"/>
      <c r="AU73" s="719"/>
      <c r="AV73" s="719"/>
      <c r="AW73" s="719"/>
      <c r="AX73" s="719"/>
      <c r="AY73" s="719"/>
      <c r="AZ73" s="719"/>
      <c r="BA73" s="719"/>
      <c r="BB73" s="719"/>
      <c r="BC73" s="719"/>
      <c r="BD73" s="719"/>
      <c r="BE73" s="719"/>
      <c r="BF73" s="719"/>
      <c r="BG73" s="719"/>
      <c r="BH73" s="719"/>
      <c r="BI73" s="719"/>
      <c r="BJ73" s="719"/>
      <c r="BK73" s="719"/>
      <c r="BL73" s="719"/>
      <c r="BM73" s="719"/>
      <c r="BN73" s="719"/>
      <c r="BO73" s="719"/>
      <c r="BP73" s="719"/>
      <c r="BQ73" s="719"/>
      <c r="BR73" s="719"/>
    </row>
    <row r="74" spans="1:90" ht="18.600000000000001" hidden="1" customHeight="1" x14ac:dyDescent="0.25">
      <c r="A74" s="719"/>
      <c r="B74" s="719"/>
      <c r="C74" s="1300"/>
      <c r="D74" s="1300"/>
      <c r="E74" s="1300"/>
      <c r="F74" s="719"/>
      <c r="G74" s="719"/>
      <c r="H74" s="1300"/>
      <c r="I74" s="1300"/>
      <c r="J74" s="1300"/>
      <c r="K74" s="719"/>
      <c r="L74" s="719"/>
      <c r="M74" s="1300"/>
      <c r="N74" s="1300"/>
      <c r="O74" s="1300"/>
      <c r="P74" s="719"/>
      <c r="Q74" s="719"/>
      <c r="R74" s="1300"/>
      <c r="S74" s="1300"/>
      <c r="T74" s="1300"/>
      <c r="U74" s="719"/>
      <c r="V74" s="719"/>
      <c r="W74" s="1300"/>
      <c r="X74" s="1300"/>
      <c r="Y74" s="1300"/>
      <c r="Z74" s="719"/>
      <c r="AA74" s="719"/>
      <c r="AB74" s="1300"/>
      <c r="AC74" s="1300"/>
      <c r="AD74" s="1300"/>
      <c r="AE74" s="719"/>
      <c r="AF74" s="719"/>
      <c r="AG74" s="1300"/>
      <c r="AH74" s="1300"/>
      <c r="AI74" s="1300"/>
      <c r="AJ74" s="719"/>
      <c r="AK74" s="719"/>
      <c r="AL74" s="719"/>
      <c r="AM74" s="719"/>
      <c r="AN74" s="719"/>
      <c r="AO74" s="719"/>
      <c r="AP74" s="719"/>
      <c r="AQ74" s="719"/>
      <c r="AR74" s="719"/>
      <c r="AS74" s="719"/>
      <c r="AT74" s="719"/>
      <c r="AU74" s="719"/>
      <c r="AV74" s="719"/>
      <c r="AW74" s="719"/>
      <c r="AX74" s="719"/>
      <c r="AY74" s="719"/>
      <c r="AZ74" s="719"/>
      <c r="BA74" s="719"/>
      <c r="BB74" s="719"/>
      <c r="BC74" s="719"/>
      <c r="BD74" s="719"/>
      <c r="BE74" s="719"/>
      <c r="BF74" s="719"/>
      <c r="BG74" s="719"/>
      <c r="BH74" s="719"/>
      <c r="BI74" s="719"/>
      <c r="BJ74" s="719"/>
      <c r="BK74" s="719"/>
      <c r="BL74" s="719"/>
      <c r="BM74" s="719"/>
      <c r="BN74" s="719"/>
      <c r="BO74" s="719"/>
      <c r="BP74" s="719"/>
      <c r="BQ74" s="719"/>
      <c r="BR74" s="719"/>
    </row>
    <row r="75" spans="1:90" ht="18.600000000000001" hidden="1" customHeight="1" x14ac:dyDescent="0.25">
      <c r="A75" s="719"/>
      <c r="B75" s="719"/>
      <c r="C75" s="1300"/>
      <c r="D75" s="1300"/>
      <c r="E75" s="1300"/>
      <c r="F75" s="719"/>
      <c r="G75" s="719"/>
      <c r="H75" s="1300"/>
      <c r="I75" s="1300"/>
      <c r="J75" s="1300"/>
      <c r="K75" s="719"/>
      <c r="L75" s="719"/>
      <c r="M75" s="1300"/>
      <c r="N75" s="1300"/>
      <c r="O75" s="1300"/>
      <c r="P75" s="719"/>
      <c r="Q75" s="719"/>
      <c r="R75" s="1300"/>
      <c r="S75" s="1300"/>
      <c r="T75" s="1300"/>
      <c r="U75" s="719"/>
      <c r="V75" s="719"/>
      <c r="W75" s="1300"/>
      <c r="X75" s="1300"/>
      <c r="Y75" s="1300"/>
      <c r="Z75" s="719"/>
      <c r="AA75" s="719"/>
      <c r="AB75" s="1300"/>
      <c r="AC75" s="1300"/>
      <c r="AD75" s="1300"/>
      <c r="AE75" s="719"/>
      <c r="AF75" s="719"/>
      <c r="AG75" s="1300"/>
      <c r="AH75" s="1300"/>
      <c r="AI75" s="1300"/>
      <c r="AJ75" s="719"/>
      <c r="AK75" s="719"/>
      <c r="AL75" s="719"/>
      <c r="AM75" s="719"/>
      <c r="AN75" s="719"/>
      <c r="AO75" s="719"/>
      <c r="AP75" s="719"/>
      <c r="AQ75" s="719"/>
      <c r="AR75" s="719"/>
      <c r="AS75" s="719"/>
      <c r="AT75" s="719"/>
      <c r="AU75" s="719"/>
      <c r="AV75" s="719"/>
      <c r="AW75" s="719"/>
      <c r="AX75" s="719"/>
      <c r="AY75" s="719"/>
      <c r="AZ75" s="719"/>
      <c r="BA75" s="719"/>
      <c r="BB75" s="719"/>
      <c r="BC75" s="719"/>
      <c r="BD75" s="719"/>
      <c r="BE75" s="719"/>
      <c r="BF75" s="719"/>
      <c r="BG75" s="719"/>
      <c r="BH75" s="719"/>
      <c r="BI75" s="719"/>
      <c r="BJ75" s="719"/>
      <c r="BK75" s="719"/>
      <c r="BL75" s="719"/>
      <c r="BM75" s="719"/>
      <c r="BN75" s="719"/>
      <c r="BO75" s="719"/>
      <c r="BP75" s="719"/>
      <c r="BQ75" s="719"/>
      <c r="BR75" s="719"/>
    </row>
    <row r="76" spans="1:90" ht="9.9499999999999993" hidden="1" customHeight="1" x14ac:dyDescent="0.25">
      <c r="A76" s="719"/>
      <c r="B76" s="719"/>
      <c r="C76" s="719"/>
      <c r="D76" s="719"/>
      <c r="E76" s="719"/>
      <c r="F76" s="719"/>
      <c r="G76" s="719"/>
      <c r="H76" s="719"/>
      <c r="I76" s="719"/>
      <c r="J76" s="719"/>
      <c r="K76" s="719"/>
      <c r="L76" s="719"/>
      <c r="M76" s="719"/>
      <c r="N76" s="719"/>
      <c r="O76" s="719"/>
      <c r="P76" s="719"/>
      <c r="Q76" s="719"/>
      <c r="R76" s="719"/>
      <c r="S76" s="719"/>
      <c r="T76" s="719"/>
      <c r="U76" s="719"/>
      <c r="V76" s="719"/>
      <c r="W76" s="719"/>
      <c r="X76" s="719"/>
      <c r="Y76" s="719"/>
      <c r="Z76" s="719"/>
      <c r="AA76" s="719"/>
      <c r="AB76" s="719"/>
      <c r="AC76" s="719"/>
      <c r="AD76" s="719"/>
      <c r="AE76" s="719"/>
      <c r="AF76" s="719"/>
      <c r="AG76" s="719"/>
      <c r="AH76" s="719"/>
      <c r="AI76" s="719"/>
      <c r="AJ76" s="719"/>
      <c r="AK76" s="719"/>
      <c r="AL76" s="719"/>
      <c r="AM76" s="719"/>
      <c r="AN76" s="719"/>
      <c r="AO76" s="719"/>
      <c r="AP76" s="719"/>
      <c r="AQ76" s="719"/>
      <c r="AR76" s="719"/>
      <c r="AS76" s="719"/>
      <c r="AT76" s="719"/>
      <c r="AU76" s="719"/>
      <c r="AV76" s="719"/>
      <c r="AW76" s="719"/>
      <c r="AX76" s="719"/>
      <c r="AY76" s="719"/>
      <c r="AZ76" s="719"/>
      <c r="BA76" s="719"/>
      <c r="BB76" s="719"/>
      <c r="BC76" s="719"/>
      <c r="BD76" s="719"/>
      <c r="BE76" s="719"/>
      <c r="BF76" s="719"/>
      <c r="BG76" s="719"/>
      <c r="BH76" s="719"/>
      <c r="BI76" s="719"/>
      <c r="BJ76" s="719"/>
      <c r="BK76" s="719"/>
      <c r="BL76" s="719"/>
      <c r="BM76" s="719"/>
      <c r="BN76" s="719"/>
      <c r="BO76" s="719"/>
      <c r="BP76" s="719"/>
      <c r="BQ76" s="719"/>
      <c r="BR76" s="719"/>
    </row>
    <row r="77" spans="1:90" ht="9.9499999999999993" hidden="1" customHeight="1" x14ac:dyDescent="0.25">
      <c r="A77" s="719"/>
      <c r="B77" s="719"/>
      <c r="C77" s="719"/>
      <c r="D77" s="719"/>
      <c r="E77" s="719"/>
      <c r="F77" s="719"/>
      <c r="G77" s="719"/>
      <c r="H77" s="719"/>
      <c r="I77" s="719"/>
      <c r="J77" s="719"/>
      <c r="K77" s="719"/>
      <c r="L77" s="719"/>
      <c r="M77" s="719"/>
      <c r="N77" s="719"/>
      <c r="O77" s="719"/>
      <c r="P77" s="719"/>
      <c r="Q77" s="719"/>
      <c r="R77" s="719"/>
      <c r="S77" s="719"/>
      <c r="T77" s="719"/>
      <c r="U77" s="719"/>
      <c r="V77" s="719"/>
      <c r="W77" s="719"/>
      <c r="X77" s="719"/>
      <c r="Y77" s="719"/>
      <c r="Z77" s="719"/>
      <c r="AA77" s="719"/>
      <c r="AB77" s="719"/>
      <c r="AC77" s="719"/>
      <c r="AD77" s="719"/>
      <c r="AE77" s="719"/>
      <c r="AF77" s="719"/>
      <c r="AG77" s="719"/>
      <c r="AH77" s="719"/>
      <c r="AI77" s="719"/>
      <c r="AJ77" s="719"/>
      <c r="AK77" s="719"/>
      <c r="AL77" s="719"/>
      <c r="AM77" s="719"/>
      <c r="AN77" s="719"/>
      <c r="AO77" s="719"/>
      <c r="AP77" s="719"/>
      <c r="AQ77" s="719"/>
      <c r="AR77" s="719"/>
      <c r="AS77" s="719"/>
      <c r="AT77" s="719"/>
      <c r="AU77" s="719"/>
      <c r="AV77" s="719"/>
      <c r="AW77" s="719"/>
      <c r="AX77" s="719"/>
      <c r="AY77" s="719"/>
      <c r="AZ77" s="719"/>
      <c r="BA77" s="719"/>
      <c r="BB77" s="719"/>
      <c r="BC77" s="719"/>
      <c r="BD77" s="719"/>
      <c r="BE77" s="719"/>
      <c r="BF77" s="719"/>
      <c r="BG77" s="719"/>
      <c r="BH77" s="719"/>
      <c r="BI77" s="719"/>
      <c r="BJ77" s="719"/>
      <c r="BK77" s="719"/>
      <c r="BL77" s="719"/>
      <c r="BM77" s="719"/>
      <c r="BN77" s="719"/>
      <c r="BO77" s="719"/>
      <c r="BP77" s="719"/>
      <c r="BQ77" s="719"/>
      <c r="BR77" s="719"/>
    </row>
    <row r="78" spans="1:90" ht="84.95" hidden="1" customHeight="1" x14ac:dyDescent="0.25">
      <c r="A78" s="716"/>
      <c r="B78" s="1797"/>
      <c r="C78" s="1797"/>
      <c r="D78" s="1797"/>
      <c r="E78" s="1797"/>
      <c r="F78" s="716"/>
      <c r="G78" s="1797"/>
      <c r="H78" s="1797"/>
      <c r="I78" s="1797"/>
      <c r="J78" s="1797"/>
      <c r="K78" s="716"/>
      <c r="L78" s="1797"/>
      <c r="M78" s="1797"/>
      <c r="N78" s="1797"/>
      <c r="O78" s="1797"/>
      <c r="P78" s="716"/>
      <c r="Q78" s="1797"/>
      <c r="R78" s="1797"/>
      <c r="S78" s="1797"/>
      <c r="T78" s="1797"/>
      <c r="U78" s="716"/>
      <c r="V78" s="1797"/>
      <c r="W78" s="1797"/>
      <c r="X78" s="1797"/>
      <c r="Y78" s="1797"/>
      <c r="Z78" s="716"/>
      <c r="AA78" s="1797"/>
      <c r="AB78" s="1797"/>
      <c r="AC78" s="1797"/>
      <c r="AD78" s="1797"/>
      <c r="AE78" s="716"/>
      <c r="AF78" s="1797"/>
      <c r="AG78" s="1797"/>
      <c r="AH78" s="1797"/>
      <c r="AI78" s="1797"/>
      <c r="AJ78" s="719"/>
      <c r="AK78" s="719"/>
      <c r="AL78" s="719"/>
      <c r="AM78" s="719"/>
      <c r="AN78" s="719"/>
      <c r="AO78" s="719"/>
      <c r="AP78" s="719"/>
      <c r="AQ78" s="719"/>
      <c r="AR78" s="719"/>
      <c r="AS78" s="719"/>
      <c r="AT78" s="719"/>
      <c r="AU78" s="719"/>
      <c r="AV78" s="719"/>
      <c r="AW78" s="719"/>
      <c r="AX78" s="719"/>
      <c r="AY78" s="719"/>
      <c r="AZ78" s="719"/>
      <c r="BA78" s="719"/>
      <c r="BB78" s="719"/>
      <c r="BC78" s="719"/>
      <c r="BD78" s="719"/>
      <c r="BE78" s="719"/>
      <c r="BF78" s="719"/>
      <c r="BG78" s="719"/>
      <c r="BH78" s="719"/>
      <c r="BI78" s="719"/>
      <c r="BJ78" s="719"/>
      <c r="BK78" s="719"/>
      <c r="BL78" s="719"/>
      <c r="BM78" s="719"/>
      <c r="BN78" s="719"/>
      <c r="BO78" s="719"/>
      <c r="BP78" s="719"/>
      <c r="BQ78" s="719"/>
      <c r="BR78" s="719"/>
    </row>
    <row r="79" spans="1:90" ht="23.1" hidden="1" customHeight="1" x14ac:dyDescent="0.25">
      <c r="A79" s="716"/>
      <c r="B79" s="32"/>
      <c r="C79" s="33"/>
      <c r="D79" s="34"/>
      <c r="E79" s="35"/>
      <c r="F79" s="716"/>
      <c r="G79" s="32"/>
      <c r="H79" s="33"/>
      <c r="I79" s="34"/>
      <c r="J79" s="35"/>
      <c r="K79" s="716"/>
      <c r="L79" s="32"/>
      <c r="M79" s="33"/>
      <c r="N79" s="34"/>
      <c r="O79" s="35"/>
      <c r="P79" s="716"/>
      <c r="Q79" s="32"/>
      <c r="R79" s="33"/>
      <c r="S79" s="34"/>
      <c r="T79" s="35"/>
      <c r="U79" s="716"/>
      <c r="V79" s="32"/>
      <c r="W79" s="33"/>
      <c r="X79" s="34"/>
      <c r="Y79" s="35"/>
      <c r="Z79" s="716"/>
      <c r="AA79" s="32"/>
      <c r="AB79" s="33"/>
      <c r="AC79" s="34"/>
      <c r="AD79" s="35"/>
      <c r="AE79" s="716"/>
      <c r="AF79" s="32"/>
      <c r="AG79" s="33"/>
      <c r="AH79" s="34"/>
      <c r="AI79" s="35"/>
      <c r="AJ79" s="719"/>
      <c r="AK79" s="719"/>
      <c r="AL79" s="719"/>
      <c r="AM79" s="719"/>
      <c r="AN79" s="719"/>
      <c r="AO79" s="719"/>
      <c r="AP79" s="719"/>
      <c r="AQ79" s="719"/>
      <c r="AR79" s="719"/>
      <c r="AS79" s="719"/>
      <c r="AT79" s="719"/>
      <c r="AU79" s="719"/>
      <c r="AV79" s="719"/>
      <c r="AW79" s="719"/>
      <c r="AX79" s="719"/>
      <c r="AY79" s="719"/>
      <c r="AZ79" s="719"/>
      <c r="BA79" s="719"/>
      <c r="BB79" s="719"/>
      <c r="BC79" s="719"/>
      <c r="BD79" s="719"/>
      <c r="BE79" s="719"/>
      <c r="BF79" s="719"/>
      <c r="BG79" s="719"/>
      <c r="BH79" s="719"/>
      <c r="BI79" s="719"/>
      <c r="BJ79" s="719"/>
      <c r="BK79" s="719"/>
      <c r="BL79" s="719"/>
      <c r="BM79" s="719"/>
      <c r="BN79" s="719"/>
      <c r="BO79" s="719"/>
      <c r="BP79" s="719"/>
      <c r="BQ79" s="719"/>
      <c r="BR79" s="719"/>
    </row>
    <row r="80" spans="1:90" ht="18.600000000000001" hidden="1" customHeight="1" x14ac:dyDescent="0.25">
      <c r="A80" s="719"/>
      <c r="B80" s="719"/>
      <c r="C80" s="1300"/>
      <c r="D80" s="1300"/>
      <c r="E80" s="1300"/>
      <c r="F80" s="719"/>
      <c r="G80" s="719"/>
      <c r="H80" s="1300"/>
      <c r="I80" s="1300"/>
      <c r="J80" s="1300"/>
      <c r="K80" s="719"/>
      <c r="L80" s="719"/>
      <c r="M80" s="1300"/>
      <c r="N80" s="1300"/>
      <c r="O80" s="1300"/>
      <c r="P80" s="719"/>
      <c r="Q80" s="719"/>
      <c r="R80" s="1300"/>
      <c r="S80" s="1300"/>
      <c r="T80" s="1300"/>
      <c r="U80" s="719"/>
      <c r="V80" s="719"/>
      <c r="W80" s="1300"/>
      <c r="X80" s="1300"/>
      <c r="Y80" s="1300"/>
      <c r="Z80" s="719"/>
      <c r="AA80" s="719"/>
      <c r="AB80" s="1300"/>
      <c r="AC80" s="1300"/>
      <c r="AD80" s="1300"/>
      <c r="AE80" s="719"/>
      <c r="AF80" s="719"/>
      <c r="AG80" s="1300"/>
      <c r="AH80" s="1300"/>
      <c r="AI80" s="1300"/>
      <c r="AJ80" s="719"/>
      <c r="AK80" s="719"/>
      <c r="AL80" s="719"/>
      <c r="AM80" s="719"/>
      <c r="AN80" s="719"/>
      <c r="AO80" s="719"/>
      <c r="AP80" s="719"/>
      <c r="AQ80" s="719"/>
      <c r="AR80" s="719"/>
      <c r="AS80" s="719"/>
      <c r="AT80" s="719"/>
      <c r="AU80" s="719"/>
      <c r="AV80" s="719"/>
      <c r="AW80" s="719"/>
      <c r="AX80" s="719"/>
      <c r="AY80" s="719"/>
      <c r="AZ80" s="719"/>
      <c r="BA80" s="719"/>
      <c r="BB80" s="719"/>
      <c r="BC80" s="719"/>
      <c r="BD80" s="719"/>
      <c r="BE80" s="719"/>
      <c r="BF80" s="719"/>
      <c r="BG80" s="719"/>
      <c r="BH80" s="719"/>
      <c r="BI80" s="719"/>
      <c r="BJ80" s="719"/>
      <c r="BK80" s="719"/>
      <c r="BL80" s="719"/>
      <c r="BM80" s="719"/>
      <c r="BN80" s="719"/>
      <c r="BO80" s="719"/>
      <c r="BP80" s="719"/>
      <c r="BQ80" s="719"/>
      <c r="BR80" s="719"/>
    </row>
    <row r="81" spans="1:70" ht="18.600000000000001" hidden="1" customHeight="1" x14ac:dyDescent="0.25">
      <c r="A81" s="719"/>
      <c r="B81" s="719"/>
      <c r="C81" s="1300"/>
      <c r="D81" s="1300"/>
      <c r="E81" s="1300"/>
      <c r="F81" s="719"/>
      <c r="G81" s="719"/>
      <c r="H81" s="1300"/>
      <c r="I81" s="1300"/>
      <c r="J81" s="1300"/>
      <c r="K81" s="719"/>
      <c r="L81" s="719"/>
      <c r="M81" s="1300"/>
      <c r="N81" s="1300"/>
      <c r="O81" s="1300"/>
      <c r="P81" s="719"/>
      <c r="Q81" s="719"/>
      <c r="R81" s="1300"/>
      <c r="S81" s="1300"/>
      <c r="T81" s="1300"/>
      <c r="U81" s="719"/>
      <c r="V81" s="719"/>
      <c r="W81" s="1300"/>
      <c r="X81" s="1300"/>
      <c r="Y81" s="1300"/>
      <c r="Z81" s="719"/>
      <c r="AA81" s="719"/>
      <c r="AB81" s="1300"/>
      <c r="AC81" s="1300"/>
      <c r="AD81" s="1300"/>
      <c r="AE81" s="719"/>
      <c r="AF81" s="719"/>
      <c r="AG81" s="1300"/>
      <c r="AH81" s="1300"/>
      <c r="AI81" s="1300"/>
      <c r="AJ81" s="719"/>
      <c r="AK81" s="719"/>
      <c r="AL81" s="719"/>
      <c r="AM81" s="719"/>
      <c r="AN81" s="719"/>
      <c r="AO81" s="719"/>
      <c r="AP81" s="719"/>
      <c r="AQ81" s="719"/>
      <c r="AR81" s="719"/>
      <c r="AS81" s="719"/>
      <c r="AT81" s="719"/>
      <c r="AU81" s="719"/>
      <c r="AV81" s="719"/>
      <c r="AW81" s="719"/>
      <c r="AX81" s="719"/>
      <c r="AY81" s="719"/>
      <c r="AZ81" s="719"/>
      <c r="BA81" s="719"/>
      <c r="BB81" s="719"/>
      <c r="BC81" s="719"/>
      <c r="BD81" s="719"/>
      <c r="BE81" s="719"/>
      <c r="BF81" s="719"/>
      <c r="BG81" s="719"/>
      <c r="BH81" s="719"/>
      <c r="BI81" s="719"/>
      <c r="BJ81" s="719"/>
      <c r="BK81" s="719"/>
      <c r="BL81" s="719"/>
      <c r="BM81" s="719"/>
      <c r="BN81" s="719"/>
      <c r="BO81" s="719"/>
      <c r="BP81" s="719"/>
      <c r="BQ81" s="719"/>
      <c r="BR81" s="719"/>
    </row>
    <row r="82" spans="1:70" ht="9.9499999999999993" hidden="1" customHeight="1" x14ac:dyDescent="0.25">
      <c r="A82" s="719"/>
      <c r="B82" s="719"/>
      <c r="C82" s="719"/>
      <c r="D82" s="719"/>
      <c r="E82" s="719"/>
      <c r="F82" s="719"/>
      <c r="G82" s="719"/>
      <c r="H82" s="719"/>
      <c r="I82" s="719"/>
      <c r="J82" s="719"/>
      <c r="K82" s="719"/>
      <c r="L82" s="719"/>
      <c r="M82" s="719"/>
      <c r="N82" s="719"/>
      <c r="O82" s="719"/>
      <c r="P82" s="719"/>
      <c r="Q82" s="719"/>
      <c r="R82" s="719"/>
      <c r="S82" s="719"/>
      <c r="T82" s="719"/>
      <c r="U82" s="719"/>
      <c r="V82" s="719"/>
      <c r="W82" s="719"/>
      <c r="X82" s="719"/>
      <c r="Y82" s="719"/>
      <c r="Z82" s="719"/>
      <c r="AA82" s="719"/>
      <c r="AB82" s="719"/>
      <c r="AC82" s="719"/>
      <c r="AD82" s="719"/>
      <c r="AE82" s="719"/>
      <c r="AF82" s="719"/>
      <c r="AG82" s="719"/>
      <c r="AH82" s="719"/>
      <c r="AI82" s="719"/>
      <c r="AJ82" s="719"/>
      <c r="AK82" s="719"/>
      <c r="AL82" s="719"/>
      <c r="AM82" s="719"/>
      <c r="AN82" s="719"/>
      <c r="AO82" s="719"/>
      <c r="AP82" s="719"/>
      <c r="AQ82" s="719"/>
      <c r="AR82" s="719"/>
      <c r="AS82" s="719"/>
      <c r="AT82" s="719"/>
      <c r="AU82" s="719"/>
      <c r="AV82" s="719"/>
      <c r="AW82" s="719"/>
      <c r="AX82" s="719"/>
      <c r="AY82" s="719"/>
      <c r="AZ82" s="719"/>
      <c r="BA82" s="719"/>
      <c r="BB82" s="719"/>
      <c r="BC82" s="719"/>
      <c r="BD82" s="719"/>
      <c r="BE82" s="719"/>
      <c r="BF82" s="719"/>
      <c r="BG82" s="719"/>
      <c r="BH82" s="719"/>
      <c r="BI82" s="719"/>
      <c r="BJ82" s="719"/>
      <c r="BK82" s="719"/>
      <c r="BL82" s="719"/>
      <c r="BM82" s="719"/>
      <c r="BN82" s="719"/>
      <c r="BO82" s="719"/>
      <c r="BP82" s="719"/>
      <c r="BQ82" s="719"/>
      <c r="BR82" s="719"/>
    </row>
    <row r="83" spans="1:70" ht="9.9499999999999993" hidden="1" customHeight="1" x14ac:dyDescent="0.25">
      <c r="A83" s="719"/>
      <c r="B83" s="719"/>
      <c r="C83" s="719"/>
      <c r="D83" s="719"/>
      <c r="E83" s="719"/>
      <c r="F83" s="719"/>
      <c r="G83" s="719"/>
      <c r="H83" s="719"/>
      <c r="I83" s="719"/>
      <c r="J83" s="719"/>
      <c r="K83" s="719"/>
      <c r="L83" s="719"/>
      <c r="M83" s="719"/>
      <c r="N83" s="719"/>
      <c r="O83" s="719"/>
      <c r="P83" s="719"/>
      <c r="Q83" s="719"/>
      <c r="R83" s="719"/>
      <c r="S83" s="719"/>
      <c r="T83" s="719"/>
      <c r="U83" s="719"/>
      <c r="V83" s="719"/>
      <c r="W83" s="719"/>
      <c r="X83" s="719"/>
      <c r="Y83" s="719"/>
      <c r="Z83" s="719"/>
      <c r="AA83" s="719"/>
      <c r="AB83" s="719"/>
      <c r="AC83" s="719"/>
      <c r="AD83" s="719"/>
      <c r="AE83" s="719"/>
      <c r="AF83" s="719"/>
      <c r="AG83" s="719"/>
      <c r="AH83" s="719"/>
      <c r="AI83" s="719"/>
      <c r="AJ83" s="719"/>
      <c r="AK83" s="719"/>
      <c r="AL83" s="719"/>
      <c r="AM83" s="719"/>
      <c r="AN83" s="719"/>
      <c r="AO83" s="719"/>
      <c r="AP83" s="719"/>
      <c r="AQ83" s="719"/>
      <c r="AR83" s="719"/>
      <c r="AS83" s="719"/>
      <c r="AT83" s="719"/>
      <c r="AU83" s="719"/>
      <c r="AV83" s="719"/>
      <c r="AW83" s="719"/>
      <c r="AX83" s="719"/>
      <c r="AY83" s="719"/>
      <c r="AZ83" s="719"/>
      <c r="BA83" s="719"/>
      <c r="BB83" s="719"/>
      <c r="BC83" s="719"/>
      <c r="BD83" s="719"/>
      <c r="BE83" s="719"/>
      <c r="BF83" s="719"/>
      <c r="BG83" s="719"/>
      <c r="BH83" s="719"/>
      <c r="BI83" s="719"/>
      <c r="BJ83" s="719"/>
      <c r="BK83" s="719"/>
      <c r="BL83" s="719"/>
      <c r="BM83" s="719"/>
      <c r="BN83" s="719"/>
      <c r="BO83" s="719"/>
      <c r="BP83" s="719"/>
      <c r="BQ83" s="719"/>
      <c r="BR83" s="719"/>
    </row>
    <row r="84" spans="1:70" ht="84.95" hidden="1" customHeight="1" x14ac:dyDescent="0.25">
      <c r="A84" s="716"/>
      <c r="B84" s="1797"/>
      <c r="C84" s="1797"/>
      <c r="D84" s="1797"/>
      <c r="E84" s="1797"/>
      <c r="F84" s="716"/>
      <c r="G84" s="1797"/>
      <c r="H84" s="1797"/>
      <c r="I84" s="1797"/>
      <c r="J84" s="1797"/>
      <c r="K84" s="716"/>
      <c r="L84" s="1797"/>
      <c r="M84" s="1797"/>
      <c r="N84" s="1797"/>
      <c r="O84" s="1797"/>
      <c r="P84" s="716"/>
      <c r="Q84" s="1797"/>
      <c r="R84" s="1797"/>
      <c r="S84" s="1797"/>
      <c r="T84" s="1797"/>
      <c r="U84" s="716"/>
      <c r="V84" s="1797"/>
      <c r="W84" s="1797"/>
      <c r="X84" s="1797"/>
      <c r="Y84" s="1797"/>
      <c r="Z84" s="716"/>
      <c r="AA84" s="1797"/>
      <c r="AB84" s="1797"/>
      <c r="AC84" s="1797"/>
      <c r="AD84" s="1797"/>
      <c r="AE84" s="716"/>
      <c r="AF84" s="1797"/>
      <c r="AG84" s="1797"/>
      <c r="AH84" s="1797"/>
      <c r="AI84" s="1797"/>
      <c r="AJ84" s="719"/>
      <c r="AK84" s="719"/>
      <c r="AL84" s="719"/>
      <c r="AM84" s="719"/>
      <c r="AN84" s="719"/>
      <c r="AO84" s="719"/>
      <c r="AP84" s="719"/>
      <c r="AQ84" s="719"/>
      <c r="AR84" s="719"/>
      <c r="AS84" s="719"/>
      <c r="AT84" s="719"/>
      <c r="AU84" s="719"/>
      <c r="AV84" s="719"/>
      <c r="AW84" s="719"/>
      <c r="AX84" s="719"/>
      <c r="AY84" s="719"/>
      <c r="AZ84" s="719"/>
      <c r="BA84" s="719"/>
      <c r="BB84" s="719"/>
      <c r="BC84" s="719"/>
      <c r="BD84" s="719"/>
      <c r="BE84" s="719"/>
      <c r="BF84" s="719"/>
      <c r="BG84" s="719"/>
      <c r="BH84" s="719"/>
      <c r="BI84" s="719"/>
      <c r="BJ84" s="719"/>
      <c r="BK84" s="719"/>
      <c r="BL84" s="719"/>
      <c r="BM84" s="719"/>
      <c r="BN84" s="719"/>
      <c r="BO84" s="719"/>
      <c r="BP84" s="719"/>
      <c r="BQ84" s="719"/>
      <c r="BR84" s="719"/>
    </row>
    <row r="85" spans="1:70" ht="23.1" hidden="1" customHeight="1" x14ac:dyDescent="0.25">
      <c r="A85" s="716"/>
      <c r="B85" s="32"/>
      <c r="C85" s="33"/>
      <c r="D85" s="34"/>
      <c r="E85" s="35"/>
      <c r="F85" s="716"/>
      <c r="G85" s="32"/>
      <c r="H85" s="33"/>
      <c r="I85" s="34"/>
      <c r="J85" s="35"/>
      <c r="K85" s="716"/>
      <c r="L85" s="32"/>
      <c r="M85" s="33"/>
      <c r="N85" s="34"/>
      <c r="O85" s="35"/>
      <c r="P85" s="716"/>
      <c r="Q85" s="32"/>
      <c r="R85" s="33"/>
      <c r="S85" s="34"/>
      <c r="T85" s="35"/>
      <c r="U85" s="716"/>
      <c r="V85" s="32"/>
      <c r="W85" s="33"/>
      <c r="X85" s="34"/>
      <c r="Y85" s="35"/>
      <c r="Z85" s="716"/>
      <c r="AA85" s="32"/>
      <c r="AB85" s="33"/>
      <c r="AC85" s="34"/>
      <c r="AD85" s="35"/>
      <c r="AE85" s="716"/>
      <c r="AF85" s="32"/>
      <c r="AG85" s="33"/>
      <c r="AH85" s="34"/>
      <c r="AI85" s="35"/>
      <c r="AJ85" s="719"/>
      <c r="AK85" s="719"/>
      <c r="AL85" s="719"/>
      <c r="AM85" s="719"/>
      <c r="AN85" s="719"/>
      <c r="AO85" s="719"/>
      <c r="AP85" s="719"/>
      <c r="AQ85" s="719"/>
      <c r="AR85" s="719"/>
      <c r="AS85" s="719"/>
      <c r="AT85" s="719"/>
      <c r="AU85" s="719"/>
      <c r="AV85" s="719"/>
      <c r="AW85" s="719"/>
      <c r="AX85" s="719"/>
      <c r="AY85" s="719"/>
      <c r="AZ85" s="719"/>
      <c r="BA85" s="719"/>
      <c r="BB85" s="719"/>
      <c r="BC85" s="719"/>
      <c r="BD85" s="719"/>
      <c r="BE85" s="719"/>
      <c r="BF85" s="719"/>
      <c r="BG85" s="719"/>
      <c r="BH85" s="719"/>
      <c r="BI85" s="719"/>
      <c r="BJ85" s="719"/>
      <c r="BK85" s="719"/>
      <c r="BL85" s="719"/>
      <c r="BM85" s="719"/>
      <c r="BN85" s="719"/>
      <c r="BO85" s="719"/>
      <c r="BP85" s="719"/>
      <c r="BQ85" s="719"/>
      <c r="BR85" s="719"/>
    </row>
    <row r="86" spans="1:70" ht="18.600000000000001" hidden="1" customHeight="1" x14ac:dyDescent="0.25">
      <c r="A86" s="719"/>
      <c r="B86" s="719"/>
      <c r="C86" s="1300"/>
      <c r="D86" s="1300"/>
      <c r="E86" s="1300"/>
      <c r="F86" s="719"/>
      <c r="G86" s="719"/>
      <c r="H86" s="1300"/>
      <c r="I86" s="1300"/>
      <c r="J86" s="1300"/>
      <c r="K86" s="719"/>
      <c r="L86" s="719"/>
      <c r="M86" s="1300"/>
      <c r="N86" s="1300"/>
      <c r="O86" s="1300"/>
      <c r="P86" s="719"/>
      <c r="Q86" s="719"/>
      <c r="R86" s="1300"/>
      <c r="S86" s="1300"/>
      <c r="T86" s="1300"/>
      <c r="U86" s="719"/>
      <c r="V86" s="719"/>
      <c r="W86" s="1300"/>
      <c r="X86" s="1300"/>
      <c r="Y86" s="1300"/>
      <c r="Z86" s="719"/>
      <c r="AA86" s="719"/>
      <c r="AB86" s="1300"/>
      <c r="AC86" s="1300"/>
      <c r="AD86" s="1300"/>
      <c r="AE86" s="719"/>
      <c r="AF86" s="719"/>
      <c r="AG86" s="1300"/>
      <c r="AH86" s="1300"/>
      <c r="AI86" s="1300"/>
      <c r="AJ86" s="719"/>
      <c r="AK86" s="719"/>
      <c r="AL86" s="719"/>
      <c r="AM86" s="719"/>
      <c r="AN86" s="719"/>
      <c r="AO86" s="719"/>
      <c r="AP86" s="719"/>
      <c r="AQ86" s="719"/>
      <c r="AR86" s="719"/>
      <c r="AS86" s="719"/>
      <c r="AT86" s="719"/>
      <c r="AU86" s="719"/>
      <c r="AV86" s="719"/>
      <c r="AW86" s="719"/>
      <c r="AX86" s="719"/>
      <c r="AY86" s="719"/>
      <c r="AZ86" s="719"/>
      <c r="BA86" s="719"/>
      <c r="BB86" s="719"/>
      <c r="BC86" s="719"/>
      <c r="BD86" s="719"/>
      <c r="BE86" s="719"/>
      <c r="BF86" s="719"/>
      <c r="BG86" s="719"/>
      <c r="BH86" s="719"/>
      <c r="BI86" s="719"/>
      <c r="BJ86" s="719"/>
      <c r="BK86" s="719"/>
      <c r="BL86" s="719"/>
      <c r="BM86" s="719"/>
      <c r="BN86" s="719"/>
      <c r="BO86" s="719"/>
      <c r="BP86" s="719"/>
      <c r="BQ86" s="719"/>
      <c r="BR86" s="719"/>
    </row>
    <row r="87" spans="1:70" ht="18.600000000000001" hidden="1" customHeight="1" x14ac:dyDescent="0.25">
      <c r="A87" s="719"/>
      <c r="B87" s="719"/>
      <c r="C87" s="1300"/>
      <c r="D87" s="1300"/>
      <c r="E87" s="1300"/>
      <c r="F87" s="719"/>
      <c r="G87" s="719"/>
      <c r="H87" s="1300"/>
      <c r="I87" s="1300"/>
      <c r="J87" s="1300"/>
      <c r="K87" s="719"/>
      <c r="L87" s="719"/>
      <c r="M87" s="1300"/>
      <c r="N87" s="1300"/>
      <c r="O87" s="1300"/>
      <c r="P87" s="719"/>
      <c r="Q87" s="719"/>
      <c r="R87" s="1300"/>
      <c r="S87" s="1300"/>
      <c r="T87" s="1300"/>
      <c r="U87" s="719"/>
      <c r="V87" s="719"/>
      <c r="W87" s="1300"/>
      <c r="X87" s="1300"/>
      <c r="Y87" s="1300"/>
      <c r="Z87" s="719"/>
      <c r="AA87" s="719"/>
      <c r="AB87" s="1300"/>
      <c r="AC87" s="1300"/>
      <c r="AD87" s="1300"/>
      <c r="AE87" s="719"/>
      <c r="AF87" s="719"/>
      <c r="AG87" s="1300"/>
      <c r="AH87" s="1300"/>
      <c r="AI87" s="1300"/>
      <c r="AJ87" s="719"/>
      <c r="AK87" s="719"/>
      <c r="AL87" s="719"/>
      <c r="AM87" s="719"/>
      <c r="AN87" s="719"/>
      <c r="AO87" s="719"/>
      <c r="AP87" s="719"/>
      <c r="AQ87" s="719"/>
      <c r="AR87" s="719"/>
      <c r="AS87" s="719"/>
      <c r="AT87" s="719"/>
      <c r="AU87" s="719"/>
      <c r="AV87" s="719"/>
      <c r="AW87" s="719"/>
      <c r="AX87" s="719"/>
      <c r="AY87" s="719"/>
      <c r="AZ87" s="719"/>
      <c r="BA87" s="719"/>
      <c r="BB87" s="719"/>
      <c r="BC87" s="719"/>
      <c r="BD87" s="719"/>
      <c r="BE87" s="719"/>
      <c r="BF87" s="719"/>
      <c r="BG87" s="719"/>
      <c r="BH87" s="719"/>
      <c r="BI87" s="719"/>
      <c r="BJ87" s="719"/>
      <c r="BK87" s="719"/>
      <c r="BL87" s="719"/>
      <c r="BM87" s="719"/>
      <c r="BN87" s="719"/>
      <c r="BO87" s="719"/>
      <c r="BP87" s="719"/>
      <c r="BQ87" s="719"/>
      <c r="BR87" s="719"/>
    </row>
    <row r="88" spans="1:70" ht="9.9499999999999993" hidden="1" customHeight="1" x14ac:dyDescent="0.25">
      <c r="A88" s="719"/>
      <c r="B88" s="719"/>
      <c r="C88" s="719"/>
      <c r="D88" s="719"/>
      <c r="E88" s="719"/>
      <c r="F88" s="719"/>
      <c r="G88" s="719"/>
      <c r="H88" s="719"/>
      <c r="I88" s="719"/>
      <c r="J88" s="719"/>
      <c r="K88" s="719"/>
      <c r="L88" s="719"/>
      <c r="M88" s="719"/>
      <c r="N88" s="719"/>
      <c r="O88" s="719"/>
      <c r="P88" s="719"/>
      <c r="Q88" s="719"/>
      <c r="R88" s="719"/>
      <c r="S88" s="719"/>
      <c r="T88" s="719"/>
      <c r="U88" s="719"/>
      <c r="V88" s="719"/>
      <c r="W88" s="719"/>
      <c r="X88" s="719"/>
      <c r="Y88" s="719"/>
      <c r="Z88" s="719"/>
      <c r="AA88" s="719"/>
      <c r="AB88" s="719"/>
      <c r="AC88" s="719"/>
      <c r="AD88" s="719"/>
      <c r="AE88" s="719"/>
      <c r="AF88" s="719"/>
      <c r="AG88" s="719"/>
      <c r="AH88" s="719"/>
      <c r="AI88" s="719"/>
      <c r="AJ88" s="719"/>
      <c r="AK88" s="719"/>
      <c r="AL88" s="719"/>
      <c r="AM88" s="719"/>
      <c r="AN88" s="719"/>
      <c r="AO88" s="719"/>
      <c r="AP88" s="719"/>
      <c r="AQ88" s="719"/>
      <c r="AR88" s="719"/>
      <c r="AS88" s="719"/>
      <c r="AT88" s="719"/>
      <c r="AU88" s="719"/>
      <c r="AV88" s="719"/>
      <c r="AW88" s="719"/>
      <c r="AX88" s="719"/>
      <c r="AY88" s="719"/>
      <c r="AZ88" s="719"/>
      <c r="BA88" s="719"/>
      <c r="BB88" s="719"/>
      <c r="BC88" s="719"/>
      <c r="BD88" s="719"/>
      <c r="BE88" s="719"/>
      <c r="BF88" s="719"/>
      <c r="BG88" s="719"/>
      <c r="BH88" s="719"/>
      <c r="BI88" s="719"/>
      <c r="BJ88" s="719"/>
      <c r="BK88" s="719"/>
      <c r="BL88" s="719"/>
      <c r="BM88" s="719"/>
      <c r="BN88" s="719"/>
      <c r="BO88" s="719"/>
      <c r="BP88" s="719"/>
      <c r="BQ88" s="719"/>
      <c r="BR88" s="719"/>
    </row>
    <row r="89" spans="1:70" ht="9.9499999999999993" hidden="1" customHeight="1" x14ac:dyDescent="0.25">
      <c r="A89" s="719"/>
      <c r="B89" s="719"/>
      <c r="C89" s="719"/>
      <c r="D89" s="719"/>
      <c r="E89" s="719"/>
      <c r="F89" s="719"/>
      <c r="G89" s="719"/>
      <c r="H89" s="719"/>
      <c r="I89" s="719"/>
      <c r="J89" s="719"/>
      <c r="K89" s="719"/>
      <c r="L89" s="719"/>
      <c r="M89" s="719"/>
      <c r="N89" s="719"/>
      <c r="O89" s="719"/>
      <c r="P89" s="719"/>
      <c r="Q89" s="719"/>
      <c r="R89" s="719"/>
      <c r="S89" s="719"/>
      <c r="T89" s="719"/>
      <c r="U89" s="719"/>
      <c r="V89" s="719"/>
      <c r="W89" s="719"/>
      <c r="X89" s="719"/>
      <c r="Y89" s="719"/>
      <c r="Z89" s="719"/>
      <c r="AA89" s="719"/>
      <c r="AB89" s="719"/>
      <c r="AC89" s="719"/>
      <c r="AD89" s="719"/>
      <c r="AE89" s="719"/>
      <c r="AF89" s="719"/>
      <c r="AG89" s="719"/>
      <c r="AH89" s="719"/>
      <c r="AI89" s="719"/>
      <c r="AJ89" s="719"/>
      <c r="AK89" s="719"/>
      <c r="AL89" s="719"/>
      <c r="AM89" s="719"/>
      <c r="AN89" s="719"/>
      <c r="AO89" s="719"/>
      <c r="AP89" s="719"/>
      <c r="AQ89" s="719"/>
      <c r="AR89" s="719"/>
      <c r="AS89" s="719"/>
      <c r="AT89" s="719"/>
      <c r="AU89" s="719"/>
      <c r="AV89" s="719"/>
      <c r="AW89" s="719"/>
      <c r="AX89" s="719"/>
      <c r="AY89" s="719"/>
      <c r="AZ89" s="719"/>
      <c r="BA89" s="719"/>
      <c r="BB89" s="719"/>
      <c r="BC89" s="719"/>
      <c r="BD89" s="719"/>
      <c r="BE89" s="719"/>
      <c r="BF89" s="719"/>
      <c r="BG89" s="719"/>
      <c r="BH89" s="719"/>
      <c r="BI89" s="719"/>
      <c r="BJ89" s="719"/>
      <c r="BK89" s="719"/>
      <c r="BL89" s="719"/>
      <c r="BM89" s="719"/>
      <c r="BN89" s="719"/>
      <c r="BO89" s="719"/>
      <c r="BP89" s="719"/>
      <c r="BQ89" s="719"/>
      <c r="BR89" s="719"/>
    </row>
    <row r="90" spans="1:70" ht="84.95" hidden="1" customHeight="1" x14ac:dyDescent="0.25">
      <c r="A90" s="716"/>
      <c r="B90" s="1797"/>
      <c r="C90" s="1797"/>
      <c r="D90" s="1797"/>
      <c r="E90" s="1797"/>
      <c r="F90" s="716"/>
      <c r="G90" s="1797"/>
      <c r="H90" s="1797"/>
      <c r="I90" s="1797"/>
      <c r="J90" s="1797"/>
      <c r="K90" s="716"/>
      <c r="L90" s="1797"/>
      <c r="M90" s="1797"/>
      <c r="N90" s="1797"/>
      <c r="O90" s="1797"/>
      <c r="P90" s="716"/>
      <c r="Q90" s="1797"/>
      <c r="R90" s="1797"/>
      <c r="S90" s="1797"/>
      <c r="T90" s="1797"/>
      <c r="U90" s="716"/>
      <c r="V90" s="1797"/>
      <c r="W90" s="1797"/>
      <c r="X90" s="1797"/>
      <c r="Y90" s="1797"/>
      <c r="Z90" s="716"/>
      <c r="AA90" s="1797"/>
      <c r="AB90" s="1797"/>
      <c r="AC90" s="1797"/>
      <c r="AD90" s="1797"/>
      <c r="AE90" s="716"/>
      <c r="AF90" s="1797"/>
      <c r="AG90" s="1797"/>
      <c r="AH90" s="1797"/>
      <c r="AI90" s="1797"/>
      <c r="AJ90" s="719"/>
      <c r="AK90" s="719"/>
      <c r="AL90" s="719"/>
      <c r="AM90" s="719"/>
      <c r="AN90" s="719"/>
      <c r="AO90" s="719"/>
      <c r="AP90" s="719"/>
      <c r="AQ90" s="719"/>
      <c r="AR90" s="719"/>
      <c r="AS90" s="719"/>
      <c r="AT90" s="719"/>
      <c r="AU90" s="719"/>
      <c r="AV90" s="719"/>
      <c r="AW90" s="719"/>
      <c r="AX90" s="719"/>
      <c r="AY90" s="719"/>
      <c r="AZ90" s="719"/>
      <c r="BA90" s="719"/>
      <c r="BB90" s="719"/>
      <c r="BC90" s="719"/>
      <c r="BD90" s="719"/>
      <c r="BE90" s="719"/>
      <c r="BF90" s="719"/>
      <c r="BG90" s="719"/>
      <c r="BH90" s="719"/>
      <c r="BI90" s="719"/>
      <c r="BJ90" s="719"/>
      <c r="BK90" s="719"/>
      <c r="BL90" s="719"/>
      <c r="BM90" s="719"/>
      <c r="BN90" s="719"/>
      <c r="BO90" s="719"/>
      <c r="BP90" s="719"/>
      <c r="BQ90" s="719"/>
      <c r="BR90" s="719"/>
    </row>
    <row r="91" spans="1:70" ht="23.1" hidden="1" customHeight="1" x14ac:dyDescent="0.25">
      <c r="A91" s="716"/>
      <c r="B91" s="32"/>
      <c r="C91" s="33"/>
      <c r="D91" s="34"/>
      <c r="E91" s="35"/>
      <c r="F91" s="716"/>
      <c r="G91" s="32"/>
      <c r="H91" s="33"/>
      <c r="I91" s="34"/>
      <c r="J91" s="35"/>
      <c r="K91" s="716"/>
      <c r="L91" s="32"/>
      <c r="M91" s="33"/>
      <c r="N91" s="34"/>
      <c r="O91" s="35"/>
      <c r="P91" s="716"/>
      <c r="Q91" s="32"/>
      <c r="R91" s="33"/>
      <c r="S91" s="34"/>
      <c r="T91" s="35"/>
      <c r="U91" s="716"/>
      <c r="V91" s="32"/>
      <c r="W91" s="33"/>
      <c r="X91" s="34"/>
      <c r="Y91" s="35"/>
      <c r="Z91" s="716"/>
      <c r="AA91" s="32"/>
      <c r="AB91" s="33"/>
      <c r="AC91" s="34"/>
      <c r="AD91" s="35"/>
      <c r="AE91" s="716"/>
      <c r="AF91" s="32"/>
      <c r="AG91" s="33"/>
      <c r="AH91" s="34"/>
      <c r="AI91" s="35"/>
      <c r="AJ91" s="719"/>
      <c r="AK91" s="719"/>
      <c r="AL91" s="719"/>
      <c r="AM91" s="719"/>
      <c r="AN91" s="719"/>
      <c r="AO91" s="719"/>
      <c r="AP91" s="719"/>
      <c r="AQ91" s="719"/>
      <c r="AR91" s="719"/>
      <c r="AS91" s="719"/>
      <c r="AT91" s="719"/>
      <c r="AU91" s="719"/>
      <c r="AV91" s="719"/>
      <c r="AW91" s="719"/>
      <c r="AX91" s="719"/>
      <c r="AY91" s="719"/>
      <c r="AZ91" s="719"/>
      <c r="BA91" s="719"/>
      <c r="BB91" s="719"/>
      <c r="BC91" s="719"/>
      <c r="BD91" s="719"/>
      <c r="BE91" s="719"/>
      <c r="BF91" s="719"/>
      <c r="BG91" s="719"/>
      <c r="BH91" s="719"/>
      <c r="BI91" s="719"/>
      <c r="BJ91" s="719"/>
      <c r="BK91" s="719"/>
      <c r="BL91" s="719"/>
      <c r="BM91" s="719"/>
      <c r="BN91" s="719"/>
      <c r="BO91" s="719"/>
      <c r="BP91" s="719"/>
      <c r="BQ91" s="719"/>
      <c r="BR91" s="719"/>
    </row>
    <row r="92" spans="1:70" ht="18.600000000000001" hidden="1" customHeight="1" x14ac:dyDescent="0.25">
      <c r="A92" s="719"/>
      <c r="B92" s="719"/>
      <c r="C92" s="1300"/>
      <c r="D92" s="1300"/>
      <c r="E92" s="1300"/>
      <c r="F92" s="719"/>
      <c r="G92" s="719"/>
      <c r="H92" s="1300"/>
      <c r="I92" s="1300"/>
      <c r="J92" s="1300"/>
      <c r="K92" s="719"/>
      <c r="L92" s="719"/>
      <c r="M92" s="1300"/>
      <c r="N92" s="1300"/>
      <c r="O92" s="1300"/>
      <c r="P92" s="719"/>
      <c r="Q92" s="719"/>
      <c r="R92" s="1300"/>
      <c r="S92" s="1300"/>
      <c r="T92" s="1300"/>
      <c r="U92" s="719"/>
      <c r="V92" s="719"/>
      <c r="W92" s="1300"/>
      <c r="X92" s="1300"/>
      <c r="Y92" s="1300"/>
      <c r="Z92" s="719"/>
      <c r="AA92" s="719"/>
      <c r="AB92" s="1300"/>
      <c r="AC92" s="1300"/>
      <c r="AD92" s="1300"/>
      <c r="AE92" s="719"/>
      <c r="AF92" s="719"/>
      <c r="AG92" s="1300"/>
      <c r="AH92" s="1300"/>
      <c r="AI92" s="1300"/>
      <c r="AJ92" s="719"/>
      <c r="AK92" s="719"/>
      <c r="AL92" s="719"/>
      <c r="AM92" s="719"/>
      <c r="AN92" s="719"/>
      <c r="AO92" s="719"/>
      <c r="AP92" s="719"/>
      <c r="AQ92" s="719"/>
      <c r="AR92" s="719"/>
      <c r="AS92" s="719"/>
      <c r="AT92" s="719"/>
      <c r="AU92" s="719"/>
      <c r="AV92" s="719"/>
      <c r="AW92" s="719"/>
      <c r="AX92" s="719"/>
      <c r="AY92" s="719"/>
      <c r="AZ92" s="719"/>
      <c r="BA92" s="719"/>
      <c r="BB92" s="719"/>
      <c r="BC92" s="719"/>
      <c r="BD92" s="719"/>
      <c r="BE92" s="719"/>
      <c r="BF92" s="719"/>
      <c r="BG92" s="719"/>
      <c r="BH92" s="719"/>
      <c r="BI92" s="719"/>
      <c r="BJ92" s="719"/>
      <c r="BK92" s="719"/>
      <c r="BL92" s="719"/>
      <c r="BM92" s="719"/>
      <c r="BN92" s="719"/>
      <c r="BO92" s="719"/>
      <c r="BP92" s="719"/>
      <c r="BQ92" s="719"/>
      <c r="BR92" s="719"/>
    </row>
    <row r="93" spans="1:70" ht="18.600000000000001" hidden="1" customHeight="1" x14ac:dyDescent="0.25">
      <c r="A93" s="719"/>
      <c r="B93" s="719"/>
      <c r="C93" s="1300"/>
      <c r="D93" s="1300"/>
      <c r="E93" s="1300"/>
      <c r="F93" s="719"/>
      <c r="G93" s="719"/>
      <c r="H93" s="1300"/>
      <c r="I93" s="1300"/>
      <c r="J93" s="1300"/>
      <c r="K93" s="719"/>
      <c r="L93" s="719"/>
      <c r="M93" s="1300"/>
      <c r="N93" s="1300"/>
      <c r="O93" s="1300"/>
      <c r="P93" s="719"/>
      <c r="Q93" s="719"/>
      <c r="R93" s="1300"/>
      <c r="S93" s="1300"/>
      <c r="T93" s="1300"/>
      <c r="U93" s="719"/>
      <c r="V93" s="719"/>
      <c r="W93" s="1300"/>
      <c r="X93" s="1300"/>
      <c r="Y93" s="1300"/>
      <c r="Z93" s="719"/>
      <c r="AA93" s="719"/>
      <c r="AB93" s="1300"/>
      <c r="AC93" s="1300"/>
      <c r="AD93" s="1300"/>
      <c r="AE93" s="719"/>
      <c r="AF93" s="719"/>
      <c r="AG93" s="1300"/>
      <c r="AH93" s="1300"/>
      <c r="AI93" s="1300"/>
      <c r="AJ93" s="719"/>
      <c r="AK93" s="719"/>
      <c r="AL93" s="719"/>
      <c r="AM93" s="719"/>
      <c r="AN93" s="719"/>
      <c r="AO93" s="719"/>
      <c r="AP93" s="719"/>
      <c r="AQ93" s="719"/>
      <c r="AR93" s="719"/>
      <c r="AS93" s="719"/>
      <c r="AT93" s="719"/>
      <c r="AU93" s="719"/>
      <c r="AV93" s="719"/>
      <c r="AW93" s="719"/>
      <c r="AX93" s="719"/>
      <c r="AY93" s="719"/>
      <c r="AZ93" s="719"/>
      <c r="BA93" s="719"/>
      <c r="BB93" s="719"/>
      <c r="BC93" s="719"/>
      <c r="BD93" s="719"/>
      <c r="BE93" s="719"/>
      <c r="BF93" s="719"/>
      <c r="BG93" s="719"/>
      <c r="BH93" s="719"/>
      <c r="BI93" s="719"/>
      <c r="BJ93" s="719"/>
      <c r="BK93" s="719"/>
      <c r="BL93" s="719"/>
      <c r="BM93" s="719"/>
      <c r="BN93" s="719"/>
      <c r="BO93" s="719"/>
      <c r="BP93" s="719"/>
      <c r="BQ93" s="719"/>
      <c r="BR93" s="719"/>
    </row>
    <row r="94" spans="1:70" ht="9.9499999999999993" hidden="1" customHeight="1" x14ac:dyDescent="0.25">
      <c r="A94" s="719"/>
      <c r="B94" s="719"/>
      <c r="C94" s="719"/>
      <c r="D94" s="719"/>
      <c r="E94" s="719"/>
      <c r="F94" s="719"/>
      <c r="G94" s="719"/>
      <c r="H94" s="719"/>
      <c r="I94" s="719"/>
      <c r="J94" s="719"/>
      <c r="K94" s="719"/>
      <c r="L94" s="719"/>
      <c r="M94" s="719"/>
      <c r="N94" s="719"/>
      <c r="O94" s="719"/>
      <c r="P94" s="719"/>
      <c r="Q94" s="719"/>
      <c r="R94" s="719"/>
      <c r="S94" s="719"/>
      <c r="T94" s="719"/>
      <c r="U94" s="719"/>
      <c r="V94" s="719"/>
      <c r="W94" s="719"/>
      <c r="X94" s="719"/>
      <c r="Y94" s="719"/>
      <c r="Z94" s="719"/>
      <c r="AA94" s="719"/>
      <c r="AB94" s="719"/>
      <c r="AC94" s="719"/>
      <c r="AD94" s="719"/>
      <c r="AE94" s="719"/>
      <c r="AF94" s="719"/>
      <c r="AG94" s="719"/>
      <c r="AH94" s="719"/>
      <c r="AI94" s="719"/>
      <c r="AJ94" s="719"/>
      <c r="AK94" s="719"/>
      <c r="AL94" s="719"/>
      <c r="AM94" s="719"/>
      <c r="AN94" s="719"/>
      <c r="AO94" s="719"/>
      <c r="AP94" s="719"/>
      <c r="AQ94" s="719"/>
      <c r="AR94" s="719"/>
      <c r="AS94" s="719"/>
      <c r="AT94" s="719"/>
      <c r="AU94" s="719"/>
      <c r="AV94" s="719"/>
      <c r="AW94" s="719"/>
      <c r="AX94" s="719"/>
      <c r="AY94" s="719"/>
      <c r="AZ94" s="719"/>
      <c r="BA94" s="719"/>
      <c r="BB94" s="719"/>
      <c r="BC94" s="719"/>
      <c r="BD94" s="719"/>
      <c r="BE94" s="719"/>
      <c r="BF94" s="719"/>
      <c r="BG94" s="719"/>
      <c r="BH94" s="719"/>
      <c r="BI94" s="719"/>
      <c r="BJ94" s="719"/>
      <c r="BK94" s="719"/>
      <c r="BL94" s="719"/>
      <c r="BM94" s="719"/>
      <c r="BN94" s="719"/>
      <c r="BO94" s="719"/>
      <c r="BP94" s="719"/>
      <c r="BQ94" s="719"/>
      <c r="BR94" s="719"/>
    </row>
    <row r="95" spans="1:70" ht="9.9499999999999993" hidden="1" customHeight="1" x14ac:dyDescent="0.25">
      <c r="A95" s="719"/>
      <c r="B95" s="719"/>
      <c r="C95" s="719"/>
      <c r="D95" s="719"/>
      <c r="E95" s="719"/>
      <c r="F95" s="719"/>
      <c r="G95" s="719"/>
      <c r="H95" s="719"/>
      <c r="I95" s="719"/>
      <c r="J95" s="719"/>
      <c r="K95" s="719"/>
      <c r="L95" s="719"/>
      <c r="M95" s="719"/>
      <c r="N95" s="719"/>
      <c r="O95" s="719"/>
      <c r="P95" s="719"/>
      <c r="Q95" s="719"/>
      <c r="R95" s="719"/>
      <c r="S95" s="719"/>
      <c r="T95" s="719"/>
      <c r="U95" s="719"/>
      <c r="V95" s="719"/>
      <c r="W95" s="719"/>
      <c r="X95" s="719"/>
      <c r="Y95" s="719"/>
      <c r="Z95" s="719"/>
      <c r="AA95" s="719"/>
      <c r="AB95" s="719"/>
      <c r="AC95" s="719"/>
      <c r="AD95" s="719"/>
      <c r="AE95" s="719"/>
      <c r="AF95" s="719"/>
      <c r="AG95" s="719"/>
      <c r="AH95" s="719"/>
      <c r="AI95" s="719"/>
      <c r="AJ95" s="719"/>
      <c r="AK95" s="719"/>
      <c r="AL95" s="719"/>
      <c r="AM95" s="719"/>
      <c r="AN95" s="719"/>
      <c r="AO95" s="719"/>
      <c r="AP95" s="719"/>
      <c r="AQ95" s="719"/>
      <c r="AR95" s="719"/>
      <c r="AS95" s="719"/>
      <c r="AT95" s="719"/>
      <c r="AU95" s="719"/>
      <c r="AV95" s="719"/>
      <c r="AW95" s="719"/>
      <c r="AX95" s="719"/>
      <c r="AY95" s="719"/>
      <c r="AZ95" s="719"/>
      <c r="BA95" s="719"/>
      <c r="BB95" s="719"/>
      <c r="BC95" s="719"/>
      <c r="BD95" s="719"/>
      <c r="BE95" s="719"/>
      <c r="BF95" s="719"/>
      <c r="BG95" s="719"/>
      <c r="BH95" s="719"/>
      <c r="BI95" s="719"/>
      <c r="BJ95" s="719"/>
      <c r="BK95" s="719"/>
      <c r="BL95" s="719"/>
      <c r="BM95" s="719"/>
      <c r="BN95" s="719"/>
      <c r="BO95" s="719"/>
      <c r="BP95" s="719"/>
      <c r="BQ95" s="719"/>
      <c r="BR95" s="719"/>
    </row>
    <row r="96" spans="1:70" ht="84.95" hidden="1" customHeight="1" x14ac:dyDescent="0.25">
      <c r="A96" s="716"/>
      <c r="B96" s="1797"/>
      <c r="C96" s="1797"/>
      <c r="D96" s="1797"/>
      <c r="E96" s="1797"/>
      <c r="F96" s="716"/>
      <c r="G96" s="1797"/>
      <c r="H96" s="1797"/>
      <c r="I96" s="1797"/>
      <c r="J96" s="1797"/>
      <c r="K96" s="716"/>
      <c r="L96" s="1797"/>
      <c r="M96" s="1797"/>
      <c r="N96" s="1797"/>
      <c r="O96" s="1797"/>
      <c r="P96" s="716"/>
      <c r="Q96" s="1797"/>
      <c r="R96" s="1797"/>
      <c r="S96" s="1797"/>
      <c r="T96" s="1797"/>
      <c r="U96" s="716"/>
      <c r="V96" s="1797"/>
      <c r="W96" s="1797"/>
      <c r="X96" s="1797"/>
      <c r="Y96" s="1797"/>
      <c r="Z96" s="716"/>
      <c r="AA96" s="1797"/>
      <c r="AB96" s="1797"/>
      <c r="AC96" s="1797"/>
      <c r="AD96" s="1797"/>
      <c r="AE96" s="716"/>
      <c r="AF96" s="1797"/>
      <c r="AG96" s="1797"/>
      <c r="AH96" s="1797"/>
      <c r="AI96" s="1797"/>
      <c r="AJ96" s="719"/>
      <c r="AK96" s="719"/>
      <c r="AL96" s="719"/>
      <c r="AM96" s="719"/>
      <c r="AN96" s="719"/>
      <c r="AO96" s="719"/>
      <c r="AP96" s="719"/>
      <c r="AQ96" s="719"/>
      <c r="AR96" s="719"/>
      <c r="AS96" s="719"/>
      <c r="AT96" s="719"/>
      <c r="AU96" s="719"/>
      <c r="AV96" s="719"/>
      <c r="AW96" s="719"/>
      <c r="AX96" s="719"/>
      <c r="AY96" s="719"/>
      <c r="AZ96" s="719"/>
      <c r="BA96" s="719"/>
      <c r="BB96" s="719"/>
      <c r="BC96" s="719"/>
      <c r="BD96" s="719"/>
      <c r="BE96" s="719"/>
      <c r="BF96" s="719"/>
      <c r="BG96" s="719"/>
      <c r="BH96" s="719"/>
      <c r="BI96" s="719"/>
      <c r="BJ96" s="719"/>
      <c r="BK96" s="719"/>
      <c r="BL96" s="719"/>
      <c r="BM96" s="719"/>
      <c r="BN96" s="719"/>
      <c r="BO96" s="719"/>
      <c r="BP96" s="719"/>
      <c r="BQ96" s="719"/>
      <c r="BR96" s="719"/>
    </row>
    <row r="97" spans="1:72" ht="23.1" hidden="1" customHeight="1" x14ac:dyDescent="0.25">
      <c r="A97" s="716"/>
      <c r="B97" s="32"/>
      <c r="C97" s="33"/>
      <c r="D97" s="34"/>
      <c r="E97" s="35"/>
      <c r="F97" s="716"/>
      <c r="G97" s="32"/>
      <c r="H97" s="33"/>
      <c r="I97" s="34"/>
      <c r="J97" s="35"/>
      <c r="K97" s="716"/>
      <c r="L97" s="32"/>
      <c r="M97" s="33"/>
      <c r="N97" s="34"/>
      <c r="O97" s="35"/>
      <c r="P97" s="716"/>
      <c r="Q97" s="32"/>
      <c r="R97" s="33"/>
      <c r="S97" s="34"/>
      <c r="T97" s="35"/>
      <c r="U97" s="716"/>
      <c r="V97" s="32"/>
      <c r="W97" s="33"/>
      <c r="X97" s="34"/>
      <c r="Y97" s="35"/>
      <c r="Z97" s="716"/>
      <c r="AA97" s="32"/>
      <c r="AB97" s="33"/>
      <c r="AC97" s="34"/>
      <c r="AD97" s="35"/>
      <c r="AE97" s="716"/>
      <c r="AF97" s="32"/>
      <c r="AG97" s="33"/>
      <c r="AH97" s="34"/>
      <c r="AI97" s="35"/>
      <c r="AJ97" s="719"/>
      <c r="AK97" s="719"/>
      <c r="AL97" s="719"/>
      <c r="AM97" s="719"/>
      <c r="AN97" s="719"/>
      <c r="AO97" s="719"/>
      <c r="AP97" s="719"/>
      <c r="AQ97" s="719"/>
      <c r="AR97" s="719"/>
      <c r="AS97" s="719"/>
      <c r="AT97" s="719"/>
      <c r="AU97" s="719"/>
      <c r="AV97" s="719"/>
      <c r="AW97" s="719"/>
      <c r="AX97" s="719"/>
      <c r="AY97" s="719"/>
      <c r="AZ97" s="719"/>
      <c r="BA97" s="719"/>
      <c r="BB97" s="719"/>
      <c r="BC97" s="719"/>
      <c r="BD97" s="719"/>
      <c r="BE97" s="719"/>
      <c r="BF97" s="719"/>
      <c r="BG97" s="719"/>
      <c r="BH97" s="719"/>
      <c r="BI97" s="719"/>
      <c r="BJ97" s="719"/>
      <c r="BK97" s="719"/>
      <c r="BL97" s="719"/>
      <c r="BM97" s="719"/>
      <c r="BN97" s="719"/>
      <c r="BO97" s="719"/>
      <c r="BP97" s="719"/>
      <c r="BQ97" s="719"/>
      <c r="BR97" s="719"/>
    </row>
    <row r="98" spans="1:72" ht="15" customHeight="1" x14ac:dyDescent="0.25">
      <c r="AJ98" s="719"/>
      <c r="AK98" s="719"/>
      <c r="AL98" s="719"/>
      <c r="AM98" s="719"/>
      <c r="AN98" s="719"/>
      <c r="AO98" s="719"/>
      <c r="AP98" s="719"/>
      <c r="AQ98" s="719"/>
      <c r="AR98" s="719"/>
      <c r="AS98" s="719"/>
      <c r="AT98" s="719"/>
      <c r="AU98" s="719"/>
      <c r="AV98" s="719"/>
      <c r="AW98" s="719"/>
      <c r="AX98" s="719"/>
      <c r="AY98" s="719"/>
      <c r="AZ98" s="719"/>
      <c r="BA98" s="719"/>
      <c r="BB98" s="719"/>
      <c r="BC98" s="719"/>
      <c r="BD98" s="719"/>
      <c r="BE98" s="719"/>
      <c r="BF98" s="719"/>
      <c r="BG98" s="719"/>
      <c r="BH98" s="719"/>
      <c r="BI98" s="719"/>
      <c r="BJ98" s="719"/>
      <c r="BK98" s="719"/>
      <c r="BL98" s="719"/>
      <c r="BM98" s="719"/>
      <c r="BN98" s="719"/>
      <c r="BO98" s="719"/>
      <c r="BP98" s="719"/>
      <c r="BQ98" s="719"/>
      <c r="BR98" s="719"/>
    </row>
    <row r="99" spans="1:72" ht="15" customHeight="1" x14ac:dyDescent="0.25">
      <c r="AJ99" s="719"/>
      <c r="AK99" s="719"/>
      <c r="AL99" s="719"/>
      <c r="AM99" s="719"/>
      <c r="AN99" s="719"/>
      <c r="AO99" s="719"/>
      <c r="AP99" s="719"/>
      <c r="AQ99" s="719"/>
      <c r="AR99" s="719"/>
      <c r="AS99" s="719"/>
      <c r="AT99" s="719"/>
      <c r="AU99" s="719"/>
      <c r="AV99" s="719"/>
      <c r="AW99" s="719"/>
      <c r="AX99" s="719"/>
      <c r="AY99" s="719"/>
      <c r="AZ99" s="719"/>
      <c r="BA99" s="719"/>
      <c r="BB99" s="719"/>
      <c r="BC99" s="719"/>
      <c r="BD99" s="719"/>
      <c r="BE99" s="719"/>
      <c r="BF99" s="719"/>
      <c r="BG99" s="719"/>
      <c r="BH99" s="719"/>
      <c r="BI99" s="719"/>
      <c r="BJ99" s="719"/>
      <c r="BK99" s="719"/>
      <c r="BL99" s="719"/>
      <c r="BM99" s="719"/>
      <c r="BN99" s="719"/>
      <c r="BO99" s="719"/>
      <c r="BP99" s="719"/>
      <c r="BQ99" s="719"/>
      <c r="BR99" s="719"/>
    </row>
    <row r="100" spans="1:72" ht="15" customHeight="1" x14ac:dyDescent="0.25">
      <c r="AJ100" s="719"/>
      <c r="AK100" s="719"/>
      <c r="AL100" s="719"/>
      <c r="AM100" s="719"/>
      <c r="AN100" s="719"/>
      <c r="AO100" s="719"/>
      <c r="AP100" s="719"/>
      <c r="AQ100" s="719"/>
      <c r="AR100" s="719"/>
      <c r="AS100" s="719"/>
      <c r="AT100" s="719"/>
      <c r="AU100" s="719"/>
      <c r="AV100" s="719"/>
      <c r="AW100" s="719"/>
      <c r="AX100" s="719"/>
      <c r="AY100" s="719"/>
      <c r="AZ100" s="719"/>
      <c r="BA100" s="719"/>
      <c r="BB100" s="719"/>
      <c r="BC100" s="719"/>
      <c r="BD100" s="719"/>
      <c r="BE100" s="719"/>
      <c r="BF100" s="719"/>
      <c r="BG100" s="719"/>
      <c r="BH100" s="719"/>
      <c r="BI100" s="719"/>
      <c r="BJ100" s="719"/>
      <c r="BK100" s="719"/>
      <c r="BL100" s="719"/>
      <c r="BM100" s="719"/>
      <c r="BN100" s="719"/>
      <c r="BO100" s="719"/>
      <c r="BP100" s="719"/>
      <c r="BQ100" s="719"/>
      <c r="BR100" s="719"/>
    </row>
    <row r="101" spans="1:72" ht="15" customHeight="1" x14ac:dyDescent="0.25">
      <c r="AJ101" s="719"/>
      <c r="AK101" s="719"/>
      <c r="AL101" s="719"/>
      <c r="AM101" s="719"/>
      <c r="AN101" s="719"/>
      <c r="AO101" s="719"/>
      <c r="AP101" s="719"/>
      <c r="AQ101" s="719"/>
      <c r="AR101" s="719"/>
      <c r="AS101" s="719"/>
      <c r="AT101" s="719"/>
      <c r="AU101" s="719"/>
      <c r="AV101" s="719"/>
      <c r="AW101" s="719"/>
      <c r="AX101" s="719"/>
      <c r="AY101" s="719"/>
      <c r="AZ101" s="719"/>
      <c r="BA101" s="719"/>
      <c r="BB101" s="719"/>
      <c r="BC101" s="719"/>
      <c r="BD101" s="719"/>
      <c r="BE101" s="719"/>
      <c r="BF101" s="719"/>
      <c r="BG101" s="719"/>
      <c r="BH101" s="719"/>
      <c r="BI101" s="719"/>
      <c r="BJ101" s="719"/>
      <c r="BK101" s="719"/>
      <c r="BL101" s="719"/>
      <c r="BM101" s="719"/>
      <c r="BN101" s="719"/>
      <c r="BO101" s="719"/>
      <c r="BP101" s="719"/>
      <c r="BQ101" s="719"/>
      <c r="BR101" s="719"/>
    </row>
    <row r="102" spans="1:72" ht="15" customHeight="1" x14ac:dyDescent="0.25">
      <c r="AJ102" s="719"/>
      <c r="AK102" s="719"/>
      <c r="AL102" s="719"/>
      <c r="AM102" s="719"/>
      <c r="AN102" s="719"/>
      <c r="AO102" s="719"/>
      <c r="AP102" s="719"/>
      <c r="AQ102" s="719"/>
      <c r="AR102" s="719"/>
      <c r="AS102" s="719"/>
      <c r="AT102" s="719"/>
      <c r="AU102" s="719"/>
      <c r="AV102" s="719"/>
      <c r="AW102" s="719"/>
      <c r="AX102" s="719"/>
      <c r="AY102" s="719"/>
      <c r="AZ102" s="719"/>
      <c r="BA102" s="719"/>
      <c r="BB102" s="719"/>
      <c r="BC102" s="719"/>
      <c r="BD102" s="719"/>
      <c r="BE102" s="719"/>
      <c r="BF102" s="719"/>
      <c r="BG102" s="719"/>
      <c r="BH102" s="719"/>
      <c r="BI102" s="719"/>
      <c r="BJ102" s="719"/>
      <c r="BK102" s="719"/>
      <c r="BL102" s="719"/>
      <c r="BM102" s="719"/>
      <c r="BN102" s="719"/>
      <c r="BO102" s="719"/>
      <c r="BP102" s="719"/>
      <c r="BQ102" s="719"/>
      <c r="BR102" s="719"/>
    </row>
    <row r="103" spans="1:72" ht="15" customHeight="1" x14ac:dyDescent="0.25"/>
    <row r="104" spans="1:72" ht="157.5" customHeight="1" x14ac:dyDescent="0.25"/>
    <row r="105" spans="1:72" ht="15" customHeight="1" x14ac:dyDescent="0.25">
      <c r="B105" s="70"/>
      <c r="C105" s="72"/>
      <c r="D105" s="72"/>
      <c r="E105" s="72"/>
      <c r="F105" s="72"/>
      <c r="G105" s="70"/>
      <c r="H105" s="72"/>
      <c r="I105" s="72"/>
      <c r="J105" s="72"/>
      <c r="K105" s="72"/>
      <c r="L105" s="70"/>
      <c r="M105" s="72"/>
      <c r="N105" s="72"/>
      <c r="O105" s="72"/>
      <c r="P105" s="72"/>
      <c r="Q105" s="70"/>
      <c r="R105" s="72"/>
      <c r="S105" s="72"/>
      <c r="T105" s="72"/>
      <c r="U105" s="72"/>
      <c r="V105" s="70"/>
      <c r="W105" s="72"/>
      <c r="X105" s="724" t="s">
        <v>461</v>
      </c>
      <c r="Y105" s="724"/>
      <c r="Z105" s="724"/>
      <c r="AA105" s="724"/>
      <c r="AB105" s="724"/>
      <c r="AC105" s="724"/>
      <c r="AD105" s="724"/>
      <c r="AE105" s="724"/>
      <c r="AF105" s="724"/>
      <c r="AG105" s="724"/>
      <c r="AH105" s="724"/>
      <c r="AI105" s="724"/>
      <c r="AJ105" s="724"/>
      <c r="AK105" s="318"/>
      <c r="AL105" s="319"/>
      <c r="AM105" s="320"/>
      <c r="AN105" s="321"/>
      <c r="AO105" s="320"/>
      <c r="AP105" s="318"/>
      <c r="AQ105" s="319"/>
      <c r="AR105" s="320"/>
      <c r="AS105" s="321"/>
      <c r="AT105" s="320"/>
      <c r="AU105" s="318"/>
      <c r="AV105" s="319"/>
      <c r="AW105" s="320"/>
      <c r="AX105" s="321"/>
      <c r="AY105" s="320"/>
      <c r="AZ105" s="318"/>
      <c r="BA105" s="319"/>
      <c r="BB105" s="320"/>
      <c r="BC105" s="321"/>
      <c r="BD105" s="320"/>
      <c r="BE105" s="318"/>
      <c r="BF105" s="319"/>
      <c r="BG105" s="320"/>
      <c r="BH105" s="40"/>
      <c r="BI105" s="41"/>
      <c r="BJ105" s="37"/>
      <c r="BK105" s="38"/>
      <c r="BL105" s="39"/>
      <c r="BM105" s="40"/>
      <c r="BN105" s="41"/>
      <c r="BO105" s="37"/>
      <c r="BP105" s="38"/>
      <c r="BQ105" s="39"/>
      <c r="BR105" s="40"/>
      <c r="BS105" s="41"/>
    </row>
    <row r="106" spans="1:72" ht="15" customHeight="1" x14ac:dyDescent="0.25">
      <c r="B106" s="70"/>
      <c r="C106" s="32"/>
      <c r="D106" s="33"/>
      <c r="E106" s="34"/>
      <c r="F106" s="35"/>
      <c r="G106" s="70"/>
      <c r="L106" s="70"/>
      <c r="M106" s="32"/>
      <c r="N106" s="33"/>
      <c r="O106" s="34"/>
      <c r="P106" s="35"/>
      <c r="Q106" s="70"/>
      <c r="R106" s="32"/>
      <c r="S106" s="33"/>
      <c r="T106" s="34"/>
      <c r="U106" s="35"/>
      <c r="V106" s="70"/>
      <c r="W106" s="32"/>
      <c r="X106" s="724"/>
      <c r="Y106" s="724"/>
      <c r="Z106" s="724"/>
      <c r="AA106" s="724"/>
      <c r="AB106" s="724"/>
      <c r="AC106" s="724"/>
      <c r="AD106" s="724"/>
      <c r="AE106" s="724"/>
      <c r="AF106" s="724"/>
      <c r="AG106" s="724"/>
      <c r="AH106" s="724"/>
      <c r="AI106" s="724"/>
      <c r="AJ106" s="724"/>
      <c r="AK106" s="724" t="s">
        <v>117</v>
      </c>
      <c r="AL106" s="724"/>
      <c r="AM106" s="724"/>
      <c r="AN106" s="724"/>
      <c r="AO106" s="724"/>
      <c r="AP106" s="724"/>
      <c r="AQ106" s="724"/>
      <c r="AR106" s="724"/>
      <c r="AS106" s="724"/>
      <c r="AT106" s="724"/>
      <c r="AU106" s="724"/>
      <c r="AV106" s="725" t="s">
        <v>118</v>
      </c>
      <c r="AW106" s="725"/>
      <c r="AX106" s="725"/>
      <c r="AY106" s="725"/>
      <c r="AZ106" s="725"/>
      <c r="BA106" s="725"/>
      <c r="BB106" s="725"/>
      <c r="BC106" s="725"/>
      <c r="BD106" s="725"/>
      <c r="BE106" s="725"/>
      <c r="BF106" s="725"/>
      <c r="BG106" s="725"/>
      <c r="BH106" s="724" t="s">
        <v>119</v>
      </c>
      <c r="BI106" s="724"/>
      <c r="BJ106" s="724"/>
      <c r="BK106" s="724"/>
      <c r="BL106" s="724"/>
      <c r="BM106" s="1802">
        <f>D7+I7+N7+S7+X7+AC7+AH7+AM7+AR7+AW7+BB7+BG7+BL7+BQ7+
D13+I13+N13+S13+X13+AC13+AH13+AM13+AR13+AW13+BB13+BG13+BL13+BQ13+
D19+I19+N19+S19+X19+
D31+I31+N31+S31+X31+AC31+AH31+AM31+AR31+AW31+BB31+BG31+BL31+BQ31+
D37+I37+N37+S37+X37+AC37+AH37</f>
        <v>26</v>
      </c>
      <c r="BN106" s="1802"/>
      <c r="BO106" s="1802"/>
      <c r="BP106" s="1802"/>
      <c r="BQ106" s="701" t="s">
        <v>120</v>
      </c>
      <c r="BR106" s="701"/>
      <c r="BS106" s="701"/>
    </row>
    <row r="107" spans="1:72" ht="26.25" customHeight="1" x14ac:dyDescent="0.25">
      <c r="B107" s="44"/>
      <c r="C107" s="44"/>
      <c r="D107" s="44"/>
      <c r="E107" s="69"/>
      <c r="F107" s="69"/>
      <c r="G107" s="44"/>
      <c r="L107" s="44"/>
      <c r="M107" s="44"/>
      <c r="N107" s="44"/>
      <c r="O107" s="69"/>
      <c r="P107" s="69"/>
      <c r="Q107" s="44"/>
      <c r="R107" s="44"/>
      <c r="S107" s="44"/>
      <c r="T107" s="69"/>
      <c r="U107" s="69"/>
      <c r="V107" s="44"/>
      <c r="W107" s="44"/>
      <c r="X107" s="724"/>
      <c r="Y107" s="724"/>
      <c r="Z107" s="724"/>
      <c r="AA107" s="724"/>
      <c r="AB107" s="724"/>
      <c r="AC107" s="724"/>
      <c r="AD107" s="724"/>
      <c r="AE107" s="724"/>
      <c r="AF107" s="724"/>
      <c r="AG107" s="724"/>
      <c r="AH107" s="724"/>
      <c r="AI107" s="724"/>
      <c r="AJ107" s="724"/>
      <c r="AK107" s="724"/>
      <c r="AL107" s="724"/>
      <c r="AM107" s="724"/>
      <c r="AN107" s="724"/>
      <c r="AO107" s="724"/>
      <c r="AP107" s="724"/>
      <c r="AQ107" s="724"/>
      <c r="AR107" s="724"/>
      <c r="AS107" s="724"/>
      <c r="AT107" s="724"/>
      <c r="AU107" s="724"/>
      <c r="AV107" s="725"/>
      <c r="AW107" s="725"/>
      <c r="AX107" s="725"/>
      <c r="AY107" s="725"/>
      <c r="AZ107" s="725"/>
      <c r="BA107" s="725"/>
      <c r="BB107" s="725"/>
      <c r="BC107" s="725"/>
      <c r="BD107" s="725"/>
      <c r="BE107" s="725"/>
      <c r="BF107" s="725"/>
      <c r="BG107" s="725"/>
      <c r="BH107" s="724"/>
      <c r="BI107" s="724"/>
      <c r="BJ107" s="724"/>
      <c r="BK107" s="724"/>
      <c r="BL107" s="724"/>
      <c r="BM107" s="1802"/>
      <c r="BN107" s="1802"/>
      <c r="BO107" s="1802"/>
      <c r="BP107" s="1802"/>
      <c r="BQ107" s="701"/>
      <c r="BR107" s="701"/>
      <c r="BS107" s="701"/>
    </row>
    <row r="108" spans="1:72" ht="24" customHeight="1" x14ac:dyDescent="0.25">
      <c r="B108" s="47"/>
      <c r="C108" s="47"/>
      <c r="D108" s="47"/>
      <c r="E108" s="69"/>
      <c r="F108" s="69"/>
      <c r="G108" s="47"/>
      <c r="L108" s="47"/>
      <c r="M108" s="47"/>
      <c r="N108" s="47"/>
      <c r="O108" s="69"/>
      <c r="P108" s="69"/>
      <c r="Q108" s="47"/>
      <c r="R108" s="47"/>
      <c r="S108" s="47"/>
      <c r="T108" s="69"/>
      <c r="U108" s="69"/>
      <c r="V108" s="47"/>
      <c r="W108" s="47"/>
      <c r="X108" s="724"/>
      <c r="Y108" s="724"/>
      <c r="Z108" s="724"/>
      <c r="AA108" s="724"/>
      <c r="AB108" s="724"/>
      <c r="AC108" s="724"/>
      <c r="AD108" s="724"/>
      <c r="AE108" s="724"/>
      <c r="AF108" s="724"/>
      <c r="AG108" s="724"/>
      <c r="AH108" s="724"/>
      <c r="AI108" s="724"/>
      <c r="AJ108" s="724"/>
      <c r="AK108" s="724"/>
      <c r="AL108" s="724"/>
      <c r="AM108" s="724"/>
      <c r="AN108" s="724"/>
      <c r="AO108" s="724"/>
      <c r="AP108" s="724"/>
      <c r="AQ108" s="724"/>
      <c r="AR108" s="724"/>
      <c r="AS108" s="724"/>
      <c r="AT108" s="724"/>
      <c r="AU108" s="724"/>
      <c r="AV108" s="725"/>
      <c r="AW108" s="725"/>
      <c r="AX108" s="725"/>
      <c r="AY108" s="725"/>
      <c r="AZ108" s="725"/>
      <c r="BA108" s="725"/>
      <c r="BB108" s="725"/>
      <c r="BC108" s="725"/>
      <c r="BD108" s="725"/>
      <c r="BE108" s="725"/>
      <c r="BF108" s="725"/>
      <c r="BG108" s="725"/>
      <c r="BH108" s="724"/>
      <c r="BI108" s="724"/>
      <c r="BJ108" s="724"/>
      <c r="BK108" s="724"/>
      <c r="BL108" s="724"/>
      <c r="BM108" s="1802"/>
      <c r="BN108" s="1802"/>
      <c r="BO108" s="1802"/>
      <c r="BP108" s="1802"/>
      <c r="BQ108" s="701"/>
      <c r="BR108" s="701"/>
      <c r="BS108" s="701"/>
    </row>
    <row r="109" spans="1:72" ht="27.75" customHeight="1" x14ac:dyDescent="0.25">
      <c r="B109" s="47"/>
      <c r="C109" s="47"/>
      <c r="D109" s="47"/>
      <c r="E109" s="101"/>
      <c r="F109" s="69"/>
      <c r="G109" s="47"/>
      <c r="L109" s="47"/>
      <c r="M109" s="47"/>
      <c r="N109" s="47"/>
      <c r="O109" s="101"/>
      <c r="P109" s="69"/>
      <c r="Q109" s="47"/>
      <c r="R109" s="47"/>
      <c r="S109" s="47"/>
      <c r="T109" s="101"/>
      <c r="U109" s="69"/>
      <c r="V109" s="47"/>
      <c r="W109" s="47"/>
      <c r="X109" s="724"/>
      <c r="Y109" s="724"/>
      <c r="Z109" s="724"/>
      <c r="AA109" s="724"/>
      <c r="AB109" s="724"/>
      <c r="AC109" s="724"/>
      <c r="AD109" s="724"/>
      <c r="AE109" s="724"/>
      <c r="AF109" s="724"/>
      <c r="AG109" s="724"/>
      <c r="AH109" s="724"/>
      <c r="AI109" s="724"/>
      <c r="AJ109" s="724"/>
      <c r="AK109" s="724"/>
      <c r="AL109" s="724"/>
      <c r="AM109" s="724"/>
      <c r="AN109" s="724"/>
      <c r="AO109" s="724"/>
      <c r="AP109" s="724"/>
      <c r="AQ109" s="724"/>
      <c r="AR109" s="724"/>
      <c r="AS109" s="724"/>
      <c r="AT109" s="724"/>
      <c r="AU109" s="724"/>
      <c r="AV109" s="725"/>
      <c r="AW109" s="725"/>
      <c r="AX109" s="725"/>
      <c r="AY109" s="725"/>
      <c r="AZ109" s="725"/>
      <c r="BA109" s="725"/>
      <c r="BB109" s="725"/>
      <c r="BC109" s="725"/>
      <c r="BD109" s="725"/>
      <c r="BE109" s="725"/>
      <c r="BF109" s="725"/>
      <c r="BG109" s="725"/>
      <c r="BH109" s="724"/>
      <c r="BI109" s="724"/>
      <c r="BJ109" s="724"/>
      <c r="BK109" s="724"/>
      <c r="BL109" s="724"/>
      <c r="BM109" s="1802"/>
      <c r="BN109" s="1802"/>
      <c r="BO109" s="1802"/>
      <c r="BP109" s="1802"/>
      <c r="BQ109" s="701"/>
      <c r="BR109" s="701"/>
      <c r="BS109" s="701"/>
    </row>
    <row r="110" spans="1:72" ht="24" customHeight="1" x14ac:dyDescent="0.25">
      <c r="B110" s="47"/>
      <c r="C110" s="47"/>
      <c r="D110" s="47"/>
      <c r="E110" s="69"/>
      <c r="F110" s="69"/>
      <c r="G110" s="47"/>
      <c r="H110" s="1801" cm="1">
        <f t="array" aca="1" ref="H110" ca="1">SUM(COUNTIF(INDIRECT({"B6","G6","L6","Q6","V6","AA6","AF6","AK6","AP6","AU6","AZ6","BE6","BJ6","BO6","B12","G12","L12","Q12","V12","AA12","AF12","AK12","AP12","AU12","AZ12","BE12","BJ12","BO12","B18","G18","L18","Q18","V18","AA18","AF18","AK18","AP18","AU18","AZ18","BE18","BJ18","BO18","B24","G24","L24","Q24","V24","AA24","AF24","AK24","AP24","AU24","AZ24","BE24","BJ24","BO24","B30","G30","L30","Q30","V30","AA30","AF30","AK30","AP30","AU30","AZ30","BE30","BJ30","BO30","B36","G36","L36","Q36","V36","AA36","AF36","AK36","AP36","AU36"}),"&gt;0"))</f>
        <v>54</v>
      </c>
      <c r="I110" s="1801"/>
      <c r="J110" s="1801"/>
      <c r="K110" s="1801"/>
      <c r="L110" s="47"/>
      <c r="M110" s="47"/>
      <c r="N110" s="47"/>
      <c r="O110" s="69"/>
      <c r="P110" s="69"/>
      <c r="Q110" s="47"/>
      <c r="R110" s="47"/>
      <c r="S110" s="47"/>
      <c r="T110" s="69"/>
      <c r="U110" s="69"/>
      <c r="V110" s="47"/>
      <c r="W110" s="47"/>
      <c r="X110" s="722" t="s">
        <v>13</v>
      </c>
      <c r="Y110" s="722"/>
      <c r="Z110" s="722"/>
      <c r="AA110" s="722"/>
      <c r="AB110" s="722"/>
      <c r="AC110" s="722"/>
      <c r="AD110" s="722"/>
      <c r="AE110" s="722"/>
      <c r="AF110" s="722"/>
      <c r="AG110" s="722"/>
      <c r="AH110" s="722"/>
      <c r="AI110" s="722"/>
      <c r="AJ110" s="722"/>
      <c r="AK110" s="723">
        <f>AV110-AB127</f>
        <v>-4.9998896877525567E-3</v>
      </c>
      <c r="AL110" s="723"/>
      <c r="AM110" s="723"/>
      <c r="AN110" s="723"/>
      <c r="AO110" s="723"/>
      <c r="AP110" s="723"/>
      <c r="AQ110" s="723"/>
      <c r="AR110" s="723"/>
      <c r="AS110" s="723"/>
      <c r="AT110" s="723"/>
      <c r="AU110" s="723"/>
      <c r="AV110" s="707">
        <f>B7+G7+L7+Q7+V7+AA7+AF7+AK7+AP7+AU7+AZ7+BE7+BJ7+BO7+
B13+G13+L13+Q13+V13+AA13+AF13+AK13+AP13+AU13+AZ13+BE13+BJ13+BO13+
B19+G19+L19+Q19+V19+
B31+G31+L31+Q31+V31+AA31+AF31+AK31+AP31+AU31+AZ31+BE31+BJ31+BO31+
B37+G37+L37+Q37+V37+AA37+AF37</f>
        <v>74.065000110312241</v>
      </c>
      <c r="AW110" s="707"/>
      <c r="AX110" s="707"/>
      <c r="AY110" s="707"/>
      <c r="AZ110" s="707"/>
      <c r="BA110" s="707"/>
      <c r="BB110" s="707"/>
      <c r="BC110" s="707"/>
      <c r="BD110" s="707"/>
      <c r="BE110" s="707"/>
      <c r="BF110" s="707"/>
      <c r="BG110" s="707"/>
      <c r="BH110" s="724"/>
      <c r="BI110" s="724"/>
      <c r="BJ110" s="724"/>
      <c r="BK110" s="724"/>
      <c r="BL110" s="724"/>
      <c r="BM110" s="708">
        <f>BM106*1.5</f>
        <v>39</v>
      </c>
      <c r="BN110" s="708"/>
      <c r="BO110" s="708"/>
      <c r="BP110" s="708"/>
      <c r="BQ110" s="708"/>
      <c r="BR110" s="708"/>
      <c r="BS110" s="708"/>
    </row>
    <row r="111" spans="1:72" ht="87" x14ac:dyDescent="0.5">
      <c r="B111" s="70"/>
      <c r="C111" s="72"/>
      <c r="D111" s="72"/>
      <c r="E111" s="72"/>
      <c r="F111" s="72"/>
      <c r="G111" s="70"/>
      <c r="H111" s="1801"/>
      <c r="I111" s="1801"/>
      <c r="J111" s="1801"/>
      <c r="K111" s="1801"/>
      <c r="L111" s="70"/>
      <c r="M111" s="72"/>
      <c r="N111" s="72"/>
      <c r="O111" s="72"/>
      <c r="P111" s="72"/>
      <c r="Q111" s="70"/>
      <c r="R111" s="72"/>
      <c r="S111" s="72"/>
      <c r="T111" s="72"/>
      <c r="U111" s="72"/>
      <c r="V111" s="70"/>
      <c r="W111" s="72"/>
      <c r="X111" s="722"/>
      <c r="Y111" s="722"/>
      <c r="Z111" s="722"/>
      <c r="AA111" s="722"/>
      <c r="AB111" s="722"/>
      <c r="AC111" s="722"/>
      <c r="AD111" s="722"/>
      <c r="AE111" s="722"/>
      <c r="AF111" s="722"/>
      <c r="AG111" s="722"/>
      <c r="AH111" s="722"/>
      <c r="AI111" s="722"/>
      <c r="AJ111" s="722"/>
      <c r="AK111" s="723"/>
      <c r="AL111" s="723"/>
      <c r="AM111" s="723"/>
      <c r="AN111" s="723"/>
      <c r="AO111" s="723"/>
      <c r="AP111" s="723"/>
      <c r="AQ111" s="723"/>
      <c r="AR111" s="723"/>
      <c r="AS111" s="723"/>
      <c r="AT111" s="723"/>
      <c r="AU111" s="723"/>
      <c r="AV111" s="707"/>
      <c r="AW111" s="707"/>
      <c r="AX111" s="707"/>
      <c r="AY111" s="707"/>
      <c r="AZ111" s="707"/>
      <c r="BA111" s="707"/>
      <c r="BB111" s="707"/>
      <c r="BC111" s="707"/>
      <c r="BD111" s="707"/>
      <c r="BE111" s="707"/>
      <c r="BF111" s="707"/>
      <c r="BG111" s="707"/>
      <c r="BH111" s="724"/>
      <c r="BI111" s="724"/>
      <c r="BJ111" s="724"/>
      <c r="BK111" s="724"/>
      <c r="BL111" s="724"/>
      <c r="BM111" s="708"/>
      <c r="BN111" s="708"/>
      <c r="BO111" s="708"/>
      <c r="BP111" s="708"/>
      <c r="BQ111" s="708"/>
      <c r="BR111" s="708"/>
      <c r="BS111" s="708"/>
      <c r="BT111" s="228"/>
    </row>
    <row r="112" spans="1:72" ht="26.25" customHeight="1" x14ac:dyDescent="0.25">
      <c r="B112" s="411"/>
      <c r="C112" s="411"/>
      <c r="D112" s="411"/>
      <c r="E112" s="411"/>
      <c r="F112" s="411"/>
      <c r="G112" s="411"/>
      <c r="H112" s="1801"/>
      <c r="I112" s="1801"/>
      <c r="J112" s="1801"/>
      <c r="K112" s="1801"/>
      <c r="L112" s="411"/>
      <c r="M112" s="411"/>
      <c r="N112" s="411"/>
      <c r="O112" s="411"/>
      <c r="P112" s="411"/>
      <c r="Q112" s="70"/>
      <c r="R112" s="32"/>
      <c r="S112" s="33"/>
      <c r="T112" s="34"/>
      <c r="U112" s="35"/>
      <c r="V112" s="70"/>
      <c r="W112" s="32"/>
      <c r="X112" s="722"/>
      <c r="Y112" s="722"/>
      <c r="Z112" s="722"/>
      <c r="AA112" s="722"/>
      <c r="AB112" s="722"/>
      <c r="AC112" s="722"/>
      <c r="AD112" s="722"/>
      <c r="AE112" s="722"/>
      <c r="AF112" s="722"/>
      <c r="AG112" s="722"/>
      <c r="AH112" s="722"/>
      <c r="AI112" s="722"/>
      <c r="AJ112" s="722"/>
      <c r="AK112" s="723"/>
      <c r="AL112" s="723"/>
      <c r="AM112" s="723"/>
      <c r="AN112" s="723"/>
      <c r="AO112" s="723"/>
      <c r="AP112" s="723"/>
      <c r="AQ112" s="723"/>
      <c r="AR112" s="723"/>
      <c r="AS112" s="723"/>
      <c r="AT112" s="723"/>
      <c r="AU112" s="723"/>
      <c r="AV112" s="707"/>
      <c r="AW112" s="707"/>
      <c r="AX112" s="707"/>
      <c r="AY112" s="707"/>
      <c r="AZ112" s="707"/>
      <c r="BA112" s="707"/>
      <c r="BB112" s="707"/>
      <c r="BC112" s="707"/>
      <c r="BD112" s="707"/>
      <c r="BE112" s="707"/>
      <c r="BF112" s="707"/>
      <c r="BG112" s="707"/>
      <c r="BH112" s="724"/>
      <c r="BI112" s="724"/>
      <c r="BJ112" s="724"/>
      <c r="BK112" s="724"/>
      <c r="BL112" s="724"/>
      <c r="BM112" s="708"/>
      <c r="BN112" s="708"/>
      <c r="BO112" s="708"/>
      <c r="BP112" s="708"/>
      <c r="BQ112" s="708"/>
      <c r="BR112" s="708"/>
      <c r="BS112" s="708"/>
    </row>
    <row r="113" spans="2:71" ht="24" customHeight="1" x14ac:dyDescent="0.25">
      <c r="B113" s="411"/>
      <c r="C113" s="411"/>
      <c r="D113" s="411"/>
      <c r="E113" s="411"/>
      <c r="F113" s="411"/>
      <c r="G113" s="411"/>
      <c r="H113" s="1803" cm="1">
        <f t="array" aca="1" ref="H113" ca="1">SUM(COUNTIF(INDIRECT({"B7","G7","L7","Q7","V7","AA7","AF7","AK7","AP7","AU7","AZ7","BE7","BJ7","BO7","B13","G13","L13","Q13","V13","AA13","AF13","AK13","AP13","AU13","AZ13","BE13","BJ13","BO13","B19","G19","L19","Q19","V19","AA19","AF19","AK19","AP19","AU19","AZ19","BE19","BJ19","BO19","B25","G25","L25","Q25","V25","AA25","AF25","AK25","AP25","AU25","AZ25","BE25","BJ25","BO25","B31","G31","L31","Q31","V31","AA31","AF31","AK31","AP31","AU31","AZ31","BE31","BJ31","BO31","B37","G37","L37","Q37","V37","AA37","AF37","AK37","AP37","AU37"}),"&gt;0"))</f>
        <v>54</v>
      </c>
      <c r="I113" s="1803"/>
      <c r="J113" s="1803"/>
      <c r="K113" s="1803"/>
      <c r="L113" s="411"/>
      <c r="M113" s="411"/>
      <c r="N113" s="411"/>
      <c r="O113" s="411"/>
      <c r="P113" s="411"/>
      <c r="Q113" s="44"/>
      <c r="R113" s="44"/>
      <c r="S113" s="44"/>
      <c r="T113" s="69"/>
      <c r="U113" s="69"/>
      <c r="V113" s="44"/>
      <c r="W113" s="44"/>
      <c r="X113" s="722"/>
      <c r="Y113" s="722"/>
      <c r="Z113" s="722"/>
      <c r="AA113" s="722"/>
      <c r="AB113" s="722"/>
      <c r="AC113" s="722"/>
      <c r="AD113" s="722"/>
      <c r="AE113" s="722"/>
      <c r="AF113" s="722"/>
      <c r="AG113" s="722"/>
      <c r="AH113" s="722"/>
      <c r="AI113" s="722"/>
      <c r="AJ113" s="722"/>
      <c r="AK113" s="723"/>
      <c r="AL113" s="723"/>
      <c r="AM113" s="723"/>
      <c r="AN113" s="723"/>
      <c r="AO113" s="723"/>
      <c r="AP113" s="723"/>
      <c r="AQ113" s="723"/>
      <c r="AR113" s="723"/>
      <c r="AS113" s="723"/>
      <c r="AT113" s="723"/>
      <c r="AU113" s="723"/>
      <c r="AV113" s="707"/>
      <c r="AW113" s="707"/>
      <c r="AX113" s="707"/>
      <c r="AY113" s="707"/>
      <c r="AZ113" s="707"/>
      <c r="BA113" s="707"/>
      <c r="BB113" s="707"/>
      <c r="BC113" s="707"/>
      <c r="BD113" s="707"/>
      <c r="BE113" s="707"/>
      <c r="BF113" s="707"/>
      <c r="BG113" s="707"/>
      <c r="BH113" s="724"/>
      <c r="BI113" s="724"/>
      <c r="BJ113" s="724"/>
      <c r="BK113" s="724"/>
      <c r="BL113" s="724"/>
      <c r="BM113" s="708"/>
      <c r="BN113" s="708"/>
      <c r="BO113" s="708"/>
      <c r="BP113" s="708"/>
      <c r="BQ113" s="708"/>
      <c r="BR113" s="708"/>
      <c r="BS113" s="708"/>
    </row>
    <row r="114" spans="2:71" ht="24" customHeight="1" x14ac:dyDescent="0.25">
      <c r="B114" s="411"/>
      <c r="C114" s="411"/>
      <c r="D114" s="411"/>
      <c r="E114" s="411"/>
      <c r="F114" s="411"/>
      <c r="G114" s="411"/>
      <c r="H114" s="1803"/>
      <c r="I114" s="1803"/>
      <c r="J114" s="1803"/>
      <c r="K114" s="1803"/>
      <c r="L114" s="411"/>
      <c r="M114" s="411"/>
      <c r="N114" s="411"/>
      <c r="O114" s="411"/>
      <c r="P114" s="411"/>
      <c r="Q114" s="47"/>
      <c r="R114" s="47"/>
      <c r="S114" s="47"/>
      <c r="T114" s="69"/>
      <c r="U114" s="69"/>
      <c r="V114" s="47"/>
      <c r="W114" s="47"/>
      <c r="X114" s="722"/>
      <c r="Y114" s="722"/>
      <c r="Z114" s="722"/>
      <c r="AA114" s="722"/>
      <c r="AB114" s="722"/>
      <c r="AC114" s="722"/>
      <c r="AD114" s="722"/>
      <c r="AE114" s="722"/>
      <c r="AF114" s="722"/>
      <c r="AG114" s="722"/>
      <c r="AH114" s="722"/>
      <c r="AI114" s="722"/>
      <c r="AJ114" s="722"/>
      <c r="AK114" s="723"/>
      <c r="AL114" s="723"/>
      <c r="AM114" s="723"/>
      <c r="AN114" s="723"/>
      <c r="AO114" s="723"/>
      <c r="AP114" s="723"/>
      <c r="AQ114" s="723"/>
      <c r="AR114" s="723"/>
      <c r="AS114" s="723"/>
      <c r="AT114" s="723"/>
      <c r="AU114" s="723"/>
      <c r="AV114" s="707"/>
      <c r="AW114" s="707"/>
      <c r="AX114" s="707"/>
      <c r="AY114" s="707"/>
      <c r="AZ114" s="707"/>
      <c r="BA114" s="707"/>
      <c r="BB114" s="707"/>
      <c r="BC114" s="707"/>
      <c r="BD114" s="707"/>
      <c r="BE114" s="707"/>
      <c r="BF114" s="707"/>
      <c r="BG114" s="707"/>
      <c r="BH114" s="724"/>
      <c r="BI114" s="724"/>
      <c r="BJ114" s="724"/>
      <c r="BK114" s="724"/>
      <c r="BL114" s="724"/>
      <c r="BM114" s="699" t="s">
        <v>121</v>
      </c>
      <c r="BN114" s="699"/>
      <c r="BO114" s="699"/>
      <c r="BP114" s="699"/>
      <c r="BQ114" s="699"/>
      <c r="BR114" s="699"/>
      <c r="BS114" s="699"/>
    </row>
    <row r="115" spans="2:71" ht="27.75" customHeight="1" x14ac:dyDescent="0.25">
      <c r="B115" s="411"/>
      <c r="C115" s="411"/>
      <c r="D115" s="411"/>
      <c r="E115" s="411"/>
      <c r="F115" s="411"/>
      <c r="G115" s="411"/>
      <c r="H115" s="1803"/>
      <c r="I115" s="1803"/>
      <c r="J115" s="1803"/>
      <c r="K115" s="1803"/>
      <c r="L115" s="411"/>
      <c r="M115" s="411"/>
      <c r="N115" s="411"/>
      <c r="O115" s="411"/>
      <c r="P115" s="411"/>
      <c r="Q115" s="47"/>
      <c r="R115" s="47"/>
      <c r="S115" s="47"/>
      <c r="T115" s="101"/>
      <c r="U115" s="69"/>
      <c r="V115" s="47"/>
      <c r="W115" s="47"/>
      <c r="X115" s="722"/>
      <c r="Y115" s="722"/>
      <c r="Z115" s="722"/>
      <c r="AA115" s="722"/>
      <c r="AB115" s="722"/>
      <c r="AC115" s="722"/>
      <c r="AD115" s="722"/>
      <c r="AE115" s="722"/>
      <c r="AF115" s="722"/>
      <c r="AG115" s="722"/>
      <c r="AH115" s="722"/>
      <c r="AI115" s="722"/>
      <c r="AJ115" s="722"/>
      <c r="AK115" s="723"/>
      <c r="AL115" s="723"/>
      <c r="AM115" s="723"/>
      <c r="AN115" s="723"/>
      <c r="AO115" s="723"/>
      <c r="AP115" s="723"/>
      <c r="AQ115" s="723"/>
      <c r="AR115" s="723"/>
      <c r="AS115" s="723"/>
      <c r="AT115" s="723"/>
      <c r="AU115" s="723"/>
      <c r="AV115" s="707"/>
      <c r="AW115" s="707"/>
      <c r="AX115" s="707"/>
      <c r="AY115" s="707"/>
      <c r="AZ115" s="707"/>
      <c r="BA115" s="707"/>
      <c r="BB115" s="707"/>
      <c r="BC115" s="707"/>
      <c r="BD115" s="707"/>
      <c r="BE115" s="707"/>
      <c r="BF115" s="707"/>
      <c r="BG115" s="707"/>
      <c r="BH115" s="724"/>
      <c r="BI115" s="724"/>
      <c r="BJ115" s="724"/>
      <c r="BK115" s="724"/>
      <c r="BL115" s="724"/>
      <c r="BM115" s="699"/>
      <c r="BN115" s="699"/>
      <c r="BO115" s="699"/>
      <c r="BP115" s="699"/>
      <c r="BQ115" s="699"/>
      <c r="BR115" s="699"/>
      <c r="BS115" s="699"/>
    </row>
    <row r="116" spans="2:71" ht="15" customHeight="1" x14ac:dyDescent="0.25">
      <c r="M116" s="1798"/>
      <c r="N116" s="1798"/>
      <c r="O116" s="1798"/>
      <c r="P116" s="1798"/>
    </row>
    <row r="117" spans="2:71" ht="15" hidden="1" customHeight="1" x14ac:dyDescent="0.25">
      <c r="M117" s="1798"/>
      <c r="N117" s="1798"/>
      <c r="O117" s="1798"/>
      <c r="P117" s="1798"/>
    </row>
    <row r="118" spans="2:71" ht="15" hidden="1" customHeight="1" x14ac:dyDescent="0.25">
      <c r="M118" s="1798"/>
      <c r="N118" s="1798"/>
      <c r="O118" s="1798"/>
      <c r="P118" s="1798"/>
    </row>
    <row r="119" spans="2:71" ht="15" hidden="1" customHeight="1" x14ac:dyDescent="0.25">
      <c r="M119" s="1798"/>
      <c r="N119" s="1798"/>
      <c r="O119" s="1798"/>
      <c r="P119" s="1798"/>
      <c r="BE119" t="s">
        <v>464</v>
      </c>
    </row>
    <row r="120" spans="2:71" ht="15" hidden="1" customHeight="1" x14ac:dyDescent="0.25">
      <c r="M120" s="1798"/>
      <c r="N120" s="1798"/>
      <c r="O120" s="1798"/>
      <c r="P120" s="1798"/>
    </row>
    <row r="121" spans="2:71" hidden="1" x14ac:dyDescent="0.25"/>
    <row r="125" spans="2:71" x14ac:dyDescent="0.25">
      <c r="AA125" s="27"/>
      <c r="AB125" s="27"/>
      <c r="AC125" s="27"/>
      <c r="AD125" s="27"/>
      <c r="AE125" s="27"/>
      <c r="AF125" s="27"/>
      <c r="AG125" s="27"/>
      <c r="AH125" s="27"/>
    </row>
    <row r="126" spans="2:71" ht="15.75" thickBot="1" x14ac:dyDescent="0.3"/>
    <row r="127" spans="2:71" ht="15.75" thickTop="1" x14ac:dyDescent="0.25">
      <c r="AB127" s="775">
        <v>74.069999999999993</v>
      </c>
      <c r="AC127" s="776"/>
      <c r="AD127" s="776"/>
      <c r="AE127" s="776"/>
      <c r="AF127" s="777"/>
      <c r="AJ127" s="727" t="s">
        <v>122</v>
      </c>
      <c r="AK127" s="727"/>
      <c r="AL127" s="727"/>
      <c r="AM127" s="727" t="s">
        <v>123</v>
      </c>
      <c r="AN127" s="727"/>
      <c r="AO127" s="727"/>
      <c r="AP127" s="727" t="s">
        <v>124</v>
      </c>
      <c r="AQ127" s="727"/>
      <c r="AR127" s="727" t="s">
        <v>125</v>
      </c>
      <c r="AS127" s="727"/>
      <c r="AW127" s="739" t="s">
        <v>126</v>
      </c>
      <c r="AX127" s="740"/>
      <c r="AY127" s="740"/>
      <c r="AZ127" s="740"/>
      <c r="BA127" s="740"/>
      <c r="BB127" s="740"/>
      <c r="BC127" s="740"/>
      <c r="BD127" s="740"/>
      <c r="BE127" s="740"/>
      <c r="BF127" s="741"/>
      <c r="BG127" s="13"/>
      <c r="BH127" s="13"/>
      <c r="BI127" s="13"/>
    </row>
    <row r="128" spans="2:71" x14ac:dyDescent="0.25">
      <c r="AB128" s="778"/>
      <c r="AC128" s="779"/>
      <c r="AD128" s="779"/>
      <c r="AE128" s="779"/>
      <c r="AF128" s="780"/>
      <c r="AJ128" s="727"/>
      <c r="AK128" s="727"/>
      <c r="AL128" s="727"/>
      <c r="AM128" s="727"/>
      <c r="AN128" s="727"/>
      <c r="AO128" s="727"/>
      <c r="AP128" s="727"/>
      <c r="AQ128" s="727"/>
      <c r="AR128" s="727"/>
      <c r="AS128" s="727"/>
      <c r="AW128" s="750"/>
      <c r="AX128" s="751"/>
      <c r="AY128" s="751"/>
      <c r="AZ128" s="751"/>
      <c r="BA128" s="751"/>
      <c r="BB128" s="751"/>
      <c r="BC128" s="751"/>
      <c r="BD128" s="751"/>
      <c r="BE128" s="751"/>
      <c r="BF128" s="752"/>
      <c r="BG128" s="13"/>
      <c r="BH128" s="13"/>
      <c r="BI128" s="13"/>
    </row>
    <row r="129" spans="28:96" x14ac:dyDescent="0.25">
      <c r="AB129" s="778"/>
      <c r="AC129" s="779"/>
      <c r="AD129" s="779"/>
      <c r="AE129" s="779"/>
      <c r="AF129" s="780"/>
      <c r="AJ129" s="727"/>
      <c r="AK129" s="727"/>
      <c r="AL129" s="727"/>
      <c r="AM129" s="727"/>
      <c r="AN129" s="727"/>
      <c r="AO129" s="727"/>
      <c r="AP129" s="727"/>
      <c r="AQ129" s="727"/>
      <c r="AR129" s="727"/>
      <c r="AS129" s="727"/>
      <c r="AW129" s="742"/>
      <c r="AX129" s="743"/>
      <c r="AY129" s="743"/>
      <c r="AZ129" s="743"/>
      <c r="BA129" s="743"/>
      <c r="BB129" s="743"/>
      <c r="BC129" s="743"/>
      <c r="BD129" s="743"/>
      <c r="BE129" s="743"/>
      <c r="BF129" s="744"/>
      <c r="BG129" s="13"/>
      <c r="BH129" s="13"/>
      <c r="BI129" s="13"/>
    </row>
    <row r="130" spans="28:96" x14ac:dyDescent="0.25">
      <c r="AB130" s="778"/>
      <c r="AC130" s="779"/>
      <c r="AD130" s="779"/>
      <c r="AE130" s="779"/>
      <c r="AF130" s="780"/>
      <c r="AJ130" s="774">
        <v>2760</v>
      </c>
      <c r="AK130" s="774"/>
      <c r="AL130" s="774"/>
      <c r="AM130" s="774">
        <f>AR148+AR164</f>
        <v>2760</v>
      </c>
      <c r="AN130" s="774"/>
      <c r="AO130" s="774"/>
      <c r="AP130" s="726">
        <f>AV110</f>
        <v>74.065000110312241</v>
      </c>
      <c r="AQ130" s="726"/>
      <c r="AR130" s="726">
        <f>AV110+BM110</f>
        <v>113.06500011031224</v>
      </c>
      <c r="AS130" s="726"/>
      <c r="AW130" s="727" t="s">
        <v>128</v>
      </c>
      <c r="AX130" s="727"/>
      <c r="AY130" s="727"/>
      <c r="AZ130" s="727"/>
      <c r="BA130" s="727"/>
      <c r="BB130" s="727"/>
      <c r="BC130" s="727"/>
      <c r="BD130" s="727"/>
      <c r="BE130" s="727"/>
      <c r="BF130" s="727"/>
      <c r="BG130" s="13"/>
      <c r="BH130" s="13"/>
      <c r="BI130" s="13"/>
    </row>
    <row r="131" spans="28:96" x14ac:dyDescent="0.25">
      <c r="AB131" s="778"/>
      <c r="AC131" s="779"/>
      <c r="AD131" s="779"/>
      <c r="AE131" s="779"/>
      <c r="AF131" s="780"/>
      <c r="AJ131" s="774"/>
      <c r="AK131" s="774"/>
      <c r="AL131" s="774"/>
      <c r="AM131" s="774"/>
      <c r="AN131" s="774"/>
      <c r="AO131" s="774"/>
      <c r="AP131" s="726"/>
      <c r="AQ131" s="726"/>
      <c r="AR131" s="726"/>
      <c r="AS131" s="726"/>
      <c r="AW131" s="727"/>
      <c r="AX131" s="727"/>
      <c r="AY131" s="727"/>
      <c r="AZ131" s="727"/>
      <c r="BA131" s="727"/>
      <c r="BB131" s="727"/>
      <c r="BC131" s="727"/>
      <c r="BD131" s="727"/>
      <c r="BE131" s="727"/>
      <c r="BF131" s="727"/>
      <c r="BG131" s="13"/>
      <c r="BH131" s="13"/>
      <c r="BI131" s="13"/>
    </row>
    <row r="132" spans="28:96" ht="26.25" x14ac:dyDescent="0.25">
      <c r="AB132" s="778"/>
      <c r="AC132" s="779"/>
      <c r="AD132" s="779"/>
      <c r="AE132" s="779"/>
      <c r="AF132" s="780"/>
      <c r="AJ132" s="774"/>
      <c r="AK132" s="774"/>
      <c r="AL132" s="774"/>
      <c r="AM132" s="774"/>
      <c r="AN132" s="774"/>
      <c r="AO132" s="774"/>
      <c r="AP132" s="726"/>
      <c r="AQ132" s="726"/>
      <c r="AR132" s="726"/>
      <c r="AS132" s="726"/>
      <c r="AW132" s="728">
        <f>AP130/((90*3.1415/59)*(AM130/3.281))</f>
        <v>1.8373107424494814E-2</v>
      </c>
      <c r="AX132" s="729"/>
      <c r="AY132" s="729"/>
      <c r="AZ132" s="729"/>
      <c r="BA132" s="729"/>
      <c r="BB132" s="729"/>
      <c r="BC132" s="729"/>
      <c r="BD132" s="729"/>
      <c r="BE132" s="729"/>
      <c r="BF132" s="730"/>
      <c r="BG132" s="57"/>
      <c r="BH132" s="57"/>
      <c r="BI132" s="57"/>
    </row>
    <row r="133" spans="28:96" ht="27" thickBot="1" x14ac:dyDescent="0.3">
      <c r="AB133" s="781"/>
      <c r="AC133" s="782"/>
      <c r="AD133" s="782"/>
      <c r="AE133" s="782"/>
      <c r="AF133" s="783"/>
      <c r="AJ133" s="774"/>
      <c r="AK133" s="774"/>
      <c r="AL133" s="774"/>
      <c r="AM133" s="774"/>
      <c r="AN133" s="774"/>
      <c r="AO133" s="774"/>
      <c r="AP133" s="726"/>
      <c r="AQ133" s="726"/>
      <c r="AR133" s="726"/>
      <c r="AS133" s="726"/>
      <c r="AW133" s="731"/>
      <c r="AX133" s="732"/>
      <c r="AY133" s="732"/>
      <c r="AZ133" s="732"/>
      <c r="BA133" s="732"/>
      <c r="BB133" s="732"/>
      <c r="BC133" s="732"/>
      <c r="BD133" s="732"/>
      <c r="BE133" s="732"/>
      <c r="BF133" s="733"/>
      <c r="BG133" s="57"/>
      <c r="BH133" s="57"/>
      <c r="BI133" s="57"/>
      <c r="BV133" s="1800"/>
      <c r="BW133" s="1800"/>
      <c r="BX133" s="1800"/>
      <c r="BY133" s="1800"/>
    </row>
    <row r="134" spans="28:96" ht="27" thickTop="1" x14ac:dyDescent="0.25">
      <c r="AW134" s="734"/>
      <c r="AX134" s="735"/>
      <c r="AY134" s="735"/>
      <c r="AZ134" s="735"/>
      <c r="BA134" s="735"/>
      <c r="BB134" s="735"/>
      <c r="BC134" s="735"/>
      <c r="BD134" s="735"/>
      <c r="BE134" s="735"/>
      <c r="BF134" s="736"/>
      <c r="BG134" s="57"/>
      <c r="BH134" s="57"/>
      <c r="BI134" s="57"/>
      <c r="BV134" s="1800"/>
      <c r="BW134" s="1800"/>
      <c r="BX134" s="1800"/>
      <c r="BY134" s="1800"/>
    </row>
    <row r="135" spans="28:96" x14ac:dyDescent="0.25">
      <c r="AW135" s="739" t="s">
        <v>129</v>
      </c>
      <c r="AX135" s="740"/>
      <c r="AY135" s="740"/>
      <c r="AZ135" s="740"/>
      <c r="BA135" s="740"/>
      <c r="BB135" s="740"/>
      <c r="BC135" s="740"/>
      <c r="BD135" s="740"/>
      <c r="BE135" s="740"/>
      <c r="BF135" s="741"/>
      <c r="BG135" s="13"/>
      <c r="BH135" s="13"/>
      <c r="BI135" s="13"/>
    </row>
    <row r="136" spans="28:96" ht="15" customHeight="1" x14ac:dyDescent="0.25">
      <c r="AW136" s="742"/>
      <c r="AX136" s="743"/>
      <c r="AY136" s="743"/>
      <c r="AZ136" s="743"/>
      <c r="BA136" s="743"/>
      <c r="BB136" s="743"/>
      <c r="BC136" s="743"/>
      <c r="BD136" s="743"/>
      <c r="BE136" s="743"/>
      <c r="BF136" s="744"/>
      <c r="BG136" s="13"/>
      <c r="BH136" s="13"/>
      <c r="BI136" s="13"/>
    </row>
    <row r="137" spans="28:96" ht="15" customHeight="1" x14ac:dyDescent="0.25">
      <c r="AL137" s="1255">
        <v>42.5</v>
      </c>
      <c r="AM137" s="1255"/>
      <c r="AN137" s="1255"/>
      <c r="AO137" s="746">
        <v>6</v>
      </c>
      <c r="AP137" s="746"/>
      <c r="AQ137" s="746"/>
      <c r="AR137" s="747">
        <f>AO137*AL137</f>
        <v>255</v>
      </c>
      <c r="AS137" s="748"/>
      <c r="AT137" s="748"/>
      <c r="AU137" s="749"/>
      <c r="AW137" s="739" t="s">
        <v>130</v>
      </c>
      <c r="AX137" s="740"/>
      <c r="AY137" s="740"/>
      <c r="AZ137" s="740"/>
      <c r="BA137" s="740"/>
      <c r="BB137" s="740"/>
      <c r="BC137" s="740"/>
      <c r="BD137" s="740"/>
      <c r="BE137" s="740"/>
      <c r="BF137" s="741"/>
      <c r="BG137" s="13"/>
      <c r="BH137" s="13"/>
      <c r="BI137" s="13"/>
    </row>
    <row r="138" spans="28:96" x14ac:dyDescent="0.25">
      <c r="AL138" s="1255"/>
      <c r="AM138" s="1255"/>
      <c r="AN138" s="1255"/>
      <c r="AO138" s="746"/>
      <c r="AP138" s="746"/>
      <c r="AQ138" s="746"/>
      <c r="AR138" s="747"/>
      <c r="AS138" s="748"/>
      <c r="AT138" s="748"/>
      <c r="AU138" s="749"/>
      <c r="AW138" s="750"/>
      <c r="AX138" s="751"/>
      <c r="AY138" s="751"/>
      <c r="AZ138" s="751"/>
      <c r="BA138" s="751"/>
      <c r="BB138" s="751"/>
      <c r="BC138" s="751"/>
      <c r="BD138" s="751"/>
      <c r="BE138" s="751"/>
      <c r="BF138" s="752"/>
      <c r="BG138" s="13"/>
      <c r="BH138" s="13"/>
      <c r="BI138" s="13"/>
      <c r="BV138" s="727"/>
      <c r="BW138" s="727"/>
      <c r="BX138" s="727"/>
      <c r="BY138" s="727"/>
      <c r="BZ138" s="727"/>
      <c r="CA138" s="727"/>
      <c r="CB138" s="727"/>
      <c r="CC138" s="727"/>
      <c r="CD138" s="727"/>
      <c r="CE138" s="727"/>
      <c r="CI138" s="739"/>
      <c r="CJ138" s="740"/>
      <c r="CK138" s="740"/>
      <c r="CL138" s="740"/>
      <c r="CM138" s="740"/>
      <c r="CN138" s="740"/>
      <c r="CO138" s="740"/>
      <c r="CP138" s="740"/>
      <c r="CQ138" s="740"/>
      <c r="CR138" s="741"/>
    </row>
    <row r="139" spans="28:96" x14ac:dyDescent="0.25">
      <c r="AL139" s="1255"/>
      <c r="AM139" s="1255"/>
      <c r="AN139" s="1255"/>
      <c r="AO139" s="746"/>
      <c r="AP139" s="746"/>
      <c r="AQ139" s="746"/>
      <c r="AR139" s="747"/>
      <c r="AS139" s="748"/>
      <c r="AT139" s="748"/>
      <c r="AU139" s="749"/>
      <c r="AW139" s="750"/>
      <c r="AX139" s="751"/>
      <c r="AY139" s="751"/>
      <c r="AZ139" s="751"/>
      <c r="BA139" s="751"/>
      <c r="BB139" s="751"/>
      <c r="BC139" s="751"/>
      <c r="BD139" s="751"/>
      <c r="BE139" s="751"/>
      <c r="BF139" s="752"/>
      <c r="BG139" s="13"/>
      <c r="BH139" s="13"/>
      <c r="BI139" s="13"/>
      <c r="BV139" s="727"/>
      <c r="BW139" s="727"/>
      <c r="BX139" s="727"/>
      <c r="BY139" s="727"/>
      <c r="BZ139" s="727"/>
      <c r="CA139" s="727"/>
      <c r="CB139" s="727"/>
      <c r="CC139" s="727"/>
      <c r="CD139" s="727"/>
      <c r="CE139" s="727"/>
      <c r="CI139" s="750"/>
      <c r="CJ139" s="751"/>
      <c r="CK139" s="751"/>
      <c r="CL139" s="751"/>
      <c r="CM139" s="751"/>
      <c r="CN139" s="751"/>
      <c r="CO139" s="751"/>
      <c r="CP139" s="751"/>
      <c r="CQ139" s="751"/>
      <c r="CR139" s="752"/>
    </row>
    <row r="140" spans="28:96" x14ac:dyDescent="0.25">
      <c r="AL140" s="1255">
        <v>45</v>
      </c>
      <c r="AM140" s="1255"/>
      <c r="AN140" s="1255"/>
      <c r="AO140" s="746">
        <v>9</v>
      </c>
      <c r="AP140" s="746"/>
      <c r="AQ140" s="746"/>
      <c r="AR140" s="747">
        <f>AO140*AL140</f>
        <v>405</v>
      </c>
      <c r="AS140" s="748"/>
      <c r="AT140" s="748"/>
      <c r="AU140" s="749"/>
      <c r="AW140" s="742"/>
      <c r="AX140" s="743"/>
      <c r="AY140" s="743"/>
      <c r="AZ140" s="743"/>
      <c r="BA140" s="743"/>
      <c r="BB140" s="743"/>
      <c r="BC140" s="743"/>
      <c r="BD140" s="743"/>
      <c r="BE140" s="743"/>
      <c r="BF140" s="744"/>
      <c r="BG140" s="13"/>
      <c r="BH140" s="13"/>
      <c r="BI140" s="13"/>
      <c r="BV140" s="727"/>
      <c r="BW140" s="727"/>
      <c r="BX140" s="727"/>
      <c r="BY140" s="727"/>
      <c r="BZ140" s="727"/>
      <c r="CA140" s="727"/>
      <c r="CB140" s="727"/>
      <c r="CC140" s="727"/>
      <c r="CD140" s="727"/>
      <c r="CE140" s="727"/>
      <c r="CI140" s="742"/>
      <c r="CJ140" s="743"/>
      <c r="CK140" s="743"/>
      <c r="CL140" s="743"/>
      <c r="CM140" s="743"/>
      <c r="CN140" s="743"/>
      <c r="CO140" s="743"/>
      <c r="CP140" s="743"/>
      <c r="CQ140" s="743"/>
      <c r="CR140" s="744"/>
    </row>
    <row r="141" spans="28:96" ht="26.25" x14ac:dyDescent="0.25">
      <c r="AL141" s="1255"/>
      <c r="AM141" s="1255"/>
      <c r="AN141" s="1255"/>
      <c r="AO141" s="746"/>
      <c r="AP141" s="746"/>
      <c r="AQ141" s="746"/>
      <c r="AR141" s="747"/>
      <c r="AS141" s="748"/>
      <c r="AT141" s="748"/>
      <c r="AU141" s="749"/>
      <c r="AW141" s="728">
        <f>AR130/((90*3.1415/59)*(AM130/3.281))</f>
        <v>2.8047733610791551E-2</v>
      </c>
      <c r="AX141" s="729"/>
      <c r="AY141" s="729"/>
      <c r="AZ141" s="729"/>
      <c r="BA141" s="729"/>
      <c r="BB141" s="729"/>
      <c r="BC141" s="729"/>
      <c r="BD141" s="729"/>
      <c r="BE141" s="729"/>
      <c r="BF141" s="730"/>
      <c r="BG141" s="57"/>
      <c r="BH141" s="57"/>
      <c r="BI141" s="57"/>
      <c r="BV141" s="774"/>
      <c r="BW141" s="774"/>
      <c r="BX141" s="774"/>
      <c r="BY141" s="774"/>
      <c r="BZ141" s="774"/>
      <c r="CA141" s="774"/>
      <c r="CB141" s="726"/>
      <c r="CC141" s="726"/>
      <c r="CD141" s="726"/>
      <c r="CE141" s="726"/>
      <c r="CI141" s="727"/>
      <c r="CJ141" s="727"/>
      <c r="CK141" s="727"/>
      <c r="CL141" s="727"/>
      <c r="CM141" s="727"/>
      <c r="CN141" s="727"/>
      <c r="CO141" s="727"/>
      <c r="CP141" s="727"/>
      <c r="CQ141" s="727"/>
      <c r="CR141" s="727"/>
    </row>
    <row r="142" spans="28:96" ht="26.25" x14ac:dyDescent="0.25">
      <c r="AL142" s="1255"/>
      <c r="AM142" s="1255"/>
      <c r="AN142" s="1255"/>
      <c r="AO142" s="746"/>
      <c r="AP142" s="746"/>
      <c r="AQ142" s="746"/>
      <c r="AR142" s="747"/>
      <c r="AS142" s="748"/>
      <c r="AT142" s="748"/>
      <c r="AU142" s="749"/>
      <c r="AW142" s="731"/>
      <c r="AX142" s="732"/>
      <c r="AY142" s="732"/>
      <c r="AZ142" s="732"/>
      <c r="BA142" s="732"/>
      <c r="BB142" s="732"/>
      <c r="BC142" s="732"/>
      <c r="BD142" s="732"/>
      <c r="BE142" s="732"/>
      <c r="BF142" s="733"/>
      <c r="BG142" s="57"/>
      <c r="BH142" s="57"/>
      <c r="BI142" s="57"/>
      <c r="BV142" s="774"/>
      <c r="BW142" s="774"/>
      <c r="BX142" s="774"/>
      <c r="BY142" s="774"/>
      <c r="BZ142" s="774"/>
      <c r="CA142" s="774"/>
      <c r="CB142" s="726"/>
      <c r="CC142" s="726"/>
      <c r="CD142" s="726"/>
      <c r="CE142" s="726"/>
      <c r="CI142" s="727"/>
      <c r="CJ142" s="727"/>
      <c r="CK142" s="727"/>
      <c r="CL142" s="727"/>
      <c r="CM142" s="727"/>
      <c r="CN142" s="727"/>
      <c r="CO142" s="727"/>
      <c r="CP142" s="727"/>
      <c r="CQ142" s="727"/>
      <c r="CR142" s="727"/>
    </row>
    <row r="143" spans="28:96" ht="26.25" x14ac:dyDescent="0.25">
      <c r="AL143" s="1779">
        <v>55</v>
      </c>
      <c r="AM143" s="1780"/>
      <c r="AN143" s="1781"/>
      <c r="AO143" s="1457">
        <v>6</v>
      </c>
      <c r="AP143" s="1458"/>
      <c r="AQ143" s="1459"/>
      <c r="AR143" s="1457">
        <f>AO143*AL143</f>
        <v>330</v>
      </c>
      <c r="AS143" s="1458"/>
      <c r="AT143" s="1458"/>
      <c r="AU143" s="1459"/>
      <c r="AW143" s="731"/>
      <c r="AX143" s="732"/>
      <c r="AY143" s="732"/>
      <c r="AZ143" s="732"/>
      <c r="BA143" s="732"/>
      <c r="BB143" s="732"/>
      <c r="BC143" s="732"/>
      <c r="BD143" s="732"/>
      <c r="BE143" s="732"/>
      <c r="BF143" s="733"/>
      <c r="BG143" s="57"/>
      <c r="BH143" s="57"/>
      <c r="BI143" s="57"/>
      <c r="BV143" s="774"/>
      <c r="BW143" s="774"/>
      <c r="BX143" s="774"/>
      <c r="BY143" s="774"/>
      <c r="BZ143" s="774"/>
      <c r="CA143" s="774"/>
      <c r="CB143" s="726"/>
      <c r="CC143" s="726"/>
      <c r="CD143" s="726"/>
      <c r="CE143" s="726"/>
      <c r="CI143" s="728"/>
      <c r="CJ143" s="729"/>
      <c r="CK143" s="729"/>
      <c r="CL143" s="729"/>
      <c r="CM143" s="729"/>
      <c r="CN143" s="729"/>
      <c r="CO143" s="729"/>
      <c r="CP143" s="729"/>
      <c r="CQ143" s="729"/>
      <c r="CR143" s="730"/>
    </row>
    <row r="144" spans="28:96" ht="26.25" x14ac:dyDescent="0.25">
      <c r="AL144" s="1782"/>
      <c r="AM144" s="1783"/>
      <c r="AN144" s="1784"/>
      <c r="AO144" s="1785"/>
      <c r="AP144" s="1786"/>
      <c r="AQ144" s="1787"/>
      <c r="AR144" s="1785"/>
      <c r="AS144" s="1786"/>
      <c r="AT144" s="1786"/>
      <c r="AU144" s="1787"/>
      <c r="AW144" s="731"/>
      <c r="AX144" s="732"/>
      <c r="AY144" s="732"/>
      <c r="AZ144" s="732"/>
      <c r="BA144" s="732"/>
      <c r="BB144" s="732"/>
      <c r="BC144" s="732"/>
      <c r="BD144" s="732"/>
      <c r="BE144" s="732"/>
      <c r="BF144" s="733"/>
      <c r="BG144" s="57"/>
      <c r="BH144" s="57"/>
      <c r="BI144" s="57"/>
      <c r="BV144" s="774"/>
      <c r="BW144" s="774"/>
      <c r="BX144" s="774"/>
      <c r="BY144" s="774"/>
      <c r="BZ144" s="774"/>
      <c r="CA144" s="774"/>
      <c r="CB144" s="726"/>
      <c r="CC144" s="726"/>
      <c r="CD144" s="726"/>
      <c r="CE144" s="726"/>
      <c r="CI144" s="731"/>
      <c r="CJ144" s="732"/>
      <c r="CK144" s="732"/>
      <c r="CL144" s="732"/>
      <c r="CM144" s="732"/>
      <c r="CN144" s="732"/>
      <c r="CO144" s="732"/>
      <c r="CP144" s="732"/>
      <c r="CQ144" s="732"/>
      <c r="CR144" s="733"/>
    </row>
    <row r="145" spans="35:96" ht="26.25" x14ac:dyDescent="0.25">
      <c r="AL145" s="1788">
        <v>60</v>
      </c>
      <c r="AM145" s="1789"/>
      <c r="AN145" s="1790"/>
      <c r="AO145" s="747">
        <v>6</v>
      </c>
      <c r="AP145" s="748"/>
      <c r="AQ145" s="749"/>
      <c r="AR145" s="747">
        <f>AO145*AL145</f>
        <v>360</v>
      </c>
      <c r="AS145" s="748"/>
      <c r="AT145" s="748"/>
      <c r="AU145" s="749"/>
      <c r="AW145" s="734"/>
      <c r="AX145" s="735"/>
      <c r="AY145" s="735"/>
      <c r="AZ145" s="735"/>
      <c r="BA145" s="735"/>
      <c r="BB145" s="735"/>
      <c r="BC145" s="735"/>
      <c r="BD145" s="735"/>
      <c r="BE145" s="735"/>
      <c r="BF145" s="736"/>
      <c r="BG145" s="57"/>
      <c r="BH145" s="57"/>
      <c r="BI145" s="57"/>
      <c r="CI145" s="734"/>
      <c r="CJ145" s="735"/>
      <c r="CK145" s="735"/>
      <c r="CL145" s="735"/>
      <c r="CM145" s="735"/>
      <c r="CN145" s="735"/>
      <c r="CO145" s="735"/>
      <c r="CP145" s="735"/>
      <c r="CQ145" s="735"/>
      <c r="CR145" s="736"/>
    </row>
    <row r="146" spans="35:96" ht="37.5" customHeight="1" x14ac:dyDescent="0.25">
      <c r="AL146" s="1788">
        <v>65</v>
      </c>
      <c r="AM146" s="1789"/>
      <c r="AN146" s="1790"/>
      <c r="AO146" s="747">
        <v>3</v>
      </c>
      <c r="AP146" s="748"/>
      <c r="AQ146" s="749"/>
      <c r="AR146" s="747">
        <f>AO146*AL146</f>
        <v>195</v>
      </c>
      <c r="AS146" s="748"/>
      <c r="AT146" s="748"/>
      <c r="AU146" s="749"/>
      <c r="CI146" s="739"/>
      <c r="CJ146" s="740"/>
      <c r="CK146" s="740"/>
      <c r="CL146" s="740"/>
      <c r="CM146" s="740"/>
      <c r="CN146" s="740"/>
      <c r="CO146" s="740"/>
      <c r="CP146" s="740"/>
      <c r="CQ146" s="740"/>
      <c r="CR146" s="741"/>
    </row>
    <row r="147" spans="35:96" ht="26.25" x14ac:dyDescent="0.25">
      <c r="AL147" s="1788">
        <v>70</v>
      </c>
      <c r="AM147" s="1789"/>
      <c r="AN147" s="1790"/>
      <c r="AO147" s="747">
        <v>3</v>
      </c>
      <c r="AP147" s="748"/>
      <c r="AQ147" s="749"/>
      <c r="AR147" s="747">
        <f>AO147*AL147</f>
        <v>210</v>
      </c>
      <c r="AS147" s="748"/>
      <c r="AT147" s="748"/>
      <c r="AU147" s="749"/>
      <c r="CI147" s="742"/>
      <c r="CJ147" s="743"/>
      <c r="CK147" s="743"/>
      <c r="CL147" s="743"/>
      <c r="CM147" s="743"/>
      <c r="CN147" s="743"/>
      <c r="CO147" s="743"/>
      <c r="CP147" s="743"/>
      <c r="CQ147" s="743"/>
      <c r="CR147" s="744"/>
    </row>
    <row r="148" spans="35:96" ht="23.25" x14ac:dyDescent="0.25">
      <c r="AL148" s="1788"/>
      <c r="AM148" s="1789"/>
      <c r="AN148" s="1790"/>
      <c r="AO148" s="1254">
        <f>AO143+AO140+AO137+AO145+AO146+AO147</f>
        <v>33</v>
      </c>
      <c r="AP148" s="1254"/>
      <c r="AQ148" s="1254"/>
      <c r="AR148" s="747">
        <f>AR140+AR137+AR143+AR145+AR146+AR147</f>
        <v>1755</v>
      </c>
      <c r="AS148" s="748"/>
      <c r="AT148" s="748"/>
      <c r="AU148" s="749"/>
      <c r="BX148" s="1255"/>
      <c r="BY148" s="1255"/>
      <c r="BZ148" s="1255"/>
      <c r="CA148" s="746"/>
      <c r="CB148" s="746"/>
      <c r="CC148" s="746"/>
      <c r="CD148" s="747"/>
      <c r="CE148" s="748"/>
      <c r="CF148" s="748"/>
      <c r="CG148" s="749"/>
      <c r="CI148" s="739"/>
      <c r="CJ148" s="740"/>
      <c r="CK148" s="740"/>
      <c r="CL148" s="740"/>
      <c r="CM148" s="740"/>
      <c r="CN148" s="740"/>
      <c r="CO148" s="740"/>
      <c r="CP148" s="740"/>
      <c r="CQ148" s="740"/>
      <c r="CR148" s="741"/>
    </row>
    <row r="149" spans="35:96" x14ac:dyDescent="0.25">
      <c r="AO149" s="1254"/>
      <c r="AP149" s="1254"/>
      <c r="AQ149" s="1254"/>
      <c r="AR149" s="747"/>
      <c r="AS149" s="748"/>
      <c r="AT149" s="748"/>
      <c r="AU149" s="749"/>
      <c r="BX149" s="1255"/>
      <c r="BY149" s="1255"/>
      <c r="BZ149" s="1255"/>
      <c r="CA149" s="746"/>
      <c r="CB149" s="746"/>
      <c r="CC149" s="746"/>
      <c r="CD149" s="747"/>
      <c r="CE149" s="748"/>
      <c r="CF149" s="748"/>
      <c r="CG149" s="749"/>
      <c r="CI149" s="750"/>
      <c r="CJ149" s="751"/>
      <c r="CK149" s="751"/>
      <c r="CL149" s="751"/>
      <c r="CM149" s="751"/>
      <c r="CN149" s="751"/>
      <c r="CO149" s="751"/>
      <c r="CP149" s="751"/>
      <c r="CQ149" s="751"/>
      <c r="CR149" s="752"/>
    </row>
    <row r="150" spans="35:96" ht="15" customHeight="1" x14ac:dyDescent="0.25">
      <c r="AI150" s="1799"/>
      <c r="AJ150" s="1799"/>
      <c r="AK150" s="1799"/>
      <c r="AL150" s="1799"/>
      <c r="AO150" s="1254"/>
      <c r="AP150" s="1254"/>
      <c r="AQ150" s="1254"/>
      <c r="AR150" s="747"/>
      <c r="AS150" s="748"/>
      <c r="AT150" s="748"/>
      <c r="AU150" s="749"/>
      <c r="BX150" s="1255"/>
      <c r="BY150" s="1255"/>
      <c r="BZ150" s="1255"/>
      <c r="CA150" s="746"/>
      <c r="CB150" s="746"/>
      <c r="CC150" s="746"/>
      <c r="CD150" s="747"/>
      <c r="CE150" s="748"/>
      <c r="CF150" s="748"/>
      <c r="CG150" s="749"/>
      <c r="CI150" s="750"/>
      <c r="CJ150" s="751"/>
      <c r="CK150" s="751"/>
      <c r="CL150" s="751"/>
      <c r="CM150" s="751"/>
      <c r="CN150" s="751"/>
      <c r="CO150" s="751"/>
      <c r="CP150" s="751"/>
      <c r="CQ150" s="751"/>
      <c r="CR150" s="752"/>
    </row>
    <row r="151" spans="35:96" ht="15" customHeight="1" x14ac:dyDescent="0.25">
      <c r="AI151" s="1799"/>
      <c r="AJ151" s="1799"/>
      <c r="AK151" s="1799"/>
      <c r="AL151" s="1799"/>
      <c r="BX151" s="727"/>
      <c r="BY151" s="727"/>
      <c r="BZ151" s="727"/>
      <c r="CA151" s="746"/>
      <c r="CB151" s="746"/>
      <c r="CC151" s="746"/>
      <c r="CD151" s="747"/>
      <c r="CE151" s="748"/>
      <c r="CF151" s="748"/>
      <c r="CG151" s="749"/>
      <c r="CI151" s="742"/>
      <c r="CJ151" s="743"/>
      <c r="CK151" s="743"/>
      <c r="CL151" s="743"/>
      <c r="CM151" s="743"/>
      <c r="CN151" s="743"/>
      <c r="CO151" s="743"/>
      <c r="CP151" s="743"/>
      <c r="CQ151" s="743"/>
      <c r="CR151" s="744"/>
    </row>
    <row r="152" spans="35:96" ht="15" customHeight="1" x14ac:dyDescent="0.25">
      <c r="AI152" s="1799"/>
      <c r="AJ152" s="1799"/>
      <c r="AK152" s="1799"/>
      <c r="AL152" s="1799"/>
      <c r="BX152" s="727"/>
      <c r="BY152" s="727"/>
      <c r="BZ152" s="727"/>
      <c r="CA152" s="746"/>
      <c r="CB152" s="746"/>
      <c r="CC152" s="746"/>
      <c r="CD152" s="747"/>
      <c r="CE152" s="748"/>
      <c r="CF152" s="748"/>
      <c r="CG152" s="749"/>
      <c r="CI152" s="728"/>
      <c r="CJ152" s="729"/>
      <c r="CK152" s="729"/>
      <c r="CL152" s="729"/>
      <c r="CM152" s="729"/>
      <c r="CN152" s="729"/>
      <c r="CO152" s="729"/>
      <c r="CP152" s="729"/>
      <c r="CQ152" s="729"/>
      <c r="CR152" s="730"/>
    </row>
    <row r="153" spans="35:96" x14ac:dyDescent="0.25">
      <c r="AL153" s="1255">
        <v>42.5</v>
      </c>
      <c r="AM153" s="1255"/>
      <c r="AN153" s="1255"/>
      <c r="AO153" s="746">
        <v>6</v>
      </c>
      <c r="AP153" s="746"/>
      <c r="AQ153" s="746"/>
      <c r="AR153" s="747">
        <f>AO153*AL153</f>
        <v>255</v>
      </c>
      <c r="AS153" s="748"/>
      <c r="AT153" s="748"/>
      <c r="AU153" s="749"/>
      <c r="BX153" s="727"/>
      <c r="BY153" s="727"/>
      <c r="BZ153" s="727"/>
      <c r="CA153" s="746"/>
      <c r="CB153" s="746"/>
      <c r="CC153" s="746"/>
      <c r="CD153" s="747"/>
      <c r="CE153" s="748"/>
      <c r="CF153" s="748"/>
      <c r="CG153" s="749"/>
      <c r="CI153" s="731"/>
      <c r="CJ153" s="732"/>
      <c r="CK153" s="732"/>
      <c r="CL153" s="732"/>
      <c r="CM153" s="732"/>
      <c r="CN153" s="732"/>
      <c r="CO153" s="732"/>
      <c r="CP153" s="732"/>
      <c r="CQ153" s="732"/>
      <c r="CR153" s="733"/>
    </row>
    <row r="154" spans="35:96" ht="15" customHeight="1" x14ac:dyDescent="0.25">
      <c r="AL154" s="1255"/>
      <c r="AM154" s="1255"/>
      <c r="AN154" s="1255"/>
      <c r="AO154" s="746"/>
      <c r="AP154" s="746"/>
      <c r="AQ154" s="746"/>
      <c r="AR154" s="747"/>
      <c r="AS154" s="748"/>
      <c r="AT154" s="748"/>
      <c r="AU154" s="749"/>
      <c r="BX154" s="727"/>
      <c r="BY154" s="727"/>
      <c r="BZ154" s="727"/>
      <c r="CA154" s="746"/>
      <c r="CB154" s="746"/>
      <c r="CC154" s="746"/>
      <c r="CD154" s="747"/>
      <c r="CE154" s="748"/>
      <c r="CF154" s="748"/>
      <c r="CG154" s="749"/>
      <c r="CI154" s="731"/>
      <c r="CJ154" s="732"/>
      <c r="CK154" s="732"/>
      <c r="CL154" s="732"/>
      <c r="CM154" s="732"/>
      <c r="CN154" s="732"/>
      <c r="CO154" s="732"/>
      <c r="CP154" s="732"/>
      <c r="CQ154" s="732"/>
      <c r="CR154" s="733"/>
    </row>
    <row r="155" spans="35:96" ht="15" customHeight="1" x14ac:dyDescent="0.25">
      <c r="AL155" s="1255"/>
      <c r="AM155" s="1255"/>
      <c r="AN155" s="1255"/>
      <c r="AO155" s="746"/>
      <c r="AP155" s="746"/>
      <c r="AQ155" s="746"/>
      <c r="AR155" s="747"/>
      <c r="AS155" s="748"/>
      <c r="AT155" s="748"/>
      <c r="AU155" s="749"/>
      <c r="BX155" s="727"/>
      <c r="BY155" s="727"/>
      <c r="BZ155" s="727"/>
      <c r="CA155" s="746"/>
      <c r="CB155" s="746"/>
      <c r="CC155" s="746"/>
      <c r="CD155" s="747"/>
      <c r="CE155" s="748"/>
      <c r="CF155" s="748"/>
      <c r="CG155" s="749"/>
      <c r="CI155" s="731"/>
      <c r="CJ155" s="732"/>
      <c r="CK155" s="732"/>
      <c r="CL155" s="732"/>
      <c r="CM155" s="732"/>
      <c r="CN155" s="732"/>
      <c r="CO155" s="732"/>
      <c r="CP155" s="732"/>
      <c r="CQ155" s="732"/>
      <c r="CR155" s="733"/>
    </row>
    <row r="156" spans="35:96" ht="15" customHeight="1" x14ac:dyDescent="0.25">
      <c r="AL156" s="1255">
        <v>45</v>
      </c>
      <c r="AM156" s="1255"/>
      <c r="AN156" s="1255"/>
      <c r="AO156" s="746">
        <v>6</v>
      </c>
      <c r="AP156" s="746"/>
      <c r="AQ156" s="746"/>
      <c r="AR156" s="747">
        <f>AO156*AL156</f>
        <v>270</v>
      </c>
      <c r="AS156" s="748"/>
      <c r="AT156" s="748"/>
      <c r="AU156" s="749"/>
      <c r="BX156" s="727"/>
      <c r="BY156" s="727"/>
      <c r="BZ156" s="727"/>
      <c r="CA156" s="746"/>
      <c r="CB156" s="746"/>
      <c r="CC156" s="746"/>
      <c r="CD156" s="747"/>
      <c r="CE156" s="748"/>
      <c r="CF156" s="748"/>
      <c r="CG156" s="749"/>
      <c r="CI156" s="734"/>
      <c r="CJ156" s="735"/>
      <c r="CK156" s="735"/>
      <c r="CL156" s="735"/>
      <c r="CM156" s="735"/>
      <c r="CN156" s="735"/>
      <c r="CO156" s="735"/>
      <c r="CP156" s="735"/>
      <c r="CQ156" s="735"/>
      <c r="CR156" s="736"/>
    </row>
    <row r="157" spans="35:96" ht="15" customHeight="1" x14ac:dyDescent="0.25">
      <c r="AL157" s="1255"/>
      <c r="AM157" s="1255"/>
      <c r="AN157" s="1255"/>
      <c r="AO157" s="746"/>
      <c r="AP157" s="746"/>
      <c r="AQ157" s="746"/>
      <c r="AR157" s="747"/>
      <c r="AS157" s="748"/>
      <c r="AT157" s="748"/>
      <c r="AU157" s="749"/>
      <c r="CA157" s="1254"/>
      <c r="CB157" s="1254"/>
      <c r="CC157" s="1254"/>
      <c r="CD157" s="747"/>
      <c r="CE157" s="748"/>
      <c r="CF157" s="748"/>
      <c r="CG157" s="749"/>
    </row>
    <row r="158" spans="35:96" ht="15" customHeight="1" x14ac:dyDescent="0.25">
      <c r="AL158" s="1255"/>
      <c r="AM158" s="1255"/>
      <c r="AN158" s="1255"/>
      <c r="AO158" s="746"/>
      <c r="AP158" s="746"/>
      <c r="AQ158" s="746"/>
      <c r="AR158" s="747"/>
      <c r="AS158" s="748"/>
      <c r="AT158" s="748"/>
      <c r="AU158" s="749"/>
      <c r="CA158" s="1254"/>
      <c r="CB158" s="1254"/>
      <c r="CC158" s="1254"/>
      <c r="CD158" s="747"/>
      <c r="CE158" s="748"/>
      <c r="CF158" s="748"/>
      <c r="CG158" s="749"/>
    </row>
    <row r="159" spans="35:96" ht="15" customHeight="1" x14ac:dyDescent="0.25">
      <c r="AL159" s="1779">
        <v>47.5</v>
      </c>
      <c r="AM159" s="1780"/>
      <c r="AN159" s="1781"/>
      <c r="AO159" s="1457">
        <v>6</v>
      </c>
      <c r="AP159" s="1458"/>
      <c r="AQ159" s="1459"/>
      <c r="AR159" s="1457">
        <f>AO159*AL159</f>
        <v>285</v>
      </c>
      <c r="AS159" s="1458"/>
      <c r="AT159" s="1458"/>
      <c r="AU159" s="1459"/>
      <c r="CA159" s="1254"/>
      <c r="CB159" s="1254"/>
      <c r="CC159" s="1254"/>
      <c r="CD159" s="747"/>
      <c r="CE159" s="748"/>
      <c r="CF159" s="748"/>
      <c r="CG159" s="749"/>
    </row>
    <row r="160" spans="35:96" ht="18.75" customHeight="1" x14ac:dyDescent="0.25">
      <c r="AL160" s="1782"/>
      <c r="AM160" s="1783"/>
      <c r="AN160" s="1784"/>
      <c r="AO160" s="1785"/>
      <c r="AP160" s="1786"/>
      <c r="AQ160" s="1787"/>
      <c r="AR160" s="1785"/>
      <c r="AS160" s="1786"/>
      <c r="AT160" s="1786"/>
      <c r="AU160" s="1787"/>
    </row>
    <row r="161" spans="35:47" ht="18.75" customHeight="1" x14ac:dyDescent="0.25">
      <c r="AL161" s="1788">
        <v>65</v>
      </c>
      <c r="AM161" s="1789"/>
      <c r="AN161" s="1790"/>
      <c r="AO161" s="747">
        <v>3</v>
      </c>
      <c r="AP161" s="748"/>
      <c r="AQ161" s="749"/>
      <c r="AR161" s="747">
        <f>AO161*AL161</f>
        <v>195</v>
      </c>
      <c r="AS161" s="748"/>
      <c r="AT161" s="748"/>
      <c r="AU161" s="749"/>
    </row>
    <row r="162" spans="35:47" ht="18.75" customHeight="1" x14ac:dyDescent="0.25">
      <c r="AL162" s="1788"/>
      <c r="AM162" s="1789"/>
      <c r="AN162" s="1790"/>
      <c r="AO162" s="747"/>
      <c r="AP162" s="748"/>
      <c r="AQ162" s="749"/>
      <c r="AR162" s="747"/>
      <c r="AS162" s="748"/>
      <c r="AT162" s="748"/>
      <c r="AU162" s="749"/>
    </row>
    <row r="163" spans="35:47" ht="18.75" customHeight="1" x14ac:dyDescent="0.25">
      <c r="AL163" s="1788"/>
      <c r="AM163" s="1789"/>
      <c r="AN163" s="1790"/>
      <c r="AO163" s="747"/>
      <c r="AP163" s="748"/>
      <c r="AQ163" s="749"/>
      <c r="AR163" s="747"/>
      <c r="AS163" s="748"/>
      <c r="AT163" s="748"/>
      <c r="AU163" s="749"/>
    </row>
    <row r="164" spans="35:47" ht="18.75" customHeight="1" x14ac:dyDescent="0.25">
      <c r="AL164" s="1788"/>
      <c r="AM164" s="1789"/>
      <c r="AN164" s="1790"/>
      <c r="AO164" s="1254">
        <f>AO159+AO156+AO153+AO161</f>
        <v>21</v>
      </c>
      <c r="AP164" s="1254"/>
      <c r="AQ164" s="1254"/>
      <c r="AR164" s="747">
        <f>AR156+AR153+AR159+AR161</f>
        <v>1005</v>
      </c>
      <c r="AS164" s="748"/>
      <c r="AT164" s="748"/>
      <c r="AU164" s="749"/>
    </row>
    <row r="165" spans="35:47" ht="15" customHeight="1" x14ac:dyDescent="0.25">
      <c r="AO165" s="1254"/>
      <c r="AP165" s="1254"/>
      <c r="AQ165" s="1254"/>
      <c r="AR165" s="747"/>
      <c r="AS165" s="748"/>
      <c r="AT165" s="748"/>
      <c r="AU165" s="749"/>
    </row>
    <row r="166" spans="35:47" ht="15" customHeight="1" x14ac:dyDescent="0.25">
      <c r="AI166" s="1799"/>
      <c r="AJ166" s="1799"/>
      <c r="AK166" s="1799"/>
      <c r="AL166" s="1799"/>
      <c r="AO166" s="1254"/>
      <c r="AP166" s="1254"/>
      <c r="AQ166" s="1254"/>
      <c r="AR166" s="747"/>
      <c r="AS166" s="748"/>
      <c r="AT166" s="748"/>
      <c r="AU166" s="749"/>
    </row>
    <row r="167" spans="35:47" ht="15" customHeight="1" x14ac:dyDescent="0.25">
      <c r="AI167" s="1799"/>
      <c r="AJ167" s="1799"/>
      <c r="AK167" s="1799"/>
      <c r="AL167" s="1799"/>
    </row>
    <row r="168" spans="35:47" ht="15" customHeight="1" x14ac:dyDescent="0.25">
      <c r="AI168" s="1799"/>
      <c r="AJ168" s="1799"/>
      <c r="AK168" s="1799"/>
      <c r="AL168" s="1799"/>
    </row>
    <row r="169" spans="35:47" ht="15" customHeight="1" x14ac:dyDescent="0.25"/>
    <row r="170" spans="35:47" ht="15" customHeight="1" x14ac:dyDescent="0.25"/>
    <row r="171" spans="35:47" ht="15" customHeight="1" x14ac:dyDescent="0.25"/>
    <row r="172" spans="35:47" ht="15" customHeight="1" x14ac:dyDescent="0.25"/>
    <row r="173" spans="35:47" ht="15" customHeight="1" x14ac:dyDescent="0.25"/>
    <row r="174" spans="35:47" ht="15" customHeight="1" x14ac:dyDescent="0.25"/>
    <row r="175" spans="35:47" ht="15" customHeight="1" x14ac:dyDescent="0.25"/>
    <row r="189" spans="37:47" x14ac:dyDescent="0.25">
      <c r="AK189" s="727"/>
      <c r="AL189" s="727"/>
      <c r="AM189" s="727"/>
      <c r="AN189" s="727"/>
      <c r="AO189" s="727"/>
      <c r="AP189" s="727"/>
      <c r="AQ189" s="727"/>
      <c r="AR189" s="727"/>
      <c r="AS189" s="727"/>
      <c r="AT189" s="727"/>
    </row>
    <row r="190" spans="37:47" x14ac:dyDescent="0.25">
      <c r="AK190" s="727"/>
      <c r="AL190" s="727"/>
      <c r="AM190" s="727"/>
      <c r="AN190" s="727"/>
      <c r="AO190" s="727"/>
      <c r="AP190" s="727"/>
      <c r="AQ190" s="727"/>
      <c r="AR190" s="727"/>
      <c r="AS190" s="727"/>
      <c r="AT190" s="727"/>
    </row>
    <row r="191" spans="37:47" x14ac:dyDescent="0.25">
      <c r="AK191" s="727"/>
      <c r="AL191" s="727"/>
      <c r="AM191" s="727"/>
      <c r="AN191" s="727"/>
      <c r="AO191" s="727"/>
      <c r="AP191" s="727"/>
      <c r="AQ191" s="727"/>
      <c r="AR191" s="727"/>
      <c r="AS191" s="727"/>
      <c r="AT191" s="727"/>
    </row>
    <row r="192" spans="37:47" ht="15" customHeight="1" x14ac:dyDescent="0.25">
      <c r="AK192" s="774"/>
      <c r="AL192" s="774"/>
      <c r="AM192" s="774"/>
      <c r="AN192" s="774"/>
      <c r="AO192" s="774"/>
      <c r="AP192" s="774"/>
      <c r="AQ192" s="726"/>
      <c r="AR192" s="726"/>
      <c r="AS192" s="1777"/>
      <c r="AT192" s="1778"/>
      <c r="AU192" s="1778"/>
    </row>
    <row r="193" spans="37:47" ht="15" customHeight="1" x14ac:dyDescent="0.25">
      <c r="AK193" s="774"/>
      <c r="AL193" s="774"/>
      <c r="AM193" s="774"/>
      <c r="AN193" s="774"/>
      <c r="AO193" s="774"/>
      <c r="AP193" s="774"/>
      <c r="AQ193" s="726"/>
      <c r="AR193" s="726"/>
      <c r="AS193" s="1777"/>
      <c r="AT193" s="1778"/>
      <c r="AU193" s="1778"/>
    </row>
    <row r="194" spans="37:47" ht="15" customHeight="1" x14ac:dyDescent="0.25">
      <c r="AK194" s="774"/>
      <c r="AL194" s="774"/>
      <c r="AM194" s="774"/>
      <c r="AN194" s="774"/>
      <c r="AO194" s="774"/>
      <c r="AP194" s="774"/>
      <c r="AQ194" s="726"/>
      <c r="AR194" s="726"/>
      <c r="AS194" s="1777"/>
      <c r="AT194" s="1778"/>
      <c r="AU194" s="1778"/>
    </row>
    <row r="195" spans="37:47" ht="15" customHeight="1" x14ac:dyDescent="0.25">
      <c r="AK195" s="774"/>
      <c r="AL195" s="774"/>
      <c r="AM195" s="774"/>
      <c r="AN195" s="774"/>
      <c r="AO195" s="774"/>
      <c r="AP195" s="774"/>
      <c r="AQ195" s="726"/>
      <c r="AR195" s="726"/>
      <c r="AS195" s="1777"/>
      <c r="AT195" s="1778"/>
      <c r="AU195" s="1778"/>
    </row>
  </sheetData>
  <mergeCells count="818">
    <mergeCell ref="U2:V3"/>
    <mergeCell ref="W2:Y3"/>
    <mergeCell ref="Z2:AA3"/>
    <mergeCell ref="AB2:AD3"/>
    <mergeCell ref="A2:B3"/>
    <mergeCell ref="C2:E3"/>
    <mergeCell ref="F2:G3"/>
    <mergeCell ref="H2:J3"/>
    <mergeCell ref="K2:L3"/>
    <mergeCell ref="M2:O3"/>
    <mergeCell ref="BI2:BJ3"/>
    <mergeCell ref="BK2:BM3"/>
    <mergeCell ref="BN2:BO3"/>
    <mergeCell ref="BP2:BR3"/>
    <mergeCell ref="A4:E5"/>
    <mergeCell ref="F4:J5"/>
    <mergeCell ref="K4:O5"/>
    <mergeCell ref="P4:T5"/>
    <mergeCell ref="U4:Y5"/>
    <mergeCell ref="Z4:AD5"/>
    <mergeCell ref="AT2:AU3"/>
    <mergeCell ref="AV2:AX3"/>
    <mergeCell ref="AY2:AZ3"/>
    <mergeCell ref="BA2:BC3"/>
    <mergeCell ref="BD2:BE3"/>
    <mergeCell ref="BF2:BH3"/>
    <mergeCell ref="AE2:AF3"/>
    <mergeCell ref="AG2:AI3"/>
    <mergeCell ref="AJ2:AK3"/>
    <mergeCell ref="AL2:AN3"/>
    <mergeCell ref="AO2:AP3"/>
    <mergeCell ref="AQ2:AS3"/>
    <mergeCell ref="P2:Q3"/>
    <mergeCell ref="R2:T3"/>
    <mergeCell ref="BI4:BM5"/>
    <mergeCell ref="BN4:BR5"/>
    <mergeCell ref="A6:A7"/>
    <mergeCell ref="B6:E6"/>
    <mergeCell ref="F6:F7"/>
    <mergeCell ref="G6:J6"/>
    <mergeCell ref="K6:K7"/>
    <mergeCell ref="L6:O6"/>
    <mergeCell ref="P6:P7"/>
    <mergeCell ref="Q6:T6"/>
    <mergeCell ref="AE4:AI5"/>
    <mergeCell ref="AJ4:AN5"/>
    <mergeCell ref="AO4:AS5"/>
    <mergeCell ref="AT4:AX5"/>
    <mergeCell ref="AY4:BC5"/>
    <mergeCell ref="BD4:BH5"/>
    <mergeCell ref="A8:B9"/>
    <mergeCell ref="C8:E9"/>
    <mergeCell ref="F8:G9"/>
    <mergeCell ref="H8:J9"/>
    <mergeCell ref="K8:L9"/>
    <mergeCell ref="M8:O9"/>
    <mergeCell ref="P8:Q9"/>
    <mergeCell ref="R8:T9"/>
    <mergeCell ref="AY6:AY7"/>
    <mergeCell ref="AJ6:AJ7"/>
    <mergeCell ref="AK6:AN6"/>
    <mergeCell ref="AO6:AO7"/>
    <mergeCell ref="AP6:AS6"/>
    <mergeCell ref="AT6:AT7"/>
    <mergeCell ref="AU6:AX6"/>
    <mergeCell ref="U6:U7"/>
    <mergeCell ref="V6:Y6"/>
    <mergeCell ref="Z6:Z7"/>
    <mergeCell ref="AA6:AD6"/>
    <mergeCell ref="AE6:AE7"/>
    <mergeCell ref="AF6:AI6"/>
    <mergeCell ref="AV8:AX9"/>
    <mergeCell ref="U8:V9"/>
    <mergeCell ref="W8:Y9"/>
    <mergeCell ref="Z8:AA9"/>
    <mergeCell ref="AB8:AD9"/>
    <mergeCell ref="AE8:AF9"/>
    <mergeCell ref="AG8:AI9"/>
    <mergeCell ref="BN6:BN7"/>
    <mergeCell ref="BO6:BR6"/>
    <mergeCell ref="AZ6:BC6"/>
    <mergeCell ref="BD6:BD7"/>
    <mergeCell ref="BE6:BH6"/>
    <mergeCell ref="BI6:BI7"/>
    <mergeCell ref="BJ6:BM6"/>
    <mergeCell ref="BD10:BH11"/>
    <mergeCell ref="BI10:BM11"/>
    <mergeCell ref="BN10:BR11"/>
    <mergeCell ref="BN8:BO9"/>
    <mergeCell ref="BP8:BR9"/>
    <mergeCell ref="A10:E11"/>
    <mergeCell ref="F10:J11"/>
    <mergeCell ref="K10:O11"/>
    <mergeCell ref="P10:T11"/>
    <mergeCell ref="U10:Y11"/>
    <mergeCell ref="Z10:AD11"/>
    <mergeCell ref="AE10:AI11"/>
    <mergeCell ref="AJ10:AN11"/>
    <mergeCell ref="AY8:AZ9"/>
    <mergeCell ref="BA8:BC9"/>
    <mergeCell ref="BD8:BE9"/>
    <mergeCell ref="BF8:BH9"/>
    <mergeCell ref="BI8:BJ9"/>
    <mergeCell ref="BK8:BM9"/>
    <mergeCell ref="AJ8:AK9"/>
    <mergeCell ref="AL8:AN9"/>
    <mergeCell ref="AO8:AP9"/>
    <mergeCell ref="AQ8:AS9"/>
    <mergeCell ref="AT8:AU9"/>
    <mergeCell ref="A12:A13"/>
    <mergeCell ref="B12:E12"/>
    <mergeCell ref="F12:F13"/>
    <mergeCell ref="G12:J12"/>
    <mergeCell ref="K12:K13"/>
    <mergeCell ref="L12:O12"/>
    <mergeCell ref="AO10:AS11"/>
    <mergeCell ref="AT10:AX11"/>
    <mergeCell ref="AY10:BC11"/>
    <mergeCell ref="BO12:BR12"/>
    <mergeCell ref="A14:B15"/>
    <mergeCell ref="C14:E15"/>
    <mergeCell ref="F14:G15"/>
    <mergeCell ref="H14:J15"/>
    <mergeCell ref="K14:L15"/>
    <mergeCell ref="M14:O15"/>
    <mergeCell ref="AT12:AT13"/>
    <mergeCell ref="AU12:AX12"/>
    <mergeCell ref="AY12:AY13"/>
    <mergeCell ref="AZ12:BC12"/>
    <mergeCell ref="BD12:BD13"/>
    <mergeCell ref="BE12:BH12"/>
    <mergeCell ref="AE12:AE13"/>
    <mergeCell ref="AF12:AI12"/>
    <mergeCell ref="AJ12:AJ13"/>
    <mergeCell ref="AK12:AN12"/>
    <mergeCell ref="AO12:AO13"/>
    <mergeCell ref="AP12:AS12"/>
    <mergeCell ref="P12:P13"/>
    <mergeCell ref="Q12:T12"/>
    <mergeCell ref="U12:U13"/>
    <mergeCell ref="V12:Y12"/>
    <mergeCell ref="Z12:Z13"/>
    <mergeCell ref="P14:Q15"/>
    <mergeCell ref="R14:T15"/>
    <mergeCell ref="U14:V15"/>
    <mergeCell ref="W14:Y15"/>
    <mergeCell ref="Z14:AA15"/>
    <mergeCell ref="AB14:AD15"/>
    <mergeCell ref="BI12:BI13"/>
    <mergeCell ref="BJ12:BM12"/>
    <mergeCell ref="BN12:BN13"/>
    <mergeCell ref="AA12:AD12"/>
    <mergeCell ref="AE16:AF17"/>
    <mergeCell ref="AG16:AI17"/>
    <mergeCell ref="Z16:AA17"/>
    <mergeCell ref="AB16:AD17"/>
    <mergeCell ref="BI14:BJ15"/>
    <mergeCell ref="BK14:BM15"/>
    <mergeCell ref="BN14:BO15"/>
    <mergeCell ref="BP14:BR15"/>
    <mergeCell ref="AT14:AU15"/>
    <mergeCell ref="AV14:AX15"/>
    <mergeCell ref="AY14:AZ15"/>
    <mergeCell ref="BA14:BC15"/>
    <mergeCell ref="BD14:BE15"/>
    <mergeCell ref="BF14:BH15"/>
    <mergeCell ref="AE14:AF15"/>
    <mergeCell ref="AG14:AI15"/>
    <mergeCell ref="AJ14:AK15"/>
    <mergeCell ref="AL14:AN15"/>
    <mergeCell ref="AO14:AP15"/>
    <mergeCell ref="AQ14:AS15"/>
    <mergeCell ref="AF18:AI18"/>
    <mergeCell ref="L18:O18"/>
    <mergeCell ref="P18:P19"/>
    <mergeCell ref="Q18:T18"/>
    <mergeCell ref="U18:U19"/>
    <mergeCell ref="V18:Y18"/>
    <mergeCell ref="Z18:Z19"/>
    <mergeCell ref="A18:A19"/>
    <mergeCell ref="B18:E18"/>
    <mergeCell ref="F18:F19"/>
    <mergeCell ref="G18:J18"/>
    <mergeCell ref="K18:K19"/>
    <mergeCell ref="Z22:AD23"/>
    <mergeCell ref="AE22:AI23"/>
    <mergeCell ref="AJ16:BR23"/>
    <mergeCell ref="A22:E23"/>
    <mergeCell ref="F22:J23"/>
    <mergeCell ref="K22:O23"/>
    <mergeCell ref="P22:T23"/>
    <mergeCell ref="U22:Y23"/>
    <mergeCell ref="AB20:AD21"/>
    <mergeCell ref="AE20:AF21"/>
    <mergeCell ref="AG20:AI21"/>
    <mergeCell ref="M20:O21"/>
    <mergeCell ref="P20:Q21"/>
    <mergeCell ref="R20:T21"/>
    <mergeCell ref="U20:V21"/>
    <mergeCell ref="W20:Y21"/>
    <mergeCell ref="Z20:AA21"/>
    <mergeCell ref="A20:B21"/>
    <mergeCell ref="C20:E21"/>
    <mergeCell ref="F20:G21"/>
    <mergeCell ref="H20:J21"/>
    <mergeCell ref="K20:L21"/>
    <mergeCell ref="AA18:AD18"/>
    <mergeCell ref="AE18:AE19"/>
    <mergeCell ref="Q24:T24"/>
    <mergeCell ref="U24:U25"/>
    <mergeCell ref="V24:Y24"/>
    <mergeCell ref="Z24:Z25"/>
    <mergeCell ref="AA24:AD24"/>
    <mergeCell ref="AE24:AE25"/>
    <mergeCell ref="A24:A25"/>
    <mergeCell ref="B24:E24"/>
    <mergeCell ref="F24:F25"/>
    <mergeCell ref="G24:J24"/>
    <mergeCell ref="K24:K25"/>
    <mergeCell ref="L24:O24"/>
    <mergeCell ref="P24:P25"/>
    <mergeCell ref="AB26:AD27"/>
    <mergeCell ref="AE26:AF27"/>
    <mergeCell ref="BJ24:BM24"/>
    <mergeCell ref="BN24:BN25"/>
    <mergeCell ref="BO24:BR24"/>
    <mergeCell ref="A26:B27"/>
    <mergeCell ref="C26:E27"/>
    <mergeCell ref="F26:G27"/>
    <mergeCell ref="H26:J27"/>
    <mergeCell ref="K26:L27"/>
    <mergeCell ref="M26:O27"/>
    <mergeCell ref="P26:Q27"/>
    <mergeCell ref="AU24:AX24"/>
    <mergeCell ref="AY24:AY25"/>
    <mergeCell ref="AZ24:BC24"/>
    <mergeCell ref="BD24:BD25"/>
    <mergeCell ref="BE24:BH24"/>
    <mergeCell ref="BI24:BI25"/>
    <mergeCell ref="AF24:AI24"/>
    <mergeCell ref="AJ24:AJ25"/>
    <mergeCell ref="AK24:AN24"/>
    <mergeCell ref="AO24:AO25"/>
    <mergeCell ref="AP24:AS24"/>
    <mergeCell ref="AT24:AT25"/>
    <mergeCell ref="BK26:BM27"/>
    <mergeCell ref="BN26:BO27"/>
    <mergeCell ref="BP26:BR27"/>
    <mergeCell ref="A28:E29"/>
    <mergeCell ref="F28:J29"/>
    <mergeCell ref="P28:T29"/>
    <mergeCell ref="U28:Y29"/>
    <mergeCell ref="Z28:AD29"/>
    <mergeCell ref="AV26:AX27"/>
    <mergeCell ref="AY26:AZ27"/>
    <mergeCell ref="BA26:BC27"/>
    <mergeCell ref="BD26:BE27"/>
    <mergeCell ref="BF26:BH27"/>
    <mergeCell ref="BI26:BJ27"/>
    <mergeCell ref="AG26:AI27"/>
    <mergeCell ref="AJ26:AK27"/>
    <mergeCell ref="AL26:AN27"/>
    <mergeCell ref="AO26:AP27"/>
    <mergeCell ref="AQ26:AS27"/>
    <mergeCell ref="AT26:AU27"/>
    <mergeCell ref="R26:T27"/>
    <mergeCell ref="U26:V27"/>
    <mergeCell ref="W26:Y27"/>
    <mergeCell ref="Z26:AA27"/>
    <mergeCell ref="A30:A31"/>
    <mergeCell ref="B30:E30"/>
    <mergeCell ref="F30:F31"/>
    <mergeCell ref="G30:J30"/>
    <mergeCell ref="K30:K31"/>
    <mergeCell ref="L30:O30"/>
    <mergeCell ref="P30:P31"/>
    <mergeCell ref="Q30:T30"/>
    <mergeCell ref="AE28:AI29"/>
    <mergeCell ref="AU30:AX30"/>
    <mergeCell ref="U30:U31"/>
    <mergeCell ref="V30:Y30"/>
    <mergeCell ref="Z30:Z31"/>
    <mergeCell ref="AA30:AD30"/>
    <mergeCell ref="AE30:AE31"/>
    <mergeCell ref="AF30:AI30"/>
    <mergeCell ref="BI28:BM29"/>
    <mergeCell ref="BN28:BR29"/>
    <mergeCell ref="AJ28:AN29"/>
    <mergeCell ref="AO28:AS29"/>
    <mergeCell ref="AT28:AX29"/>
    <mergeCell ref="AY28:BC29"/>
    <mergeCell ref="BD28:BH29"/>
    <mergeCell ref="AB32:AD33"/>
    <mergeCell ref="AE32:AF33"/>
    <mergeCell ref="AG32:AI33"/>
    <mergeCell ref="BN30:BN31"/>
    <mergeCell ref="BO30:BR30"/>
    <mergeCell ref="A32:B33"/>
    <mergeCell ref="C32:E33"/>
    <mergeCell ref="F32:G33"/>
    <mergeCell ref="H32:J33"/>
    <mergeCell ref="K32:L33"/>
    <mergeCell ref="M32:O33"/>
    <mergeCell ref="P32:Q33"/>
    <mergeCell ref="R32:T33"/>
    <mergeCell ref="AY30:AY31"/>
    <mergeCell ref="AZ30:BC30"/>
    <mergeCell ref="BD30:BD31"/>
    <mergeCell ref="BE30:BH30"/>
    <mergeCell ref="BI30:BI31"/>
    <mergeCell ref="BJ30:BM30"/>
    <mergeCell ref="AJ30:AJ31"/>
    <mergeCell ref="AK30:AN30"/>
    <mergeCell ref="AO30:AO31"/>
    <mergeCell ref="AP30:AS30"/>
    <mergeCell ref="AT30:AT31"/>
    <mergeCell ref="BN32:BO33"/>
    <mergeCell ref="BP32:BR33"/>
    <mergeCell ref="A34:E35"/>
    <mergeCell ref="F34:J35"/>
    <mergeCell ref="K34:O35"/>
    <mergeCell ref="P34:T35"/>
    <mergeCell ref="U34:Y35"/>
    <mergeCell ref="Z34:AD35"/>
    <mergeCell ref="AE34:AI35"/>
    <mergeCell ref="AY32:AZ33"/>
    <mergeCell ref="BA32:BC33"/>
    <mergeCell ref="BD32:BE33"/>
    <mergeCell ref="BF32:BH33"/>
    <mergeCell ref="BI32:BJ33"/>
    <mergeCell ref="BK32:BM33"/>
    <mergeCell ref="AJ32:AK33"/>
    <mergeCell ref="AL32:AN33"/>
    <mergeCell ref="AO32:AP33"/>
    <mergeCell ref="AQ32:AS33"/>
    <mergeCell ref="AT32:AU33"/>
    <mergeCell ref="AV32:AX33"/>
    <mergeCell ref="U32:V33"/>
    <mergeCell ref="W32:Y33"/>
    <mergeCell ref="Z32:AA33"/>
    <mergeCell ref="AE36:AE37"/>
    <mergeCell ref="AF36:AI36"/>
    <mergeCell ref="P36:P37"/>
    <mergeCell ref="Q36:T36"/>
    <mergeCell ref="U36:U37"/>
    <mergeCell ref="V36:Y36"/>
    <mergeCell ref="Z36:Z37"/>
    <mergeCell ref="AA36:AD36"/>
    <mergeCell ref="A36:A37"/>
    <mergeCell ref="B36:E36"/>
    <mergeCell ref="F36:F37"/>
    <mergeCell ref="G36:J36"/>
    <mergeCell ref="K36:K37"/>
    <mergeCell ref="L36:O36"/>
    <mergeCell ref="AE40:AI41"/>
    <mergeCell ref="A40:E41"/>
    <mergeCell ref="F40:J41"/>
    <mergeCell ref="K40:O41"/>
    <mergeCell ref="P40:T41"/>
    <mergeCell ref="U40:Y41"/>
    <mergeCell ref="Z40:AD41"/>
    <mergeCell ref="AE38:AF39"/>
    <mergeCell ref="AG38:AI39"/>
    <mergeCell ref="P38:Q39"/>
    <mergeCell ref="R38:T39"/>
    <mergeCell ref="U38:V39"/>
    <mergeCell ref="W38:Y39"/>
    <mergeCell ref="Z38:AA39"/>
    <mergeCell ref="AB38:AD39"/>
    <mergeCell ref="A38:B39"/>
    <mergeCell ref="C38:E39"/>
    <mergeCell ref="F38:G39"/>
    <mergeCell ref="H38:J39"/>
    <mergeCell ref="K38:L39"/>
    <mergeCell ref="M38:O39"/>
    <mergeCell ref="U42:U43"/>
    <mergeCell ref="V42:Y42"/>
    <mergeCell ref="Z42:Z43"/>
    <mergeCell ref="AA42:AD42"/>
    <mergeCell ref="AE42:AE43"/>
    <mergeCell ref="AF42:AI42"/>
    <mergeCell ref="A42:A43"/>
    <mergeCell ref="B42:E42"/>
    <mergeCell ref="F42:F43"/>
    <mergeCell ref="G42:J42"/>
    <mergeCell ref="K42:K43"/>
    <mergeCell ref="L42:O42"/>
    <mergeCell ref="P42:P43"/>
    <mergeCell ref="Q42:T42"/>
    <mergeCell ref="A46:E47"/>
    <mergeCell ref="F46:J47"/>
    <mergeCell ref="K46:O47"/>
    <mergeCell ref="P46:T47"/>
    <mergeCell ref="U46:Y47"/>
    <mergeCell ref="Z46:AD47"/>
    <mergeCell ref="AE46:AI47"/>
    <mergeCell ref="U44:V45"/>
    <mergeCell ref="W44:Y45"/>
    <mergeCell ref="Z44:AA45"/>
    <mergeCell ref="AB44:AD45"/>
    <mergeCell ref="AE44:AF45"/>
    <mergeCell ref="AG44:AI45"/>
    <mergeCell ref="A44:B45"/>
    <mergeCell ref="C44:E45"/>
    <mergeCell ref="F44:G45"/>
    <mergeCell ref="H44:J45"/>
    <mergeCell ref="K44:L45"/>
    <mergeCell ref="M44:O45"/>
    <mergeCell ref="P44:Q45"/>
    <mergeCell ref="R44:T45"/>
    <mergeCell ref="AE48:AE49"/>
    <mergeCell ref="AF48:AI48"/>
    <mergeCell ref="P48:P49"/>
    <mergeCell ref="Q48:T48"/>
    <mergeCell ref="U48:U49"/>
    <mergeCell ref="V48:Y48"/>
    <mergeCell ref="Z48:Z49"/>
    <mergeCell ref="AA48:AD48"/>
    <mergeCell ref="A48:A49"/>
    <mergeCell ref="B48:E48"/>
    <mergeCell ref="F48:F49"/>
    <mergeCell ref="G48:J48"/>
    <mergeCell ref="K48:K49"/>
    <mergeCell ref="L48:O48"/>
    <mergeCell ref="AE52:AI53"/>
    <mergeCell ref="A52:E53"/>
    <mergeCell ref="F52:J53"/>
    <mergeCell ref="K52:O53"/>
    <mergeCell ref="P52:T53"/>
    <mergeCell ref="U52:Y53"/>
    <mergeCell ref="Z52:AD53"/>
    <mergeCell ref="AE50:AF51"/>
    <mergeCell ref="AG50:AI51"/>
    <mergeCell ref="P50:Q51"/>
    <mergeCell ref="R50:T51"/>
    <mergeCell ref="U50:V51"/>
    <mergeCell ref="W50:Y51"/>
    <mergeCell ref="Z50:AA51"/>
    <mergeCell ref="AB50:AD51"/>
    <mergeCell ref="A50:B51"/>
    <mergeCell ref="C50:E51"/>
    <mergeCell ref="F50:G51"/>
    <mergeCell ref="H50:J51"/>
    <mergeCell ref="K50:L51"/>
    <mergeCell ref="M50:O51"/>
    <mergeCell ref="U54:U55"/>
    <mergeCell ref="V54:Y54"/>
    <mergeCell ref="Z54:Z55"/>
    <mergeCell ref="AA54:AD54"/>
    <mergeCell ref="AE54:AE55"/>
    <mergeCell ref="AF54:AI54"/>
    <mergeCell ref="A54:A55"/>
    <mergeCell ref="B54:E54"/>
    <mergeCell ref="F54:F55"/>
    <mergeCell ref="G54:J54"/>
    <mergeCell ref="K54:K55"/>
    <mergeCell ref="L54:O54"/>
    <mergeCell ref="P54:P55"/>
    <mergeCell ref="Q54:T54"/>
    <mergeCell ref="A58:E59"/>
    <mergeCell ref="F58:J59"/>
    <mergeCell ref="K58:O59"/>
    <mergeCell ref="P58:T59"/>
    <mergeCell ref="U58:Y59"/>
    <mergeCell ref="Z58:AD59"/>
    <mergeCell ref="AE58:AI59"/>
    <mergeCell ref="U56:V57"/>
    <mergeCell ref="W56:Y57"/>
    <mergeCell ref="Z56:AA57"/>
    <mergeCell ref="AB56:AD57"/>
    <mergeCell ref="AE56:AF57"/>
    <mergeCell ref="AG56:AI57"/>
    <mergeCell ref="A56:B57"/>
    <mergeCell ref="C56:E57"/>
    <mergeCell ref="F56:G57"/>
    <mergeCell ref="H56:J57"/>
    <mergeCell ref="K56:L57"/>
    <mergeCell ref="M56:O57"/>
    <mergeCell ref="P56:Q57"/>
    <mergeCell ref="R56:T57"/>
    <mergeCell ref="AE60:AE61"/>
    <mergeCell ref="AF60:AI60"/>
    <mergeCell ref="P60:P61"/>
    <mergeCell ref="Q60:T60"/>
    <mergeCell ref="U60:U61"/>
    <mergeCell ref="V60:Y60"/>
    <mergeCell ref="Z60:Z61"/>
    <mergeCell ref="AA60:AD60"/>
    <mergeCell ref="A60:A61"/>
    <mergeCell ref="B60:E60"/>
    <mergeCell ref="F60:F61"/>
    <mergeCell ref="G60:J60"/>
    <mergeCell ref="K60:K61"/>
    <mergeCell ref="L60:O60"/>
    <mergeCell ref="AE64:AI65"/>
    <mergeCell ref="A64:E65"/>
    <mergeCell ref="F64:J65"/>
    <mergeCell ref="K64:O65"/>
    <mergeCell ref="P64:T65"/>
    <mergeCell ref="U64:Y65"/>
    <mergeCell ref="Z64:AD65"/>
    <mergeCell ref="AE62:AF63"/>
    <mergeCell ref="AG62:AI63"/>
    <mergeCell ref="P62:Q63"/>
    <mergeCell ref="R62:T63"/>
    <mergeCell ref="U62:V63"/>
    <mergeCell ref="W62:Y63"/>
    <mergeCell ref="Z62:AA63"/>
    <mergeCell ref="AB62:AD63"/>
    <mergeCell ref="A62:B63"/>
    <mergeCell ref="C62:E63"/>
    <mergeCell ref="F62:G63"/>
    <mergeCell ref="H62:J63"/>
    <mergeCell ref="K62:L63"/>
    <mergeCell ref="M62:O63"/>
    <mergeCell ref="U66:U67"/>
    <mergeCell ref="V66:Y66"/>
    <mergeCell ref="Z66:Z67"/>
    <mergeCell ref="AA66:AD66"/>
    <mergeCell ref="AE66:AE67"/>
    <mergeCell ref="AF66:AI66"/>
    <mergeCell ref="A66:A67"/>
    <mergeCell ref="B66:E66"/>
    <mergeCell ref="F66:F67"/>
    <mergeCell ref="G66:J66"/>
    <mergeCell ref="K66:K67"/>
    <mergeCell ref="L66:O66"/>
    <mergeCell ref="P66:P67"/>
    <mergeCell ref="Q66:T66"/>
    <mergeCell ref="A70:E71"/>
    <mergeCell ref="F70:J71"/>
    <mergeCell ref="K70:O71"/>
    <mergeCell ref="P70:T71"/>
    <mergeCell ref="U70:Y71"/>
    <mergeCell ref="Z70:AD71"/>
    <mergeCell ref="AE70:AI71"/>
    <mergeCell ref="U68:V69"/>
    <mergeCell ref="W68:Y69"/>
    <mergeCell ref="Z68:AA69"/>
    <mergeCell ref="AB68:AD69"/>
    <mergeCell ref="AE68:AF69"/>
    <mergeCell ref="AG68:AI69"/>
    <mergeCell ref="A68:B69"/>
    <mergeCell ref="C68:E69"/>
    <mergeCell ref="F68:G69"/>
    <mergeCell ref="H68:J69"/>
    <mergeCell ref="K68:L69"/>
    <mergeCell ref="M68:O69"/>
    <mergeCell ref="P68:Q69"/>
    <mergeCell ref="R68:T69"/>
    <mergeCell ref="AE72:AE73"/>
    <mergeCell ref="AF72:AI72"/>
    <mergeCell ref="P72:P73"/>
    <mergeCell ref="Q72:T72"/>
    <mergeCell ref="U72:U73"/>
    <mergeCell ref="V72:Y72"/>
    <mergeCell ref="Z72:Z73"/>
    <mergeCell ref="AA72:AD72"/>
    <mergeCell ref="A72:A73"/>
    <mergeCell ref="B72:E72"/>
    <mergeCell ref="F72:F73"/>
    <mergeCell ref="G72:J72"/>
    <mergeCell ref="K72:K73"/>
    <mergeCell ref="L72:O72"/>
    <mergeCell ref="AE76:AI77"/>
    <mergeCell ref="A76:E77"/>
    <mergeCell ref="F76:J77"/>
    <mergeCell ref="K76:O77"/>
    <mergeCell ref="P76:T77"/>
    <mergeCell ref="U76:Y77"/>
    <mergeCell ref="Z76:AD77"/>
    <mergeCell ref="AE74:AF75"/>
    <mergeCell ref="AG74:AI75"/>
    <mergeCell ref="P74:Q75"/>
    <mergeCell ref="R74:T75"/>
    <mergeCell ref="U74:V75"/>
    <mergeCell ref="W74:Y75"/>
    <mergeCell ref="Z74:AA75"/>
    <mergeCell ref="AB74:AD75"/>
    <mergeCell ref="A74:B75"/>
    <mergeCell ref="C74:E75"/>
    <mergeCell ref="F74:G75"/>
    <mergeCell ref="H74:J75"/>
    <mergeCell ref="K74:L75"/>
    <mergeCell ref="M74:O75"/>
    <mergeCell ref="U78:U79"/>
    <mergeCell ref="V78:Y78"/>
    <mergeCell ref="Z78:Z79"/>
    <mergeCell ref="AA78:AD78"/>
    <mergeCell ref="AE78:AE79"/>
    <mergeCell ref="AF78:AI78"/>
    <mergeCell ref="A78:A79"/>
    <mergeCell ref="B78:E78"/>
    <mergeCell ref="F78:F79"/>
    <mergeCell ref="G78:J78"/>
    <mergeCell ref="K78:K79"/>
    <mergeCell ref="L78:O78"/>
    <mergeCell ref="P78:P79"/>
    <mergeCell ref="Q78:T78"/>
    <mergeCell ref="A82:E83"/>
    <mergeCell ref="F82:J83"/>
    <mergeCell ref="K82:O83"/>
    <mergeCell ref="P82:T83"/>
    <mergeCell ref="U82:Y83"/>
    <mergeCell ref="Z82:AD83"/>
    <mergeCell ref="AE82:AI83"/>
    <mergeCell ref="U80:V81"/>
    <mergeCell ref="W80:Y81"/>
    <mergeCell ref="Z80:AA81"/>
    <mergeCell ref="AB80:AD81"/>
    <mergeCell ref="AE80:AF81"/>
    <mergeCell ref="AG80:AI81"/>
    <mergeCell ref="A80:B81"/>
    <mergeCell ref="C80:E81"/>
    <mergeCell ref="F80:G81"/>
    <mergeCell ref="H80:J81"/>
    <mergeCell ref="K80:L81"/>
    <mergeCell ref="M80:O81"/>
    <mergeCell ref="P80:Q81"/>
    <mergeCell ref="R80:T81"/>
    <mergeCell ref="AE84:AE85"/>
    <mergeCell ref="AF84:AI84"/>
    <mergeCell ref="P84:P85"/>
    <mergeCell ref="Q84:T84"/>
    <mergeCell ref="U84:U85"/>
    <mergeCell ref="V84:Y84"/>
    <mergeCell ref="Z84:Z85"/>
    <mergeCell ref="AA84:AD84"/>
    <mergeCell ref="A84:A85"/>
    <mergeCell ref="B84:E84"/>
    <mergeCell ref="F84:F85"/>
    <mergeCell ref="G84:J84"/>
    <mergeCell ref="K84:K85"/>
    <mergeCell ref="L84:O84"/>
    <mergeCell ref="AE86:AF87"/>
    <mergeCell ref="AG86:AI87"/>
    <mergeCell ref="P86:Q87"/>
    <mergeCell ref="R86:T87"/>
    <mergeCell ref="U86:V87"/>
    <mergeCell ref="W86:Y87"/>
    <mergeCell ref="Z86:AA87"/>
    <mergeCell ref="AB86:AD87"/>
    <mergeCell ref="A86:B87"/>
    <mergeCell ref="C86:E87"/>
    <mergeCell ref="F86:G87"/>
    <mergeCell ref="H86:J87"/>
    <mergeCell ref="K86:L87"/>
    <mergeCell ref="M86:O87"/>
    <mergeCell ref="AE88:AI89"/>
    <mergeCell ref="A88:E89"/>
    <mergeCell ref="F88:J89"/>
    <mergeCell ref="K88:O89"/>
    <mergeCell ref="P88:T89"/>
    <mergeCell ref="U88:Y89"/>
    <mergeCell ref="Z88:AD89"/>
    <mergeCell ref="V90:Y90"/>
    <mergeCell ref="Z90:Z91"/>
    <mergeCell ref="AA90:AD90"/>
    <mergeCell ref="AE90:AE91"/>
    <mergeCell ref="AF90:AI90"/>
    <mergeCell ref="A96:A97"/>
    <mergeCell ref="B96:E96"/>
    <mergeCell ref="F96:F97"/>
    <mergeCell ref="G96:J96"/>
    <mergeCell ref="K96:K97"/>
    <mergeCell ref="L96:O96"/>
    <mergeCell ref="A94:E95"/>
    <mergeCell ref="F94:J95"/>
    <mergeCell ref="K94:O95"/>
    <mergeCell ref="F92:G93"/>
    <mergeCell ref="H92:J93"/>
    <mergeCell ref="K92:L93"/>
    <mergeCell ref="M92:O93"/>
    <mergeCell ref="P92:Q93"/>
    <mergeCell ref="R92:T93"/>
    <mergeCell ref="U90:U91"/>
    <mergeCell ref="A90:A91"/>
    <mergeCell ref="B90:E90"/>
    <mergeCell ref="F90:F91"/>
    <mergeCell ref="G90:J90"/>
    <mergeCell ref="K90:K91"/>
    <mergeCell ref="L90:O90"/>
    <mergeCell ref="P90:P91"/>
    <mergeCell ref="Q90:T90"/>
    <mergeCell ref="BM114:BS115"/>
    <mergeCell ref="X105:AJ109"/>
    <mergeCell ref="H110:K112"/>
    <mergeCell ref="AK106:AU109"/>
    <mergeCell ref="AV106:BG109"/>
    <mergeCell ref="BH106:BL115"/>
    <mergeCell ref="BM106:BP109"/>
    <mergeCell ref="V96:Y96"/>
    <mergeCell ref="Z96:Z97"/>
    <mergeCell ref="AA96:AD96"/>
    <mergeCell ref="BQ106:BS109"/>
    <mergeCell ref="H113:K115"/>
    <mergeCell ref="X110:AJ115"/>
    <mergeCell ref="AK110:AU115"/>
    <mergeCell ref="AV110:BG115"/>
    <mergeCell ref="BM110:BS113"/>
    <mergeCell ref="BV133:BY134"/>
    <mergeCell ref="AW135:BF136"/>
    <mergeCell ref="AL137:AN139"/>
    <mergeCell ref="AO137:AQ139"/>
    <mergeCell ref="AR137:AU139"/>
    <mergeCell ref="AW137:BF140"/>
    <mergeCell ref="BV138:BX140"/>
    <mergeCell ref="BY138:CA140"/>
    <mergeCell ref="AW127:BF129"/>
    <mergeCell ref="AJ130:AL133"/>
    <mergeCell ref="AM130:AO133"/>
    <mergeCell ref="AP130:AQ133"/>
    <mergeCell ref="AR130:AS133"/>
    <mergeCell ref="AW130:BF131"/>
    <mergeCell ref="AW132:BF134"/>
    <mergeCell ref="AJ127:AL129"/>
    <mergeCell ref="AM127:AO129"/>
    <mergeCell ref="AP127:AQ129"/>
    <mergeCell ref="AR127:AS129"/>
    <mergeCell ref="CB138:CC140"/>
    <mergeCell ref="CD138:CE140"/>
    <mergeCell ref="CI138:CR140"/>
    <mergeCell ref="AL140:AN142"/>
    <mergeCell ref="AO140:AQ142"/>
    <mergeCell ref="AR140:AU142"/>
    <mergeCell ref="AW141:BF145"/>
    <mergeCell ref="BV141:BX144"/>
    <mergeCell ref="BY141:CA144"/>
    <mergeCell ref="CB141:CC144"/>
    <mergeCell ref="CD141:CE144"/>
    <mergeCell ref="CI141:CR142"/>
    <mergeCell ref="AL143:AN144"/>
    <mergeCell ref="AO143:AQ144"/>
    <mergeCell ref="AR143:AU144"/>
    <mergeCell ref="CI143:CR145"/>
    <mergeCell ref="AL145:AN145"/>
    <mergeCell ref="AO145:AQ145"/>
    <mergeCell ref="AR145:AU145"/>
    <mergeCell ref="CA154:CC156"/>
    <mergeCell ref="CD154:CG156"/>
    <mergeCell ref="CA157:CC159"/>
    <mergeCell ref="CD157:CG159"/>
    <mergeCell ref="CI146:CR147"/>
    <mergeCell ref="BX148:BZ150"/>
    <mergeCell ref="CA148:CC150"/>
    <mergeCell ref="CD148:CG150"/>
    <mergeCell ref="CI148:CR151"/>
    <mergeCell ref="BX151:BZ153"/>
    <mergeCell ref="CA151:CC153"/>
    <mergeCell ref="CD151:CG153"/>
    <mergeCell ref="CI152:CR156"/>
    <mergeCell ref="BX154:BZ156"/>
    <mergeCell ref="M116:P120"/>
    <mergeCell ref="AB127:AF133"/>
    <mergeCell ref="AO164:AQ166"/>
    <mergeCell ref="AR164:AU166"/>
    <mergeCell ref="AL164:AN164"/>
    <mergeCell ref="AI166:AL168"/>
    <mergeCell ref="AL162:AN162"/>
    <mergeCell ref="AO162:AQ162"/>
    <mergeCell ref="AR162:AU162"/>
    <mergeCell ref="AL163:AN163"/>
    <mergeCell ref="AO163:AQ163"/>
    <mergeCell ref="AR163:AU163"/>
    <mergeCell ref="AL146:AN146"/>
    <mergeCell ref="AO146:AQ146"/>
    <mergeCell ref="AR146:AU146"/>
    <mergeCell ref="AL147:AN147"/>
    <mergeCell ref="AO147:AQ147"/>
    <mergeCell ref="AR147:AU147"/>
    <mergeCell ref="AL148:AN148"/>
    <mergeCell ref="AI150:AL152"/>
    <mergeCell ref="AO148:AQ150"/>
    <mergeCell ref="AR148:AU150"/>
    <mergeCell ref="A16:E17"/>
    <mergeCell ref="F16:J17"/>
    <mergeCell ref="K16:O17"/>
    <mergeCell ref="P16:T17"/>
    <mergeCell ref="U16:Y17"/>
    <mergeCell ref="K28:O29"/>
    <mergeCell ref="AJ34:BR102"/>
    <mergeCell ref="AE96:AE97"/>
    <mergeCell ref="AF96:AI96"/>
    <mergeCell ref="P96:P97"/>
    <mergeCell ref="Q96:T96"/>
    <mergeCell ref="U96:U97"/>
    <mergeCell ref="P94:T95"/>
    <mergeCell ref="U94:Y95"/>
    <mergeCell ref="Z94:AD95"/>
    <mergeCell ref="AE94:AI95"/>
    <mergeCell ref="U92:V93"/>
    <mergeCell ref="W92:Y93"/>
    <mergeCell ref="Z92:AA93"/>
    <mergeCell ref="AB92:AD93"/>
    <mergeCell ref="AE92:AF93"/>
    <mergeCell ref="AG92:AI93"/>
    <mergeCell ref="A92:B93"/>
    <mergeCell ref="C92:E93"/>
    <mergeCell ref="AK192:AM195"/>
    <mergeCell ref="AN192:AP195"/>
    <mergeCell ref="AQ192:AR195"/>
    <mergeCell ref="AS192:AU195"/>
    <mergeCell ref="AS189:AT191"/>
    <mergeCell ref="AL153:AN155"/>
    <mergeCell ref="AO153:AQ155"/>
    <mergeCell ref="AR153:AU155"/>
    <mergeCell ref="AL156:AN158"/>
    <mergeCell ref="AO156:AQ158"/>
    <mergeCell ref="AR156:AU158"/>
    <mergeCell ref="AL159:AN160"/>
    <mergeCell ref="AO159:AQ160"/>
    <mergeCell ref="AR159:AU160"/>
    <mergeCell ref="AL161:AN161"/>
    <mergeCell ref="AO161:AQ161"/>
    <mergeCell ref="AR161:AU161"/>
    <mergeCell ref="AK189:AM191"/>
    <mergeCell ref="AN189:AP191"/>
    <mergeCell ref="AQ189:AR191"/>
  </mergeCells>
  <pageMargins left="0.75" right="0" top="0.7" bottom="0" header="0.3" footer="0.3"/>
  <pageSetup paperSize="8" scale="33" orientation="landscape" r:id="rId1"/>
  <headerFooter>
    <oddFooter>&amp;C&amp;"-,Bold Italic"&amp;16Prepared by Emir Cebecioglu&amp;RQuality Control Department</oddFooter>
  </headerFooter>
  <rowBreaks count="1" manualBreakCount="1">
    <brk id="67" max="69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78EC4-64CB-48F8-9CAE-DCEA7C6BAD65}">
  <sheetPr>
    <tabColor rgb="FFFFC000"/>
    <pageSetUpPr fitToPage="1"/>
  </sheetPr>
  <dimension ref="A1:CL108"/>
  <sheetViews>
    <sheetView view="pageBreakPreview" zoomScale="55" zoomScaleNormal="115" zoomScaleSheetLayoutView="55" workbookViewId="0">
      <selection activeCell="L7" sqref="K7:Y14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140625" customWidth="1"/>
    <col min="47" max="47" width="10.71093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4.140625" customWidth="1"/>
    <col min="62" max="62" width="10.7109375" customWidth="1"/>
    <col min="63" max="63" width="4.28515625" customWidth="1"/>
    <col min="64" max="65" width="5.5703125" customWidth="1"/>
    <col min="66" max="66" width="4.140625" customWidth="1"/>
    <col min="67" max="67" width="10.7109375" customWidth="1"/>
    <col min="68" max="68" width="4.28515625" customWidth="1"/>
    <col min="69" max="70" width="5.5703125" customWidth="1"/>
    <col min="71" max="71" width="1" customWidth="1"/>
    <col min="72" max="72" width="56.7109375" customWidth="1"/>
    <col min="73" max="73" width="13" customWidth="1"/>
    <col min="74" max="74" width="7" customWidth="1"/>
  </cols>
  <sheetData>
    <row r="1" spans="1:83" ht="75" customHeight="1" x14ac:dyDescent="0.25"/>
    <row r="2" spans="1:83" ht="132" customHeight="1" x14ac:dyDescent="0.25"/>
    <row r="3" spans="1:83" ht="21.75" customHeight="1" x14ac:dyDescent="0.25">
      <c r="A3" s="1911" t="s">
        <v>110</v>
      </c>
      <c r="B3" s="1912"/>
      <c r="C3" s="1908">
        <f>B8/((60*3.1415/59)*(141/3.281))</f>
        <v>1.0728859592980271E-2</v>
      </c>
      <c r="D3" s="1908"/>
      <c r="E3" s="1909"/>
      <c r="F3" s="1911" t="s">
        <v>110</v>
      </c>
      <c r="G3" s="1912"/>
      <c r="H3" s="1908">
        <f t="shared" ref="H3" si="0">G8/((60*3.1415/59)*(141/3.281))</f>
        <v>8.3252454275468089E-3</v>
      </c>
      <c r="I3" s="1908"/>
      <c r="J3" s="1909"/>
      <c r="K3" s="1911" t="s">
        <v>110</v>
      </c>
      <c r="L3" s="1912"/>
      <c r="M3" s="1908">
        <f t="shared" ref="M3" si="1">L8/((60*3.1415/59)*(141/3.281))</f>
        <v>1.0175299967001655E-2</v>
      </c>
      <c r="N3" s="1908"/>
      <c r="O3" s="1909"/>
      <c r="P3" s="1911" t="s">
        <v>110</v>
      </c>
      <c r="Q3" s="1912"/>
      <c r="R3" s="1908">
        <f t="shared" ref="R3" si="2">Q8/((60*3.1415/59)*(141/3.281))</f>
        <v>9.2502726972742318E-3</v>
      </c>
      <c r="S3" s="1908"/>
      <c r="T3" s="1909"/>
      <c r="U3" s="1911" t="s">
        <v>110</v>
      </c>
      <c r="V3" s="1912"/>
      <c r="W3" s="1908">
        <f t="shared" ref="W3" si="3">V8/((60*3.1415/59)*(141/3.281))</f>
        <v>1.9236197002756885E-2</v>
      </c>
      <c r="X3" s="1908"/>
      <c r="Y3" s="1909"/>
      <c r="Z3" s="1911" t="s">
        <v>110</v>
      </c>
      <c r="AA3" s="1912"/>
      <c r="AB3" s="1908">
        <f t="shared" ref="AB3" si="4">AA8/((60*3.1415/59)*(141/3.281))</f>
        <v>2.0532691916233116E-2</v>
      </c>
      <c r="AC3" s="1908"/>
      <c r="AD3" s="1909"/>
      <c r="AE3" s="1911" t="s">
        <v>110</v>
      </c>
      <c r="AF3" s="1912"/>
      <c r="AG3" s="1908">
        <f t="shared" ref="AG3" si="5">AF8/((60*3.1415/59)*(141/3.281))</f>
        <v>1.8500545394548463E-3</v>
      </c>
      <c r="AH3" s="1908"/>
      <c r="AI3" s="1909"/>
      <c r="AJ3" s="1911" t="s">
        <v>110</v>
      </c>
      <c r="AK3" s="1912"/>
      <c r="AL3" s="1908">
        <f t="shared" ref="AL3" si="6">AK8/((60*3.1415/59)*(141/3.281))</f>
        <v>1.8500545394548463E-3</v>
      </c>
      <c r="AM3" s="1908"/>
      <c r="AN3" s="1909"/>
      <c r="AO3" s="1911" t="s">
        <v>110</v>
      </c>
      <c r="AP3" s="1912"/>
      <c r="AQ3" s="1908">
        <f t="shared" ref="AQ3" si="7">AP8/((60*3.1415/59)*(141/3.281))</f>
        <v>4.1436851476215043E-2</v>
      </c>
      <c r="AR3" s="1908"/>
      <c r="AS3" s="1909"/>
      <c r="AT3" s="1911" t="s">
        <v>110</v>
      </c>
      <c r="AU3" s="1912"/>
      <c r="AV3" s="1908">
        <f t="shared" ref="AV3" si="8">AU8/((60*3.1415/59)*(141/3.281))</f>
        <v>7.4002181578193852E-3</v>
      </c>
      <c r="AW3" s="1908"/>
      <c r="AX3" s="1909"/>
      <c r="AY3" s="1911" t="s">
        <v>110</v>
      </c>
      <c r="AZ3" s="1912"/>
      <c r="BA3" s="1908">
        <f t="shared" ref="BA3" si="9">AZ8/((60*3.1415/59)*(141/3.281))</f>
        <v>2.6082855534597656E-2</v>
      </c>
      <c r="BB3" s="1908"/>
      <c r="BC3" s="1909"/>
      <c r="BD3" s="1911" t="s">
        <v>110</v>
      </c>
      <c r="BE3" s="1912"/>
      <c r="BF3" s="1908">
        <f t="shared" ref="BF3" si="10">BE8/((60*3.1415/59)*(141/3.281))</f>
        <v>6.65728287032177E-3</v>
      </c>
      <c r="BG3" s="1908"/>
      <c r="BH3" s="1909"/>
      <c r="BI3" s="1911" t="s">
        <v>110</v>
      </c>
      <c r="BJ3" s="1912"/>
      <c r="BK3" s="1908">
        <f t="shared" ref="BK3" si="11">BJ8/((60*3.1415/59)*(141/3.281))</f>
        <v>1.0545310874892624E-2</v>
      </c>
      <c r="BL3" s="1908"/>
      <c r="BM3" s="1909"/>
      <c r="BN3" s="1911" t="s">
        <v>110</v>
      </c>
      <c r="BO3" s="1912"/>
      <c r="BP3" s="1908">
        <f t="shared" ref="BP3" si="12">BO8/((60*3.1415/59)*(141/3.281))</f>
        <v>2.7007882804325079E-2</v>
      </c>
      <c r="BQ3" s="1908"/>
      <c r="BR3" s="1909"/>
    </row>
    <row r="4" spans="1:83" ht="21.75" customHeight="1" x14ac:dyDescent="0.25">
      <c r="A4" s="1913"/>
      <c r="B4" s="1914"/>
      <c r="C4" s="1906"/>
      <c r="D4" s="1906"/>
      <c r="E4" s="1910"/>
      <c r="F4" s="1913"/>
      <c r="G4" s="1914"/>
      <c r="H4" s="1906"/>
      <c r="I4" s="1906"/>
      <c r="J4" s="1910"/>
      <c r="K4" s="1913"/>
      <c r="L4" s="1914"/>
      <c r="M4" s="1906"/>
      <c r="N4" s="1906"/>
      <c r="O4" s="1910"/>
      <c r="P4" s="1913"/>
      <c r="Q4" s="1914"/>
      <c r="R4" s="1906"/>
      <c r="S4" s="1906"/>
      <c r="T4" s="1910"/>
      <c r="U4" s="1913"/>
      <c r="V4" s="1914"/>
      <c r="W4" s="1906"/>
      <c r="X4" s="1906"/>
      <c r="Y4" s="1910"/>
      <c r="Z4" s="1913"/>
      <c r="AA4" s="1914"/>
      <c r="AB4" s="1906"/>
      <c r="AC4" s="1906"/>
      <c r="AD4" s="1910"/>
      <c r="AE4" s="1913"/>
      <c r="AF4" s="1914"/>
      <c r="AG4" s="1906"/>
      <c r="AH4" s="1906"/>
      <c r="AI4" s="1910"/>
      <c r="AJ4" s="1913"/>
      <c r="AK4" s="1914"/>
      <c r="AL4" s="1906"/>
      <c r="AM4" s="1906"/>
      <c r="AN4" s="1910"/>
      <c r="AO4" s="1913"/>
      <c r="AP4" s="1914"/>
      <c r="AQ4" s="1906"/>
      <c r="AR4" s="1906"/>
      <c r="AS4" s="1910"/>
      <c r="AT4" s="1913"/>
      <c r="AU4" s="1914"/>
      <c r="AV4" s="1906"/>
      <c r="AW4" s="1906"/>
      <c r="AX4" s="1910"/>
      <c r="AY4" s="1913"/>
      <c r="AZ4" s="1914"/>
      <c r="BA4" s="1906"/>
      <c r="BB4" s="1906"/>
      <c r="BC4" s="1910"/>
      <c r="BD4" s="1913"/>
      <c r="BE4" s="1914"/>
      <c r="BF4" s="1906"/>
      <c r="BG4" s="1906"/>
      <c r="BH4" s="1910"/>
      <c r="BI4" s="1913"/>
      <c r="BJ4" s="1914"/>
      <c r="BK4" s="1906"/>
      <c r="BL4" s="1906"/>
      <c r="BM4" s="1910"/>
      <c r="BN4" s="1913"/>
      <c r="BO4" s="1914"/>
      <c r="BP4" s="1906"/>
      <c r="BQ4" s="1906"/>
      <c r="BR4" s="1910"/>
    </row>
    <row r="5" spans="1:83" ht="30" customHeight="1" x14ac:dyDescent="0.25">
      <c r="A5" s="1917" t="s">
        <v>546</v>
      </c>
      <c r="B5" s="1918"/>
      <c r="C5" s="1917" t="s">
        <v>25</v>
      </c>
      <c r="D5" s="1918"/>
      <c r="E5" s="1919"/>
      <c r="F5" s="1915" t="s">
        <v>546</v>
      </c>
      <c r="G5" s="1916"/>
      <c r="H5" s="1917" t="s">
        <v>25</v>
      </c>
      <c r="I5" s="1918"/>
      <c r="J5" s="1919"/>
      <c r="K5" s="1917" t="s">
        <v>546</v>
      </c>
      <c r="L5" s="1918"/>
      <c r="M5" s="1917" t="s">
        <v>25</v>
      </c>
      <c r="N5" s="1918"/>
      <c r="O5" s="1919"/>
      <c r="P5" s="1917" t="s">
        <v>546</v>
      </c>
      <c r="Q5" s="1918"/>
      <c r="R5" s="1917" t="s">
        <v>25</v>
      </c>
      <c r="S5" s="1918"/>
      <c r="T5" s="1919"/>
      <c r="U5" s="1917" t="s">
        <v>546</v>
      </c>
      <c r="V5" s="1918"/>
      <c r="W5" s="1917" t="s">
        <v>25</v>
      </c>
      <c r="X5" s="1918"/>
      <c r="Y5" s="1919"/>
      <c r="Z5" s="1915" t="s">
        <v>546</v>
      </c>
      <c r="AA5" s="1916"/>
      <c r="AB5" s="1917" t="s">
        <v>25</v>
      </c>
      <c r="AC5" s="1918"/>
      <c r="AD5" s="1919"/>
      <c r="AE5" s="1915" t="s">
        <v>546</v>
      </c>
      <c r="AF5" s="1916"/>
      <c r="AG5" s="1917" t="s">
        <v>25</v>
      </c>
      <c r="AH5" s="1918"/>
      <c r="AI5" s="1919"/>
      <c r="AJ5" s="1917" t="s">
        <v>546</v>
      </c>
      <c r="AK5" s="1918"/>
      <c r="AL5" s="1917" t="s">
        <v>25</v>
      </c>
      <c r="AM5" s="1918"/>
      <c r="AN5" s="1919"/>
      <c r="AO5" s="1917" t="s">
        <v>546</v>
      </c>
      <c r="AP5" s="1918"/>
      <c r="AQ5" s="1917" t="s">
        <v>25</v>
      </c>
      <c r="AR5" s="1918"/>
      <c r="AS5" s="1919"/>
      <c r="AT5" s="1915" t="s">
        <v>546</v>
      </c>
      <c r="AU5" s="1916"/>
      <c r="AV5" s="1917" t="s">
        <v>25</v>
      </c>
      <c r="AW5" s="1918"/>
      <c r="AX5" s="1919"/>
      <c r="AY5" s="1917" t="s">
        <v>546</v>
      </c>
      <c r="AZ5" s="1918"/>
      <c r="BA5" s="1917" t="s">
        <v>25</v>
      </c>
      <c r="BB5" s="1918"/>
      <c r="BC5" s="1919"/>
      <c r="BD5" s="1917" t="s">
        <v>546</v>
      </c>
      <c r="BE5" s="1918"/>
      <c r="BF5" s="1917" t="s">
        <v>25</v>
      </c>
      <c r="BG5" s="1918"/>
      <c r="BH5" s="1919"/>
      <c r="BI5" s="1915" t="s">
        <v>546</v>
      </c>
      <c r="BJ5" s="1916"/>
      <c r="BK5" s="1917" t="s">
        <v>25</v>
      </c>
      <c r="BL5" s="1918"/>
      <c r="BM5" s="1919"/>
      <c r="BN5" s="1917" t="s">
        <v>546</v>
      </c>
      <c r="BO5" s="1918"/>
      <c r="BP5" s="1917" t="s">
        <v>25</v>
      </c>
      <c r="BQ5" s="1918"/>
      <c r="BR5" s="1919"/>
    </row>
    <row r="6" spans="1:83" ht="24.95" customHeight="1" x14ac:dyDescent="0.25">
      <c r="A6" s="1917" t="s">
        <v>548</v>
      </c>
      <c r="B6" s="1918"/>
      <c r="C6" s="1917" t="s">
        <v>549</v>
      </c>
      <c r="D6" s="1918"/>
      <c r="E6" s="1919"/>
      <c r="F6" s="1915" t="s">
        <v>548</v>
      </c>
      <c r="G6" s="1916"/>
      <c r="H6" s="1917" t="s">
        <v>549</v>
      </c>
      <c r="I6" s="1918"/>
      <c r="J6" s="1919"/>
      <c r="K6" s="1917" t="s">
        <v>548</v>
      </c>
      <c r="L6" s="1918"/>
      <c r="M6" s="1917" t="s">
        <v>549</v>
      </c>
      <c r="N6" s="1918"/>
      <c r="O6" s="1919"/>
      <c r="P6" s="1917" t="s">
        <v>548</v>
      </c>
      <c r="Q6" s="1918"/>
      <c r="R6" s="1917" t="s">
        <v>549</v>
      </c>
      <c r="S6" s="1918"/>
      <c r="T6" s="1919"/>
      <c r="U6" s="1917" t="s">
        <v>548</v>
      </c>
      <c r="V6" s="1918"/>
      <c r="W6" s="1917" t="s">
        <v>549</v>
      </c>
      <c r="X6" s="1918"/>
      <c r="Y6" s="1919"/>
      <c r="Z6" s="1917" t="s">
        <v>548</v>
      </c>
      <c r="AA6" s="1918"/>
      <c r="AB6" s="1915" t="s">
        <v>549</v>
      </c>
      <c r="AC6" s="1922"/>
      <c r="AD6" s="1916"/>
      <c r="AE6" s="1915" t="s">
        <v>548</v>
      </c>
      <c r="AF6" s="1916"/>
      <c r="AG6" s="1915" t="s">
        <v>549</v>
      </c>
      <c r="AH6" s="1922"/>
      <c r="AI6" s="1916"/>
      <c r="AJ6" s="1917" t="s">
        <v>548</v>
      </c>
      <c r="AK6" s="1918"/>
      <c r="AL6" s="1917" t="s">
        <v>549</v>
      </c>
      <c r="AM6" s="1918"/>
      <c r="AN6" s="1919"/>
      <c r="AO6" s="1915" t="s">
        <v>548</v>
      </c>
      <c r="AP6" s="1916"/>
      <c r="AQ6" s="1917" t="s">
        <v>549</v>
      </c>
      <c r="AR6" s="1918"/>
      <c r="AS6" s="1919"/>
      <c r="AT6" s="1917" t="s">
        <v>548</v>
      </c>
      <c r="AU6" s="1918"/>
      <c r="AV6" s="1915" t="s">
        <v>549</v>
      </c>
      <c r="AW6" s="1922"/>
      <c r="AX6" s="1916"/>
      <c r="AY6" s="1917" t="s">
        <v>548</v>
      </c>
      <c r="AZ6" s="1918"/>
      <c r="BA6" s="1917" t="s">
        <v>549</v>
      </c>
      <c r="BB6" s="1918"/>
      <c r="BC6" s="1919"/>
      <c r="BD6" s="1917" t="s">
        <v>548</v>
      </c>
      <c r="BE6" s="1918"/>
      <c r="BF6" s="1917" t="s">
        <v>549</v>
      </c>
      <c r="BG6" s="1918"/>
      <c r="BH6" s="1919"/>
      <c r="BI6" s="1917" t="s">
        <v>548</v>
      </c>
      <c r="BJ6" s="1918"/>
      <c r="BK6" s="1915" t="s">
        <v>549</v>
      </c>
      <c r="BL6" s="1922"/>
      <c r="BM6" s="1916"/>
      <c r="BN6" s="1917" t="s">
        <v>548</v>
      </c>
      <c r="BO6" s="1918"/>
      <c r="BP6" s="1917" t="s">
        <v>549</v>
      </c>
      <c r="BQ6" s="1918"/>
      <c r="BR6" s="1919"/>
    </row>
    <row r="7" spans="1:83" s="22" customFormat="1" ht="93" customHeight="1" x14ac:dyDescent="1.35">
      <c r="A7" s="1920" t="s">
        <v>547</v>
      </c>
      <c r="B7" s="1921">
        <v>1</v>
      </c>
      <c r="C7" s="1921"/>
      <c r="D7" s="1921"/>
      <c r="E7" s="1921"/>
      <c r="F7" s="1920" t="s">
        <v>547</v>
      </c>
      <c r="G7" s="1921">
        <v>2</v>
      </c>
      <c r="H7" s="1921"/>
      <c r="I7" s="1921"/>
      <c r="J7" s="1921"/>
      <c r="K7" s="1920" t="s">
        <v>547</v>
      </c>
      <c r="L7" s="1921">
        <v>3</v>
      </c>
      <c r="M7" s="1921"/>
      <c r="N7" s="1921"/>
      <c r="O7" s="1921"/>
      <c r="P7" s="1920" t="s">
        <v>562</v>
      </c>
      <c r="Q7" s="1921">
        <v>4</v>
      </c>
      <c r="R7" s="1921"/>
      <c r="S7" s="1921"/>
      <c r="T7" s="1921"/>
      <c r="U7" s="1920" t="s">
        <v>547</v>
      </c>
      <c r="V7" s="1921">
        <v>5</v>
      </c>
      <c r="W7" s="1921"/>
      <c r="X7" s="1921"/>
      <c r="Y7" s="1921"/>
      <c r="Z7" s="1920" t="s">
        <v>547</v>
      </c>
      <c r="AA7" s="1921">
        <v>6</v>
      </c>
      <c r="AB7" s="1921"/>
      <c r="AC7" s="1921"/>
      <c r="AD7" s="1921"/>
      <c r="AE7" s="1920" t="s">
        <v>547</v>
      </c>
      <c r="AF7" s="1921">
        <v>7</v>
      </c>
      <c r="AG7" s="1921"/>
      <c r="AH7" s="1921"/>
      <c r="AI7" s="1921"/>
      <c r="AJ7" s="1920" t="s">
        <v>547</v>
      </c>
      <c r="AK7" s="1921">
        <v>8</v>
      </c>
      <c r="AL7" s="1921"/>
      <c r="AM7" s="1921"/>
      <c r="AN7" s="1921"/>
      <c r="AO7" s="1920" t="s">
        <v>547</v>
      </c>
      <c r="AP7" s="1921">
        <v>9</v>
      </c>
      <c r="AQ7" s="1921"/>
      <c r="AR7" s="1921"/>
      <c r="AS7" s="1921"/>
      <c r="AT7" s="1920" t="s">
        <v>547</v>
      </c>
      <c r="AU7" s="1921">
        <v>10</v>
      </c>
      <c r="AV7" s="1921"/>
      <c r="AW7" s="1921"/>
      <c r="AX7" s="1921"/>
      <c r="AY7" s="1920" t="s">
        <v>547</v>
      </c>
      <c r="AZ7" s="1921">
        <v>11</v>
      </c>
      <c r="BA7" s="1921"/>
      <c r="BB7" s="1921"/>
      <c r="BC7" s="1921"/>
      <c r="BD7" s="1920" t="s">
        <v>547</v>
      </c>
      <c r="BE7" s="1921">
        <v>12</v>
      </c>
      <c r="BF7" s="1921"/>
      <c r="BG7" s="1921"/>
      <c r="BH7" s="1921"/>
      <c r="BI7" s="1920" t="s">
        <v>547</v>
      </c>
      <c r="BJ7" s="1921">
        <v>13</v>
      </c>
      <c r="BK7" s="1921"/>
      <c r="BL7" s="1921"/>
      <c r="BM7" s="1921"/>
      <c r="BN7" s="1920" t="s">
        <v>547</v>
      </c>
      <c r="BO7" s="1921">
        <v>14</v>
      </c>
      <c r="BP7" s="1921"/>
      <c r="BQ7" s="1921"/>
      <c r="BR7" s="1921"/>
    </row>
    <row r="8" spans="1:83" ht="39" customHeight="1" x14ac:dyDescent="0.25">
      <c r="A8" s="1920"/>
      <c r="B8" s="363">
        <v>1.4730000000000001</v>
      </c>
      <c r="C8" s="364" t="s">
        <v>113</v>
      </c>
      <c r="D8" s="365">
        <v>1</v>
      </c>
      <c r="E8" s="366" t="s">
        <v>114</v>
      </c>
      <c r="F8" s="1920"/>
      <c r="G8" s="363">
        <v>1.143</v>
      </c>
      <c r="H8" s="364" t="s">
        <v>113</v>
      </c>
      <c r="I8" s="365">
        <v>2</v>
      </c>
      <c r="J8" s="366" t="s">
        <v>114</v>
      </c>
      <c r="K8" s="1920"/>
      <c r="L8" s="363">
        <v>1.397</v>
      </c>
      <c r="M8" s="364" t="s">
        <v>113</v>
      </c>
      <c r="N8" s="365">
        <v>1</v>
      </c>
      <c r="O8" s="366" t="s">
        <v>114</v>
      </c>
      <c r="P8" s="1920"/>
      <c r="Q8" s="363">
        <v>1.27</v>
      </c>
      <c r="R8" s="364" t="s">
        <v>113</v>
      </c>
      <c r="S8" s="365">
        <v>2</v>
      </c>
      <c r="T8" s="366" t="s">
        <v>114</v>
      </c>
      <c r="U8" s="1920"/>
      <c r="V8" s="363">
        <v>2.641</v>
      </c>
      <c r="W8" s="364" t="s">
        <v>113</v>
      </c>
      <c r="X8" s="365">
        <v>1</v>
      </c>
      <c r="Y8" s="366" t="s">
        <v>114</v>
      </c>
      <c r="Z8" s="1920"/>
      <c r="AA8" s="363">
        <v>2.819</v>
      </c>
      <c r="AB8" s="364" t="s">
        <v>113</v>
      </c>
      <c r="AC8" s="365">
        <v>2</v>
      </c>
      <c r="AD8" s="366" t="s">
        <v>114</v>
      </c>
      <c r="AE8" s="1920"/>
      <c r="AF8" s="363">
        <v>0.254</v>
      </c>
      <c r="AG8" s="364" t="s">
        <v>113</v>
      </c>
      <c r="AH8" s="365">
        <v>1</v>
      </c>
      <c r="AI8" s="366" t="s">
        <v>114</v>
      </c>
      <c r="AJ8" s="1920"/>
      <c r="AK8" s="363">
        <v>0.254</v>
      </c>
      <c r="AL8" s="364" t="s">
        <v>113</v>
      </c>
      <c r="AM8" s="365">
        <v>1</v>
      </c>
      <c r="AN8" s="366" t="s">
        <v>114</v>
      </c>
      <c r="AO8" s="1920"/>
      <c r="AP8" s="363">
        <v>5.6890000000000001</v>
      </c>
      <c r="AQ8" s="364" t="s">
        <v>113</v>
      </c>
      <c r="AR8" s="365">
        <v>2</v>
      </c>
      <c r="AS8" s="366" t="s">
        <v>114</v>
      </c>
      <c r="AT8" s="1920"/>
      <c r="AU8" s="363">
        <v>1.016</v>
      </c>
      <c r="AV8" s="364" t="s">
        <v>113</v>
      </c>
      <c r="AW8" s="365">
        <v>1</v>
      </c>
      <c r="AX8" s="366" t="s">
        <v>114</v>
      </c>
      <c r="AY8" s="1920"/>
      <c r="AZ8" s="363">
        <v>3.581</v>
      </c>
      <c r="BA8" s="364" t="s">
        <v>113</v>
      </c>
      <c r="BB8" s="365">
        <v>2</v>
      </c>
      <c r="BC8" s="366" t="s">
        <v>114</v>
      </c>
      <c r="BD8" s="1920"/>
      <c r="BE8" s="363">
        <v>0.91400000000000003</v>
      </c>
      <c r="BF8" s="364" t="s">
        <v>113</v>
      </c>
      <c r="BG8" s="365">
        <v>1</v>
      </c>
      <c r="BH8" s="366" t="s">
        <v>114</v>
      </c>
      <c r="BI8" s="1920"/>
      <c r="BJ8" s="363">
        <v>1.4478</v>
      </c>
      <c r="BK8" s="364" t="s">
        <v>113</v>
      </c>
      <c r="BL8" s="365">
        <v>2</v>
      </c>
      <c r="BM8" s="366" t="s">
        <v>114</v>
      </c>
      <c r="BN8" s="1920"/>
      <c r="BO8" s="363">
        <v>3.7080000000000002</v>
      </c>
      <c r="BP8" s="364" t="s">
        <v>113</v>
      </c>
      <c r="BQ8" s="365">
        <v>1</v>
      </c>
      <c r="BR8" s="366" t="s">
        <v>114</v>
      </c>
      <c r="BW8" s="27"/>
      <c r="BX8" s="27"/>
      <c r="BY8" s="27"/>
      <c r="BZ8" s="27"/>
      <c r="CA8" s="27"/>
      <c r="CB8" s="27"/>
      <c r="CC8" s="27"/>
      <c r="CD8" s="27"/>
      <c r="CE8" s="27"/>
    </row>
    <row r="9" spans="1:83" ht="21.75" customHeight="1" x14ac:dyDescent="0.25">
      <c r="A9" s="1911" t="s">
        <v>110</v>
      </c>
      <c r="B9" s="1912"/>
      <c r="C9" s="1908">
        <f t="shared" ref="C9" si="13">B14/((60*3.1415/59)*(141/3.281))</f>
        <v>9.990294513056169E-3</v>
      </c>
      <c r="D9" s="1908"/>
      <c r="E9" s="1909"/>
      <c r="F9" s="1911" t="s">
        <v>110</v>
      </c>
      <c r="G9" s="1912"/>
      <c r="H9" s="1908">
        <f t="shared" ref="H9" si="14">G14/((60*3.1415/59)*(141/3.281))</f>
        <v>1.6835496309039102E-2</v>
      </c>
      <c r="I9" s="1908"/>
      <c r="J9" s="1909"/>
      <c r="K9" s="1911" t="s">
        <v>110</v>
      </c>
      <c r="L9" s="1912"/>
      <c r="M9" s="1908">
        <f t="shared" ref="M9" si="15">L14/((60*3.1415/59)*(141/3.281))</f>
        <v>3.4226008979914652E-2</v>
      </c>
      <c r="N9" s="1908"/>
      <c r="O9" s="1909"/>
      <c r="P9" s="1911" t="s">
        <v>110</v>
      </c>
      <c r="Q9" s="1912"/>
      <c r="R9" s="1908">
        <f t="shared" ref="R9" si="16">Q14/((60*3.1415/59)*(141/3.281))</f>
        <v>3.3300981710187236E-2</v>
      </c>
      <c r="S9" s="1908"/>
      <c r="T9" s="1909"/>
      <c r="U9" s="1911" t="s">
        <v>110</v>
      </c>
      <c r="V9" s="1912"/>
      <c r="W9" s="1908">
        <f t="shared" ref="W9" si="17">V14/((60*3.1415/59)*(141/3.281))</f>
        <v>4.5508428198873539E-2</v>
      </c>
      <c r="X9" s="1908"/>
      <c r="Y9" s="1909"/>
      <c r="Z9" s="1911" t="s">
        <v>110</v>
      </c>
      <c r="AA9" s="1912"/>
      <c r="AB9" s="1908">
        <f t="shared" ref="AB9" si="18">AA14/((60*3.1415/59)*(141/3.281))</f>
        <v>2.533992024710004E-2</v>
      </c>
      <c r="AC9" s="1908"/>
      <c r="AD9" s="1909"/>
      <c r="AE9" s="1911" t="s">
        <v>110</v>
      </c>
      <c r="AF9" s="1912"/>
      <c r="AG9" s="1908">
        <f t="shared" ref="AG9" si="19">AF14/((60*3.1415/59)*(141/3.281))</f>
        <v>1.7757610107050847E-2</v>
      </c>
      <c r="AH9" s="1908"/>
      <c r="AI9" s="1909"/>
      <c r="AJ9" s="1911" t="s">
        <v>110</v>
      </c>
      <c r="AK9" s="1912"/>
      <c r="AL9" s="1908">
        <f t="shared" ref="AL9" si="20">AK14/((60*3.1415/59)*(141/3.281))</f>
        <v>1.4800436315638768E-3</v>
      </c>
      <c r="AM9" s="1908"/>
      <c r="AN9" s="1909"/>
      <c r="AO9" s="1911" t="s">
        <v>110</v>
      </c>
      <c r="AP9" s="1912"/>
      <c r="AQ9" s="1908">
        <f t="shared" ref="AQ9" si="21">AP14/((60*3.1415/59)*(141/3.281))</f>
        <v>1.961057811822137E-2</v>
      </c>
      <c r="AR9" s="1908"/>
      <c r="AS9" s="1909"/>
      <c r="AT9" s="1911" t="s">
        <v>110</v>
      </c>
      <c r="AU9" s="1912"/>
      <c r="AV9" s="1908">
        <f t="shared" ref="AV9" si="22">AU14/((60*3.1415/59)*(141/3.281))</f>
        <v>1.9425572664275883E-2</v>
      </c>
      <c r="AW9" s="1908"/>
      <c r="AX9" s="1909"/>
      <c r="AY9" s="1911" t="s">
        <v>110</v>
      </c>
      <c r="AZ9" s="1912"/>
      <c r="BA9" s="1908">
        <f t="shared" ref="BA9" si="23">AZ14/((60*3.1415/59)*(141/3.281))</f>
        <v>6.845201795982931E-3</v>
      </c>
      <c r="BB9" s="1908"/>
      <c r="BC9" s="1909"/>
      <c r="BD9" s="1911" t="s">
        <v>110</v>
      </c>
      <c r="BE9" s="1912"/>
      <c r="BF9" s="1908">
        <f t="shared" ref="BF9" si="24">BE14/((60*3.1415/59)*(141/3.281))</f>
        <v>3.5151036249642074E-2</v>
      </c>
      <c r="BG9" s="1908"/>
      <c r="BH9" s="1909"/>
      <c r="BI9" s="1911" t="s">
        <v>110</v>
      </c>
      <c r="BJ9" s="1912"/>
      <c r="BK9" s="1908">
        <f t="shared" ref="BK9" si="25">BJ14/((60*3.1415/59)*(141/3.281))</f>
        <v>8.473104117117411E-2</v>
      </c>
      <c r="BL9" s="1908"/>
      <c r="BM9" s="1909"/>
      <c r="BN9" s="121"/>
      <c r="BO9" s="121"/>
      <c r="BP9" s="121"/>
      <c r="BQ9" s="121"/>
      <c r="BR9" s="31"/>
    </row>
    <row r="10" spans="1:83" ht="21.75" customHeight="1" x14ac:dyDescent="0.25">
      <c r="A10" s="1913"/>
      <c r="B10" s="1914"/>
      <c r="C10" s="1906"/>
      <c r="D10" s="1906"/>
      <c r="E10" s="1910"/>
      <c r="F10" s="1913"/>
      <c r="G10" s="1914"/>
      <c r="H10" s="1906"/>
      <c r="I10" s="1906"/>
      <c r="J10" s="1910"/>
      <c r="K10" s="1913"/>
      <c r="L10" s="1914"/>
      <c r="M10" s="1906"/>
      <c r="N10" s="1906"/>
      <c r="O10" s="1910"/>
      <c r="P10" s="1913"/>
      <c r="Q10" s="1914"/>
      <c r="R10" s="1906"/>
      <c r="S10" s="1906"/>
      <c r="T10" s="1910"/>
      <c r="U10" s="1913"/>
      <c r="V10" s="1914"/>
      <c r="W10" s="1906"/>
      <c r="X10" s="1906"/>
      <c r="Y10" s="1910"/>
      <c r="Z10" s="1913"/>
      <c r="AA10" s="1914"/>
      <c r="AB10" s="1906"/>
      <c r="AC10" s="1906"/>
      <c r="AD10" s="1910"/>
      <c r="AE10" s="1913"/>
      <c r="AF10" s="1914"/>
      <c r="AG10" s="1906"/>
      <c r="AH10" s="1906"/>
      <c r="AI10" s="1910"/>
      <c r="AJ10" s="1913"/>
      <c r="AK10" s="1914"/>
      <c r="AL10" s="1906"/>
      <c r="AM10" s="1906"/>
      <c r="AN10" s="1910"/>
      <c r="AO10" s="1913"/>
      <c r="AP10" s="1914"/>
      <c r="AQ10" s="1906"/>
      <c r="AR10" s="1906"/>
      <c r="AS10" s="1910"/>
      <c r="AT10" s="1913"/>
      <c r="AU10" s="1914"/>
      <c r="AV10" s="1906"/>
      <c r="AW10" s="1906"/>
      <c r="AX10" s="1910"/>
      <c r="AY10" s="1913"/>
      <c r="AZ10" s="1914"/>
      <c r="BA10" s="1906"/>
      <c r="BB10" s="1906"/>
      <c r="BC10" s="1910"/>
      <c r="BD10" s="1913"/>
      <c r="BE10" s="1914"/>
      <c r="BF10" s="1906"/>
      <c r="BG10" s="1906"/>
      <c r="BH10" s="1910"/>
      <c r="BI10" s="1913"/>
      <c r="BJ10" s="1914"/>
      <c r="BK10" s="1906"/>
      <c r="BL10" s="1906"/>
      <c r="BM10" s="1910"/>
      <c r="BN10" s="34"/>
      <c r="BO10" s="34"/>
      <c r="BP10" s="35"/>
      <c r="BQ10" s="31"/>
      <c r="BR10" s="32"/>
    </row>
    <row r="11" spans="1:83" ht="30" customHeight="1" x14ac:dyDescent="0.25">
      <c r="A11" s="1915" t="s">
        <v>546</v>
      </c>
      <c r="B11" s="1916"/>
      <c r="C11" s="1917" t="s">
        <v>25</v>
      </c>
      <c r="D11" s="1918"/>
      <c r="E11" s="1919"/>
      <c r="F11" s="1917" t="s">
        <v>546</v>
      </c>
      <c r="G11" s="1918"/>
      <c r="H11" s="1917" t="s">
        <v>25</v>
      </c>
      <c r="I11" s="1918"/>
      <c r="J11" s="1919"/>
      <c r="K11" s="1917" t="s">
        <v>546</v>
      </c>
      <c r="L11" s="1918"/>
      <c r="M11" s="1917" t="s">
        <v>25</v>
      </c>
      <c r="N11" s="1918"/>
      <c r="O11" s="1919"/>
      <c r="P11" s="1917" t="s">
        <v>546</v>
      </c>
      <c r="Q11" s="1918"/>
      <c r="R11" s="1917" t="s">
        <v>25</v>
      </c>
      <c r="S11" s="1918"/>
      <c r="T11" s="1919"/>
      <c r="U11" s="1917" t="s">
        <v>546</v>
      </c>
      <c r="V11" s="1918"/>
      <c r="W11" s="1917" t="s">
        <v>25</v>
      </c>
      <c r="X11" s="1918"/>
      <c r="Y11" s="1919"/>
      <c r="Z11" s="1917" t="s">
        <v>546</v>
      </c>
      <c r="AA11" s="1918"/>
      <c r="AB11" s="1917" t="s">
        <v>25</v>
      </c>
      <c r="AC11" s="1918"/>
      <c r="AD11" s="1919"/>
      <c r="AE11" s="1915" t="s">
        <v>546</v>
      </c>
      <c r="AF11" s="1916"/>
      <c r="AG11" s="1917" t="s">
        <v>25</v>
      </c>
      <c r="AH11" s="1918"/>
      <c r="AI11" s="1919"/>
      <c r="AJ11" s="1917" t="s">
        <v>546</v>
      </c>
      <c r="AK11" s="1918"/>
      <c r="AL11" s="1917" t="s">
        <v>25</v>
      </c>
      <c r="AM11" s="1918"/>
      <c r="AN11" s="1919"/>
      <c r="AO11" s="1917" t="s">
        <v>546</v>
      </c>
      <c r="AP11" s="1918"/>
      <c r="AQ11" s="1917" t="s">
        <v>25</v>
      </c>
      <c r="AR11" s="1918"/>
      <c r="AS11" s="1919"/>
      <c r="AT11" s="1915" t="s">
        <v>546</v>
      </c>
      <c r="AU11" s="1916"/>
      <c r="AV11" s="1917" t="s">
        <v>25</v>
      </c>
      <c r="AW11" s="1918"/>
      <c r="AX11" s="1919"/>
      <c r="AY11" s="1917" t="s">
        <v>546</v>
      </c>
      <c r="AZ11" s="1918"/>
      <c r="BA11" s="1917" t="s">
        <v>25</v>
      </c>
      <c r="BB11" s="1918"/>
      <c r="BC11" s="1919"/>
      <c r="BD11" s="1915" t="s">
        <v>546</v>
      </c>
      <c r="BE11" s="1916"/>
      <c r="BF11" s="1917" t="s">
        <v>25</v>
      </c>
      <c r="BG11" s="1918"/>
      <c r="BH11" s="1919"/>
      <c r="BI11" s="1917" t="s">
        <v>546</v>
      </c>
      <c r="BJ11" s="1918"/>
      <c r="BK11" s="1917" t="s">
        <v>25</v>
      </c>
      <c r="BL11" s="1918"/>
      <c r="BM11" s="1919"/>
      <c r="BN11" s="34"/>
      <c r="BO11" s="34"/>
      <c r="BP11" s="35"/>
      <c r="BQ11" s="31"/>
      <c r="BR11" s="32"/>
    </row>
    <row r="12" spans="1:83" ht="24.95" customHeight="1" x14ac:dyDescent="0.25">
      <c r="A12" s="1917" t="s">
        <v>548</v>
      </c>
      <c r="B12" s="1918"/>
      <c r="C12" s="1917" t="s">
        <v>549</v>
      </c>
      <c r="D12" s="1918"/>
      <c r="E12" s="1919"/>
      <c r="F12" s="1917" t="s">
        <v>548</v>
      </c>
      <c r="G12" s="1918"/>
      <c r="H12" s="1917" t="s">
        <v>549</v>
      </c>
      <c r="I12" s="1918"/>
      <c r="J12" s="1919"/>
      <c r="K12" s="1915" t="s">
        <v>548</v>
      </c>
      <c r="L12" s="1916"/>
      <c r="M12" s="1917" t="s">
        <v>549</v>
      </c>
      <c r="N12" s="1918"/>
      <c r="O12" s="1919"/>
      <c r="P12" s="1917" t="s">
        <v>548</v>
      </c>
      <c r="Q12" s="1918"/>
      <c r="R12" s="1917" t="s">
        <v>549</v>
      </c>
      <c r="S12" s="1918"/>
      <c r="T12" s="1919"/>
      <c r="U12" s="1915" t="s">
        <v>548</v>
      </c>
      <c r="V12" s="1916"/>
      <c r="W12" s="1917" t="s">
        <v>549</v>
      </c>
      <c r="X12" s="1918"/>
      <c r="Y12" s="1919"/>
      <c r="Z12" s="1917" t="s">
        <v>548</v>
      </c>
      <c r="AA12" s="1918"/>
      <c r="AB12" s="1917" t="s">
        <v>549</v>
      </c>
      <c r="AC12" s="1918"/>
      <c r="AD12" s="1919"/>
      <c r="AE12" s="1915" t="s">
        <v>548</v>
      </c>
      <c r="AF12" s="1916"/>
      <c r="AG12" s="1917" t="s">
        <v>549</v>
      </c>
      <c r="AH12" s="1918"/>
      <c r="AI12" s="1919"/>
      <c r="AJ12" s="1915" t="s">
        <v>548</v>
      </c>
      <c r="AK12" s="1916"/>
      <c r="AL12" s="1917" t="s">
        <v>549</v>
      </c>
      <c r="AM12" s="1918"/>
      <c r="AN12" s="1919"/>
      <c r="AO12" s="1917" t="s">
        <v>548</v>
      </c>
      <c r="AP12" s="1918"/>
      <c r="AQ12" s="1917" t="s">
        <v>549</v>
      </c>
      <c r="AR12" s="1918"/>
      <c r="AS12" s="1919"/>
      <c r="AT12" s="1917" t="s">
        <v>548</v>
      </c>
      <c r="AU12" s="1918"/>
      <c r="AV12" s="1915" t="s">
        <v>549</v>
      </c>
      <c r="AW12" s="1922"/>
      <c r="AX12" s="1916"/>
      <c r="AY12" s="1917" t="s">
        <v>548</v>
      </c>
      <c r="AZ12" s="1918"/>
      <c r="BA12" s="1917" t="s">
        <v>549</v>
      </c>
      <c r="BB12" s="1918"/>
      <c r="BC12" s="1919"/>
      <c r="BD12" s="1915" t="s">
        <v>548</v>
      </c>
      <c r="BE12" s="1916"/>
      <c r="BF12" s="1915" t="s">
        <v>549</v>
      </c>
      <c r="BG12" s="1922"/>
      <c r="BH12" s="1916"/>
      <c r="BI12" s="1917" t="s">
        <v>548</v>
      </c>
      <c r="BJ12" s="1918"/>
      <c r="BK12" s="1917" t="s">
        <v>549</v>
      </c>
      <c r="BL12" s="1918"/>
      <c r="BM12" s="1919"/>
      <c r="BN12" s="121"/>
      <c r="BO12" s="121"/>
      <c r="BP12" s="121"/>
      <c r="BQ12" s="121"/>
      <c r="BR12" s="31"/>
    </row>
    <row r="13" spans="1:83" s="22" customFormat="1" ht="93" customHeight="1" x14ac:dyDescent="1.35">
      <c r="A13" s="1920" t="s">
        <v>547</v>
      </c>
      <c r="B13" s="1921">
        <v>15</v>
      </c>
      <c r="C13" s="1921"/>
      <c r="D13" s="1921"/>
      <c r="E13" s="1921"/>
      <c r="F13" s="1920" t="s">
        <v>547</v>
      </c>
      <c r="G13" s="1921">
        <v>16</v>
      </c>
      <c r="H13" s="1921"/>
      <c r="I13" s="1921"/>
      <c r="J13" s="1921"/>
      <c r="K13" s="1920" t="s">
        <v>547</v>
      </c>
      <c r="L13" s="1921">
        <v>17</v>
      </c>
      <c r="M13" s="1921"/>
      <c r="N13" s="1921"/>
      <c r="O13" s="1921"/>
      <c r="P13" s="1920" t="s">
        <v>547</v>
      </c>
      <c r="Q13" s="1921">
        <v>18</v>
      </c>
      <c r="R13" s="1921"/>
      <c r="S13" s="1921"/>
      <c r="T13" s="1921"/>
      <c r="U13" s="1920" t="s">
        <v>547</v>
      </c>
      <c r="V13" s="1921">
        <v>19</v>
      </c>
      <c r="W13" s="1921"/>
      <c r="X13" s="1921"/>
      <c r="Y13" s="1921"/>
      <c r="Z13" s="1920" t="s">
        <v>550</v>
      </c>
      <c r="AA13" s="1921">
        <v>20</v>
      </c>
      <c r="AB13" s="1921"/>
      <c r="AC13" s="1921"/>
      <c r="AD13" s="1921"/>
      <c r="AE13" s="1920" t="s">
        <v>547</v>
      </c>
      <c r="AF13" s="1921">
        <v>21</v>
      </c>
      <c r="AG13" s="1921"/>
      <c r="AH13" s="1921"/>
      <c r="AI13" s="1921"/>
      <c r="AJ13" s="1920" t="s">
        <v>547</v>
      </c>
      <c r="AK13" s="1921">
        <v>22</v>
      </c>
      <c r="AL13" s="1921"/>
      <c r="AM13" s="1921"/>
      <c r="AN13" s="1921"/>
      <c r="AO13" s="1920" t="s">
        <v>551</v>
      </c>
      <c r="AP13" s="1921">
        <v>23</v>
      </c>
      <c r="AQ13" s="1921"/>
      <c r="AR13" s="1921"/>
      <c r="AS13" s="1921"/>
      <c r="AT13" s="1920" t="s">
        <v>547</v>
      </c>
      <c r="AU13" s="1921">
        <v>24</v>
      </c>
      <c r="AV13" s="1921"/>
      <c r="AW13" s="1921"/>
      <c r="AX13" s="1921"/>
      <c r="AY13" s="1920" t="s">
        <v>561</v>
      </c>
      <c r="AZ13" s="1921">
        <v>25</v>
      </c>
      <c r="BA13" s="1921"/>
      <c r="BB13" s="1921"/>
      <c r="BC13" s="1921"/>
      <c r="BD13" s="1920" t="s">
        <v>547</v>
      </c>
      <c r="BE13" s="1921">
        <v>26</v>
      </c>
      <c r="BF13" s="1921"/>
      <c r="BG13" s="1921"/>
      <c r="BH13" s="1921"/>
      <c r="BI13" s="1920" t="s">
        <v>547</v>
      </c>
      <c r="BJ13" s="1921">
        <v>27</v>
      </c>
      <c r="BK13" s="1921"/>
      <c r="BL13" s="1921"/>
      <c r="BM13" s="1921"/>
      <c r="BN13" s="34"/>
      <c r="BO13" s="34"/>
      <c r="BP13" s="35"/>
      <c r="BQ13" s="31"/>
      <c r="BR13" s="32"/>
    </row>
    <row r="14" spans="1:83" ht="39" customHeight="1" x14ac:dyDescent="0.25">
      <c r="A14" s="1920"/>
      <c r="B14" s="363">
        <v>1.3715999999999999</v>
      </c>
      <c r="C14" s="364" t="s">
        <v>113</v>
      </c>
      <c r="D14" s="365">
        <v>1</v>
      </c>
      <c r="E14" s="366" t="s">
        <v>114</v>
      </c>
      <c r="F14" s="1920"/>
      <c r="G14" s="363">
        <v>2.3113999999999999</v>
      </c>
      <c r="H14" s="364" t="s">
        <v>113</v>
      </c>
      <c r="I14" s="365">
        <v>2</v>
      </c>
      <c r="J14" s="366" t="s">
        <v>114</v>
      </c>
      <c r="K14" s="1920"/>
      <c r="L14" s="363">
        <v>4.6989999999999998</v>
      </c>
      <c r="M14" s="364" t="s">
        <v>113</v>
      </c>
      <c r="N14" s="365">
        <v>1</v>
      </c>
      <c r="O14" s="366" t="s">
        <v>114</v>
      </c>
      <c r="P14" s="1920"/>
      <c r="Q14" s="363">
        <v>4.5720000000000001</v>
      </c>
      <c r="R14" s="364" t="s">
        <v>113</v>
      </c>
      <c r="S14" s="365">
        <v>2</v>
      </c>
      <c r="T14" s="366" t="s">
        <v>114</v>
      </c>
      <c r="U14" s="1920"/>
      <c r="V14" s="363">
        <v>6.2480000000000002</v>
      </c>
      <c r="W14" s="364" t="s">
        <v>113</v>
      </c>
      <c r="X14" s="365">
        <v>1</v>
      </c>
      <c r="Y14" s="366" t="s">
        <v>114</v>
      </c>
      <c r="Z14" s="1920"/>
      <c r="AA14" s="363">
        <v>3.4790000000000001</v>
      </c>
      <c r="AB14" s="364" t="s">
        <v>113</v>
      </c>
      <c r="AC14" s="365">
        <v>2</v>
      </c>
      <c r="AD14" s="366" t="s">
        <v>114</v>
      </c>
      <c r="AE14" s="1920"/>
      <c r="AF14" s="363">
        <v>2.4380000000000002</v>
      </c>
      <c r="AG14" s="364" t="s">
        <v>113</v>
      </c>
      <c r="AH14" s="365">
        <v>1</v>
      </c>
      <c r="AI14" s="366" t="s">
        <v>114</v>
      </c>
      <c r="AJ14" s="1920"/>
      <c r="AK14" s="363">
        <v>0.20319999999999999</v>
      </c>
      <c r="AL14" s="364" t="s">
        <v>113</v>
      </c>
      <c r="AM14" s="365">
        <v>1</v>
      </c>
      <c r="AN14" s="366" t="s">
        <v>114</v>
      </c>
      <c r="AO14" s="1920"/>
      <c r="AP14" s="363">
        <v>2.6924000000000001</v>
      </c>
      <c r="AQ14" s="364" t="s">
        <v>113</v>
      </c>
      <c r="AR14" s="365">
        <v>2</v>
      </c>
      <c r="AS14" s="366" t="s">
        <v>114</v>
      </c>
      <c r="AT14" s="1920"/>
      <c r="AU14" s="363">
        <v>2.6669999999999998</v>
      </c>
      <c r="AV14" s="364" t="s">
        <v>113</v>
      </c>
      <c r="AW14" s="365">
        <v>1</v>
      </c>
      <c r="AX14" s="366" t="s">
        <v>114</v>
      </c>
      <c r="AY14" s="1920"/>
      <c r="AZ14" s="363">
        <v>0.93979999999999997</v>
      </c>
      <c r="BA14" s="364" t="s">
        <v>113</v>
      </c>
      <c r="BB14" s="365">
        <v>2</v>
      </c>
      <c r="BC14" s="366" t="s">
        <v>114</v>
      </c>
      <c r="BD14" s="1920"/>
      <c r="BE14" s="363">
        <v>4.8259999999999996</v>
      </c>
      <c r="BF14" s="364" t="s">
        <v>113</v>
      </c>
      <c r="BG14" s="365">
        <v>1</v>
      </c>
      <c r="BH14" s="366" t="s">
        <v>114</v>
      </c>
      <c r="BI14" s="1920"/>
      <c r="BJ14" s="363">
        <v>11.632999999999999</v>
      </c>
      <c r="BK14" s="364" t="s">
        <v>113</v>
      </c>
      <c r="BL14" s="365"/>
      <c r="BM14" s="366" t="s">
        <v>114</v>
      </c>
      <c r="BN14" s="34"/>
      <c r="BO14" s="34"/>
      <c r="BP14" s="35"/>
      <c r="BQ14" s="31"/>
      <c r="BR14" s="32"/>
      <c r="BW14" s="27"/>
      <c r="BX14" s="27"/>
      <c r="BY14" s="27"/>
      <c r="BZ14" s="27"/>
      <c r="CA14" s="27"/>
      <c r="CB14" s="27"/>
      <c r="CC14" s="27"/>
      <c r="CD14" s="27"/>
      <c r="CE14" s="27"/>
    </row>
    <row r="15" spans="1:83" ht="15" customHeight="1" x14ac:dyDescent="0.25">
      <c r="A15" s="121"/>
      <c r="B15" s="121"/>
      <c r="C15" s="121"/>
      <c r="D15" s="121"/>
      <c r="E15" s="31"/>
      <c r="F15" s="121"/>
      <c r="G15" s="121"/>
      <c r="H15" s="121"/>
      <c r="I15" s="121"/>
      <c r="J15" s="31"/>
      <c r="K15" s="121"/>
      <c r="L15" s="121"/>
      <c r="M15" s="121"/>
      <c r="N15" s="121"/>
      <c r="O15" s="31"/>
      <c r="P15" s="121"/>
      <c r="Q15" s="121"/>
      <c r="R15" s="121"/>
      <c r="S15" s="121"/>
      <c r="T15" s="31"/>
      <c r="U15" s="121"/>
      <c r="V15" s="121"/>
      <c r="W15" s="121"/>
      <c r="X15" s="121"/>
      <c r="Y15" s="31"/>
      <c r="Z15" s="121"/>
      <c r="AA15" s="121"/>
      <c r="AB15" s="121"/>
      <c r="AC15" s="121"/>
      <c r="AD15" s="31"/>
      <c r="AE15" s="121"/>
      <c r="AF15" s="121"/>
      <c r="AG15" s="121"/>
      <c r="AH15" s="121"/>
      <c r="AI15" s="31"/>
      <c r="AJ15" s="121"/>
      <c r="AK15" s="121"/>
      <c r="AL15" s="121"/>
      <c r="AM15" s="121"/>
      <c r="AN15" s="31"/>
      <c r="AO15" s="121"/>
      <c r="AP15" s="121"/>
      <c r="AQ15" s="121"/>
      <c r="AR15" s="121"/>
      <c r="AS15" s="31"/>
      <c r="AT15" s="121"/>
      <c r="AU15" s="121"/>
      <c r="AV15" s="121"/>
      <c r="AW15" s="121"/>
      <c r="AX15" s="31"/>
      <c r="AY15" s="121"/>
      <c r="AZ15" s="121"/>
      <c r="BA15" s="121"/>
      <c r="BB15" s="121"/>
      <c r="BC15" s="31"/>
      <c r="BD15" s="121"/>
      <c r="BE15" s="121"/>
      <c r="BF15" s="121"/>
      <c r="BG15" s="121"/>
      <c r="BH15" s="31"/>
      <c r="BI15" s="121"/>
      <c r="BJ15" s="121"/>
      <c r="BK15" s="121"/>
      <c r="BL15" s="121"/>
      <c r="BM15" s="121"/>
      <c r="BN15" s="31"/>
      <c r="BO15" s="121"/>
      <c r="BP15" s="121"/>
      <c r="BQ15" s="121"/>
      <c r="BR15" s="121"/>
    </row>
    <row r="16" spans="1:83" ht="15" customHeight="1" x14ac:dyDescent="0.25">
      <c r="A16" s="34"/>
      <c r="B16" s="34"/>
      <c r="C16" s="35"/>
      <c r="D16" s="31"/>
      <c r="E16" s="32"/>
      <c r="F16" s="34"/>
      <c r="G16" s="34"/>
      <c r="H16" s="35"/>
      <c r="I16" s="31"/>
      <c r="J16" s="32"/>
      <c r="K16" s="34"/>
      <c r="L16" s="34"/>
      <c r="M16" s="35"/>
      <c r="N16" s="31"/>
      <c r="O16" s="32"/>
      <c r="P16" s="34"/>
      <c r="Q16" s="34"/>
      <c r="R16" s="35"/>
      <c r="S16" s="31"/>
      <c r="T16" s="32"/>
      <c r="U16" s="34"/>
      <c r="V16" s="34"/>
      <c r="W16" s="35"/>
      <c r="X16" s="31"/>
      <c r="Y16" s="32"/>
      <c r="Z16" s="34"/>
      <c r="AA16" s="34"/>
      <c r="AB16" s="35"/>
      <c r="AC16" s="31"/>
      <c r="AD16" s="32"/>
      <c r="AE16" s="34"/>
      <c r="AF16" s="34"/>
      <c r="AG16" s="35"/>
      <c r="AH16" s="31"/>
      <c r="AI16" s="32"/>
      <c r="AJ16" s="34"/>
      <c r="AK16" s="34"/>
      <c r="AL16" s="35"/>
      <c r="AM16" s="31"/>
      <c r="AN16" s="32"/>
      <c r="AO16" s="34"/>
      <c r="AP16" s="34"/>
      <c r="AQ16" s="35"/>
      <c r="AR16" s="31"/>
      <c r="AS16" s="32"/>
      <c r="AT16" s="34"/>
      <c r="AU16" s="34"/>
      <c r="AV16" s="35"/>
      <c r="AW16" s="31"/>
      <c r="AX16" s="32"/>
      <c r="AY16" s="34"/>
      <c r="AZ16" s="34"/>
      <c r="BA16" s="35"/>
      <c r="BB16" s="31"/>
      <c r="BC16" s="32"/>
      <c r="BD16" s="34"/>
      <c r="BE16" s="34"/>
      <c r="BF16" s="35"/>
      <c r="BG16" s="31"/>
      <c r="BH16" s="32"/>
      <c r="BI16" s="33"/>
      <c r="BJ16" s="34"/>
      <c r="BK16" s="34"/>
      <c r="BL16" s="35"/>
      <c r="BM16" s="31"/>
      <c r="BN16" s="32"/>
      <c r="BO16" s="33"/>
      <c r="BP16" s="34"/>
      <c r="BQ16" s="34"/>
      <c r="BR16" s="35"/>
    </row>
    <row r="17" spans="1:83" ht="30" customHeight="1" x14ac:dyDescent="0.25">
      <c r="A17" s="34"/>
      <c r="B17" s="34"/>
      <c r="C17" s="35"/>
      <c r="D17" s="31"/>
      <c r="E17" s="32"/>
      <c r="F17" s="34"/>
      <c r="G17" s="34"/>
      <c r="H17" s="35"/>
      <c r="I17" s="31"/>
      <c r="J17" s="32"/>
      <c r="K17" s="34"/>
      <c r="L17" s="34"/>
      <c r="M17" s="35"/>
      <c r="N17" s="31"/>
      <c r="O17" s="32"/>
      <c r="P17" s="34"/>
      <c r="Q17" s="34"/>
      <c r="R17" s="35"/>
      <c r="S17" s="31"/>
      <c r="T17" s="32"/>
      <c r="U17" s="34"/>
      <c r="V17" s="34"/>
      <c r="W17" s="35"/>
      <c r="X17" s="31"/>
      <c r="Y17" s="32"/>
      <c r="Z17" s="34"/>
      <c r="AA17" s="34"/>
      <c r="AB17" s="35"/>
      <c r="AC17" s="31"/>
      <c r="AD17" s="32"/>
      <c r="AE17" s="34"/>
      <c r="AF17" s="34"/>
      <c r="AG17" s="35"/>
      <c r="AH17" s="31"/>
      <c r="AI17" s="32"/>
      <c r="AJ17" s="34"/>
      <c r="AK17" s="34"/>
      <c r="AL17" s="35"/>
      <c r="AM17" s="31"/>
      <c r="AN17" s="32"/>
      <c r="AO17" s="34"/>
      <c r="AP17" s="34"/>
      <c r="AQ17" s="35"/>
      <c r="AR17" s="31"/>
      <c r="AS17" s="32"/>
      <c r="AT17" s="34"/>
      <c r="AU17" s="34"/>
      <c r="AV17" s="35"/>
      <c r="AW17" s="31"/>
      <c r="AX17" s="32"/>
      <c r="AY17" s="34"/>
      <c r="AZ17" s="34"/>
      <c r="BA17" s="35"/>
      <c r="BB17" s="31"/>
      <c r="BC17" s="32"/>
      <c r="BD17" s="34"/>
      <c r="BE17" s="34"/>
      <c r="BF17" s="35"/>
      <c r="BG17" s="31"/>
      <c r="BH17" s="32"/>
      <c r="BI17" s="33"/>
      <c r="BJ17" s="34"/>
      <c r="BK17" s="34"/>
      <c r="BL17" s="35"/>
      <c r="BM17" s="31"/>
      <c r="BN17" s="32"/>
      <c r="BO17" s="33"/>
      <c r="BP17" s="34"/>
      <c r="BQ17" s="34"/>
      <c r="BR17" s="35"/>
    </row>
    <row r="18" spans="1:83" ht="24.95" customHeight="1" x14ac:dyDescent="0.25">
      <c r="A18" s="121"/>
      <c r="B18" s="121"/>
      <c r="C18" s="121"/>
      <c r="D18" s="121"/>
      <c r="E18" s="31"/>
      <c r="F18" s="121"/>
      <c r="G18" s="121"/>
      <c r="H18" s="121"/>
      <c r="I18" s="121"/>
      <c r="J18" s="31"/>
      <c r="K18" s="121"/>
      <c r="L18" s="121"/>
      <c r="M18" s="121"/>
      <c r="N18" s="121"/>
      <c r="O18" s="31"/>
      <c r="P18" s="121"/>
      <c r="Q18" s="121"/>
      <c r="R18" s="121"/>
      <c r="S18" s="121"/>
      <c r="T18" s="31"/>
      <c r="U18" s="121"/>
      <c r="V18" s="121"/>
      <c r="W18" s="121"/>
      <c r="X18" s="121"/>
      <c r="Y18" s="31"/>
      <c r="Z18" s="121"/>
      <c r="AA18" s="121"/>
      <c r="AB18" s="121"/>
      <c r="AC18" s="121"/>
      <c r="AD18" s="31"/>
      <c r="AE18" s="121"/>
      <c r="AF18" s="121"/>
      <c r="AG18" s="121"/>
      <c r="AH18" s="121"/>
      <c r="AI18" s="31"/>
      <c r="AJ18" s="121"/>
      <c r="AK18" s="121"/>
      <c r="AL18" s="121"/>
      <c r="AM18" s="121"/>
      <c r="AN18" s="31"/>
      <c r="AO18" s="121"/>
      <c r="AP18" s="121"/>
      <c r="AQ18" s="121"/>
      <c r="AR18" s="121"/>
      <c r="AS18" s="31"/>
      <c r="AT18" s="121"/>
      <c r="AU18" s="121"/>
      <c r="AV18" s="121"/>
      <c r="AW18" s="121"/>
      <c r="AX18" s="31"/>
      <c r="AY18" s="121"/>
      <c r="AZ18" s="121"/>
      <c r="BA18" s="121"/>
      <c r="BB18" s="121"/>
      <c r="BC18" s="31"/>
      <c r="BD18" s="121"/>
      <c r="BE18" s="121"/>
      <c r="BF18" s="121"/>
      <c r="BG18" s="121"/>
      <c r="BH18" s="31"/>
      <c r="BI18" s="121"/>
      <c r="BJ18" s="121"/>
      <c r="BK18" s="121"/>
      <c r="BL18" s="121"/>
      <c r="BM18" s="121"/>
      <c r="BN18" s="31"/>
      <c r="BO18" s="121"/>
      <c r="BP18" s="121"/>
      <c r="BQ18" s="121"/>
      <c r="BR18" s="121"/>
    </row>
    <row r="19" spans="1:83" s="22" customFormat="1" ht="80.099999999999994" customHeight="1" x14ac:dyDescent="1.35">
      <c r="A19" s="34"/>
      <c r="B19" s="34"/>
      <c r="C19" s="35"/>
      <c r="D19" s="31"/>
      <c r="E19" s="32"/>
      <c r="F19" s="34"/>
      <c r="G19" s="34"/>
      <c r="H19" s="35"/>
      <c r="I19" s="31"/>
      <c r="J19" s="32"/>
      <c r="K19" s="34"/>
      <c r="L19" s="34"/>
      <c r="M19" s="35"/>
      <c r="N19" s="31"/>
      <c r="O19" s="32"/>
      <c r="P19" s="34"/>
      <c r="Q19" s="34"/>
      <c r="R19" s="35"/>
      <c r="S19" s="31"/>
      <c r="T19" s="32"/>
      <c r="U19" s="34"/>
      <c r="V19" s="34"/>
      <c r="W19" s="35"/>
      <c r="X19" s="31"/>
      <c r="Y19" s="32"/>
      <c r="Z19" s="34"/>
      <c r="AA19" s="34"/>
      <c r="AB19" s="35"/>
      <c r="AC19" s="31"/>
      <c r="AD19" s="32"/>
      <c r="AE19" s="34"/>
      <c r="AF19" s="34"/>
      <c r="AG19" s="35"/>
      <c r="AH19" s="31"/>
      <c r="AI19" s="32"/>
      <c r="AJ19" s="34"/>
      <c r="AK19" s="34"/>
      <c r="AL19" s="35"/>
      <c r="AM19" s="31"/>
      <c r="AN19" s="32"/>
      <c r="AO19" s="34"/>
      <c r="AP19" s="34"/>
      <c r="AQ19" s="35"/>
      <c r="AR19" s="31"/>
      <c r="AS19" s="32"/>
      <c r="AT19" s="34"/>
      <c r="AU19" s="34"/>
      <c r="AV19" s="35"/>
      <c r="AW19" s="31"/>
      <c r="AX19" s="32"/>
      <c r="AY19" s="34"/>
      <c r="AZ19" s="34"/>
      <c r="BA19" s="35"/>
      <c r="BB19" s="31"/>
      <c r="BC19" s="32"/>
      <c r="BD19" s="34"/>
      <c r="BE19" s="34"/>
      <c r="BF19" s="35"/>
      <c r="BG19" s="31"/>
      <c r="BH19" s="32"/>
      <c r="BI19" s="33"/>
      <c r="BJ19" s="34"/>
      <c r="BK19" s="34"/>
      <c r="BL19" s="35"/>
      <c r="BM19" s="31"/>
      <c r="BN19" s="32"/>
      <c r="BO19" s="33"/>
      <c r="BP19" s="34"/>
      <c r="BQ19" s="34"/>
      <c r="BR19" s="35"/>
    </row>
    <row r="20" spans="1:83" ht="26.25" x14ac:dyDescent="0.25">
      <c r="A20" s="34"/>
      <c r="B20" s="34"/>
      <c r="C20" s="35"/>
      <c r="D20" s="31"/>
      <c r="E20" s="32"/>
      <c r="F20" s="34"/>
      <c r="G20" s="34"/>
      <c r="H20" s="35"/>
      <c r="I20" s="31"/>
      <c r="J20" s="32"/>
      <c r="K20" s="34"/>
      <c r="L20" s="34"/>
      <c r="M20" s="35"/>
      <c r="N20" s="31"/>
      <c r="O20" s="32"/>
      <c r="P20" s="34"/>
      <c r="Q20" s="34"/>
      <c r="R20" s="35"/>
      <c r="S20" s="31"/>
      <c r="T20" s="32"/>
      <c r="U20" s="34"/>
      <c r="V20" s="34"/>
      <c r="W20" s="35"/>
      <c r="X20" s="31"/>
      <c r="Y20" s="32"/>
      <c r="Z20" s="34"/>
      <c r="AA20" s="34"/>
      <c r="AB20" s="35"/>
      <c r="AC20" s="31"/>
      <c r="AD20" s="32"/>
      <c r="AE20" s="34"/>
      <c r="AF20" s="34"/>
      <c r="AG20" s="35"/>
      <c r="AH20" s="31"/>
      <c r="AI20" s="32"/>
      <c r="AJ20" s="34"/>
      <c r="AK20" s="34"/>
      <c r="AL20" s="35"/>
      <c r="AM20" s="31"/>
      <c r="AN20" s="32"/>
      <c r="AO20" s="34"/>
      <c r="AP20" s="34"/>
      <c r="AQ20" s="35"/>
      <c r="AR20" s="31"/>
      <c r="AS20" s="32"/>
      <c r="AT20" s="34"/>
      <c r="AU20" s="34"/>
      <c r="AV20" s="35"/>
      <c r="AW20" s="31"/>
      <c r="AX20" s="32"/>
      <c r="AY20" s="34"/>
      <c r="AZ20" s="34"/>
      <c r="BA20" s="35"/>
      <c r="BB20" s="31"/>
      <c r="BC20" s="32"/>
      <c r="BD20" s="34"/>
      <c r="BE20" s="34"/>
      <c r="BF20" s="35"/>
      <c r="BG20" s="31"/>
      <c r="BH20" s="32"/>
      <c r="BI20" s="33"/>
      <c r="BJ20" s="34"/>
      <c r="BK20" s="34"/>
      <c r="BL20" s="35"/>
      <c r="BM20" s="31"/>
      <c r="BN20" s="32"/>
      <c r="BO20" s="33"/>
      <c r="BP20" s="34"/>
      <c r="BQ20" s="34"/>
      <c r="BR20" s="35"/>
      <c r="BW20" s="27"/>
      <c r="BX20" s="27"/>
      <c r="BY20" s="27"/>
      <c r="BZ20" s="27"/>
      <c r="CA20" s="27"/>
      <c r="CB20" s="27"/>
      <c r="CC20" s="27"/>
      <c r="CD20" s="27"/>
      <c r="CE20" s="27"/>
    </row>
    <row r="21" spans="1:83" ht="26.1" customHeight="1" x14ac:dyDescent="0.25">
      <c r="A21" s="121"/>
      <c r="B21" s="121"/>
      <c r="C21" s="121"/>
      <c r="D21" s="31"/>
      <c r="E21" s="121"/>
      <c r="F21" s="121"/>
      <c r="G21" s="121"/>
      <c r="H21" s="121"/>
      <c r="I21" s="121"/>
      <c r="J21" s="31"/>
      <c r="K21" s="121"/>
      <c r="L21" s="121"/>
      <c r="M21" s="121"/>
      <c r="N21" s="121"/>
      <c r="O21" s="121"/>
      <c r="P21" s="31"/>
      <c r="Q21" s="121"/>
      <c r="R21" s="121"/>
      <c r="S21" s="121"/>
      <c r="T21" s="121"/>
      <c r="U21" s="121"/>
      <c r="V21" s="31"/>
      <c r="W21" s="121"/>
      <c r="X21" s="121"/>
      <c r="Y21" s="121"/>
      <c r="Z21" s="121"/>
      <c r="AA21" s="121"/>
      <c r="AB21" s="31"/>
      <c r="AC21" s="121"/>
      <c r="AD21" s="121"/>
      <c r="AE21" s="121"/>
      <c r="AF21" s="121"/>
      <c r="AG21" s="121"/>
      <c r="AH21" s="31"/>
      <c r="AI21" s="121"/>
      <c r="AJ21" s="121"/>
      <c r="AK21" s="121"/>
      <c r="AL21" s="121"/>
      <c r="AM21" s="121"/>
      <c r="AN21" s="31"/>
      <c r="AO21" s="121"/>
      <c r="AP21" s="121"/>
      <c r="AQ21" s="121"/>
      <c r="AR21" s="121"/>
      <c r="AS21" s="121"/>
      <c r="AT21" s="31"/>
      <c r="AU21" s="121"/>
      <c r="AV21" s="121"/>
      <c r="AW21" s="121"/>
      <c r="AX21" s="121"/>
      <c r="AY21" s="121"/>
      <c r="AZ21" s="121"/>
      <c r="BA21" s="121"/>
      <c r="BB21" s="31"/>
      <c r="BC21" s="121"/>
      <c r="BD21" s="121"/>
      <c r="BE21" s="121"/>
      <c r="BF21" s="121"/>
      <c r="BG21" s="121"/>
      <c r="BH21" s="31"/>
      <c r="BI21" s="121"/>
      <c r="BJ21" s="121"/>
      <c r="BK21" s="121"/>
      <c r="BL21" s="121"/>
      <c r="BM21" s="121"/>
      <c r="BN21" s="31"/>
      <c r="BO21" s="121"/>
      <c r="BP21" s="121"/>
      <c r="BQ21" s="121"/>
      <c r="BR21" s="121"/>
    </row>
    <row r="22" spans="1:83" ht="6.75" customHeight="1" x14ac:dyDescent="0.25">
      <c r="A22" s="34"/>
      <c r="B22" s="35"/>
      <c r="C22" s="31"/>
      <c r="D22" s="32"/>
      <c r="E22" s="33"/>
      <c r="F22" s="34"/>
      <c r="G22" s="34"/>
      <c r="H22" s="35"/>
      <c r="I22" s="31"/>
      <c r="J22" s="32"/>
      <c r="K22" s="33"/>
      <c r="L22" s="34"/>
      <c r="M22" s="34"/>
      <c r="N22" s="35"/>
      <c r="O22" s="31"/>
      <c r="P22" s="32"/>
      <c r="Q22" s="33"/>
      <c r="R22" s="34"/>
      <c r="S22" s="34"/>
      <c r="T22" s="35"/>
      <c r="U22" s="31"/>
      <c r="V22" s="32"/>
      <c r="W22" s="33"/>
      <c r="X22" s="34"/>
      <c r="Y22" s="34"/>
      <c r="Z22" s="35"/>
      <c r="AA22" s="31"/>
      <c r="AB22" s="32"/>
      <c r="AC22" s="33"/>
      <c r="AD22" s="34"/>
      <c r="AE22" s="34"/>
      <c r="AF22" s="35"/>
      <c r="AG22" s="31"/>
      <c r="AH22" s="32"/>
      <c r="AI22" s="33"/>
      <c r="AJ22" s="34"/>
      <c r="AK22" s="34"/>
      <c r="AL22" s="35"/>
      <c r="AM22" s="31"/>
      <c r="AN22" s="32"/>
      <c r="AO22" s="33"/>
      <c r="AP22" s="34"/>
      <c r="AQ22" s="34"/>
      <c r="AR22" s="35"/>
      <c r="AS22" s="31"/>
      <c r="AT22" s="32"/>
      <c r="AU22" s="33"/>
      <c r="AV22" s="34"/>
      <c r="AW22" s="34"/>
      <c r="AX22" s="35"/>
      <c r="AY22" s="34"/>
      <c r="AZ22" s="35"/>
      <c r="BA22" s="31"/>
      <c r="BB22" s="32"/>
      <c r="BC22" s="33"/>
      <c r="BD22" s="34"/>
      <c r="BE22" s="34"/>
      <c r="BF22" s="35"/>
      <c r="BG22" s="31"/>
      <c r="BH22" s="32"/>
      <c r="BI22" s="33"/>
      <c r="BJ22" s="34"/>
      <c r="BK22" s="34"/>
      <c r="BL22" s="35"/>
      <c r="BM22" s="31"/>
      <c r="BN22" s="32"/>
      <c r="BO22" s="33"/>
      <c r="BP22" s="34"/>
      <c r="BQ22" s="34"/>
      <c r="BR22" s="35"/>
    </row>
    <row r="23" spans="1:83" ht="21.95" customHeight="1" x14ac:dyDescent="0.25">
      <c r="A23" s="34"/>
      <c r="B23" s="35"/>
      <c r="C23" s="31"/>
      <c r="D23" s="32"/>
      <c r="E23" s="33"/>
      <c r="F23" s="34"/>
      <c r="G23" s="34"/>
      <c r="H23" s="35"/>
      <c r="I23" s="31"/>
      <c r="J23" s="32"/>
      <c r="K23" s="33"/>
      <c r="L23" s="34"/>
      <c r="M23" s="34"/>
      <c r="N23" s="35"/>
      <c r="O23" s="31"/>
      <c r="P23" s="32"/>
      <c r="Q23" s="33"/>
      <c r="R23" s="34"/>
      <c r="S23" s="34"/>
      <c r="T23" s="35"/>
      <c r="U23" s="31"/>
      <c r="V23" s="32"/>
      <c r="W23" s="33"/>
      <c r="X23" s="34"/>
      <c r="Y23" s="34"/>
      <c r="Z23" s="35"/>
      <c r="AA23" s="31"/>
      <c r="AB23" s="32"/>
      <c r="AC23" s="33"/>
      <c r="AD23" s="34"/>
      <c r="AE23" s="34"/>
      <c r="AF23" s="35"/>
      <c r="AG23" s="31"/>
      <c r="AH23" s="32"/>
      <c r="AI23" s="33"/>
      <c r="AJ23" s="34"/>
      <c r="AK23" s="34"/>
      <c r="AL23" s="35"/>
      <c r="AM23" s="31"/>
      <c r="AN23" s="32"/>
      <c r="AO23" s="33"/>
      <c r="AP23" s="34"/>
      <c r="AQ23" s="34"/>
      <c r="AR23" s="35"/>
      <c r="AS23" s="31"/>
      <c r="AT23" s="32"/>
      <c r="AU23" s="33"/>
      <c r="AV23" s="34"/>
      <c r="AW23" s="34"/>
      <c r="AX23" s="35"/>
      <c r="AY23" s="34"/>
      <c r="AZ23" s="35"/>
      <c r="BA23" s="31"/>
      <c r="BB23" s="32"/>
      <c r="BC23" s="33"/>
      <c r="BD23" s="34"/>
      <c r="BE23" s="34"/>
      <c r="BF23" s="35"/>
      <c r="BG23" s="31"/>
      <c r="BH23" s="32"/>
      <c r="BI23" s="33"/>
      <c r="BJ23" s="34"/>
      <c r="BK23" s="34"/>
      <c r="BL23" s="35"/>
      <c r="BM23" s="31"/>
      <c r="BN23" s="32"/>
      <c r="BO23" s="33"/>
      <c r="BP23" s="34"/>
      <c r="BQ23" s="34"/>
      <c r="BR23" s="35"/>
    </row>
    <row r="24" spans="1:83" ht="6" customHeight="1" x14ac:dyDescent="0.25">
      <c r="A24" s="121"/>
      <c r="B24" s="121"/>
      <c r="C24" s="121"/>
      <c r="D24" s="31"/>
      <c r="E24" s="121"/>
      <c r="F24" s="121"/>
      <c r="G24" s="121"/>
      <c r="H24" s="121"/>
      <c r="I24" s="121"/>
      <c r="J24" s="31"/>
      <c r="K24" s="121"/>
      <c r="L24" s="121"/>
      <c r="M24" s="121"/>
      <c r="N24" s="121"/>
      <c r="O24" s="121"/>
      <c r="P24" s="31"/>
      <c r="Q24" s="121"/>
      <c r="R24" s="121"/>
      <c r="S24" s="121"/>
      <c r="T24" s="121"/>
      <c r="U24" s="121"/>
      <c r="V24" s="31"/>
      <c r="W24" s="121"/>
      <c r="X24" s="121"/>
      <c r="Y24" s="121"/>
      <c r="Z24" s="121"/>
      <c r="AA24" s="121"/>
      <c r="AB24" s="121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21"/>
      <c r="AQ24" s="121"/>
      <c r="AR24" s="121"/>
      <c r="AS24" s="121"/>
      <c r="AT24" s="31"/>
      <c r="AU24" s="121"/>
      <c r="AV24" s="121"/>
      <c r="AW24" s="121"/>
      <c r="AX24" s="121"/>
      <c r="AY24" s="121"/>
      <c r="AZ24" s="121"/>
      <c r="BA24" s="121"/>
      <c r="BB24" s="31"/>
      <c r="BC24" s="121"/>
      <c r="BD24" s="121"/>
      <c r="BE24" s="121"/>
      <c r="BF24" s="121"/>
      <c r="BG24" s="121"/>
      <c r="BH24" s="31"/>
      <c r="BI24" s="121"/>
      <c r="BJ24" s="121"/>
      <c r="BK24" s="121"/>
      <c r="BL24" s="121"/>
      <c r="BM24" s="121"/>
      <c r="BN24" s="31"/>
      <c r="BO24" s="121"/>
      <c r="BP24" s="121"/>
      <c r="BQ24" s="121"/>
      <c r="BR24" s="121"/>
    </row>
    <row r="25" spans="1:83" s="22" customFormat="1" ht="44.25" customHeight="1" x14ac:dyDescent="1.35">
      <c r="A25" s="34"/>
      <c r="B25" s="121"/>
      <c r="C25" s="121"/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35"/>
      <c r="U25" s="31"/>
      <c r="V25" s="32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3"/>
      <c r="AP25" s="34"/>
      <c r="AQ25" s="34"/>
      <c r="AR25" s="35"/>
      <c r="AS25" s="31"/>
      <c r="AT25" s="32"/>
      <c r="AU25" s="33"/>
      <c r="AV25" s="34"/>
      <c r="AW25" s="34"/>
      <c r="AX25" s="35"/>
      <c r="AY25" s="34"/>
      <c r="AZ25" s="35"/>
      <c r="BA25" s="31"/>
      <c r="BB25" s="32"/>
      <c r="BC25" s="33"/>
      <c r="BD25" s="34"/>
      <c r="BE25" s="34"/>
      <c r="BF25" s="35"/>
      <c r="BG25" s="31"/>
      <c r="BH25" s="32"/>
      <c r="BI25" s="33"/>
      <c r="BJ25" s="34"/>
      <c r="BK25" s="34"/>
      <c r="BL25" s="35"/>
      <c r="BM25" s="31"/>
      <c r="BN25" s="32"/>
      <c r="BO25" s="33"/>
      <c r="BP25" s="34"/>
      <c r="BQ25" s="34"/>
      <c r="BR25" s="35"/>
    </row>
    <row r="26" spans="1:83" ht="27" customHeight="1" x14ac:dyDescent="0.25">
      <c r="A26" s="34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1"/>
      <c r="V26" s="32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3"/>
      <c r="AP26" s="34"/>
      <c r="AQ26" s="34"/>
      <c r="AR26" s="35"/>
      <c r="AS26" s="31"/>
      <c r="AT26" s="32"/>
      <c r="AU26" s="33"/>
      <c r="AV26" s="34"/>
      <c r="AW26" s="34"/>
      <c r="AX26" s="35"/>
      <c r="AY26" s="34"/>
      <c r="AZ26" s="35"/>
      <c r="BA26" s="31"/>
      <c r="BB26" s="32"/>
      <c r="BC26" s="33"/>
      <c r="BD26" s="34"/>
      <c r="BE26" s="34"/>
      <c r="BF26" s="35"/>
      <c r="BG26" s="31"/>
      <c r="BH26" s="32"/>
      <c r="BI26" s="33"/>
      <c r="BJ26" s="34"/>
      <c r="BK26" s="34"/>
      <c r="BL26" s="35"/>
      <c r="BM26" s="31"/>
      <c r="BN26" s="32"/>
      <c r="BO26" s="33"/>
      <c r="BP26" s="34"/>
      <c r="BQ26" s="34"/>
      <c r="BR26" s="35"/>
      <c r="BW26" s="27"/>
      <c r="BX26" s="27"/>
      <c r="BY26" s="27"/>
      <c r="BZ26" s="27"/>
      <c r="CA26" s="27"/>
      <c r="CB26" s="27"/>
      <c r="CC26" s="27"/>
      <c r="CD26" s="27"/>
      <c r="CE26" s="27"/>
    </row>
    <row r="27" spans="1:83" ht="26.1" customHeight="1" x14ac:dyDescent="0.25">
      <c r="A27" s="12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121"/>
      <c r="U27" s="121"/>
      <c r="V27" s="31"/>
      <c r="W27" s="121"/>
      <c r="X27" s="121"/>
      <c r="Y27" s="121"/>
      <c r="Z27" s="121"/>
      <c r="AA27" s="121"/>
      <c r="AB27" s="31"/>
      <c r="AC27" s="121"/>
      <c r="AD27" s="121"/>
      <c r="AE27" s="121"/>
      <c r="AF27" s="121"/>
      <c r="AG27" s="121"/>
      <c r="AH27" s="31"/>
      <c r="AI27" s="121"/>
      <c r="AJ27" s="121"/>
      <c r="AK27" s="121"/>
      <c r="AL27" s="121"/>
      <c r="AM27" s="121"/>
      <c r="AN27" s="31"/>
      <c r="AO27" s="121"/>
      <c r="AP27" s="121"/>
      <c r="AQ27" s="121"/>
      <c r="AR27" s="121"/>
      <c r="AS27" s="121"/>
      <c r="AT27" s="31"/>
      <c r="AU27" s="121"/>
      <c r="AV27" s="121"/>
      <c r="AW27" s="121"/>
      <c r="AX27" s="121"/>
      <c r="AY27" s="121"/>
      <c r="AZ27" s="121"/>
      <c r="BA27" s="121"/>
      <c r="BB27" s="31"/>
      <c r="BC27" s="121"/>
      <c r="BD27" s="121"/>
      <c r="BE27" s="121"/>
      <c r="BF27" s="121"/>
      <c r="BG27" s="121"/>
      <c r="BH27" s="31"/>
      <c r="BI27" s="121"/>
      <c r="BJ27" s="121"/>
      <c r="BK27" s="121"/>
      <c r="BL27" s="121"/>
      <c r="BM27" s="121"/>
      <c r="BN27" s="31"/>
      <c r="BO27" s="121"/>
      <c r="BP27" s="121"/>
      <c r="BQ27" s="121"/>
      <c r="BR27" s="121"/>
    </row>
    <row r="28" spans="1:83" ht="6.75" customHeight="1" x14ac:dyDescent="0.25">
      <c r="A28" s="34"/>
      <c r="B28" s="35"/>
      <c r="C28" s="31"/>
      <c r="D28" s="32"/>
      <c r="E28" s="33"/>
      <c r="F28" s="34"/>
      <c r="G28" s="34"/>
      <c r="H28" s="35"/>
      <c r="I28" s="31"/>
      <c r="J28" s="32"/>
      <c r="K28" s="33"/>
      <c r="L28" s="34"/>
      <c r="M28" s="34"/>
      <c r="N28" s="35"/>
      <c r="O28" s="31"/>
      <c r="P28" s="32"/>
      <c r="Q28" s="33"/>
      <c r="R28" s="34"/>
      <c r="S28" s="34"/>
      <c r="T28" s="35"/>
      <c r="U28" s="31"/>
      <c r="V28" s="32"/>
      <c r="W28" s="33"/>
      <c r="X28" s="34"/>
      <c r="Y28" s="34"/>
      <c r="Z28" s="35"/>
      <c r="AA28" s="31"/>
      <c r="AB28" s="32"/>
      <c r="AC28" s="33"/>
      <c r="AD28" s="34"/>
      <c r="AE28" s="34"/>
      <c r="AF28" s="35"/>
      <c r="AG28" s="31"/>
      <c r="AH28" s="32"/>
      <c r="AI28" s="33"/>
      <c r="AJ28" s="34"/>
      <c r="AK28" s="34"/>
      <c r="AL28" s="35"/>
      <c r="AM28" s="31"/>
      <c r="AN28" s="32"/>
      <c r="AO28" s="33"/>
      <c r="AP28" s="34"/>
      <c r="AQ28" s="34"/>
      <c r="AR28" s="35"/>
      <c r="AS28" s="31"/>
      <c r="AT28" s="32"/>
      <c r="AU28" s="33"/>
      <c r="AV28" s="34"/>
      <c r="AW28" s="34"/>
      <c r="AX28" s="35"/>
      <c r="AY28" s="34"/>
      <c r="AZ28" s="35"/>
      <c r="BA28" s="31"/>
      <c r="BB28" s="32"/>
      <c r="BC28" s="33"/>
      <c r="BD28" s="34"/>
      <c r="BE28" s="34"/>
      <c r="BF28" s="35"/>
      <c r="BG28" s="31"/>
      <c r="BH28" s="32"/>
      <c r="BI28" s="33"/>
      <c r="BJ28" s="34"/>
      <c r="BK28" s="34"/>
      <c r="BL28" s="35"/>
      <c r="BM28" s="31"/>
      <c r="BN28" s="32"/>
      <c r="BO28" s="33"/>
      <c r="BP28" s="34"/>
      <c r="BQ28" s="34"/>
      <c r="BR28" s="35"/>
    </row>
    <row r="29" spans="1:83" ht="21.95" customHeight="1" x14ac:dyDescent="0.25">
      <c r="A29" s="34"/>
      <c r="B29" s="35"/>
      <c r="C29" s="31"/>
      <c r="D29" s="32"/>
      <c r="E29" s="33"/>
      <c r="F29" s="34"/>
      <c r="G29" s="34"/>
      <c r="H29" s="35"/>
      <c r="I29" s="31"/>
      <c r="J29" s="32"/>
      <c r="K29" s="33"/>
      <c r="L29" s="34"/>
      <c r="M29" s="34"/>
      <c r="N29" s="35"/>
      <c r="O29" s="31"/>
      <c r="P29" s="32"/>
      <c r="Q29" s="33"/>
      <c r="R29" s="34"/>
      <c r="S29" s="34"/>
      <c r="T29" s="35"/>
      <c r="U29" s="31"/>
      <c r="V29" s="32"/>
      <c r="W29" s="33"/>
      <c r="X29" s="34"/>
      <c r="Y29" s="34"/>
      <c r="Z29" s="35"/>
      <c r="AA29" s="31"/>
      <c r="AB29" s="32"/>
      <c r="AC29" s="33"/>
      <c r="AD29" s="34"/>
      <c r="AE29" s="34"/>
      <c r="AF29" s="35"/>
      <c r="AG29" s="31"/>
      <c r="AH29" s="32"/>
      <c r="AI29" s="33"/>
      <c r="AJ29" s="34"/>
      <c r="AK29" s="34"/>
      <c r="AL29" s="35"/>
      <c r="AM29" s="31"/>
      <c r="AN29" s="32"/>
      <c r="AO29" s="33"/>
      <c r="AP29" s="34"/>
      <c r="AQ29" s="34"/>
      <c r="AR29" s="35"/>
      <c r="AS29" s="31"/>
      <c r="AT29" s="32"/>
      <c r="AU29" s="33"/>
      <c r="AV29" s="34"/>
      <c r="AW29" s="34"/>
      <c r="AX29" s="35"/>
      <c r="AY29" s="34"/>
      <c r="AZ29" s="35"/>
      <c r="BA29" s="31"/>
      <c r="BB29" s="32"/>
      <c r="BC29" s="33"/>
      <c r="BD29" s="34"/>
      <c r="BE29" s="34"/>
      <c r="BF29" s="35"/>
      <c r="BG29" s="31"/>
      <c r="BH29" s="32"/>
      <c r="BI29" s="33"/>
      <c r="BJ29" s="34"/>
      <c r="BK29" s="34"/>
      <c r="BL29" s="35"/>
      <c r="BM29" s="31"/>
      <c r="BN29" s="32"/>
      <c r="BO29" s="33"/>
      <c r="BP29" s="34"/>
      <c r="BQ29" s="34"/>
      <c r="BR29" s="35"/>
    </row>
    <row r="30" spans="1:83" ht="6" customHeight="1" x14ac:dyDescent="0.25">
      <c r="A30" s="121"/>
      <c r="B30" s="121"/>
      <c r="C30" s="121"/>
      <c r="D30" s="31"/>
      <c r="E30" s="121"/>
      <c r="F30" s="121"/>
      <c r="G30" s="121"/>
      <c r="H30" s="121"/>
      <c r="I30" s="121"/>
      <c r="J30" s="31"/>
      <c r="K30" s="121"/>
      <c r="L30" s="121"/>
      <c r="M30" s="121"/>
      <c r="N30" s="121"/>
      <c r="O30" s="121"/>
      <c r="P30" s="31"/>
      <c r="Q30" s="121"/>
      <c r="R30" s="121"/>
      <c r="S30" s="121"/>
      <c r="T30" s="121"/>
      <c r="U30" s="121"/>
      <c r="V30" s="31"/>
      <c r="W30" s="121"/>
      <c r="X30" s="121"/>
      <c r="Y30" s="121"/>
      <c r="Z30" s="121"/>
      <c r="AA30" s="121"/>
      <c r="AB30" s="31"/>
      <c r="AC30" s="121"/>
      <c r="AD30" s="121"/>
      <c r="AE30" s="121"/>
      <c r="AF30" s="121"/>
      <c r="AG30" s="121"/>
      <c r="AH30" s="31"/>
      <c r="AI30" s="121"/>
      <c r="AJ30" s="121"/>
      <c r="AK30" s="121"/>
      <c r="AL30" s="121"/>
      <c r="AM30" s="121"/>
      <c r="AN30" s="31"/>
      <c r="AO30" s="121"/>
      <c r="AP30" s="121"/>
      <c r="AQ30" s="121"/>
      <c r="AR30" s="121"/>
      <c r="AS30" s="121"/>
      <c r="AT30" s="31"/>
      <c r="AU30" s="121"/>
      <c r="AV30" s="121"/>
      <c r="AW30" s="121"/>
      <c r="AX30" s="121"/>
      <c r="AY30" s="121"/>
      <c r="AZ30" s="121"/>
      <c r="BA30" s="121"/>
      <c r="BB30" s="31"/>
      <c r="BC30" s="121"/>
      <c r="BD30" s="121"/>
      <c r="BE30" s="121"/>
      <c r="BF30" s="121"/>
      <c r="BG30" s="121"/>
      <c r="BH30" s="31"/>
      <c r="BI30" s="121"/>
      <c r="BJ30" s="121"/>
      <c r="BK30" s="121"/>
      <c r="BL30" s="121"/>
      <c r="BM30" s="121"/>
      <c r="BN30" s="31"/>
      <c r="BO30" s="121"/>
      <c r="BP30" s="121"/>
      <c r="BQ30" s="121"/>
      <c r="BR30" s="121"/>
    </row>
    <row r="31" spans="1:83" s="22" customFormat="1" ht="80.099999999999994" customHeight="1" x14ac:dyDescent="1.35">
      <c r="A31" s="34"/>
      <c r="B31" s="35"/>
      <c r="C31" s="31"/>
      <c r="D31" s="32"/>
      <c r="E31" s="33"/>
      <c r="F31" s="34"/>
      <c r="G31" s="34"/>
      <c r="H31" s="35"/>
      <c r="I31" s="31"/>
      <c r="J31" s="1797"/>
      <c r="K31" s="1797"/>
      <c r="L31" s="1797"/>
      <c r="M31" s="1797"/>
      <c r="N31" s="35"/>
      <c r="O31" s="31"/>
      <c r="P31" s="32"/>
      <c r="Q31" s="33"/>
      <c r="R31" s="34"/>
      <c r="S31" s="34"/>
      <c r="T31" s="35"/>
      <c r="U31" s="31"/>
      <c r="V31" s="32"/>
      <c r="W31" s="33"/>
      <c r="X31" s="34"/>
      <c r="Y31" s="34"/>
      <c r="Z31" s="35"/>
      <c r="AA31" s="31"/>
      <c r="AB31" s="32"/>
      <c r="AC31" s="33"/>
      <c r="AD31" s="34"/>
      <c r="AE31" s="34"/>
      <c r="AF31" s="35"/>
      <c r="AG31" s="31"/>
      <c r="AH31" s="32"/>
      <c r="AI31" s="33"/>
      <c r="AJ31" s="34"/>
      <c r="AK31" s="34"/>
      <c r="AL31" s="35"/>
      <c r="AM31" s="31"/>
      <c r="AN31" s="32"/>
      <c r="AO31" s="33"/>
      <c r="AP31" s="34"/>
      <c r="AQ31" s="34"/>
      <c r="AR31" s="35"/>
      <c r="AS31" s="31"/>
      <c r="AT31" s="32"/>
      <c r="AU31" s="33"/>
      <c r="AV31" s="34"/>
      <c r="AW31" s="34"/>
      <c r="AX31" s="35"/>
      <c r="AY31" s="34"/>
      <c r="AZ31" s="35"/>
      <c r="BA31" s="31"/>
      <c r="BB31" s="32"/>
      <c r="BC31" s="33"/>
      <c r="BD31" s="34"/>
      <c r="BE31" s="34"/>
      <c r="BF31" s="35"/>
      <c r="BG31" s="31"/>
      <c r="BH31" s="32"/>
      <c r="BI31" s="33"/>
      <c r="BJ31" s="34"/>
      <c r="BK31" s="34"/>
      <c r="BL31" s="35"/>
      <c r="BM31" s="31"/>
      <c r="BN31" s="32"/>
      <c r="BO31" s="33"/>
      <c r="BP31" s="34"/>
      <c r="BQ31" s="34"/>
      <c r="BR31" s="35"/>
    </row>
    <row r="32" spans="1:83" ht="26.25" customHeight="1" x14ac:dyDescent="0.25">
      <c r="A32" s="34"/>
      <c r="B32" s="35"/>
      <c r="C32" s="31"/>
      <c r="D32" s="32"/>
      <c r="E32" s="33"/>
      <c r="F32" s="34"/>
      <c r="G32" s="34"/>
      <c r="H32" s="35"/>
      <c r="I32" s="31"/>
      <c r="J32" s="1923" cm="1">
        <f t="array" aca="1" ref="J32" ca="1">SUM(COUNTIF(INDIRECT({"B7","G7","L7","Q7","V7","AA7","AF7","AK7","AP7","AU7","AZ7","BE7","BJ7","BO7","B13","G13","L13","Q13","V13","AA13","AF13","AK13","AP13","AU13","AZ13","BE13","BJ13","BO13","B19","G19","L19","Q19","V19","AA19","AF19","AK19","AP19","AU19","AZ19"}),"&gt;0"))</f>
        <v>27</v>
      </c>
      <c r="K32" s="1923"/>
      <c r="L32" s="1923"/>
      <c r="M32" s="1923"/>
      <c r="N32" s="35"/>
      <c r="O32" s="31"/>
      <c r="P32" s="32"/>
      <c r="Q32" s="33"/>
      <c r="R32" s="34"/>
      <c r="S32" s="34"/>
      <c r="T32" s="35"/>
      <c r="U32" s="33"/>
      <c r="V32" s="34"/>
      <c r="W32" s="34"/>
      <c r="X32" s="33"/>
      <c r="Y32" s="717" cm="1">
        <f t="array" aca="1" ref="Y32" ca="1">SUM(COUNTIF(INDIRECT({"B8","G8","L8","Q8","V8","AA8","AF8","AK8","AP8","AU8","AZ8","BE8","BJ8","BO8","B14","G14","L14","Q14","V14","AA14","AF14","AK14","AP14","AU14","AZ14","BE14","BJ14","BO14","B20","G20","L20","Q20","V20","AA20","AF20","AK20","AP20","AU20","AZ20"}),"&gt;0"))</f>
        <v>27</v>
      </c>
      <c r="Z32" s="717"/>
      <c r="AA32" s="717"/>
      <c r="AB32" s="717"/>
      <c r="AC32" s="34"/>
      <c r="AD32" s="33"/>
      <c r="AE32" s="34"/>
      <c r="AF32" s="34"/>
      <c r="AG32" s="33"/>
      <c r="AH32" s="34"/>
      <c r="AI32" s="34"/>
      <c r="AJ32" s="33"/>
      <c r="AK32" s="34"/>
      <c r="AL32" s="34"/>
      <c r="AM32" s="33"/>
      <c r="AN32" s="34"/>
      <c r="AO32" s="34"/>
      <c r="AP32" s="717"/>
      <c r="AQ32" s="717"/>
      <c r="AR32" s="717"/>
      <c r="AS32" s="717"/>
      <c r="AT32" s="34"/>
      <c r="AU32" s="34"/>
      <c r="AV32" s="33"/>
      <c r="AW32" s="34"/>
      <c r="AX32" s="34"/>
      <c r="AY32" s="33"/>
      <c r="AZ32" s="34"/>
      <c r="BA32" s="34"/>
      <c r="BB32" s="33"/>
      <c r="BC32" s="34"/>
      <c r="BD32" s="34"/>
      <c r="BE32" s="33"/>
      <c r="BF32" s="717"/>
      <c r="BG32" s="717"/>
      <c r="BH32" s="717"/>
      <c r="BI32" s="717"/>
      <c r="BJ32" s="717"/>
      <c r="BK32" s="33"/>
      <c r="BL32" s="34"/>
      <c r="BM32" s="34"/>
      <c r="BN32" s="33"/>
      <c r="BO32" s="34"/>
      <c r="BP32" s="34"/>
      <c r="BQ32" s="33"/>
      <c r="BR32" s="34"/>
      <c r="BW32" s="27"/>
      <c r="BX32" s="27"/>
      <c r="BY32" s="27"/>
      <c r="BZ32" s="27"/>
      <c r="CA32" s="27"/>
      <c r="CB32" s="27"/>
      <c r="CC32" s="27"/>
      <c r="CD32" s="27"/>
      <c r="CE32" s="27"/>
    </row>
    <row r="33" spans="1:83" ht="26.1" customHeight="1" x14ac:dyDescent="0.25">
      <c r="A33" s="30"/>
      <c r="B33" s="29"/>
      <c r="C33" s="28"/>
      <c r="D33" s="28"/>
      <c r="E33" s="28"/>
      <c r="F33" s="30"/>
      <c r="G33" s="29"/>
      <c r="H33" s="28"/>
      <c r="I33" s="28"/>
      <c r="J33" s="1923"/>
      <c r="K33" s="1923"/>
      <c r="L33" s="1923"/>
      <c r="M33" s="1923"/>
      <c r="N33" s="28"/>
      <c r="O33" s="28"/>
      <c r="P33" s="30"/>
      <c r="Q33" s="29"/>
      <c r="R33" s="28"/>
      <c r="S33" s="28"/>
      <c r="T33" s="28"/>
      <c r="U33" s="29"/>
      <c r="V33" s="28"/>
      <c r="W33" s="28"/>
      <c r="X33" s="29"/>
      <c r="Y33" s="717"/>
      <c r="Z33" s="717"/>
      <c r="AA33" s="717"/>
      <c r="AB33" s="717"/>
      <c r="AC33" s="28"/>
      <c r="AD33" s="29"/>
      <c r="AE33" s="28"/>
      <c r="AF33" s="28"/>
      <c r="AG33" s="29"/>
      <c r="AH33" s="28"/>
      <c r="AI33" s="28"/>
      <c r="AJ33" s="29"/>
      <c r="AK33" s="28"/>
      <c r="AL33" s="28"/>
      <c r="AM33" s="29"/>
      <c r="AN33" s="28"/>
      <c r="AO33" s="28"/>
      <c r="AP33" s="717"/>
      <c r="AQ33" s="717"/>
      <c r="AR33" s="717"/>
      <c r="AS33" s="717"/>
      <c r="AT33" s="28"/>
      <c r="AU33" s="28"/>
      <c r="AV33" s="29"/>
      <c r="AW33" s="28"/>
      <c r="AX33" s="28"/>
      <c r="AY33" s="29"/>
      <c r="AZ33" s="28"/>
      <c r="BA33" s="28"/>
      <c r="BB33" s="29"/>
      <c r="BC33" s="28"/>
      <c r="BD33" s="28"/>
      <c r="BE33" s="29"/>
      <c r="BF33" s="717"/>
      <c r="BG33" s="717"/>
      <c r="BH33" s="717"/>
      <c r="BI33" s="717"/>
      <c r="BJ33" s="717"/>
      <c r="BK33" s="29"/>
      <c r="BL33" s="28"/>
      <c r="BM33" s="28"/>
      <c r="BN33" s="29"/>
      <c r="BO33" s="28"/>
      <c r="BP33" s="28"/>
      <c r="BQ33" s="29"/>
      <c r="BR33" s="28"/>
    </row>
    <row r="34" spans="1:83" ht="6.75" customHeight="1" x14ac:dyDescent="0.25">
      <c r="A34" s="29"/>
      <c r="B34" s="29"/>
      <c r="C34" s="28"/>
      <c r="D34" s="28"/>
      <c r="E34" s="28"/>
      <c r="F34" s="29"/>
      <c r="G34" s="29"/>
      <c r="H34" s="28"/>
      <c r="I34" s="28"/>
      <c r="J34" s="1923"/>
      <c r="K34" s="1923"/>
      <c r="L34" s="1923"/>
      <c r="M34" s="1923"/>
      <c r="N34" s="28"/>
      <c r="O34" s="28"/>
      <c r="P34" s="29"/>
      <c r="Q34" s="29"/>
      <c r="R34" s="28"/>
      <c r="S34" s="28"/>
      <c r="T34" s="28"/>
      <c r="U34" s="28"/>
      <c r="V34" s="29"/>
      <c r="W34" s="29"/>
      <c r="X34" s="28"/>
      <c r="Y34" s="717"/>
      <c r="Z34" s="717"/>
      <c r="AA34" s="717"/>
      <c r="AB34" s="717"/>
      <c r="AC34" s="28"/>
      <c r="AD34" s="28"/>
      <c r="AE34" s="28"/>
      <c r="AF34" s="29"/>
      <c r="AG34" s="29"/>
      <c r="AH34" s="28"/>
      <c r="AI34" s="28"/>
      <c r="AJ34" s="28"/>
      <c r="AK34" s="29"/>
      <c r="AL34" s="29"/>
      <c r="AM34" s="28"/>
      <c r="AN34" s="28"/>
      <c r="AO34" s="28"/>
      <c r="AP34" s="717"/>
      <c r="AQ34" s="717"/>
      <c r="AR34" s="717"/>
      <c r="AS34" s="717"/>
      <c r="AT34" s="28"/>
      <c r="AU34" s="29"/>
      <c r="AV34" s="29"/>
      <c r="AW34" s="28"/>
      <c r="AX34" s="28"/>
      <c r="AY34" s="28"/>
      <c r="AZ34" s="29"/>
      <c r="BA34" s="29"/>
      <c r="BB34" s="28"/>
      <c r="BC34" s="28"/>
      <c r="BD34" s="28"/>
      <c r="BE34" s="28"/>
      <c r="BF34" s="717"/>
      <c r="BG34" s="717"/>
      <c r="BH34" s="717"/>
      <c r="BI34" s="717"/>
      <c r="BJ34" s="717"/>
      <c r="BK34" s="29"/>
      <c r="BL34" s="29"/>
      <c r="BM34" s="28"/>
      <c r="BN34" s="28"/>
      <c r="BO34" s="28"/>
      <c r="BP34" s="29"/>
      <c r="BQ34" s="29"/>
      <c r="BR34" s="28"/>
    </row>
    <row r="35" spans="1:83" ht="21.95" customHeight="1" x14ac:dyDescent="0.25">
      <c r="A35" s="121"/>
      <c r="B35" s="121"/>
      <c r="C35" s="31"/>
      <c r="D35" s="121"/>
      <c r="E35" s="121"/>
      <c r="F35" s="121"/>
      <c r="G35" s="121"/>
      <c r="H35" s="31"/>
      <c r="I35" s="121"/>
      <c r="J35" s="1923"/>
      <c r="K35" s="1923"/>
      <c r="L35" s="1923"/>
      <c r="M35" s="1923"/>
      <c r="N35" s="121"/>
      <c r="O35" s="121"/>
      <c r="P35" s="121"/>
      <c r="Q35" s="121"/>
      <c r="R35" s="31"/>
      <c r="S35" s="121"/>
      <c r="T35" s="121"/>
      <c r="U35" s="28"/>
      <c r="V35" s="30"/>
      <c r="W35" s="29"/>
      <c r="X35" s="28"/>
      <c r="Y35" s="717"/>
      <c r="Z35" s="717"/>
      <c r="AA35" s="717"/>
      <c r="AB35" s="717"/>
      <c r="AC35" s="28"/>
      <c r="AD35" s="28"/>
      <c r="AE35" s="28"/>
      <c r="AF35" s="30"/>
      <c r="AG35" s="29"/>
      <c r="AH35" s="28"/>
      <c r="AI35" s="28"/>
      <c r="AJ35" s="28"/>
      <c r="AK35" s="30"/>
      <c r="AL35" s="29"/>
      <c r="AM35" s="28"/>
      <c r="AN35" s="28"/>
      <c r="AO35" s="28"/>
      <c r="AP35" s="717"/>
      <c r="AQ35" s="717"/>
      <c r="AR35" s="717"/>
      <c r="AS35" s="717"/>
      <c r="AT35" s="28"/>
      <c r="AU35" s="30"/>
      <c r="AV35" s="29"/>
      <c r="AW35" s="28"/>
      <c r="AX35" s="28"/>
      <c r="AY35" s="28"/>
      <c r="AZ35" s="30"/>
      <c r="BA35" s="29"/>
      <c r="BB35" s="28"/>
      <c r="BC35" s="28"/>
      <c r="BD35" s="28"/>
      <c r="BE35" s="28"/>
      <c r="BF35" s="717"/>
      <c r="BG35" s="717"/>
      <c r="BH35" s="717"/>
      <c r="BI35" s="717"/>
      <c r="BJ35" s="717"/>
      <c r="BK35" s="30"/>
      <c r="BL35" s="29"/>
      <c r="BM35" s="28"/>
      <c r="BN35" s="28"/>
      <c r="BO35" s="28"/>
      <c r="BP35" s="30"/>
      <c r="BQ35" s="29"/>
      <c r="BR35" s="28"/>
    </row>
    <row r="36" spans="1:83" ht="24" customHeight="1" x14ac:dyDescent="0.25">
      <c r="A36" s="35"/>
      <c r="B36" s="31"/>
      <c r="C36" s="32"/>
      <c r="D36" s="33"/>
      <c r="E36" s="34"/>
      <c r="F36" s="35"/>
      <c r="G36" s="31"/>
      <c r="H36" s="32"/>
      <c r="I36" s="33"/>
      <c r="J36" s="34"/>
      <c r="K36" s="35"/>
      <c r="L36" s="31"/>
      <c r="M36" s="32"/>
      <c r="N36" s="33"/>
      <c r="O36" s="34"/>
      <c r="P36" s="35"/>
      <c r="Q36" s="31"/>
      <c r="R36" s="32"/>
      <c r="S36" s="33"/>
      <c r="T36" s="34"/>
      <c r="U36" s="28"/>
      <c r="V36" s="697" t="s">
        <v>116</v>
      </c>
      <c r="W36" s="697"/>
      <c r="X36" s="697"/>
      <c r="Y36" s="697"/>
      <c r="Z36" s="697"/>
      <c r="AA36" s="697"/>
      <c r="AB36" s="697"/>
      <c r="AC36" s="697"/>
      <c r="AD36" s="697"/>
      <c r="AE36" s="697"/>
      <c r="AF36" s="697"/>
      <c r="AG36" s="697"/>
      <c r="AH36" s="697" t="s">
        <v>117</v>
      </c>
      <c r="AI36" s="697"/>
      <c r="AJ36" s="697"/>
      <c r="AK36" s="697"/>
      <c r="AL36" s="697"/>
      <c r="AM36" s="697"/>
      <c r="AN36" s="697"/>
      <c r="AO36" s="697"/>
      <c r="AP36" s="697"/>
      <c r="AQ36" s="697"/>
      <c r="AR36" s="697"/>
      <c r="AS36" s="698" t="s">
        <v>118</v>
      </c>
      <c r="AT36" s="698"/>
      <c r="AU36" s="698"/>
      <c r="AV36" s="698"/>
      <c r="AW36" s="698"/>
      <c r="AX36" s="698"/>
      <c r="AY36" s="698"/>
      <c r="AZ36" s="698"/>
      <c r="BA36" s="698"/>
      <c r="BB36" s="698"/>
      <c r="BC36" s="698"/>
      <c r="BD36" s="698"/>
      <c r="BE36" s="699" t="s">
        <v>119</v>
      </c>
      <c r="BF36" s="699"/>
      <c r="BG36" s="699"/>
      <c r="BH36" s="699"/>
      <c r="BI36" s="699"/>
      <c r="BJ36" s="1924">
        <f>D8+I8+N8+S8+X8+AC8+AH8+AM8+AR8+AW8+BB8+BG8+BL8+D14+I14+N14+S14+X14+AC14+AH14+AM14+AR14+AW14+BB14+BG14+BL14+D20+I20+N20+S20+X20+AC20+AH20+AM20+AR20+AW20+BQ8+BQ14+BB20</f>
        <v>37</v>
      </c>
      <c r="BK36" s="1925"/>
      <c r="BL36" s="1925"/>
      <c r="BM36" s="1925"/>
      <c r="BN36" s="701" t="s">
        <v>120</v>
      </c>
      <c r="BO36" s="701"/>
      <c r="BP36" s="701"/>
      <c r="BQ36" s="29"/>
      <c r="BR36" s="28"/>
    </row>
    <row r="37" spans="1:83" s="22" customFormat="1" ht="80.099999999999994" customHeight="1" x14ac:dyDescent="1.35">
      <c r="A37" s="35"/>
      <c r="B37" s="31"/>
      <c r="C37" s="32"/>
      <c r="D37" s="33"/>
      <c r="E37" s="34"/>
      <c r="F37" s="35"/>
      <c r="G37" s="31"/>
      <c r="H37" s="32"/>
      <c r="I37" s="33"/>
      <c r="J37" s="34"/>
      <c r="K37" s="35"/>
      <c r="L37" s="31"/>
      <c r="M37" s="32"/>
      <c r="N37" s="33"/>
      <c r="O37" s="34"/>
      <c r="P37" s="35"/>
      <c r="Q37" s="31"/>
      <c r="R37" s="32"/>
      <c r="S37" s="33"/>
      <c r="T37" s="34"/>
      <c r="U37" s="121"/>
      <c r="V37" s="697"/>
      <c r="W37" s="697"/>
      <c r="X37" s="697"/>
      <c r="Y37" s="697"/>
      <c r="Z37" s="697"/>
      <c r="AA37" s="697"/>
      <c r="AB37" s="697"/>
      <c r="AC37" s="697"/>
      <c r="AD37" s="697"/>
      <c r="AE37" s="697"/>
      <c r="AF37" s="697"/>
      <c r="AG37" s="697"/>
      <c r="AH37" s="697"/>
      <c r="AI37" s="697"/>
      <c r="AJ37" s="697"/>
      <c r="AK37" s="697"/>
      <c r="AL37" s="697"/>
      <c r="AM37" s="697"/>
      <c r="AN37" s="697"/>
      <c r="AO37" s="697"/>
      <c r="AP37" s="697"/>
      <c r="AQ37" s="697"/>
      <c r="AR37" s="697"/>
      <c r="AS37" s="698"/>
      <c r="AT37" s="698"/>
      <c r="AU37" s="698"/>
      <c r="AV37" s="698"/>
      <c r="AW37" s="698"/>
      <c r="AX37" s="698"/>
      <c r="AY37" s="698"/>
      <c r="AZ37" s="698"/>
      <c r="BA37" s="698"/>
      <c r="BB37" s="698"/>
      <c r="BC37" s="698"/>
      <c r="BD37" s="698"/>
      <c r="BE37" s="699"/>
      <c r="BF37" s="699"/>
      <c r="BG37" s="699"/>
      <c r="BH37" s="699"/>
      <c r="BI37" s="699"/>
      <c r="BJ37" s="1925"/>
      <c r="BK37" s="1925"/>
      <c r="BL37" s="1925"/>
      <c r="BM37" s="1925"/>
      <c r="BN37" s="701"/>
      <c r="BO37" s="701"/>
      <c r="BP37" s="701"/>
      <c r="BQ37" s="121"/>
      <c r="BR37" s="31"/>
    </row>
    <row r="38" spans="1:83" ht="26.25" customHeight="1" x14ac:dyDescent="0.25">
      <c r="A38" s="34"/>
      <c r="B38" s="35"/>
      <c r="C38" s="31"/>
      <c r="D38" s="32"/>
      <c r="E38" s="33"/>
      <c r="F38" s="34"/>
      <c r="G38" s="34"/>
      <c r="H38" s="35"/>
      <c r="I38" s="31"/>
      <c r="J38" s="32"/>
      <c r="K38" s="33"/>
      <c r="L38" s="34"/>
      <c r="M38" s="34"/>
      <c r="N38" s="35"/>
      <c r="O38" s="31"/>
      <c r="P38" s="32"/>
      <c r="Q38" s="33"/>
      <c r="R38" s="34"/>
      <c r="S38" s="34"/>
      <c r="T38" s="35"/>
      <c r="U38" s="31"/>
      <c r="V38" s="697"/>
      <c r="W38" s="697"/>
      <c r="X38" s="697"/>
      <c r="Y38" s="697"/>
      <c r="Z38" s="697"/>
      <c r="AA38" s="697"/>
      <c r="AB38" s="697"/>
      <c r="AC38" s="697"/>
      <c r="AD38" s="697"/>
      <c r="AE38" s="697"/>
      <c r="AF38" s="697"/>
      <c r="AG38" s="697"/>
      <c r="AH38" s="697"/>
      <c r="AI38" s="697"/>
      <c r="AJ38" s="697"/>
      <c r="AK38" s="697"/>
      <c r="AL38" s="697"/>
      <c r="AM38" s="697"/>
      <c r="AN38" s="697"/>
      <c r="AO38" s="697"/>
      <c r="AP38" s="697"/>
      <c r="AQ38" s="697"/>
      <c r="AR38" s="697"/>
      <c r="AS38" s="698"/>
      <c r="AT38" s="698"/>
      <c r="AU38" s="698"/>
      <c r="AV38" s="698"/>
      <c r="AW38" s="698"/>
      <c r="AX38" s="698"/>
      <c r="AY38" s="698"/>
      <c r="AZ38" s="698"/>
      <c r="BA38" s="698"/>
      <c r="BB38" s="698"/>
      <c r="BC38" s="698"/>
      <c r="BD38" s="698"/>
      <c r="BE38" s="699"/>
      <c r="BF38" s="699"/>
      <c r="BG38" s="699"/>
      <c r="BH38" s="699"/>
      <c r="BI38" s="699"/>
      <c r="BJ38" s="1925"/>
      <c r="BK38" s="1925"/>
      <c r="BL38" s="1925"/>
      <c r="BM38" s="1925"/>
      <c r="BN38" s="701"/>
      <c r="BO38" s="701"/>
      <c r="BP38" s="701"/>
      <c r="BQ38" s="32"/>
      <c r="BR38" s="33"/>
      <c r="BW38" s="27"/>
      <c r="BX38" s="27"/>
      <c r="BY38" s="27"/>
      <c r="BZ38" s="27"/>
      <c r="CA38" s="27"/>
      <c r="CB38" s="27"/>
      <c r="CC38" s="27"/>
      <c r="CD38" s="27"/>
      <c r="CE38" s="27"/>
    </row>
    <row r="39" spans="1:83" ht="26.1" customHeight="1" x14ac:dyDescent="0.25">
      <c r="A39" s="34"/>
      <c r="B39" s="35"/>
      <c r="C39" s="31"/>
      <c r="D39" s="32"/>
      <c r="E39" s="33"/>
      <c r="F39" s="34"/>
      <c r="G39" s="34"/>
      <c r="H39" s="35"/>
      <c r="I39" s="31"/>
      <c r="J39" s="32"/>
      <c r="K39" s="33"/>
      <c r="L39" s="34"/>
      <c r="M39" s="34"/>
      <c r="N39" s="35"/>
      <c r="O39" s="31"/>
      <c r="P39" s="32"/>
      <c r="Q39" s="33"/>
      <c r="R39" s="34"/>
      <c r="S39" s="34"/>
      <c r="T39" s="35"/>
      <c r="U39" s="31"/>
      <c r="V39" s="697"/>
      <c r="W39" s="697"/>
      <c r="X39" s="697"/>
      <c r="Y39" s="697"/>
      <c r="Z39" s="697"/>
      <c r="AA39" s="697"/>
      <c r="AB39" s="697"/>
      <c r="AC39" s="697"/>
      <c r="AD39" s="697"/>
      <c r="AE39" s="697"/>
      <c r="AF39" s="697"/>
      <c r="AG39" s="697"/>
      <c r="AH39" s="697"/>
      <c r="AI39" s="697"/>
      <c r="AJ39" s="697"/>
      <c r="AK39" s="697"/>
      <c r="AL39" s="697"/>
      <c r="AM39" s="697"/>
      <c r="AN39" s="697"/>
      <c r="AO39" s="697"/>
      <c r="AP39" s="697"/>
      <c r="AQ39" s="697"/>
      <c r="AR39" s="697"/>
      <c r="AS39" s="698"/>
      <c r="AT39" s="698"/>
      <c r="AU39" s="698"/>
      <c r="AV39" s="698"/>
      <c r="AW39" s="698"/>
      <c r="AX39" s="698"/>
      <c r="AY39" s="698"/>
      <c r="AZ39" s="698"/>
      <c r="BA39" s="698"/>
      <c r="BB39" s="698"/>
      <c r="BC39" s="698"/>
      <c r="BD39" s="698"/>
      <c r="BE39" s="699"/>
      <c r="BF39" s="699"/>
      <c r="BG39" s="699"/>
      <c r="BH39" s="699"/>
      <c r="BI39" s="699"/>
      <c r="BJ39" s="1925"/>
      <c r="BK39" s="1925"/>
      <c r="BL39" s="1925"/>
      <c r="BM39" s="1925"/>
      <c r="BN39" s="701"/>
      <c r="BO39" s="701"/>
      <c r="BP39" s="701"/>
      <c r="BQ39" s="32"/>
      <c r="BR39" s="33"/>
    </row>
    <row r="40" spans="1:83" ht="6.75" customHeight="1" x14ac:dyDescent="0.25">
      <c r="A40" s="28"/>
      <c r="B40" s="28"/>
      <c r="C40" s="28"/>
      <c r="D40" s="29"/>
      <c r="E40" s="29"/>
      <c r="F40" s="28"/>
      <c r="G40" s="28"/>
      <c r="H40" s="28"/>
      <c r="I40" s="29"/>
      <c r="J40" s="29"/>
      <c r="K40" s="28"/>
      <c r="L40" s="28"/>
      <c r="M40" s="28"/>
      <c r="N40" s="29"/>
      <c r="O40" s="29"/>
      <c r="P40" s="28"/>
      <c r="Q40" s="28"/>
      <c r="R40" s="28"/>
      <c r="S40" s="29"/>
      <c r="T40" s="29"/>
      <c r="U40" s="28"/>
      <c r="V40" s="722" t="s">
        <v>13</v>
      </c>
      <c r="W40" s="722"/>
      <c r="X40" s="722"/>
      <c r="Y40" s="722"/>
      <c r="Z40" s="722"/>
      <c r="AA40" s="722"/>
      <c r="AB40" s="722"/>
      <c r="AC40" s="722"/>
      <c r="AD40" s="722"/>
      <c r="AE40" s="722"/>
      <c r="AF40" s="722"/>
      <c r="AG40" s="722"/>
      <c r="AH40" s="723">
        <f>AS40-AD76</f>
        <v>-2.8000000000076852E-3</v>
      </c>
      <c r="AI40" s="723"/>
      <c r="AJ40" s="723"/>
      <c r="AK40" s="723"/>
      <c r="AL40" s="723"/>
      <c r="AM40" s="723"/>
      <c r="AN40" s="723"/>
      <c r="AO40" s="723"/>
      <c r="AP40" s="723"/>
      <c r="AQ40" s="723"/>
      <c r="AR40" s="723"/>
      <c r="AS40" s="707">
        <f>B8+G8+L8+Q8+V8+AA8+AF8+AK8+AP8+AU8+AZ8+BE8+BJ8+BO8+B14+G14+L14+Q14+V14+AA14+AF14+AK14+AP14+AU14+AZ14+BE14+BJ14+BO14+B20+G20+L20+Q20+V20+AA20+AF20+AK20+AP20+AU20+AZ20</f>
        <v>75.68719999999999</v>
      </c>
      <c r="AT40" s="707"/>
      <c r="AU40" s="707"/>
      <c r="AV40" s="707"/>
      <c r="AW40" s="707"/>
      <c r="AX40" s="707"/>
      <c r="AY40" s="707"/>
      <c r="AZ40" s="707"/>
      <c r="BA40" s="707"/>
      <c r="BB40" s="707"/>
      <c r="BC40" s="707"/>
      <c r="BD40" s="707"/>
      <c r="BE40" s="699"/>
      <c r="BF40" s="699"/>
      <c r="BG40" s="699"/>
      <c r="BH40" s="699"/>
      <c r="BI40" s="699"/>
      <c r="BJ40" s="1925"/>
      <c r="BK40" s="1925"/>
      <c r="BL40" s="1925"/>
      <c r="BM40" s="1925"/>
      <c r="BN40" s="701"/>
      <c r="BO40" s="701"/>
      <c r="BP40" s="701"/>
      <c r="BQ40" s="29"/>
      <c r="BR40" s="29"/>
    </row>
    <row r="41" spans="1:83" ht="21.95" customHeight="1" x14ac:dyDescent="0.25">
      <c r="A41" s="28"/>
      <c r="B41" s="28"/>
      <c r="C41" s="28"/>
      <c r="D41" s="30"/>
      <c r="E41" s="29"/>
      <c r="F41" s="28"/>
      <c r="G41" s="28"/>
      <c r="H41" s="28"/>
      <c r="I41" s="30"/>
      <c r="J41" s="29"/>
      <c r="K41" s="28"/>
      <c r="L41" s="28"/>
      <c r="M41" s="28"/>
      <c r="N41" s="30"/>
      <c r="O41" s="29"/>
      <c r="P41" s="28"/>
      <c r="Q41" s="28"/>
      <c r="R41" s="28"/>
      <c r="S41" s="30"/>
      <c r="T41" s="29"/>
      <c r="U41" s="28"/>
      <c r="V41" s="722"/>
      <c r="W41" s="722"/>
      <c r="X41" s="722"/>
      <c r="Y41" s="722"/>
      <c r="Z41" s="722"/>
      <c r="AA41" s="722"/>
      <c r="AB41" s="722"/>
      <c r="AC41" s="722"/>
      <c r="AD41" s="722"/>
      <c r="AE41" s="722"/>
      <c r="AF41" s="722"/>
      <c r="AG41" s="722"/>
      <c r="AH41" s="723"/>
      <c r="AI41" s="723"/>
      <c r="AJ41" s="723"/>
      <c r="AK41" s="723"/>
      <c r="AL41" s="723"/>
      <c r="AM41" s="723"/>
      <c r="AN41" s="723"/>
      <c r="AO41" s="723"/>
      <c r="AP41" s="723"/>
      <c r="AQ41" s="723"/>
      <c r="AR41" s="723"/>
      <c r="AS41" s="707"/>
      <c r="AT41" s="707"/>
      <c r="AU41" s="707"/>
      <c r="AV41" s="707"/>
      <c r="AW41" s="707"/>
      <c r="AX41" s="707"/>
      <c r="AY41" s="707"/>
      <c r="AZ41" s="707"/>
      <c r="BA41" s="707"/>
      <c r="BB41" s="707"/>
      <c r="BC41" s="707"/>
      <c r="BD41" s="707"/>
      <c r="BE41" s="699"/>
      <c r="BF41" s="699"/>
      <c r="BG41" s="699"/>
      <c r="BH41" s="699"/>
      <c r="BI41" s="699"/>
      <c r="BJ41" s="1925"/>
      <c r="BK41" s="1925"/>
      <c r="BL41" s="1925"/>
      <c r="BM41" s="1925"/>
      <c r="BN41" s="701"/>
      <c r="BO41" s="701"/>
      <c r="BP41" s="701"/>
      <c r="BQ41" s="30"/>
      <c r="BR41" s="29"/>
    </row>
    <row r="42" spans="1:83" ht="6" customHeight="1" x14ac:dyDescent="0.25">
      <c r="A42" s="28"/>
      <c r="B42" s="28"/>
      <c r="C42" s="28"/>
      <c r="D42" s="29"/>
      <c r="E42" s="29"/>
      <c r="F42" s="28"/>
      <c r="G42" s="28"/>
      <c r="H42" s="28"/>
      <c r="I42" s="29"/>
      <c r="J42" s="29"/>
      <c r="K42" s="28"/>
      <c r="L42" s="28"/>
      <c r="M42" s="28"/>
      <c r="N42" s="29"/>
      <c r="O42" s="29"/>
      <c r="P42" s="28"/>
      <c r="Q42" s="28"/>
      <c r="R42" s="28"/>
      <c r="S42" s="29"/>
      <c r="T42" s="29"/>
      <c r="U42" s="28"/>
      <c r="V42" s="722"/>
      <c r="W42" s="722"/>
      <c r="X42" s="722"/>
      <c r="Y42" s="722"/>
      <c r="Z42" s="722"/>
      <c r="AA42" s="722"/>
      <c r="AB42" s="722"/>
      <c r="AC42" s="722"/>
      <c r="AD42" s="722"/>
      <c r="AE42" s="722"/>
      <c r="AF42" s="722"/>
      <c r="AG42" s="722"/>
      <c r="AH42" s="723"/>
      <c r="AI42" s="723"/>
      <c r="AJ42" s="723"/>
      <c r="AK42" s="723"/>
      <c r="AL42" s="723"/>
      <c r="AM42" s="723"/>
      <c r="AN42" s="723"/>
      <c r="AO42" s="723"/>
      <c r="AP42" s="723"/>
      <c r="AQ42" s="723"/>
      <c r="AR42" s="723"/>
      <c r="AS42" s="707"/>
      <c r="AT42" s="707"/>
      <c r="AU42" s="707"/>
      <c r="AV42" s="707"/>
      <c r="AW42" s="707"/>
      <c r="AX42" s="707"/>
      <c r="AY42" s="707"/>
      <c r="AZ42" s="707"/>
      <c r="BA42" s="707"/>
      <c r="BB42" s="707"/>
      <c r="BC42" s="707"/>
      <c r="BD42" s="707"/>
      <c r="BE42" s="699"/>
      <c r="BF42" s="699"/>
      <c r="BG42" s="699"/>
      <c r="BH42" s="699"/>
      <c r="BI42" s="699"/>
      <c r="BJ42" s="708">
        <f>BJ36*1.5</f>
        <v>55.5</v>
      </c>
      <c r="BK42" s="708"/>
      <c r="BL42" s="708"/>
      <c r="BM42" s="708"/>
      <c r="BN42" s="708"/>
      <c r="BO42" s="708"/>
      <c r="BP42" s="708"/>
      <c r="BQ42" s="29"/>
      <c r="BR42" s="29"/>
    </row>
    <row r="43" spans="1:83" s="22" customFormat="1" ht="80.099999999999994" customHeight="1" x14ac:dyDescent="1.35">
      <c r="A43" s="31"/>
      <c r="B43" s="121"/>
      <c r="C43" s="121"/>
      <c r="D43" s="121"/>
      <c r="E43" s="121"/>
      <c r="F43" s="702"/>
      <c r="G43" s="702"/>
      <c r="H43" s="121"/>
      <c r="I43" s="121"/>
      <c r="J43" s="121"/>
      <c r="K43" s="31"/>
      <c r="L43" s="121"/>
      <c r="M43" s="121"/>
      <c r="N43" s="121"/>
      <c r="O43" s="121"/>
      <c r="P43" s="31"/>
      <c r="Q43" s="121"/>
      <c r="R43" s="121"/>
      <c r="S43" s="121"/>
      <c r="T43" s="121"/>
      <c r="U43" s="31"/>
      <c r="V43" s="722"/>
      <c r="W43" s="722"/>
      <c r="X43" s="722"/>
      <c r="Y43" s="722"/>
      <c r="Z43" s="722"/>
      <c r="AA43" s="722"/>
      <c r="AB43" s="722"/>
      <c r="AC43" s="722"/>
      <c r="AD43" s="722"/>
      <c r="AE43" s="722"/>
      <c r="AF43" s="722"/>
      <c r="AG43" s="722"/>
      <c r="AH43" s="723"/>
      <c r="AI43" s="723"/>
      <c r="AJ43" s="723"/>
      <c r="AK43" s="723"/>
      <c r="AL43" s="723"/>
      <c r="AM43" s="723"/>
      <c r="AN43" s="723"/>
      <c r="AO43" s="723"/>
      <c r="AP43" s="723"/>
      <c r="AQ43" s="723"/>
      <c r="AR43" s="723"/>
      <c r="AS43" s="707"/>
      <c r="AT43" s="707"/>
      <c r="AU43" s="707"/>
      <c r="AV43" s="707"/>
      <c r="AW43" s="707"/>
      <c r="AX43" s="707"/>
      <c r="AY43" s="707"/>
      <c r="AZ43" s="707"/>
      <c r="BA43" s="707"/>
      <c r="BB43" s="707"/>
      <c r="BC43" s="707"/>
      <c r="BD43" s="707"/>
      <c r="BE43" s="699"/>
      <c r="BF43" s="699"/>
      <c r="BG43" s="699"/>
      <c r="BH43" s="699"/>
      <c r="BI43" s="699"/>
      <c r="BJ43" s="708"/>
      <c r="BK43" s="708"/>
      <c r="BL43" s="708"/>
      <c r="BM43" s="708"/>
      <c r="BN43" s="708"/>
      <c r="BO43" s="708"/>
      <c r="BP43" s="708"/>
      <c r="BQ43" s="121"/>
      <c r="BR43" s="121"/>
    </row>
    <row r="44" spans="1:83" ht="26.25" customHeight="1" x14ac:dyDescent="0.25">
      <c r="A44" s="34"/>
      <c r="B44" s="35"/>
      <c r="C44" s="31"/>
      <c r="D44" s="32"/>
      <c r="E44" s="33"/>
      <c r="F44" s="703"/>
      <c r="G44" s="703"/>
      <c r="H44" s="31"/>
      <c r="I44" s="32"/>
      <c r="J44" s="33"/>
      <c r="K44" s="34"/>
      <c r="L44" s="35"/>
      <c r="M44" s="31"/>
      <c r="N44" s="32"/>
      <c r="O44" s="33"/>
      <c r="P44" s="34"/>
      <c r="Q44" s="35"/>
      <c r="R44" s="31"/>
      <c r="S44" s="32"/>
      <c r="T44" s="33"/>
      <c r="U44" s="34"/>
      <c r="V44" s="722"/>
      <c r="W44" s="722"/>
      <c r="X44" s="722"/>
      <c r="Y44" s="722"/>
      <c r="Z44" s="722"/>
      <c r="AA44" s="722"/>
      <c r="AB44" s="722"/>
      <c r="AC44" s="722"/>
      <c r="AD44" s="722"/>
      <c r="AE44" s="722"/>
      <c r="AF44" s="722"/>
      <c r="AG44" s="722"/>
      <c r="AH44" s="723"/>
      <c r="AI44" s="723"/>
      <c r="AJ44" s="723"/>
      <c r="AK44" s="723"/>
      <c r="AL44" s="723"/>
      <c r="AM44" s="723"/>
      <c r="AN44" s="723"/>
      <c r="AO44" s="723"/>
      <c r="AP44" s="723"/>
      <c r="AQ44" s="723"/>
      <c r="AR44" s="723"/>
      <c r="AS44" s="707"/>
      <c r="AT44" s="707"/>
      <c r="AU44" s="707"/>
      <c r="AV44" s="707"/>
      <c r="AW44" s="707"/>
      <c r="AX44" s="707"/>
      <c r="AY44" s="707"/>
      <c r="AZ44" s="707"/>
      <c r="BA44" s="707"/>
      <c r="BB44" s="707"/>
      <c r="BC44" s="707"/>
      <c r="BD44" s="707"/>
      <c r="BE44" s="699"/>
      <c r="BF44" s="699"/>
      <c r="BG44" s="699"/>
      <c r="BH44" s="699"/>
      <c r="BI44" s="699"/>
      <c r="BJ44" s="708"/>
      <c r="BK44" s="708"/>
      <c r="BL44" s="708"/>
      <c r="BM44" s="708"/>
      <c r="BN44" s="708"/>
      <c r="BO44" s="708"/>
      <c r="BP44" s="708"/>
      <c r="BQ44" s="31"/>
      <c r="BR44" s="32"/>
      <c r="BW44" s="27"/>
      <c r="BX44" s="27"/>
      <c r="BY44" s="27"/>
      <c r="BZ44" s="27"/>
      <c r="CA44" s="27"/>
      <c r="CB44" s="27"/>
      <c r="CC44" s="27"/>
      <c r="CD44" s="27"/>
      <c r="CE44" s="27"/>
    </row>
    <row r="45" spans="1:83" ht="26.1" customHeight="1" x14ac:dyDescent="0.25">
      <c r="A45" s="34"/>
      <c r="B45" s="35"/>
      <c r="C45" s="31"/>
      <c r="D45" s="32"/>
      <c r="E45" s="33"/>
      <c r="F45" s="703"/>
      <c r="G45" s="703"/>
      <c r="H45" s="31"/>
      <c r="I45" s="32"/>
      <c r="J45" s="33"/>
      <c r="K45" s="34"/>
      <c r="L45" s="35"/>
      <c r="M45" s="31"/>
      <c r="N45" s="32"/>
      <c r="O45" s="33"/>
      <c r="P45" s="34"/>
      <c r="Q45" s="35"/>
      <c r="R45" s="31"/>
      <c r="S45" s="32"/>
      <c r="T45" s="33"/>
      <c r="U45" s="34"/>
      <c r="V45" s="722"/>
      <c r="W45" s="722"/>
      <c r="X45" s="722"/>
      <c r="Y45" s="722"/>
      <c r="Z45" s="722"/>
      <c r="AA45" s="722"/>
      <c r="AB45" s="722"/>
      <c r="AC45" s="722"/>
      <c r="AD45" s="722"/>
      <c r="AE45" s="722"/>
      <c r="AF45" s="722"/>
      <c r="AG45" s="722"/>
      <c r="AH45" s="723"/>
      <c r="AI45" s="723"/>
      <c r="AJ45" s="723"/>
      <c r="AK45" s="723"/>
      <c r="AL45" s="723"/>
      <c r="AM45" s="723"/>
      <c r="AN45" s="723"/>
      <c r="AO45" s="723"/>
      <c r="AP45" s="723"/>
      <c r="AQ45" s="723"/>
      <c r="AR45" s="723"/>
      <c r="AS45" s="707"/>
      <c r="AT45" s="707"/>
      <c r="AU45" s="707"/>
      <c r="AV45" s="707"/>
      <c r="AW45" s="707"/>
      <c r="AX45" s="707"/>
      <c r="AY45" s="707"/>
      <c r="AZ45" s="707"/>
      <c r="BA45" s="707"/>
      <c r="BB45" s="707"/>
      <c r="BC45" s="707"/>
      <c r="BD45" s="707"/>
      <c r="BE45" s="699"/>
      <c r="BF45" s="699"/>
      <c r="BG45" s="699"/>
      <c r="BH45" s="699"/>
      <c r="BI45" s="699"/>
      <c r="BJ45" s="708"/>
      <c r="BK45" s="708"/>
      <c r="BL45" s="708"/>
      <c r="BM45" s="708"/>
      <c r="BN45" s="708"/>
      <c r="BO45" s="708"/>
      <c r="BP45" s="708"/>
      <c r="BQ45" s="31"/>
      <c r="BR45" s="32"/>
    </row>
    <row r="46" spans="1:83" ht="6.75" customHeight="1" x14ac:dyDescent="0.25">
      <c r="A46" s="28"/>
      <c r="B46" s="28"/>
      <c r="C46" s="28"/>
      <c r="D46" s="29"/>
      <c r="E46" s="29"/>
      <c r="F46" s="703"/>
      <c r="G46" s="703"/>
      <c r="H46" s="28"/>
      <c r="I46" s="29"/>
      <c r="J46" s="29"/>
      <c r="K46" s="28"/>
      <c r="L46" s="28"/>
      <c r="M46" s="28"/>
      <c r="N46" s="29"/>
      <c r="O46" s="29"/>
      <c r="P46" s="28"/>
      <c r="Q46" s="28"/>
      <c r="R46" s="28"/>
      <c r="S46" s="29"/>
      <c r="T46" s="29"/>
      <c r="U46" s="28"/>
      <c r="V46" s="722"/>
      <c r="W46" s="722"/>
      <c r="X46" s="722"/>
      <c r="Y46" s="722"/>
      <c r="Z46" s="722"/>
      <c r="AA46" s="722"/>
      <c r="AB46" s="722"/>
      <c r="AC46" s="722"/>
      <c r="AD46" s="722"/>
      <c r="AE46" s="722"/>
      <c r="AF46" s="722"/>
      <c r="AG46" s="722"/>
      <c r="AH46" s="723"/>
      <c r="AI46" s="723"/>
      <c r="AJ46" s="723"/>
      <c r="AK46" s="723"/>
      <c r="AL46" s="723"/>
      <c r="AM46" s="723"/>
      <c r="AN46" s="723"/>
      <c r="AO46" s="723"/>
      <c r="AP46" s="723"/>
      <c r="AQ46" s="723"/>
      <c r="AR46" s="723"/>
      <c r="AS46" s="707"/>
      <c r="AT46" s="707"/>
      <c r="AU46" s="707"/>
      <c r="AV46" s="707"/>
      <c r="AW46" s="707"/>
      <c r="AX46" s="707"/>
      <c r="AY46" s="707"/>
      <c r="AZ46" s="707"/>
      <c r="BA46" s="707"/>
      <c r="BB46" s="707"/>
      <c r="BC46" s="707"/>
      <c r="BD46" s="707"/>
      <c r="BE46" s="699"/>
      <c r="BF46" s="699"/>
      <c r="BG46" s="699"/>
      <c r="BH46" s="699"/>
      <c r="BI46" s="699"/>
      <c r="BJ46" s="699" t="s">
        <v>121</v>
      </c>
      <c r="BK46" s="699"/>
      <c r="BL46" s="699"/>
      <c r="BM46" s="699"/>
      <c r="BN46" s="699"/>
      <c r="BO46" s="699"/>
      <c r="BP46" s="699"/>
      <c r="BQ46" s="31"/>
      <c r="BR46" s="32"/>
    </row>
    <row r="47" spans="1:83" ht="21.95" customHeight="1" x14ac:dyDescent="0.25">
      <c r="A47" s="28"/>
      <c r="B47" s="28"/>
      <c r="C47" s="28"/>
      <c r="D47" s="30"/>
      <c r="E47" s="29"/>
      <c r="F47" s="703"/>
      <c r="G47" s="703"/>
      <c r="H47" s="28"/>
      <c r="I47" s="30"/>
      <c r="J47" s="29"/>
      <c r="K47" s="28"/>
      <c r="L47" s="28"/>
      <c r="M47" s="28"/>
      <c r="N47" s="30"/>
      <c r="O47" s="29"/>
      <c r="P47" s="28"/>
      <c r="Q47" s="28"/>
      <c r="R47" s="28"/>
      <c r="S47" s="30"/>
      <c r="T47" s="29"/>
      <c r="U47" s="28"/>
      <c r="V47" s="722"/>
      <c r="W47" s="722"/>
      <c r="X47" s="722"/>
      <c r="Y47" s="722"/>
      <c r="Z47" s="722"/>
      <c r="AA47" s="722"/>
      <c r="AB47" s="722"/>
      <c r="AC47" s="722"/>
      <c r="AD47" s="722"/>
      <c r="AE47" s="722"/>
      <c r="AF47" s="722"/>
      <c r="AG47" s="722"/>
      <c r="AH47" s="723"/>
      <c r="AI47" s="723"/>
      <c r="AJ47" s="723"/>
      <c r="AK47" s="723"/>
      <c r="AL47" s="723"/>
      <c r="AM47" s="723"/>
      <c r="AN47" s="723"/>
      <c r="AO47" s="723"/>
      <c r="AP47" s="723"/>
      <c r="AQ47" s="723"/>
      <c r="AR47" s="723"/>
      <c r="AS47" s="707"/>
      <c r="AT47" s="707"/>
      <c r="AU47" s="707"/>
      <c r="AV47" s="707"/>
      <c r="AW47" s="707"/>
      <c r="AX47" s="707"/>
      <c r="AY47" s="707"/>
      <c r="AZ47" s="707"/>
      <c r="BA47" s="707"/>
      <c r="BB47" s="707"/>
      <c r="BC47" s="707"/>
      <c r="BD47" s="707"/>
      <c r="BE47" s="699"/>
      <c r="BF47" s="699"/>
      <c r="BG47" s="699"/>
      <c r="BH47" s="699"/>
      <c r="BI47" s="699"/>
      <c r="BJ47" s="699"/>
      <c r="BK47" s="699"/>
      <c r="BL47" s="699"/>
      <c r="BM47" s="699"/>
      <c r="BN47" s="699"/>
      <c r="BO47" s="699"/>
      <c r="BP47" s="699"/>
      <c r="BQ47" s="30"/>
      <c r="BR47" s="29"/>
    </row>
    <row r="48" spans="1:83" ht="6" customHeight="1" x14ac:dyDescent="0.25">
      <c r="A48" s="28"/>
      <c r="B48" s="28"/>
      <c r="C48" s="28"/>
      <c r="D48" s="29"/>
      <c r="E48" s="29"/>
      <c r="F48" s="28"/>
      <c r="G48" s="28"/>
      <c r="H48" s="28"/>
      <c r="I48" s="29"/>
      <c r="J48" s="29"/>
      <c r="K48" s="28"/>
      <c r="L48" s="28"/>
      <c r="M48" s="28"/>
      <c r="N48" s="29"/>
      <c r="O48" s="29"/>
      <c r="P48" s="28"/>
      <c r="Q48" s="28"/>
      <c r="R48" s="28"/>
      <c r="S48" s="29"/>
      <c r="T48" s="29"/>
      <c r="U48" s="28"/>
      <c r="V48" s="28"/>
      <c r="W48" s="28"/>
      <c r="X48" s="29"/>
      <c r="Y48" s="29"/>
      <c r="Z48" s="28"/>
      <c r="AA48" s="28"/>
      <c r="AB48" s="28"/>
      <c r="AC48" s="29"/>
      <c r="AD48" s="29"/>
      <c r="AE48" s="28"/>
      <c r="AF48" s="28"/>
      <c r="AG48" s="28"/>
      <c r="AH48" s="29"/>
      <c r="AI48" s="29"/>
      <c r="AJ48" s="28"/>
      <c r="AK48" s="28"/>
      <c r="AL48" s="28"/>
      <c r="AM48" s="29"/>
      <c r="AN48" s="29"/>
      <c r="AO48" s="28"/>
      <c r="AP48" s="28"/>
      <c r="AQ48" s="28"/>
      <c r="AR48" s="29"/>
      <c r="AS48" s="29"/>
      <c r="AT48" s="28"/>
      <c r="AU48" s="28"/>
      <c r="AV48" s="28"/>
      <c r="AW48" s="29"/>
      <c r="AX48" s="29"/>
      <c r="AY48" s="28"/>
      <c r="AZ48" s="28"/>
      <c r="BA48" s="28"/>
      <c r="BB48" s="29"/>
      <c r="BC48" s="29"/>
      <c r="BD48" s="28"/>
      <c r="BE48" s="28"/>
      <c r="BF48" s="28"/>
      <c r="BG48" s="29"/>
      <c r="BH48" s="29"/>
      <c r="BI48" s="28"/>
      <c r="BJ48" s="699"/>
      <c r="BK48" s="699"/>
      <c r="BL48" s="699"/>
      <c r="BM48" s="699"/>
      <c r="BN48" s="699"/>
      <c r="BO48" s="699"/>
      <c r="BP48" s="699"/>
      <c r="BQ48" s="29"/>
      <c r="BR48" s="29"/>
    </row>
    <row r="49" spans="1:83" s="22" customFormat="1" ht="80.099999999999994" customHeight="1" x14ac:dyDescent="1.35">
      <c r="A49" s="31"/>
      <c r="B49" s="121"/>
      <c r="C49" s="121"/>
      <c r="D49" s="121"/>
      <c r="E49" s="121"/>
      <c r="F49" s="31"/>
      <c r="G49" s="121"/>
      <c r="H49" s="121"/>
      <c r="I49" s="121"/>
      <c r="J49" s="121"/>
      <c r="K49" s="31"/>
      <c r="L49" s="121"/>
      <c r="M49" s="121"/>
      <c r="N49" s="121"/>
      <c r="O49" s="121"/>
      <c r="P49" s="31"/>
      <c r="Q49" s="121"/>
      <c r="R49" s="121"/>
      <c r="S49" s="121"/>
      <c r="T49" s="121"/>
      <c r="U49" s="31"/>
      <c r="V49" s="121"/>
      <c r="W49" s="121"/>
      <c r="X49" s="121"/>
      <c r="Y49" s="121"/>
      <c r="Z49" s="31"/>
      <c r="AA49" s="121"/>
      <c r="AB49" s="121"/>
      <c r="AC49" s="121"/>
      <c r="AD49" s="121"/>
      <c r="AE49" s="31"/>
      <c r="AF49" s="121"/>
      <c r="AG49" s="121"/>
      <c r="AH49" s="121"/>
      <c r="AI49" s="121"/>
      <c r="AJ49" s="31"/>
      <c r="AK49" s="121"/>
      <c r="AL49" s="121"/>
      <c r="AM49" s="121"/>
      <c r="AN49" s="121"/>
      <c r="AO49" s="31"/>
      <c r="AP49" s="121"/>
      <c r="AQ49" s="121"/>
      <c r="AR49" s="121"/>
      <c r="AS49" s="121"/>
      <c r="AT49" s="31"/>
      <c r="AU49" s="121"/>
      <c r="AV49" s="121"/>
      <c r="AW49" s="121"/>
      <c r="AX49" s="121"/>
      <c r="AY49" s="31"/>
      <c r="AZ49" s="121"/>
      <c r="BA49" s="121"/>
      <c r="BB49" s="121"/>
      <c r="BC49" s="121"/>
      <c r="BD49" s="31"/>
      <c r="BE49" s="121"/>
      <c r="BF49" s="121"/>
      <c r="BG49" s="121"/>
      <c r="BH49" s="121"/>
      <c r="BI49" s="31"/>
      <c r="BJ49" s="121"/>
      <c r="BK49" s="121"/>
      <c r="BL49" s="121"/>
      <c r="BM49" s="121"/>
      <c r="BN49" s="31"/>
      <c r="BO49" s="121"/>
      <c r="BP49" s="121"/>
      <c r="BQ49" s="121"/>
      <c r="BR49" s="121"/>
    </row>
    <row r="50" spans="1:83" ht="25.5" customHeight="1" x14ac:dyDescent="0.25">
      <c r="A50" s="31"/>
      <c r="B50" s="32"/>
      <c r="C50" s="33"/>
      <c r="D50" s="34"/>
      <c r="E50" s="35"/>
      <c r="F50" s="31"/>
      <c r="G50" s="32"/>
      <c r="H50" s="33"/>
      <c r="I50" s="34"/>
      <c r="J50" s="35"/>
      <c r="K50" s="31"/>
      <c r="L50" s="32"/>
      <c r="M50" s="33"/>
      <c r="N50" s="34"/>
      <c r="O50" s="35"/>
      <c r="P50" s="31"/>
      <c r="Q50" s="32"/>
      <c r="R50" s="33"/>
      <c r="S50" s="34"/>
      <c r="T50" s="35"/>
      <c r="U50" s="31"/>
      <c r="V50" s="32"/>
      <c r="W50" s="33"/>
      <c r="X50" s="34"/>
      <c r="Y50" s="35"/>
      <c r="Z50" s="31"/>
      <c r="AA50" s="32"/>
      <c r="AB50" s="33"/>
      <c r="AC50" s="34"/>
      <c r="AD50" s="35"/>
      <c r="AE50" s="31"/>
      <c r="AF50" s="32"/>
      <c r="AG50" s="33"/>
      <c r="AH50" s="34"/>
      <c r="AI50" s="35"/>
      <c r="AJ50" s="31"/>
      <c r="AK50" s="32"/>
      <c r="AL50" s="33"/>
      <c r="AM50" s="34"/>
      <c r="AN50" s="35"/>
      <c r="AO50" s="31"/>
      <c r="AP50" s="32"/>
      <c r="AQ50" s="33"/>
      <c r="AR50" s="34"/>
      <c r="AS50" s="35"/>
      <c r="AT50" s="31"/>
      <c r="AU50" s="32"/>
      <c r="AV50" s="33"/>
      <c r="AW50" s="34"/>
      <c r="AX50" s="35"/>
      <c r="AY50" s="31"/>
      <c r="AZ50" s="32"/>
      <c r="BA50" s="33"/>
      <c r="BB50" s="34"/>
      <c r="BC50" s="35"/>
      <c r="BD50" s="31"/>
      <c r="BE50" s="32"/>
      <c r="BF50" s="33"/>
      <c r="BG50" s="34"/>
      <c r="BH50" s="35"/>
      <c r="BI50" s="31"/>
      <c r="BJ50" s="32"/>
      <c r="BK50" s="33"/>
      <c r="BL50" s="34"/>
      <c r="BM50" s="35"/>
      <c r="BN50" s="31"/>
      <c r="BO50" s="32"/>
      <c r="BP50" s="33"/>
      <c r="BQ50" s="34"/>
      <c r="BR50" s="35"/>
      <c r="BW50" s="27"/>
      <c r="BX50" s="27"/>
      <c r="BY50" s="27"/>
      <c r="BZ50" s="27"/>
      <c r="CA50" s="27"/>
      <c r="CB50" s="27"/>
      <c r="CC50" s="27"/>
      <c r="CD50" s="27"/>
      <c r="CE50" s="27"/>
    </row>
    <row r="51" spans="1:83" ht="26.1" hidden="1" customHeight="1" thickTop="1" x14ac:dyDescent="0.25">
      <c r="A51" s="672"/>
      <c r="B51" s="672"/>
      <c r="C51" s="672"/>
      <c r="D51" s="673"/>
      <c r="E51" s="673"/>
      <c r="F51" s="672"/>
      <c r="G51" s="672"/>
      <c r="H51" s="672"/>
      <c r="I51" s="673"/>
      <c r="J51" s="673"/>
      <c r="K51" s="672"/>
      <c r="L51" s="672"/>
      <c r="M51" s="672"/>
      <c r="N51" s="673"/>
      <c r="O51" s="673"/>
      <c r="P51" s="672"/>
      <c r="Q51" s="672"/>
      <c r="R51" s="672"/>
      <c r="S51" s="673"/>
      <c r="T51" s="673"/>
      <c r="U51" s="674"/>
      <c r="V51" s="674"/>
      <c r="W51" s="674"/>
      <c r="X51" s="675"/>
      <c r="Y51" s="675"/>
      <c r="Z51" s="44"/>
      <c r="AA51" s="44"/>
      <c r="AB51" s="44"/>
      <c r="AC51" s="69"/>
      <c r="AD51" s="69"/>
      <c r="AE51" s="44"/>
      <c r="AF51" s="44"/>
      <c r="AG51" s="44"/>
      <c r="AH51" s="69"/>
      <c r="AI51" s="69"/>
      <c r="AJ51" s="44"/>
      <c r="AK51" s="44"/>
      <c r="AL51" s="44"/>
      <c r="AM51" s="69"/>
      <c r="AN51" s="69"/>
      <c r="AO51" s="44"/>
      <c r="AP51" s="44"/>
      <c r="AQ51" s="44"/>
      <c r="AR51" s="69"/>
      <c r="AS51" s="69"/>
      <c r="AT51" s="44"/>
      <c r="AU51" s="44"/>
      <c r="AV51" s="44"/>
      <c r="AW51" s="69"/>
      <c r="AX51" s="69"/>
      <c r="AY51" s="44"/>
      <c r="AZ51" s="44"/>
      <c r="BA51" s="44"/>
      <c r="BB51" s="69"/>
      <c r="BC51" s="69"/>
      <c r="BD51" s="44"/>
      <c r="BE51" s="44"/>
      <c r="BF51" s="44"/>
      <c r="BG51" s="69"/>
      <c r="BH51" s="69"/>
      <c r="BI51" s="674"/>
      <c r="BJ51" s="674"/>
      <c r="BK51" s="674"/>
      <c r="BL51" s="675"/>
      <c r="BM51" s="675"/>
      <c r="BN51" s="674"/>
      <c r="BO51" s="674"/>
      <c r="BP51" s="674"/>
      <c r="BQ51" s="675"/>
      <c r="BR51" s="675"/>
    </row>
    <row r="52" spans="1:83" ht="6.75" hidden="1" customHeight="1" x14ac:dyDescent="0.25">
      <c r="A52" s="676"/>
      <c r="B52" s="676"/>
      <c r="C52" s="676"/>
      <c r="D52" s="29"/>
      <c r="E52" s="29"/>
      <c r="F52" s="676"/>
      <c r="G52" s="676"/>
      <c r="H52" s="676"/>
      <c r="I52" s="29"/>
      <c r="J52" s="29"/>
      <c r="K52" s="676"/>
      <c r="L52" s="676"/>
      <c r="M52" s="676"/>
      <c r="N52" s="29"/>
      <c r="O52" s="29"/>
      <c r="P52" s="676"/>
      <c r="Q52" s="676"/>
      <c r="R52" s="676"/>
      <c r="S52" s="29"/>
      <c r="T52" s="29"/>
      <c r="U52" s="676"/>
      <c r="V52" s="676"/>
      <c r="W52" s="676"/>
      <c r="X52" s="29"/>
      <c r="Y52" s="29"/>
      <c r="Z52" s="47"/>
      <c r="AA52" s="47"/>
      <c r="AB52" s="47"/>
      <c r="AC52" s="29"/>
      <c r="AD52" s="29"/>
      <c r="AE52" s="47"/>
      <c r="AF52" s="47"/>
      <c r="AG52" s="47"/>
      <c r="AH52" s="29"/>
      <c r="AI52" s="29"/>
      <c r="AJ52" s="47"/>
      <c r="AK52" s="47"/>
      <c r="AL52" s="47"/>
      <c r="AM52" s="29"/>
      <c r="AN52" s="29"/>
      <c r="AO52" s="47"/>
      <c r="AP52" s="47"/>
      <c r="AQ52" s="47"/>
      <c r="AR52" s="29"/>
      <c r="AS52" s="29"/>
      <c r="AT52" s="47"/>
      <c r="AU52" s="47"/>
      <c r="AV52" s="47"/>
      <c r="AW52" s="29"/>
      <c r="AX52" s="29"/>
      <c r="AY52" s="47"/>
      <c r="AZ52" s="47"/>
      <c r="BA52" s="47"/>
      <c r="BB52" s="29"/>
      <c r="BC52" s="29"/>
      <c r="BD52" s="47"/>
      <c r="BE52" s="47"/>
      <c r="BF52" s="47"/>
      <c r="BG52" s="29"/>
      <c r="BH52" s="29"/>
      <c r="BI52" s="676"/>
      <c r="BJ52" s="676"/>
      <c r="BK52" s="676"/>
      <c r="BL52" s="29"/>
      <c r="BM52" s="29"/>
      <c r="BN52" s="676"/>
      <c r="BO52" s="676"/>
      <c r="BP52" s="676"/>
      <c r="BQ52" s="29"/>
      <c r="BR52" s="29"/>
    </row>
    <row r="53" spans="1:83" ht="21.95" hidden="1" customHeight="1" x14ac:dyDescent="0.25">
      <c r="A53" s="676"/>
      <c r="B53" s="676"/>
      <c r="C53" s="676"/>
      <c r="D53" s="30"/>
      <c r="E53" s="29"/>
      <c r="F53" s="676"/>
      <c r="G53" s="676"/>
      <c r="H53" s="676"/>
      <c r="I53" s="30"/>
      <c r="J53" s="29"/>
      <c r="K53" s="676"/>
      <c r="L53" s="676"/>
      <c r="M53" s="676"/>
      <c r="N53" s="30"/>
      <c r="O53" s="29"/>
      <c r="P53" s="676"/>
      <c r="Q53" s="676"/>
      <c r="R53" s="676"/>
      <c r="S53" s="30"/>
      <c r="T53" s="29"/>
      <c r="U53" s="676"/>
      <c r="V53" s="676"/>
      <c r="W53" s="676"/>
      <c r="X53" s="30"/>
      <c r="Y53" s="29"/>
      <c r="Z53" s="47"/>
      <c r="AA53" s="47"/>
      <c r="AB53" s="47"/>
      <c r="AC53" s="30"/>
      <c r="AD53" s="29"/>
      <c r="AE53" s="47"/>
      <c r="AF53" s="47"/>
      <c r="AG53" s="47"/>
      <c r="AH53" s="30"/>
      <c r="AI53" s="29"/>
      <c r="AJ53" s="47"/>
      <c r="AK53" s="47"/>
      <c r="AL53" s="47"/>
      <c r="AM53" s="30"/>
      <c r="AN53" s="29"/>
      <c r="AO53" s="47"/>
      <c r="AP53" s="47"/>
      <c r="AQ53" s="47"/>
      <c r="AR53" s="30"/>
      <c r="AS53" s="29"/>
      <c r="AT53" s="47"/>
      <c r="AU53" s="47"/>
      <c r="AV53" s="47"/>
      <c r="AW53" s="30"/>
      <c r="AX53" s="29"/>
      <c r="AY53" s="47"/>
      <c r="AZ53" s="47"/>
      <c r="BA53" s="47"/>
      <c r="BB53" s="30"/>
      <c r="BC53" s="29"/>
      <c r="BD53" s="47"/>
      <c r="BE53" s="47"/>
      <c r="BF53" s="47"/>
      <c r="BG53" s="30"/>
      <c r="BH53" s="29"/>
      <c r="BI53" s="676"/>
      <c r="BJ53" s="676"/>
      <c r="BK53" s="676"/>
      <c r="BL53" s="30"/>
      <c r="BM53" s="29"/>
      <c r="BN53" s="676"/>
      <c r="BO53" s="676"/>
      <c r="BP53" s="676"/>
      <c r="BQ53" s="30"/>
      <c r="BR53" s="29"/>
    </row>
    <row r="54" spans="1:83" ht="6" hidden="1" customHeight="1" x14ac:dyDescent="0.25">
      <c r="A54" s="676"/>
      <c r="B54" s="676"/>
      <c r="C54" s="676"/>
      <c r="D54" s="675"/>
      <c r="E54" s="675"/>
      <c r="F54" s="676"/>
      <c r="G54" s="676"/>
      <c r="H54" s="676"/>
      <c r="I54" s="675"/>
      <c r="J54" s="675"/>
      <c r="K54" s="676"/>
      <c r="L54" s="676"/>
      <c r="M54" s="676"/>
      <c r="N54" s="675"/>
      <c r="O54" s="675"/>
      <c r="P54" s="676"/>
      <c r="Q54" s="676"/>
      <c r="R54" s="676"/>
      <c r="S54" s="675"/>
      <c r="T54" s="675"/>
      <c r="U54" s="676"/>
      <c r="V54" s="676"/>
      <c r="W54" s="676"/>
      <c r="X54" s="675"/>
      <c r="Y54" s="675"/>
      <c r="Z54" s="47"/>
      <c r="AA54" s="47"/>
      <c r="AB54" s="47"/>
      <c r="AC54" s="69"/>
      <c r="AD54" s="69"/>
      <c r="AE54" s="47"/>
      <c r="AF54" s="47"/>
      <c r="AG54" s="47"/>
      <c r="AH54" s="69"/>
      <c r="AI54" s="69"/>
      <c r="AJ54" s="47"/>
      <c r="AK54" s="47"/>
      <c r="AL54" s="47"/>
      <c r="AM54" s="69"/>
      <c r="AN54" s="69"/>
      <c r="AO54" s="47"/>
      <c r="AP54" s="47"/>
      <c r="AQ54" s="47"/>
      <c r="AR54" s="69"/>
      <c r="AS54" s="69"/>
      <c r="AT54" s="47"/>
      <c r="AU54" s="47"/>
      <c r="AV54" s="47"/>
      <c r="AW54" s="69"/>
      <c r="AX54" s="69"/>
      <c r="AY54" s="47"/>
      <c r="AZ54" s="47"/>
      <c r="BA54" s="47"/>
      <c r="BB54" s="69"/>
      <c r="BC54" s="69"/>
      <c r="BD54" s="47"/>
      <c r="BE54" s="47"/>
      <c r="BF54" s="47"/>
      <c r="BG54" s="69"/>
      <c r="BH54" s="69"/>
      <c r="BI54" s="676"/>
      <c r="BJ54" s="676"/>
      <c r="BK54" s="676"/>
      <c r="BL54" s="675"/>
      <c r="BM54" s="675"/>
      <c r="BN54" s="676"/>
      <c r="BO54" s="676"/>
      <c r="BP54" s="676"/>
      <c r="BQ54" s="675"/>
      <c r="BR54" s="675"/>
    </row>
    <row r="55" spans="1:83" ht="59.25" hidden="1" customHeight="1" thickBot="1" x14ac:dyDescent="0.3">
      <c r="A55" s="677"/>
      <c r="B55" s="678"/>
      <c r="C55" s="678"/>
      <c r="D55" s="678"/>
      <c r="E55" s="678"/>
      <c r="F55" s="677"/>
      <c r="G55" s="678"/>
      <c r="H55" s="678"/>
      <c r="I55" s="678"/>
      <c r="J55" s="678"/>
      <c r="K55" s="677"/>
      <c r="L55" s="678"/>
      <c r="M55" s="678"/>
      <c r="N55" s="678"/>
      <c r="O55" s="678"/>
      <c r="P55" s="677"/>
      <c r="Q55" s="678"/>
      <c r="R55" s="678"/>
      <c r="S55" s="678"/>
      <c r="T55" s="678"/>
      <c r="U55" s="677"/>
      <c r="V55" s="678"/>
      <c r="W55" s="678"/>
      <c r="X55" s="678"/>
      <c r="Y55" s="678"/>
      <c r="Z55" s="70"/>
      <c r="AA55" s="71"/>
      <c r="AB55" s="71"/>
      <c r="AC55" s="71"/>
      <c r="AD55" s="71"/>
      <c r="AE55" s="70"/>
      <c r="AF55" s="71"/>
      <c r="AG55" s="71"/>
      <c r="AH55" s="71"/>
      <c r="AI55" s="71"/>
      <c r="AJ55" s="70"/>
      <c r="AK55" s="71"/>
      <c r="AL55" s="71"/>
      <c r="AM55" s="71"/>
      <c r="AN55" s="71"/>
      <c r="AO55" s="70"/>
      <c r="AP55" s="71"/>
      <c r="AQ55" s="71"/>
      <c r="AR55" s="71"/>
      <c r="AS55" s="71"/>
      <c r="AT55" s="70"/>
      <c r="AU55" s="71"/>
      <c r="AV55" s="71"/>
      <c r="AW55" s="71"/>
      <c r="AX55" s="71"/>
      <c r="AY55" s="70"/>
      <c r="AZ55" s="71"/>
      <c r="BA55" s="71"/>
      <c r="BB55" s="71"/>
      <c r="BC55" s="71"/>
      <c r="BD55" s="70"/>
      <c r="BE55" s="71"/>
      <c r="BF55" s="71"/>
      <c r="BG55" s="71"/>
      <c r="BH55" s="71"/>
      <c r="BI55" s="677"/>
      <c r="BJ55" s="678"/>
      <c r="BK55" s="678"/>
      <c r="BL55" s="678"/>
      <c r="BM55" s="678"/>
      <c r="BN55" s="677"/>
      <c r="BO55" s="678"/>
      <c r="BP55" s="678"/>
      <c r="BQ55" s="678"/>
      <c r="BR55" s="678"/>
    </row>
    <row r="56" spans="1:83" ht="27" hidden="1" customHeight="1" thickBot="1" x14ac:dyDescent="0.3">
      <c r="A56" s="677"/>
      <c r="B56" s="32"/>
      <c r="C56" s="33"/>
      <c r="D56" s="34"/>
      <c r="E56" s="35"/>
      <c r="F56" s="677"/>
      <c r="G56" s="32"/>
      <c r="H56" s="33"/>
      <c r="I56" s="34"/>
      <c r="J56" s="35"/>
      <c r="K56" s="677"/>
      <c r="L56" s="32"/>
      <c r="M56" s="33"/>
      <c r="N56" s="34"/>
      <c r="O56" s="35"/>
      <c r="P56" s="677"/>
      <c r="Q56" s="32"/>
      <c r="R56" s="33"/>
      <c r="S56" s="34"/>
      <c r="T56" s="35"/>
      <c r="U56" s="677"/>
      <c r="V56" s="32"/>
      <c r="W56" s="33"/>
      <c r="X56" s="34"/>
      <c r="Y56" s="35"/>
      <c r="Z56" s="70"/>
      <c r="AA56" s="32"/>
      <c r="AB56" s="33"/>
      <c r="AC56" s="34"/>
      <c r="AD56" s="35"/>
      <c r="AE56" s="70"/>
      <c r="AF56" s="32"/>
      <c r="AG56" s="33"/>
      <c r="AH56" s="34"/>
      <c r="AI56" s="35"/>
      <c r="AJ56" s="70"/>
      <c r="AK56" s="32"/>
      <c r="AL56" s="33"/>
      <c r="AM56" s="34"/>
      <c r="AN56" s="35"/>
      <c r="AO56" s="70"/>
      <c r="AP56" s="32"/>
      <c r="AQ56" s="33"/>
      <c r="AR56" s="34"/>
      <c r="AS56" s="35"/>
      <c r="AT56" s="70"/>
      <c r="AU56" s="32"/>
      <c r="AV56" s="33"/>
      <c r="AW56" s="34"/>
      <c r="AX56" s="35"/>
      <c r="AY56" s="70"/>
      <c r="AZ56" s="32"/>
      <c r="BA56" s="33"/>
      <c r="BB56" s="34"/>
      <c r="BC56" s="35"/>
      <c r="BD56" s="70"/>
      <c r="BE56" s="32"/>
      <c r="BF56" s="33"/>
      <c r="BG56" s="34"/>
      <c r="BH56" s="35"/>
      <c r="BI56" s="677"/>
      <c r="BJ56" s="32"/>
      <c r="BK56" s="33"/>
      <c r="BL56" s="34"/>
      <c r="BM56" s="35"/>
      <c r="BN56" s="677"/>
      <c r="BO56" s="32"/>
      <c r="BP56" s="33"/>
      <c r="BQ56" s="34"/>
      <c r="BR56" s="35"/>
      <c r="BW56" s="27"/>
      <c r="BX56" s="27"/>
      <c r="BY56" s="27"/>
      <c r="BZ56" s="27"/>
      <c r="CA56" s="27"/>
      <c r="CB56" s="27"/>
      <c r="CC56" s="27"/>
      <c r="CD56" s="27"/>
      <c r="CE56" s="27"/>
    </row>
    <row r="57" spans="1:83" ht="26.1" hidden="1" customHeight="1" x14ac:dyDescent="0.25">
      <c r="A57" s="674"/>
      <c r="B57" s="674"/>
      <c r="C57" s="674"/>
      <c r="D57" s="675"/>
      <c r="E57" s="675"/>
      <c r="F57" s="674"/>
      <c r="G57" s="674"/>
      <c r="H57" s="674"/>
      <c r="I57" s="675"/>
      <c r="J57" s="675"/>
      <c r="K57" s="674"/>
      <c r="L57" s="674"/>
      <c r="M57" s="674"/>
      <c r="N57" s="675"/>
      <c r="O57" s="675"/>
      <c r="P57" s="674"/>
      <c r="Q57" s="674"/>
      <c r="R57" s="674"/>
      <c r="S57" s="675"/>
      <c r="T57" s="675"/>
      <c r="U57" s="674"/>
      <c r="V57" s="674"/>
      <c r="W57" s="674"/>
      <c r="X57" s="675"/>
      <c r="Y57" s="675"/>
      <c r="Z57" s="44"/>
      <c r="AA57" s="44"/>
      <c r="AB57" s="44"/>
      <c r="AC57" s="69"/>
      <c r="AD57" s="69"/>
      <c r="AE57" s="44"/>
      <c r="AF57" s="44"/>
      <c r="AG57" s="44"/>
      <c r="AH57" s="69"/>
      <c r="AI57" s="69"/>
      <c r="AJ57" s="44"/>
      <c r="AK57" s="44"/>
      <c r="AL57" s="44"/>
      <c r="AM57" s="69"/>
      <c r="AN57" s="69"/>
      <c r="AO57" s="44"/>
      <c r="AP57" s="44"/>
      <c r="AQ57" s="44"/>
      <c r="AR57" s="69"/>
      <c r="AS57" s="69"/>
      <c r="AT57" s="44"/>
      <c r="AU57" s="44"/>
      <c r="AV57" s="44"/>
      <c r="AW57" s="69"/>
      <c r="AX57" s="69"/>
      <c r="AY57" s="44"/>
      <c r="AZ57" s="44"/>
      <c r="BA57" s="44"/>
      <c r="BB57" s="69"/>
      <c r="BC57" s="69"/>
      <c r="BD57" s="44"/>
      <c r="BE57" s="44"/>
      <c r="BF57" s="44"/>
      <c r="BG57" s="69"/>
      <c r="BH57" s="69"/>
      <c r="BI57" s="674"/>
      <c r="BJ57" s="674"/>
      <c r="BK57" s="674"/>
      <c r="BL57" s="675"/>
      <c r="BM57" s="675"/>
      <c r="BN57" s="674"/>
      <c r="BO57" s="674"/>
      <c r="BP57" s="674"/>
      <c r="BQ57" s="675"/>
      <c r="BR57" s="675"/>
    </row>
    <row r="58" spans="1:83" ht="6.75" hidden="1" customHeight="1" x14ac:dyDescent="0.25">
      <c r="A58" s="676"/>
      <c r="B58" s="676"/>
      <c r="C58" s="676"/>
      <c r="D58" s="29"/>
      <c r="E58" s="29"/>
      <c r="F58" s="676"/>
      <c r="G58" s="676"/>
      <c r="H58" s="676"/>
      <c r="I58" s="29"/>
      <c r="J58" s="29"/>
      <c r="K58" s="676"/>
      <c r="L58" s="676"/>
      <c r="M58" s="676"/>
      <c r="N58" s="29"/>
      <c r="O58" s="29"/>
      <c r="P58" s="676"/>
      <c r="Q58" s="676"/>
      <c r="R58" s="676"/>
      <c r="S58" s="29"/>
      <c r="T58" s="29"/>
      <c r="U58" s="676"/>
      <c r="V58" s="676"/>
      <c r="W58" s="676"/>
      <c r="X58" s="29"/>
      <c r="Y58" s="29"/>
      <c r="Z58" s="47"/>
      <c r="AA58" s="47"/>
      <c r="AB58" s="47"/>
      <c r="AC58" s="29"/>
      <c r="AD58" s="29"/>
      <c r="AE58" s="47"/>
      <c r="AF58" s="47"/>
      <c r="AG58" s="47"/>
      <c r="AH58" s="29"/>
      <c r="AI58" s="29"/>
      <c r="AJ58" s="47"/>
      <c r="AK58" s="47"/>
      <c r="AL58" s="47"/>
      <c r="AM58" s="29"/>
      <c r="AN58" s="29"/>
      <c r="AO58" s="47"/>
      <c r="AP58" s="47"/>
      <c r="AQ58" s="47"/>
      <c r="AR58" s="29"/>
      <c r="AS58" s="29"/>
      <c r="AT58" s="47"/>
      <c r="AU58" s="47"/>
      <c r="AV58" s="47"/>
      <c r="AW58" s="29"/>
      <c r="AX58" s="29"/>
      <c r="AY58" s="47"/>
      <c r="AZ58" s="47"/>
      <c r="BA58" s="47"/>
      <c r="BB58" s="29"/>
      <c r="BC58" s="29"/>
      <c r="BD58" s="47"/>
      <c r="BE58" s="47"/>
      <c r="BF58" s="47"/>
      <c r="BG58" s="29"/>
      <c r="BH58" s="29"/>
      <c r="BI58" s="676"/>
      <c r="BJ58" s="676"/>
      <c r="BK58" s="676"/>
      <c r="BL58" s="29"/>
      <c r="BM58" s="29"/>
      <c r="BN58" s="676"/>
      <c r="BO58" s="676"/>
      <c r="BP58" s="676"/>
      <c r="BQ58" s="29"/>
      <c r="BR58" s="29"/>
    </row>
    <row r="59" spans="1:83" ht="21.95" hidden="1" customHeight="1" x14ac:dyDescent="0.25">
      <c r="A59" s="676"/>
      <c r="B59" s="676"/>
      <c r="C59" s="676"/>
      <c r="D59" s="30"/>
      <c r="E59" s="29"/>
      <c r="F59" s="676"/>
      <c r="G59" s="676"/>
      <c r="H59" s="676"/>
      <c r="I59" s="30"/>
      <c r="J59" s="29"/>
      <c r="K59" s="676"/>
      <c r="L59" s="676"/>
      <c r="M59" s="676"/>
      <c r="N59" s="30"/>
      <c r="O59" s="29"/>
      <c r="P59" s="676"/>
      <c r="Q59" s="676"/>
      <c r="R59" s="676"/>
      <c r="S59" s="30"/>
      <c r="T59" s="29"/>
      <c r="U59" s="676"/>
      <c r="V59" s="676"/>
      <c r="W59" s="676"/>
      <c r="X59" s="30"/>
      <c r="Y59" s="29"/>
      <c r="Z59" s="47"/>
      <c r="AA59" s="47"/>
      <c r="AB59" s="47"/>
      <c r="AC59" s="30"/>
      <c r="AD59" s="29"/>
      <c r="AE59" s="47"/>
      <c r="AF59" s="47"/>
      <c r="AG59" s="47"/>
      <c r="AH59" s="30"/>
      <c r="AI59" s="29"/>
      <c r="AJ59" s="47"/>
      <c r="AK59" s="47"/>
      <c r="AL59" s="47"/>
      <c r="AM59" s="30"/>
      <c r="AN59" s="29"/>
      <c r="AO59" s="47"/>
      <c r="AP59" s="47"/>
      <c r="AQ59" s="47"/>
      <c r="AR59" s="30"/>
      <c r="AS59" s="29"/>
      <c r="AT59" s="47"/>
      <c r="AU59" s="47"/>
      <c r="AV59" s="47"/>
      <c r="AW59" s="30"/>
      <c r="AX59" s="29"/>
      <c r="AY59" s="47"/>
      <c r="AZ59" s="47"/>
      <c r="BA59" s="47"/>
      <c r="BB59" s="30"/>
      <c r="BC59" s="29"/>
      <c r="BD59" s="47"/>
      <c r="BE59" s="47"/>
      <c r="BF59" s="47"/>
      <c r="BG59" s="30"/>
      <c r="BH59" s="29"/>
      <c r="BI59" s="676"/>
      <c r="BJ59" s="676"/>
      <c r="BK59" s="676"/>
      <c r="BL59" s="30"/>
      <c r="BM59" s="29"/>
      <c r="BN59" s="676"/>
      <c r="BO59" s="676"/>
      <c r="BP59" s="676"/>
      <c r="BQ59" s="30"/>
      <c r="BR59" s="29"/>
    </row>
    <row r="60" spans="1:83" ht="6" hidden="1" customHeight="1" x14ac:dyDescent="0.25">
      <c r="A60" s="676"/>
      <c r="B60" s="676"/>
      <c r="C60" s="676"/>
      <c r="D60" s="675"/>
      <c r="E60" s="675"/>
      <c r="F60" s="676"/>
      <c r="G60" s="676"/>
      <c r="H60" s="676"/>
      <c r="I60" s="675"/>
      <c r="J60" s="675"/>
      <c r="K60" s="676"/>
      <c r="L60" s="676"/>
      <c r="M60" s="676"/>
      <c r="N60" s="675"/>
      <c r="O60" s="675"/>
      <c r="P60" s="676"/>
      <c r="Q60" s="676"/>
      <c r="R60" s="676"/>
      <c r="S60" s="675"/>
      <c r="T60" s="675"/>
      <c r="U60" s="676"/>
      <c r="V60" s="676"/>
      <c r="W60" s="676"/>
      <c r="X60" s="675"/>
      <c r="Y60" s="675"/>
      <c r="Z60" s="47"/>
      <c r="AA60" s="47"/>
      <c r="AB60" s="47"/>
      <c r="AC60" s="69"/>
      <c r="AD60" s="69"/>
      <c r="AE60" s="47"/>
      <c r="AF60" s="47"/>
      <c r="AG60" s="47"/>
      <c r="AH60" s="69"/>
      <c r="AI60" s="69"/>
      <c r="AJ60" s="47"/>
      <c r="AK60" s="47"/>
      <c r="AL60" s="47"/>
      <c r="AM60" s="69"/>
      <c r="AN60" s="69"/>
      <c r="AO60" s="47"/>
      <c r="AP60" s="47"/>
      <c r="AQ60" s="47"/>
      <c r="AR60" s="69"/>
      <c r="AS60" s="69"/>
      <c r="AT60" s="47"/>
      <c r="AU60" s="47"/>
      <c r="AV60" s="47"/>
      <c r="AW60" s="69"/>
      <c r="AX60" s="69"/>
      <c r="AY60" s="47"/>
      <c r="AZ60" s="47"/>
      <c r="BA60" s="47"/>
      <c r="BB60" s="69"/>
      <c r="BC60" s="69"/>
      <c r="BD60" s="47"/>
      <c r="BE60" s="47"/>
      <c r="BF60" s="47"/>
      <c r="BG60" s="69"/>
      <c r="BH60" s="69"/>
      <c r="BI60" s="676"/>
      <c r="BJ60" s="676"/>
      <c r="BK60" s="676"/>
      <c r="BL60" s="675"/>
      <c r="BM60" s="675"/>
      <c r="BN60" s="676"/>
      <c r="BO60" s="676"/>
      <c r="BP60" s="676"/>
      <c r="BQ60" s="675"/>
      <c r="BR60" s="675"/>
    </row>
    <row r="61" spans="1:83" ht="59.25" hidden="1" customHeight="1" thickBot="1" x14ac:dyDescent="0.3">
      <c r="A61" s="677"/>
      <c r="B61" s="678"/>
      <c r="C61" s="678"/>
      <c r="D61" s="678"/>
      <c r="E61" s="678"/>
      <c r="F61" s="677"/>
      <c r="G61" s="678"/>
      <c r="H61" s="678"/>
      <c r="I61" s="678"/>
      <c r="J61" s="678"/>
      <c r="K61" s="677"/>
      <c r="L61" s="678"/>
      <c r="M61" s="678"/>
      <c r="N61" s="678"/>
      <c r="O61" s="678"/>
      <c r="P61" s="677"/>
      <c r="Q61" s="678"/>
      <c r="R61" s="678"/>
      <c r="S61" s="678"/>
      <c r="T61" s="678"/>
      <c r="U61" s="677"/>
      <c r="V61" s="678"/>
      <c r="W61" s="678"/>
      <c r="X61" s="678"/>
      <c r="Y61" s="678"/>
      <c r="Z61" s="70"/>
      <c r="AA61" s="71"/>
      <c r="AB61" s="71"/>
      <c r="AC61" s="71"/>
      <c r="AD61" s="71"/>
      <c r="AE61" s="70"/>
      <c r="AF61" s="71"/>
      <c r="AG61" s="71"/>
      <c r="AH61" s="71"/>
      <c r="AI61" s="71"/>
      <c r="AJ61" s="70"/>
      <c r="AK61" s="71"/>
      <c r="AL61" s="71"/>
      <c r="AM61" s="71"/>
      <c r="AN61" s="71"/>
      <c r="AO61" s="70"/>
      <c r="AP61" s="71"/>
      <c r="AQ61" s="71"/>
      <c r="AR61" s="71"/>
      <c r="AS61" s="71"/>
      <c r="AT61" s="70"/>
      <c r="AU61" s="71"/>
      <c r="AV61" s="71"/>
      <c r="AW61" s="71"/>
      <c r="AX61" s="71"/>
      <c r="AY61" s="70"/>
      <c r="AZ61" s="71"/>
      <c r="BA61" s="71"/>
      <c r="BB61" s="71"/>
      <c r="BC61" s="71"/>
      <c r="BD61" s="70"/>
      <c r="BE61" s="71"/>
      <c r="BF61" s="71"/>
      <c r="BG61" s="71"/>
      <c r="BH61" s="71"/>
      <c r="BI61" s="677"/>
      <c r="BJ61" s="678"/>
      <c r="BK61" s="678"/>
      <c r="BL61" s="678"/>
      <c r="BM61" s="678"/>
      <c r="BN61" s="677"/>
      <c r="BO61" s="678"/>
      <c r="BP61" s="678"/>
      <c r="BQ61" s="678"/>
      <c r="BR61" s="678"/>
    </row>
    <row r="62" spans="1:83" ht="27" hidden="1" customHeight="1" thickBot="1" x14ac:dyDescent="0.3">
      <c r="A62" s="677"/>
      <c r="B62" s="32"/>
      <c r="C62" s="33"/>
      <c r="D62" s="34"/>
      <c r="E62" s="35"/>
      <c r="F62" s="677"/>
      <c r="G62" s="32"/>
      <c r="H62" s="33"/>
      <c r="I62" s="34"/>
      <c r="J62" s="35"/>
      <c r="K62" s="677"/>
      <c r="L62" s="32"/>
      <c r="M62" s="33"/>
      <c r="N62" s="34"/>
      <c r="O62" s="35"/>
      <c r="P62" s="677"/>
      <c r="Q62" s="32"/>
      <c r="R62" s="33"/>
      <c r="S62" s="34"/>
      <c r="T62" s="35"/>
      <c r="U62" s="677"/>
      <c r="V62" s="32"/>
      <c r="W62" s="33"/>
      <c r="X62" s="34"/>
      <c r="Y62" s="35"/>
      <c r="Z62" s="70"/>
      <c r="AA62" s="32"/>
      <c r="AB62" s="33"/>
      <c r="AC62" s="34"/>
      <c r="AD62" s="35"/>
      <c r="AE62" s="70"/>
      <c r="AF62" s="32"/>
      <c r="AG62" s="33"/>
      <c r="AH62" s="34"/>
      <c r="AI62" s="35"/>
      <c r="AJ62" s="70"/>
      <c r="AK62" s="32"/>
      <c r="AL62" s="33"/>
      <c r="AM62" s="34"/>
      <c r="AN62" s="35"/>
      <c r="AO62" s="70"/>
      <c r="AP62" s="32"/>
      <c r="AQ62" s="33"/>
      <c r="AR62" s="34"/>
      <c r="AS62" s="35"/>
      <c r="AT62" s="70"/>
      <c r="AU62" s="32"/>
      <c r="AV62" s="33"/>
      <c r="AW62" s="34"/>
      <c r="AX62" s="35"/>
      <c r="AY62" s="70"/>
      <c r="AZ62" s="32"/>
      <c r="BA62" s="33"/>
      <c r="BB62" s="34"/>
      <c r="BC62" s="35"/>
      <c r="BD62" s="70"/>
      <c r="BE62" s="32"/>
      <c r="BF62" s="33"/>
      <c r="BG62" s="34"/>
      <c r="BH62" s="35"/>
      <c r="BI62" s="677"/>
      <c r="BJ62" s="32"/>
      <c r="BK62" s="33"/>
      <c r="BL62" s="34"/>
      <c r="BM62" s="35"/>
      <c r="BN62" s="677"/>
      <c r="BO62" s="32"/>
      <c r="BP62" s="33"/>
      <c r="BQ62" s="34"/>
      <c r="BR62" s="35"/>
      <c r="BW62" s="27"/>
      <c r="BX62" s="27"/>
      <c r="BY62" s="27"/>
      <c r="BZ62" s="27"/>
      <c r="CA62" s="27"/>
      <c r="CB62" s="27"/>
      <c r="CC62" s="27"/>
      <c r="CD62" s="27"/>
      <c r="CE62" s="27"/>
    </row>
    <row r="63" spans="1:83" s="42" customFormat="1" ht="30" hidden="1" customHeight="1" thickTop="1" x14ac:dyDescent="0.25">
      <c r="A63" s="37"/>
      <c r="B63" s="38"/>
      <c r="C63" s="39"/>
      <c r="D63" s="40"/>
      <c r="E63" s="41"/>
      <c r="F63" s="37"/>
      <c r="G63" s="38"/>
      <c r="H63" s="39"/>
      <c r="I63" s="40"/>
      <c r="J63" s="41"/>
      <c r="K63" s="37"/>
      <c r="L63" s="38"/>
      <c r="M63" s="39"/>
      <c r="N63" s="40"/>
      <c r="O63" s="41"/>
      <c r="P63" s="37"/>
      <c r="Q63" s="38"/>
      <c r="R63" s="39"/>
      <c r="S63" s="40"/>
      <c r="T63" s="41"/>
      <c r="U63" s="37"/>
      <c r="V63" s="38"/>
      <c r="W63" s="38"/>
      <c r="X63" s="39"/>
      <c r="Y63" s="40"/>
      <c r="Z63" s="41"/>
      <c r="AA63" s="37"/>
      <c r="AB63" s="38"/>
      <c r="AC63" s="39"/>
      <c r="AD63" s="40"/>
      <c r="AE63" s="41"/>
      <c r="AF63" s="38"/>
      <c r="AG63" s="39"/>
      <c r="AH63" s="40"/>
      <c r="AI63" s="41"/>
      <c r="AJ63" s="37"/>
      <c r="AK63" s="38"/>
      <c r="AL63" s="39"/>
      <c r="AM63" s="40"/>
      <c r="AN63" s="41"/>
      <c r="AO63" s="38"/>
      <c r="AP63" s="39"/>
      <c r="AQ63" s="40"/>
      <c r="AR63" s="41"/>
      <c r="AS63" s="37"/>
      <c r="AT63" s="38"/>
      <c r="AU63" s="39"/>
      <c r="AV63" s="40"/>
      <c r="AW63" s="41"/>
      <c r="AX63" s="38"/>
      <c r="AY63" s="39"/>
      <c r="AZ63" s="40"/>
      <c r="BA63" s="41"/>
      <c r="BB63" s="37"/>
      <c r="BC63" s="38"/>
      <c r="BD63" s="39"/>
      <c r="BE63" s="40"/>
      <c r="BF63" s="41"/>
      <c r="BG63" s="38"/>
      <c r="BH63" s="39"/>
      <c r="BI63" s="40"/>
      <c r="BJ63" s="41"/>
      <c r="BK63" s="37"/>
      <c r="BL63" s="38"/>
      <c r="BM63" s="39"/>
      <c r="BN63" s="40"/>
      <c r="BO63" s="41"/>
      <c r="BP63" s="38"/>
      <c r="BQ63" s="39"/>
      <c r="BR63" s="40"/>
      <c r="BW63" s="43"/>
      <c r="BX63" s="43"/>
      <c r="BY63" s="43"/>
      <c r="BZ63" s="43"/>
      <c r="CA63" s="43"/>
      <c r="CB63" s="43"/>
      <c r="CC63" s="43"/>
      <c r="CD63" s="43"/>
      <c r="CE63" s="43"/>
    </row>
    <row r="64" spans="1:83" ht="21.95" hidden="1" customHeight="1" x14ac:dyDescent="0.25">
      <c r="A64" s="674"/>
      <c r="B64" s="674"/>
      <c r="C64" s="674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45"/>
      <c r="BD64" s="45"/>
      <c r="BE64" s="45"/>
      <c r="BF64" s="45"/>
      <c r="BG64" s="45"/>
      <c r="BH64" s="45"/>
      <c r="BI64" s="45"/>
      <c r="BJ64" s="45"/>
      <c r="BK64" s="45"/>
      <c r="BL64" s="45"/>
      <c r="BM64" s="45"/>
      <c r="BN64" s="45"/>
      <c r="BO64" s="45"/>
      <c r="BP64" s="45"/>
      <c r="BQ64" s="45"/>
      <c r="BR64" s="45"/>
    </row>
    <row r="65" spans="1:90" ht="6.75" customHeight="1" x14ac:dyDescent="0.25">
      <c r="A65" s="676"/>
      <c r="B65" s="676"/>
      <c r="C65" s="676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5"/>
      <c r="AW65" s="45"/>
      <c r="AX65" s="45"/>
      <c r="AY65" s="45"/>
      <c r="AZ65" s="45"/>
      <c r="BA65" s="45"/>
      <c r="BB65" s="45"/>
      <c r="BC65" s="45"/>
      <c r="BD65" s="45"/>
      <c r="BE65" s="45"/>
      <c r="BF65" s="45"/>
      <c r="BG65" s="45"/>
      <c r="BH65" s="45"/>
      <c r="BI65" s="45"/>
      <c r="BJ65" s="45"/>
      <c r="BK65" s="45"/>
      <c r="BL65" s="45"/>
      <c r="BM65" s="45"/>
      <c r="BN65" s="45"/>
      <c r="BO65" s="45"/>
      <c r="BP65" s="45"/>
      <c r="BQ65" s="45"/>
      <c r="BR65" s="45"/>
    </row>
    <row r="66" spans="1:90" ht="37.5" hidden="1" customHeight="1" x14ac:dyDescent="0.25">
      <c r="A66" s="676"/>
      <c r="B66" s="676"/>
      <c r="C66" s="676"/>
      <c r="D66" s="49"/>
      <c r="E66" s="49"/>
      <c r="F66" s="49"/>
      <c r="G66" s="49"/>
      <c r="H66" s="49"/>
      <c r="I66" s="49"/>
      <c r="J66" s="49"/>
      <c r="K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5"/>
      <c r="BF66" s="45"/>
      <c r="BG66" s="45"/>
      <c r="BH66" s="45"/>
      <c r="BI66" s="45"/>
      <c r="BJ66" s="45"/>
      <c r="BK66" s="45"/>
      <c r="BL66" s="45"/>
      <c r="BM66" s="45"/>
      <c r="BN66" s="45"/>
      <c r="BO66" s="45"/>
      <c r="BP66" s="45"/>
      <c r="BQ66" s="45"/>
      <c r="BR66" s="45"/>
    </row>
    <row r="67" spans="1:90" ht="6" hidden="1" customHeight="1" x14ac:dyDescent="0.25">
      <c r="A67" s="676"/>
      <c r="B67" s="676"/>
      <c r="C67" s="676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  <c r="AT67" s="45"/>
      <c r="AU67" s="45"/>
      <c r="AV67" s="45"/>
      <c r="AW67" s="45"/>
      <c r="AX67" s="45"/>
      <c r="AY67" s="45"/>
      <c r="AZ67" s="45"/>
      <c r="BA67" s="45"/>
      <c r="BB67" s="45"/>
      <c r="BC67" s="45"/>
      <c r="BD67" s="45"/>
      <c r="BE67" s="45"/>
      <c r="BF67" s="45"/>
      <c r="BG67" s="45"/>
      <c r="BH67" s="45"/>
      <c r="BI67" s="45"/>
      <c r="BJ67" s="45"/>
      <c r="BK67" s="45"/>
      <c r="BL67" s="45"/>
      <c r="BM67" s="45"/>
      <c r="BN67" s="45"/>
      <c r="BO67" s="45"/>
      <c r="BP67" s="45"/>
      <c r="BQ67" s="45"/>
      <c r="BR67" s="45"/>
    </row>
    <row r="68" spans="1:90" ht="30" hidden="1" customHeight="1" x14ac:dyDescent="0.25">
      <c r="B68" s="17"/>
      <c r="D68" s="45"/>
      <c r="E68" s="45"/>
      <c r="F68" s="45"/>
      <c r="G68" s="45"/>
      <c r="H68" s="45"/>
      <c r="I68" s="45"/>
      <c r="J68" s="45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49"/>
      <c r="BC68" s="49"/>
      <c r="BD68" s="49"/>
      <c r="BE68" s="49"/>
      <c r="BF68" s="49"/>
      <c r="BG68" s="49"/>
      <c r="BH68" s="49"/>
      <c r="BI68" s="49"/>
      <c r="BJ68" s="49"/>
      <c r="BK68" s="49"/>
      <c r="BL68" s="49"/>
      <c r="BM68" s="49"/>
      <c r="BN68" s="49"/>
      <c r="BO68" s="49"/>
      <c r="BP68" s="49"/>
      <c r="BQ68" s="49"/>
      <c r="BR68" s="49"/>
      <c r="BS68" s="50"/>
      <c r="BT68" s="50"/>
      <c r="BW68" s="51"/>
      <c r="BX68" s="51"/>
      <c r="BY68" s="51"/>
      <c r="BZ68" s="51"/>
      <c r="CA68" s="51"/>
      <c r="CB68" s="51"/>
      <c r="CC68" s="27"/>
      <c r="CD68" s="27"/>
      <c r="CE68" s="27"/>
      <c r="CG68" s="27"/>
      <c r="CH68" s="27"/>
      <c r="CI68" s="27"/>
      <c r="CJ68" s="27"/>
      <c r="CK68" s="27"/>
      <c r="CL68" s="27"/>
    </row>
    <row r="69" spans="1:90" ht="34.5" hidden="1" customHeight="1" x14ac:dyDescent="0.25"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5"/>
      <c r="AW69" s="45"/>
      <c r="AX69" s="45"/>
      <c r="AY69" s="45"/>
      <c r="AZ69" s="45"/>
      <c r="BA69" s="45"/>
      <c r="BB69" s="45"/>
      <c r="BC69" s="45"/>
      <c r="BD69" s="45"/>
      <c r="BE69" s="45"/>
      <c r="BF69" s="45"/>
      <c r="BG69" s="45"/>
      <c r="BH69" s="45"/>
      <c r="BI69" s="45"/>
      <c r="BJ69" s="45"/>
      <c r="BK69" s="45"/>
      <c r="BL69" s="45"/>
      <c r="BM69" s="45"/>
      <c r="BN69" s="45"/>
      <c r="BO69" s="45"/>
      <c r="BP69" s="45"/>
      <c r="BQ69" s="45"/>
      <c r="BR69" s="45"/>
      <c r="BS69" s="50"/>
      <c r="BT69" s="50"/>
      <c r="BW69" s="27"/>
      <c r="BX69" s="27"/>
      <c r="BY69" s="27"/>
      <c r="BZ69" s="27"/>
      <c r="CA69" s="27"/>
      <c r="CB69" s="27"/>
      <c r="CC69" s="27"/>
      <c r="CD69" s="27"/>
      <c r="CE69" s="27"/>
      <c r="CG69" s="27"/>
      <c r="CH69" s="27"/>
      <c r="CI69" s="27"/>
      <c r="CJ69" s="27"/>
      <c r="CK69" s="27"/>
      <c r="CL69" s="27"/>
    </row>
    <row r="70" spans="1:90" ht="15" hidden="1" customHeight="1" x14ac:dyDescent="0.25">
      <c r="G70" s="45"/>
      <c r="H70" s="45"/>
      <c r="I70" s="45"/>
      <c r="J70" s="52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5"/>
      <c r="AW70" s="45"/>
      <c r="AX70" s="45"/>
      <c r="AY70" s="45"/>
      <c r="AZ70" s="45"/>
      <c r="BA70" s="45"/>
      <c r="BB70" s="45"/>
      <c r="BC70" s="45"/>
      <c r="BD70" s="45"/>
      <c r="BE70" s="45"/>
      <c r="BF70" s="45"/>
      <c r="BG70" s="45"/>
      <c r="BH70" s="45"/>
      <c r="BI70" s="45"/>
      <c r="BJ70" s="45"/>
      <c r="BK70" s="45"/>
      <c r="BL70" s="45"/>
      <c r="BM70" s="45"/>
      <c r="BN70" s="45"/>
      <c r="BO70" s="45"/>
      <c r="BP70" s="45"/>
      <c r="BQ70" s="45"/>
      <c r="BR70" s="45"/>
      <c r="BS70" s="50"/>
      <c r="BT70" s="50"/>
      <c r="BW70" s="27"/>
      <c r="BX70" s="27"/>
      <c r="BY70" s="27"/>
      <c r="BZ70" s="27"/>
      <c r="CA70" s="27"/>
      <c r="CB70" s="27"/>
      <c r="CC70" s="27"/>
      <c r="CD70" s="27"/>
      <c r="CE70" s="27"/>
      <c r="CG70" s="27"/>
      <c r="CH70" s="27"/>
      <c r="CI70" s="27"/>
      <c r="CJ70" s="27"/>
      <c r="CK70" s="27"/>
      <c r="CL70" s="27"/>
    </row>
    <row r="71" spans="1:90" ht="16.5" customHeight="1" x14ac:dyDescent="0.25">
      <c r="G71" s="45"/>
      <c r="H71" s="45"/>
      <c r="I71" s="45"/>
      <c r="J71" s="52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38"/>
      <c r="X71" s="39"/>
      <c r="Y71" s="40"/>
      <c r="Z71" s="41"/>
      <c r="AA71" s="37"/>
      <c r="AB71" s="38"/>
      <c r="AC71" s="39"/>
      <c r="AD71" s="40"/>
      <c r="AE71" s="41"/>
      <c r="AF71" s="38"/>
      <c r="AG71" s="39"/>
      <c r="AH71" s="40"/>
      <c r="AI71" s="41"/>
      <c r="AJ71" s="37"/>
      <c r="AK71" s="38"/>
      <c r="AL71" s="39"/>
      <c r="AM71" s="40"/>
      <c r="AN71" s="41"/>
      <c r="AO71" s="38"/>
      <c r="AP71" s="39"/>
      <c r="AQ71" s="40"/>
      <c r="AR71" s="41"/>
      <c r="AS71" s="37"/>
      <c r="AT71" s="38"/>
      <c r="AU71" s="39"/>
      <c r="AV71" s="40"/>
      <c r="AW71" s="41"/>
      <c r="AX71" s="38"/>
      <c r="AY71" s="39"/>
      <c r="AZ71" s="40"/>
      <c r="BA71" s="41"/>
      <c r="BB71" s="37"/>
      <c r="BC71" s="38"/>
      <c r="BD71" s="39"/>
      <c r="BE71" s="40"/>
      <c r="BF71" s="41"/>
      <c r="BG71" s="38"/>
      <c r="BH71" s="39"/>
      <c r="BI71" s="40"/>
      <c r="BJ71" s="41"/>
      <c r="BK71" s="37"/>
      <c r="BL71" s="38"/>
      <c r="BM71" s="39"/>
      <c r="BN71" s="40"/>
      <c r="BO71" s="41"/>
      <c r="BP71" s="38"/>
      <c r="BQ71" s="39"/>
      <c r="BR71" s="40"/>
      <c r="BS71" s="50"/>
      <c r="BT71" s="50"/>
      <c r="BW71" s="27"/>
      <c r="BX71" s="27"/>
      <c r="BY71" s="27"/>
      <c r="BZ71" s="27"/>
      <c r="CA71" s="27"/>
      <c r="CB71" s="27"/>
      <c r="CC71" s="27"/>
      <c r="CD71" s="27"/>
      <c r="CE71" s="27"/>
      <c r="CG71" s="27"/>
      <c r="CH71" s="27"/>
      <c r="CI71" s="27"/>
      <c r="CJ71" s="27"/>
      <c r="CK71" s="27"/>
      <c r="CL71" s="27"/>
    </row>
    <row r="72" spans="1:90" ht="15" hidden="1" customHeight="1" x14ac:dyDescent="0.25">
      <c r="G72" s="49"/>
      <c r="H72" s="49"/>
      <c r="I72" s="49"/>
      <c r="J72" s="52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  <c r="BC72" s="45"/>
      <c r="BD72" s="45"/>
      <c r="BE72" s="45"/>
      <c r="BF72" s="45"/>
      <c r="BG72" s="45"/>
      <c r="BH72" s="45"/>
      <c r="BI72" s="45"/>
      <c r="BJ72" s="45"/>
      <c r="BK72" s="45"/>
      <c r="BL72" s="45"/>
      <c r="BM72" s="45"/>
      <c r="BN72" s="45"/>
      <c r="BO72" s="45"/>
      <c r="BP72" s="45"/>
      <c r="BQ72" s="45"/>
      <c r="BR72" s="45"/>
      <c r="BS72" s="53"/>
      <c r="BT72" s="53"/>
    </row>
    <row r="73" spans="1:90" ht="22.5" hidden="1" customHeight="1" x14ac:dyDescent="0.25">
      <c r="G73" s="45"/>
      <c r="H73" s="45"/>
      <c r="I73" s="45"/>
      <c r="J73" s="52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45"/>
      <c r="AW73" s="45"/>
      <c r="AX73" s="45"/>
      <c r="AY73" s="45"/>
      <c r="AZ73" s="45"/>
      <c r="BA73" s="45"/>
      <c r="BB73" s="45"/>
      <c r="BC73" s="45"/>
      <c r="BD73" s="45"/>
      <c r="BE73" s="45"/>
      <c r="BF73" s="45"/>
      <c r="BG73" s="45"/>
      <c r="BH73" s="45"/>
      <c r="BI73" s="45"/>
      <c r="BJ73" s="45"/>
      <c r="BK73" s="45"/>
      <c r="BL73" s="45"/>
      <c r="BM73" s="45"/>
      <c r="BN73" s="45"/>
      <c r="BO73" s="45"/>
      <c r="BP73" s="45"/>
      <c r="BQ73" s="45"/>
      <c r="BR73" s="45"/>
      <c r="BS73" s="53"/>
      <c r="BT73" s="53"/>
    </row>
    <row r="74" spans="1:90" ht="23.25" x14ac:dyDescent="0.35">
      <c r="A74" s="54"/>
      <c r="E74" s="54"/>
      <c r="F74" s="54"/>
      <c r="G74" s="54"/>
      <c r="H74" s="54"/>
      <c r="I74" s="54"/>
      <c r="J74" s="54"/>
      <c r="K74" s="54"/>
    </row>
    <row r="75" spans="1:90" ht="24" thickBot="1" x14ac:dyDescent="0.4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X75" s="55"/>
    </row>
    <row r="76" spans="1:90" ht="15.75" customHeight="1" thickTop="1" x14ac:dyDescent="0.25">
      <c r="AD76" s="775">
        <v>75.69</v>
      </c>
      <c r="AE76" s="776"/>
      <c r="AF76" s="776"/>
      <c r="AG76" s="776"/>
      <c r="AH76" s="777"/>
      <c r="AL76" s="727" t="s">
        <v>122</v>
      </c>
      <c r="AM76" s="727"/>
      <c r="AN76" s="727"/>
      <c r="AO76" s="727" t="s">
        <v>123</v>
      </c>
      <c r="AP76" s="727"/>
      <c r="AQ76" s="727"/>
      <c r="AR76" s="727" t="s">
        <v>124</v>
      </c>
      <c r="AS76" s="727"/>
      <c r="AT76" s="727" t="s">
        <v>125</v>
      </c>
      <c r="AU76" s="727"/>
      <c r="AY76" s="739" t="s">
        <v>126</v>
      </c>
      <c r="AZ76" s="740"/>
      <c r="BA76" s="740"/>
      <c r="BB76" s="740"/>
      <c r="BC76" s="740"/>
      <c r="BD76" s="740"/>
      <c r="BE76" s="740"/>
      <c r="BF76" s="740"/>
      <c r="BG76" s="740"/>
      <c r="BH76" s="741"/>
      <c r="BI76" s="13"/>
      <c r="BJ76" s="13"/>
      <c r="BK76" s="13"/>
      <c r="BL76" s="13"/>
      <c r="BM76" s="13"/>
      <c r="BN76" s="13"/>
      <c r="BO76" s="13"/>
      <c r="BP76" s="13"/>
      <c r="BQ76" s="13"/>
      <c r="BR76" s="13"/>
    </row>
    <row r="77" spans="1:90" ht="15" customHeight="1" x14ac:dyDescent="0.25">
      <c r="O77" s="114" t="s">
        <v>127</v>
      </c>
      <c r="P77" s="114"/>
      <c r="Q77" s="114"/>
      <c r="R77" s="114"/>
      <c r="S77" s="114"/>
      <c r="T77" s="114"/>
      <c r="U77" s="114"/>
      <c r="V77" s="114"/>
      <c r="AD77" s="778"/>
      <c r="AE77" s="779"/>
      <c r="AF77" s="779"/>
      <c r="AG77" s="779"/>
      <c r="AH77" s="780"/>
      <c r="AL77" s="727"/>
      <c r="AM77" s="727"/>
      <c r="AN77" s="727"/>
      <c r="AO77" s="727"/>
      <c r="AP77" s="727"/>
      <c r="AQ77" s="727"/>
      <c r="AR77" s="727"/>
      <c r="AS77" s="727"/>
      <c r="AT77" s="727"/>
      <c r="AU77" s="727"/>
      <c r="AY77" s="750"/>
      <c r="AZ77" s="751"/>
      <c r="BA77" s="751"/>
      <c r="BB77" s="751"/>
      <c r="BC77" s="751"/>
      <c r="BD77" s="751"/>
      <c r="BE77" s="751"/>
      <c r="BF77" s="751"/>
      <c r="BG77" s="751"/>
      <c r="BH77" s="752"/>
      <c r="BI77" s="13"/>
      <c r="BJ77" s="13"/>
      <c r="BK77" s="13"/>
      <c r="BL77" s="13"/>
      <c r="BM77" s="13"/>
      <c r="BN77" s="13"/>
      <c r="BO77" s="13"/>
      <c r="BP77" s="13"/>
      <c r="BQ77" s="13"/>
      <c r="BR77" s="13"/>
    </row>
    <row r="78" spans="1:90" ht="15" customHeight="1" x14ac:dyDescent="0.25">
      <c r="O78" s="114"/>
      <c r="P78" s="114"/>
      <c r="Q78" s="114"/>
      <c r="R78" s="114"/>
      <c r="S78" s="114"/>
      <c r="T78" s="114"/>
      <c r="U78" s="114"/>
      <c r="V78" s="114"/>
      <c r="AA78" s="56"/>
      <c r="AD78" s="778"/>
      <c r="AE78" s="779"/>
      <c r="AF78" s="779"/>
      <c r="AG78" s="779"/>
      <c r="AH78" s="780"/>
      <c r="AL78" s="727"/>
      <c r="AM78" s="727"/>
      <c r="AN78" s="727"/>
      <c r="AO78" s="727"/>
      <c r="AP78" s="727"/>
      <c r="AQ78" s="727"/>
      <c r="AR78" s="727"/>
      <c r="AS78" s="727"/>
      <c r="AT78" s="727"/>
      <c r="AU78" s="727"/>
      <c r="AY78" s="742"/>
      <c r="AZ78" s="743"/>
      <c r="BA78" s="743"/>
      <c r="BB78" s="743"/>
      <c r="BC78" s="743"/>
      <c r="BD78" s="743"/>
      <c r="BE78" s="743"/>
      <c r="BF78" s="743"/>
      <c r="BG78" s="743"/>
      <c r="BH78" s="744"/>
      <c r="BI78" s="13"/>
      <c r="BJ78" s="13"/>
      <c r="BK78" s="13"/>
      <c r="BL78" s="13"/>
      <c r="BM78" s="13"/>
      <c r="BN78" s="13"/>
      <c r="BO78" s="13"/>
      <c r="BP78" s="13"/>
      <c r="BQ78" s="13"/>
      <c r="BR78" s="13"/>
    </row>
    <row r="79" spans="1:90" ht="15" customHeight="1" x14ac:dyDescent="0.25">
      <c r="O79" s="114"/>
      <c r="P79" s="114"/>
      <c r="Q79" s="114"/>
      <c r="R79" s="114"/>
      <c r="S79" s="114"/>
      <c r="T79" s="114"/>
      <c r="U79" s="114"/>
      <c r="V79" s="114"/>
      <c r="AD79" s="778"/>
      <c r="AE79" s="779"/>
      <c r="AF79" s="779"/>
      <c r="AG79" s="779"/>
      <c r="AH79" s="780"/>
      <c r="AL79" s="774">
        <v>3807</v>
      </c>
      <c r="AM79" s="774"/>
      <c r="AN79" s="774"/>
      <c r="AO79" s="774">
        <f ca="1">AT95</f>
        <v>3807</v>
      </c>
      <c r="AP79" s="774"/>
      <c r="AQ79" s="774"/>
      <c r="AR79" s="726">
        <f>AS40</f>
        <v>75.68719999999999</v>
      </c>
      <c r="AS79" s="726"/>
      <c r="AT79" s="726">
        <f>AS40+BJ42</f>
        <v>131.18719999999999</v>
      </c>
      <c r="AU79" s="726"/>
      <c r="AY79" s="727" t="s">
        <v>128</v>
      </c>
      <c r="AZ79" s="727"/>
      <c r="BA79" s="727"/>
      <c r="BB79" s="727"/>
      <c r="BC79" s="727"/>
      <c r="BD79" s="727"/>
      <c r="BE79" s="727"/>
      <c r="BF79" s="727"/>
      <c r="BG79" s="727"/>
      <c r="BH79" s="727"/>
      <c r="BI79" s="13"/>
      <c r="BJ79" s="13"/>
      <c r="BK79" s="13"/>
      <c r="BL79" s="13"/>
      <c r="BM79" s="13"/>
      <c r="BN79" s="13"/>
      <c r="BO79" s="13"/>
      <c r="BP79" s="13"/>
      <c r="BQ79" s="13"/>
      <c r="BR79" s="13"/>
    </row>
    <row r="80" spans="1:90" ht="15" customHeight="1" x14ac:dyDescent="0.25">
      <c r="O80" s="114"/>
      <c r="P80" s="114"/>
      <c r="Q80" s="114"/>
      <c r="R80" s="114"/>
      <c r="S80" s="114"/>
      <c r="T80" s="114"/>
      <c r="U80" s="114"/>
      <c r="V80" s="114"/>
      <c r="AD80" s="778"/>
      <c r="AE80" s="779"/>
      <c r="AF80" s="779"/>
      <c r="AG80" s="779"/>
      <c r="AH80" s="780"/>
      <c r="AL80" s="774"/>
      <c r="AM80" s="774"/>
      <c r="AN80" s="774"/>
      <c r="AO80" s="774"/>
      <c r="AP80" s="774"/>
      <c r="AQ80" s="774"/>
      <c r="AR80" s="726"/>
      <c r="AS80" s="726"/>
      <c r="AT80" s="726"/>
      <c r="AU80" s="726"/>
      <c r="AY80" s="727"/>
      <c r="AZ80" s="727"/>
      <c r="BA80" s="727"/>
      <c r="BB80" s="727"/>
      <c r="BC80" s="727"/>
      <c r="BD80" s="727"/>
      <c r="BE80" s="727"/>
      <c r="BF80" s="727"/>
      <c r="BG80" s="727"/>
      <c r="BH80" s="727"/>
      <c r="BI80" s="13"/>
      <c r="BJ80" s="13"/>
      <c r="BK80" s="13"/>
      <c r="BL80" s="13"/>
      <c r="BM80" s="13"/>
      <c r="BN80" s="13"/>
      <c r="BO80" s="13"/>
      <c r="BP80" s="13"/>
      <c r="BQ80" s="13"/>
      <c r="BR80" s="13"/>
    </row>
    <row r="81" spans="15:70" ht="15" customHeight="1" x14ac:dyDescent="0.25">
      <c r="O81" s="114"/>
      <c r="P81" s="114"/>
      <c r="Q81" s="114"/>
      <c r="R81" s="114"/>
      <c r="S81" s="114"/>
      <c r="T81" s="114"/>
      <c r="U81" s="114"/>
      <c r="V81" s="114"/>
      <c r="AD81" s="778"/>
      <c r="AE81" s="779"/>
      <c r="AF81" s="779"/>
      <c r="AG81" s="779"/>
      <c r="AH81" s="780"/>
      <c r="AL81" s="774"/>
      <c r="AM81" s="774"/>
      <c r="AN81" s="774"/>
      <c r="AO81" s="774"/>
      <c r="AP81" s="774"/>
      <c r="AQ81" s="774"/>
      <c r="AR81" s="726"/>
      <c r="AS81" s="726"/>
      <c r="AT81" s="726"/>
      <c r="AU81" s="726"/>
      <c r="AY81" s="728">
        <f ca="1">AR79/((60*3.1415/59)*(AO79/3.281))</f>
        <v>2.0417825596183558E-2</v>
      </c>
      <c r="AZ81" s="729"/>
      <c r="BA81" s="729"/>
      <c r="BB81" s="729"/>
      <c r="BC81" s="729"/>
      <c r="BD81" s="729"/>
      <c r="BE81" s="729"/>
      <c r="BF81" s="729"/>
      <c r="BG81" s="729"/>
      <c r="BH81" s="730"/>
      <c r="BI81" s="57"/>
      <c r="BJ81" s="57"/>
      <c r="BK81" s="57"/>
      <c r="BL81" s="57"/>
      <c r="BM81" s="57"/>
      <c r="BN81" s="57"/>
      <c r="BO81" s="57"/>
      <c r="BP81" s="57"/>
      <c r="BQ81" s="57"/>
      <c r="BR81" s="57"/>
    </row>
    <row r="82" spans="15:70" ht="15.75" customHeight="1" thickBot="1" x14ac:dyDescent="0.3">
      <c r="AD82" s="781"/>
      <c r="AE82" s="782"/>
      <c r="AF82" s="782"/>
      <c r="AG82" s="782"/>
      <c r="AH82" s="783"/>
      <c r="AL82" s="774"/>
      <c r="AM82" s="774"/>
      <c r="AN82" s="774"/>
      <c r="AO82" s="774"/>
      <c r="AP82" s="774"/>
      <c r="AQ82" s="774"/>
      <c r="AR82" s="726"/>
      <c r="AS82" s="726"/>
      <c r="AT82" s="726"/>
      <c r="AU82" s="726"/>
      <c r="AY82" s="731"/>
      <c r="AZ82" s="732"/>
      <c r="BA82" s="732"/>
      <c r="BB82" s="732"/>
      <c r="BC82" s="732"/>
      <c r="BD82" s="732"/>
      <c r="BE82" s="732"/>
      <c r="BF82" s="732"/>
      <c r="BG82" s="732"/>
      <c r="BH82" s="733"/>
      <c r="BI82" s="57"/>
      <c r="BJ82" s="57"/>
      <c r="BK82" s="57"/>
      <c r="BL82" s="57"/>
      <c r="BM82" s="57"/>
      <c r="BN82" s="57"/>
      <c r="BO82" s="57"/>
      <c r="BP82" s="57"/>
      <c r="BQ82" s="57"/>
      <c r="BR82" s="57"/>
    </row>
    <row r="83" spans="15:70" ht="15.75" customHeight="1" thickTop="1" x14ac:dyDescent="0.25">
      <c r="AY83" s="734"/>
      <c r="AZ83" s="735"/>
      <c r="BA83" s="735"/>
      <c r="BB83" s="735"/>
      <c r="BC83" s="735"/>
      <c r="BD83" s="735"/>
      <c r="BE83" s="735"/>
      <c r="BF83" s="735"/>
      <c r="BG83" s="735"/>
      <c r="BH83" s="736"/>
      <c r="BI83" s="57"/>
      <c r="BJ83" s="57"/>
      <c r="BK83" s="57"/>
      <c r="BL83" s="57"/>
      <c r="BM83" s="57"/>
      <c r="BN83" s="57"/>
      <c r="BO83" s="57"/>
      <c r="BP83" s="57"/>
      <c r="BQ83" s="57"/>
      <c r="BR83" s="57"/>
    </row>
    <row r="84" spans="15:70" x14ac:dyDescent="0.25">
      <c r="AY84" s="739" t="s">
        <v>129</v>
      </c>
      <c r="AZ84" s="740"/>
      <c r="BA84" s="740"/>
      <c r="BB84" s="740"/>
      <c r="BC84" s="740"/>
      <c r="BD84" s="740"/>
      <c r="BE84" s="740"/>
      <c r="BF84" s="740"/>
      <c r="BG84" s="740"/>
      <c r="BH84" s="741"/>
      <c r="BI84" s="13"/>
      <c r="BJ84" s="13"/>
      <c r="BK84" s="13"/>
      <c r="BL84" s="13"/>
      <c r="BM84" s="13"/>
      <c r="BN84" s="13"/>
      <c r="BO84" s="13"/>
      <c r="BP84" s="13"/>
      <c r="BQ84" s="13"/>
      <c r="BR84" s="13"/>
    </row>
    <row r="85" spans="15:70" x14ac:dyDescent="0.25">
      <c r="AY85" s="742"/>
      <c r="AZ85" s="743"/>
      <c r="BA85" s="743"/>
      <c r="BB85" s="743"/>
      <c r="BC85" s="743"/>
      <c r="BD85" s="743"/>
      <c r="BE85" s="743"/>
      <c r="BF85" s="743"/>
      <c r="BG85" s="743"/>
      <c r="BH85" s="744"/>
      <c r="BI85" s="13"/>
      <c r="BJ85" s="13"/>
      <c r="BK85" s="13"/>
      <c r="BL85" s="13"/>
      <c r="BM85" s="13"/>
      <c r="BN85" s="13"/>
      <c r="BO85" s="13"/>
      <c r="BP85" s="13"/>
      <c r="BQ85" s="13"/>
      <c r="BR85" s="13"/>
    </row>
    <row r="86" spans="15:70" ht="15" customHeight="1" x14ac:dyDescent="0.25">
      <c r="AN86" s="1255">
        <v>141</v>
      </c>
      <c r="AO86" s="1255"/>
      <c r="AP86" s="1255"/>
      <c r="AQ86" s="746" cm="1">
        <f t="array" aca="1" ref="AQ86" ca="1">SUM(COUNTIF(INDIRECT({"B8","G8","L8","Q8","V8","AA8","AF8","AK8","AP8","AU8","AZ8","BE8","BJ8","BO8","B14","G14","L14","Q14","V14","AA14","AF14","AK14","AP14","AU14","AZ14","BE14","BJ14","BO14","B20","G20","L20","Q20","V20","AA20","AF20","AK20","AP20","AU20","AZ20"}),"&gt;0"))</f>
        <v>27</v>
      </c>
      <c r="AR86" s="746"/>
      <c r="AS86" s="746"/>
      <c r="AT86" s="747">
        <f ca="1">AQ86*AN86</f>
        <v>3807</v>
      </c>
      <c r="AU86" s="748"/>
      <c r="AV86" s="748"/>
      <c r="AW86" s="749"/>
      <c r="AY86" s="739" t="s">
        <v>130</v>
      </c>
      <c r="AZ86" s="740"/>
      <c r="BA86" s="740"/>
      <c r="BB86" s="740"/>
      <c r="BC86" s="740"/>
      <c r="BD86" s="740"/>
      <c r="BE86" s="740"/>
      <c r="BF86" s="740"/>
      <c r="BG86" s="740"/>
      <c r="BH86" s="741"/>
      <c r="BI86" s="13"/>
      <c r="BJ86" s="13"/>
      <c r="BK86" s="13"/>
      <c r="BL86" s="13"/>
      <c r="BM86" s="13"/>
      <c r="BN86" s="13"/>
      <c r="BO86" s="13"/>
      <c r="BP86" s="13"/>
      <c r="BQ86" s="13"/>
      <c r="BR86" s="13"/>
    </row>
    <row r="87" spans="15:70" ht="15" customHeight="1" x14ac:dyDescent="0.25">
      <c r="AN87" s="1255"/>
      <c r="AO87" s="1255"/>
      <c r="AP87" s="1255"/>
      <c r="AQ87" s="746"/>
      <c r="AR87" s="746"/>
      <c r="AS87" s="746"/>
      <c r="AT87" s="747"/>
      <c r="AU87" s="748"/>
      <c r="AV87" s="748"/>
      <c r="AW87" s="749"/>
      <c r="AY87" s="750"/>
      <c r="AZ87" s="751"/>
      <c r="BA87" s="751"/>
      <c r="BB87" s="751"/>
      <c r="BC87" s="751"/>
      <c r="BD87" s="751"/>
      <c r="BE87" s="751"/>
      <c r="BF87" s="751"/>
      <c r="BG87" s="751"/>
      <c r="BH87" s="752"/>
      <c r="BI87" s="13"/>
      <c r="BJ87" s="13"/>
      <c r="BK87" s="13"/>
      <c r="BL87" s="13"/>
      <c r="BM87" s="13"/>
      <c r="BN87" s="13"/>
      <c r="BO87" s="13"/>
      <c r="BP87" s="13"/>
      <c r="BQ87" s="13"/>
      <c r="BR87" s="13"/>
    </row>
    <row r="88" spans="15:70" ht="15" customHeight="1" x14ac:dyDescent="0.25">
      <c r="AN88" s="1255"/>
      <c r="AO88" s="1255"/>
      <c r="AP88" s="1255"/>
      <c r="AQ88" s="746"/>
      <c r="AR88" s="746"/>
      <c r="AS88" s="746"/>
      <c r="AT88" s="747"/>
      <c r="AU88" s="748"/>
      <c r="AV88" s="748"/>
      <c r="AW88" s="749"/>
      <c r="AY88" s="750"/>
      <c r="AZ88" s="751"/>
      <c r="BA88" s="751"/>
      <c r="BB88" s="751"/>
      <c r="BC88" s="751"/>
      <c r="BD88" s="751"/>
      <c r="BE88" s="751"/>
      <c r="BF88" s="751"/>
      <c r="BG88" s="751"/>
      <c r="BH88" s="752"/>
      <c r="BI88" s="13"/>
      <c r="BJ88" s="13"/>
      <c r="BK88" s="13"/>
      <c r="BL88" s="13"/>
      <c r="BM88" s="13"/>
      <c r="BN88" s="13"/>
      <c r="BO88" s="13"/>
      <c r="BP88" s="13"/>
      <c r="BQ88" s="13"/>
      <c r="BR88" s="13"/>
    </row>
    <row r="89" spans="15:70" ht="15" customHeight="1" x14ac:dyDescent="0.25">
      <c r="AN89" s="727"/>
      <c r="AO89" s="727"/>
      <c r="AP89" s="727"/>
      <c r="AQ89" s="746"/>
      <c r="AR89" s="746"/>
      <c r="AS89" s="746"/>
      <c r="AT89" s="747"/>
      <c r="AU89" s="748"/>
      <c r="AV89" s="748"/>
      <c r="AW89" s="749"/>
      <c r="AY89" s="742"/>
      <c r="AZ89" s="743"/>
      <c r="BA89" s="743"/>
      <c r="BB89" s="743"/>
      <c r="BC89" s="743"/>
      <c r="BD89" s="743"/>
      <c r="BE89" s="743"/>
      <c r="BF89" s="743"/>
      <c r="BG89" s="743"/>
      <c r="BH89" s="744"/>
      <c r="BI89" s="13"/>
      <c r="BJ89" s="13"/>
      <c r="BK89" s="13"/>
      <c r="BL89" s="13"/>
      <c r="BM89" s="13"/>
      <c r="BN89" s="13"/>
      <c r="BO89" s="13"/>
      <c r="BP89" s="13"/>
      <c r="BQ89" s="13"/>
      <c r="BR89" s="13"/>
    </row>
    <row r="90" spans="15:70" ht="26.25" x14ac:dyDescent="0.25">
      <c r="AN90" s="727"/>
      <c r="AO90" s="727"/>
      <c r="AP90" s="727"/>
      <c r="AQ90" s="746"/>
      <c r="AR90" s="746"/>
      <c r="AS90" s="746"/>
      <c r="AT90" s="747"/>
      <c r="AU90" s="748"/>
      <c r="AV90" s="748"/>
      <c r="AW90" s="749"/>
      <c r="AY90" s="728">
        <f ca="1">AT79/((60*3.1415/59)*(AO79/3.281))</f>
        <v>3.5389833023967747E-2</v>
      </c>
      <c r="AZ90" s="729"/>
      <c r="BA90" s="729"/>
      <c r="BB90" s="729"/>
      <c r="BC90" s="729"/>
      <c r="BD90" s="729"/>
      <c r="BE90" s="729"/>
      <c r="BF90" s="729"/>
      <c r="BG90" s="729"/>
      <c r="BH90" s="730"/>
      <c r="BI90" s="57"/>
      <c r="BJ90" s="57"/>
      <c r="BK90" s="57"/>
      <c r="BL90" s="57"/>
      <c r="BM90" s="57"/>
      <c r="BN90" s="57"/>
      <c r="BO90" s="57"/>
      <c r="BP90" s="57"/>
      <c r="BQ90" s="57"/>
      <c r="BR90" s="57"/>
    </row>
    <row r="91" spans="15:70" ht="26.25" x14ac:dyDescent="0.25">
      <c r="AN91" s="727"/>
      <c r="AO91" s="727"/>
      <c r="AP91" s="727"/>
      <c r="AQ91" s="746"/>
      <c r="AR91" s="746"/>
      <c r="AS91" s="746"/>
      <c r="AT91" s="747"/>
      <c r="AU91" s="748"/>
      <c r="AV91" s="748"/>
      <c r="AW91" s="749"/>
      <c r="AY91" s="731"/>
      <c r="AZ91" s="732"/>
      <c r="BA91" s="732"/>
      <c r="BB91" s="732"/>
      <c r="BC91" s="732"/>
      <c r="BD91" s="732"/>
      <c r="BE91" s="732"/>
      <c r="BF91" s="732"/>
      <c r="BG91" s="732"/>
      <c r="BH91" s="733"/>
      <c r="BI91" s="57"/>
      <c r="BJ91" s="57"/>
      <c r="BK91" s="57"/>
      <c r="BL91" s="57"/>
      <c r="BM91" s="57"/>
      <c r="BN91" s="57"/>
      <c r="BO91" s="57"/>
      <c r="BP91" s="57"/>
      <c r="BQ91" s="57"/>
      <c r="BR91" s="57"/>
    </row>
    <row r="92" spans="15:70" ht="15" customHeight="1" x14ac:dyDescent="0.25">
      <c r="AN92" s="727"/>
      <c r="AO92" s="727"/>
      <c r="AP92" s="727"/>
      <c r="AQ92" s="746"/>
      <c r="AR92" s="746"/>
      <c r="AS92" s="746"/>
      <c r="AT92" s="747"/>
      <c r="AU92" s="748"/>
      <c r="AV92" s="748"/>
      <c r="AW92" s="749"/>
      <c r="AY92" s="731"/>
      <c r="AZ92" s="732"/>
      <c r="BA92" s="732"/>
      <c r="BB92" s="732"/>
      <c r="BC92" s="732"/>
      <c r="BD92" s="732"/>
      <c r="BE92" s="732"/>
      <c r="BF92" s="732"/>
      <c r="BG92" s="732"/>
      <c r="BH92" s="733"/>
      <c r="BI92" s="57"/>
      <c r="BJ92" s="57"/>
      <c r="BK92" s="57"/>
      <c r="BL92" s="57"/>
      <c r="BM92" s="57"/>
      <c r="BN92" s="57"/>
      <c r="BO92" s="57"/>
      <c r="BP92" s="57"/>
      <c r="BQ92" s="57"/>
      <c r="BR92" s="57"/>
    </row>
    <row r="93" spans="15:70" ht="15" customHeight="1" x14ac:dyDescent="0.25">
      <c r="AN93" s="727"/>
      <c r="AO93" s="727"/>
      <c r="AP93" s="727"/>
      <c r="AQ93" s="746"/>
      <c r="AR93" s="746"/>
      <c r="AS93" s="746"/>
      <c r="AT93" s="747"/>
      <c r="AU93" s="748"/>
      <c r="AV93" s="748"/>
      <c r="AW93" s="749"/>
      <c r="AY93" s="731"/>
      <c r="AZ93" s="732"/>
      <c r="BA93" s="732"/>
      <c r="BB93" s="732"/>
      <c r="BC93" s="732"/>
      <c r="BD93" s="732"/>
      <c r="BE93" s="732"/>
      <c r="BF93" s="732"/>
      <c r="BG93" s="732"/>
      <c r="BH93" s="733"/>
      <c r="BI93" s="57"/>
      <c r="BJ93" s="57"/>
      <c r="BK93" s="57"/>
      <c r="BL93" s="57"/>
      <c r="BM93" s="57"/>
      <c r="BN93" s="57"/>
      <c r="BO93" s="57"/>
      <c r="BP93" s="57"/>
      <c r="BQ93" s="57"/>
      <c r="BR93" s="57"/>
    </row>
    <row r="94" spans="15:70" ht="15" customHeight="1" x14ac:dyDescent="0.25">
      <c r="AN94" s="727"/>
      <c r="AO94" s="727"/>
      <c r="AP94" s="727"/>
      <c r="AQ94" s="746"/>
      <c r="AR94" s="746"/>
      <c r="AS94" s="746"/>
      <c r="AT94" s="747"/>
      <c r="AU94" s="748"/>
      <c r="AV94" s="748"/>
      <c r="AW94" s="749"/>
      <c r="AY94" s="734"/>
      <c r="AZ94" s="735"/>
      <c r="BA94" s="735"/>
      <c r="BB94" s="735"/>
      <c r="BC94" s="735"/>
      <c r="BD94" s="735"/>
      <c r="BE94" s="735"/>
      <c r="BF94" s="735"/>
      <c r="BG94" s="735"/>
      <c r="BH94" s="736"/>
      <c r="BI94" s="57"/>
      <c r="BJ94" s="57"/>
      <c r="BK94" s="57"/>
      <c r="BL94" s="57"/>
      <c r="BM94" s="57"/>
      <c r="BN94" s="57"/>
      <c r="BO94" s="57"/>
      <c r="BP94" s="57"/>
      <c r="BQ94" s="57"/>
      <c r="BR94" s="57"/>
    </row>
    <row r="95" spans="15:70" ht="15" customHeight="1" x14ac:dyDescent="0.25">
      <c r="AQ95" s="1254">
        <f ca="1">AQ92+AQ89+AQ86</f>
        <v>27</v>
      </c>
      <c r="AR95" s="1254"/>
      <c r="AS95" s="1254"/>
      <c r="AT95" s="747">
        <f ca="1">AT89+AT92+AT86</f>
        <v>3807</v>
      </c>
      <c r="AU95" s="748"/>
      <c r="AV95" s="748"/>
      <c r="AW95" s="749"/>
    </row>
    <row r="96" spans="15:70" ht="15" customHeight="1" x14ac:dyDescent="0.25">
      <c r="AQ96" s="1254"/>
      <c r="AR96" s="1254"/>
      <c r="AS96" s="1254"/>
      <c r="AT96" s="747"/>
      <c r="AU96" s="748"/>
      <c r="AV96" s="748"/>
      <c r="AW96" s="749"/>
    </row>
    <row r="97" spans="43:49" ht="15" customHeight="1" x14ac:dyDescent="0.25">
      <c r="AQ97" s="1254"/>
      <c r="AR97" s="1254"/>
      <c r="AS97" s="1254"/>
      <c r="AT97" s="747"/>
      <c r="AU97" s="748"/>
      <c r="AV97" s="748"/>
      <c r="AW97" s="749"/>
    </row>
    <row r="99" spans="43:49" ht="15" customHeight="1" x14ac:dyDescent="0.25"/>
    <row r="100" spans="43:49" ht="15" customHeight="1" x14ac:dyDescent="0.25"/>
    <row r="101" spans="43:49" ht="15" customHeight="1" x14ac:dyDescent="0.25"/>
    <row r="102" spans="43:49" ht="15" customHeight="1" x14ac:dyDescent="0.25"/>
    <row r="103" spans="43:49" ht="15" customHeight="1" x14ac:dyDescent="0.25"/>
    <row r="104" spans="43:49" ht="15" customHeight="1" x14ac:dyDescent="0.25"/>
    <row r="105" spans="43:49" ht="15" customHeight="1" x14ac:dyDescent="0.25"/>
    <row r="106" spans="43:49" ht="15" customHeight="1" x14ac:dyDescent="0.25"/>
    <row r="107" spans="43:49" ht="15" customHeight="1" x14ac:dyDescent="0.25"/>
    <row r="108" spans="43:49" ht="15" customHeight="1" x14ac:dyDescent="0.25">
      <c r="AS108" s="27"/>
      <c r="AT108" s="27"/>
      <c r="AU108" s="27"/>
    </row>
  </sheetData>
  <mergeCells count="346">
    <mergeCell ref="BK11:BM11"/>
    <mergeCell ref="AQ11:AS11"/>
    <mergeCell ref="AT11:AU11"/>
    <mergeCell ref="AV11:AX11"/>
    <mergeCell ref="AY11:AZ11"/>
    <mergeCell ref="BA11:BC11"/>
    <mergeCell ref="BD11:BE11"/>
    <mergeCell ref="AB11:AD11"/>
    <mergeCell ref="AE11:AF11"/>
    <mergeCell ref="AG11:AI11"/>
    <mergeCell ref="AJ11:AK11"/>
    <mergeCell ref="AL11:AN11"/>
    <mergeCell ref="AO11:AP11"/>
    <mergeCell ref="BF11:BH11"/>
    <mergeCell ref="BI11:BJ11"/>
    <mergeCell ref="A11:B11"/>
    <mergeCell ref="C11:E11"/>
    <mergeCell ref="F11:G11"/>
    <mergeCell ref="H11:J11"/>
    <mergeCell ref="K11:L11"/>
    <mergeCell ref="M11:O11"/>
    <mergeCell ref="P11:Q11"/>
    <mergeCell ref="R11:T11"/>
    <mergeCell ref="AO9:AP10"/>
    <mergeCell ref="M9:O10"/>
    <mergeCell ref="P9:Q10"/>
    <mergeCell ref="R9:T10"/>
    <mergeCell ref="U9:V10"/>
    <mergeCell ref="W9:Y10"/>
    <mergeCell ref="Z9:AA10"/>
    <mergeCell ref="AE9:AF10"/>
    <mergeCell ref="AG9:AI10"/>
    <mergeCell ref="AJ9:AK10"/>
    <mergeCell ref="AL9:AN10"/>
    <mergeCell ref="AB9:AD10"/>
    <mergeCell ref="U11:V11"/>
    <mergeCell ref="W11:Y11"/>
    <mergeCell ref="Z11:AA11"/>
    <mergeCell ref="BP5:BR5"/>
    <mergeCell ref="A9:B10"/>
    <mergeCell ref="C9:E10"/>
    <mergeCell ref="F9:G10"/>
    <mergeCell ref="H9:J10"/>
    <mergeCell ref="K9:L10"/>
    <mergeCell ref="AQ5:AS5"/>
    <mergeCell ref="AT5:AU5"/>
    <mergeCell ref="AV5:AX5"/>
    <mergeCell ref="AY5:AZ5"/>
    <mergeCell ref="BA5:BC5"/>
    <mergeCell ref="BD5:BE5"/>
    <mergeCell ref="W5:Y5"/>
    <mergeCell ref="Z5:AA5"/>
    <mergeCell ref="AB5:AD5"/>
    <mergeCell ref="AE5:AF5"/>
    <mergeCell ref="AG5:AI5"/>
    <mergeCell ref="AJ5:AK5"/>
    <mergeCell ref="H5:J5"/>
    <mergeCell ref="K5:L5"/>
    <mergeCell ref="BI9:BJ10"/>
    <mergeCell ref="BK9:BM10"/>
    <mergeCell ref="AQ9:AS10"/>
    <mergeCell ref="AT9:AU10"/>
    <mergeCell ref="BD3:BE4"/>
    <mergeCell ref="BF3:BH4"/>
    <mergeCell ref="BI3:BJ4"/>
    <mergeCell ref="BK3:BM4"/>
    <mergeCell ref="BN3:BO4"/>
    <mergeCell ref="BA3:BC4"/>
    <mergeCell ref="BF5:BH5"/>
    <mergeCell ref="BI5:BJ5"/>
    <mergeCell ref="BK5:BM5"/>
    <mergeCell ref="BN5:BO5"/>
    <mergeCell ref="BP3:BR4"/>
    <mergeCell ref="Z3:AA4"/>
    <mergeCell ref="AB3:AD4"/>
    <mergeCell ref="AE3:AF4"/>
    <mergeCell ref="AG3:AI4"/>
    <mergeCell ref="AJ3:AK4"/>
    <mergeCell ref="AL3:AN4"/>
    <mergeCell ref="AQ92:AS94"/>
    <mergeCell ref="AT92:AW94"/>
    <mergeCell ref="BN61:BN62"/>
    <mergeCell ref="BO61:BR61"/>
    <mergeCell ref="BQ60:BR60"/>
    <mergeCell ref="BN58:BP60"/>
    <mergeCell ref="BQ54:BR54"/>
    <mergeCell ref="BN51:BP51"/>
    <mergeCell ref="BQ51:BR51"/>
    <mergeCell ref="BN36:BP41"/>
    <mergeCell ref="V40:AG47"/>
    <mergeCell ref="AH40:AR47"/>
    <mergeCell ref="AS40:BD47"/>
    <mergeCell ref="BJ42:BP45"/>
    <mergeCell ref="BI13:BI14"/>
    <mergeCell ref="BJ13:BM13"/>
    <mergeCell ref="AT13:AT14"/>
    <mergeCell ref="AQ95:AS97"/>
    <mergeCell ref="AT95:AW97"/>
    <mergeCell ref="A3:B4"/>
    <mergeCell ref="C3:E4"/>
    <mergeCell ref="A5:B5"/>
    <mergeCell ref="C5:E5"/>
    <mergeCell ref="F3:G4"/>
    <mergeCell ref="AY84:BH85"/>
    <mergeCell ref="AN86:AP88"/>
    <mergeCell ref="AQ86:AS88"/>
    <mergeCell ref="AT86:AW88"/>
    <mergeCell ref="AY86:BH89"/>
    <mergeCell ref="AN89:AP91"/>
    <mergeCell ref="AQ89:AS91"/>
    <mergeCell ref="AT89:AW91"/>
    <mergeCell ref="AY90:BH94"/>
    <mergeCell ref="AN92:AP94"/>
    <mergeCell ref="AY76:BH78"/>
    <mergeCell ref="AL79:AN82"/>
    <mergeCell ref="AO79:AQ82"/>
    <mergeCell ref="AR79:AS82"/>
    <mergeCell ref="AT79:AU82"/>
    <mergeCell ref="AY79:BH80"/>
    <mergeCell ref="AY81:BH83"/>
    <mergeCell ref="A65:C67"/>
    <mergeCell ref="AD76:AH82"/>
    <mergeCell ref="AL76:AN78"/>
    <mergeCell ref="AO76:AQ78"/>
    <mergeCell ref="AR76:AS78"/>
    <mergeCell ref="AT76:AU78"/>
    <mergeCell ref="V61:Y61"/>
    <mergeCell ref="BI61:BI62"/>
    <mergeCell ref="BJ61:BM61"/>
    <mergeCell ref="A64:C64"/>
    <mergeCell ref="A61:A62"/>
    <mergeCell ref="B61:E61"/>
    <mergeCell ref="F61:F62"/>
    <mergeCell ref="G61:J61"/>
    <mergeCell ref="K61:K62"/>
    <mergeCell ref="L61:O61"/>
    <mergeCell ref="P61:P62"/>
    <mergeCell ref="Q61:T61"/>
    <mergeCell ref="U61:U62"/>
    <mergeCell ref="D60:E60"/>
    <mergeCell ref="I60:J60"/>
    <mergeCell ref="N60:O60"/>
    <mergeCell ref="S60:T60"/>
    <mergeCell ref="X60:Y60"/>
    <mergeCell ref="BL60:BM60"/>
    <mergeCell ref="A58:C60"/>
    <mergeCell ref="F58:H60"/>
    <mergeCell ref="K58:M60"/>
    <mergeCell ref="P58:R60"/>
    <mergeCell ref="U58:W60"/>
    <mergeCell ref="BI58:BK60"/>
    <mergeCell ref="U57:W57"/>
    <mergeCell ref="X57:Y57"/>
    <mergeCell ref="BI57:BK57"/>
    <mergeCell ref="BL57:BM57"/>
    <mergeCell ref="BN57:BP57"/>
    <mergeCell ref="BQ57:BR57"/>
    <mergeCell ref="BN55:BN56"/>
    <mergeCell ref="BO55:BR55"/>
    <mergeCell ref="A57:C57"/>
    <mergeCell ref="D57:E57"/>
    <mergeCell ref="F57:H57"/>
    <mergeCell ref="I57:J57"/>
    <mergeCell ref="K57:M57"/>
    <mergeCell ref="N57:O57"/>
    <mergeCell ref="P57:R57"/>
    <mergeCell ref="S57:T57"/>
    <mergeCell ref="P55:P56"/>
    <mergeCell ref="Q55:T55"/>
    <mergeCell ref="U55:U56"/>
    <mergeCell ref="V55:Y55"/>
    <mergeCell ref="BI55:BI56"/>
    <mergeCell ref="BJ55:BM55"/>
    <mergeCell ref="A55:A56"/>
    <mergeCell ref="B55:E55"/>
    <mergeCell ref="F55:F56"/>
    <mergeCell ref="G55:J55"/>
    <mergeCell ref="K55:K56"/>
    <mergeCell ref="L55:O55"/>
    <mergeCell ref="I54:J54"/>
    <mergeCell ref="N54:O54"/>
    <mergeCell ref="S54:T54"/>
    <mergeCell ref="X54:Y54"/>
    <mergeCell ref="BL54:BM54"/>
    <mergeCell ref="A52:C54"/>
    <mergeCell ref="F52:H54"/>
    <mergeCell ref="K52:M54"/>
    <mergeCell ref="P52:R54"/>
    <mergeCell ref="U52:W54"/>
    <mergeCell ref="BI52:BK54"/>
    <mergeCell ref="BN52:BP54"/>
    <mergeCell ref="D54:E54"/>
    <mergeCell ref="P51:R51"/>
    <mergeCell ref="S51:T51"/>
    <mergeCell ref="U51:W51"/>
    <mergeCell ref="X51:Y51"/>
    <mergeCell ref="BI51:BK51"/>
    <mergeCell ref="BL51:BM51"/>
    <mergeCell ref="A51:C51"/>
    <mergeCell ref="D51:E51"/>
    <mergeCell ref="F51:H51"/>
    <mergeCell ref="I51:J51"/>
    <mergeCell ref="K51:M51"/>
    <mergeCell ref="N51:O51"/>
    <mergeCell ref="F43:G43"/>
    <mergeCell ref="V13:Y13"/>
    <mergeCell ref="Z13:Z14"/>
    <mergeCell ref="AA13:AD13"/>
    <mergeCell ref="F44:G47"/>
    <mergeCell ref="BJ46:BP48"/>
    <mergeCell ref="J31:M31"/>
    <mergeCell ref="J32:M35"/>
    <mergeCell ref="Y32:AB35"/>
    <mergeCell ref="AP32:AS35"/>
    <mergeCell ref="BF32:BJ35"/>
    <mergeCell ref="V36:AG39"/>
    <mergeCell ref="AH36:AR39"/>
    <mergeCell ref="AS36:BD39"/>
    <mergeCell ref="BE36:BI47"/>
    <mergeCell ref="BJ36:BM41"/>
    <mergeCell ref="BI12:BJ12"/>
    <mergeCell ref="BK12:BM12"/>
    <mergeCell ref="A13:A14"/>
    <mergeCell ref="B13:E13"/>
    <mergeCell ref="F13:F14"/>
    <mergeCell ref="G13:J13"/>
    <mergeCell ref="K13:K14"/>
    <mergeCell ref="L13:O13"/>
    <mergeCell ref="AT12:AU12"/>
    <mergeCell ref="AV12:AX12"/>
    <mergeCell ref="AY12:AZ12"/>
    <mergeCell ref="BA12:BC12"/>
    <mergeCell ref="BD12:BE12"/>
    <mergeCell ref="BF12:BH12"/>
    <mergeCell ref="AE12:AF12"/>
    <mergeCell ref="AG12:AI12"/>
    <mergeCell ref="AJ12:AK12"/>
    <mergeCell ref="AL12:AN12"/>
    <mergeCell ref="AU13:AX13"/>
    <mergeCell ref="AY13:AY14"/>
    <mergeCell ref="AZ13:BC13"/>
    <mergeCell ref="A12:B12"/>
    <mergeCell ref="C12:E12"/>
    <mergeCell ref="F12:G12"/>
    <mergeCell ref="H12:J12"/>
    <mergeCell ref="K12:L12"/>
    <mergeCell ref="M12:O12"/>
    <mergeCell ref="P13:P14"/>
    <mergeCell ref="Q13:T13"/>
    <mergeCell ref="U13:U14"/>
    <mergeCell ref="BD9:BE10"/>
    <mergeCell ref="BF9:BH10"/>
    <mergeCell ref="AO12:AP12"/>
    <mergeCell ref="AQ12:AS12"/>
    <mergeCell ref="P12:Q12"/>
    <mergeCell ref="R12:T12"/>
    <mergeCell ref="U12:V12"/>
    <mergeCell ref="W12:Y12"/>
    <mergeCell ref="Z12:AA12"/>
    <mergeCell ref="AB12:AD12"/>
    <mergeCell ref="BD13:BD14"/>
    <mergeCell ref="BE13:BH13"/>
    <mergeCell ref="AE13:AE14"/>
    <mergeCell ref="AF13:AI13"/>
    <mergeCell ref="AJ13:AJ14"/>
    <mergeCell ref="AK13:AN13"/>
    <mergeCell ref="AO13:AO14"/>
    <mergeCell ref="AP13:AS13"/>
    <mergeCell ref="AE7:AE8"/>
    <mergeCell ref="AF7:AI7"/>
    <mergeCell ref="AJ7:AJ8"/>
    <mergeCell ref="AK7:AN7"/>
    <mergeCell ref="AO7:AO8"/>
    <mergeCell ref="AP7:AS7"/>
    <mergeCell ref="AV9:AX10"/>
    <mergeCell ref="AY9:AZ10"/>
    <mergeCell ref="BA9:BC10"/>
    <mergeCell ref="P7:P8"/>
    <mergeCell ref="Q7:T7"/>
    <mergeCell ref="U7:U8"/>
    <mergeCell ref="V7:Y7"/>
    <mergeCell ref="Z7:Z8"/>
    <mergeCell ref="AA7:AD7"/>
    <mergeCell ref="BI6:BJ6"/>
    <mergeCell ref="BK6:BM6"/>
    <mergeCell ref="BN6:BO6"/>
    <mergeCell ref="AB6:AD6"/>
    <mergeCell ref="BJ7:BM7"/>
    <mergeCell ref="BN7:BN8"/>
    <mergeCell ref="BO7:BR7"/>
    <mergeCell ref="AT7:AT8"/>
    <mergeCell ref="AU7:AX7"/>
    <mergeCell ref="AY7:AY8"/>
    <mergeCell ref="AZ7:BC7"/>
    <mergeCell ref="BD7:BD8"/>
    <mergeCell ref="BE7:BH7"/>
    <mergeCell ref="BP6:BR6"/>
    <mergeCell ref="BA6:BC6"/>
    <mergeCell ref="BD6:BE6"/>
    <mergeCell ref="BF6:BH6"/>
    <mergeCell ref="BI7:BI8"/>
    <mergeCell ref="A7:A8"/>
    <mergeCell ref="B7:E7"/>
    <mergeCell ref="F7:F8"/>
    <mergeCell ref="G7:J7"/>
    <mergeCell ref="K7:K8"/>
    <mergeCell ref="L7:O7"/>
    <mergeCell ref="AT6:AU6"/>
    <mergeCell ref="AV6:AX6"/>
    <mergeCell ref="AY6:AZ6"/>
    <mergeCell ref="AE6:AF6"/>
    <mergeCell ref="AG6:AI6"/>
    <mergeCell ref="AJ6:AK6"/>
    <mergeCell ref="AL6:AN6"/>
    <mergeCell ref="AO6:AP6"/>
    <mergeCell ref="AQ6:AS6"/>
    <mergeCell ref="P6:Q6"/>
    <mergeCell ref="R6:T6"/>
    <mergeCell ref="U6:V6"/>
    <mergeCell ref="W6:Y6"/>
    <mergeCell ref="Z6:AA6"/>
    <mergeCell ref="A6:B6"/>
    <mergeCell ref="C6:E6"/>
    <mergeCell ref="F6:G6"/>
    <mergeCell ref="H6:J6"/>
    <mergeCell ref="AT3:AU4"/>
    <mergeCell ref="AV3:AX4"/>
    <mergeCell ref="AY3:AZ4"/>
    <mergeCell ref="AO3:AP4"/>
    <mergeCell ref="AQ3:AS4"/>
    <mergeCell ref="AL5:AN5"/>
    <mergeCell ref="AO5:AP5"/>
    <mergeCell ref="P3:Q4"/>
    <mergeCell ref="R3:T4"/>
    <mergeCell ref="U3:V4"/>
    <mergeCell ref="W3:Y4"/>
    <mergeCell ref="U5:V5"/>
    <mergeCell ref="H3:J4"/>
    <mergeCell ref="K3:L4"/>
    <mergeCell ref="M3:O4"/>
    <mergeCell ref="F5:G5"/>
    <mergeCell ref="M5:O5"/>
    <mergeCell ref="P5:Q5"/>
    <mergeCell ref="R5:T5"/>
    <mergeCell ref="K6:L6"/>
    <mergeCell ref="M6:O6"/>
  </mergeCells>
  <pageMargins left="0.25" right="0" top="0.7" bottom="0" header="0.3" footer="0.3"/>
  <pageSetup paperSize="8" scale="48" orientation="landscape" r:id="rId1"/>
  <headerFooter>
    <oddFooter>&amp;C&amp;"-,Bold Italic"&amp;16Prepared by Emir Cebecioglu&amp;RQuality Control Department</oddFooter>
  </headerFooter>
  <colBreaks count="1" manualBreakCount="1">
    <brk id="70" max="50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54731-E76D-41E4-999B-FDF85FEEEE00}">
  <sheetPr>
    <tabColor rgb="FFFFC000"/>
    <pageSetUpPr fitToPage="1"/>
  </sheetPr>
  <dimension ref="A1:CL119"/>
  <sheetViews>
    <sheetView view="pageBreakPreview" zoomScale="55" zoomScaleNormal="115" zoomScaleSheetLayoutView="55" workbookViewId="0">
      <selection activeCell="Z14" sqref="Z14:AA16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140625" customWidth="1"/>
    <col min="47" max="47" width="10.71093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4.140625" customWidth="1"/>
    <col min="62" max="62" width="10.7109375" customWidth="1"/>
    <col min="63" max="63" width="4.28515625" customWidth="1"/>
    <col min="64" max="65" width="5.5703125" customWidth="1"/>
    <col min="66" max="66" width="4.140625" customWidth="1"/>
    <col min="67" max="67" width="10.7109375" customWidth="1"/>
    <col min="68" max="68" width="4.28515625" customWidth="1"/>
    <col min="69" max="70" width="5.5703125" customWidth="1"/>
    <col min="71" max="71" width="1" customWidth="1"/>
    <col min="72" max="72" width="56.7109375" customWidth="1"/>
    <col min="73" max="73" width="13" customWidth="1"/>
    <col min="74" max="74" width="7" customWidth="1"/>
  </cols>
  <sheetData>
    <row r="1" spans="1:83" ht="168.75" customHeight="1" thickBot="1" x14ac:dyDescent="0.3"/>
    <row r="2" spans="1:83" s="322" customFormat="1" ht="42.75" customHeight="1" thickTop="1" x14ac:dyDescent="0.35">
      <c r="A2" s="1963" t="s">
        <v>110</v>
      </c>
      <c r="B2" s="1964"/>
      <c r="C2" s="1967">
        <f>B7/((36*3.1415/59)*(134.54/3.281))</f>
        <v>3.845456756046884E-2</v>
      </c>
      <c r="D2" s="1967"/>
      <c r="E2" s="1968"/>
      <c r="F2" s="1963" t="s">
        <v>110</v>
      </c>
      <c r="G2" s="1964"/>
      <c r="H2" s="1967">
        <f>G7/((36*3.1415/59)*(134.54/3.281))</f>
        <v>8.983504018328016E-2</v>
      </c>
      <c r="I2" s="1967"/>
      <c r="J2" s="1968"/>
      <c r="K2" s="1963" t="s">
        <v>110</v>
      </c>
      <c r="L2" s="1964"/>
      <c r="M2" s="1967">
        <f>L7/((36*3.1415/59)*(134.54/3.281))</f>
        <v>3.0052729269946239E-2</v>
      </c>
      <c r="N2" s="1967"/>
      <c r="O2" s="1968"/>
      <c r="P2" s="1963" t="s">
        <v>110</v>
      </c>
      <c r="Q2" s="1964"/>
      <c r="R2" s="1967">
        <f>Q7/((36*3.1415/59)*(134.54/3.281))</f>
        <v>2.0681448099747948E-2</v>
      </c>
      <c r="S2" s="1967"/>
      <c r="T2" s="1968"/>
      <c r="U2" s="1957" t="s">
        <v>110</v>
      </c>
      <c r="V2" s="1958"/>
      <c r="W2" s="1307">
        <f>V7/((36*3.1415/59)*(124.5/3.281))</f>
        <v>2.1650839068158321E-2</v>
      </c>
      <c r="X2" s="1307"/>
      <c r="Y2" s="1308"/>
      <c r="Z2" s="1957" t="s">
        <v>110</v>
      </c>
      <c r="AA2" s="1958"/>
      <c r="AB2" s="1307">
        <f t="shared" ref="AB2" si="0">AA7/((36*3.1415/59)*(124.5/3.281))</f>
        <v>1.0476212452334672E-2</v>
      </c>
      <c r="AC2" s="1307"/>
      <c r="AD2" s="1308"/>
      <c r="AE2" s="1957" t="s">
        <v>110</v>
      </c>
      <c r="AF2" s="1958"/>
      <c r="AG2" s="1307">
        <f t="shared" ref="AG2" si="1">AF7/((36*3.1415/59)*(124.5/3.281))</f>
        <v>2.3396874476880766E-2</v>
      </c>
      <c r="AH2" s="1307"/>
      <c r="AI2" s="1308"/>
      <c r="AJ2" s="1957" t="s">
        <v>110</v>
      </c>
      <c r="AK2" s="1958"/>
      <c r="AL2" s="1307">
        <f t="shared" ref="AL2" si="2">AK7/((36*3.1415/59)*(124.5/3.281))</f>
        <v>5.4825511833884781E-2</v>
      </c>
      <c r="AM2" s="1307"/>
      <c r="AN2" s="1308"/>
      <c r="AO2" s="1957" t="s">
        <v>110</v>
      </c>
      <c r="AP2" s="1958"/>
      <c r="AQ2" s="1307">
        <f t="shared" ref="AQ2" si="3">AP7/((36*3.1415/59)*(124.5/3.281))</f>
        <v>0.1337463123081393</v>
      </c>
      <c r="AR2" s="1307"/>
      <c r="AS2" s="1308"/>
      <c r="AT2" s="1957" t="s">
        <v>110</v>
      </c>
      <c r="AU2" s="1958"/>
      <c r="AV2" s="1307">
        <f t="shared" ref="AV2" si="4">AU7/((36*3.1415/59)*(124.5/3.281))</f>
        <v>6.634934553145292E-3</v>
      </c>
      <c r="AW2" s="1307"/>
      <c r="AX2" s="1308"/>
      <c r="AY2" s="1957" t="s">
        <v>110</v>
      </c>
      <c r="AZ2" s="1958"/>
      <c r="BA2" s="1307">
        <f t="shared" ref="BA2" si="5">AZ7/((36*3.1415/59)*(124.5/3.281))</f>
        <v>3.5619122337937889E-2</v>
      </c>
      <c r="BB2" s="1307"/>
      <c r="BC2" s="1308"/>
      <c r="BD2" s="1957" t="s">
        <v>110</v>
      </c>
      <c r="BE2" s="1958"/>
      <c r="BF2" s="1307">
        <f t="shared" ref="BF2" si="6">BE7/((36*3.1415/59)*(124.5/3.281))</f>
        <v>5.5174718915629278E-2</v>
      </c>
      <c r="BG2" s="1307"/>
      <c r="BH2" s="1308"/>
      <c r="BI2" s="1957" t="s">
        <v>110</v>
      </c>
      <c r="BJ2" s="1958"/>
      <c r="BK2" s="1307">
        <f t="shared" ref="BK2" si="7">BJ7/((36*3.1415/59)*(124.5/3.281))</f>
        <v>4.8888991444228466E-2</v>
      </c>
      <c r="BL2" s="1307"/>
      <c r="BM2" s="1308"/>
      <c r="BN2" s="1957" t="s">
        <v>110</v>
      </c>
      <c r="BO2" s="1958"/>
      <c r="BP2" s="1307">
        <f t="shared" ref="BP2" si="8">BO7/((36*3.1415/59)*(124.5/3.281))</f>
        <v>1.5365111596757517E-2</v>
      </c>
      <c r="BQ2" s="1307"/>
      <c r="BR2" s="1308"/>
    </row>
    <row r="3" spans="1:83" s="322" customFormat="1" ht="6.75" customHeight="1" x14ac:dyDescent="0.35">
      <c r="A3" s="1965"/>
      <c r="B3" s="1966"/>
      <c r="C3" s="1969"/>
      <c r="D3" s="1969"/>
      <c r="E3" s="1970"/>
      <c r="F3" s="1965"/>
      <c r="G3" s="1966"/>
      <c r="H3" s="1969"/>
      <c r="I3" s="1969"/>
      <c r="J3" s="1970"/>
      <c r="K3" s="1965"/>
      <c r="L3" s="1966"/>
      <c r="M3" s="1969"/>
      <c r="N3" s="1969"/>
      <c r="O3" s="1970"/>
      <c r="P3" s="1965"/>
      <c r="Q3" s="1966"/>
      <c r="R3" s="1969"/>
      <c r="S3" s="1969"/>
      <c r="T3" s="1970"/>
      <c r="U3" s="1959"/>
      <c r="V3" s="1960"/>
      <c r="W3" s="1309"/>
      <c r="X3" s="1309"/>
      <c r="Y3" s="1310"/>
      <c r="Z3" s="1959"/>
      <c r="AA3" s="1960"/>
      <c r="AB3" s="1309"/>
      <c r="AC3" s="1309"/>
      <c r="AD3" s="1310"/>
      <c r="AE3" s="1959"/>
      <c r="AF3" s="1960"/>
      <c r="AG3" s="1309"/>
      <c r="AH3" s="1309"/>
      <c r="AI3" s="1310"/>
      <c r="AJ3" s="1959"/>
      <c r="AK3" s="1960"/>
      <c r="AL3" s="1309"/>
      <c r="AM3" s="1309"/>
      <c r="AN3" s="1310"/>
      <c r="AO3" s="1959"/>
      <c r="AP3" s="1960"/>
      <c r="AQ3" s="1309"/>
      <c r="AR3" s="1309"/>
      <c r="AS3" s="1310"/>
      <c r="AT3" s="1959"/>
      <c r="AU3" s="1960"/>
      <c r="AV3" s="1309"/>
      <c r="AW3" s="1309"/>
      <c r="AX3" s="1310"/>
      <c r="AY3" s="1959"/>
      <c r="AZ3" s="1960"/>
      <c r="BA3" s="1309"/>
      <c r="BB3" s="1309"/>
      <c r="BC3" s="1310"/>
      <c r="BD3" s="1959"/>
      <c r="BE3" s="1960"/>
      <c r="BF3" s="1309"/>
      <c r="BG3" s="1309"/>
      <c r="BH3" s="1310"/>
      <c r="BI3" s="1959"/>
      <c r="BJ3" s="1960"/>
      <c r="BK3" s="1309"/>
      <c r="BL3" s="1309"/>
      <c r="BM3" s="1310"/>
      <c r="BN3" s="1959"/>
      <c r="BO3" s="1960"/>
      <c r="BP3" s="1309"/>
      <c r="BQ3" s="1309"/>
      <c r="BR3" s="1310"/>
    </row>
    <row r="4" spans="1:83" s="322" customFormat="1" ht="7.5" customHeight="1" x14ac:dyDescent="0.35">
      <c r="A4" s="1965"/>
      <c r="B4" s="1966"/>
      <c r="C4" s="1969"/>
      <c r="D4" s="1969"/>
      <c r="E4" s="1970"/>
      <c r="F4" s="1965"/>
      <c r="G4" s="1966"/>
      <c r="H4" s="1969"/>
      <c r="I4" s="1969"/>
      <c r="J4" s="1970"/>
      <c r="K4" s="1965"/>
      <c r="L4" s="1966"/>
      <c r="M4" s="1969"/>
      <c r="N4" s="1969"/>
      <c r="O4" s="1970"/>
      <c r="P4" s="1965"/>
      <c r="Q4" s="1966"/>
      <c r="R4" s="1969"/>
      <c r="S4" s="1969"/>
      <c r="T4" s="1970"/>
      <c r="U4" s="1959"/>
      <c r="V4" s="1960"/>
      <c r="W4" s="1309"/>
      <c r="X4" s="1309"/>
      <c r="Y4" s="1310"/>
      <c r="Z4" s="1959"/>
      <c r="AA4" s="1960"/>
      <c r="AB4" s="1309"/>
      <c r="AC4" s="1309"/>
      <c r="AD4" s="1310"/>
      <c r="AE4" s="1959"/>
      <c r="AF4" s="1960"/>
      <c r="AG4" s="1309"/>
      <c r="AH4" s="1309"/>
      <c r="AI4" s="1310"/>
      <c r="AJ4" s="1959"/>
      <c r="AK4" s="1960"/>
      <c r="AL4" s="1309"/>
      <c r="AM4" s="1309"/>
      <c r="AN4" s="1310"/>
      <c r="AO4" s="1959"/>
      <c r="AP4" s="1960"/>
      <c r="AQ4" s="1309"/>
      <c r="AR4" s="1309"/>
      <c r="AS4" s="1310"/>
      <c r="AT4" s="1959"/>
      <c r="AU4" s="1960"/>
      <c r="AV4" s="1309"/>
      <c r="AW4" s="1309"/>
      <c r="AX4" s="1310"/>
      <c r="AY4" s="1959"/>
      <c r="AZ4" s="1960"/>
      <c r="BA4" s="1309"/>
      <c r="BB4" s="1309"/>
      <c r="BC4" s="1310"/>
      <c r="BD4" s="1959"/>
      <c r="BE4" s="1960"/>
      <c r="BF4" s="1309"/>
      <c r="BG4" s="1309"/>
      <c r="BH4" s="1310"/>
      <c r="BI4" s="1959"/>
      <c r="BJ4" s="1960"/>
      <c r="BK4" s="1309"/>
      <c r="BL4" s="1309"/>
      <c r="BM4" s="1310"/>
      <c r="BN4" s="1959"/>
      <c r="BO4" s="1960"/>
      <c r="BP4" s="1309"/>
      <c r="BQ4" s="1309"/>
      <c r="BR4" s="1310"/>
    </row>
    <row r="5" spans="1:83" s="410" customFormat="1" ht="41.25" customHeight="1" x14ac:dyDescent="0.35">
      <c r="A5" s="1938" t="s">
        <v>662</v>
      </c>
      <c r="B5" s="1939"/>
      <c r="C5" s="1939"/>
      <c r="D5" s="1939"/>
      <c r="E5" s="1945"/>
      <c r="F5" s="1938" t="s">
        <v>662</v>
      </c>
      <c r="G5" s="1939"/>
      <c r="H5" s="1939"/>
      <c r="I5" s="1939"/>
      <c r="J5" s="1945"/>
      <c r="K5" s="1938" t="s">
        <v>662</v>
      </c>
      <c r="L5" s="1939"/>
      <c r="M5" s="1939"/>
      <c r="N5" s="1939"/>
      <c r="O5" s="1945"/>
      <c r="P5" s="1938" t="s">
        <v>662</v>
      </c>
      <c r="Q5" s="1939"/>
      <c r="R5" s="1939"/>
      <c r="S5" s="1939"/>
      <c r="T5" s="1945"/>
      <c r="U5" s="1954" t="s">
        <v>489</v>
      </c>
      <c r="V5" s="1955"/>
      <c r="W5" s="1955"/>
      <c r="X5" s="1955"/>
      <c r="Y5" s="1956"/>
      <c r="Z5" s="1954" t="s">
        <v>489</v>
      </c>
      <c r="AA5" s="1955"/>
      <c r="AB5" s="1955"/>
      <c r="AC5" s="1955"/>
      <c r="AD5" s="1956"/>
      <c r="AE5" s="1954" t="s">
        <v>489</v>
      </c>
      <c r="AF5" s="1955"/>
      <c r="AG5" s="1955"/>
      <c r="AH5" s="1955"/>
      <c r="AI5" s="1956"/>
      <c r="AJ5" s="1954" t="s">
        <v>489</v>
      </c>
      <c r="AK5" s="1955"/>
      <c r="AL5" s="1955"/>
      <c r="AM5" s="1955"/>
      <c r="AN5" s="1956"/>
      <c r="AO5" s="1954" t="s">
        <v>489</v>
      </c>
      <c r="AP5" s="1955"/>
      <c r="AQ5" s="1955"/>
      <c r="AR5" s="1955"/>
      <c r="AS5" s="1956"/>
      <c r="AT5" s="1954" t="s">
        <v>489</v>
      </c>
      <c r="AU5" s="1955"/>
      <c r="AV5" s="1955"/>
      <c r="AW5" s="1955"/>
      <c r="AX5" s="1956"/>
      <c r="AY5" s="1954" t="s">
        <v>489</v>
      </c>
      <c r="AZ5" s="1955"/>
      <c r="BA5" s="1955"/>
      <c r="BB5" s="1955"/>
      <c r="BC5" s="1956"/>
      <c r="BD5" s="1954" t="s">
        <v>489</v>
      </c>
      <c r="BE5" s="1955"/>
      <c r="BF5" s="1955"/>
      <c r="BG5" s="1955"/>
      <c r="BH5" s="1956"/>
      <c r="BI5" s="1954" t="s">
        <v>489</v>
      </c>
      <c r="BJ5" s="1955"/>
      <c r="BK5" s="1955"/>
      <c r="BL5" s="1955"/>
      <c r="BM5" s="1956"/>
      <c r="BN5" s="1954" t="s">
        <v>489</v>
      </c>
      <c r="BO5" s="1955"/>
      <c r="BP5" s="1955"/>
      <c r="BQ5" s="1955"/>
      <c r="BR5" s="1956"/>
    </row>
    <row r="6" spans="1:83" s="22" customFormat="1" ht="80.099999999999994" customHeight="1" x14ac:dyDescent="1.35">
      <c r="A6" s="1961" t="s">
        <v>697</v>
      </c>
      <c r="B6" s="588">
        <v>25</v>
      </c>
      <c r="C6" s="589"/>
      <c r="D6" s="589"/>
      <c r="E6" s="590"/>
      <c r="F6" s="1961" t="s">
        <v>697</v>
      </c>
      <c r="G6" s="588">
        <v>26</v>
      </c>
      <c r="H6" s="589"/>
      <c r="I6" s="589"/>
      <c r="J6" s="590"/>
      <c r="K6" s="1961" t="s">
        <v>697</v>
      </c>
      <c r="L6" s="588">
        <v>27</v>
      </c>
      <c r="M6" s="589"/>
      <c r="N6" s="589"/>
      <c r="O6" s="590"/>
      <c r="P6" s="1961" t="s">
        <v>697</v>
      </c>
      <c r="Q6" s="588">
        <v>28</v>
      </c>
      <c r="R6" s="589"/>
      <c r="S6" s="589"/>
      <c r="T6" s="590"/>
      <c r="U6" s="1330" t="s">
        <v>568</v>
      </c>
      <c r="V6" s="588">
        <v>1</v>
      </c>
      <c r="W6" s="589"/>
      <c r="X6" s="589"/>
      <c r="Y6" s="590"/>
      <c r="Z6" s="1330" t="s">
        <v>568</v>
      </c>
      <c r="AA6" s="588">
        <v>2</v>
      </c>
      <c r="AB6" s="589"/>
      <c r="AC6" s="589"/>
      <c r="AD6" s="590"/>
      <c r="AE6" s="1330" t="s">
        <v>568</v>
      </c>
      <c r="AF6" s="588">
        <v>3</v>
      </c>
      <c r="AG6" s="589"/>
      <c r="AH6" s="589"/>
      <c r="AI6" s="590"/>
      <c r="AJ6" s="1330" t="s">
        <v>568</v>
      </c>
      <c r="AK6" s="588">
        <v>4</v>
      </c>
      <c r="AL6" s="589"/>
      <c r="AM6" s="589"/>
      <c r="AN6" s="590"/>
      <c r="AO6" s="1330" t="s">
        <v>568</v>
      </c>
      <c r="AP6" s="588">
        <v>5</v>
      </c>
      <c r="AQ6" s="589"/>
      <c r="AR6" s="589"/>
      <c r="AS6" s="590"/>
      <c r="AT6" s="1330" t="s">
        <v>568</v>
      </c>
      <c r="AU6" s="588">
        <v>6</v>
      </c>
      <c r="AV6" s="589"/>
      <c r="AW6" s="589"/>
      <c r="AX6" s="590"/>
      <c r="AY6" s="1330" t="s">
        <v>568</v>
      </c>
      <c r="AZ6" s="588">
        <v>8</v>
      </c>
      <c r="BA6" s="589"/>
      <c r="BB6" s="589"/>
      <c r="BC6" s="590"/>
      <c r="BD6" s="1330" t="s">
        <v>568</v>
      </c>
      <c r="BE6" s="588">
        <v>9</v>
      </c>
      <c r="BF6" s="589"/>
      <c r="BG6" s="589"/>
      <c r="BH6" s="590"/>
      <c r="BI6" s="1330" t="s">
        <v>568</v>
      </c>
      <c r="BJ6" s="588">
        <v>10</v>
      </c>
      <c r="BK6" s="589"/>
      <c r="BL6" s="589"/>
      <c r="BM6" s="590"/>
      <c r="BN6" s="1330" t="s">
        <v>568</v>
      </c>
      <c r="BO6" s="588">
        <v>11</v>
      </c>
      <c r="BP6" s="589"/>
      <c r="BQ6" s="589"/>
      <c r="BR6" s="590"/>
    </row>
    <row r="7" spans="1:83" ht="27" customHeight="1" thickBot="1" x14ac:dyDescent="0.3">
      <c r="A7" s="1962"/>
      <c r="B7" s="61">
        <v>3.0226000000000002</v>
      </c>
      <c r="C7" s="62" t="s">
        <v>113</v>
      </c>
      <c r="D7" s="63">
        <v>1</v>
      </c>
      <c r="E7" s="64" t="s">
        <v>114</v>
      </c>
      <c r="F7" s="1962"/>
      <c r="G7" s="61">
        <v>7.0612000000000004</v>
      </c>
      <c r="H7" s="62" t="s">
        <v>113</v>
      </c>
      <c r="I7" s="63"/>
      <c r="J7" s="64" t="s">
        <v>114</v>
      </c>
      <c r="K7" s="1962"/>
      <c r="L7" s="61">
        <v>2.3622000000000001</v>
      </c>
      <c r="M7" s="62" t="s">
        <v>113</v>
      </c>
      <c r="N7" s="63">
        <v>1</v>
      </c>
      <c r="O7" s="64" t="s">
        <v>114</v>
      </c>
      <c r="P7" s="1962"/>
      <c r="Q7" s="61">
        <v>1.6255999999999999</v>
      </c>
      <c r="R7" s="62" t="s">
        <v>113</v>
      </c>
      <c r="S7" s="63">
        <v>1</v>
      </c>
      <c r="T7" s="64" t="s">
        <v>114</v>
      </c>
      <c r="U7" s="1331"/>
      <c r="V7" s="61">
        <v>1.5748</v>
      </c>
      <c r="W7" s="62" t="s">
        <v>113</v>
      </c>
      <c r="X7" s="63">
        <v>1</v>
      </c>
      <c r="Y7" s="64" t="s">
        <v>114</v>
      </c>
      <c r="Z7" s="1331"/>
      <c r="AA7" s="61">
        <v>0.76200000000000001</v>
      </c>
      <c r="AB7" s="62" t="s">
        <v>113</v>
      </c>
      <c r="AC7" s="63"/>
      <c r="AD7" s="64" t="s">
        <v>114</v>
      </c>
      <c r="AE7" s="1331"/>
      <c r="AF7" s="61">
        <v>1.7018</v>
      </c>
      <c r="AG7" s="62" t="s">
        <v>113</v>
      </c>
      <c r="AH7" s="63">
        <v>1</v>
      </c>
      <c r="AI7" s="64" t="s">
        <v>114</v>
      </c>
      <c r="AJ7" s="1331"/>
      <c r="AK7" s="61">
        <v>3.9878</v>
      </c>
      <c r="AL7" s="62" t="s">
        <v>113</v>
      </c>
      <c r="AM7" s="63">
        <v>1</v>
      </c>
      <c r="AN7" s="64" t="s">
        <v>114</v>
      </c>
      <c r="AO7" s="1331"/>
      <c r="AP7" s="61">
        <v>9.7281999999999993</v>
      </c>
      <c r="AQ7" s="62" t="s">
        <v>113</v>
      </c>
      <c r="AR7" s="63">
        <v>1</v>
      </c>
      <c r="AS7" s="64" t="s">
        <v>114</v>
      </c>
      <c r="AT7" s="1331"/>
      <c r="AU7" s="61">
        <v>0.48259999999999997</v>
      </c>
      <c r="AV7" s="62" t="s">
        <v>113</v>
      </c>
      <c r="AW7" s="63">
        <v>1</v>
      </c>
      <c r="AX7" s="64" t="s">
        <v>114</v>
      </c>
      <c r="AY7" s="1331"/>
      <c r="AZ7" s="61">
        <v>2.5908000000000002</v>
      </c>
      <c r="BA7" s="62" t="s">
        <v>113</v>
      </c>
      <c r="BB7" s="63">
        <v>1</v>
      </c>
      <c r="BC7" s="64" t="s">
        <v>114</v>
      </c>
      <c r="BD7" s="1331"/>
      <c r="BE7" s="61">
        <v>4.0132000000000003</v>
      </c>
      <c r="BF7" s="62" t="s">
        <v>113</v>
      </c>
      <c r="BG7" s="63">
        <v>1</v>
      </c>
      <c r="BH7" s="64" t="s">
        <v>114</v>
      </c>
      <c r="BI7" s="1331"/>
      <c r="BJ7" s="61">
        <v>3.556</v>
      </c>
      <c r="BK7" s="62" t="s">
        <v>113</v>
      </c>
      <c r="BL7" s="63">
        <v>1</v>
      </c>
      <c r="BM7" s="64" t="s">
        <v>114</v>
      </c>
      <c r="BN7" s="1331"/>
      <c r="BO7" s="61">
        <v>1.1175999999999999</v>
      </c>
      <c r="BP7" s="62" t="s">
        <v>113</v>
      </c>
      <c r="BQ7" s="63">
        <v>1</v>
      </c>
      <c r="BR7" s="64" t="s">
        <v>114</v>
      </c>
      <c r="BW7" s="27"/>
      <c r="BX7" s="27"/>
      <c r="BY7" s="27"/>
      <c r="BZ7" s="27"/>
      <c r="CA7" s="27"/>
      <c r="CB7" s="27"/>
      <c r="CC7" s="27"/>
      <c r="CD7" s="27"/>
      <c r="CE7" s="27"/>
    </row>
    <row r="8" spans="1:83" s="322" customFormat="1" ht="26.1" customHeight="1" thickTop="1" x14ac:dyDescent="0.35">
      <c r="A8" s="1957" t="s">
        <v>110</v>
      </c>
      <c r="B8" s="1958"/>
      <c r="C8" s="1307">
        <f t="shared" ref="C8" si="9">B13/((36*3.1415/59)*(124.5/3.281))</f>
        <v>2.4444495722114237E-3</v>
      </c>
      <c r="D8" s="1307"/>
      <c r="E8" s="1308"/>
      <c r="F8" s="1946" t="s">
        <v>110</v>
      </c>
      <c r="G8" s="1947"/>
      <c r="H8" s="1950">
        <f>G13/((36*3.1415/59)*(125.5/3.281))</f>
        <v>4.8499437727541382E-3</v>
      </c>
      <c r="I8" s="1950"/>
      <c r="J8" s="1951"/>
      <c r="K8" s="1946" t="s">
        <v>110</v>
      </c>
      <c r="L8" s="1947"/>
      <c r="M8" s="1950">
        <f t="shared" ref="M8" si="10">L13/((36*3.1415/59)*(125.5/3.281))</f>
        <v>3.5335304630065865E-2</v>
      </c>
      <c r="N8" s="1950"/>
      <c r="O8" s="1951"/>
      <c r="P8" s="1946" t="s">
        <v>110</v>
      </c>
      <c r="Q8" s="1947"/>
      <c r="R8" s="1950">
        <f t="shared" ref="R8" si="11">Q13/((36*3.1415/59)*(125.5/3.281))</f>
        <v>3.8106701071639659E-2</v>
      </c>
      <c r="S8" s="1950"/>
      <c r="T8" s="1951"/>
      <c r="U8" s="1946" t="s">
        <v>110</v>
      </c>
      <c r="V8" s="1947"/>
      <c r="W8" s="1950">
        <f t="shared" ref="W8" si="12">V13/((36*3.1415/59)*(125.5/3.281))</f>
        <v>5.7160051607459482E-2</v>
      </c>
      <c r="X8" s="1950"/>
      <c r="Y8" s="1951"/>
      <c r="Z8" s="1946" t="s">
        <v>110</v>
      </c>
      <c r="AA8" s="1947"/>
      <c r="AB8" s="1950">
        <f t="shared" ref="AB8" si="13">AA13/((36*3.1415/59)*(125.5/3.281))</f>
        <v>1.3638762015619062E-11</v>
      </c>
      <c r="AC8" s="1950"/>
      <c r="AD8" s="1951"/>
      <c r="AE8" s="1946" t="s">
        <v>110</v>
      </c>
      <c r="AF8" s="1947"/>
      <c r="AG8" s="1950">
        <f t="shared" ref="AG8" si="14">AF13/((36*3.1415/59)*(125.5/3.281))</f>
        <v>8.6606138799181047E-3</v>
      </c>
      <c r="AH8" s="1950"/>
      <c r="AI8" s="1951"/>
      <c r="AJ8" s="1946" t="s">
        <v>110</v>
      </c>
      <c r="AK8" s="1947"/>
      <c r="AL8" s="1950">
        <f t="shared" ref="AL8" si="15">AK13/((36*3.1415/59)*(125.5/3.281))</f>
        <v>1.3638762015619062E-11</v>
      </c>
      <c r="AM8" s="1950"/>
      <c r="AN8" s="1951"/>
      <c r="AO8" s="1946" t="s">
        <v>110</v>
      </c>
      <c r="AP8" s="1947"/>
      <c r="AQ8" s="1950">
        <f t="shared" ref="AQ8" si="16">AP13/((36*3.1415/59)*(125.5/3.281))</f>
        <v>1.3638762015619061E-12</v>
      </c>
      <c r="AR8" s="1950"/>
      <c r="AS8" s="1951"/>
      <c r="AT8" s="1946" t="s">
        <v>110</v>
      </c>
      <c r="AU8" s="1947"/>
      <c r="AV8" s="1950">
        <f t="shared" ref="AV8" si="17">AU13/((36*3.1415/59)*(125.5/3.281))</f>
        <v>1.3638762015619062E-10</v>
      </c>
      <c r="AW8" s="1950"/>
      <c r="AX8" s="1951"/>
      <c r="AY8" s="1946" t="s">
        <v>110</v>
      </c>
      <c r="AZ8" s="1947"/>
      <c r="BA8" s="1950">
        <f t="shared" ref="BA8" si="18">AZ13/((36*3.1415/59)*(125.5/3.281))</f>
        <v>1.3638762015619062E-10</v>
      </c>
      <c r="BB8" s="1950"/>
      <c r="BC8" s="1951"/>
      <c r="BD8" s="1930" t="s">
        <v>110</v>
      </c>
      <c r="BE8" s="1931"/>
      <c r="BF8" s="1971">
        <f>BE13/((36*3.1415/59)*(114/3.281))</f>
        <v>2.44077370819306E-2</v>
      </c>
      <c r="BG8" s="1971"/>
      <c r="BH8" s="1972"/>
      <c r="BI8" s="1930" t="s">
        <v>110</v>
      </c>
      <c r="BJ8" s="1931"/>
      <c r="BK8" s="1934">
        <f t="shared" ref="BK8" si="19">BJ13/((36*3.1415/59)*(114/3.281))</f>
        <v>2.0975399054784113E-2</v>
      </c>
      <c r="BL8" s="1934"/>
      <c r="BM8" s="1935"/>
      <c r="BN8" s="1930" t="s">
        <v>110</v>
      </c>
      <c r="BO8" s="1931"/>
      <c r="BP8" s="1934">
        <f t="shared" ref="BP8" si="20">BO13/((36*3.1415/59)*(114/3.281))</f>
        <v>1.4873464784301462E-2</v>
      </c>
      <c r="BQ8" s="1934"/>
      <c r="BR8" s="1935"/>
    </row>
    <row r="9" spans="1:83" s="322" customFormat="1" ht="6.75" customHeight="1" x14ac:dyDescent="0.35">
      <c r="A9" s="1959"/>
      <c r="B9" s="1960"/>
      <c r="C9" s="1309"/>
      <c r="D9" s="1309"/>
      <c r="E9" s="1310"/>
      <c r="F9" s="1948"/>
      <c r="G9" s="1949"/>
      <c r="H9" s="1952"/>
      <c r="I9" s="1952"/>
      <c r="J9" s="1953"/>
      <c r="K9" s="1948"/>
      <c r="L9" s="1949"/>
      <c r="M9" s="1952"/>
      <c r="N9" s="1952"/>
      <c r="O9" s="1953"/>
      <c r="P9" s="1948"/>
      <c r="Q9" s="1949"/>
      <c r="R9" s="1952"/>
      <c r="S9" s="1952"/>
      <c r="T9" s="1953"/>
      <c r="U9" s="1948"/>
      <c r="V9" s="1949"/>
      <c r="W9" s="1952"/>
      <c r="X9" s="1952"/>
      <c r="Y9" s="1953"/>
      <c r="Z9" s="1948"/>
      <c r="AA9" s="1949"/>
      <c r="AB9" s="1952"/>
      <c r="AC9" s="1952"/>
      <c r="AD9" s="1953"/>
      <c r="AE9" s="1948"/>
      <c r="AF9" s="1949"/>
      <c r="AG9" s="1952"/>
      <c r="AH9" s="1952"/>
      <c r="AI9" s="1953"/>
      <c r="AJ9" s="1948"/>
      <c r="AK9" s="1949"/>
      <c r="AL9" s="1952"/>
      <c r="AM9" s="1952"/>
      <c r="AN9" s="1953"/>
      <c r="AO9" s="1948"/>
      <c r="AP9" s="1949"/>
      <c r="AQ9" s="1952"/>
      <c r="AR9" s="1952"/>
      <c r="AS9" s="1953"/>
      <c r="AT9" s="1948"/>
      <c r="AU9" s="1949"/>
      <c r="AV9" s="1952"/>
      <c r="AW9" s="1952"/>
      <c r="AX9" s="1953"/>
      <c r="AY9" s="1948"/>
      <c r="AZ9" s="1949"/>
      <c r="BA9" s="1952"/>
      <c r="BB9" s="1952"/>
      <c r="BC9" s="1953"/>
      <c r="BD9" s="1932"/>
      <c r="BE9" s="1933"/>
      <c r="BF9" s="1973"/>
      <c r="BG9" s="1973"/>
      <c r="BH9" s="1974"/>
      <c r="BI9" s="1932"/>
      <c r="BJ9" s="1933"/>
      <c r="BK9" s="1936"/>
      <c r="BL9" s="1936"/>
      <c r="BM9" s="1937"/>
      <c r="BN9" s="1932"/>
      <c r="BO9" s="1933"/>
      <c r="BP9" s="1936"/>
      <c r="BQ9" s="1936"/>
      <c r="BR9" s="1937"/>
    </row>
    <row r="10" spans="1:83" s="322" customFormat="1" ht="21.95" customHeight="1" x14ac:dyDescent="0.35">
      <c r="A10" s="1959"/>
      <c r="B10" s="1960"/>
      <c r="C10" s="1309"/>
      <c r="D10" s="1309"/>
      <c r="E10" s="1310"/>
      <c r="F10" s="1948"/>
      <c r="G10" s="1949"/>
      <c r="H10" s="1952"/>
      <c r="I10" s="1952"/>
      <c r="J10" s="1953"/>
      <c r="K10" s="1948"/>
      <c r="L10" s="1949"/>
      <c r="M10" s="1952"/>
      <c r="N10" s="1952"/>
      <c r="O10" s="1953"/>
      <c r="P10" s="1948"/>
      <c r="Q10" s="1949"/>
      <c r="R10" s="1952"/>
      <c r="S10" s="1952"/>
      <c r="T10" s="1953"/>
      <c r="U10" s="1948"/>
      <c r="V10" s="1949"/>
      <c r="W10" s="1952"/>
      <c r="X10" s="1952"/>
      <c r="Y10" s="1953"/>
      <c r="Z10" s="1948"/>
      <c r="AA10" s="1949"/>
      <c r="AB10" s="1952"/>
      <c r="AC10" s="1952"/>
      <c r="AD10" s="1953"/>
      <c r="AE10" s="1948"/>
      <c r="AF10" s="1949"/>
      <c r="AG10" s="1952"/>
      <c r="AH10" s="1952"/>
      <c r="AI10" s="1953"/>
      <c r="AJ10" s="1948"/>
      <c r="AK10" s="1949"/>
      <c r="AL10" s="1952"/>
      <c r="AM10" s="1952"/>
      <c r="AN10" s="1953"/>
      <c r="AO10" s="1948"/>
      <c r="AP10" s="1949"/>
      <c r="AQ10" s="1952"/>
      <c r="AR10" s="1952"/>
      <c r="AS10" s="1953"/>
      <c r="AT10" s="1948"/>
      <c r="AU10" s="1949"/>
      <c r="AV10" s="1952"/>
      <c r="AW10" s="1952"/>
      <c r="AX10" s="1953"/>
      <c r="AY10" s="1948"/>
      <c r="AZ10" s="1949"/>
      <c r="BA10" s="1952"/>
      <c r="BB10" s="1952"/>
      <c r="BC10" s="1953"/>
      <c r="BD10" s="1932"/>
      <c r="BE10" s="1933"/>
      <c r="BF10" s="1973"/>
      <c r="BG10" s="1973"/>
      <c r="BH10" s="1974"/>
      <c r="BI10" s="1932"/>
      <c r="BJ10" s="1933"/>
      <c r="BK10" s="1936"/>
      <c r="BL10" s="1936"/>
      <c r="BM10" s="1937"/>
      <c r="BN10" s="1932"/>
      <c r="BO10" s="1933"/>
      <c r="BP10" s="1936"/>
      <c r="BQ10" s="1936"/>
      <c r="BR10" s="1937"/>
    </row>
    <row r="11" spans="1:83" s="410" customFormat="1" ht="41.25" customHeight="1" x14ac:dyDescent="0.35">
      <c r="A11" s="1954" t="s">
        <v>489</v>
      </c>
      <c r="B11" s="1955"/>
      <c r="C11" s="1955"/>
      <c r="D11" s="1955"/>
      <c r="E11" s="1956"/>
      <c r="F11" s="1938" t="s">
        <v>662</v>
      </c>
      <c r="G11" s="1939"/>
      <c r="H11" s="1939"/>
      <c r="I11" s="1939"/>
      <c r="J11" s="1945"/>
      <c r="K11" s="1938" t="s">
        <v>662</v>
      </c>
      <c r="L11" s="1939"/>
      <c r="M11" s="1939"/>
      <c r="N11" s="1939"/>
      <c r="O11" s="1945"/>
      <c r="P11" s="1954" t="s">
        <v>662</v>
      </c>
      <c r="Q11" s="1955"/>
      <c r="R11" s="1955"/>
      <c r="S11" s="1955"/>
      <c r="T11" s="1956"/>
      <c r="U11" s="1954" t="s">
        <v>662</v>
      </c>
      <c r="V11" s="1955"/>
      <c r="W11" s="1955"/>
      <c r="X11" s="1955"/>
      <c r="Y11" s="1956"/>
      <c r="Z11" s="1938" t="s">
        <v>662</v>
      </c>
      <c r="AA11" s="1939"/>
      <c r="AB11" s="1939"/>
      <c r="AC11" s="1939"/>
      <c r="AD11" s="1945"/>
      <c r="AE11" s="1938" t="s">
        <v>662</v>
      </c>
      <c r="AF11" s="1939"/>
      <c r="AG11" s="1939"/>
      <c r="AH11" s="1939"/>
      <c r="AI11" s="1945"/>
      <c r="AJ11" s="1938" t="s">
        <v>662</v>
      </c>
      <c r="AK11" s="1939"/>
      <c r="AL11" s="1939"/>
      <c r="AM11" s="1939"/>
      <c r="AN11" s="1945"/>
      <c r="AO11" s="1938" t="s">
        <v>662</v>
      </c>
      <c r="AP11" s="1939"/>
      <c r="AQ11" s="1939"/>
      <c r="AR11" s="1939"/>
      <c r="AS11" s="1945"/>
      <c r="AT11" s="1938" t="s">
        <v>662</v>
      </c>
      <c r="AU11" s="1939"/>
      <c r="AV11" s="1939"/>
      <c r="AW11" s="1939"/>
      <c r="AX11" s="1945"/>
      <c r="AY11" s="1938" t="s">
        <v>662</v>
      </c>
      <c r="AZ11" s="1939"/>
      <c r="BA11" s="1939"/>
      <c r="BB11" s="1939"/>
      <c r="BC11" s="1945"/>
      <c r="BD11" s="1938" t="s">
        <v>662</v>
      </c>
      <c r="BE11" s="1939"/>
      <c r="BF11" s="1940" t="s">
        <v>663</v>
      </c>
      <c r="BG11" s="1941"/>
      <c r="BH11" s="1942"/>
      <c r="BI11" s="1938" t="s">
        <v>662</v>
      </c>
      <c r="BJ11" s="1939"/>
      <c r="BK11" s="1940" t="s">
        <v>663</v>
      </c>
      <c r="BL11" s="1941"/>
      <c r="BM11" s="1942"/>
      <c r="BN11" s="1938" t="s">
        <v>662</v>
      </c>
      <c r="BO11" s="1939"/>
      <c r="BP11" s="1940" t="s">
        <v>663</v>
      </c>
      <c r="BQ11" s="1941"/>
      <c r="BR11" s="1942"/>
    </row>
    <row r="12" spans="1:83" s="22" customFormat="1" ht="80.099999999999994" customHeight="1" x14ac:dyDescent="1.35">
      <c r="A12" s="1330" t="s">
        <v>568</v>
      </c>
      <c r="B12" s="588">
        <v>20</v>
      </c>
      <c r="C12" s="589"/>
      <c r="D12" s="589"/>
      <c r="E12" s="590"/>
      <c r="F12" s="1928" t="s">
        <v>660</v>
      </c>
      <c r="G12" s="588">
        <v>45</v>
      </c>
      <c r="H12" s="589"/>
      <c r="I12" s="589"/>
      <c r="J12" s="590"/>
      <c r="K12" s="1928" t="s">
        <v>660</v>
      </c>
      <c r="L12" s="588">
        <v>46</v>
      </c>
      <c r="M12" s="589"/>
      <c r="N12" s="589"/>
      <c r="O12" s="590"/>
      <c r="P12" s="1928" t="s">
        <v>660</v>
      </c>
      <c r="Q12" s="588">
        <v>47</v>
      </c>
      <c r="R12" s="589"/>
      <c r="S12" s="589"/>
      <c r="T12" s="590"/>
      <c r="U12" s="1928" t="s">
        <v>660</v>
      </c>
      <c r="V12" s="588">
        <v>48</v>
      </c>
      <c r="W12" s="589"/>
      <c r="X12" s="589"/>
      <c r="Y12" s="590"/>
      <c r="Z12" s="1928" t="s">
        <v>660</v>
      </c>
      <c r="AA12" s="588">
        <v>49</v>
      </c>
      <c r="AB12" s="589"/>
      <c r="AC12" s="589"/>
      <c r="AD12" s="590"/>
      <c r="AE12" s="1928" t="s">
        <v>660</v>
      </c>
      <c r="AF12" s="588">
        <v>50</v>
      </c>
      <c r="AG12" s="589"/>
      <c r="AH12" s="589"/>
      <c r="AI12" s="590"/>
      <c r="AJ12" s="1928" t="s">
        <v>660</v>
      </c>
      <c r="AK12" s="588">
        <v>51</v>
      </c>
      <c r="AL12" s="589"/>
      <c r="AM12" s="589"/>
      <c r="AN12" s="590"/>
      <c r="AO12" s="1928" t="s">
        <v>660</v>
      </c>
      <c r="AP12" s="588">
        <v>52</v>
      </c>
      <c r="AQ12" s="589"/>
      <c r="AR12" s="589"/>
      <c r="AS12" s="590"/>
      <c r="AT12" s="1928" t="s">
        <v>660</v>
      </c>
      <c r="AU12" s="588">
        <v>53</v>
      </c>
      <c r="AV12" s="589"/>
      <c r="AW12" s="589"/>
      <c r="AX12" s="590"/>
      <c r="AY12" s="1928" t="s">
        <v>660</v>
      </c>
      <c r="AZ12" s="588">
        <v>54</v>
      </c>
      <c r="BA12" s="589"/>
      <c r="BB12" s="589"/>
      <c r="BC12" s="590"/>
      <c r="BD12" s="1926" t="s">
        <v>569</v>
      </c>
      <c r="BE12" s="588">
        <v>7</v>
      </c>
      <c r="BF12" s="589"/>
      <c r="BG12" s="589"/>
      <c r="BH12" s="590"/>
      <c r="BI12" s="1926" t="s">
        <v>569</v>
      </c>
      <c r="BJ12" s="588">
        <v>12</v>
      </c>
      <c r="BK12" s="589"/>
      <c r="BL12" s="589"/>
      <c r="BM12" s="590"/>
      <c r="BN12" s="1926" t="s">
        <v>569</v>
      </c>
      <c r="BO12" s="588">
        <v>13</v>
      </c>
      <c r="BP12" s="589"/>
      <c r="BQ12" s="589"/>
      <c r="BR12" s="590"/>
    </row>
    <row r="13" spans="1:83" ht="27" customHeight="1" thickBot="1" x14ac:dyDescent="0.3">
      <c r="A13" s="1331"/>
      <c r="B13" s="61">
        <v>0.17780000000000001</v>
      </c>
      <c r="C13" s="62" t="s">
        <v>113</v>
      </c>
      <c r="D13" s="63">
        <v>1</v>
      </c>
      <c r="E13" s="64" t="s">
        <v>114</v>
      </c>
      <c r="F13" s="1929"/>
      <c r="G13" s="61">
        <v>0.35560000000000003</v>
      </c>
      <c r="H13" s="62" t="s">
        <v>113</v>
      </c>
      <c r="I13" s="63">
        <v>1</v>
      </c>
      <c r="J13" s="64" t="s">
        <v>114</v>
      </c>
      <c r="K13" s="1929"/>
      <c r="L13" s="61">
        <v>2.5908000000000002</v>
      </c>
      <c r="M13" s="62" t="s">
        <v>113</v>
      </c>
      <c r="N13" s="63"/>
      <c r="O13" s="64" t="s">
        <v>114</v>
      </c>
      <c r="P13" s="1929"/>
      <c r="Q13" s="61">
        <v>2.794</v>
      </c>
      <c r="R13" s="62" t="s">
        <v>113</v>
      </c>
      <c r="S13" s="63">
        <v>1</v>
      </c>
      <c r="T13" s="64" t="s">
        <v>114</v>
      </c>
      <c r="U13" s="1929"/>
      <c r="V13" s="61">
        <v>4.1909999999999998</v>
      </c>
      <c r="W13" s="62" t="s">
        <v>113</v>
      </c>
      <c r="X13" s="63">
        <v>1</v>
      </c>
      <c r="Y13" s="64" t="s">
        <v>114</v>
      </c>
      <c r="Z13" s="1929"/>
      <c r="AA13" s="61">
        <v>1.0000000000000001E-9</v>
      </c>
      <c r="AB13" s="62" t="s">
        <v>113</v>
      </c>
      <c r="AC13" s="63">
        <v>1</v>
      </c>
      <c r="AD13" s="64" t="s">
        <v>114</v>
      </c>
      <c r="AE13" s="1929"/>
      <c r="AF13" s="61">
        <v>0.63500000000000001</v>
      </c>
      <c r="AG13" s="62" t="s">
        <v>113</v>
      </c>
      <c r="AH13" s="63">
        <v>1</v>
      </c>
      <c r="AI13" s="64" t="s">
        <v>114</v>
      </c>
      <c r="AJ13" s="1929"/>
      <c r="AK13" s="61">
        <v>1.0000000000000001E-9</v>
      </c>
      <c r="AL13" s="62" t="s">
        <v>113</v>
      </c>
      <c r="AM13" s="63">
        <v>1</v>
      </c>
      <c r="AN13" s="64" t="s">
        <v>114</v>
      </c>
      <c r="AO13" s="1929"/>
      <c r="AP13" s="61">
        <v>1E-10</v>
      </c>
      <c r="AQ13" s="62" t="s">
        <v>113</v>
      </c>
      <c r="AR13" s="63"/>
      <c r="AS13" s="64" t="s">
        <v>114</v>
      </c>
      <c r="AT13" s="1929"/>
      <c r="AU13" s="61">
        <v>1E-8</v>
      </c>
      <c r="AV13" s="62" t="s">
        <v>113</v>
      </c>
      <c r="AW13" s="63">
        <v>1</v>
      </c>
      <c r="AX13" s="64" t="s">
        <v>114</v>
      </c>
      <c r="AY13" s="1929"/>
      <c r="AZ13" s="61">
        <v>1E-8</v>
      </c>
      <c r="BA13" s="62" t="s">
        <v>113</v>
      </c>
      <c r="BB13" s="63">
        <v>1</v>
      </c>
      <c r="BC13" s="64" t="s">
        <v>114</v>
      </c>
      <c r="BD13" s="1927"/>
      <c r="BE13" s="61">
        <v>1.6255999999999999</v>
      </c>
      <c r="BF13" s="62" t="s">
        <v>113</v>
      </c>
      <c r="BG13" s="63"/>
      <c r="BH13" s="64" t="s">
        <v>114</v>
      </c>
      <c r="BI13" s="1927"/>
      <c r="BJ13" s="61">
        <v>1.397</v>
      </c>
      <c r="BK13" s="62" t="s">
        <v>113</v>
      </c>
      <c r="BL13" s="63"/>
      <c r="BM13" s="64" t="s">
        <v>114</v>
      </c>
      <c r="BN13" s="1927"/>
      <c r="BO13" s="61">
        <v>0.99060000000000004</v>
      </c>
      <c r="BP13" s="62" t="s">
        <v>113</v>
      </c>
      <c r="BQ13" s="63">
        <v>1</v>
      </c>
      <c r="BR13" s="64" t="s">
        <v>114</v>
      </c>
      <c r="BW13" s="27"/>
      <c r="BX13" s="27"/>
      <c r="BY13" s="27"/>
      <c r="BZ13" s="27"/>
      <c r="CA13" s="27"/>
      <c r="CB13" s="27"/>
      <c r="CC13" s="27"/>
      <c r="CD13" s="27"/>
      <c r="CE13" s="27"/>
    </row>
    <row r="14" spans="1:83" s="322" customFormat="1" ht="26.1" customHeight="1" thickTop="1" x14ac:dyDescent="0.35">
      <c r="A14" s="1930" t="s">
        <v>110</v>
      </c>
      <c r="B14" s="1931"/>
      <c r="C14" s="1934">
        <f t="shared" ref="C14" si="21">B19/((36*3.1415/59)*(114/3.281))</f>
        <v>4.9196845055766374E-2</v>
      </c>
      <c r="D14" s="1934"/>
      <c r="E14" s="1935"/>
      <c r="F14" s="1930" t="s">
        <v>110</v>
      </c>
      <c r="G14" s="1931"/>
      <c r="H14" s="1934">
        <f t="shared" ref="H14" si="22">G19/((36*3.1415/59)*(114/3.281))</f>
        <v>3.6611605622895907E-2</v>
      </c>
      <c r="I14" s="1934"/>
      <c r="J14" s="1935"/>
      <c r="K14" s="1930" t="s">
        <v>110</v>
      </c>
      <c r="L14" s="1931"/>
      <c r="M14" s="1934">
        <f t="shared" ref="M14" si="23">L19/((36*3.1415/59)*(114/3.281))</f>
        <v>1.944991548716345E-2</v>
      </c>
      <c r="N14" s="1934"/>
      <c r="O14" s="1935"/>
      <c r="P14" s="1930" t="s">
        <v>110</v>
      </c>
      <c r="Q14" s="1931"/>
      <c r="R14" s="1934">
        <f t="shared" ref="R14" si="24">Q19/((36*3.1415/59)*(114/3.281))</f>
        <v>1.1050747104023697E-2</v>
      </c>
      <c r="S14" s="1934"/>
      <c r="T14" s="1935"/>
      <c r="U14" s="1930" t="s">
        <v>110</v>
      </c>
      <c r="V14" s="1931"/>
      <c r="W14" s="1934">
        <f t="shared" ref="W14" si="25">V19/((36*3.1415/59)*(114/3.281))</f>
        <v>2.4026366190025437E-2</v>
      </c>
      <c r="X14" s="1934"/>
      <c r="Y14" s="1935"/>
      <c r="Z14" s="1930" t="s">
        <v>110</v>
      </c>
      <c r="AA14" s="1931"/>
      <c r="AB14" s="1934">
        <f t="shared" ref="AB14" si="26">AA19/((36*3.1415/59)*(114/3.281))</f>
        <v>8.0087887300084783E-3</v>
      </c>
      <c r="AC14" s="1934"/>
      <c r="AD14" s="1935"/>
      <c r="AE14" s="1930" t="s">
        <v>110</v>
      </c>
      <c r="AF14" s="1931"/>
      <c r="AG14" s="1934">
        <f t="shared" ref="AG14" si="27">AF19/((36*3.1415/59)*(114/3.281))</f>
        <v>1.501460204351046E-12</v>
      </c>
      <c r="AH14" s="1934"/>
      <c r="AI14" s="1935"/>
      <c r="AJ14" s="1930" t="s">
        <v>110</v>
      </c>
      <c r="AK14" s="1931"/>
      <c r="AL14" s="1934">
        <f t="shared" ref="AL14" si="28">AK19/((36*3.1415/59)*(114/3.281))</f>
        <v>4.9578215947671533E-3</v>
      </c>
      <c r="AM14" s="1934"/>
      <c r="AN14" s="1935"/>
      <c r="AO14" s="1930" t="s">
        <v>110</v>
      </c>
      <c r="AP14" s="1931"/>
      <c r="AQ14" s="1934">
        <f t="shared" ref="AQ14" si="29">AP19/((36*3.1415/59)*(114/3.281))</f>
        <v>1.5254835676206627E-2</v>
      </c>
      <c r="AR14" s="1934"/>
      <c r="AS14" s="1935"/>
      <c r="AT14" s="1930" t="s">
        <v>110</v>
      </c>
      <c r="AU14" s="1931"/>
      <c r="AV14" s="1934">
        <f t="shared" ref="AV14" si="30">AU19/((36*3.1415/59)*(114/3.281))</f>
        <v>6.1019342704826507E-2</v>
      </c>
      <c r="AW14" s="1934"/>
      <c r="AX14" s="1935"/>
      <c r="AY14" s="1943" t="s">
        <v>110</v>
      </c>
      <c r="AZ14" s="876"/>
      <c r="BA14" s="1313">
        <f>AZ19/((36*3.1415/59)*(115.33/3.281))</f>
        <v>6.4085388755069023E-3</v>
      </c>
      <c r="BB14" s="1313"/>
      <c r="BC14" s="1314"/>
      <c r="BD14" s="1943" t="s">
        <v>110</v>
      </c>
      <c r="BE14" s="876"/>
      <c r="BF14" s="1313">
        <f>BE19/((36*3.1415/59)*(115.33/3.281))</f>
        <v>3.7697287502981782E-3</v>
      </c>
      <c r="BG14" s="1313"/>
      <c r="BH14" s="1314"/>
      <c r="BI14" s="1943" t="s">
        <v>110</v>
      </c>
      <c r="BJ14" s="876"/>
      <c r="BK14" s="1313">
        <f>BJ19/((36*3.1415/59)*(115.33/3.281))</f>
        <v>4.1843989128309771E-2</v>
      </c>
      <c r="BL14" s="1313"/>
      <c r="BM14" s="1314"/>
      <c r="BN14" s="1943" t="s">
        <v>110</v>
      </c>
      <c r="BO14" s="876"/>
      <c r="BP14" s="1313">
        <f>BO19/((36*3.1415/59)*(115.33/3.281))</f>
        <v>1.8471670876461069E-2</v>
      </c>
      <c r="BQ14" s="1313"/>
      <c r="BR14" s="1314"/>
    </row>
    <row r="15" spans="1:83" s="322" customFormat="1" ht="6.75" customHeight="1" x14ac:dyDescent="0.35">
      <c r="A15" s="1932"/>
      <c r="B15" s="1933"/>
      <c r="C15" s="1936"/>
      <c r="D15" s="1936"/>
      <c r="E15" s="1937"/>
      <c r="F15" s="1932"/>
      <c r="G15" s="1933"/>
      <c r="H15" s="1936"/>
      <c r="I15" s="1936"/>
      <c r="J15" s="1937"/>
      <c r="K15" s="1932"/>
      <c r="L15" s="1933"/>
      <c r="M15" s="1936"/>
      <c r="N15" s="1936"/>
      <c r="O15" s="1937"/>
      <c r="P15" s="1932"/>
      <c r="Q15" s="1933"/>
      <c r="R15" s="1936"/>
      <c r="S15" s="1936"/>
      <c r="T15" s="1937"/>
      <c r="U15" s="1932"/>
      <c r="V15" s="1933"/>
      <c r="W15" s="1936"/>
      <c r="X15" s="1936"/>
      <c r="Y15" s="1937"/>
      <c r="Z15" s="1932"/>
      <c r="AA15" s="1933"/>
      <c r="AB15" s="1936"/>
      <c r="AC15" s="1936"/>
      <c r="AD15" s="1937"/>
      <c r="AE15" s="1932"/>
      <c r="AF15" s="1933"/>
      <c r="AG15" s="1936"/>
      <c r="AH15" s="1936"/>
      <c r="AI15" s="1937"/>
      <c r="AJ15" s="1932"/>
      <c r="AK15" s="1933"/>
      <c r="AL15" s="1936"/>
      <c r="AM15" s="1936"/>
      <c r="AN15" s="1937"/>
      <c r="AO15" s="1932"/>
      <c r="AP15" s="1933"/>
      <c r="AQ15" s="1936"/>
      <c r="AR15" s="1936"/>
      <c r="AS15" s="1937"/>
      <c r="AT15" s="1932"/>
      <c r="AU15" s="1933"/>
      <c r="AV15" s="1936"/>
      <c r="AW15" s="1936"/>
      <c r="AX15" s="1937"/>
      <c r="AY15" s="1944"/>
      <c r="AZ15" s="879"/>
      <c r="BA15" s="1315"/>
      <c r="BB15" s="1315"/>
      <c r="BC15" s="1316"/>
      <c r="BD15" s="1944"/>
      <c r="BE15" s="879"/>
      <c r="BF15" s="1315"/>
      <c r="BG15" s="1315"/>
      <c r="BH15" s="1316"/>
      <c r="BI15" s="1944"/>
      <c r="BJ15" s="879"/>
      <c r="BK15" s="1315"/>
      <c r="BL15" s="1315"/>
      <c r="BM15" s="1316"/>
      <c r="BN15" s="1944"/>
      <c r="BO15" s="879"/>
      <c r="BP15" s="1315"/>
      <c r="BQ15" s="1315"/>
      <c r="BR15" s="1316"/>
    </row>
    <row r="16" spans="1:83" s="322" customFormat="1" ht="21.95" customHeight="1" x14ac:dyDescent="0.35">
      <c r="A16" s="1932"/>
      <c r="B16" s="1933"/>
      <c r="C16" s="1936"/>
      <c r="D16" s="1936"/>
      <c r="E16" s="1937"/>
      <c r="F16" s="1932"/>
      <c r="G16" s="1933"/>
      <c r="H16" s="1936"/>
      <c r="I16" s="1936"/>
      <c r="J16" s="1937"/>
      <c r="K16" s="1932"/>
      <c r="L16" s="1933"/>
      <c r="M16" s="1936"/>
      <c r="N16" s="1936"/>
      <c r="O16" s="1937"/>
      <c r="P16" s="1932"/>
      <c r="Q16" s="1933"/>
      <c r="R16" s="1936"/>
      <c r="S16" s="1936"/>
      <c r="T16" s="1937"/>
      <c r="U16" s="1932"/>
      <c r="V16" s="1933"/>
      <c r="W16" s="1936"/>
      <c r="X16" s="1936"/>
      <c r="Y16" s="1937"/>
      <c r="Z16" s="1932"/>
      <c r="AA16" s="1933"/>
      <c r="AB16" s="1936"/>
      <c r="AC16" s="1936"/>
      <c r="AD16" s="1937"/>
      <c r="AE16" s="1932"/>
      <c r="AF16" s="1933"/>
      <c r="AG16" s="1936"/>
      <c r="AH16" s="1936"/>
      <c r="AI16" s="1937"/>
      <c r="AJ16" s="1932"/>
      <c r="AK16" s="1933"/>
      <c r="AL16" s="1936"/>
      <c r="AM16" s="1936"/>
      <c r="AN16" s="1937"/>
      <c r="AO16" s="1932"/>
      <c r="AP16" s="1933"/>
      <c r="AQ16" s="1936"/>
      <c r="AR16" s="1936"/>
      <c r="AS16" s="1937"/>
      <c r="AT16" s="1932"/>
      <c r="AU16" s="1933"/>
      <c r="AV16" s="1936"/>
      <c r="AW16" s="1936"/>
      <c r="AX16" s="1937"/>
      <c r="AY16" s="1944"/>
      <c r="AZ16" s="879"/>
      <c r="BA16" s="1315"/>
      <c r="BB16" s="1315"/>
      <c r="BC16" s="1316"/>
      <c r="BD16" s="1944"/>
      <c r="BE16" s="879"/>
      <c r="BF16" s="1315"/>
      <c r="BG16" s="1315"/>
      <c r="BH16" s="1316"/>
      <c r="BI16" s="1944"/>
      <c r="BJ16" s="879"/>
      <c r="BK16" s="1315"/>
      <c r="BL16" s="1315"/>
      <c r="BM16" s="1316"/>
      <c r="BN16" s="1944"/>
      <c r="BO16" s="879"/>
      <c r="BP16" s="1315"/>
      <c r="BQ16" s="1315"/>
      <c r="BR16" s="1316"/>
    </row>
    <row r="17" spans="1:83" s="410" customFormat="1" ht="41.25" customHeight="1" x14ac:dyDescent="0.35">
      <c r="A17" s="1938" t="s">
        <v>662</v>
      </c>
      <c r="B17" s="1939"/>
      <c r="C17" s="1940" t="s">
        <v>663</v>
      </c>
      <c r="D17" s="1941"/>
      <c r="E17" s="1942"/>
      <c r="F17" s="1938" t="s">
        <v>662</v>
      </c>
      <c r="G17" s="1939"/>
      <c r="H17" s="1940" t="s">
        <v>663</v>
      </c>
      <c r="I17" s="1941"/>
      <c r="J17" s="1942"/>
      <c r="K17" s="1938" t="s">
        <v>662</v>
      </c>
      <c r="L17" s="1939"/>
      <c r="M17" s="1940" t="s">
        <v>663</v>
      </c>
      <c r="N17" s="1941"/>
      <c r="O17" s="1942"/>
      <c r="P17" s="1938" t="s">
        <v>662</v>
      </c>
      <c r="Q17" s="1939"/>
      <c r="R17" s="1940" t="s">
        <v>663</v>
      </c>
      <c r="S17" s="1941"/>
      <c r="T17" s="1942"/>
      <c r="U17" s="1938" t="s">
        <v>662</v>
      </c>
      <c r="V17" s="1939"/>
      <c r="W17" s="1940" t="s">
        <v>663</v>
      </c>
      <c r="X17" s="1941"/>
      <c r="Y17" s="1942"/>
      <c r="Z17" s="1938" t="s">
        <v>662</v>
      </c>
      <c r="AA17" s="1939"/>
      <c r="AB17" s="1940" t="s">
        <v>663</v>
      </c>
      <c r="AC17" s="1941"/>
      <c r="AD17" s="1942"/>
      <c r="AE17" s="1938" t="s">
        <v>662</v>
      </c>
      <c r="AF17" s="1939"/>
      <c r="AG17" s="1940" t="s">
        <v>663</v>
      </c>
      <c r="AH17" s="1941"/>
      <c r="AI17" s="1942"/>
      <c r="AJ17" s="1938" t="s">
        <v>662</v>
      </c>
      <c r="AK17" s="1939"/>
      <c r="AL17" s="1940" t="s">
        <v>663</v>
      </c>
      <c r="AM17" s="1941"/>
      <c r="AN17" s="1942"/>
      <c r="AO17" s="1938" t="s">
        <v>662</v>
      </c>
      <c r="AP17" s="1939"/>
      <c r="AQ17" s="1940" t="s">
        <v>663</v>
      </c>
      <c r="AR17" s="1941"/>
      <c r="AS17" s="1942"/>
      <c r="AT17" s="1938" t="s">
        <v>662</v>
      </c>
      <c r="AU17" s="1939"/>
      <c r="AV17" s="1940" t="s">
        <v>663</v>
      </c>
      <c r="AW17" s="1941"/>
      <c r="AX17" s="1942"/>
      <c r="AY17" s="1938" t="s">
        <v>662</v>
      </c>
      <c r="AZ17" s="1939"/>
      <c r="BA17" s="1939"/>
      <c r="BB17" s="1939"/>
      <c r="BC17" s="1945"/>
      <c r="BD17" s="1938" t="s">
        <v>662</v>
      </c>
      <c r="BE17" s="1939"/>
      <c r="BF17" s="1939"/>
      <c r="BG17" s="1939"/>
      <c r="BH17" s="1945"/>
      <c r="BI17" s="1938" t="s">
        <v>662</v>
      </c>
      <c r="BJ17" s="1939"/>
      <c r="BK17" s="1940" t="s">
        <v>663</v>
      </c>
      <c r="BL17" s="1941"/>
      <c r="BM17" s="1942"/>
      <c r="BN17" s="1938" t="s">
        <v>662</v>
      </c>
      <c r="BO17" s="1939"/>
      <c r="BP17" s="1940" t="s">
        <v>663</v>
      </c>
      <c r="BQ17" s="1941"/>
      <c r="BR17" s="1942"/>
    </row>
    <row r="18" spans="1:83" s="22" customFormat="1" ht="80.099999999999994" customHeight="1" x14ac:dyDescent="1.35">
      <c r="A18" s="1926" t="s">
        <v>569</v>
      </c>
      <c r="B18" s="588">
        <v>14</v>
      </c>
      <c r="C18" s="589"/>
      <c r="D18" s="589"/>
      <c r="E18" s="590"/>
      <c r="F18" s="1926" t="s">
        <v>569</v>
      </c>
      <c r="G18" s="588">
        <v>15</v>
      </c>
      <c r="H18" s="589"/>
      <c r="I18" s="589"/>
      <c r="J18" s="590"/>
      <c r="K18" s="1926" t="s">
        <v>569</v>
      </c>
      <c r="L18" s="588">
        <v>16</v>
      </c>
      <c r="M18" s="589"/>
      <c r="N18" s="589"/>
      <c r="O18" s="590"/>
      <c r="P18" s="1926" t="s">
        <v>569</v>
      </c>
      <c r="Q18" s="588">
        <v>17</v>
      </c>
      <c r="R18" s="589"/>
      <c r="S18" s="589"/>
      <c r="T18" s="590"/>
      <c r="U18" s="1926" t="s">
        <v>569</v>
      </c>
      <c r="V18" s="588">
        <v>18</v>
      </c>
      <c r="W18" s="589"/>
      <c r="X18" s="589"/>
      <c r="Y18" s="590"/>
      <c r="Z18" s="1926" t="s">
        <v>569</v>
      </c>
      <c r="AA18" s="588">
        <v>19</v>
      </c>
      <c r="AB18" s="589"/>
      <c r="AC18" s="589"/>
      <c r="AD18" s="590"/>
      <c r="AE18" s="1926" t="s">
        <v>569</v>
      </c>
      <c r="AF18" s="588">
        <v>21</v>
      </c>
      <c r="AG18" s="589"/>
      <c r="AH18" s="589"/>
      <c r="AI18" s="590"/>
      <c r="AJ18" s="1926" t="s">
        <v>569</v>
      </c>
      <c r="AK18" s="588">
        <v>22</v>
      </c>
      <c r="AL18" s="589"/>
      <c r="AM18" s="589"/>
      <c r="AN18" s="590"/>
      <c r="AO18" s="1926" t="s">
        <v>569</v>
      </c>
      <c r="AP18" s="588">
        <v>23</v>
      </c>
      <c r="AQ18" s="589"/>
      <c r="AR18" s="589"/>
      <c r="AS18" s="590"/>
      <c r="AT18" s="1926" t="s">
        <v>569</v>
      </c>
      <c r="AU18" s="588">
        <v>24</v>
      </c>
      <c r="AV18" s="589"/>
      <c r="AW18" s="589"/>
      <c r="AX18" s="590"/>
      <c r="AY18" s="1325" t="s">
        <v>698</v>
      </c>
      <c r="AZ18" s="588">
        <v>32</v>
      </c>
      <c r="BA18" s="589"/>
      <c r="BB18" s="589"/>
      <c r="BC18" s="590"/>
      <c r="BD18" s="1325" t="s">
        <v>698</v>
      </c>
      <c r="BE18" s="588">
        <v>33</v>
      </c>
      <c r="BF18" s="589"/>
      <c r="BG18" s="589"/>
      <c r="BH18" s="590"/>
      <c r="BI18" s="1325" t="s">
        <v>698</v>
      </c>
      <c r="BJ18" s="588">
        <v>34</v>
      </c>
      <c r="BK18" s="589"/>
      <c r="BL18" s="589"/>
      <c r="BM18" s="590"/>
      <c r="BN18" s="1325" t="s">
        <v>698</v>
      </c>
      <c r="BO18" s="588">
        <v>35</v>
      </c>
      <c r="BP18" s="589"/>
      <c r="BQ18" s="589"/>
      <c r="BR18" s="590"/>
    </row>
    <row r="19" spans="1:83" ht="27" customHeight="1" thickBot="1" x14ac:dyDescent="0.3">
      <c r="A19" s="1927"/>
      <c r="B19" s="61">
        <v>3.2766000000000002</v>
      </c>
      <c r="C19" s="62" t="s">
        <v>113</v>
      </c>
      <c r="D19" s="63">
        <v>1</v>
      </c>
      <c r="E19" s="64" t="s">
        <v>114</v>
      </c>
      <c r="F19" s="1927"/>
      <c r="G19" s="61">
        <v>2.4384000000000001</v>
      </c>
      <c r="H19" s="62" t="s">
        <v>113</v>
      </c>
      <c r="I19" s="63">
        <v>1</v>
      </c>
      <c r="J19" s="64" t="s">
        <v>114</v>
      </c>
      <c r="K19" s="1927"/>
      <c r="L19" s="61">
        <v>1.2954000000000001</v>
      </c>
      <c r="M19" s="62" t="s">
        <v>113</v>
      </c>
      <c r="N19" s="63">
        <v>1</v>
      </c>
      <c r="O19" s="64" t="s">
        <v>114</v>
      </c>
      <c r="P19" s="1927"/>
      <c r="Q19" s="61">
        <v>0.73599999999999999</v>
      </c>
      <c r="R19" s="62" t="s">
        <v>113</v>
      </c>
      <c r="S19" s="63"/>
      <c r="T19" s="64" t="s">
        <v>114</v>
      </c>
      <c r="U19" s="1927"/>
      <c r="V19" s="61">
        <v>1.6002000000000001</v>
      </c>
      <c r="W19" s="62" t="s">
        <v>113</v>
      </c>
      <c r="X19" s="63">
        <v>1</v>
      </c>
      <c r="Y19" s="64" t="s">
        <v>114</v>
      </c>
      <c r="Z19" s="1927"/>
      <c r="AA19" s="61">
        <v>0.53339999999999999</v>
      </c>
      <c r="AB19" s="62" t="s">
        <v>113</v>
      </c>
      <c r="AC19" s="63">
        <v>1</v>
      </c>
      <c r="AD19" s="64" t="s">
        <v>114</v>
      </c>
      <c r="AE19" s="1927"/>
      <c r="AF19" s="61">
        <v>1E-10</v>
      </c>
      <c r="AG19" s="62" t="s">
        <v>113</v>
      </c>
      <c r="AH19" s="63"/>
      <c r="AI19" s="64" t="s">
        <v>114</v>
      </c>
      <c r="AJ19" s="1927"/>
      <c r="AK19" s="61">
        <v>0.33019999999999999</v>
      </c>
      <c r="AL19" s="62" t="s">
        <v>113</v>
      </c>
      <c r="AM19" s="63">
        <v>1</v>
      </c>
      <c r="AN19" s="64" t="s">
        <v>114</v>
      </c>
      <c r="AO19" s="1927"/>
      <c r="AP19" s="61">
        <v>1.016</v>
      </c>
      <c r="AQ19" s="62" t="s">
        <v>113</v>
      </c>
      <c r="AR19" s="63">
        <v>1</v>
      </c>
      <c r="AS19" s="64" t="s">
        <v>114</v>
      </c>
      <c r="AT19" s="1927"/>
      <c r="AU19" s="61">
        <v>4.0640000000000001</v>
      </c>
      <c r="AV19" s="62" t="s">
        <v>113</v>
      </c>
      <c r="AW19" s="63">
        <v>1</v>
      </c>
      <c r="AX19" s="64" t="s">
        <v>114</v>
      </c>
      <c r="AY19" s="1326"/>
      <c r="AZ19" s="61">
        <v>0.43180000000000002</v>
      </c>
      <c r="BA19" s="62" t="s">
        <v>113</v>
      </c>
      <c r="BB19" s="63"/>
      <c r="BC19" s="64" t="s">
        <v>114</v>
      </c>
      <c r="BD19" s="1326"/>
      <c r="BE19" s="61">
        <v>0.254</v>
      </c>
      <c r="BF19" s="62" t="s">
        <v>113</v>
      </c>
      <c r="BG19" s="63">
        <v>1</v>
      </c>
      <c r="BH19" s="64" t="s">
        <v>114</v>
      </c>
      <c r="BI19" s="1326"/>
      <c r="BJ19" s="61">
        <v>2.8193999999999999</v>
      </c>
      <c r="BK19" s="62" t="s">
        <v>113</v>
      </c>
      <c r="BL19" s="63">
        <v>1</v>
      </c>
      <c r="BM19" s="64" t="s">
        <v>114</v>
      </c>
      <c r="BN19" s="1326"/>
      <c r="BO19" s="61">
        <v>1.2445999999999999</v>
      </c>
      <c r="BP19" s="62" t="s">
        <v>113</v>
      </c>
      <c r="BQ19" s="63">
        <v>1</v>
      </c>
      <c r="BR19" s="64" t="s">
        <v>114</v>
      </c>
      <c r="BW19" s="27"/>
      <c r="BX19" s="27"/>
      <c r="BY19" s="27"/>
      <c r="BZ19" s="27"/>
      <c r="CA19" s="27"/>
      <c r="CB19" s="27"/>
      <c r="CC19" s="27"/>
      <c r="CD19" s="27"/>
      <c r="CE19" s="27"/>
    </row>
    <row r="20" spans="1:83" ht="26.1" customHeight="1" thickTop="1" x14ac:dyDescent="0.25">
      <c r="A20" s="1943" t="s">
        <v>110</v>
      </c>
      <c r="B20" s="876"/>
      <c r="C20" s="1313">
        <f>B25/((36*3.1415/59)*(115.33/3.281))</f>
        <v>6.7855117505367206E-3</v>
      </c>
      <c r="D20" s="1313"/>
      <c r="E20" s="1314"/>
      <c r="F20" s="1943" t="s">
        <v>110</v>
      </c>
      <c r="G20" s="876"/>
      <c r="H20" s="1313">
        <f>G25/((36*3.1415/59)*(115.33/3.281))</f>
        <v>9.8012947507752617E-3</v>
      </c>
      <c r="I20" s="1313"/>
      <c r="J20" s="1314"/>
      <c r="K20" s="1943" t="s">
        <v>110</v>
      </c>
      <c r="L20" s="876"/>
      <c r="M20" s="1313">
        <f>L25/((36*3.1415/59)*(115.33/3.281))</f>
        <v>1.4841451772827474E-11</v>
      </c>
      <c r="N20" s="1313"/>
      <c r="O20" s="1314"/>
      <c r="P20" s="1943" t="s">
        <v>110</v>
      </c>
      <c r="Q20" s="876"/>
      <c r="R20" s="1313">
        <f>Q25/((36*3.1415/59)*(115.33/3.281))</f>
        <v>1.2817077751013805E-2</v>
      </c>
      <c r="S20" s="1313"/>
      <c r="T20" s="1314"/>
      <c r="U20" s="1943" t="s">
        <v>110</v>
      </c>
      <c r="V20" s="876"/>
      <c r="W20" s="1313">
        <f>V25/((36*3.1415/59)*(115.33/3.281))</f>
        <v>2.374929112687852E-2</v>
      </c>
      <c r="X20" s="1313"/>
      <c r="Y20" s="1314"/>
      <c r="Z20" s="1943" t="s">
        <v>110</v>
      </c>
      <c r="AA20" s="876"/>
      <c r="AB20" s="1313">
        <f>AA25/((36*3.1415/59)*(115.33/3.281))</f>
        <v>4.9006473753876309E-3</v>
      </c>
      <c r="AC20" s="1313"/>
      <c r="AD20" s="1314"/>
      <c r="AE20" s="1943" t="s">
        <v>110</v>
      </c>
      <c r="AF20" s="876"/>
      <c r="AG20" s="1313">
        <f>AF25/((36*3.1415/59)*(115.33/3.281))</f>
        <v>3.7697287502981782E-3</v>
      </c>
      <c r="AH20" s="1313"/>
      <c r="AI20" s="1314"/>
      <c r="AJ20" s="1943" t="s">
        <v>110</v>
      </c>
      <c r="AK20" s="876"/>
      <c r="AL20" s="1313">
        <f>AK25/((36*3.1415/59)*(115.33/3.281))</f>
        <v>1.4841451772827473E-10</v>
      </c>
      <c r="AM20" s="1313"/>
      <c r="AN20" s="1314"/>
      <c r="AO20" s="1943" t="s">
        <v>110</v>
      </c>
      <c r="AP20" s="876"/>
      <c r="AQ20" s="1313">
        <f>AP25/((36*3.1415/59)*(115.33/3.281))</f>
        <v>1.0932213375864716E-2</v>
      </c>
      <c r="AR20" s="1313"/>
      <c r="AS20" s="1314"/>
      <c r="AT20" s="1975" t="s">
        <v>110</v>
      </c>
      <c r="AU20" s="1976"/>
      <c r="AV20" s="1979">
        <f>AU25/((36*3.1415/59)*(128.5/3.281))</f>
        <v>2.7066945791245998E-3</v>
      </c>
      <c r="AW20" s="1979"/>
      <c r="AX20" s="1980"/>
      <c r="AY20" s="1975" t="s">
        <v>110</v>
      </c>
      <c r="AZ20" s="1976"/>
      <c r="BA20" s="1979">
        <f t="shared" ref="BA20" si="31">AZ25/((36*3.1415/59)*(128.5/3.281))</f>
        <v>5.209587843974562E-2</v>
      </c>
      <c r="BB20" s="1979"/>
      <c r="BC20" s="1980"/>
      <c r="BD20" s="1975" t="s">
        <v>110</v>
      </c>
      <c r="BE20" s="1976"/>
      <c r="BF20" s="1979">
        <f t="shared" ref="BF20" si="32">BE25/((36*3.1415/59)*(128.5/3.281))</f>
        <v>7.7817469149832254E-3</v>
      </c>
      <c r="BG20" s="1979"/>
      <c r="BH20" s="1980"/>
      <c r="BI20" s="1983"/>
      <c r="BJ20" s="1983"/>
      <c r="BK20" s="1983"/>
      <c r="BL20" s="1983"/>
      <c r="BM20" s="1983"/>
      <c r="BN20" s="1983"/>
      <c r="BO20" s="1983"/>
      <c r="BP20" s="1983"/>
      <c r="BQ20" s="1983"/>
      <c r="BR20" s="1983"/>
    </row>
    <row r="21" spans="1:83" ht="6.75" customHeight="1" x14ac:dyDescent="0.25">
      <c r="A21" s="1944"/>
      <c r="B21" s="879"/>
      <c r="C21" s="1315"/>
      <c r="D21" s="1315"/>
      <c r="E21" s="1316"/>
      <c r="F21" s="1944"/>
      <c r="G21" s="879"/>
      <c r="H21" s="1315"/>
      <c r="I21" s="1315"/>
      <c r="J21" s="1316"/>
      <c r="K21" s="1944"/>
      <c r="L21" s="879"/>
      <c r="M21" s="1315"/>
      <c r="N21" s="1315"/>
      <c r="O21" s="1316"/>
      <c r="P21" s="1944"/>
      <c r="Q21" s="879"/>
      <c r="R21" s="1315"/>
      <c r="S21" s="1315"/>
      <c r="T21" s="1316"/>
      <c r="U21" s="1944"/>
      <c r="V21" s="879"/>
      <c r="W21" s="1315"/>
      <c r="X21" s="1315"/>
      <c r="Y21" s="1316"/>
      <c r="Z21" s="1944"/>
      <c r="AA21" s="879"/>
      <c r="AB21" s="1315"/>
      <c r="AC21" s="1315"/>
      <c r="AD21" s="1316"/>
      <c r="AE21" s="1944"/>
      <c r="AF21" s="879"/>
      <c r="AG21" s="1315"/>
      <c r="AH21" s="1315"/>
      <c r="AI21" s="1316"/>
      <c r="AJ21" s="1944"/>
      <c r="AK21" s="879"/>
      <c r="AL21" s="1315"/>
      <c r="AM21" s="1315"/>
      <c r="AN21" s="1316"/>
      <c r="AO21" s="1944"/>
      <c r="AP21" s="879"/>
      <c r="AQ21" s="1315"/>
      <c r="AR21" s="1315"/>
      <c r="AS21" s="1316"/>
      <c r="AT21" s="1977"/>
      <c r="AU21" s="1978"/>
      <c r="AV21" s="1981"/>
      <c r="AW21" s="1981"/>
      <c r="AX21" s="1982"/>
      <c r="AY21" s="1977"/>
      <c r="AZ21" s="1978"/>
      <c r="BA21" s="1981"/>
      <c r="BB21" s="1981"/>
      <c r="BC21" s="1982"/>
      <c r="BD21" s="1977"/>
      <c r="BE21" s="1978"/>
      <c r="BF21" s="1981"/>
      <c r="BG21" s="1981"/>
      <c r="BH21" s="1982"/>
      <c r="BI21" s="1984"/>
      <c r="BJ21" s="1984"/>
      <c r="BK21" s="1984"/>
      <c r="BL21" s="1984"/>
      <c r="BM21" s="1984"/>
      <c r="BN21" s="1984"/>
      <c r="BO21" s="1984"/>
      <c r="BP21" s="1984"/>
      <c r="BQ21" s="1984"/>
      <c r="BR21" s="1984"/>
    </row>
    <row r="22" spans="1:83" ht="21.95" customHeight="1" x14ac:dyDescent="0.25">
      <c r="A22" s="1944"/>
      <c r="B22" s="879"/>
      <c r="C22" s="1315"/>
      <c r="D22" s="1315"/>
      <c r="E22" s="1316"/>
      <c r="F22" s="1944"/>
      <c r="G22" s="879"/>
      <c r="H22" s="1315"/>
      <c r="I22" s="1315"/>
      <c r="J22" s="1316"/>
      <c r="K22" s="1944"/>
      <c r="L22" s="879"/>
      <c r="M22" s="1315"/>
      <c r="N22" s="1315"/>
      <c r="O22" s="1316"/>
      <c r="P22" s="1944"/>
      <c r="Q22" s="879"/>
      <c r="R22" s="1315"/>
      <c r="S22" s="1315"/>
      <c r="T22" s="1316"/>
      <c r="U22" s="1944"/>
      <c r="V22" s="879"/>
      <c r="W22" s="1315"/>
      <c r="X22" s="1315"/>
      <c r="Y22" s="1316"/>
      <c r="Z22" s="1944"/>
      <c r="AA22" s="879"/>
      <c r="AB22" s="1315"/>
      <c r="AC22" s="1315"/>
      <c r="AD22" s="1316"/>
      <c r="AE22" s="1944"/>
      <c r="AF22" s="879"/>
      <c r="AG22" s="1315"/>
      <c r="AH22" s="1315"/>
      <c r="AI22" s="1316"/>
      <c r="AJ22" s="1944"/>
      <c r="AK22" s="879"/>
      <c r="AL22" s="1315"/>
      <c r="AM22" s="1315"/>
      <c r="AN22" s="1316"/>
      <c r="AO22" s="1944"/>
      <c r="AP22" s="879"/>
      <c r="AQ22" s="1315"/>
      <c r="AR22" s="1315"/>
      <c r="AS22" s="1316"/>
      <c r="AT22" s="1977"/>
      <c r="AU22" s="1978"/>
      <c r="AV22" s="1981"/>
      <c r="AW22" s="1981"/>
      <c r="AX22" s="1982"/>
      <c r="AY22" s="1977"/>
      <c r="AZ22" s="1978"/>
      <c r="BA22" s="1981"/>
      <c r="BB22" s="1981"/>
      <c r="BC22" s="1982"/>
      <c r="BD22" s="1977"/>
      <c r="BE22" s="1978"/>
      <c r="BF22" s="1981"/>
      <c r="BG22" s="1981"/>
      <c r="BH22" s="1982"/>
      <c r="BI22" s="1984"/>
      <c r="BJ22" s="1984"/>
      <c r="BK22" s="1984"/>
      <c r="BL22" s="1984"/>
      <c r="BM22" s="1984"/>
      <c r="BN22" s="1984"/>
      <c r="BO22" s="1984"/>
      <c r="BP22" s="1984"/>
      <c r="BQ22" s="1984"/>
      <c r="BR22" s="1984"/>
    </row>
    <row r="23" spans="1:83" s="410" customFormat="1" ht="41.25" customHeight="1" x14ac:dyDescent="0.35">
      <c r="A23" s="1938" t="s">
        <v>662</v>
      </c>
      <c r="B23" s="1939"/>
      <c r="C23" s="1940" t="s">
        <v>663</v>
      </c>
      <c r="D23" s="1941"/>
      <c r="E23" s="1942"/>
      <c r="F23" s="1938" t="s">
        <v>662</v>
      </c>
      <c r="G23" s="1939"/>
      <c r="H23" s="1939"/>
      <c r="I23" s="1939"/>
      <c r="J23" s="1945"/>
      <c r="K23" s="1938" t="s">
        <v>662</v>
      </c>
      <c r="L23" s="1939"/>
      <c r="M23" s="1940" t="s">
        <v>663</v>
      </c>
      <c r="N23" s="1941"/>
      <c r="O23" s="1942"/>
      <c r="P23" s="1938" t="s">
        <v>662</v>
      </c>
      <c r="Q23" s="1939"/>
      <c r="R23" s="1939"/>
      <c r="S23" s="1939"/>
      <c r="T23" s="1945"/>
      <c r="U23" s="1938" t="s">
        <v>662</v>
      </c>
      <c r="V23" s="1939"/>
      <c r="W23" s="1940" t="s">
        <v>663</v>
      </c>
      <c r="X23" s="1941"/>
      <c r="Y23" s="1942"/>
      <c r="Z23" s="1938" t="s">
        <v>662</v>
      </c>
      <c r="AA23" s="1939"/>
      <c r="AB23" s="1939"/>
      <c r="AC23" s="1939"/>
      <c r="AD23" s="1945"/>
      <c r="AE23" s="1938" t="s">
        <v>662</v>
      </c>
      <c r="AF23" s="1939"/>
      <c r="AG23" s="1940" t="s">
        <v>663</v>
      </c>
      <c r="AH23" s="1941"/>
      <c r="AI23" s="1942"/>
      <c r="AJ23" s="1938" t="s">
        <v>662</v>
      </c>
      <c r="AK23" s="1939"/>
      <c r="AL23" s="1939"/>
      <c r="AM23" s="1939"/>
      <c r="AN23" s="1945"/>
      <c r="AO23" s="1938" t="s">
        <v>662</v>
      </c>
      <c r="AP23" s="1939"/>
      <c r="AQ23" s="1939"/>
      <c r="AR23" s="1939"/>
      <c r="AS23" s="1945"/>
      <c r="AT23" s="1938" t="s">
        <v>662</v>
      </c>
      <c r="AU23" s="1939"/>
      <c r="AV23" s="1939"/>
      <c r="AW23" s="1939"/>
      <c r="AX23" s="1945"/>
      <c r="AY23" s="1938" t="s">
        <v>662</v>
      </c>
      <c r="AZ23" s="1939"/>
      <c r="BA23" s="1940" t="s">
        <v>663</v>
      </c>
      <c r="BB23" s="1941"/>
      <c r="BC23" s="1942"/>
      <c r="BD23" s="1938" t="s">
        <v>662</v>
      </c>
      <c r="BE23" s="1939"/>
      <c r="BF23" s="1939"/>
      <c r="BG23" s="1939"/>
      <c r="BH23" s="1945"/>
      <c r="BI23" s="1984"/>
      <c r="BJ23" s="1984"/>
      <c r="BK23" s="1984"/>
      <c r="BL23" s="1984"/>
      <c r="BM23" s="1984"/>
      <c r="BN23" s="1984"/>
      <c r="BO23" s="1984"/>
      <c r="BP23" s="1984"/>
      <c r="BQ23" s="1984"/>
      <c r="BR23" s="1984"/>
    </row>
    <row r="24" spans="1:83" s="22" customFormat="1" ht="80.099999999999994" customHeight="1" x14ac:dyDescent="1.35">
      <c r="A24" s="1325" t="s">
        <v>698</v>
      </c>
      <c r="B24" s="588">
        <v>36</v>
      </c>
      <c r="C24" s="589"/>
      <c r="D24" s="589"/>
      <c r="E24" s="590"/>
      <c r="F24" s="1325" t="s">
        <v>698</v>
      </c>
      <c r="G24" s="588">
        <v>37</v>
      </c>
      <c r="H24" s="589"/>
      <c r="I24" s="589"/>
      <c r="J24" s="590"/>
      <c r="K24" s="1325" t="s">
        <v>698</v>
      </c>
      <c r="L24" s="588">
        <v>38</v>
      </c>
      <c r="M24" s="589"/>
      <c r="N24" s="589"/>
      <c r="O24" s="590"/>
      <c r="P24" s="1325" t="s">
        <v>698</v>
      </c>
      <c r="Q24" s="588">
        <v>39</v>
      </c>
      <c r="R24" s="589"/>
      <c r="S24" s="589"/>
      <c r="T24" s="590"/>
      <c r="U24" s="1325" t="s">
        <v>698</v>
      </c>
      <c r="V24" s="588">
        <v>40</v>
      </c>
      <c r="W24" s="589"/>
      <c r="X24" s="589"/>
      <c r="Y24" s="590"/>
      <c r="Z24" s="1325" t="s">
        <v>698</v>
      </c>
      <c r="AA24" s="588">
        <v>41</v>
      </c>
      <c r="AB24" s="589"/>
      <c r="AC24" s="589"/>
      <c r="AD24" s="590"/>
      <c r="AE24" s="1325" t="s">
        <v>698</v>
      </c>
      <c r="AF24" s="588">
        <v>42</v>
      </c>
      <c r="AG24" s="589"/>
      <c r="AH24" s="589"/>
      <c r="AI24" s="590"/>
      <c r="AJ24" s="1325" t="s">
        <v>698</v>
      </c>
      <c r="AK24" s="588">
        <v>43</v>
      </c>
      <c r="AL24" s="589"/>
      <c r="AM24" s="589"/>
      <c r="AN24" s="590"/>
      <c r="AO24" s="1325" t="s">
        <v>698</v>
      </c>
      <c r="AP24" s="588">
        <v>44</v>
      </c>
      <c r="AQ24" s="589"/>
      <c r="AR24" s="589"/>
      <c r="AS24" s="590"/>
      <c r="AT24" s="1985" t="s">
        <v>661</v>
      </c>
      <c r="AU24" s="588">
        <v>29</v>
      </c>
      <c r="AV24" s="589"/>
      <c r="AW24" s="589"/>
      <c r="AX24" s="590"/>
      <c r="AY24" s="1985" t="s">
        <v>661</v>
      </c>
      <c r="AZ24" s="588">
        <v>30</v>
      </c>
      <c r="BA24" s="589"/>
      <c r="BB24" s="589"/>
      <c r="BC24" s="590"/>
      <c r="BD24" s="1985" t="s">
        <v>661</v>
      </c>
      <c r="BE24" s="588">
        <v>31</v>
      </c>
      <c r="BF24" s="589"/>
      <c r="BG24" s="589"/>
      <c r="BH24" s="590"/>
      <c r="BI24" s="716"/>
      <c r="BJ24" s="1923"/>
      <c r="BK24" s="1923"/>
      <c r="BL24" s="1923"/>
      <c r="BM24" s="1923"/>
      <c r="BN24" s="716"/>
      <c r="BO24" s="1923"/>
      <c r="BP24" s="1923"/>
      <c r="BQ24" s="1923"/>
      <c r="BR24" s="1923"/>
    </row>
    <row r="25" spans="1:83" ht="27" customHeight="1" thickBot="1" x14ac:dyDescent="0.3">
      <c r="A25" s="1326"/>
      <c r="B25" s="61">
        <v>0.4572</v>
      </c>
      <c r="C25" s="62" t="s">
        <v>113</v>
      </c>
      <c r="D25" s="63">
        <v>1</v>
      </c>
      <c r="E25" s="64" t="s">
        <v>114</v>
      </c>
      <c r="F25" s="1326"/>
      <c r="G25" s="61">
        <v>0.66039999999999999</v>
      </c>
      <c r="H25" s="62" t="s">
        <v>113</v>
      </c>
      <c r="I25" s="63"/>
      <c r="J25" s="64" t="s">
        <v>114</v>
      </c>
      <c r="K25" s="1326"/>
      <c r="L25" s="61">
        <v>1.0000000000000001E-9</v>
      </c>
      <c r="M25" s="62" t="s">
        <v>113</v>
      </c>
      <c r="N25" s="63">
        <v>1</v>
      </c>
      <c r="O25" s="64" t="s">
        <v>114</v>
      </c>
      <c r="P25" s="1326"/>
      <c r="Q25" s="61">
        <v>0.86360000000000003</v>
      </c>
      <c r="R25" s="62" t="s">
        <v>113</v>
      </c>
      <c r="S25" s="63">
        <v>1</v>
      </c>
      <c r="T25" s="64" t="s">
        <v>114</v>
      </c>
      <c r="U25" s="1326"/>
      <c r="V25" s="61">
        <v>1.6002000000000001</v>
      </c>
      <c r="W25" s="62" t="s">
        <v>113</v>
      </c>
      <c r="X25" s="63">
        <v>1</v>
      </c>
      <c r="Y25" s="64" t="s">
        <v>114</v>
      </c>
      <c r="Z25" s="1326"/>
      <c r="AA25" s="61">
        <v>0.33019999999999999</v>
      </c>
      <c r="AB25" s="62" t="s">
        <v>113</v>
      </c>
      <c r="AC25" s="63"/>
      <c r="AD25" s="64" t="s">
        <v>114</v>
      </c>
      <c r="AE25" s="1326"/>
      <c r="AF25" s="61">
        <v>0.254</v>
      </c>
      <c r="AG25" s="62" t="s">
        <v>113</v>
      </c>
      <c r="AH25" s="63">
        <v>1</v>
      </c>
      <c r="AI25" s="64" t="s">
        <v>114</v>
      </c>
      <c r="AJ25" s="1326"/>
      <c r="AK25" s="61">
        <v>1E-8</v>
      </c>
      <c r="AL25" s="62" t="s">
        <v>113</v>
      </c>
      <c r="AM25" s="63">
        <v>1</v>
      </c>
      <c r="AN25" s="64" t="s">
        <v>114</v>
      </c>
      <c r="AO25" s="1326"/>
      <c r="AP25" s="61">
        <v>0.73660000000000003</v>
      </c>
      <c r="AQ25" s="62" t="s">
        <v>113</v>
      </c>
      <c r="AR25" s="63">
        <v>1</v>
      </c>
      <c r="AS25" s="64" t="s">
        <v>114</v>
      </c>
      <c r="AT25" s="1986"/>
      <c r="AU25" s="61">
        <v>0.20319999999999999</v>
      </c>
      <c r="AV25" s="62" t="s">
        <v>113</v>
      </c>
      <c r="AW25" s="63">
        <v>1</v>
      </c>
      <c r="AX25" s="64" t="s">
        <v>114</v>
      </c>
      <c r="AY25" s="1986"/>
      <c r="AZ25" s="61">
        <v>3.911</v>
      </c>
      <c r="BA25" s="62" t="s">
        <v>113</v>
      </c>
      <c r="BB25" s="63">
        <v>1</v>
      </c>
      <c r="BC25" s="64" t="s">
        <v>114</v>
      </c>
      <c r="BD25" s="1986"/>
      <c r="BE25" s="61">
        <v>0.58420000000000005</v>
      </c>
      <c r="BF25" s="62" t="s">
        <v>113</v>
      </c>
      <c r="BG25" s="63">
        <v>1</v>
      </c>
      <c r="BH25" s="64" t="s">
        <v>114</v>
      </c>
      <c r="BI25" s="716"/>
      <c r="BJ25" s="32"/>
      <c r="BK25" s="33"/>
      <c r="BL25" s="34"/>
      <c r="BM25" s="35"/>
      <c r="BN25" s="716"/>
      <c r="BO25" s="32"/>
      <c r="BP25" s="33"/>
      <c r="BQ25" s="34"/>
      <c r="BR25" s="35"/>
      <c r="BW25" s="27"/>
      <c r="BX25" s="27"/>
      <c r="BY25" s="27"/>
      <c r="BZ25" s="27"/>
      <c r="CA25" s="27"/>
      <c r="CB25" s="27"/>
      <c r="CC25" s="27"/>
      <c r="CD25" s="27"/>
      <c r="CE25" s="27"/>
    </row>
    <row r="26" spans="1:83" ht="106.5" customHeight="1" thickTop="1" x14ac:dyDescent="0.25">
      <c r="A26" s="118"/>
      <c r="B26" s="118"/>
      <c r="C26" s="118"/>
      <c r="D26" s="118"/>
      <c r="E26" s="118"/>
      <c r="F26" s="118"/>
      <c r="G26" s="118"/>
      <c r="H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  <c r="BE26" s="44"/>
      <c r="BF26" s="44"/>
      <c r="BG26" s="1987"/>
      <c r="BH26" s="1987"/>
      <c r="BI26" s="1987"/>
      <c r="BJ26" s="1987"/>
      <c r="BK26" s="1987"/>
      <c r="BL26" s="1987"/>
      <c r="BM26" s="1987"/>
      <c r="BN26" s="1987"/>
      <c r="BO26" s="1987"/>
      <c r="BP26" s="1987"/>
      <c r="BQ26" s="1987"/>
      <c r="BR26" s="1987"/>
    </row>
    <row r="27" spans="1:83" ht="127.5" customHeight="1" x14ac:dyDescent="0.25">
      <c r="A27" s="44"/>
      <c r="B27" s="44"/>
      <c r="C27" s="44"/>
      <c r="D27" s="44"/>
      <c r="E27" s="44"/>
      <c r="F27" s="44"/>
      <c r="G27" s="44"/>
      <c r="H27" s="44"/>
      <c r="M27" s="44"/>
      <c r="N27" s="44"/>
      <c r="Q27" s="1468" cm="1">
        <f t="array" aca="1" ref="Q27" ca="1">SUM(COUNTIF(INDIRECT({"B6","G6","L6","Q6","V6","AA6","AF6","AK6","AP6","AU6","AZ6","BE6","BJ6","BO6","B12","G12","L12","Q12","V12","AA12","AF12","AK12","AP12","AU12","AZ12","BE12","BJ12","BO12","B18","G18","L18","Q18","V18","AA18","AF18","AK18","AP18","AU18","AZ18","BE18","BJ18","BO18","B24","G24","L24","Q24","V24","AA24","AF24","AK24","AP24","AU24","AZ24","BE24"}),"&gt;0"))</f>
        <v>54</v>
      </c>
      <c r="R27" s="1468"/>
      <c r="S27" s="1468"/>
      <c r="T27" s="1468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4"/>
      <c r="BK27" s="44"/>
      <c r="BL27" s="44"/>
      <c r="BM27" s="44"/>
      <c r="BN27" s="44"/>
      <c r="BO27" s="44"/>
      <c r="BP27" s="44"/>
      <c r="BQ27" s="44"/>
      <c r="BR27" s="44"/>
    </row>
    <row r="28" spans="1:83" ht="127.5" customHeight="1" x14ac:dyDescent="0.25">
      <c r="A28" s="44"/>
      <c r="B28" s="44"/>
      <c r="C28" s="44"/>
      <c r="D28" s="44"/>
      <c r="E28" s="44"/>
      <c r="F28" s="44"/>
      <c r="G28" s="44"/>
      <c r="H28" s="44"/>
      <c r="M28" s="44"/>
      <c r="N28" s="44"/>
      <c r="O28" s="48"/>
      <c r="P28" s="48"/>
      <c r="Q28" s="1462">
        <v>54</v>
      </c>
      <c r="R28" s="1462"/>
      <c r="S28" s="1462"/>
      <c r="T28" s="1462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  <c r="BM28" s="44"/>
      <c r="BN28" s="44"/>
      <c r="BO28" s="44"/>
      <c r="BP28" s="44"/>
      <c r="BQ28" s="44"/>
      <c r="BR28" s="44"/>
    </row>
    <row r="29" spans="1:83" ht="66.75" customHeight="1" x14ac:dyDescent="0.25">
      <c r="A29" s="44"/>
      <c r="B29" s="44"/>
      <c r="C29" s="44"/>
      <c r="D29" s="44"/>
      <c r="E29" s="44"/>
      <c r="F29" s="44"/>
      <c r="G29" s="44"/>
      <c r="H29" s="44"/>
      <c r="I29" s="71"/>
      <c r="J29" s="71"/>
      <c r="K29" s="71"/>
      <c r="L29" s="44"/>
      <c r="M29" s="44"/>
      <c r="N29" s="44"/>
      <c r="O29" s="44"/>
      <c r="P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  <c r="BC29" s="44"/>
      <c r="BD29" s="44"/>
      <c r="BE29" s="44"/>
      <c r="BF29" s="44"/>
      <c r="BG29" s="44"/>
      <c r="BH29" s="44"/>
      <c r="BI29" s="44"/>
      <c r="BJ29" s="44"/>
      <c r="BK29" s="44"/>
      <c r="BL29" s="44"/>
      <c r="BM29" s="44"/>
      <c r="BN29" s="44"/>
      <c r="BO29" s="44"/>
      <c r="BP29" s="44"/>
      <c r="BQ29" s="44"/>
      <c r="BR29" s="44"/>
    </row>
    <row r="30" spans="1:83" s="22" customFormat="1" ht="50.25" customHeight="1" x14ac:dyDescent="1.35">
      <c r="A30" s="44"/>
      <c r="B30" s="44"/>
      <c r="C30" s="44"/>
      <c r="D30" s="44"/>
      <c r="E30" s="44"/>
      <c r="F30" s="44"/>
      <c r="G30" s="44"/>
      <c r="H30" s="44"/>
      <c r="I30" s="71"/>
      <c r="J30" s="71"/>
      <c r="K30" s="71"/>
      <c r="L30" s="44"/>
      <c r="M30" s="44"/>
      <c r="N30" s="44"/>
      <c r="O30" s="44"/>
      <c r="P30" s="44"/>
      <c r="U30" s="44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37"/>
      <c r="AI30" s="38"/>
      <c r="AJ30" s="39"/>
      <c r="AK30" s="40"/>
      <c r="AL30" s="41"/>
      <c r="AM30" s="37"/>
      <c r="AN30" s="38"/>
      <c r="AO30" s="39"/>
      <c r="AP30" s="40"/>
      <c r="AQ30" s="41"/>
      <c r="AR30" s="37"/>
      <c r="AS30" s="38"/>
      <c r="AT30" s="39"/>
      <c r="AU30" s="40"/>
      <c r="AV30" s="41"/>
      <c r="AW30" s="37"/>
      <c r="AX30" s="38"/>
      <c r="AY30" s="39"/>
      <c r="AZ30" s="40"/>
      <c r="BA30" s="41"/>
      <c r="BB30" s="37"/>
      <c r="BC30" s="38"/>
      <c r="BD30" s="39"/>
      <c r="BE30" s="40"/>
      <c r="BF30" s="41"/>
      <c r="BG30" s="37"/>
      <c r="BH30" s="38"/>
      <c r="BI30" s="39"/>
      <c r="BJ30" s="40"/>
      <c r="BK30" s="41"/>
      <c r="BL30" s="37"/>
      <c r="BM30" s="38"/>
      <c r="BN30" s="39"/>
      <c r="BO30" s="40"/>
      <c r="BP30" s="41"/>
      <c r="BQ30" s="44"/>
      <c r="BR30" s="44"/>
    </row>
    <row r="31" spans="1:83" ht="15" hidden="1" customHeight="1" x14ac:dyDescent="0.25">
      <c r="A31" s="44"/>
      <c r="B31" s="44"/>
      <c r="C31" s="44"/>
      <c r="D31" s="44"/>
      <c r="E31" s="44"/>
      <c r="F31" s="44"/>
      <c r="G31" s="44"/>
      <c r="H31" s="44"/>
      <c r="I31" s="71"/>
      <c r="J31" s="71"/>
      <c r="K31" s="71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697" t="s">
        <v>574</v>
      </c>
      <c r="W31" s="697"/>
      <c r="X31" s="697"/>
      <c r="Y31" s="697"/>
      <c r="Z31" s="697"/>
      <c r="AA31" s="697"/>
      <c r="AB31" s="697"/>
      <c r="AC31" s="697"/>
      <c r="AD31" s="697"/>
      <c r="AE31" s="697"/>
      <c r="AF31" s="697"/>
      <c r="AG31" s="697"/>
      <c r="AH31" s="697" t="s">
        <v>117</v>
      </c>
      <c r="AI31" s="697"/>
      <c r="AJ31" s="697"/>
      <c r="AK31" s="697"/>
      <c r="AL31" s="697"/>
      <c r="AM31" s="697"/>
      <c r="AN31" s="697"/>
      <c r="AO31" s="697"/>
      <c r="AP31" s="697"/>
      <c r="AQ31" s="697"/>
      <c r="AR31" s="46"/>
      <c r="AS31" s="698" t="s">
        <v>118</v>
      </c>
      <c r="AT31" s="698"/>
      <c r="AU31" s="698"/>
      <c r="AV31" s="698"/>
      <c r="AW31" s="698"/>
      <c r="AX31" s="698"/>
      <c r="AY31" s="698"/>
      <c r="AZ31" s="698"/>
      <c r="BA31" s="698"/>
      <c r="BB31" s="698"/>
      <c r="BC31" s="698"/>
      <c r="BD31" s="698"/>
      <c r="BE31" s="699" t="s">
        <v>119</v>
      </c>
      <c r="BF31" s="699"/>
      <c r="BG31" s="699"/>
      <c r="BH31" s="699"/>
      <c r="BI31" s="699"/>
      <c r="BJ31" s="1991">
        <f>D7+I7+N7+S7+X7+AC7+AH7+AM7+AR7+AW7+BB7+BG7+BL7+BQ7+AC13+X13+S13+N13+I13+D13+AH13+AM13+AR13+AW13+BG13+BL13+BQ13+D19+I19+N19+S19+X19+AC19+AH19+AM19+AR19+AW19+BB19+BG19+BL19+BQ19+D25+I25+N25+S25+X25+AC25+AH25+AM25+AW25+BB25+BG25+BB13+AR25</f>
        <v>43</v>
      </c>
      <c r="BK31" s="1991"/>
      <c r="BL31" s="1991"/>
      <c r="BM31" s="1991"/>
      <c r="BN31" s="701" t="s">
        <v>120</v>
      </c>
      <c r="BO31" s="701"/>
      <c r="BP31" s="701"/>
      <c r="BQ31" s="44"/>
      <c r="BR31" s="44"/>
      <c r="BW31" s="27"/>
      <c r="BX31" s="27"/>
      <c r="BY31" s="27"/>
      <c r="BZ31" s="27"/>
      <c r="CA31" s="27"/>
      <c r="CB31" s="27"/>
      <c r="CC31" s="27"/>
      <c r="CD31" s="27"/>
      <c r="CE31" s="27"/>
    </row>
    <row r="32" spans="1:83" ht="6.75" hidden="1" customHeight="1" x14ac:dyDescent="0.25">
      <c r="A32" s="44"/>
      <c r="B32" s="44"/>
      <c r="C32" s="44"/>
      <c r="D32" s="44"/>
      <c r="E32" s="44"/>
      <c r="F32" s="44"/>
      <c r="G32" s="44"/>
      <c r="H32" s="44"/>
      <c r="I32" s="71"/>
      <c r="J32" s="71"/>
      <c r="K32" s="71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697"/>
      <c r="W32" s="697"/>
      <c r="X32" s="697"/>
      <c r="Y32" s="697"/>
      <c r="Z32" s="697"/>
      <c r="AA32" s="697"/>
      <c r="AB32" s="697"/>
      <c r="AC32" s="697"/>
      <c r="AD32" s="697"/>
      <c r="AE32" s="697"/>
      <c r="AF32" s="697"/>
      <c r="AG32" s="697"/>
      <c r="AH32" s="697"/>
      <c r="AI32" s="697"/>
      <c r="AJ32" s="697"/>
      <c r="AK32" s="697"/>
      <c r="AL32" s="697"/>
      <c r="AM32" s="697"/>
      <c r="AN32" s="697"/>
      <c r="AO32" s="697"/>
      <c r="AP32" s="697"/>
      <c r="AQ32" s="697"/>
      <c r="AR32" s="46"/>
      <c r="AS32" s="698"/>
      <c r="AT32" s="698"/>
      <c r="AU32" s="698"/>
      <c r="AV32" s="698"/>
      <c r="AW32" s="698"/>
      <c r="AX32" s="698"/>
      <c r="AY32" s="698"/>
      <c r="AZ32" s="698"/>
      <c r="BA32" s="698"/>
      <c r="BB32" s="698"/>
      <c r="BC32" s="698"/>
      <c r="BD32" s="698"/>
      <c r="BE32" s="699"/>
      <c r="BF32" s="699"/>
      <c r="BG32" s="699"/>
      <c r="BH32" s="699"/>
      <c r="BI32" s="699"/>
      <c r="BJ32" s="1991"/>
      <c r="BK32" s="1991"/>
      <c r="BL32" s="1991"/>
      <c r="BM32" s="1991"/>
      <c r="BN32" s="701"/>
      <c r="BO32" s="701"/>
      <c r="BP32" s="701"/>
      <c r="BQ32" s="44"/>
      <c r="BR32" s="44"/>
    </row>
    <row r="33" spans="1:83" ht="20.25" customHeight="1" x14ac:dyDescent="0.25">
      <c r="A33" s="44"/>
      <c r="B33" s="44"/>
      <c r="C33" s="44"/>
      <c r="D33" s="44"/>
      <c r="E33" s="44"/>
      <c r="F33" s="44"/>
      <c r="G33" s="44"/>
      <c r="H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697"/>
      <c r="W33" s="697"/>
      <c r="X33" s="697"/>
      <c r="Y33" s="697"/>
      <c r="Z33" s="697"/>
      <c r="AA33" s="697"/>
      <c r="AB33" s="697"/>
      <c r="AC33" s="697"/>
      <c r="AD33" s="697"/>
      <c r="AE33" s="697"/>
      <c r="AF33" s="697"/>
      <c r="AG33" s="697"/>
      <c r="AH33" s="697"/>
      <c r="AI33" s="697"/>
      <c r="AJ33" s="697"/>
      <c r="AK33" s="697"/>
      <c r="AL33" s="697"/>
      <c r="AM33" s="697"/>
      <c r="AN33" s="697"/>
      <c r="AO33" s="697"/>
      <c r="AP33" s="697"/>
      <c r="AQ33" s="697"/>
      <c r="AR33" s="46"/>
      <c r="AS33" s="698"/>
      <c r="AT33" s="698"/>
      <c r="AU33" s="698"/>
      <c r="AV33" s="698"/>
      <c r="AW33" s="698"/>
      <c r="AX33" s="698"/>
      <c r="AY33" s="698"/>
      <c r="AZ33" s="698"/>
      <c r="BA33" s="698"/>
      <c r="BB33" s="698"/>
      <c r="BC33" s="698"/>
      <c r="BD33" s="698"/>
      <c r="BE33" s="699"/>
      <c r="BF33" s="699"/>
      <c r="BG33" s="699"/>
      <c r="BH33" s="699"/>
      <c r="BI33" s="699"/>
      <c r="BJ33" s="1991"/>
      <c r="BK33" s="1991"/>
      <c r="BL33" s="1991"/>
      <c r="BM33" s="1991"/>
      <c r="BN33" s="701"/>
      <c r="BO33" s="701"/>
      <c r="BP33" s="701"/>
      <c r="BQ33" s="44"/>
      <c r="BR33" s="44"/>
    </row>
    <row r="34" spans="1:83" ht="93" customHeight="1" x14ac:dyDescent="0.25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697"/>
      <c r="W34" s="697"/>
      <c r="X34" s="697"/>
      <c r="Y34" s="697"/>
      <c r="Z34" s="697"/>
      <c r="AA34" s="697"/>
      <c r="AB34" s="697"/>
      <c r="AC34" s="697"/>
      <c r="AD34" s="697"/>
      <c r="AE34" s="697"/>
      <c r="AF34" s="697"/>
      <c r="AG34" s="697"/>
      <c r="AH34" s="697"/>
      <c r="AI34" s="697"/>
      <c r="AJ34" s="697"/>
      <c r="AK34" s="697"/>
      <c r="AL34" s="697"/>
      <c r="AM34" s="697"/>
      <c r="AN34" s="697"/>
      <c r="AO34" s="697"/>
      <c r="AP34" s="697"/>
      <c r="AQ34" s="697"/>
      <c r="AR34" s="46"/>
      <c r="AS34" s="698"/>
      <c r="AT34" s="698"/>
      <c r="AU34" s="698"/>
      <c r="AV34" s="698"/>
      <c r="AW34" s="698"/>
      <c r="AX34" s="698"/>
      <c r="AY34" s="698"/>
      <c r="AZ34" s="698"/>
      <c r="BA34" s="698"/>
      <c r="BB34" s="698"/>
      <c r="BC34" s="698"/>
      <c r="BD34" s="698"/>
      <c r="BE34" s="699"/>
      <c r="BF34" s="699"/>
      <c r="BG34" s="699"/>
      <c r="BH34" s="699"/>
      <c r="BI34" s="699"/>
      <c r="BJ34" s="1991"/>
      <c r="BK34" s="1991"/>
      <c r="BL34" s="1991"/>
      <c r="BM34" s="1991"/>
      <c r="BN34" s="701"/>
      <c r="BO34" s="701"/>
      <c r="BP34" s="701"/>
      <c r="BQ34" s="44"/>
      <c r="BR34" s="44"/>
    </row>
    <row r="35" spans="1:83" ht="6" customHeight="1" x14ac:dyDescent="0.25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722" t="s">
        <v>13</v>
      </c>
      <c r="W35" s="722"/>
      <c r="X35" s="722"/>
      <c r="Y35" s="722"/>
      <c r="Z35" s="722"/>
      <c r="AA35" s="722"/>
      <c r="AB35" s="722"/>
      <c r="AC35" s="722"/>
      <c r="AD35" s="722"/>
      <c r="AE35" s="722"/>
      <c r="AF35" s="722"/>
      <c r="AG35" s="722"/>
      <c r="AH35" s="723">
        <f>AS35-AD87</f>
        <v>9.9999937219763524E-9</v>
      </c>
      <c r="AI35" s="723"/>
      <c r="AJ35" s="723"/>
      <c r="AK35" s="723"/>
      <c r="AL35" s="723"/>
      <c r="AM35" s="723"/>
      <c r="AN35" s="723"/>
      <c r="AO35" s="723"/>
      <c r="AP35" s="723"/>
      <c r="AQ35" s="723"/>
      <c r="AR35" s="723"/>
      <c r="AS35" s="707">
        <f>B7+G7+L7+Q7+V7+AA7+AF7+AK7+AP7+AU7+AZ7+BE7+BJ7+BO7+B13+G13+L13+Q13+V13+AA13+AF13+AK13+AP13+AU13+BE13+BJ13+BO13+B19+G19+L19+Q19+V19+AA19+AF19+AK19+AP19+AU19+AZ19+BE19+BJ19+BO19+B25+G25+L25+Q25+V25+AA25+AF25+AK25+AU25+AZ25+BE25+AZ13+AP25</f>
        <v>87.984400033200004</v>
      </c>
      <c r="AT35" s="707"/>
      <c r="AU35" s="707"/>
      <c r="AV35" s="707"/>
      <c r="AW35" s="707"/>
      <c r="AX35" s="707"/>
      <c r="AY35" s="707"/>
      <c r="AZ35" s="707"/>
      <c r="BA35" s="707"/>
      <c r="BB35" s="707"/>
      <c r="BC35" s="707"/>
      <c r="BD35" s="707"/>
      <c r="BE35" s="699"/>
      <c r="BF35" s="699"/>
      <c r="BG35" s="699"/>
      <c r="BH35" s="699"/>
      <c r="BI35" s="699"/>
      <c r="BJ35" s="708">
        <f>BJ31*1.5</f>
        <v>64.5</v>
      </c>
      <c r="BK35" s="708"/>
      <c r="BL35" s="708"/>
      <c r="BM35" s="708"/>
      <c r="BN35" s="708"/>
      <c r="BO35" s="708"/>
      <c r="BP35" s="708"/>
      <c r="BQ35" s="44"/>
      <c r="BR35" s="44"/>
    </row>
    <row r="36" spans="1:83" s="22" customFormat="1" ht="80.099999999999994" customHeight="1" x14ac:dyDescent="1.35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722"/>
      <c r="W36" s="722"/>
      <c r="X36" s="722"/>
      <c r="Y36" s="722"/>
      <c r="Z36" s="722"/>
      <c r="AA36" s="722"/>
      <c r="AB36" s="722"/>
      <c r="AC36" s="722"/>
      <c r="AD36" s="722"/>
      <c r="AE36" s="722"/>
      <c r="AF36" s="722"/>
      <c r="AG36" s="722"/>
      <c r="AH36" s="723"/>
      <c r="AI36" s="723"/>
      <c r="AJ36" s="723"/>
      <c r="AK36" s="723"/>
      <c r="AL36" s="723"/>
      <c r="AM36" s="723"/>
      <c r="AN36" s="723"/>
      <c r="AO36" s="723"/>
      <c r="AP36" s="723"/>
      <c r="AQ36" s="723"/>
      <c r="AR36" s="723"/>
      <c r="AS36" s="707"/>
      <c r="AT36" s="707"/>
      <c r="AU36" s="707"/>
      <c r="AV36" s="707"/>
      <c r="AW36" s="707"/>
      <c r="AX36" s="707"/>
      <c r="AY36" s="707"/>
      <c r="AZ36" s="707"/>
      <c r="BA36" s="707"/>
      <c r="BB36" s="707"/>
      <c r="BC36" s="707"/>
      <c r="BD36" s="707"/>
      <c r="BE36" s="699"/>
      <c r="BF36" s="699"/>
      <c r="BG36" s="699"/>
      <c r="BH36" s="699"/>
      <c r="BI36" s="699"/>
      <c r="BJ36" s="708"/>
      <c r="BK36" s="708"/>
      <c r="BL36" s="708"/>
      <c r="BM36" s="708"/>
      <c r="BN36" s="708"/>
      <c r="BO36" s="708"/>
      <c r="BP36" s="708"/>
      <c r="BQ36" s="44"/>
      <c r="BR36" s="44"/>
    </row>
    <row r="37" spans="1:83" ht="27" customHeight="1" x14ac:dyDescent="0.25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1988"/>
      <c r="R37" s="1988"/>
      <c r="S37" s="1988"/>
      <c r="T37" s="1988"/>
      <c r="U37" s="44"/>
      <c r="V37" s="722"/>
      <c r="W37" s="722"/>
      <c r="X37" s="722"/>
      <c r="Y37" s="722"/>
      <c r="Z37" s="722"/>
      <c r="AA37" s="722"/>
      <c r="AB37" s="722"/>
      <c r="AC37" s="722"/>
      <c r="AD37" s="722"/>
      <c r="AE37" s="722"/>
      <c r="AF37" s="722"/>
      <c r="AG37" s="722"/>
      <c r="AH37" s="723"/>
      <c r="AI37" s="723"/>
      <c r="AJ37" s="723"/>
      <c r="AK37" s="723"/>
      <c r="AL37" s="723"/>
      <c r="AM37" s="723"/>
      <c r="AN37" s="723"/>
      <c r="AO37" s="723"/>
      <c r="AP37" s="723"/>
      <c r="AQ37" s="723"/>
      <c r="AR37" s="723"/>
      <c r="AS37" s="707"/>
      <c r="AT37" s="707"/>
      <c r="AU37" s="707"/>
      <c r="AV37" s="707"/>
      <c r="AW37" s="707"/>
      <c r="AX37" s="707"/>
      <c r="AY37" s="707"/>
      <c r="AZ37" s="707"/>
      <c r="BA37" s="707"/>
      <c r="BB37" s="707"/>
      <c r="BC37" s="707"/>
      <c r="BD37" s="707"/>
      <c r="BE37" s="699"/>
      <c r="BF37" s="699"/>
      <c r="BG37" s="699"/>
      <c r="BH37" s="699"/>
      <c r="BI37" s="699"/>
      <c r="BJ37" s="708"/>
      <c r="BK37" s="708"/>
      <c r="BL37" s="708"/>
      <c r="BM37" s="708"/>
      <c r="BN37" s="708"/>
      <c r="BO37" s="708"/>
      <c r="BP37" s="708"/>
      <c r="BQ37" s="44"/>
      <c r="BR37" s="44"/>
      <c r="BW37" s="27"/>
      <c r="BX37" s="27"/>
      <c r="BY37" s="27"/>
      <c r="BZ37" s="27"/>
      <c r="CA37" s="27"/>
      <c r="CB37" s="27"/>
      <c r="CC37" s="27"/>
      <c r="CD37" s="27"/>
      <c r="CE37" s="27"/>
    </row>
    <row r="38" spans="1:83" ht="26.1" customHeight="1" x14ac:dyDescent="0.25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1988"/>
      <c r="R38" s="1988"/>
      <c r="S38" s="1988"/>
      <c r="T38" s="1988"/>
      <c r="U38" s="44"/>
      <c r="V38" s="722"/>
      <c r="W38" s="722"/>
      <c r="X38" s="722"/>
      <c r="Y38" s="722"/>
      <c r="Z38" s="722"/>
      <c r="AA38" s="722"/>
      <c r="AB38" s="722"/>
      <c r="AC38" s="722"/>
      <c r="AD38" s="722"/>
      <c r="AE38" s="722"/>
      <c r="AF38" s="722"/>
      <c r="AG38" s="722"/>
      <c r="AH38" s="723"/>
      <c r="AI38" s="723"/>
      <c r="AJ38" s="723"/>
      <c r="AK38" s="723"/>
      <c r="AL38" s="723"/>
      <c r="AM38" s="723"/>
      <c r="AN38" s="723"/>
      <c r="AO38" s="723"/>
      <c r="AP38" s="723"/>
      <c r="AQ38" s="723"/>
      <c r="AR38" s="723"/>
      <c r="AS38" s="707"/>
      <c r="AT38" s="707"/>
      <c r="AU38" s="707"/>
      <c r="AV38" s="707"/>
      <c r="AW38" s="707"/>
      <c r="AX38" s="707"/>
      <c r="AY38" s="707"/>
      <c r="AZ38" s="707"/>
      <c r="BA38" s="707"/>
      <c r="BB38" s="707"/>
      <c r="BC38" s="707"/>
      <c r="BD38" s="707"/>
      <c r="BE38" s="699"/>
      <c r="BF38" s="699"/>
      <c r="BG38" s="699"/>
      <c r="BH38" s="699"/>
      <c r="BI38" s="699"/>
      <c r="BJ38" s="708"/>
      <c r="BK38" s="708"/>
      <c r="BL38" s="708"/>
      <c r="BM38" s="708"/>
      <c r="BN38" s="708"/>
      <c r="BO38" s="708"/>
      <c r="BP38" s="708"/>
      <c r="BQ38" s="44"/>
      <c r="BR38" s="44"/>
    </row>
    <row r="39" spans="1:83" ht="6.75" customHeight="1" x14ac:dyDescent="0.25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1988"/>
      <c r="R39" s="1988"/>
      <c r="S39" s="1988"/>
      <c r="T39" s="1988"/>
      <c r="U39" s="44"/>
      <c r="V39" s="722"/>
      <c r="W39" s="722"/>
      <c r="X39" s="722"/>
      <c r="Y39" s="722"/>
      <c r="Z39" s="722"/>
      <c r="AA39" s="722"/>
      <c r="AB39" s="722"/>
      <c r="AC39" s="722"/>
      <c r="AD39" s="722"/>
      <c r="AE39" s="722"/>
      <c r="AF39" s="722"/>
      <c r="AG39" s="722"/>
      <c r="AH39" s="723"/>
      <c r="AI39" s="723"/>
      <c r="AJ39" s="723"/>
      <c r="AK39" s="723"/>
      <c r="AL39" s="723"/>
      <c r="AM39" s="723"/>
      <c r="AN39" s="723"/>
      <c r="AO39" s="723"/>
      <c r="AP39" s="723"/>
      <c r="AQ39" s="723"/>
      <c r="AR39" s="723"/>
      <c r="AS39" s="707"/>
      <c r="AT39" s="707"/>
      <c r="AU39" s="707"/>
      <c r="AV39" s="707"/>
      <c r="AW39" s="707"/>
      <c r="AX39" s="707"/>
      <c r="AY39" s="707"/>
      <c r="AZ39" s="707"/>
      <c r="BA39" s="707"/>
      <c r="BB39" s="707"/>
      <c r="BC39" s="707"/>
      <c r="BD39" s="707"/>
      <c r="BE39" s="699"/>
      <c r="BF39" s="699"/>
      <c r="BG39" s="699"/>
      <c r="BH39" s="699"/>
      <c r="BI39" s="699"/>
      <c r="BJ39" s="699" t="s">
        <v>121</v>
      </c>
      <c r="BK39" s="699"/>
      <c r="BL39" s="699"/>
      <c r="BM39" s="699"/>
      <c r="BN39" s="699"/>
      <c r="BO39" s="699"/>
      <c r="BP39" s="699"/>
      <c r="BQ39" s="44"/>
      <c r="BR39" s="44"/>
    </row>
    <row r="40" spans="1:83" ht="21.95" customHeight="1" x14ac:dyDescent="0.25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1988"/>
      <c r="R40" s="1988"/>
      <c r="S40" s="1988"/>
      <c r="T40" s="1988"/>
      <c r="U40" s="44"/>
      <c r="V40" s="722"/>
      <c r="W40" s="722"/>
      <c r="X40" s="722"/>
      <c r="Y40" s="722"/>
      <c r="Z40" s="722"/>
      <c r="AA40" s="722"/>
      <c r="AB40" s="722"/>
      <c r="AC40" s="722"/>
      <c r="AD40" s="722"/>
      <c r="AE40" s="722"/>
      <c r="AF40" s="722"/>
      <c r="AG40" s="722"/>
      <c r="AH40" s="723"/>
      <c r="AI40" s="723"/>
      <c r="AJ40" s="723"/>
      <c r="AK40" s="723"/>
      <c r="AL40" s="723"/>
      <c r="AM40" s="723"/>
      <c r="AN40" s="723"/>
      <c r="AO40" s="723"/>
      <c r="AP40" s="723"/>
      <c r="AQ40" s="723"/>
      <c r="AR40" s="723"/>
      <c r="AS40" s="707"/>
      <c r="AT40" s="707"/>
      <c r="AU40" s="707"/>
      <c r="AV40" s="707"/>
      <c r="AW40" s="707"/>
      <c r="AX40" s="707"/>
      <c r="AY40" s="707"/>
      <c r="AZ40" s="707"/>
      <c r="BA40" s="707"/>
      <c r="BB40" s="707"/>
      <c r="BC40" s="707"/>
      <c r="BD40" s="707"/>
      <c r="BE40" s="699"/>
      <c r="BF40" s="699"/>
      <c r="BG40" s="699"/>
      <c r="BH40" s="699"/>
      <c r="BI40" s="699"/>
      <c r="BJ40" s="699"/>
      <c r="BK40" s="699"/>
      <c r="BL40" s="699"/>
      <c r="BM40" s="699"/>
      <c r="BN40" s="699"/>
      <c r="BO40" s="699"/>
      <c r="BP40" s="699"/>
      <c r="BQ40" s="44"/>
      <c r="BR40" s="44"/>
    </row>
    <row r="41" spans="1:83" ht="6" customHeight="1" x14ac:dyDescent="0.25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1988"/>
      <c r="R41" s="1988"/>
      <c r="S41" s="1988"/>
      <c r="T41" s="1988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44"/>
      <c r="BE41" s="44"/>
      <c r="BF41" s="44"/>
      <c r="BG41" s="44"/>
      <c r="BH41" s="44"/>
      <c r="BI41" s="44"/>
      <c r="BJ41" s="44"/>
      <c r="BK41" s="44"/>
      <c r="BL41" s="44"/>
      <c r="BM41" s="44"/>
      <c r="BN41" s="44"/>
      <c r="BO41" s="44"/>
      <c r="BP41" s="44"/>
      <c r="BQ41" s="44"/>
      <c r="BR41" s="44"/>
    </row>
    <row r="42" spans="1:83" s="22" customFormat="1" ht="38.25" customHeight="1" x14ac:dyDescent="1.35">
      <c r="A42" s="44"/>
      <c r="B42" s="44"/>
      <c r="C42" s="44"/>
      <c r="D42" s="44"/>
      <c r="E42" s="44"/>
      <c r="F42" s="44"/>
      <c r="J42" s="1989"/>
      <c r="K42" s="1989"/>
      <c r="L42" s="1989"/>
      <c r="M42" s="44"/>
      <c r="N42" s="44"/>
      <c r="O42" s="44"/>
      <c r="P42" s="44"/>
      <c r="Q42" s="1988"/>
      <c r="R42" s="1988"/>
      <c r="S42" s="1988"/>
      <c r="T42" s="1988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44"/>
      <c r="BC42" s="44"/>
      <c r="BD42" s="44"/>
      <c r="BE42" s="44"/>
      <c r="BF42" s="44"/>
      <c r="BG42" s="44"/>
      <c r="BH42" s="44"/>
      <c r="BI42" s="44"/>
      <c r="BJ42" s="44"/>
      <c r="BK42" s="44"/>
      <c r="BL42" s="44"/>
      <c r="BM42" s="44"/>
      <c r="BN42" s="44"/>
      <c r="BO42" s="44"/>
      <c r="BP42" s="44"/>
      <c r="BQ42" s="44"/>
      <c r="BR42" s="44"/>
    </row>
    <row r="43" spans="1:83" ht="15" hidden="1" customHeight="1" x14ac:dyDescent="0.25">
      <c r="A43" s="44"/>
      <c r="B43" s="44"/>
      <c r="C43" s="44"/>
      <c r="D43" s="44"/>
      <c r="E43" s="44"/>
      <c r="F43" s="44"/>
      <c r="J43" s="1990"/>
      <c r="K43" s="1990"/>
      <c r="L43" s="1990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44"/>
      <c r="BB43" s="44"/>
      <c r="BC43" s="44"/>
      <c r="BD43" s="44"/>
      <c r="BE43" s="44"/>
      <c r="BF43" s="44"/>
      <c r="BG43" s="44"/>
      <c r="BH43" s="44"/>
      <c r="BI43" s="44"/>
      <c r="BJ43" s="44"/>
      <c r="BK43" s="44"/>
      <c r="BL43" s="44"/>
      <c r="BM43" s="44"/>
      <c r="BN43" s="44"/>
      <c r="BO43" s="44"/>
      <c r="BP43" s="44"/>
      <c r="BQ43" s="44"/>
      <c r="BR43" s="44"/>
      <c r="BW43" s="27"/>
      <c r="BX43" s="27"/>
      <c r="BY43" s="27"/>
      <c r="BZ43" s="27"/>
      <c r="CA43" s="27"/>
      <c r="CB43" s="27"/>
      <c r="CC43" s="27"/>
      <c r="CD43" s="27"/>
      <c r="CE43" s="27"/>
    </row>
    <row r="44" spans="1:83" ht="25.5" hidden="1" customHeight="1" x14ac:dyDescent="0.25">
      <c r="A44" s="44"/>
      <c r="B44" s="44"/>
      <c r="C44" s="44"/>
      <c r="D44" s="44"/>
      <c r="E44" s="44"/>
      <c r="F44" s="44"/>
      <c r="J44" s="1990"/>
      <c r="K44" s="1990"/>
      <c r="L44" s="1990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44"/>
      <c r="BJ44" s="44"/>
      <c r="BK44" s="44"/>
      <c r="BL44" s="44"/>
      <c r="BM44" s="44"/>
      <c r="BN44" s="44"/>
      <c r="BO44" s="44"/>
      <c r="BP44" s="44"/>
      <c r="BQ44" s="44"/>
      <c r="BR44" s="44"/>
    </row>
    <row r="45" spans="1:83" ht="6.75" hidden="1" customHeight="1" x14ac:dyDescent="0.25">
      <c r="A45" s="44"/>
      <c r="B45" s="44"/>
      <c r="C45" s="44"/>
      <c r="D45" s="44"/>
      <c r="E45" s="44"/>
      <c r="F45" s="44"/>
      <c r="J45" s="1990"/>
      <c r="K45" s="1990"/>
      <c r="L45" s="1990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44"/>
      <c r="BJ45" s="44"/>
      <c r="BK45" s="44"/>
      <c r="BL45" s="44"/>
      <c r="BM45" s="44"/>
      <c r="BN45" s="44"/>
      <c r="BO45" s="44"/>
      <c r="BP45" s="44"/>
      <c r="BQ45" s="44"/>
      <c r="BR45" s="44"/>
    </row>
    <row r="46" spans="1:83" ht="21.75" hidden="1" customHeight="1" x14ac:dyDescent="0.25">
      <c r="A46" s="44"/>
      <c r="B46" s="44"/>
      <c r="C46" s="44"/>
      <c r="D46" s="44"/>
      <c r="E46" s="44"/>
      <c r="F46" s="44"/>
      <c r="J46" s="1990"/>
      <c r="K46" s="1990"/>
      <c r="L46" s="1990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44"/>
      <c r="BJ46" s="44"/>
      <c r="BK46" s="44"/>
      <c r="BL46" s="44"/>
      <c r="BM46" s="44"/>
      <c r="BN46" s="44"/>
      <c r="BO46" s="44"/>
      <c r="BP46" s="44"/>
      <c r="BQ46" s="44"/>
      <c r="BR46" s="44"/>
    </row>
    <row r="47" spans="1:83" ht="6" hidden="1" customHeight="1" x14ac:dyDescent="0.25">
      <c r="A47" s="44"/>
      <c r="B47" s="44"/>
      <c r="C47" s="44"/>
      <c r="D47" s="44"/>
      <c r="E47" s="44"/>
      <c r="F47" s="44"/>
      <c r="J47" s="1990"/>
      <c r="K47" s="1990"/>
      <c r="L47" s="1990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44"/>
      <c r="BJ47" s="44"/>
      <c r="BK47" s="44"/>
      <c r="BL47" s="44"/>
      <c r="BM47" s="44"/>
      <c r="BN47" s="44"/>
      <c r="BO47" s="44"/>
      <c r="BP47" s="44"/>
      <c r="BQ47" s="44"/>
      <c r="BR47" s="44"/>
    </row>
    <row r="48" spans="1:83" s="22" customFormat="1" ht="79.5" hidden="1" customHeight="1" x14ac:dyDescent="1.35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4"/>
      <c r="BK48" s="44"/>
      <c r="BL48" s="44"/>
      <c r="BM48" s="44"/>
      <c r="BN48" s="44"/>
      <c r="BO48" s="44"/>
      <c r="BP48" s="44"/>
      <c r="BQ48" s="44"/>
      <c r="BR48" s="44"/>
    </row>
    <row r="49" spans="1:83" ht="15" customHeight="1" x14ac:dyDescent="0.25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4"/>
      <c r="BI49" s="44"/>
      <c r="BJ49" s="44"/>
      <c r="BK49" s="44"/>
      <c r="BL49" s="44"/>
      <c r="BM49" s="44"/>
      <c r="BN49" s="44"/>
      <c r="BO49" s="44"/>
      <c r="BP49" s="44"/>
      <c r="BQ49" s="44"/>
      <c r="BR49" s="44"/>
      <c r="BW49" s="27"/>
      <c r="BX49" s="27"/>
      <c r="BY49" s="27"/>
      <c r="BZ49" s="27"/>
      <c r="CA49" s="27"/>
      <c r="CB49" s="27"/>
      <c r="CC49" s="27"/>
      <c r="CD49" s="27"/>
      <c r="CE49" s="27"/>
    </row>
    <row r="50" spans="1:83" ht="26.1" customHeight="1" x14ac:dyDescent="0.25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</row>
    <row r="51" spans="1:83" ht="6.75" customHeight="1" x14ac:dyDescent="0.25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</row>
    <row r="52" spans="1:83" ht="21.95" hidden="1" customHeight="1" x14ac:dyDescent="0.25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</row>
    <row r="53" spans="1:83" ht="6" hidden="1" customHeight="1" x14ac:dyDescent="0.25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</row>
    <row r="54" spans="1:83" s="22" customFormat="1" ht="80.099999999999994" hidden="1" customHeight="1" x14ac:dyDescent="1.35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</row>
    <row r="55" spans="1:83" ht="15" hidden="1" customHeight="1" x14ac:dyDescent="0.25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W55" s="27"/>
      <c r="BX55" s="27"/>
      <c r="BY55" s="27"/>
      <c r="BZ55" s="27"/>
      <c r="CA55" s="27"/>
      <c r="CB55" s="27"/>
      <c r="CC55" s="27"/>
      <c r="CD55" s="27"/>
      <c r="CE55" s="27"/>
    </row>
    <row r="56" spans="1:83" ht="26.1" hidden="1" customHeight="1" x14ac:dyDescent="0.25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</row>
    <row r="57" spans="1:83" ht="6.75" hidden="1" customHeight="1" x14ac:dyDescent="0.25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</row>
    <row r="58" spans="1:83" ht="21.95" hidden="1" customHeight="1" x14ac:dyDescent="0.25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</row>
    <row r="59" spans="1:83" ht="6" hidden="1" customHeight="1" x14ac:dyDescent="0.25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</row>
    <row r="60" spans="1:83" s="22" customFormat="1" ht="79.5" hidden="1" customHeight="1" x14ac:dyDescent="1.35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44"/>
      <c r="AM60" s="44"/>
      <c r="AN60" s="44"/>
      <c r="AO60" s="44"/>
      <c r="AP60" s="44"/>
      <c r="AQ60" s="44"/>
      <c r="AR60" s="44"/>
      <c r="AS60" s="44"/>
      <c r="AT60" s="44"/>
      <c r="AU60" s="44"/>
      <c r="AV60" s="44"/>
      <c r="AW60" s="44"/>
      <c r="AX60" s="44"/>
      <c r="AY60" s="44"/>
      <c r="AZ60" s="44"/>
      <c r="BA60" s="44"/>
      <c r="BB60" s="44"/>
      <c r="BC60" s="44"/>
      <c r="BD60" s="44"/>
      <c r="BE60" s="44"/>
      <c r="BF60" s="44"/>
      <c r="BG60" s="44"/>
      <c r="BH60" s="44"/>
      <c r="BI60" s="44"/>
      <c r="BJ60" s="44"/>
      <c r="BK60" s="44"/>
      <c r="BL60" s="44"/>
      <c r="BM60" s="44"/>
      <c r="BN60" s="44"/>
      <c r="BO60" s="44"/>
      <c r="BP60" s="44"/>
      <c r="BQ60" s="44"/>
      <c r="BR60" s="44"/>
    </row>
    <row r="61" spans="1:83" ht="15.75" hidden="1" customHeight="1" thickBot="1" x14ac:dyDescent="0.3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44"/>
      <c r="BC61" s="44"/>
      <c r="BD61" s="44"/>
      <c r="BE61" s="44"/>
      <c r="BF61" s="44"/>
      <c r="BG61" s="44"/>
      <c r="BH61" s="44"/>
      <c r="BI61" s="44"/>
      <c r="BJ61" s="44"/>
      <c r="BK61" s="44"/>
      <c r="BL61" s="44"/>
      <c r="BM61" s="44"/>
      <c r="BN61" s="44"/>
      <c r="BO61" s="44"/>
      <c r="BP61" s="44"/>
      <c r="BQ61" s="44"/>
      <c r="BR61" s="44"/>
      <c r="BW61" s="27"/>
      <c r="BX61" s="27"/>
      <c r="BY61" s="27"/>
      <c r="BZ61" s="27"/>
      <c r="CA61" s="27"/>
      <c r="CB61" s="27"/>
      <c r="CC61" s="27"/>
      <c r="CD61" s="27"/>
      <c r="CE61" s="27"/>
    </row>
    <row r="62" spans="1:83" ht="26.1" hidden="1" customHeight="1" thickTop="1" x14ac:dyDescent="0.25">
      <c r="A62" s="672"/>
      <c r="B62" s="672"/>
      <c r="C62" s="672"/>
      <c r="D62" s="673"/>
      <c r="E62" s="673"/>
      <c r="F62" s="672"/>
      <c r="G62" s="672"/>
      <c r="H62" s="672"/>
      <c r="I62" s="673"/>
      <c r="J62" s="673"/>
      <c r="K62" s="672"/>
      <c r="L62" s="672"/>
      <c r="M62" s="672"/>
      <c r="N62" s="673"/>
      <c r="O62" s="673"/>
      <c r="P62" s="672"/>
      <c r="Q62" s="672"/>
      <c r="R62" s="672"/>
      <c r="S62" s="673"/>
      <c r="T62" s="673"/>
      <c r="U62" s="674"/>
      <c r="V62" s="674"/>
      <c r="W62" s="674"/>
      <c r="X62" s="675"/>
      <c r="Y62" s="675"/>
      <c r="Z62" s="674"/>
      <c r="AA62" s="674"/>
      <c r="AB62" s="674"/>
      <c r="AC62" s="675"/>
      <c r="AD62" s="675"/>
      <c r="AE62" s="674"/>
      <c r="AF62" s="674"/>
      <c r="AG62" s="674"/>
      <c r="AH62" s="675"/>
      <c r="AI62" s="675"/>
      <c r="AJ62" s="674"/>
      <c r="AK62" s="674"/>
      <c r="AL62" s="674"/>
      <c r="AM62" s="675"/>
      <c r="AN62" s="675"/>
      <c r="AO62" s="674"/>
      <c r="AP62" s="674"/>
      <c r="AQ62" s="674"/>
      <c r="AR62" s="675"/>
      <c r="AS62" s="675"/>
      <c r="AT62" s="674"/>
      <c r="AU62" s="674"/>
      <c r="AV62" s="674"/>
      <c r="AW62" s="675"/>
      <c r="AX62" s="675"/>
      <c r="AY62" s="674"/>
      <c r="AZ62" s="674"/>
      <c r="BA62" s="674"/>
      <c r="BB62" s="675"/>
      <c r="BC62" s="675"/>
      <c r="BD62" s="674"/>
      <c r="BE62" s="674"/>
      <c r="BF62" s="674"/>
      <c r="BG62" s="675"/>
      <c r="BH62" s="675"/>
      <c r="BI62" s="674"/>
      <c r="BJ62" s="674"/>
      <c r="BK62" s="674"/>
      <c r="BL62" s="675"/>
      <c r="BM62" s="675"/>
      <c r="BN62" s="674"/>
      <c r="BO62" s="674"/>
      <c r="BP62" s="674"/>
      <c r="BQ62" s="675"/>
      <c r="BR62" s="675"/>
    </row>
    <row r="63" spans="1:83" ht="6.75" hidden="1" customHeight="1" x14ac:dyDescent="0.25">
      <c r="A63" s="676"/>
      <c r="B63" s="676"/>
      <c r="C63" s="676"/>
      <c r="D63" s="29"/>
      <c r="E63" s="29"/>
      <c r="F63" s="676"/>
      <c r="G63" s="676"/>
      <c r="H63" s="676"/>
      <c r="I63" s="29"/>
      <c r="J63" s="29"/>
      <c r="K63" s="676"/>
      <c r="L63" s="676"/>
      <c r="M63" s="676"/>
      <c r="N63" s="29"/>
      <c r="O63" s="29"/>
      <c r="P63" s="676"/>
      <c r="Q63" s="676"/>
      <c r="R63" s="676"/>
      <c r="S63" s="29"/>
      <c r="T63" s="29"/>
      <c r="U63" s="676"/>
      <c r="V63" s="676"/>
      <c r="W63" s="676"/>
      <c r="X63" s="29"/>
      <c r="Y63" s="29"/>
      <c r="Z63" s="676"/>
      <c r="AA63" s="676"/>
      <c r="AB63" s="676"/>
      <c r="AC63" s="29"/>
      <c r="AD63" s="29"/>
      <c r="AE63" s="676"/>
      <c r="AF63" s="676"/>
      <c r="AG63" s="676"/>
      <c r="AH63" s="29"/>
      <c r="AI63" s="29"/>
      <c r="AJ63" s="676"/>
      <c r="AK63" s="676"/>
      <c r="AL63" s="676"/>
      <c r="AM63" s="29"/>
      <c r="AN63" s="29"/>
      <c r="AO63" s="676"/>
      <c r="AP63" s="676"/>
      <c r="AQ63" s="676"/>
      <c r="AR63" s="29"/>
      <c r="AS63" s="29"/>
      <c r="AT63" s="676"/>
      <c r="AU63" s="676"/>
      <c r="AV63" s="676"/>
      <c r="AW63" s="29"/>
      <c r="AX63" s="29"/>
      <c r="AY63" s="676"/>
      <c r="AZ63" s="676"/>
      <c r="BA63" s="676"/>
      <c r="BB63" s="29"/>
      <c r="BC63" s="29"/>
      <c r="BD63" s="676"/>
      <c r="BE63" s="676"/>
      <c r="BF63" s="676"/>
      <c r="BG63" s="29"/>
      <c r="BH63" s="29"/>
      <c r="BI63" s="676"/>
      <c r="BJ63" s="676"/>
      <c r="BK63" s="676"/>
      <c r="BL63" s="29"/>
      <c r="BM63" s="29"/>
      <c r="BN63" s="676"/>
      <c r="BO63" s="676"/>
      <c r="BP63" s="676"/>
      <c r="BQ63" s="29"/>
      <c r="BR63" s="29"/>
    </row>
    <row r="64" spans="1:83" ht="21.95" hidden="1" customHeight="1" x14ac:dyDescent="0.25">
      <c r="A64" s="676"/>
      <c r="B64" s="676"/>
      <c r="C64" s="676"/>
      <c r="D64" s="30"/>
      <c r="E64" s="29"/>
      <c r="F64" s="676"/>
      <c r="G64" s="676"/>
      <c r="H64" s="676"/>
      <c r="I64" s="30"/>
      <c r="J64" s="29"/>
      <c r="K64" s="676"/>
      <c r="L64" s="676"/>
      <c r="M64" s="676"/>
      <c r="N64" s="30"/>
      <c r="O64" s="29"/>
      <c r="P64" s="676"/>
      <c r="Q64" s="676"/>
      <c r="R64" s="676"/>
      <c r="S64" s="30"/>
      <c r="T64" s="29"/>
      <c r="U64" s="676"/>
      <c r="V64" s="676"/>
      <c r="W64" s="676"/>
      <c r="X64" s="30"/>
      <c r="Y64" s="29"/>
      <c r="Z64" s="676"/>
      <c r="AA64" s="676"/>
      <c r="AB64" s="676"/>
      <c r="AC64" s="30"/>
      <c r="AD64" s="29"/>
      <c r="AE64" s="676"/>
      <c r="AF64" s="676"/>
      <c r="AG64" s="676"/>
      <c r="AH64" s="30"/>
      <c r="AI64" s="29"/>
      <c r="AJ64" s="676"/>
      <c r="AK64" s="676"/>
      <c r="AL64" s="676"/>
      <c r="AM64" s="30"/>
      <c r="AN64" s="29"/>
      <c r="AO64" s="676"/>
      <c r="AP64" s="676"/>
      <c r="AQ64" s="676"/>
      <c r="AR64" s="30"/>
      <c r="AS64" s="29"/>
      <c r="AT64" s="676"/>
      <c r="AU64" s="676"/>
      <c r="AV64" s="676"/>
      <c r="AW64" s="30"/>
      <c r="AX64" s="29"/>
      <c r="AY64" s="676"/>
      <c r="AZ64" s="676"/>
      <c r="BA64" s="676"/>
      <c r="BB64" s="30"/>
      <c r="BC64" s="29"/>
      <c r="BD64" s="676"/>
      <c r="BE64" s="676"/>
      <c r="BF64" s="676"/>
      <c r="BG64" s="30"/>
      <c r="BH64" s="29"/>
      <c r="BI64" s="676"/>
      <c r="BJ64" s="676"/>
      <c r="BK64" s="676"/>
      <c r="BL64" s="30"/>
      <c r="BM64" s="29"/>
      <c r="BN64" s="676"/>
      <c r="BO64" s="676"/>
      <c r="BP64" s="676"/>
      <c r="BQ64" s="30"/>
      <c r="BR64" s="29"/>
    </row>
    <row r="65" spans="1:90" ht="6" hidden="1" customHeight="1" x14ac:dyDescent="0.25">
      <c r="A65" s="676"/>
      <c r="B65" s="676"/>
      <c r="C65" s="676"/>
      <c r="D65" s="675"/>
      <c r="E65" s="675"/>
      <c r="F65" s="676"/>
      <c r="G65" s="676"/>
      <c r="H65" s="676"/>
      <c r="I65" s="675"/>
      <c r="J65" s="675"/>
      <c r="K65" s="676"/>
      <c r="L65" s="676"/>
      <c r="M65" s="676"/>
      <c r="N65" s="675"/>
      <c r="O65" s="675"/>
      <c r="P65" s="676"/>
      <c r="Q65" s="676"/>
      <c r="R65" s="676"/>
      <c r="S65" s="675"/>
      <c r="T65" s="675"/>
      <c r="U65" s="676"/>
      <c r="V65" s="676"/>
      <c r="W65" s="676"/>
      <c r="X65" s="675"/>
      <c r="Y65" s="675"/>
      <c r="Z65" s="676"/>
      <c r="AA65" s="676"/>
      <c r="AB65" s="676"/>
      <c r="AC65" s="675"/>
      <c r="AD65" s="675"/>
      <c r="AE65" s="676"/>
      <c r="AF65" s="676"/>
      <c r="AG65" s="676"/>
      <c r="AH65" s="675"/>
      <c r="AI65" s="675"/>
      <c r="AJ65" s="676"/>
      <c r="AK65" s="676"/>
      <c r="AL65" s="676"/>
      <c r="AM65" s="675"/>
      <c r="AN65" s="675"/>
      <c r="AO65" s="676"/>
      <c r="AP65" s="676"/>
      <c r="AQ65" s="676"/>
      <c r="AR65" s="675"/>
      <c r="AS65" s="675"/>
      <c r="AT65" s="676"/>
      <c r="AU65" s="676"/>
      <c r="AV65" s="676"/>
      <c r="AW65" s="675"/>
      <c r="AX65" s="675"/>
      <c r="AY65" s="676"/>
      <c r="AZ65" s="676"/>
      <c r="BA65" s="676"/>
      <c r="BB65" s="675"/>
      <c r="BC65" s="675"/>
      <c r="BD65" s="676"/>
      <c r="BE65" s="676"/>
      <c r="BF65" s="676"/>
      <c r="BG65" s="675"/>
      <c r="BH65" s="675"/>
      <c r="BI65" s="676"/>
      <c r="BJ65" s="676"/>
      <c r="BK65" s="676"/>
      <c r="BL65" s="675"/>
      <c r="BM65" s="675"/>
      <c r="BN65" s="676"/>
      <c r="BO65" s="676"/>
      <c r="BP65" s="676"/>
      <c r="BQ65" s="675"/>
      <c r="BR65" s="675"/>
    </row>
    <row r="66" spans="1:90" ht="59.25" hidden="1" thickBot="1" x14ac:dyDescent="0.3">
      <c r="A66" s="677"/>
      <c r="B66" s="678"/>
      <c r="C66" s="678"/>
      <c r="D66" s="678"/>
      <c r="E66" s="678"/>
      <c r="F66" s="677"/>
      <c r="G66" s="678"/>
      <c r="H66" s="678"/>
      <c r="I66" s="678"/>
      <c r="J66" s="678"/>
      <c r="K66" s="677"/>
      <c r="L66" s="678"/>
      <c r="M66" s="678"/>
      <c r="N66" s="678"/>
      <c r="O66" s="678"/>
      <c r="P66" s="677"/>
      <c r="Q66" s="678"/>
      <c r="R66" s="678"/>
      <c r="S66" s="678"/>
      <c r="T66" s="678"/>
      <c r="U66" s="677"/>
      <c r="V66" s="678"/>
      <c r="W66" s="678"/>
      <c r="X66" s="678"/>
      <c r="Y66" s="678"/>
      <c r="Z66" s="677"/>
      <c r="AA66" s="678"/>
      <c r="AB66" s="678"/>
      <c r="AC66" s="678"/>
      <c r="AD66" s="678"/>
      <c r="AE66" s="677"/>
      <c r="AF66" s="678"/>
      <c r="AG66" s="678"/>
      <c r="AH66" s="678"/>
      <c r="AI66" s="678"/>
      <c r="AJ66" s="677"/>
      <c r="AK66" s="678"/>
      <c r="AL66" s="678"/>
      <c r="AM66" s="678"/>
      <c r="AN66" s="678"/>
      <c r="AO66" s="677"/>
      <c r="AP66" s="678"/>
      <c r="AQ66" s="678"/>
      <c r="AR66" s="678"/>
      <c r="AS66" s="678"/>
      <c r="AT66" s="677"/>
      <c r="AU66" s="678"/>
      <c r="AV66" s="678"/>
      <c r="AW66" s="678"/>
      <c r="AX66" s="678"/>
      <c r="AY66" s="677"/>
      <c r="AZ66" s="678"/>
      <c r="BA66" s="678"/>
      <c r="BB66" s="678"/>
      <c r="BC66" s="678"/>
      <c r="BD66" s="677"/>
      <c r="BE66" s="678"/>
      <c r="BF66" s="678"/>
      <c r="BG66" s="678"/>
      <c r="BH66" s="678"/>
      <c r="BI66" s="677"/>
      <c r="BJ66" s="678"/>
      <c r="BK66" s="678"/>
      <c r="BL66" s="678"/>
      <c r="BM66" s="678"/>
      <c r="BN66" s="677"/>
      <c r="BO66" s="678"/>
      <c r="BP66" s="678"/>
      <c r="BQ66" s="678"/>
      <c r="BR66" s="678"/>
    </row>
    <row r="67" spans="1:90" ht="27" hidden="1" thickBot="1" x14ac:dyDescent="0.3">
      <c r="A67" s="677"/>
      <c r="B67" s="32"/>
      <c r="C67" s="33"/>
      <c r="D67" s="34"/>
      <c r="E67" s="35"/>
      <c r="F67" s="677"/>
      <c r="G67" s="32"/>
      <c r="H67" s="33"/>
      <c r="I67" s="34"/>
      <c r="J67" s="35"/>
      <c r="K67" s="677"/>
      <c r="L67" s="32"/>
      <c r="M67" s="33"/>
      <c r="N67" s="34"/>
      <c r="O67" s="35"/>
      <c r="P67" s="677"/>
      <c r="Q67" s="32"/>
      <c r="R67" s="33"/>
      <c r="S67" s="34"/>
      <c r="T67" s="35"/>
      <c r="U67" s="677"/>
      <c r="V67" s="32"/>
      <c r="W67" s="33"/>
      <c r="X67" s="34"/>
      <c r="Y67" s="35"/>
      <c r="Z67" s="677"/>
      <c r="AA67" s="32"/>
      <c r="AB67" s="33"/>
      <c r="AC67" s="34"/>
      <c r="AD67" s="35"/>
      <c r="AE67" s="677"/>
      <c r="AF67" s="32"/>
      <c r="AG67" s="33"/>
      <c r="AH67" s="34"/>
      <c r="AI67" s="35"/>
      <c r="AJ67" s="677"/>
      <c r="AK67" s="32"/>
      <c r="AL67" s="33"/>
      <c r="AM67" s="34"/>
      <c r="AN67" s="35"/>
      <c r="AO67" s="677"/>
      <c r="AP67" s="32"/>
      <c r="AQ67" s="33"/>
      <c r="AR67" s="34"/>
      <c r="AS67" s="35"/>
      <c r="AT67" s="677"/>
      <c r="AU67" s="32"/>
      <c r="AV67" s="33"/>
      <c r="AW67" s="34"/>
      <c r="AX67" s="35"/>
      <c r="AY67" s="677"/>
      <c r="AZ67" s="32"/>
      <c r="BA67" s="33"/>
      <c r="BB67" s="34"/>
      <c r="BC67" s="35"/>
      <c r="BD67" s="677"/>
      <c r="BE67" s="32"/>
      <c r="BF67" s="33"/>
      <c r="BG67" s="34"/>
      <c r="BH67" s="35"/>
      <c r="BI67" s="677"/>
      <c r="BJ67" s="32"/>
      <c r="BK67" s="33"/>
      <c r="BL67" s="34"/>
      <c r="BM67" s="35"/>
      <c r="BN67" s="677"/>
      <c r="BO67" s="32"/>
      <c r="BP67" s="33"/>
      <c r="BQ67" s="34"/>
      <c r="BR67" s="35"/>
      <c r="BW67" s="27"/>
      <c r="BX67" s="27"/>
      <c r="BY67" s="27"/>
      <c r="BZ67" s="27"/>
      <c r="CA67" s="27"/>
      <c r="CB67" s="27"/>
      <c r="CC67" s="27"/>
      <c r="CD67" s="27"/>
      <c r="CE67" s="27"/>
    </row>
    <row r="68" spans="1:90" ht="26.1" hidden="1" customHeight="1" x14ac:dyDescent="0.25">
      <c r="A68" s="674"/>
      <c r="B68" s="674"/>
      <c r="C68" s="674"/>
      <c r="D68" s="675"/>
      <c r="E68" s="675"/>
      <c r="F68" s="674"/>
      <c r="G68" s="674"/>
      <c r="H68" s="674"/>
      <c r="I68" s="675"/>
      <c r="J68" s="675"/>
      <c r="K68" s="674"/>
      <c r="L68" s="674"/>
      <c r="M68" s="674"/>
      <c r="N68" s="675"/>
      <c r="O68" s="675"/>
      <c r="P68" s="674"/>
      <c r="Q68" s="674"/>
      <c r="R68" s="674"/>
      <c r="S68" s="675"/>
      <c r="T68" s="675"/>
      <c r="U68" s="674"/>
      <c r="V68" s="674"/>
      <c r="W68" s="674"/>
      <c r="X68" s="675"/>
      <c r="Y68" s="675"/>
      <c r="Z68" s="674"/>
      <c r="AA68" s="674"/>
      <c r="AB68" s="674"/>
      <c r="AC68" s="675"/>
      <c r="AD68" s="675"/>
      <c r="AE68" s="674"/>
      <c r="AF68" s="674"/>
      <c r="AG68" s="674"/>
      <c r="AH68" s="675"/>
      <c r="AI68" s="675"/>
      <c r="AJ68" s="674"/>
      <c r="AK68" s="674"/>
      <c r="AL68" s="674"/>
      <c r="AM68" s="675"/>
      <c r="AN68" s="675"/>
      <c r="AO68" s="674"/>
      <c r="AP68" s="674"/>
      <c r="AQ68" s="674"/>
      <c r="AR68" s="675"/>
      <c r="AS68" s="675"/>
      <c r="AT68" s="674"/>
      <c r="AU68" s="674"/>
      <c r="AV68" s="674"/>
      <c r="AW68" s="675"/>
      <c r="AX68" s="675"/>
      <c r="AY68" s="674"/>
      <c r="AZ68" s="674"/>
      <c r="BA68" s="674"/>
      <c r="BB68" s="675"/>
      <c r="BC68" s="675"/>
      <c r="BD68" s="674"/>
      <c r="BE68" s="674"/>
      <c r="BF68" s="674"/>
      <c r="BG68" s="675"/>
      <c r="BH68" s="675"/>
      <c r="BI68" s="674"/>
      <c r="BJ68" s="674"/>
      <c r="BK68" s="674"/>
      <c r="BL68" s="675"/>
      <c r="BM68" s="675"/>
      <c r="BN68" s="674"/>
      <c r="BO68" s="674"/>
      <c r="BP68" s="674"/>
      <c r="BQ68" s="675"/>
      <c r="BR68" s="675"/>
    </row>
    <row r="69" spans="1:90" ht="6.75" hidden="1" customHeight="1" x14ac:dyDescent="0.25">
      <c r="A69" s="676"/>
      <c r="B69" s="676"/>
      <c r="C69" s="676"/>
      <c r="D69" s="29"/>
      <c r="E69" s="29"/>
      <c r="F69" s="676"/>
      <c r="G69" s="676"/>
      <c r="H69" s="676"/>
      <c r="I69" s="29"/>
      <c r="J69" s="29"/>
      <c r="K69" s="676"/>
      <c r="L69" s="676"/>
      <c r="M69" s="676"/>
      <c r="N69" s="29"/>
      <c r="O69" s="29"/>
      <c r="P69" s="676"/>
      <c r="Q69" s="676"/>
      <c r="R69" s="676"/>
      <c r="S69" s="29"/>
      <c r="T69" s="29"/>
      <c r="U69" s="676"/>
      <c r="V69" s="676"/>
      <c r="W69" s="676"/>
      <c r="X69" s="29"/>
      <c r="Y69" s="29"/>
      <c r="Z69" s="676"/>
      <c r="AA69" s="676"/>
      <c r="AB69" s="676"/>
      <c r="AC69" s="29"/>
      <c r="AD69" s="29"/>
      <c r="AE69" s="676"/>
      <c r="AF69" s="676"/>
      <c r="AG69" s="676"/>
      <c r="AH69" s="29"/>
      <c r="AI69" s="29"/>
      <c r="AJ69" s="676"/>
      <c r="AK69" s="676"/>
      <c r="AL69" s="676"/>
      <c r="AM69" s="29"/>
      <c r="AN69" s="29"/>
      <c r="AO69" s="676"/>
      <c r="AP69" s="676"/>
      <c r="AQ69" s="676"/>
      <c r="AR69" s="29"/>
      <c r="AS69" s="29"/>
      <c r="AT69" s="676"/>
      <c r="AU69" s="676"/>
      <c r="AV69" s="676"/>
      <c r="AW69" s="29"/>
      <c r="AX69" s="29"/>
      <c r="AY69" s="676"/>
      <c r="AZ69" s="676"/>
      <c r="BA69" s="676"/>
      <c r="BB69" s="29"/>
      <c r="BC69" s="29"/>
      <c r="BD69" s="676"/>
      <c r="BE69" s="676"/>
      <c r="BF69" s="676"/>
      <c r="BG69" s="29"/>
      <c r="BH69" s="29"/>
      <c r="BI69" s="676"/>
      <c r="BJ69" s="676"/>
      <c r="BK69" s="676"/>
      <c r="BL69" s="29"/>
      <c r="BM69" s="29"/>
      <c r="BN69" s="676"/>
      <c r="BO69" s="676"/>
      <c r="BP69" s="676"/>
      <c r="BQ69" s="29"/>
      <c r="BR69" s="29"/>
    </row>
    <row r="70" spans="1:90" ht="21.95" hidden="1" customHeight="1" x14ac:dyDescent="0.25">
      <c r="A70" s="676"/>
      <c r="B70" s="676"/>
      <c r="C70" s="676"/>
      <c r="D70" s="30"/>
      <c r="E70" s="29"/>
      <c r="F70" s="676"/>
      <c r="G70" s="676"/>
      <c r="H70" s="676"/>
      <c r="I70" s="30"/>
      <c r="J70" s="29"/>
      <c r="K70" s="676"/>
      <c r="L70" s="676"/>
      <c r="M70" s="676"/>
      <c r="N70" s="30"/>
      <c r="O70" s="29"/>
      <c r="P70" s="676"/>
      <c r="Q70" s="676"/>
      <c r="R70" s="676"/>
      <c r="S70" s="30"/>
      <c r="T70" s="29"/>
      <c r="U70" s="676"/>
      <c r="V70" s="676"/>
      <c r="W70" s="676"/>
      <c r="X70" s="30"/>
      <c r="Y70" s="29"/>
      <c r="Z70" s="676"/>
      <c r="AA70" s="676"/>
      <c r="AB70" s="676"/>
      <c r="AC70" s="30"/>
      <c r="AD70" s="29"/>
      <c r="AE70" s="676"/>
      <c r="AF70" s="676"/>
      <c r="AG70" s="676"/>
      <c r="AH70" s="30"/>
      <c r="AI70" s="29"/>
      <c r="AJ70" s="676"/>
      <c r="AK70" s="676"/>
      <c r="AL70" s="676"/>
      <c r="AM70" s="30"/>
      <c r="AN70" s="29"/>
      <c r="AO70" s="676"/>
      <c r="AP70" s="676"/>
      <c r="AQ70" s="676"/>
      <c r="AR70" s="30"/>
      <c r="AS70" s="29"/>
      <c r="AT70" s="676"/>
      <c r="AU70" s="676"/>
      <c r="AV70" s="676"/>
      <c r="AW70" s="30"/>
      <c r="AX70" s="29"/>
      <c r="AY70" s="676"/>
      <c r="AZ70" s="676"/>
      <c r="BA70" s="676"/>
      <c r="BB70" s="30"/>
      <c r="BC70" s="29"/>
      <c r="BD70" s="676"/>
      <c r="BE70" s="676"/>
      <c r="BF70" s="676"/>
      <c r="BG70" s="30"/>
      <c r="BH70" s="29"/>
      <c r="BI70" s="676"/>
      <c r="BJ70" s="676"/>
      <c r="BK70" s="676"/>
      <c r="BL70" s="30"/>
      <c r="BM70" s="29"/>
      <c r="BN70" s="676"/>
      <c r="BO70" s="676"/>
      <c r="BP70" s="676"/>
      <c r="BQ70" s="30"/>
      <c r="BR70" s="29"/>
    </row>
    <row r="71" spans="1:90" ht="6" hidden="1" customHeight="1" x14ac:dyDescent="0.25">
      <c r="A71" s="676"/>
      <c r="B71" s="676"/>
      <c r="C71" s="676"/>
      <c r="D71" s="675"/>
      <c r="E71" s="675"/>
      <c r="F71" s="676"/>
      <c r="G71" s="676"/>
      <c r="H71" s="676"/>
      <c r="I71" s="675"/>
      <c r="J71" s="675"/>
      <c r="K71" s="676"/>
      <c r="L71" s="676"/>
      <c r="M71" s="676"/>
      <c r="N71" s="675"/>
      <c r="O71" s="675"/>
      <c r="P71" s="676"/>
      <c r="Q71" s="676"/>
      <c r="R71" s="676"/>
      <c r="S71" s="675"/>
      <c r="T71" s="675"/>
      <c r="U71" s="676"/>
      <c r="V71" s="676"/>
      <c r="W71" s="676"/>
      <c r="X71" s="675"/>
      <c r="Y71" s="675"/>
      <c r="Z71" s="676"/>
      <c r="AA71" s="676"/>
      <c r="AB71" s="676"/>
      <c r="AC71" s="675"/>
      <c r="AD71" s="675"/>
      <c r="AE71" s="676"/>
      <c r="AF71" s="676"/>
      <c r="AG71" s="676"/>
      <c r="AH71" s="675"/>
      <c r="AI71" s="675"/>
      <c r="AJ71" s="676"/>
      <c r="AK71" s="676"/>
      <c r="AL71" s="676"/>
      <c r="AM71" s="675"/>
      <c r="AN71" s="675"/>
      <c r="AO71" s="676"/>
      <c r="AP71" s="676"/>
      <c r="AQ71" s="676"/>
      <c r="AR71" s="675"/>
      <c r="AS71" s="675"/>
      <c r="AT71" s="676"/>
      <c r="AU71" s="676"/>
      <c r="AV71" s="676"/>
      <c r="AW71" s="675"/>
      <c r="AX71" s="675"/>
      <c r="AY71" s="676"/>
      <c r="AZ71" s="676"/>
      <c r="BA71" s="676"/>
      <c r="BB71" s="675"/>
      <c r="BC71" s="675"/>
      <c r="BD71" s="676"/>
      <c r="BE71" s="676"/>
      <c r="BF71" s="676"/>
      <c r="BG71" s="675"/>
      <c r="BH71" s="675"/>
      <c r="BI71" s="676"/>
      <c r="BJ71" s="676"/>
      <c r="BK71" s="676"/>
      <c r="BL71" s="675"/>
      <c r="BM71" s="675"/>
      <c r="BN71" s="676"/>
      <c r="BO71" s="676"/>
      <c r="BP71" s="676"/>
      <c r="BQ71" s="675"/>
      <c r="BR71" s="675"/>
    </row>
    <row r="72" spans="1:90" ht="59.25" hidden="1" thickBot="1" x14ac:dyDescent="0.3">
      <c r="A72" s="677"/>
      <c r="B72" s="678"/>
      <c r="C72" s="678"/>
      <c r="D72" s="678"/>
      <c r="E72" s="678"/>
      <c r="F72" s="677"/>
      <c r="G72" s="678"/>
      <c r="H72" s="678"/>
      <c r="I72" s="678"/>
      <c r="J72" s="678"/>
      <c r="K72" s="677"/>
      <c r="L72" s="678"/>
      <c r="M72" s="678"/>
      <c r="N72" s="678"/>
      <c r="O72" s="678"/>
      <c r="P72" s="677"/>
      <c r="Q72" s="678"/>
      <c r="R72" s="678"/>
      <c r="S72" s="678"/>
      <c r="T72" s="678"/>
      <c r="U72" s="677"/>
      <c r="V72" s="678"/>
      <c r="W72" s="678"/>
      <c r="X72" s="678"/>
      <c r="Y72" s="678"/>
      <c r="Z72" s="677"/>
      <c r="AA72" s="678"/>
      <c r="AB72" s="678"/>
      <c r="AC72" s="678"/>
      <c r="AD72" s="678"/>
      <c r="AE72" s="677"/>
      <c r="AF72" s="678"/>
      <c r="AG72" s="678"/>
      <c r="AH72" s="678"/>
      <c r="AI72" s="678"/>
      <c r="AJ72" s="677"/>
      <c r="AK72" s="678"/>
      <c r="AL72" s="678"/>
      <c r="AM72" s="678"/>
      <c r="AN72" s="678"/>
      <c r="AO72" s="677"/>
      <c r="AP72" s="678"/>
      <c r="AQ72" s="678"/>
      <c r="AR72" s="678"/>
      <c r="AS72" s="678"/>
      <c r="AT72" s="677"/>
      <c r="AU72" s="678"/>
      <c r="AV72" s="678"/>
      <c r="AW72" s="678"/>
      <c r="AX72" s="678"/>
      <c r="AY72" s="677"/>
      <c r="AZ72" s="678"/>
      <c r="BA72" s="678"/>
      <c r="BB72" s="678"/>
      <c r="BC72" s="678"/>
      <c r="BD72" s="677"/>
      <c r="BE72" s="678"/>
      <c r="BF72" s="678"/>
      <c r="BG72" s="678"/>
      <c r="BH72" s="678"/>
      <c r="BI72" s="677"/>
      <c r="BJ72" s="678"/>
      <c r="BK72" s="678"/>
      <c r="BL72" s="678"/>
      <c r="BM72" s="678"/>
      <c r="BN72" s="677"/>
      <c r="BO72" s="678"/>
      <c r="BP72" s="678"/>
      <c r="BQ72" s="678"/>
      <c r="BR72" s="678"/>
    </row>
    <row r="73" spans="1:90" ht="27" hidden="1" thickBot="1" x14ac:dyDescent="0.3">
      <c r="A73" s="677"/>
      <c r="B73" s="32"/>
      <c r="C73" s="33"/>
      <c r="D73" s="34"/>
      <c r="E73" s="35"/>
      <c r="F73" s="677"/>
      <c r="G73" s="32"/>
      <c r="H73" s="33"/>
      <c r="I73" s="34"/>
      <c r="J73" s="35"/>
      <c r="K73" s="677"/>
      <c r="L73" s="32"/>
      <c r="M73" s="33"/>
      <c r="N73" s="34"/>
      <c r="O73" s="35"/>
      <c r="P73" s="677"/>
      <c r="Q73" s="32"/>
      <c r="R73" s="33"/>
      <c r="S73" s="34"/>
      <c r="T73" s="35"/>
      <c r="U73" s="677"/>
      <c r="V73" s="32"/>
      <c r="W73" s="33"/>
      <c r="X73" s="34"/>
      <c r="Y73" s="35"/>
      <c r="Z73" s="677"/>
      <c r="AA73" s="32"/>
      <c r="AB73" s="33"/>
      <c r="AC73" s="34"/>
      <c r="AD73" s="35"/>
      <c r="AE73" s="677"/>
      <c r="AF73" s="32"/>
      <c r="AG73" s="33"/>
      <c r="AH73" s="34"/>
      <c r="AI73" s="35"/>
      <c r="AJ73" s="677"/>
      <c r="AK73" s="32"/>
      <c r="AL73" s="33"/>
      <c r="AM73" s="34"/>
      <c r="AN73" s="35"/>
      <c r="AO73" s="677"/>
      <c r="AP73" s="32"/>
      <c r="AQ73" s="33"/>
      <c r="AR73" s="34"/>
      <c r="AS73" s="35"/>
      <c r="AT73" s="677"/>
      <c r="AU73" s="32"/>
      <c r="AV73" s="33"/>
      <c r="AW73" s="34"/>
      <c r="AX73" s="35"/>
      <c r="AY73" s="677"/>
      <c r="AZ73" s="32"/>
      <c r="BA73" s="33"/>
      <c r="BB73" s="34"/>
      <c r="BC73" s="35"/>
      <c r="BD73" s="677"/>
      <c r="BE73" s="32"/>
      <c r="BF73" s="33"/>
      <c r="BG73" s="34"/>
      <c r="BH73" s="35"/>
      <c r="BI73" s="677"/>
      <c r="BJ73" s="32"/>
      <c r="BK73" s="33"/>
      <c r="BL73" s="34"/>
      <c r="BM73" s="35"/>
      <c r="BN73" s="677"/>
      <c r="BO73" s="32"/>
      <c r="BP73" s="33"/>
      <c r="BQ73" s="34"/>
      <c r="BR73" s="35"/>
      <c r="BW73" s="27"/>
      <c r="BX73" s="27"/>
      <c r="BY73" s="27"/>
      <c r="BZ73" s="27"/>
      <c r="CA73" s="27"/>
      <c r="CB73" s="27"/>
      <c r="CC73" s="27"/>
      <c r="CD73" s="27"/>
      <c r="CE73" s="27"/>
    </row>
    <row r="74" spans="1:90" s="42" customFormat="1" ht="30" hidden="1" customHeight="1" thickTop="1" x14ac:dyDescent="0.25">
      <c r="A74" s="37"/>
      <c r="B74" s="38"/>
      <c r="C74" s="39"/>
      <c r="D74" s="40"/>
      <c r="E74" s="41"/>
      <c r="F74" s="37"/>
      <c r="G74" s="38"/>
      <c r="H74" s="39"/>
      <c r="I74" s="40"/>
      <c r="J74" s="41"/>
      <c r="K74" s="37"/>
      <c r="L74" s="38"/>
      <c r="M74" s="39"/>
      <c r="N74" s="40"/>
      <c r="O74" s="41"/>
      <c r="P74" s="37"/>
      <c r="Q74" s="38"/>
      <c r="R74" s="39"/>
      <c r="S74" s="40"/>
      <c r="T74" s="41"/>
      <c r="U74" s="37"/>
      <c r="V74" s="38"/>
      <c r="W74" s="39"/>
      <c r="X74" s="90"/>
      <c r="Y74" s="90"/>
      <c r="Z74" s="90"/>
      <c r="AA74" s="90"/>
      <c r="AB74" s="90"/>
      <c r="AC74" s="90"/>
      <c r="AD74" s="90"/>
      <c r="AE74" s="90"/>
      <c r="AF74" s="90"/>
      <c r="AG74" s="90"/>
      <c r="AH74" s="90"/>
      <c r="AI74" s="90"/>
      <c r="AJ74" s="37"/>
      <c r="AK74" s="38"/>
      <c r="AL74" s="39"/>
      <c r="AM74" s="40"/>
      <c r="AN74" s="41"/>
      <c r="AO74" s="37"/>
      <c r="AP74" s="38"/>
      <c r="AQ74" s="39"/>
      <c r="AR74" s="40"/>
      <c r="AS74" s="41"/>
      <c r="AT74" s="37"/>
      <c r="AU74" s="38"/>
      <c r="AV74" s="39"/>
      <c r="AW74" s="40"/>
      <c r="AX74" s="41"/>
      <c r="AY74" s="37"/>
      <c r="AZ74" s="38"/>
      <c r="BA74" s="39"/>
      <c r="BB74" s="40"/>
      <c r="BC74" s="41"/>
      <c r="BD74" s="37"/>
      <c r="BE74" s="38"/>
      <c r="BF74" s="39"/>
      <c r="BG74" s="40"/>
      <c r="BH74" s="41"/>
      <c r="BI74" s="37"/>
      <c r="BJ74" s="38"/>
      <c r="BK74" s="39"/>
      <c r="BL74" s="40"/>
      <c r="BM74" s="41"/>
      <c r="BN74" s="37"/>
      <c r="BO74" s="38"/>
      <c r="BP74" s="39"/>
      <c r="BQ74" s="40"/>
      <c r="BR74" s="41"/>
      <c r="BW74" s="43"/>
      <c r="BX74" s="43"/>
      <c r="BY74" s="43"/>
      <c r="BZ74" s="43"/>
      <c r="CA74" s="43"/>
      <c r="CB74" s="43"/>
      <c r="CC74" s="43"/>
      <c r="CD74" s="43"/>
      <c r="CE74" s="43"/>
    </row>
    <row r="75" spans="1:90" ht="21.75" hidden="1" customHeight="1" x14ac:dyDescent="0.25">
      <c r="A75" s="674"/>
      <c r="B75" s="674"/>
      <c r="C75" s="674"/>
      <c r="D75" s="675"/>
      <c r="E75" s="675"/>
      <c r="F75" s="44"/>
      <c r="G75" s="702"/>
      <c r="H75" s="702"/>
      <c r="I75" s="702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90"/>
      <c r="Y75" s="90"/>
      <c r="Z75" s="90"/>
      <c r="AA75" s="90"/>
      <c r="AB75" s="90"/>
      <c r="AC75" s="90"/>
      <c r="AD75" s="90"/>
      <c r="AE75" s="90"/>
      <c r="AF75" s="90"/>
      <c r="AG75" s="90"/>
      <c r="AH75" s="90"/>
      <c r="AI75" s="90"/>
      <c r="AJ75" s="90"/>
      <c r="AK75" s="90"/>
      <c r="AL75" s="90"/>
      <c r="AM75" s="90"/>
      <c r="AN75" s="90"/>
      <c r="AO75" s="90"/>
      <c r="AP75" s="90"/>
      <c r="AQ75" s="90"/>
      <c r="AR75" s="90"/>
      <c r="AS75" s="90"/>
      <c r="AT75" s="46"/>
      <c r="AU75" s="91"/>
      <c r="AV75" s="91"/>
      <c r="AW75" s="91"/>
      <c r="AX75" s="91"/>
      <c r="AY75" s="91"/>
      <c r="AZ75" s="91"/>
      <c r="BA75" s="91"/>
      <c r="BB75" s="91"/>
      <c r="BC75" s="91"/>
      <c r="BD75" s="91"/>
      <c r="BE75" s="91"/>
      <c r="BF75" s="91"/>
      <c r="BG75" s="45"/>
      <c r="BH75" s="45"/>
      <c r="BI75" s="45"/>
      <c r="BJ75" s="45"/>
      <c r="BK75" s="45"/>
      <c r="BL75" s="92"/>
      <c r="BM75" s="92"/>
      <c r="BN75" s="92"/>
      <c r="BO75" s="92"/>
      <c r="BP75" s="93"/>
      <c r="BQ75" s="93"/>
      <c r="BR75" s="93"/>
    </row>
    <row r="76" spans="1:90" ht="6.75" hidden="1" customHeight="1" x14ac:dyDescent="0.25">
      <c r="A76" s="676"/>
      <c r="B76" s="676"/>
      <c r="C76" s="676"/>
      <c r="D76" s="29"/>
      <c r="E76" s="29"/>
      <c r="F76" s="47"/>
      <c r="G76" s="702"/>
      <c r="H76" s="702"/>
      <c r="I76" s="702"/>
      <c r="J76" s="48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90"/>
      <c r="Y76" s="90"/>
      <c r="Z76" s="90"/>
      <c r="AA76" s="90"/>
      <c r="AB76" s="90"/>
      <c r="AC76" s="90"/>
      <c r="AD76" s="90"/>
      <c r="AE76" s="90"/>
      <c r="AF76" s="90"/>
      <c r="AG76" s="90"/>
      <c r="AH76" s="90"/>
      <c r="AI76" s="90"/>
      <c r="AJ76" s="90"/>
      <c r="AK76" s="90"/>
      <c r="AL76" s="90"/>
      <c r="AM76" s="90"/>
      <c r="AN76" s="90"/>
      <c r="AO76" s="90"/>
      <c r="AP76" s="90"/>
      <c r="AQ76" s="90"/>
      <c r="AR76" s="90"/>
      <c r="AS76" s="90"/>
      <c r="AT76" s="46"/>
      <c r="AU76" s="91"/>
      <c r="AV76" s="91"/>
      <c r="AW76" s="91"/>
      <c r="AX76" s="91"/>
      <c r="AY76" s="91"/>
      <c r="AZ76" s="91"/>
      <c r="BA76" s="91"/>
      <c r="BB76" s="91"/>
      <c r="BC76" s="91"/>
      <c r="BD76" s="91"/>
      <c r="BE76" s="91"/>
      <c r="BF76" s="91"/>
      <c r="BG76" s="45"/>
      <c r="BH76" s="45"/>
      <c r="BI76" s="45"/>
      <c r="BJ76" s="45"/>
      <c r="BK76" s="45"/>
      <c r="BL76" s="92"/>
      <c r="BM76" s="92"/>
      <c r="BN76" s="92"/>
      <c r="BO76" s="92"/>
      <c r="BP76" s="93"/>
      <c r="BQ76" s="93"/>
      <c r="BR76" s="93"/>
    </row>
    <row r="77" spans="1:90" ht="37.5" hidden="1" customHeight="1" x14ac:dyDescent="0.25">
      <c r="A77" s="676"/>
      <c r="B77" s="676"/>
      <c r="C77" s="676"/>
      <c r="D77" s="29"/>
      <c r="E77" s="29"/>
      <c r="F77" s="47"/>
      <c r="G77" s="702"/>
      <c r="H77" s="702"/>
      <c r="I77" s="702"/>
      <c r="J77" s="48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90"/>
      <c r="Y77" s="90"/>
      <c r="Z77" s="90"/>
      <c r="AA77" s="90"/>
      <c r="AB77" s="90"/>
      <c r="AC77" s="90"/>
      <c r="AD77" s="90"/>
      <c r="AE77" s="90"/>
      <c r="AF77" s="90"/>
      <c r="AG77" s="90"/>
      <c r="AH77" s="90"/>
      <c r="AI77" s="90"/>
      <c r="AJ77" s="90"/>
      <c r="AK77" s="90"/>
      <c r="AL77" s="90"/>
      <c r="AM77" s="90"/>
      <c r="AN77" s="90"/>
      <c r="AO77" s="90"/>
      <c r="AP77" s="90"/>
      <c r="AQ77" s="90"/>
      <c r="AR77" s="90"/>
      <c r="AS77" s="90"/>
      <c r="AT77" s="46"/>
      <c r="AU77" s="91"/>
      <c r="AV77" s="91"/>
      <c r="AW77" s="91"/>
      <c r="AX77" s="91"/>
      <c r="AY77" s="91"/>
      <c r="AZ77" s="91"/>
      <c r="BA77" s="91"/>
      <c r="BB77" s="91"/>
      <c r="BC77" s="91"/>
      <c r="BD77" s="91"/>
      <c r="BE77" s="91"/>
      <c r="BF77" s="91"/>
      <c r="BG77" s="45"/>
      <c r="BH77" s="45"/>
      <c r="BI77" s="45"/>
      <c r="BJ77" s="45"/>
      <c r="BK77" s="45"/>
      <c r="BL77" s="92"/>
      <c r="BM77" s="92"/>
      <c r="BN77" s="92"/>
      <c r="BO77" s="92"/>
      <c r="BP77" s="93"/>
      <c r="BQ77" s="93"/>
      <c r="BR77" s="93"/>
    </row>
    <row r="78" spans="1:90" ht="6" hidden="1" customHeight="1" x14ac:dyDescent="0.25">
      <c r="A78" s="676"/>
      <c r="B78" s="676"/>
      <c r="C78" s="676"/>
      <c r="D78" s="675"/>
      <c r="E78" s="675"/>
      <c r="F78" s="47"/>
      <c r="G78" s="703"/>
      <c r="H78" s="703"/>
      <c r="I78" s="703"/>
      <c r="J78" s="48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90"/>
      <c r="Y78" s="90"/>
      <c r="Z78" s="90"/>
      <c r="AA78" s="90"/>
      <c r="AB78" s="90"/>
      <c r="AC78" s="90"/>
      <c r="AD78" s="90"/>
      <c r="AE78" s="90"/>
      <c r="AF78" s="90"/>
      <c r="AG78" s="90"/>
      <c r="AH78" s="90"/>
      <c r="AI78" s="90"/>
      <c r="AJ78" s="90"/>
      <c r="AK78" s="90"/>
      <c r="AL78" s="90"/>
      <c r="AM78" s="90"/>
      <c r="AN78" s="90"/>
      <c r="AO78" s="90"/>
      <c r="AP78" s="90"/>
      <c r="AQ78" s="90"/>
      <c r="AR78" s="90"/>
      <c r="AS78" s="90"/>
      <c r="AT78" s="46"/>
      <c r="AU78" s="91"/>
      <c r="AV78" s="91"/>
      <c r="AW78" s="91"/>
      <c r="AX78" s="91"/>
      <c r="AY78" s="91"/>
      <c r="AZ78" s="91"/>
      <c r="BA78" s="91"/>
      <c r="BB78" s="91"/>
      <c r="BC78" s="91"/>
      <c r="BD78" s="91"/>
      <c r="BE78" s="91"/>
      <c r="BF78" s="91"/>
      <c r="BG78" s="45"/>
      <c r="BH78" s="45"/>
      <c r="BI78" s="45"/>
      <c r="BJ78" s="45"/>
      <c r="BK78" s="45"/>
      <c r="BL78" s="92"/>
      <c r="BM78" s="92"/>
      <c r="BN78" s="92"/>
      <c r="BO78" s="92"/>
      <c r="BP78" s="93"/>
      <c r="BQ78" s="93"/>
      <c r="BR78" s="93"/>
    </row>
    <row r="79" spans="1:90" ht="30" hidden="1" customHeight="1" x14ac:dyDescent="0.25">
      <c r="B79" s="17"/>
      <c r="G79" s="703"/>
      <c r="H79" s="703"/>
      <c r="I79" s="703"/>
      <c r="J79" s="48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116"/>
      <c r="Y79" s="116"/>
      <c r="Z79" s="116"/>
      <c r="AA79" s="116"/>
      <c r="AB79" s="116"/>
      <c r="AC79" s="116"/>
      <c r="AD79" s="116"/>
      <c r="AE79" s="116"/>
      <c r="AF79" s="116"/>
      <c r="AG79" s="116"/>
      <c r="AH79" s="116"/>
      <c r="AI79" s="116"/>
      <c r="AJ79" s="115"/>
      <c r="AK79" s="115"/>
      <c r="AL79" s="115"/>
      <c r="AM79" s="115"/>
      <c r="AN79" s="115"/>
      <c r="AO79" s="115"/>
      <c r="AP79" s="115"/>
      <c r="AQ79" s="115"/>
      <c r="AR79" s="115"/>
      <c r="AS79" s="115"/>
      <c r="AT79" s="115"/>
      <c r="AU79" s="94"/>
      <c r="AV79" s="94"/>
      <c r="AW79" s="94"/>
      <c r="AX79" s="94"/>
      <c r="AY79" s="94"/>
      <c r="AZ79" s="94"/>
      <c r="BA79" s="94"/>
      <c r="BB79" s="94"/>
      <c r="BC79" s="94"/>
      <c r="BD79" s="94"/>
      <c r="BE79" s="94"/>
      <c r="BF79" s="94"/>
      <c r="BG79" s="45"/>
      <c r="BH79" s="45"/>
      <c r="BI79" s="45"/>
      <c r="BJ79" s="45"/>
      <c r="BK79" s="45"/>
      <c r="BL79" s="95"/>
      <c r="BM79" s="95"/>
      <c r="BN79" s="95"/>
      <c r="BO79" s="95"/>
      <c r="BP79" s="95"/>
      <c r="BQ79" s="95"/>
      <c r="BR79" s="95"/>
      <c r="BS79" s="50"/>
      <c r="BT79" s="50"/>
      <c r="BW79" s="51"/>
      <c r="BX79" s="51"/>
      <c r="BY79" s="51"/>
      <c r="BZ79" s="51"/>
      <c r="CA79" s="51"/>
      <c r="CB79" s="51"/>
      <c r="CC79" s="27"/>
      <c r="CD79" s="27"/>
      <c r="CE79" s="27"/>
      <c r="CG79" s="27"/>
      <c r="CH79" s="27"/>
      <c r="CI79" s="27"/>
      <c r="CJ79" s="27"/>
      <c r="CK79" s="27"/>
      <c r="CL79" s="27"/>
    </row>
    <row r="80" spans="1:90" ht="34.5" hidden="1" customHeight="1" x14ac:dyDescent="0.25">
      <c r="G80" s="703"/>
      <c r="H80" s="703"/>
      <c r="I80" s="703"/>
      <c r="J80" s="52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116"/>
      <c r="Y80" s="116"/>
      <c r="Z80" s="116"/>
      <c r="AA80" s="116"/>
      <c r="AB80" s="116"/>
      <c r="AC80" s="116"/>
      <c r="AD80" s="116"/>
      <c r="AE80" s="116"/>
      <c r="AF80" s="116"/>
      <c r="AG80" s="116"/>
      <c r="AH80" s="116"/>
      <c r="AI80" s="116"/>
      <c r="AJ80" s="115"/>
      <c r="AK80" s="115"/>
      <c r="AL80" s="115"/>
      <c r="AM80" s="115"/>
      <c r="AN80" s="115"/>
      <c r="AO80" s="115"/>
      <c r="AP80" s="115"/>
      <c r="AQ80" s="115"/>
      <c r="AR80" s="115"/>
      <c r="AS80" s="115"/>
      <c r="AT80" s="115"/>
      <c r="AU80" s="94"/>
      <c r="AV80" s="94"/>
      <c r="AW80" s="94"/>
      <c r="AX80" s="94"/>
      <c r="AY80" s="94"/>
      <c r="AZ80" s="94"/>
      <c r="BA80" s="94"/>
      <c r="BB80" s="94"/>
      <c r="BC80" s="94"/>
      <c r="BD80" s="94"/>
      <c r="BE80" s="94"/>
      <c r="BF80" s="94"/>
      <c r="BG80" s="45"/>
      <c r="BH80" s="45"/>
      <c r="BI80" s="45"/>
      <c r="BJ80" s="45"/>
      <c r="BK80" s="45"/>
      <c r="BL80" s="95"/>
      <c r="BM80" s="95"/>
      <c r="BN80" s="95"/>
      <c r="BO80" s="95"/>
      <c r="BP80" s="95"/>
      <c r="BQ80" s="95"/>
      <c r="BR80" s="95"/>
      <c r="BS80" s="50"/>
      <c r="BT80" s="50"/>
      <c r="BW80" s="27"/>
      <c r="BX80" s="27"/>
      <c r="BY80" s="27"/>
      <c r="BZ80" s="27"/>
      <c r="CA80" s="27"/>
      <c r="CB80" s="27"/>
      <c r="CC80" s="27"/>
      <c r="CD80" s="27"/>
      <c r="CE80" s="27"/>
      <c r="CG80" s="27"/>
      <c r="CH80" s="27"/>
      <c r="CI80" s="27"/>
      <c r="CJ80" s="27"/>
      <c r="CK80" s="27"/>
      <c r="CL80" s="27"/>
    </row>
    <row r="81" spans="1:90" ht="15" hidden="1" customHeight="1" x14ac:dyDescent="0.25">
      <c r="G81" s="709"/>
      <c r="H81" s="709"/>
      <c r="I81" s="709"/>
      <c r="J81" s="52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116"/>
      <c r="Y81" s="116"/>
      <c r="Z81" s="116"/>
      <c r="AA81" s="116"/>
      <c r="AB81" s="116"/>
      <c r="AC81" s="116"/>
      <c r="AD81" s="116"/>
      <c r="AE81" s="116"/>
      <c r="AF81" s="116"/>
      <c r="AG81" s="116"/>
      <c r="AH81" s="116"/>
      <c r="AI81" s="116"/>
      <c r="AJ81" s="115"/>
      <c r="AK81" s="115"/>
      <c r="AL81" s="115"/>
      <c r="AM81" s="115"/>
      <c r="AN81" s="115"/>
      <c r="AO81" s="115"/>
      <c r="AP81" s="115"/>
      <c r="AQ81" s="115"/>
      <c r="AR81" s="115"/>
      <c r="AS81" s="115"/>
      <c r="AT81" s="115"/>
      <c r="AU81" s="94"/>
      <c r="AV81" s="94"/>
      <c r="AW81" s="94"/>
      <c r="AX81" s="94"/>
      <c r="AY81" s="94"/>
      <c r="AZ81" s="94"/>
      <c r="BA81" s="94"/>
      <c r="BB81" s="94"/>
      <c r="BC81" s="94"/>
      <c r="BD81" s="94"/>
      <c r="BE81" s="94"/>
      <c r="BF81" s="94"/>
      <c r="BG81" s="45"/>
      <c r="BH81" s="45"/>
      <c r="BI81" s="45"/>
      <c r="BJ81" s="45"/>
      <c r="BK81" s="45"/>
      <c r="BL81" s="95"/>
      <c r="BM81" s="95"/>
      <c r="BN81" s="95"/>
      <c r="BO81" s="95"/>
      <c r="BP81" s="95"/>
      <c r="BQ81" s="95"/>
      <c r="BR81" s="95"/>
      <c r="BS81" s="50"/>
      <c r="BT81" s="50"/>
      <c r="BW81" s="27"/>
      <c r="BX81" s="27"/>
      <c r="BY81" s="27"/>
      <c r="BZ81" s="27"/>
      <c r="CA81" s="27"/>
      <c r="CB81" s="27"/>
      <c r="CC81" s="27"/>
      <c r="CD81" s="27"/>
      <c r="CE81" s="27"/>
      <c r="CG81" s="27"/>
      <c r="CH81" s="27"/>
      <c r="CI81" s="27"/>
      <c r="CJ81" s="27"/>
      <c r="CK81" s="27"/>
      <c r="CL81" s="27"/>
    </row>
    <row r="82" spans="1:90" ht="15" hidden="1" customHeight="1" x14ac:dyDescent="0.25">
      <c r="G82" s="709"/>
      <c r="H82" s="709"/>
      <c r="I82" s="709"/>
      <c r="J82" s="52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116"/>
      <c r="Y82" s="116"/>
      <c r="Z82" s="116"/>
      <c r="AA82" s="116"/>
      <c r="AB82" s="116"/>
      <c r="AC82" s="116"/>
      <c r="AD82" s="116"/>
      <c r="AE82" s="116"/>
      <c r="AF82" s="116"/>
      <c r="AG82" s="116"/>
      <c r="AH82" s="116"/>
      <c r="AI82" s="116"/>
      <c r="AJ82" s="115"/>
      <c r="AK82" s="115"/>
      <c r="AL82" s="115"/>
      <c r="AM82" s="115"/>
      <c r="AN82" s="115"/>
      <c r="AO82" s="115"/>
      <c r="AP82" s="115"/>
      <c r="AQ82" s="115"/>
      <c r="AR82" s="115"/>
      <c r="AS82" s="115"/>
      <c r="AT82" s="115"/>
      <c r="AU82" s="94"/>
      <c r="AV82" s="94"/>
      <c r="AW82" s="94"/>
      <c r="AX82" s="94"/>
      <c r="AY82" s="94"/>
      <c r="AZ82" s="94"/>
      <c r="BA82" s="94"/>
      <c r="BB82" s="94"/>
      <c r="BC82" s="94"/>
      <c r="BD82" s="94"/>
      <c r="BE82" s="94"/>
      <c r="BF82" s="94"/>
      <c r="BG82" s="45"/>
      <c r="BH82" s="45"/>
      <c r="BI82" s="45"/>
      <c r="BJ82" s="45"/>
      <c r="BK82" s="45"/>
      <c r="BL82" s="95"/>
      <c r="BM82" s="95"/>
      <c r="BN82" s="95"/>
      <c r="BO82" s="95"/>
      <c r="BP82" s="95"/>
      <c r="BQ82" s="95"/>
      <c r="BR82" s="95"/>
      <c r="BS82" s="50"/>
      <c r="BT82" s="50"/>
      <c r="BW82" s="27"/>
      <c r="BX82" s="27"/>
      <c r="BY82" s="27"/>
      <c r="BZ82" s="27"/>
      <c r="CA82" s="27"/>
      <c r="CB82" s="27"/>
      <c r="CC82" s="27"/>
      <c r="CD82" s="27"/>
      <c r="CE82" s="27"/>
      <c r="CG82" s="27"/>
      <c r="CH82" s="27"/>
      <c r="CI82" s="27"/>
      <c r="CJ82" s="27"/>
      <c r="CK82" s="27"/>
      <c r="CL82" s="27"/>
    </row>
    <row r="83" spans="1:90" ht="15" hidden="1" customHeight="1" x14ac:dyDescent="0.25">
      <c r="G83" s="709"/>
      <c r="H83" s="709"/>
      <c r="I83" s="709"/>
      <c r="J83" s="52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116"/>
      <c r="Y83" s="116"/>
      <c r="Z83" s="116"/>
      <c r="AA83" s="116"/>
      <c r="AB83" s="116"/>
      <c r="AC83" s="116"/>
      <c r="AD83" s="116"/>
      <c r="AE83" s="116"/>
      <c r="AF83" s="116"/>
      <c r="AG83" s="116"/>
      <c r="AH83" s="116"/>
      <c r="AI83" s="116"/>
      <c r="AJ83" s="115"/>
      <c r="AK83" s="115"/>
      <c r="AL83" s="115"/>
      <c r="AM83" s="115"/>
      <c r="AN83" s="115"/>
      <c r="AO83" s="115"/>
      <c r="AP83" s="115"/>
      <c r="AQ83" s="115"/>
      <c r="AR83" s="115"/>
      <c r="AS83" s="115"/>
      <c r="AT83" s="115"/>
      <c r="AU83" s="94"/>
      <c r="AV83" s="94"/>
      <c r="AW83" s="94"/>
      <c r="AX83" s="94"/>
      <c r="AY83" s="94"/>
      <c r="AZ83" s="94"/>
      <c r="BA83" s="94"/>
      <c r="BB83" s="94"/>
      <c r="BC83" s="94"/>
      <c r="BD83" s="94"/>
      <c r="BE83" s="94"/>
      <c r="BF83" s="94"/>
      <c r="BG83" s="45"/>
      <c r="BH83" s="45"/>
      <c r="BI83" s="45"/>
      <c r="BJ83" s="45"/>
      <c r="BK83" s="45"/>
      <c r="BL83" s="45"/>
      <c r="BM83" s="45"/>
      <c r="BN83" s="45"/>
      <c r="BO83" s="45"/>
      <c r="BP83" s="45"/>
      <c r="BQ83" s="45"/>
      <c r="BR83" s="45"/>
      <c r="BS83" s="53"/>
      <c r="BT83" s="53"/>
    </row>
    <row r="84" spans="1:90" ht="22.5" hidden="1" customHeight="1" x14ac:dyDescent="0.25">
      <c r="G84" s="709"/>
      <c r="H84" s="709"/>
      <c r="I84" s="709"/>
      <c r="J84" s="52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116"/>
      <c r="Y84" s="116"/>
      <c r="Z84" s="116"/>
      <c r="AA84" s="116"/>
      <c r="AB84" s="116"/>
      <c r="AC84" s="116"/>
      <c r="AD84" s="116"/>
      <c r="AE84" s="116"/>
      <c r="AF84" s="116"/>
      <c r="AG84" s="116"/>
      <c r="AH84" s="116"/>
      <c r="AI84" s="116"/>
      <c r="AJ84" s="115"/>
      <c r="AK84" s="115"/>
      <c r="AL84" s="115"/>
      <c r="AM84" s="115"/>
      <c r="AN84" s="115"/>
      <c r="AO84" s="115"/>
      <c r="AP84" s="115"/>
      <c r="AQ84" s="115"/>
      <c r="AR84" s="115"/>
      <c r="AS84" s="115"/>
      <c r="AT84" s="115"/>
      <c r="AU84" s="94"/>
      <c r="AV84" s="94"/>
      <c r="AW84" s="94"/>
      <c r="AX84" s="94"/>
      <c r="AY84" s="94"/>
      <c r="AZ84" s="94"/>
      <c r="BA84" s="94"/>
      <c r="BB84" s="94"/>
      <c r="BC84" s="94"/>
      <c r="BD84" s="94"/>
      <c r="BE84" s="94"/>
      <c r="BF84" s="94"/>
      <c r="BG84" s="45"/>
      <c r="BH84" s="45"/>
      <c r="BI84" s="45"/>
      <c r="BJ84" s="45"/>
      <c r="BK84" s="45"/>
      <c r="BL84" s="45"/>
      <c r="BM84" s="45"/>
      <c r="BN84" s="45"/>
      <c r="BO84" s="45"/>
      <c r="BP84" s="45"/>
      <c r="BQ84" s="45"/>
      <c r="BR84" s="45"/>
      <c r="BS84" s="53"/>
      <c r="BT84" s="53"/>
    </row>
    <row r="85" spans="1:90" ht="23.25" hidden="1" x14ac:dyDescent="0.35">
      <c r="A85" s="54"/>
      <c r="E85" s="54"/>
      <c r="F85" s="54"/>
      <c r="G85" s="54"/>
      <c r="H85" s="54"/>
      <c r="I85" s="54"/>
      <c r="J85" s="54"/>
      <c r="K85" s="54"/>
    </row>
    <row r="86" spans="1:90" ht="24" thickBot="1" x14ac:dyDescent="0.4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X86" s="55"/>
    </row>
    <row r="87" spans="1:90" ht="15.75" thickTop="1" x14ac:dyDescent="0.25">
      <c r="AD87" s="775">
        <v>87.98440002320001</v>
      </c>
      <c r="AE87" s="776"/>
      <c r="AF87" s="776"/>
      <c r="AG87" s="776"/>
      <c r="AH87" s="777"/>
      <c r="AL87" s="727" t="s">
        <v>122</v>
      </c>
      <c r="AM87" s="727"/>
      <c r="AN87" s="727"/>
      <c r="AO87" s="727" t="s">
        <v>123</v>
      </c>
      <c r="AP87" s="727"/>
      <c r="AQ87" s="727"/>
      <c r="AR87" s="727" t="s">
        <v>124</v>
      </c>
      <c r="AS87" s="727"/>
      <c r="AT87" s="727" t="s">
        <v>125</v>
      </c>
      <c r="AU87" s="727"/>
      <c r="AY87" s="739" t="s">
        <v>126</v>
      </c>
      <c r="AZ87" s="740"/>
      <c r="BA87" s="740"/>
      <c r="BB87" s="740"/>
      <c r="BC87" s="740"/>
      <c r="BD87" s="740"/>
      <c r="BE87" s="740"/>
      <c r="BF87" s="740"/>
      <c r="BG87" s="740"/>
      <c r="BH87" s="741"/>
      <c r="BI87" s="13"/>
      <c r="BJ87" s="13"/>
      <c r="BK87" s="13"/>
      <c r="BL87" s="13"/>
      <c r="BM87" s="13"/>
      <c r="BN87" s="13"/>
      <c r="BO87" s="13"/>
      <c r="BP87" s="13"/>
      <c r="BQ87" s="13"/>
      <c r="BR87" s="13"/>
    </row>
    <row r="88" spans="1:90" x14ac:dyDescent="0.25">
      <c r="O88" s="1992" t="s">
        <v>127</v>
      </c>
      <c r="P88" s="1992"/>
      <c r="Q88" s="1992"/>
      <c r="R88" s="1992"/>
      <c r="S88" s="1992"/>
      <c r="T88" s="1992"/>
      <c r="U88" s="1992"/>
      <c r="V88" s="1992"/>
      <c r="AD88" s="778"/>
      <c r="AE88" s="779"/>
      <c r="AF88" s="779"/>
      <c r="AG88" s="779"/>
      <c r="AH88" s="780"/>
      <c r="AL88" s="727"/>
      <c r="AM88" s="727"/>
      <c r="AN88" s="727"/>
      <c r="AO88" s="727"/>
      <c r="AP88" s="727"/>
      <c r="AQ88" s="727"/>
      <c r="AR88" s="727"/>
      <c r="AS88" s="727"/>
      <c r="AT88" s="727"/>
      <c r="AU88" s="727"/>
      <c r="AY88" s="750"/>
      <c r="AZ88" s="751"/>
      <c r="BA88" s="751"/>
      <c r="BB88" s="751"/>
      <c r="BC88" s="751"/>
      <c r="BD88" s="751"/>
      <c r="BE88" s="751"/>
      <c r="BF88" s="751"/>
      <c r="BG88" s="751"/>
      <c r="BH88" s="752"/>
      <c r="BI88" s="13"/>
      <c r="BJ88" s="13"/>
      <c r="BK88" s="13"/>
      <c r="BL88" s="13"/>
      <c r="BM88" s="13"/>
      <c r="BN88" s="13"/>
      <c r="BO88" s="13"/>
      <c r="BP88" s="13"/>
      <c r="BQ88" s="13"/>
      <c r="BR88" s="13"/>
    </row>
    <row r="89" spans="1:90" x14ac:dyDescent="0.25">
      <c r="O89" s="1992"/>
      <c r="P89" s="1992"/>
      <c r="Q89" s="1992"/>
      <c r="R89" s="1992"/>
      <c r="S89" s="1992"/>
      <c r="T89" s="1992"/>
      <c r="U89" s="1992"/>
      <c r="V89" s="1992"/>
      <c r="AA89" s="56"/>
      <c r="AD89" s="778"/>
      <c r="AE89" s="779"/>
      <c r="AF89" s="779"/>
      <c r="AG89" s="779"/>
      <c r="AH89" s="780"/>
      <c r="AL89" s="727"/>
      <c r="AM89" s="727"/>
      <c r="AN89" s="727"/>
      <c r="AO89" s="727"/>
      <c r="AP89" s="727"/>
      <c r="AQ89" s="727"/>
      <c r="AR89" s="727"/>
      <c r="AS89" s="727"/>
      <c r="AT89" s="727"/>
      <c r="AU89" s="727"/>
      <c r="AY89" s="742"/>
      <c r="AZ89" s="743"/>
      <c r="BA89" s="743"/>
      <c r="BB89" s="743"/>
      <c r="BC89" s="743"/>
      <c r="BD89" s="743"/>
      <c r="BE89" s="743"/>
      <c r="BF89" s="743"/>
      <c r="BG89" s="743"/>
      <c r="BH89" s="744"/>
      <c r="BI89" s="13"/>
      <c r="BJ89" s="13"/>
      <c r="BK89" s="13"/>
      <c r="BL89" s="13"/>
      <c r="BM89" s="13"/>
      <c r="BN89" s="13"/>
      <c r="BO89" s="13"/>
      <c r="BP89" s="13"/>
      <c r="BQ89" s="13"/>
      <c r="BR89" s="13"/>
    </row>
    <row r="90" spans="1:90" x14ac:dyDescent="0.25">
      <c r="O90" s="1992"/>
      <c r="P90" s="1992"/>
      <c r="Q90" s="1992"/>
      <c r="R90" s="1992"/>
      <c r="S90" s="1992"/>
      <c r="T90" s="1992"/>
      <c r="U90" s="1992"/>
      <c r="V90" s="1992"/>
      <c r="AD90" s="778"/>
      <c r="AE90" s="779"/>
      <c r="AF90" s="779"/>
      <c r="AG90" s="779"/>
      <c r="AH90" s="780"/>
      <c r="AL90" s="774">
        <v>6529.45</v>
      </c>
      <c r="AM90" s="774"/>
      <c r="AN90" s="774"/>
      <c r="AO90" s="774">
        <f>AT116</f>
        <v>6529.45</v>
      </c>
      <c r="AP90" s="774"/>
      <c r="AQ90" s="774"/>
      <c r="AR90" s="726">
        <f>AS35</f>
        <v>87.984400033200004</v>
      </c>
      <c r="AS90" s="726"/>
      <c r="AT90" s="726">
        <f>AS35+BJ35</f>
        <v>152.48440003320002</v>
      </c>
      <c r="AU90" s="726"/>
      <c r="AY90" s="727" t="s">
        <v>128</v>
      </c>
      <c r="AZ90" s="727"/>
      <c r="BA90" s="727"/>
      <c r="BB90" s="727"/>
      <c r="BC90" s="727"/>
      <c r="BD90" s="727"/>
      <c r="BE90" s="727"/>
      <c r="BF90" s="727"/>
      <c r="BG90" s="727"/>
      <c r="BH90" s="727"/>
      <c r="BI90" s="13"/>
      <c r="BJ90" s="13"/>
      <c r="BK90" s="13"/>
      <c r="BL90" s="13"/>
      <c r="BM90" s="13"/>
      <c r="BN90" s="13"/>
      <c r="BO90" s="13"/>
      <c r="BP90" s="13"/>
      <c r="BQ90" s="13"/>
      <c r="BR90" s="13"/>
    </row>
    <row r="91" spans="1:90" x14ac:dyDescent="0.25">
      <c r="O91" s="1992"/>
      <c r="P91" s="1992"/>
      <c r="Q91" s="1992"/>
      <c r="R91" s="1992"/>
      <c r="S91" s="1992"/>
      <c r="T91" s="1992"/>
      <c r="U91" s="1992"/>
      <c r="V91" s="1992"/>
      <c r="AD91" s="778"/>
      <c r="AE91" s="779"/>
      <c r="AF91" s="779"/>
      <c r="AG91" s="779"/>
      <c r="AH91" s="780"/>
      <c r="AL91" s="774"/>
      <c r="AM91" s="774"/>
      <c r="AN91" s="774"/>
      <c r="AO91" s="774"/>
      <c r="AP91" s="774"/>
      <c r="AQ91" s="774"/>
      <c r="AR91" s="726"/>
      <c r="AS91" s="726"/>
      <c r="AT91" s="726"/>
      <c r="AU91" s="726"/>
      <c r="AY91" s="727"/>
      <c r="AZ91" s="727"/>
      <c r="BA91" s="727"/>
      <c r="BB91" s="727"/>
      <c r="BC91" s="727"/>
      <c r="BD91" s="727"/>
      <c r="BE91" s="727"/>
      <c r="BF91" s="727"/>
      <c r="BG91" s="727"/>
      <c r="BH91" s="727"/>
      <c r="BI91" s="13"/>
      <c r="BJ91" s="13"/>
      <c r="BK91" s="13"/>
      <c r="BL91" s="13"/>
      <c r="BM91" s="13"/>
      <c r="BN91" s="13"/>
      <c r="BO91" s="13"/>
      <c r="BP91" s="13"/>
      <c r="BQ91" s="13"/>
      <c r="BR91" s="13"/>
    </row>
    <row r="92" spans="1:90" ht="15" customHeight="1" x14ac:dyDescent="0.25">
      <c r="O92" s="1992"/>
      <c r="P92" s="1992"/>
      <c r="Q92" s="1992"/>
      <c r="R92" s="1992"/>
      <c r="S92" s="1992"/>
      <c r="T92" s="1992"/>
      <c r="U92" s="1992"/>
      <c r="V92" s="1992"/>
      <c r="AD92" s="778"/>
      <c r="AE92" s="779"/>
      <c r="AF92" s="779"/>
      <c r="AG92" s="779"/>
      <c r="AH92" s="780"/>
      <c r="AL92" s="774"/>
      <c r="AM92" s="774"/>
      <c r="AN92" s="774"/>
      <c r="AO92" s="774"/>
      <c r="AP92" s="774"/>
      <c r="AQ92" s="774"/>
      <c r="AR92" s="726"/>
      <c r="AS92" s="726"/>
      <c r="AT92" s="726"/>
      <c r="AU92" s="726"/>
      <c r="AY92" s="728">
        <f>AR90/((36*3.1415/59)*(AO90/3.281))</f>
        <v>2.3064696994241476E-2</v>
      </c>
      <c r="AZ92" s="729"/>
      <c r="BA92" s="729"/>
      <c r="BB92" s="729"/>
      <c r="BC92" s="729"/>
      <c r="BD92" s="729"/>
      <c r="BE92" s="729"/>
      <c r="BF92" s="729"/>
      <c r="BG92" s="729"/>
      <c r="BH92" s="730"/>
      <c r="BI92" s="57"/>
      <c r="BJ92" s="57"/>
      <c r="BK92" s="57"/>
      <c r="BL92" s="57"/>
      <c r="BM92" s="57"/>
      <c r="BN92" s="57"/>
      <c r="BO92" s="57"/>
      <c r="BP92" s="57"/>
      <c r="BQ92" s="57"/>
      <c r="BR92" s="57"/>
    </row>
    <row r="93" spans="1:90" ht="15.75" customHeight="1" thickBot="1" x14ac:dyDescent="0.3">
      <c r="AD93" s="781"/>
      <c r="AE93" s="782"/>
      <c r="AF93" s="782"/>
      <c r="AG93" s="782"/>
      <c r="AH93" s="783"/>
      <c r="AL93" s="774"/>
      <c r="AM93" s="774"/>
      <c r="AN93" s="774"/>
      <c r="AO93" s="774"/>
      <c r="AP93" s="774"/>
      <c r="AQ93" s="774"/>
      <c r="AR93" s="726"/>
      <c r="AS93" s="726"/>
      <c r="AT93" s="726"/>
      <c r="AU93" s="726"/>
      <c r="AY93" s="731"/>
      <c r="AZ93" s="732"/>
      <c r="BA93" s="732"/>
      <c r="BB93" s="732"/>
      <c r="BC93" s="732"/>
      <c r="BD93" s="732"/>
      <c r="BE93" s="732"/>
      <c r="BF93" s="732"/>
      <c r="BG93" s="732"/>
      <c r="BH93" s="733"/>
      <c r="BI93" s="57"/>
      <c r="BJ93" s="57"/>
      <c r="BK93" s="57"/>
      <c r="BL93" s="57"/>
      <c r="BM93" s="57"/>
      <c r="BN93" s="57"/>
      <c r="BO93" s="57"/>
      <c r="BP93" s="57"/>
      <c r="BQ93" s="57"/>
      <c r="BR93" s="57"/>
    </row>
    <row r="94" spans="1:90" ht="15.75" customHeight="1" thickTop="1" x14ac:dyDescent="0.25">
      <c r="AY94" s="734"/>
      <c r="AZ94" s="735"/>
      <c r="BA94" s="735"/>
      <c r="BB94" s="735"/>
      <c r="BC94" s="735"/>
      <c r="BD94" s="735"/>
      <c r="BE94" s="735"/>
      <c r="BF94" s="735"/>
      <c r="BG94" s="735"/>
      <c r="BH94" s="736"/>
      <c r="BI94" s="57"/>
      <c r="BJ94" s="57"/>
      <c r="BK94" s="57"/>
      <c r="BL94" s="57"/>
      <c r="BM94" s="57"/>
      <c r="BN94" s="57"/>
      <c r="BO94" s="57"/>
      <c r="BP94" s="57"/>
      <c r="BQ94" s="57"/>
      <c r="BR94" s="57"/>
    </row>
    <row r="95" spans="1:90" x14ac:dyDescent="0.25">
      <c r="AY95" s="739" t="s">
        <v>129</v>
      </c>
      <c r="AZ95" s="740"/>
      <c r="BA95" s="740"/>
      <c r="BB95" s="740"/>
      <c r="BC95" s="740"/>
      <c r="BD95" s="740"/>
      <c r="BE95" s="740"/>
      <c r="BF95" s="740"/>
      <c r="BG95" s="740"/>
      <c r="BH95" s="741"/>
      <c r="BI95" s="13"/>
      <c r="BJ95" s="13"/>
      <c r="BK95" s="13"/>
      <c r="BL95" s="13"/>
      <c r="BM95" s="13"/>
      <c r="BN95" s="13"/>
      <c r="BO95" s="13"/>
      <c r="BP95" s="13"/>
      <c r="BQ95" s="13"/>
      <c r="BR95" s="13"/>
    </row>
    <row r="96" spans="1:90" x14ac:dyDescent="0.25">
      <c r="AY96" s="742"/>
      <c r="AZ96" s="743"/>
      <c r="BA96" s="743"/>
      <c r="BB96" s="743"/>
      <c r="BC96" s="743"/>
      <c r="BD96" s="743"/>
      <c r="BE96" s="743"/>
      <c r="BF96" s="743"/>
      <c r="BG96" s="743"/>
      <c r="BH96" s="744"/>
      <c r="BI96" s="13"/>
      <c r="BJ96" s="13"/>
      <c r="BK96" s="13"/>
      <c r="BL96" s="13"/>
      <c r="BM96" s="13"/>
      <c r="BN96" s="13"/>
      <c r="BO96" s="13"/>
      <c r="BP96" s="13"/>
      <c r="BQ96" s="13"/>
      <c r="BR96" s="13"/>
    </row>
    <row r="97" spans="40:70" x14ac:dyDescent="0.25">
      <c r="AN97" s="1255">
        <v>134.54</v>
      </c>
      <c r="AO97" s="1255"/>
      <c r="AP97" s="1255"/>
      <c r="AQ97" s="746">
        <v>4</v>
      </c>
      <c r="AR97" s="746"/>
      <c r="AS97" s="746"/>
      <c r="AT97" s="747">
        <f>AQ97*AN97</f>
        <v>538.16</v>
      </c>
      <c r="AU97" s="748"/>
      <c r="AV97" s="748"/>
      <c r="AW97" s="749"/>
      <c r="AY97" s="739" t="s">
        <v>130</v>
      </c>
      <c r="AZ97" s="740"/>
      <c r="BA97" s="740"/>
      <c r="BB97" s="740"/>
      <c r="BC97" s="740"/>
      <c r="BD97" s="740"/>
      <c r="BE97" s="740"/>
      <c r="BF97" s="740"/>
      <c r="BG97" s="740"/>
      <c r="BH97" s="741"/>
      <c r="BI97" s="13"/>
      <c r="BJ97" s="13"/>
      <c r="BK97" s="13"/>
      <c r="BL97" s="13"/>
      <c r="BM97" s="13"/>
      <c r="BN97" s="13"/>
      <c r="BO97" s="13"/>
      <c r="BP97" s="13"/>
      <c r="BQ97" s="13"/>
      <c r="BR97" s="13"/>
    </row>
    <row r="98" spans="40:70" x14ac:dyDescent="0.25">
      <c r="AN98" s="1255"/>
      <c r="AO98" s="1255"/>
      <c r="AP98" s="1255"/>
      <c r="AQ98" s="746"/>
      <c r="AR98" s="746"/>
      <c r="AS98" s="746"/>
      <c r="AT98" s="747"/>
      <c r="AU98" s="748"/>
      <c r="AV98" s="748"/>
      <c r="AW98" s="749"/>
      <c r="AY98" s="750"/>
      <c r="AZ98" s="751"/>
      <c r="BA98" s="751"/>
      <c r="BB98" s="751"/>
      <c r="BC98" s="751"/>
      <c r="BD98" s="751"/>
      <c r="BE98" s="751"/>
      <c r="BF98" s="751"/>
      <c r="BG98" s="751"/>
      <c r="BH98" s="752"/>
      <c r="BI98" s="13"/>
      <c r="BJ98" s="13"/>
      <c r="BK98" s="13"/>
      <c r="BL98" s="13"/>
      <c r="BM98" s="13"/>
      <c r="BN98" s="13"/>
      <c r="BO98" s="13"/>
      <c r="BP98" s="13"/>
      <c r="BQ98" s="13"/>
      <c r="BR98" s="13"/>
    </row>
    <row r="99" spans="40:70" ht="15" customHeight="1" x14ac:dyDescent="0.25">
      <c r="AN99" s="1255"/>
      <c r="AO99" s="1255"/>
      <c r="AP99" s="1255"/>
      <c r="AQ99" s="746"/>
      <c r="AR99" s="746"/>
      <c r="AS99" s="746"/>
      <c r="AT99" s="747"/>
      <c r="AU99" s="748"/>
      <c r="AV99" s="748"/>
      <c r="AW99" s="749"/>
      <c r="AY99" s="750"/>
      <c r="AZ99" s="751"/>
      <c r="BA99" s="751"/>
      <c r="BB99" s="751"/>
      <c r="BC99" s="751"/>
      <c r="BD99" s="751"/>
      <c r="BE99" s="751"/>
      <c r="BF99" s="751"/>
      <c r="BG99" s="751"/>
      <c r="BH99" s="752"/>
      <c r="BI99" s="13"/>
      <c r="BJ99" s="13"/>
      <c r="BK99" s="13"/>
      <c r="BL99" s="13"/>
      <c r="BM99" s="13"/>
      <c r="BN99" s="13"/>
      <c r="BO99" s="13"/>
      <c r="BP99" s="13"/>
      <c r="BQ99" s="13"/>
      <c r="BR99" s="13"/>
    </row>
    <row r="100" spans="40:70" ht="15" customHeight="1" x14ac:dyDescent="0.25">
      <c r="AN100" s="1255">
        <v>124.5</v>
      </c>
      <c r="AO100" s="1255"/>
      <c r="AP100" s="1255"/>
      <c r="AQ100" s="746">
        <v>11</v>
      </c>
      <c r="AR100" s="746"/>
      <c r="AS100" s="746"/>
      <c r="AT100" s="747">
        <f>AQ100*AN100</f>
        <v>1369.5</v>
      </c>
      <c r="AU100" s="748"/>
      <c r="AV100" s="748"/>
      <c r="AW100" s="749"/>
      <c r="AY100" s="742"/>
      <c r="AZ100" s="743"/>
      <c r="BA100" s="743"/>
      <c r="BB100" s="743"/>
      <c r="BC100" s="743"/>
      <c r="BD100" s="743"/>
      <c r="BE100" s="743"/>
      <c r="BF100" s="743"/>
      <c r="BG100" s="743"/>
      <c r="BH100" s="744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</row>
    <row r="101" spans="40:70" ht="26.25" x14ac:dyDescent="0.25">
      <c r="AN101" s="1255"/>
      <c r="AO101" s="1255"/>
      <c r="AP101" s="1255"/>
      <c r="AQ101" s="746"/>
      <c r="AR101" s="746"/>
      <c r="AS101" s="746"/>
      <c r="AT101" s="747"/>
      <c r="AU101" s="748"/>
      <c r="AV101" s="748"/>
      <c r="AW101" s="749"/>
      <c r="AY101" s="728">
        <f>AT90/((36*3.1415/59)*(AO90/3.281))</f>
        <v>3.9973068882521876E-2</v>
      </c>
      <c r="AZ101" s="729"/>
      <c r="BA101" s="729"/>
      <c r="BB101" s="729"/>
      <c r="BC101" s="729"/>
      <c r="BD101" s="729"/>
      <c r="BE101" s="729"/>
      <c r="BF101" s="729"/>
      <c r="BG101" s="729"/>
      <c r="BH101" s="730"/>
      <c r="BI101" s="57"/>
      <c r="BJ101" s="57"/>
      <c r="BK101" s="57"/>
      <c r="BL101" s="57"/>
      <c r="BM101" s="57"/>
      <c r="BN101" s="57"/>
      <c r="BO101" s="57"/>
      <c r="BP101" s="57"/>
      <c r="BQ101" s="57"/>
      <c r="BR101" s="57"/>
    </row>
    <row r="102" spans="40:70" ht="26.25" x14ac:dyDescent="0.25">
      <c r="AN102" s="1255"/>
      <c r="AO102" s="1255"/>
      <c r="AP102" s="1255"/>
      <c r="AQ102" s="746"/>
      <c r="AR102" s="746"/>
      <c r="AS102" s="746"/>
      <c r="AT102" s="747"/>
      <c r="AU102" s="748"/>
      <c r="AV102" s="748"/>
      <c r="AW102" s="749"/>
      <c r="AY102" s="731"/>
      <c r="AZ102" s="732"/>
      <c r="BA102" s="732"/>
      <c r="BB102" s="732"/>
      <c r="BC102" s="732"/>
      <c r="BD102" s="732"/>
      <c r="BE102" s="732"/>
      <c r="BF102" s="732"/>
      <c r="BG102" s="732"/>
      <c r="BH102" s="733"/>
      <c r="BI102" s="57"/>
      <c r="BJ102" s="57"/>
      <c r="BK102" s="57"/>
      <c r="BL102" s="57"/>
      <c r="BM102" s="57"/>
      <c r="BN102" s="57"/>
      <c r="BO102" s="57"/>
      <c r="BP102" s="57"/>
      <c r="BQ102" s="57"/>
      <c r="BR102" s="57"/>
    </row>
    <row r="103" spans="40:70" ht="15" customHeight="1" x14ac:dyDescent="0.25">
      <c r="AN103" s="1255">
        <v>114</v>
      </c>
      <c r="AO103" s="1255"/>
      <c r="AP103" s="1255"/>
      <c r="AQ103" s="746">
        <v>13</v>
      </c>
      <c r="AR103" s="746"/>
      <c r="AS103" s="746"/>
      <c r="AT103" s="747">
        <f>AQ103*AN103</f>
        <v>1482</v>
      </c>
      <c r="AU103" s="748"/>
      <c r="AV103" s="748"/>
      <c r="AW103" s="749"/>
      <c r="AY103" s="731"/>
      <c r="AZ103" s="732"/>
      <c r="BA103" s="732"/>
      <c r="BB103" s="732"/>
      <c r="BC103" s="732"/>
      <c r="BD103" s="732"/>
      <c r="BE103" s="732"/>
      <c r="BF103" s="732"/>
      <c r="BG103" s="732"/>
      <c r="BH103" s="733"/>
      <c r="BI103" s="57"/>
      <c r="BJ103" s="57"/>
      <c r="BK103" s="57"/>
      <c r="BL103" s="57"/>
      <c r="BM103" s="57"/>
      <c r="BN103" s="57"/>
      <c r="BO103" s="57"/>
      <c r="BP103" s="57"/>
      <c r="BQ103" s="57"/>
      <c r="BR103" s="57"/>
    </row>
    <row r="104" spans="40:70" ht="15" customHeight="1" x14ac:dyDescent="0.25">
      <c r="AN104" s="1255"/>
      <c r="AO104" s="1255"/>
      <c r="AP104" s="1255"/>
      <c r="AQ104" s="746"/>
      <c r="AR104" s="746"/>
      <c r="AS104" s="746"/>
      <c r="AT104" s="747"/>
      <c r="AU104" s="748"/>
      <c r="AV104" s="748"/>
      <c r="AW104" s="749"/>
      <c r="AY104" s="731"/>
      <c r="AZ104" s="732"/>
      <c r="BA104" s="732"/>
      <c r="BB104" s="732"/>
      <c r="BC104" s="732"/>
      <c r="BD104" s="732"/>
      <c r="BE104" s="732"/>
      <c r="BF104" s="732"/>
      <c r="BG104" s="732"/>
      <c r="BH104" s="733"/>
      <c r="BI104" s="57"/>
      <c r="BJ104" s="57"/>
      <c r="BK104" s="57"/>
      <c r="BL104" s="57"/>
      <c r="BM104" s="57"/>
      <c r="BN104" s="57"/>
      <c r="BO104" s="57"/>
      <c r="BP104" s="57"/>
      <c r="BQ104" s="57"/>
      <c r="BR104" s="57"/>
    </row>
    <row r="105" spans="40:70" ht="15" customHeight="1" x14ac:dyDescent="0.25">
      <c r="AN105" s="1255"/>
      <c r="AO105" s="1255"/>
      <c r="AP105" s="1255"/>
      <c r="AQ105" s="746"/>
      <c r="AR105" s="746"/>
      <c r="AS105" s="746"/>
      <c r="AT105" s="747"/>
      <c r="AU105" s="748"/>
      <c r="AV105" s="748"/>
      <c r="AW105" s="749"/>
      <c r="AY105" s="734"/>
      <c r="AZ105" s="735"/>
      <c r="BA105" s="735"/>
      <c r="BB105" s="735"/>
      <c r="BC105" s="735"/>
      <c r="BD105" s="735"/>
      <c r="BE105" s="735"/>
      <c r="BF105" s="735"/>
      <c r="BG105" s="735"/>
      <c r="BH105" s="736"/>
      <c r="BI105" s="57"/>
      <c r="BJ105" s="57"/>
      <c r="BK105" s="57"/>
      <c r="BL105" s="57"/>
      <c r="BM105" s="57"/>
      <c r="BN105" s="57"/>
      <c r="BO105" s="57"/>
      <c r="BP105" s="57"/>
      <c r="BQ105" s="57"/>
      <c r="BR105" s="57"/>
    </row>
    <row r="106" spans="40:70" ht="15" customHeight="1" x14ac:dyDescent="0.25">
      <c r="AN106" s="1255">
        <v>125.5</v>
      </c>
      <c r="AO106" s="1255"/>
      <c r="AP106" s="1255"/>
      <c r="AQ106" s="746">
        <v>10</v>
      </c>
      <c r="AR106" s="746"/>
      <c r="AS106" s="746"/>
      <c r="AT106" s="747">
        <f>AQ106*AN106</f>
        <v>1255</v>
      </c>
      <c r="AU106" s="748"/>
      <c r="AV106" s="748"/>
      <c r="AW106" s="749"/>
    </row>
    <row r="107" spans="40:70" ht="15" customHeight="1" x14ac:dyDescent="0.25">
      <c r="AN107" s="1255"/>
      <c r="AO107" s="1255"/>
      <c r="AP107" s="1255"/>
      <c r="AQ107" s="746"/>
      <c r="AR107" s="746"/>
      <c r="AS107" s="746"/>
      <c r="AT107" s="747"/>
      <c r="AU107" s="748"/>
      <c r="AV107" s="748"/>
      <c r="AW107" s="749"/>
    </row>
    <row r="108" spans="40:70" ht="15" customHeight="1" x14ac:dyDescent="0.25">
      <c r="AN108" s="1255"/>
      <c r="AO108" s="1255"/>
      <c r="AP108" s="1255"/>
      <c r="AQ108" s="746"/>
      <c r="AR108" s="746"/>
      <c r="AS108" s="746"/>
      <c r="AT108" s="747"/>
      <c r="AU108" s="748"/>
      <c r="AV108" s="748"/>
      <c r="AW108" s="749"/>
    </row>
    <row r="109" spans="40:70" ht="15" customHeight="1" x14ac:dyDescent="0.25">
      <c r="AN109" s="1255">
        <v>115.33</v>
      </c>
      <c r="AO109" s="1255"/>
      <c r="AP109" s="1255"/>
      <c r="AQ109" s="746">
        <v>13</v>
      </c>
      <c r="AR109" s="746"/>
      <c r="AS109" s="746"/>
      <c r="AT109" s="747">
        <f>AQ109*AN109</f>
        <v>1499.29</v>
      </c>
      <c r="AU109" s="748"/>
      <c r="AV109" s="748"/>
      <c r="AW109" s="749"/>
    </row>
    <row r="110" spans="40:70" ht="15" customHeight="1" x14ac:dyDescent="0.25">
      <c r="AN110" s="1255"/>
      <c r="AO110" s="1255"/>
      <c r="AP110" s="1255"/>
      <c r="AQ110" s="746"/>
      <c r="AR110" s="746"/>
      <c r="AS110" s="746"/>
      <c r="AT110" s="747"/>
      <c r="AU110" s="748"/>
      <c r="AV110" s="748"/>
      <c r="AW110" s="749"/>
      <c r="AZ110">
        <v>9</v>
      </c>
    </row>
    <row r="111" spans="40:70" ht="15" customHeight="1" x14ac:dyDescent="0.25">
      <c r="AN111" s="1255"/>
      <c r="AO111" s="1255"/>
      <c r="AP111" s="1255"/>
      <c r="AQ111" s="746"/>
      <c r="AR111" s="746"/>
      <c r="AS111" s="746"/>
      <c r="AT111" s="747"/>
      <c r="AU111" s="748"/>
      <c r="AV111" s="748"/>
      <c r="AW111" s="749"/>
    </row>
    <row r="112" spans="40:70" ht="15" customHeight="1" x14ac:dyDescent="0.25">
      <c r="AN112" s="1255">
        <v>128.5</v>
      </c>
      <c r="AO112" s="1255"/>
      <c r="AP112" s="1255"/>
      <c r="AQ112" s="746">
        <v>3</v>
      </c>
      <c r="AR112" s="746"/>
      <c r="AS112" s="746"/>
      <c r="AT112" s="747">
        <f>AQ112*AN112</f>
        <v>385.5</v>
      </c>
      <c r="AU112" s="748"/>
      <c r="AV112" s="748"/>
      <c r="AW112" s="749"/>
    </row>
    <row r="113" spans="40:49" ht="15" customHeight="1" x14ac:dyDescent="0.25">
      <c r="AN113" s="1255"/>
      <c r="AO113" s="1255"/>
      <c r="AP113" s="1255"/>
      <c r="AQ113" s="746"/>
      <c r="AR113" s="746"/>
      <c r="AS113" s="746"/>
      <c r="AT113" s="747"/>
      <c r="AU113" s="748"/>
      <c r="AV113" s="748"/>
      <c r="AW113" s="749"/>
    </row>
    <row r="114" spans="40:49" ht="15" customHeight="1" x14ac:dyDescent="0.25">
      <c r="AN114" s="1255"/>
      <c r="AO114" s="1255"/>
      <c r="AP114" s="1255"/>
      <c r="AQ114" s="746"/>
      <c r="AR114" s="746"/>
      <c r="AS114" s="746"/>
      <c r="AT114" s="747"/>
      <c r="AU114" s="748"/>
      <c r="AV114" s="748"/>
      <c r="AW114" s="749"/>
    </row>
    <row r="115" spans="40:49" ht="15" customHeight="1" x14ac:dyDescent="0.25"/>
    <row r="116" spans="40:49" ht="15" customHeight="1" x14ac:dyDescent="0.25">
      <c r="AQ116" s="1254">
        <f>AQ97+AQ100+AQ103+AQ106+AQ109+AQ112</f>
        <v>54</v>
      </c>
      <c r="AR116" s="1254"/>
      <c r="AS116" s="1254"/>
      <c r="AT116" s="747">
        <f>AT97+AT100+AT103+AT106+AT109+AT112</f>
        <v>6529.45</v>
      </c>
      <c r="AU116" s="748"/>
      <c r="AV116" s="748"/>
      <c r="AW116" s="749"/>
    </row>
    <row r="117" spans="40:49" ht="15" customHeight="1" x14ac:dyDescent="0.25">
      <c r="AQ117" s="1254"/>
      <c r="AR117" s="1254"/>
      <c r="AS117" s="1254"/>
      <c r="AT117" s="747"/>
      <c r="AU117" s="748"/>
      <c r="AV117" s="748"/>
      <c r="AW117" s="749"/>
    </row>
    <row r="118" spans="40:49" ht="15" customHeight="1" x14ac:dyDescent="0.25">
      <c r="AQ118" s="1254"/>
      <c r="AR118" s="1254"/>
      <c r="AS118" s="1254"/>
      <c r="AT118" s="747"/>
      <c r="AU118" s="748"/>
      <c r="AV118" s="748"/>
      <c r="AW118" s="749"/>
    </row>
    <row r="119" spans="40:49" ht="15" customHeight="1" x14ac:dyDescent="0.25">
      <c r="AS119" s="27"/>
      <c r="AT119" s="27"/>
      <c r="AU119" s="27"/>
    </row>
  </sheetData>
  <mergeCells count="523">
    <mergeCell ref="AJ18:AJ19"/>
    <mergeCell ref="AK18:AN18"/>
    <mergeCell ref="AZ18:BC18"/>
    <mergeCell ref="AJ8:AK10"/>
    <mergeCell ref="AL8:AN10"/>
    <mergeCell ref="AT18:AT19"/>
    <mergeCell ref="AO8:AP10"/>
    <mergeCell ref="AY17:BC17"/>
    <mergeCell ref="AO17:AP17"/>
    <mergeCell ref="AQ17:AS17"/>
    <mergeCell ref="AT11:AX11"/>
    <mergeCell ref="AY18:AY19"/>
    <mergeCell ref="AT20:AU22"/>
    <mergeCell ref="AV20:AX22"/>
    <mergeCell ref="AY23:AZ23"/>
    <mergeCell ref="BA23:BC23"/>
    <mergeCell ref="BI17:BJ17"/>
    <mergeCell ref="BK17:BM17"/>
    <mergeCell ref="AQ8:AS10"/>
    <mergeCell ref="AT8:AU10"/>
    <mergeCell ref="AV8:AX10"/>
    <mergeCell ref="AO11:AS11"/>
    <mergeCell ref="AY11:BC11"/>
    <mergeCell ref="AY12:AY13"/>
    <mergeCell ref="AZ12:BC12"/>
    <mergeCell ref="BD8:BE10"/>
    <mergeCell ref="AP12:AS12"/>
    <mergeCell ref="AT12:AT13"/>
    <mergeCell ref="AU12:AX12"/>
    <mergeCell ref="AO14:AP16"/>
    <mergeCell ref="BD20:BE22"/>
    <mergeCell ref="BF20:BH22"/>
    <mergeCell ref="BD18:BD19"/>
    <mergeCell ref="BE18:BH18"/>
    <mergeCell ref="BI18:BI19"/>
    <mergeCell ref="BJ18:BM18"/>
    <mergeCell ref="AY69:BA71"/>
    <mergeCell ref="BD69:BF71"/>
    <mergeCell ref="AC68:AD68"/>
    <mergeCell ref="AE68:AG68"/>
    <mergeCell ref="AM71:AN71"/>
    <mergeCell ref="AR71:AS71"/>
    <mergeCell ref="AT63:AV65"/>
    <mergeCell ref="BD63:BF65"/>
    <mergeCell ref="AR65:AS65"/>
    <mergeCell ref="AW65:AX65"/>
    <mergeCell ref="BB65:BC65"/>
    <mergeCell ref="AO63:AQ65"/>
    <mergeCell ref="AN103:AP105"/>
    <mergeCell ref="AQ103:AS105"/>
    <mergeCell ref="AT103:AW105"/>
    <mergeCell ref="AY87:BH89"/>
    <mergeCell ref="O88:V92"/>
    <mergeCell ref="AL90:AN93"/>
    <mergeCell ref="AO90:AQ93"/>
    <mergeCell ref="AR90:AS93"/>
    <mergeCell ref="AT90:AU93"/>
    <mergeCell ref="AY90:BH91"/>
    <mergeCell ref="AY92:BH94"/>
    <mergeCell ref="AN97:AP99"/>
    <mergeCell ref="AQ97:AS99"/>
    <mergeCell ref="AT97:AW99"/>
    <mergeCell ref="AY97:BH100"/>
    <mergeCell ref="AY101:BH105"/>
    <mergeCell ref="AY95:BH96"/>
    <mergeCell ref="AN100:AP102"/>
    <mergeCell ref="AQ100:AS102"/>
    <mergeCell ref="AT100:AW102"/>
    <mergeCell ref="G81:I84"/>
    <mergeCell ref="AD87:AH93"/>
    <mergeCell ref="AL87:AN89"/>
    <mergeCell ref="AO87:AQ89"/>
    <mergeCell ref="AR87:AS89"/>
    <mergeCell ref="AT87:AU89"/>
    <mergeCell ref="BN72:BN73"/>
    <mergeCell ref="BO72:BR72"/>
    <mergeCell ref="A75:C75"/>
    <mergeCell ref="D75:E75"/>
    <mergeCell ref="G75:I77"/>
    <mergeCell ref="A76:C78"/>
    <mergeCell ref="D78:E78"/>
    <mergeCell ref="G78:I80"/>
    <mergeCell ref="AY72:AY73"/>
    <mergeCell ref="AZ72:BC72"/>
    <mergeCell ref="BD72:BD73"/>
    <mergeCell ref="BE72:BH72"/>
    <mergeCell ref="BI72:BI73"/>
    <mergeCell ref="BJ72:BM72"/>
    <mergeCell ref="AJ72:AJ73"/>
    <mergeCell ref="AK72:AN72"/>
    <mergeCell ref="AO72:AO73"/>
    <mergeCell ref="AP72:AS72"/>
    <mergeCell ref="U72:U73"/>
    <mergeCell ref="V72:Y72"/>
    <mergeCell ref="Z72:Z73"/>
    <mergeCell ref="AA72:AD72"/>
    <mergeCell ref="BL71:BM71"/>
    <mergeCell ref="BQ71:BR71"/>
    <mergeCell ref="A72:A73"/>
    <mergeCell ref="B72:E72"/>
    <mergeCell ref="F72:F73"/>
    <mergeCell ref="G72:J72"/>
    <mergeCell ref="K72:K73"/>
    <mergeCell ref="L72:O72"/>
    <mergeCell ref="P72:P73"/>
    <mergeCell ref="Q72:T72"/>
    <mergeCell ref="BN69:BP71"/>
    <mergeCell ref="D71:E71"/>
    <mergeCell ref="I71:J71"/>
    <mergeCell ref="N71:O71"/>
    <mergeCell ref="S71:T71"/>
    <mergeCell ref="X71:Y71"/>
    <mergeCell ref="AC71:AD71"/>
    <mergeCell ref="AH71:AI71"/>
    <mergeCell ref="AJ69:AL71"/>
    <mergeCell ref="AO69:AQ71"/>
    <mergeCell ref="BI69:BK71"/>
    <mergeCell ref="AW71:AX71"/>
    <mergeCell ref="BB71:BC71"/>
    <mergeCell ref="BG71:BH71"/>
    <mergeCell ref="BL68:BM68"/>
    <mergeCell ref="BN68:BP68"/>
    <mergeCell ref="BQ68:BR68"/>
    <mergeCell ref="A69:C71"/>
    <mergeCell ref="F69:H71"/>
    <mergeCell ref="K69:M71"/>
    <mergeCell ref="P69:R71"/>
    <mergeCell ref="U69:W71"/>
    <mergeCell ref="Z69:AB71"/>
    <mergeCell ref="AE69:AG71"/>
    <mergeCell ref="AW68:AX68"/>
    <mergeCell ref="AY68:BA68"/>
    <mergeCell ref="BB68:BC68"/>
    <mergeCell ref="BD68:BF68"/>
    <mergeCell ref="BG68:BH68"/>
    <mergeCell ref="BI68:BK68"/>
    <mergeCell ref="AH68:AI68"/>
    <mergeCell ref="AJ68:AL68"/>
    <mergeCell ref="AM68:AN68"/>
    <mergeCell ref="Z68:AB68"/>
    <mergeCell ref="BN66:BN67"/>
    <mergeCell ref="BO66:BR66"/>
    <mergeCell ref="AZ66:BC66"/>
    <mergeCell ref="BD66:BD67"/>
    <mergeCell ref="BE66:BH66"/>
    <mergeCell ref="BI66:BI67"/>
    <mergeCell ref="A68:C68"/>
    <mergeCell ref="D68:E68"/>
    <mergeCell ref="F68:H68"/>
    <mergeCell ref="I68:J68"/>
    <mergeCell ref="K68:M68"/>
    <mergeCell ref="N68:O68"/>
    <mergeCell ref="P68:R68"/>
    <mergeCell ref="AU66:AX66"/>
    <mergeCell ref="AY66:AY67"/>
    <mergeCell ref="AF66:AI66"/>
    <mergeCell ref="AJ66:AJ67"/>
    <mergeCell ref="AK66:AN66"/>
    <mergeCell ref="AO66:AO67"/>
    <mergeCell ref="AP66:AS66"/>
    <mergeCell ref="AT66:AT67"/>
    <mergeCell ref="Q66:T66"/>
    <mergeCell ref="U66:U67"/>
    <mergeCell ref="AO68:AQ68"/>
    <mergeCell ref="A66:A67"/>
    <mergeCell ref="B66:E66"/>
    <mergeCell ref="F66:F67"/>
    <mergeCell ref="G66:J66"/>
    <mergeCell ref="K66:K67"/>
    <mergeCell ref="L66:O66"/>
    <mergeCell ref="P66:P67"/>
    <mergeCell ref="V66:Y66"/>
    <mergeCell ref="BJ66:BM66"/>
    <mergeCell ref="Z66:Z67"/>
    <mergeCell ref="N65:O65"/>
    <mergeCell ref="S65:T65"/>
    <mergeCell ref="X65:Y65"/>
    <mergeCell ref="AC65:AD65"/>
    <mergeCell ref="AH65:AI65"/>
    <mergeCell ref="AM65:AN65"/>
    <mergeCell ref="AE63:AG65"/>
    <mergeCell ref="AJ63:AL65"/>
    <mergeCell ref="S68:T68"/>
    <mergeCell ref="U68:W68"/>
    <mergeCell ref="X68:Y68"/>
    <mergeCell ref="AA66:AD66"/>
    <mergeCell ref="AE66:AE67"/>
    <mergeCell ref="BQ62:BR62"/>
    <mergeCell ref="BB62:BC62"/>
    <mergeCell ref="BD62:BF62"/>
    <mergeCell ref="BG62:BH62"/>
    <mergeCell ref="BG65:BH65"/>
    <mergeCell ref="BL65:BM65"/>
    <mergeCell ref="BQ65:BR65"/>
    <mergeCell ref="BI63:BK65"/>
    <mergeCell ref="BN63:BP65"/>
    <mergeCell ref="A63:C65"/>
    <mergeCell ref="F63:H65"/>
    <mergeCell ref="K63:M65"/>
    <mergeCell ref="P63:R65"/>
    <mergeCell ref="U63:W65"/>
    <mergeCell ref="Z63:AB65"/>
    <mergeCell ref="AT62:AV62"/>
    <mergeCell ref="AW62:AX62"/>
    <mergeCell ref="AY62:BA62"/>
    <mergeCell ref="AE62:AG62"/>
    <mergeCell ref="AH62:AI62"/>
    <mergeCell ref="AJ62:AL62"/>
    <mergeCell ref="AM62:AN62"/>
    <mergeCell ref="AO62:AQ62"/>
    <mergeCell ref="AR62:AS62"/>
    <mergeCell ref="P62:R62"/>
    <mergeCell ref="S62:T62"/>
    <mergeCell ref="U62:W62"/>
    <mergeCell ref="X62:Y62"/>
    <mergeCell ref="Z62:AB62"/>
    <mergeCell ref="AC62:AD62"/>
    <mergeCell ref="AY63:BA65"/>
    <mergeCell ref="D65:E65"/>
    <mergeCell ref="I65:J65"/>
    <mergeCell ref="Q37:T42"/>
    <mergeCell ref="BJ39:BP40"/>
    <mergeCell ref="J42:L42"/>
    <mergeCell ref="J43:L47"/>
    <mergeCell ref="A62:C62"/>
    <mergeCell ref="D62:E62"/>
    <mergeCell ref="F62:H62"/>
    <mergeCell ref="I62:J62"/>
    <mergeCell ref="K62:M62"/>
    <mergeCell ref="N62:O62"/>
    <mergeCell ref="BE31:BI40"/>
    <mergeCell ref="BJ31:BM34"/>
    <mergeCell ref="BN31:BP34"/>
    <mergeCell ref="V35:AG40"/>
    <mergeCell ref="AH35:AR40"/>
    <mergeCell ref="AS35:BD40"/>
    <mergeCell ref="BJ35:BP38"/>
    <mergeCell ref="BI62:BK62"/>
    <mergeCell ref="BL62:BM62"/>
    <mergeCell ref="BN62:BP62"/>
    <mergeCell ref="V31:AG34"/>
    <mergeCell ref="AH31:AQ34"/>
    <mergeCell ref="AS31:BD34"/>
    <mergeCell ref="Q27:T27"/>
    <mergeCell ref="Q28:T28"/>
    <mergeCell ref="AY24:AY25"/>
    <mergeCell ref="AZ24:BC24"/>
    <mergeCell ref="BD24:BD25"/>
    <mergeCell ref="BE24:BH24"/>
    <mergeCell ref="AE24:AE25"/>
    <mergeCell ref="AF24:AI24"/>
    <mergeCell ref="AJ24:AJ25"/>
    <mergeCell ref="AK24:AN24"/>
    <mergeCell ref="AT24:AT25"/>
    <mergeCell ref="AU24:AX24"/>
    <mergeCell ref="BG26:BR26"/>
    <mergeCell ref="AO24:AO25"/>
    <mergeCell ref="AP24:AS24"/>
    <mergeCell ref="BO18:BR18"/>
    <mergeCell ref="BD23:BH23"/>
    <mergeCell ref="A24:A25"/>
    <mergeCell ref="B24:E24"/>
    <mergeCell ref="F24:F25"/>
    <mergeCell ref="G24:J24"/>
    <mergeCell ref="K24:K25"/>
    <mergeCell ref="L24:O24"/>
    <mergeCell ref="BI24:BI25"/>
    <mergeCell ref="BJ24:BM24"/>
    <mergeCell ref="BN24:BN25"/>
    <mergeCell ref="P24:P25"/>
    <mergeCell ref="Q24:T24"/>
    <mergeCell ref="U24:U25"/>
    <mergeCell ref="V24:Y24"/>
    <mergeCell ref="Z24:Z25"/>
    <mergeCell ref="AA24:AD24"/>
    <mergeCell ref="BO24:BR24"/>
    <mergeCell ref="M23:O23"/>
    <mergeCell ref="BN18:BN19"/>
    <mergeCell ref="AU18:AX18"/>
    <mergeCell ref="AJ23:AN23"/>
    <mergeCell ref="AO18:AO19"/>
    <mergeCell ref="AP18:AS18"/>
    <mergeCell ref="U20:V22"/>
    <mergeCell ref="W20:Y22"/>
    <mergeCell ref="Z20:AA22"/>
    <mergeCell ref="AB20:AD22"/>
    <mergeCell ref="AQ20:AS22"/>
    <mergeCell ref="AE20:AF22"/>
    <mergeCell ref="AG20:AI22"/>
    <mergeCell ref="AJ20:AK22"/>
    <mergeCell ref="AL20:AN22"/>
    <mergeCell ref="AO20:AP22"/>
    <mergeCell ref="AY20:AZ22"/>
    <mergeCell ref="BA20:BC22"/>
    <mergeCell ref="BI20:BR23"/>
    <mergeCell ref="AE11:AI11"/>
    <mergeCell ref="AJ11:AN11"/>
    <mergeCell ref="AY14:AZ16"/>
    <mergeCell ref="BD17:BH17"/>
    <mergeCell ref="AT23:AX23"/>
    <mergeCell ref="AO23:AS23"/>
    <mergeCell ref="AQ14:AS16"/>
    <mergeCell ref="AJ17:AK17"/>
    <mergeCell ref="AL17:AN17"/>
    <mergeCell ref="BF11:BH11"/>
    <mergeCell ref="BI11:BJ11"/>
    <mergeCell ref="BK11:BM11"/>
    <mergeCell ref="AE18:AE19"/>
    <mergeCell ref="AF18:AI18"/>
    <mergeCell ref="AE12:AE13"/>
    <mergeCell ref="AO12:AO13"/>
    <mergeCell ref="AF12:AI12"/>
    <mergeCell ref="AJ12:AJ13"/>
    <mergeCell ref="AK12:AN12"/>
    <mergeCell ref="AJ14:AK16"/>
    <mergeCell ref="AL14:AN16"/>
    <mergeCell ref="A8:B10"/>
    <mergeCell ref="C8:E10"/>
    <mergeCell ref="F8:G10"/>
    <mergeCell ref="H8:J10"/>
    <mergeCell ref="K8:L10"/>
    <mergeCell ref="M8:O10"/>
    <mergeCell ref="AY8:AZ10"/>
    <mergeCell ref="BA8:BC10"/>
    <mergeCell ref="AE8:AF10"/>
    <mergeCell ref="AG8:AI10"/>
    <mergeCell ref="AB8:AD10"/>
    <mergeCell ref="AK6:AN6"/>
    <mergeCell ref="AP6:AS6"/>
    <mergeCell ref="AT6:AT7"/>
    <mergeCell ref="AU6:AX6"/>
    <mergeCell ref="BF8:BH10"/>
    <mergeCell ref="BI8:BJ10"/>
    <mergeCell ref="BK8:BM10"/>
    <mergeCell ref="BN8:BO10"/>
    <mergeCell ref="BP8:BR10"/>
    <mergeCell ref="AJ2:AK4"/>
    <mergeCell ref="AL2:AN4"/>
    <mergeCell ref="AO2:AP4"/>
    <mergeCell ref="AQ2:AS4"/>
    <mergeCell ref="AY6:AY7"/>
    <mergeCell ref="BI5:BM5"/>
    <mergeCell ref="BN5:BR5"/>
    <mergeCell ref="AE5:AI5"/>
    <mergeCell ref="AJ5:AN5"/>
    <mergeCell ref="AO5:AS5"/>
    <mergeCell ref="AT5:AX5"/>
    <mergeCell ref="AY5:BC5"/>
    <mergeCell ref="BD5:BH5"/>
    <mergeCell ref="BN6:BN7"/>
    <mergeCell ref="BO6:BR6"/>
    <mergeCell ref="AZ6:BC6"/>
    <mergeCell ref="BD6:BD7"/>
    <mergeCell ref="BE6:BH6"/>
    <mergeCell ref="BI6:BI7"/>
    <mergeCell ref="BJ6:BM6"/>
    <mergeCell ref="AO6:AO7"/>
    <mergeCell ref="AE6:AE7"/>
    <mergeCell ref="AF6:AI6"/>
    <mergeCell ref="AJ6:AJ7"/>
    <mergeCell ref="P2:Q4"/>
    <mergeCell ref="R2:T4"/>
    <mergeCell ref="K5:O5"/>
    <mergeCell ref="A5:E5"/>
    <mergeCell ref="F5:J5"/>
    <mergeCell ref="P5:T5"/>
    <mergeCell ref="BP2:BR4"/>
    <mergeCell ref="U5:Y5"/>
    <mergeCell ref="Z5:AD5"/>
    <mergeCell ref="A2:B4"/>
    <mergeCell ref="C2:E4"/>
    <mergeCell ref="F2:G4"/>
    <mergeCell ref="H2:J4"/>
    <mergeCell ref="K2:L4"/>
    <mergeCell ref="M2:O4"/>
    <mergeCell ref="BI2:BJ4"/>
    <mergeCell ref="BK2:BM4"/>
    <mergeCell ref="BN2:BO4"/>
    <mergeCell ref="AT2:AU4"/>
    <mergeCell ref="AV2:AX4"/>
    <mergeCell ref="AY2:AZ4"/>
    <mergeCell ref="BA2:BC4"/>
    <mergeCell ref="BD2:BE4"/>
    <mergeCell ref="BF2:BH4"/>
    <mergeCell ref="A6:A7"/>
    <mergeCell ref="B6:E6"/>
    <mergeCell ref="F6:F7"/>
    <mergeCell ref="G6:J6"/>
    <mergeCell ref="K6:K7"/>
    <mergeCell ref="L6:O6"/>
    <mergeCell ref="P6:P7"/>
    <mergeCell ref="Q6:T6"/>
    <mergeCell ref="U6:U7"/>
    <mergeCell ref="V6:Y6"/>
    <mergeCell ref="Z6:Z7"/>
    <mergeCell ref="AA6:AD6"/>
    <mergeCell ref="U2:V4"/>
    <mergeCell ref="W2:Y4"/>
    <mergeCell ref="Z2:AA4"/>
    <mergeCell ref="AB2:AD4"/>
    <mergeCell ref="AE2:AF4"/>
    <mergeCell ref="AG2:AI4"/>
    <mergeCell ref="A11:E11"/>
    <mergeCell ref="F11:J11"/>
    <mergeCell ref="K11:O11"/>
    <mergeCell ref="P11:T11"/>
    <mergeCell ref="U11:Y11"/>
    <mergeCell ref="Z11:AD11"/>
    <mergeCell ref="A14:B16"/>
    <mergeCell ref="C14:E16"/>
    <mergeCell ref="P12:P13"/>
    <mergeCell ref="Q12:T12"/>
    <mergeCell ref="U12:U13"/>
    <mergeCell ref="V12:Y12"/>
    <mergeCell ref="F12:F13"/>
    <mergeCell ref="G12:J12"/>
    <mergeCell ref="K12:K13"/>
    <mergeCell ref="H14:J16"/>
    <mergeCell ref="K14:L16"/>
    <mergeCell ref="A12:A13"/>
    <mergeCell ref="B12:E12"/>
    <mergeCell ref="P23:T23"/>
    <mergeCell ref="A17:B17"/>
    <mergeCell ref="C17:E17"/>
    <mergeCell ref="W17:Y17"/>
    <mergeCell ref="P8:Q10"/>
    <mergeCell ref="R8:T10"/>
    <mergeCell ref="U8:V10"/>
    <mergeCell ref="W8:Y10"/>
    <mergeCell ref="Z8:AA10"/>
    <mergeCell ref="M20:O22"/>
    <mergeCell ref="P20:Q22"/>
    <mergeCell ref="R20:T22"/>
    <mergeCell ref="Z23:AD23"/>
    <mergeCell ref="U23:V23"/>
    <mergeCell ref="W23:Y23"/>
    <mergeCell ref="A23:B23"/>
    <mergeCell ref="A20:B22"/>
    <mergeCell ref="C20:E22"/>
    <mergeCell ref="F20:G22"/>
    <mergeCell ref="H20:J22"/>
    <mergeCell ref="C23:E23"/>
    <mergeCell ref="K20:L22"/>
    <mergeCell ref="F23:J23"/>
    <mergeCell ref="A18:A19"/>
    <mergeCell ref="B18:E18"/>
    <mergeCell ref="K23:L23"/>
    <mergeCell ref="BP17:BR17"/>
    <mergeCell ref="BO12:BR12"/>
    <mergeCell ref="BK14:BM16"/>
    <mergeCell ref="BN14:BO16"/>
    <mergeCell ref="BP14:BR16"/>
    <mergeCell ref="BN17:BO17"/>
    <mergeCell ref="BD11:BE11"/>
    <mergeCell ref="AT17:AU17"/>
    <mergeCell ref="AV17:AX17"/>
    <mergeCell ref="BN11:BO11"/>
    <mergeCell ref="BP11:BR11"/>
    <mergeCell ref="BN12:BN13"/>
    <mergeCell ref="BE12:BH12"/>
    <mergeCell ref="BI12:BI13"/>
    <mergeCell ref="BJ12:BM12"/>
    <mergeCell ref="BI14:BJ16"/>
    <mergeCell ref="BA14:BC16"/>
    <mergeCell ref="BD14:BE16"/>
    <mergeCell ref="BF14:BH16"/>
    <mergeCell ref="AT14:AU16"/>
    <mergeCell ref="AV14:AX16"/>
    <mergeCell ref="BD12:BD13"/>
    <mergeCell ref="AE14:AF16"/>
    <mergeCell ref="AG14:AI16"/>
    <mergeCell ref="K17:L17"/>
    <mergeCell ref="M17:O17"/>
    <mergeCell ref="P17:Q17"/>
    <mergeCell ref="R17:T17"/>
    <mergeCell ref="U17:V17"/>
    <mergeCell ref="M14:O16"/>
    <mergeCell ref="P14:Q16"/>
    <mergeCell ref="R14:T16"/>
    <mergeCell ref="U14:V16"/>
    <mergeCell ref="W14:Y16"/>
    <mergeCell ref="Z17:AA17"/>
    <mergeCell ref="AB17:AD17"/>
    <mergeCell ref="AE17:AF17"/>
    <mergeCell ref="AG17:AI17"/>
    <mergeCell ref="AE72:AE73"/>
    <mergeCell ref="AF72:AI72"/>
    <mergeCell ref="AR68:AS68"/>
    <mergeCell ref="AT68:AV68"/>
    <mergeCell ref="AT72:AT73"/>
    <mergeCell ref="AU72:AX72"/>
    <mergeCell ref="AT69:AV71"/>
    <mergeCell ref="AE23:AF23"/>
    <mergeCell ref="AG23:AI23"/>
    <mergeCell ref="AQ116:AS118"/>
    <mergeCell ref="AT116:AW118"/>
    <mergeCell ref="AN106:AP108"/>
    <mergeCell ref="AN109:AP111"/>
    <mergeCell ref="AQ109:AS111"/>
    <mergeCell ref="AT109:AW111"/>
    <mergeCell ref="AN112:AP114"/>
    <mergeCell ref="AQ112:AS114"/>
    <mergeCell ref="AT112:AW114"/>
    <mergeCell ref="AQ106:AS108"/>
    <mergeCell ref="AT106:AW108"/>
    <mergeCell ref="F18:F19"/>
    <mergeCell ref="G18:J18"/>
    <mergeCell ref="K18:K19"/>
    <mergeCell ref="L18:O18"/>
    <mergeCell ref="P18:P19"/>
    <mergeCell ref="Q18:T18"/>
    <mergeCell ref="U18:U19"/>
    <mergeCell ref="V18:Y18"/>
    <mergeCell ref="AA12:AD12"/>
    <mergeCell ref="L12:O12"/>
    <mergeCell ref="Z12:Z13"/>
    <mergeCell ref="Z14:AA16"/>
    <mergeCell ref="AB14:AD16"/>
    <mergeCell ref="F17:G17"/>
    <mergeCell ref="H17:J17"/>
    <mergeCell ref="F14:G16"/>
    <mergeCell ref="Z18:Z19"/>
    <mergeCell ref="AA18:AD18"/>
  </mergeCells>
  <pageMargins left="0.25" right="0" top="0.7" bottom="0" header="0.3" footer="0.3"/>
  <pageSetup paperSize="8" scale="45" orientation="landscape" r:id="rId1"/>
  <headerFooter>
    <oddFooter>&amp;C&amp;"-,Bold Italic"&amp;16Prepared by Emir Cebecioglu&amp;RQuality Control Department</oddFooter>
  </headerFooter>
  <colBreaks count="1" manualBreakCount="1">
    <brk id="70" max="50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B0734-42D9-4449-A946-C47B46B74398}">
  <sheetPr>
    <tabColor rgb="FFFFC000"/>
    <pageSetUpPr fitToPage="1"/>
  </sheetPr>
  <dimension ref="A1:CL119"/>
  <sheetViews>
    <sheetView view="pageBreakPreview" topLeftCell="A12" zoomScale="55" zoomScaleNormal="115" zoomScaleSheetLayoutView="55" workbookViewId="0">
      <selection activeCell="U14" sqref="U14:Y17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140625" customWidth="1"/>
    <col min="47" max="47" width="10.71093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4.140625" customWidth="1"/>
    <col min="62" max="62" width="10.7109375" customWidth="1"/>
    <col min="63" max="63" width="4.28515625" customWidth="1"/>
    <col min="64" max="65" width="5.5703125" customWidth="1"/>
    <col min="66" max="66" width="4.140625" customWidth="1"/>
    <col min="67" max="67" width="10.7109375" customWidth="1"/>
    <col min="68" max="68" width="4.28515625" customWidth="1"/>
    <col min="69" max="70" width="5.5703125" customWidth="1"/>
    <col min="71" max="71" width="1" customWidth="1"/>
    <col min="72" max="72" width="56.7109375" customWidth="1"/>
    <col min="73" max="73" width="13" customWidth="1"/>
    <col min="74" max="74" width="7" customWidth="1"/>
  </cols>
  <sheetData>
    <row r="1" spans="1:83" ht="168.75" customHeight="1" thickBot="1" x14ac:dyDescent="0.3"/>
    <row r="2" spans="1:83" s="322" customFormat="1" ht="42.75" customHeight="1" thickTop="1" x14ac:dyDescent="0.35">
      <c r="A2" s="1963" t="s">
        <v>110</v>
      </c>
      <c r="B2" s="1964"/>
      <c r="C2" s="1967">
        <f>B7/((42*3.1415/59)*(130.33/3.281))</f>
        <v>1.9157375491039151E-2</v>
      </c>
      <c r="D2" s="1967"/>
      <c r="E2" s="1968"/>
      <c r="F2" s="1963" t="s">
        <v>110</v>
      </c>
      <c r="G2" s="1964"/>
      <c r="H2" s="1967">
        <f t="shared" ref="H2" si="0">G7/((42*3.1415/59)*(130.33/3.281))</f>
        <v>1.1437239099127852E-2</v>
      </c>
      <c r="I2" s="1967"/>
      <c r="J2" s="1968"/>
      <c r="K2" s="1963" t="s">
        <v>110</v>
      </c>
      <c r="L2" s="1964"/>
      <c r="M2" s="1967">
        <f t="shared" ref="M2" si="1">L7/((42*3.1415/59)*(130.33/3.281))</f>
        <v>1.0007584211736871E-2</v>
      </c>
      <c r="N2" s="1967"/>
      <c r="O2" s="1968"/>
      <c r="P2" s="1963" t="s">
        <v>110</v>
      </c>
      <c r="Q2" s="1964"/>
      <c r="R2" s="1967">
        <f t="shared" ref="R2" si="2">Q7/((42*3.1415/59)*(130.33/3.281))</f>
        <v>3.6599165117209127E-2</v>
      </c>
      <c r="S2" s="1967"/>
      <c r="T2" s="1968"/>
      <c r="U2" s="1963" t="s">
        <v>110</v>
      </c>
      <c r="V2" s="1964"/>
      <c r="W2" s="1967">
        <f t="shared" ref="W2" si="3">V7/((42*3.1415/59)*(130.33/3.281))</f>
        <v>3.11664765451234E-2</v>
      </c>
      <c r="X2" s="1967"/>
      <c r="Y2" s="1968"/>
      <c r="Z2" s="1963" t="s">
        <v>110</v>
      </c>
      <c r="AA2" s="1964"/>
      <c r="AB2" s="1967">
        <f t="shared" ref="AB2" si="4">AA7/((42*3.1415/59)*(130.33/3.281))</f>
        <v>1.1257125097566783E-11</v>
      </c>
      <c r="AC2" s="1967"/>
      <c r="AD2" s="1968"/>
      <c r="AE2" s="1963" t="s">
        <v>110</v>
      </c>
      <c r="AF2" s="1964"/>
      <c r="AG2" s="1967">
        <f t="shared" ref="AG2" si="5">AF7/((42*3.1415/59)*(130.33/3.281))</f>
        <v>6.6335986774941541E-2</v>
      </c>
      <c r="AH2" s="1967"/>
      <c r="AI2" s="1968"/>
      <c r="AJ2" s="1963" t="s">
        <v>110</v>
      </c>
      <c r="AK2" s="1964"/>
      <c r="AL2" s="1967">
        <f t="shared" ref="AL2" si="6">AK7/((42*3.1415/59)*(130.33/3.281))</f>
        <v>6.1189229180334009E-2</v>
      </c>
      <c r="AM2" s="1967"/>
      <c r="AN2" s="1968"/>
      <c r="AO2" s="1963" t="s">
        <v>110</v>
      </c>
      <c r="AP2" s="1964"/>
      <c r="AQ2" s="1967">
        <f t="shared" ref="AQ2" si="7">AP7/((42*3.1415/59)*(130.33/3.281))</f>
        <v>3.9744405869469285E-2</v>
      </c>
      <c r="AR2" s="1967"/>
      <c r="AS2" s="1968"/>
      <c r="AT2" s="1963" t="s">
        <v>110</v>
      </c>
      <c r="AU2" s="1964"/>
      <c r="AV2" s="1967">
        <f t="shared" ref="AV2" si="8">AU7/((42*3.1415/59)*(130.33/3.281))</f>
        <v>1.2580963009040637E-2</v>
      </c>
      <c r="AW2" s="1967"/>
      <c r="AX2" s="1968"/>
      <c r="AY2" s="1963" t="s">
        <v>110</v>
      </c>
      <c r="AZ2" s="1964"/>
      <c r="BA2" s="1967">
        <f t="shared" ref="BA2" si="9">AZ7/((42*3.1415/59)*(130.33/3.281))</f>
        <v>7.1482744369549076E-3</v>
      </c>
      <c r="BB2" s="1967"/>
      <c r="BC2" s="1968"/>
      <c r="BD2" s="1963" t="s">
        <v>110</v>
      </c>
      <c r="BE2" s="1964"/>
      <c r="BF2" s="1967">
        <f t="shared" ref="BF2" si="10">BE7/((42*3.1415/59)*(130.33/3.281))</f>
        <v>1.2292780606542928E-2</v>
      </c>
      <c r="BG2" s="1967"/>
      <c r="BH2" s="1968"/>
      <c r="BI2" s="1963" t="s">
        <v>110</v>
      </c>
      <c r="BJ2" s="1964"/>
      <c r="BK2" s="1967">
        <f t="shared" ref="BK2" si="11">BJ7/((42*3.1415/59)*(130.33/3.281))</f>
        <v>2.5159674593061759E-2</v>
      </c>
      <c r="BL2" s="1967"/>
      <c r="BM2" s="1968"/>
      <c r="BN2" s="1963" t="s">
        <v>110</v>
      </c>
      <c r="BO2" s="1964"/>
      <c r="BP2" s="1967">
        <f t="shared" ref="BP2" si="12">BO7/((42*3.1415/59)*(130.33/3.281))</f>
        <v>3.6599165117209127E-2</v>
      </c>
      <c r="BQ2" s="1967"/>
      <c r="BR2" s="1968"/>
    </row>
    <row r="3" spans="1:83" s="322" customFormat="1" ht="6.75" customHeight="1" x14ac:dyDescent="0.35">
      <c r="A3" s="1965"/>
      <c r="B3" s="1966"/>
      <c r="C3" s="1969"/>
      <c r="D3" s="1969"/>
      <c r="E3" s="1970"/>
      <c r="F3" s="1965"/>
      <c r="G3" s="1966"/>
      <c r="H3" s="1969"/>
      <c r="I3" s="1969"/>
      <c r="J3" s="1970"/>
      <c r="K3" s="1965"/>
      <c r="L3" s="1966"/>
      <c r="M3" s="1969"/>
      <c r="N3" s="1969"/>
      <c r="O3" s="1970"/>
      <c r="P3" s="1965"/>
      <c r="Q3" s="1966"/>
      <c r="R3" s="1969"/>
      <c r="S3" s="1969"/>
      <c r="T3" s="1970"/>
      <c r="U3" s="1965"/>
      <c r="V3" s="1966"/>
      <c r="W3" s="1969"/>
      <c r="X3" s="1969"/>
      <c r="Y3" s="1970"/>
      <c r="Z3" s="1965"/>
      <c r="AA3" s="1966"/>
      <c r="AB3" s="1969"/>
      <c r="AC3" s="1969"/>
      <c r="AD3" s="1970"/>
      <c r="AE3" s="1965"/>
      <c r="AF3" s="1966"/>
      <c r="AG3" s="1969"/>
      <c r="AH3" s="1969"/>
      <c r="AI3" s="1970"/>
      <c r="AJ3" s="1965"/>
      <c r="AK3" s="1966"/>
      <c r="AL3" s="1969"/>
      <c r="AM3" s="1969"/>
      <c r="AN3" s="1970"/>
      <c r="AO3" s="1965"/>
      <c r="AP3" s="1966"/>
      <c r="AQ3" s="1969"/>
      <c r="AR3" s="1969"/>
      <c r="AS3" s="1970"/>
      <c r="AT3" s="1965"/>
      <c r="AU3" s="1966"/>
      <c r="AV3" s="1969"/>
      <c r="AW3" s="1969"/>
      <c r="AX3" s="1970"/>
      <c r="AY3" s="1965"/>
      <c r="AZ3" s="1966"/>
      <c r="BA3" s="1969"/>
      <c r="BB3" s="1969"/>
      <c r="BC3" s="1970"/>
      <c r="BD3" s="1965"/>
      <c r="BE3" s="1966"/>
      <c r="BF3" s="1969"/>
      <c r="BG3" s="1969"/>
      <c r="BH3" s="1970"/>
      <c r="BI3" s="1965"/>
      <c r="BJ3" s="1966"/>
      <c r="BK3" s="1969"/>
      <c r="BL3" s="1969"/>
      <c r="BM3" s="1970"/>
      <c r="BN3" s="1965"/>
      <c r="BO3" s="1966"/>
      <c r="BP3" s="1969"/>
      <c r="BQ3" s="1969"/>
      <c r="BR3" s="1970"/>
    </row>
    <row r="4" spans="1:83" s="322" customFormat="1" ht="7.5" customHeight="1" x14ac:dyDescent="0.35">
      <c r="A4" s="1965"/>
      <c r="B4" s="1966"/>
      <c r="C4" s="1969"/>
      <c r="D4" s="1969"/>
      <c r="E4" s="1970"/>
      <c r="F4" s="1965"/>
      <c r="G4" s="1966"/>
      <c r="H4" s="1969"/>
      <c r="I4" s="1969"/>
      <c r="J4" s="1970"/>
      <c r="K4" s="1965"/>
      <c r="L4" s="1966"/>
      <c r="M4" s="1969"/>
      <c r="N4" s="1969"/>
      <c r="O4" s="1970"/>
      <c r="P4" s="1965"/>
      <c r="Q4" s="1966"/>
      <c r="R4" s="1969"/>
      <c r="S4" s="1969"/>
      <c r="T4" s="1970"/>
      <c r="U4" s="1965"/>
      <c r="V4" s="1966"/>
      <c r="W4" s="1969"/>
      <c r="X4" s="1969"/>
      <c r="Y4" s="1970"/>
      <c r="Z4" s="1965"/>
      <c r="AA4" s="1966"/>
      <c r="AB4" s="1969"/>
      <c r="AC4" s="1969"/>
      <c r="AD4" s="1970"/>
      <c r="AE4" s="1965"/>
      <c r="AF4" s="1966"/>
      <c r="AG4" s="1969"/>
      <c r="AH4" s="1969"/>
      <c r="AI4" s="1970"/>
      <c r="AJ4" s="1965"/>
      <c r="AK4" s="1966"/>
      <c r="AL4" s="1969"/>
      <c r="AM4" s="1969"/>
      <c r="AN4" s="1970"/>
      <c r="AO4" s="1965"/>
      <c r="AP4" s="1966"/>
      <c r="AQ4" s="1969"/>
      <c r="AR4" s="1969"/>
      <c r="AS4" s="1970"/>
      <c r="AT4" s="1965"/>
      <c r="AU4" s="1966"/>
      <c r="AV4" s="1969"/>
      <c r="AW4" s="1969"/>
      <c r="AX4" s="1970"/>
      <c r="AY4" s="1965"/>
      <c r="AZ4" s="1966"/>
      <c r="BA4" s="1969"/>
      <c r="BB4" s="1969"/>
      <c r="BC4" s="1970"/>
      <c r="BD4" s="1965"/>
      <c r="BE4" s="1966"/>
      <c r="BF4" s="1969"/>
      <c r="BG4" s="1969"/>
      <c r="BH4" s="1970"/>
      <c r="BI4" s="1965"/>
      <c r="BJ4" s="1966"/>
      <c r="BK4" s="1969"/>
      <c r="BL4" s="1969"/>
      <c r="BM4" s="1970"/>
      <c r="BN4" s="1965"/>
      <c r="BO4" s="1966"/>
      <c r="BP4" s="1969"/>
      <c r="BQ4" s="1969"/>
      <c r="BR4" s="1970"/>
    </row>
    <row r="5" spans="1:83" s="410" customFormat="1" ht="41.25" customHeight="1" x14ac:dyDescent="0.35">
      <c r="A5" s="1993" t="s">
        <v>662</v>
      </c>
      <c r="B5" s="1994"/>
      <c r="C5" s="1994"/>
      <c r="D5" s="1994"/>
      <c r="E5" s="1995"/>
      <c r="F5" s="1993" t="s">
        <v>662</v>
      </c>
      <c r="G5" s="1994"/>
      <c r="H5" s="1994"/>
      <c r="I5" s="1994"/>
      <c r="J5" s="1995"/>
      <c r="K5" s="1993" t="s">
        <v>662</v>
      </c>
      <c r="L5" s="1994"/>
      <c r="M5" s="1994"/>
      <c r="N5" s="1994"/>
      <c r="O5" s="1995"/>
      <c r="P5" s="1993" t="s">
        <v>662</v>
      </c>
      <c r="Q5" s="1994"/>
      <c r="R5" s="1994"/>
      <c r="S5" s="1994"/>
      <c r="T5" s="1995"/>
      <c r="U5" s="1993" t="s">
        <v>662</v>
      </c>
      <c r="V5" s="1994"/>
      <c r="W5" s="1994"/>
      <c r="X5" s="1994"/>
      <c r="Y5" s="1995"/>
      <c r="Z5" s="1993" t="s">
        <v>662</v>
      </c>
      <c r="AA5" s="1994"/>
      <c r="AB5" s="1994"/>
      <c r="AC5" s="1994"/>
      <c r="AD5" s="1995"/>
      <c r="AE5" s="1993" t="s">
        <v>662</v>
      </c>
      <c r="AF5" s="1994"/>
      <c r="AG5" s="1994"/>
      <c r="AH5" s="1994"/>
      <c r="AI5" s="1995"/>
      <c r="AJ5" s="1993" t="s">
        <v>662</v>
      </c>
      <c r="AK5" s="1994"/>
      <c r="AL5" s="1994"/>
      <c r="AM5" s="1994"/>
      <c r="AN5" s="1995"/>
      <c r="AO5" s="1993" t="s">
        <v>662</v>
      </c>
      <c r="AP5" s="1994"/>
      <c r="AQ5" s="1994"/>
      <c r="AR5" s="1994"/>
      <c r="AS5" s="1995"/>
      <c r="AT5" s="1993" t="s">
        <v>662</v>
      </c>
      <c r="AU5" s="1994"/>
      <c r="AV5" s="1994"/>
      <c r="AW5" s="1994"/>
      <c r="AX5" s="1995"/>
      <c r="AY5" s="1993" t="s">
        <v>662</v>
      </c>
      <c r="AZ5" s="1994"/>
      <c r="BA5" s="1994"/>
      <c r="BB5" s="1994"/>
      <c r="BC5" s="1995"/>
      <c r="BD5" s="1993" t="s">
        <v>662</v>
      </c>
      <c r="BE5" s="1994"/>
      <c r="BF5" s="1994"/>
      <c r="BG5" s="1994"/>
      <c r="BH5" s="1995"/>
      <c r="BI5" s="1993" t="s">
        <v>662</v>
      </c>
      <c r="BJ5" s="1994"/>
      <c r="BK5" s="1994"/>
      <c r="BL5" s="1994"/>
      <c r="BM5" s="1995"/>
      <c r="BN5" s="1993" t="s">
        <v>662</v>
      </c>
      <c r="BO5" s="1994"/>
      <c r="BP5" s="1994"/>
      <c r="BQ5" s="1994"/>
      <c r="BR5" s="1995"/>
    </row>
    <row r="6" spans="1:83" s="22" customFormat="1" ht="80.099999999999994" customHeight="1" x14ac:dyDescent="1.35">
      <c r="A6" s="1961" t="s">
        <v>564</v>
      </c>
      <c r="B6" s="588">
        <v>1</v>
      </c>
      <c r="C6" s="589"/>
      <c r="D6" s="589"/>
      <c r="E6" s="590"/>
      <c r="F6" s="1961" t="s">
        <v>564</v>
      </c>
      <c r="G6" s="588">
        <v>2</v>
      </c>
      <c r="H6" s="589"/>
      <c r="I6" s="589"/>
      <c r="J6" s="590"/>
      <c r="K6" s="1961" t="s">
        <v>564</v>
      </c>
      <c r="L6" s="588">
        <v>3</v>
      </c>
      <c r="M6" s="589"/>
      <c r="N6" s="589"/>
      <c r="O6" s="590"/>
      <c r="P6" s="1961" t="s">
        <v>564</v>
      </c>
      <c r="Q6" s="588">
        <v>4</v>
      </c>
      <c r="R6" s="589"/>
      <c r="S6" s="589"/>
      <c r="T6" s="590"/>
      <c r="U6" s="1961" t="s">
        <v>564</v>
      </c>
      <c r="V6" s="588">
        <v>5</v>
      </c>
      <c r="W6" s="589"/>
      <c r="X6" s="589"/>
      <c r="Y6" s="590"/>
      <c r="Z6" s="1961" t="s">
        <v>564</v>
      </c>
      <c r="AA6" s="588">
        <v>6</v>
      </c>
      <c r="AB6" s="589"/>
      <c r="AC6" s="589"/>
      <c r="AD6" s="590"/>
      <c r="AE6" s="1961" t="s">
        <v>564</v>
      </c>
      <c r="AF6" s="588">
        <v>7</v>
      </c>
      <c r="AG6" s="589"/>
      <c r="AH6" s="589"/>
      <c r="AI6" s="590"/>
      <c r="AJ6" s="1961" t="s">
        <v>564</v>
      </c>
      <c r="AK6" s="588">
        <v>8</v>
      </c>
      <c r="AL6" s="589"/>
      <c r="AM6" s="589"/>
      <c r="AN6" s="590"/>
      <c r="AO6" s="1961" t="s">
        <v>564</v>
      </c>
      <c r="AP6" s="588">
        <v>9</v>
      </c>
      <c r="AQ6" s="589"/>
      <c r="AR6" s="589"/>
      <c r="AS6" s="590"/>
      <c r="AT6" s="1961" t="s">
        <v>564</v>
      </c>
      <c r="AU6" s="588">
        <v>10</v>
      </c>
      <c r="AV6" s="589"/>
      <c r="AW6" s="589"/>
      <c r="AX6" s="590"/>
      <c r="AY6" s="1961" t="s">
        <v>564</v>
      </c>
      <c r="AZ6" s="588">
        <v>11</v>
      </c>
      <c r="BA6" s="589"/>
      <c r="BB6" s="589"/>
      <c r="BC6" s="590"/>
      <c r="BD6" s="1961" t="s">
        <v>564</v>
      </c>
      <c r="BE6" s="588">
        <v>12</v>
      </c>
      <c r="BF6" s="589"/>
      <c r="BG6" s="589"/>
      <c r="BH6" s="590"/>
      <c r="BI6" s="1961" t="s">
        <v>564</v>
      </c>
      <c r="BJ6" s="588">
        <v>13</v>
      </c>
      <c r="BK6" s="589"/>
      <c r="BL6" s="589"/>
      <c r="BM6" s="590"/>
      <c r="BN6" s="1961" t="s">
        <v>564</v>
      </c>
      <c r="BO6" s="588">
        <v>14</v>
      </c>
      <c r="BP6" s="589"/>
      <c r="BQ6" s="589"/>
      <c r="BR6" s="590"/>
    </row>
    <row r="7" spans="1:83" ht="27" customHeight="1" thickBot="1" x14ac:dyDescent="0.3">
      <c r="A7" s="1962"/>
      <c r="B7" s="61">
        <v>1.7018</v>
      </c>
      <c r="C7" s="62" t="s">
        <v>113</v>
      </c>
      <c r="D7" s="63">
        <v>1</v>
      </c>
      <c r="E7" s="64" t="s">
        <v>114</v>
      </c>
      <c r="F7" s="1962"/>
      <c r="G7" s="61">
        <v>1.016</v>
      </c>
      <c r="H7" s="62" t="s">
        <v>113</v>
      </c>
      <c r="I7" s="63">
        <v>1</v>
      </c>
      <c r="J7" s="64" t="s">
        <v>114</v>
      </c>
      <c r="K7" s="1962"/>
      <c r="L7" s="61">
        <v>0.88900000000000001</v>
      </c>
      <c r="M7" s="62" t="s">
        <v>113</v>
      </c>
      <c r="N7" s="63">
        <v>1</v>
      </c>
      <c r="O7" s="64" t="s">
        <v>114</v>
      </c>
      <c r="P7" s="1962"/>
      <c r="Q7" s="61">
        <v>3.2511999999999999</v>
      </c>
      <c r="R7" s="62" t="s">
        <v>113</v>
      </c>
      <c r="S7" s="63">
        <v>1</v>
      </c>
      <c r="T7" s="64" t="s">
        <v>114</v>
      </c>
      <c r="U7" s="1962"/>
      <c r="V7" s="61">
        <v>2.7686000000000002</v>
      </c>
      <c r="W7" s="62" t="s">
        <v>113</v>
      </c>
      <c r="X7" s="63">
        <v>1</v>
      </c>
      <c r="Y7" s="64" t="s">
        <v>114</v>
      </c>
      <c r="Z7" s="1962"/>
      <c r="AA7" s="61">
        <v>1.0000000000000001E-9</v>
      </c>
      <c r="AB7" s="62" t="s">
        <v>113</v>
      </c>
      <c r="AC7" s="63">
        <v>1</v>
      </c>
      <c r="AD7" s="64" t="s">
        <v>114</v>
      </c>
      <c r="AE7" s="1962"/>
      <c r="AF7" s="61">
        <v>5.8928000000000003</v>
      </c>
      <c r="AG7" s="62" t="s">
        <v>113</v>
      </c>
      <c r="AH7" s="63">
        <v>1</v>
      </c>
      <c r="AI7" s="64" t="s">
        <v>114</v>
      </c>
      <c r="AJ7" s="1962"/>
      <c r="AK7" s="61">
        <v>5.4356</v>
      </c>
      <c r="AL7" s="62" t="s">
        <v>113</v>
      </c>
      <c r="AM7" s="63">
        <v>1</v>
      </c>
      <c r="AN7" s="64" t="s">
        <v>114</v>
      </c>
      <c r="AO7" s="1962"/>
      <c r="AP7" s="61">
        <v>3.5306000000000002</v>
      </c>
      <c r="AQ7" s="62" t="s">
        <v>113</v>
      </c>
      <c r="AR7" s="63">
        <v>1</v>
      </c>
      <c r="AS7" s="64" t="s">
        <v>114</v>
      </c>
      <c r="AT7" s="1962"/>
      <c r="AU7" s="61">
        <v>1.1175999999999999</v>
      </c>
      <c r="AV7" s="62" t="s">
        <v>113</v>
      </c>
      <c r="AW7" s="63">
        <v>1</v>
      </c>
      <c r="AX7" s="64" t="s">
        <v>114</v>
      </c>
      <c r="AY7" s="1962"/>
      <c r="AZ7" s="61">
        <v>0.63500000000000001</v>
      </c>
      <c r="BA7" s="62" t="s">
        <v>113</v>
      </c>
      <c r="BB7" s="63">
        <v>1</v>
      </c>
      <c r="BC7" s="64" t="s">
        <v>114</v>
      </c>
      <c r="BD7" s="1962"/>
      <c r="BE7" s="61">
        <v>1.0920000000000001</v>
      </c>
      <c r="BF7" s="62" t="s">
        <v>113</v>
      </c>
      <c r="BG7" s="63">
        <v>1</v>
      </c>
      <c r="BH7" s="64" t="s">
        <v>114</v>
      </c>
      <c r="BI7" s="1962"/>
      <c r="BJ7" s="61">
        <v>2.2349999999999999</v>
      </c>
      <c r="BK7" s="62" t="s">
        <v>113</v>
      </c>
      <c r="BL7" s="63">
        <v>1</v>
      </c>
      <c r="BM7" s="64" t="s">
        <v>114</v>
      </c>
      <c r="BN7" s="1962"/>
      <c r="BO7" s="61">
        <v>3.2511999999999999</v>
      </c>
      <c r="BP7" s="62" t="s">
        <v>113</v>
      </c>
      <c r="BQ7" s="63">
        <v>1</v>
      </c>
      <c r="BR7" s="64" t="s">
        <v>114</v>
      </c>
      <c r="BW7" s="27"/>
      <c r="BX7" s="27"/>
      <c r="BY7" s="27"/>
      <c r="BZ7" s="27"/>
      <c r="CA7" s="27"/>
      <c r="CB7" s="27"/>
      <c r="CC7" s="27"/>
      <c r="CD7" s="27"/>
      <c r="CE7" s="27"/>
    </row>
    <row r="8" spans="1:83" s="322" customFormat="1" ht="26.1" customHeight="1" thickTop="1" x14ac:dyDescent="0.35">
      <c r="A8" s="1963" t="s">
        <v>110</v>
      </c>
      <c r="B8" s="1964"/>
      <c r="C8" s="1967">
        <f>B13/((42*3.1415/59)*(130.33/3.281))</f>
        <v>2.4866989340525024E-2</v>
      </c>
      <c r="D8" s="1967"/>
      <c r="E8" s="1968"/>
      <c r="F8" s="1963" t="s">
        <v>110</v>
      </c>
      <c r="G8" s="1964"/>
      <c r="H8" s="1967">
        <f t="shared" ref="H8" si="13">G13/((42*3.1415/59)*(130.33/3.281))</f>
        <v>4.0602198801903869E-2</v>
      </c>
      <c r="I8" s="1967"/>
      <c r="J8" s="1968"/>
      <c r="K8" s="1963" t="s">
        <v>110</v>
      </c>
      <c r="L8" s="1964"/>
      <c r="M8" s="1967">
        <f t="shared" ref="M8" si="14">L13/((42*3.1415/59)*(130.33/3.281))</f>
        <v>2.2874478198255704E-2</v>
      </c>
      <c r="N8" s="1967"/>
      <c r="O8" s="1968"/>
      <c r="P8" s="1963" t="s">
        <v>110</v>
      </c>
      <c r="Q8" s="1964"/>
      <c r="R8" s="1967">
        <f t="shared" ref="R8" si="15">Q13/((42*3.1415/59)*(130.33/3.281))</f>
        <v>4.9171122426171714E-2</v>
      </c>
      <c r="S8" s="1967"/>
      <c r="T8" s="1968"/>
      <c r="U8" s="1963" t="s">
        <v>110</v>
      </c>
      <c r="V8" s="1964"/>
      <c r="W8" s="1967">
        <f t="shared" ref="W8" si="16">V13/((42*3.1415/59)*(130.33/3.281))</f>
        <v>1.2574208733982097E-2</v>
      </c>
      <c r="X8" s="1967"/>
      <c r="Y8" s="1968"/>
      <c r="Z8" s="1963" t="s">
        <v>110</v>
      </c>
      <c r="AA8" s="1964"/>
      <c r="AB8" s="1967">
        <f t="shared" ref="AB8" si="17">AA13/((42*3.1415/59)*(130.33/3.281))</f>
        <v>1.9925111422693207E-3</v>
      </c>
      <c r="AC8" s="1967"/>
      <c r="AD8" s="1968"/>
      <c r="AE8" s="1963" t="s">
        <v>110</v>
      </c>
      <c r="AF8" s="1964"/>
      <c r="AG8" s="1967">
        <f t="shared" ref="AG8" si="18">AF13/((42*3.1415/59)*(130.33/3.281))</f>
        <v>9.1407855792242278E-3</v>
      </c>
      <c r="AH8" s="1967"/>
      <c r="AI8" s="1968"/>
      <c r="AJ8" s="1963" t="s">
        <v>110</v>
      </c>
      <c r="AK8" s="1964"/>
      <c r="AL8" s="1967">
        <f t="shared" ref="AL8" si="19">AK13/((42*3.1415/59)*(130.33/3.281))</f>
        <v>2.1726251438303892E-2</v>
      </c>
      <c r="AM8" s="1967"/>
      <c r="AN8" s="1968"/>
      <c r="AO8" s="1963" t="s">
        <v>110</v>
      </c>
      <c r="AP8" s="1964"/>
      <c r="AQ8" s="1967">
        <f t="shared" ref="AQ8" si="20">AP13/((42*3.1415/59)*(130.33/3.281))</f>
        <v>2.6870757607891912E-2</v>
      </c>
      <c r="AR8" s="1967"/>
      <c r="AS8" s="1968"/>
      <c r="AT8" s="1963" t="s">
        <v>110</v>
      </c>
      <c r="AU8" s="1964"/>
      <c r="AV8" s="1967">
        <f t="shared" ref="AV8" si="21">AU13/((42*3.1415/59)*(130.33/3.281))</f>
        <v>4.6885926031365655E-2</v>
      </c>
      <c r="AW8" s="1967"/>
      <c r="AX8" s="1968"/>
      <c r="AY8" s="1957" t="s">
        <v>110</v>
      </c>
      <c r="AZ8" s="1958"/>
      <c r="BA8" s="1307">
        <f>AZ13/((42*3.1415/59)*(131.33/3.281))</f>
        <v>5.6750756559405049E-3</v>
      </c>
      <c r="BB8" s="1307"/>
      <c r="BC8" s="1308"/>
      <c r="BD8" s="1957" t="s">
        <v>110</v>
      </c>
      <c r="BE8" s="1958"/>
      <c r="BF8" s="1307">
        <f t="shared" ref="BF8" si="22">BE13/((42*3.1415/59)*(131.33/3.281))</f>
        <v>5.5331987645419925E-2</v>
      </c>
      <c r="BG8" s="1307"/>
      <c r="BH8" s="1308"/>
      <c r="BI8" s="1957" t="s">
        <v>110</v>
      </c>
      <c r="BJ8" s="1958"/>
      <c r="BK8" s="1307">
        <f t="shared" ref="BK8" si="23">BJ13/((42*3.1415/59)*(131.33/3.281))</f>
        <v>2.2700302623762021E-3</v>
      </c>
      <c r="BL8" s="1307"/>
      <c r="BM8" s="1308"/>
      <c r="BN8" s="1957" t="s">
        <v>110</v>
      </c>
      <c r="BO8" s="1958"/>
      <c r="BP8" s="1307">
        <f t="shared" ref="BP8" si="24">BO13/((42*3.1415/59)*(131.33/3.281))</f>
        <v>1.1171408771536428E-11</v>
      </c>
      <c r="BQ8" s="1307"/>
      <c r="BR8" s="1308"/>
    </row>
    <row r="9" spans="1:83" s="322" customFormat="1" ht="6.75" customHeight="1" x14ac:dyDescent="0.35">
      <c r="A9" s="1965"/>
      <c r="B9" s="1966"/>
      <c r="C9" s="1969"/>
      <c r="D9" s="1969"/>
      <c r="E9" s="1970"/>
      <c r="F9" s="1965"/>
      <c r="G9" s="1966"/>
      <c r="H9" s="1969"/>
      <c r="I9" s="1969"/>
      <c r="J9" s="1970"/>
      <c r="K9" s="1965"/>
      <c r="L9" s="1966"/>
      <c r="M9" s="1969"/>
      <c r="N9" s="1969"/>
      <c r="O9" s="1970"/>
      <c r="P9" s="1965"/>
      <c r="Q9" s="1966"/>
      <c r="R9" s="1969"/>
      <c r="S9" s="1969"/>
      <c r="T9" s="1970"/>
      <c r="U9" s="1965"/>
      <c r="V9" s="1966"/>
      <c r="W9" s="1969"/>
      <c r="X9" s="1969"/>
      <c r="Y9" s="1970"/>
      <c r="Z9" s="1965"/>
      <c r="AA9" s="1966"/>
      <c r="AB9" s="1969"/>
      <c r="AC9" s="1969"/>
      <c r="AD9" s="1970"/>
      <c r="AE9" s="1965"/>
      <c r="AF9" s="1966"/>
      <c r="AG9" s="1969"/>
      <c r="AH9" s="1969"/>
      <c r="AI9" s="1970"/>
      <c r="AJ9" s="1965"/>
      <c r="AK9" s="1966"/>
      <c r="AL9" s="1969"/>
      <c r="AM9" s="1969"/>
      <c r="AN9" s="1970"/>
      <c r="AO9" s="1965"/>
      <c r="AP9" s="1966"/>
      <c r="AQ9" s="1969"/>
      <c r="AR9" s="1969"/>
      <c r="AS9" s="1970"/>
      <c r="AT9" s="1965"/>
      <c r="AU9" s="1966"/>
      <c r="AV9" s="1969"/>
      <c r="AW9" s="1969"/>
      <c r="AX9" s="1970"/>
      <c r="AY9" s="1959"/>
      <c r="AZ9" s="1960"/>
      <c r="BA9" s="1309"/>
      <c r="BB9" s="1309"/>
      <c r="BC9" s="1310"/>
      <c r="BD9" s="1959"/>
      <c r="BE9" s="1960"/>
      <c r="BF9" s="1309"/>
      <c r="BG9" s="1309"/>
      <c r="BH9" s="1310"/>
      <c r="BI9" s="1959"/>
      <c r="BJ9" s="1960"/>
      <c r="BK9" s="1309"/>
      <c r="BL9" s="1309"/>
      <c r="BM9" s="1310"/>
      <c r="BN9" s="1959"/>
      <c r="BO9" s="1960"/>
      <c r="BP9" s="1309"/>
      <c r="BQ9" s="1309"/>
      <c r="BR9" s="1310"/>
    </row>
    <row r="10" spans="1:83" s="322" customFormat="1" ht="21.95" customHeight="1" x14ac:dyDescent="0.35">
      <c r="A10" s="1965"/>
      <c r="B10" s="1966"/>
      <c r="C10" s="1969"/>
      <c r="D10" s="1969"/>
      <c r="E10" s="1970"/>
      <c r="F10" s="1965"/>
      <c r="G10" s="1966"/>
      <c r="H10" s="1969"/>
      <c r="I10" s="1969"/>
      <c r="J10" s="1970"/>
      <c r="K10" s="1965"/>
      <c r="L10" s="1966"/>
      <c r="M10" s="1969"/>
      <c r="N10" s="1969"/>
      <c r="O10" s="1970"/>
      <c r="P10" s="1965"/>
      <c r="Q10" s="1966"/>
      <c r="R10" s="1969"/>
      <c r="S10" s="1969"/>
      <c r="T10" s="1970"/>
      <c r="U10" s="1965"/>
      <c r="V10" s="1966"/>
      <c r="W10" s="1969"/>
      <c r="X10" s="1969"/>
      <c r="Y10" s="1970"/>
      <c r="Z10" s="1965"/>
      <c r="AA10" s="1966"/>
      <c r="AB10" s="1969"/>
      <c r="AC10" s="1969"/>
      <c r="AD10" s="1970"/>
      <c r="AE10" s="1965"/>
      <c r="AF10" s="1966"/>
      <c r="AG10" s="1969"/>
      <c r="AH10" s="1969"/>
      <c r="AI10" s="1970"/>
      <c r="AJ10" s="1965"/>
      <c r="AK10" s="1966"/>
      <c r="AL10" s="1969"/>
      <c r="AM10" s="1969"/>
      <c r="AN10" s="1970"/>
      <c r="AO10" s="1965"/>
      <c r="AP10" s="1966"/>
      <c r="AQ10" s="1969"/>
      <c r="AR10" s="1969"/>
      <c r="AS10" s="1970"/>
      <c r="AT10" s="1965"/>
      <c r="AU10" s="1966"/>
      <c r="AV10" s="1969"/>
      <c r="AW10" s="1969"/>
      <c r="AX10" s="1970"/>
      <c r="AY10" s="1959"/>
      <c r="AZ10" s="1960"/>
      <c r="BA10" s="1309"/>
      <c r="BB10" s="1309"/>
      <c r="BC10" s="1310"/>
      <c r="BD10" s="1959"/>
      <c r="BE10" s="1960"/>
      <c r="BF10" s="1309"/>
      <c r="BG10" s="1309"/>
      <c r="BH10" s="1310"/>
      <c r="BI10" s="1959"/>
      <c r="BJ10" s="1960"/>
      <c r="BK10" s="1309"/>
      <c r="BL10" s="1309"/>
      <c r="BM10" s="1310"/>
      <c r="BN10" s="1959"/>
      <c r="BO10" s="1960"/>
      <c r="BP10" s="1309"/>
      <c r="BQ10" s="1309"/>
      <c r="BR10" s="1310"/>
    </row>
    <row r="11" spans="1:83" s="410" customFormat="1" ht="41.25" customHeight="1" x14ac:dyDescent="0.35">
      <c r="A11" s="1993" t="s">
        <v>662</v>
      </c>
      <c r="B11" s="1994"/>
      <c r="C11" s="1994"/>
      <c r="D11" s="1994"/>
      <c r="E11" s="1995"/>
      <c r="F11" s="1993" t="s">
        <v>662</v>
      </c>
      <c r="G11" s="1994"/>
      <c r="H11" s="1994"/>
      <c r="I11" s="1994"/>
      <c r="J11" s="1995"/>
      <c r="K11" s="1993" t="s">
        <v>662</v>
      </c>
      <c r="L11" s="1994"/>
      <c r="M11" s="1994"/>
      <c r="N11" s="1994"/>
      <c r="O11" s="1995"/>
      <c r="P11" s="1993" t="s">
        <v>662</v>
      </c>
      <c r="Q11" s="1994"/>
      <c r="R11" s="1994"/>
      <c r="S11" s="1994"/>
      <c r="T11" s="1995"/>
      <c r="U11" s="1993" t="s">
        <v>662</v>
      </c>
      <c r="V11" s="1994"/>
      <c r="W11" s="1994"/>
      <c r="X11" s="1994"/>
      <c r="Y11" s="1995"/>
      <c r="Z11" s="1993" t="s">
        <v>662</v>
      </c>
      <c r="AA11" s="1994"/>
      <c r="AB11" s="1994"/>
      <c r="AC11" s="1994"/>
      <c r="AD11" s="1995"/>
      <c r="AE11" s="1993" t="s">
        <v>662</v>
      </c>
      <c r="AF11" s="1994"/>
      <c r="AG11" s="1994"/>
      <c r="AH11" s="1994"/>
      <c r="AI11" s="1995"/>
      <c r="AJ11" s="1993" t="s">
        <v>662</v>
      </c>
      <c r="AK11" s="1994"/>
      <c r="AL11" s="1994"/>
      <c r="AM11" s="1994"/>
      <c r="AN11" s="1995"/>
      <c r="AO11" s="1993" t="s">
        <v>662</v>
      </c>
      <c r="AP11" s="1994"/>
      <c r="AQ11" s="1994"/>
      <c r="AR11" s="1994"/>
      <c r="AS11" s="1995"/>
      <c r="AT11" s="1993" t="s">
        <v>662</v>
      </c>
      <c r="AU11" s="1994"/>
      <c r="AV11" s="1994"/>
      <c r="AW11" s="1994"/>
      <c r="AX11" s="1995"/>
      <c r="AY11" s="1938" t="s">
        <v>662</v>
      </c>
      <c r="AZ11" s="1939"/>
      <c r="BA11" s="1939"/>
      <c r="BB11" s="1939"/>
      <c r="BC11" s="1945"/>
      <c r="BD11" s="1938" t="s">
        <v>662</v>
      </c>
      <c r="BE11" s="1939"/>
      <c r="BF11" s="1939"/>
      <c r="BG11" s="1939"/>
      <c r="BH11" s="1945"/>
      <c r="BI11" s="1938" t="s">
        <v>662</v>
      </c>
      <c r="BJ11" s="1939"/>
      <c r="BK11" s="1939"/>
      <c r="BL11" s="1939"/>
      <c r="BM11" s="1945"/>
      <c r="BN11" s="1938" t="s">
        <v>662</v>
      </c>
      <c r="BO11" s="1939"/>
      <c r="BP11" s="1939"/>
      <c r="BQ11" s="1939"/>
      <c r="BR11" s="1945"/>
    </row>
    <row r="12" spans="1:83" s="22" customFormat="1" ht="80.099999999999994" customHeight="1" x14ac:dyDescent="1.35">
      <c r="A12" s="1961" t="s">
        <v>564</v>
      </c>
      <c r="B12" s="588">
        <v>15</v>
      </c>
      <c r="C12" s="589"/>
      <c r="D12" s="589"/>
      <c r="E12" s="590"/>
      <c r="F12" s="1961" t="s">
        <v>564</v>
      </c>
      <c r="G12" s="588">
        <v>16</v>
      </c>
      <c r="H12" s="589"/>
      <c r="I12" s="589"/>
      <c r="J12" s="590"/>
      <c r="K12" s="1961" t="s">
        <v>564</v>
      </c>
      <c r="L12" s="588">
        <v>17</v>
      </c>
      <c r="M12" s="589"/>
      <c r="N12" s="589"/>
      <c r="O12" s="590"/>
      <c r="P12" s="1961" t="s">
        <v>564</v>
      </c>
      <c r="Q12" s="588">
        <v>18</v>
      </c>
      <c r="R12" s="589"/>
      <c r="S12" s="589"/>
      <c r="T12" s="590"/>
      <c r="U12" s="1961" t="s">
        <v>564</v>
      </c>
      <c r="V12" s="588">
        <v>19</v>
      </c>
      <c r="W12" s="589"/>
      <c r="X12" s="589"/>
      <c r="Y12" s="590"/>
      <c r="Z12" s="1961" t="s">
        <v>564</v>
      </c>
      <c r="AA12" s="588">
        <v>20</v>
      </c>
      <c r="AB12" s="589"/>
      <c r="AC12" s="589"/>
      <c r="AD12" s="590"/>
      <c r="AE12" s="1961" t="s">
        <v>564</v>
      </c>
      <c r="AF12" s="588">
        <v>21</v>
      </c>
      <c r="AG12" s="589"/>
      <c r="AH12" s="589"/>
      <c r="AI12" s="590"/>
      <c r="AJ12" s="1961" t="s">
        <v>564</v>
      </c>
      <c r="AK12" s="588">
        <v>22</v>
      </c>
      <c r="AL12" s="589"/>
      <c r="AM12" s="589"/>
      <c r="AN12" s="590"/>
      <c r="AO12" s="1961" t="s">
        <v>564</v>
      </c>
      <c r="AP12" s="588">
        <v>23</v>
      </c>
      <c r="AQ12" s="589"/>
      <c r="AR12" s="589"/>
      <c r="AS12" s="590"/>
      <c r="AT12" s="1961" t="s">
        <v>564</v>
      </c>
      <c r="AU12" s="588">
        <v>24</v>
      </c>
      <c r="AV12" s="589"/>
      <c r="AW12" s="589"/>
      <c r="AX12" s="590"/>
      <c r="AY12" s="1330" t="s">
        <v>659</v>
      </c>
      <c r="AZ12" s="588">
        <v>25</v>
      </c>
      <c r="BA12" s="589"/>
      <c r="BB12" s="589"/>
      <c r="BC12" s="590"/>
      <c r="BD12" s="1330" t="s">
        <v>659</v>
      </c>
      <c r="BE12" s="588">
        <v>26</v>
      </c>
      <c r="BF12" s="589"/>
      <c r="BG12" s="589"/>
      <c r="BH12" s="590"/>
      <c r="BI12" s="1330" t="s">
        <v>659</v>
      </c>
      <c r="BJ12" s="588">
        <v>27</v>
      </c>
      <c r="BK12" s="589"/>
      <c r="BL12" s="589"/>
      <c r="BM12" s="590"/>
      <c r="BN12" s="1330" t="s">
        <v>659</v>
      </c>
      <c r="BO12" s="588">
        <v>28</v>
      </c>
      <c r="BP12" s="589"/>
      <c r="BQ12" s="589"/>
      <c r="BR12" s="590"/>
    </row>
    <row r="13" spans="1:83" ht="27" customHeight="1" thickBot="1" x14ac:dyDescent="0.3">
      <c r="A13" s="1962"/>
      <c r="B13" s="61">
        <v>2.2090000000000001</v>
      </c>
      <c r="C13" s="62" t="s">
        <v>113</v>
      </c>
      <c r="D13" s="63">
        <v>1</v>
      </c>
      <c r="E13" s="64" t="s">
        <v>114</v>
      </c>
      <c r="F13" s="1962"/>
      <c r="G13" s="61">
        <v>3.6067999999999998</v>
      </c>
      <c r="H13" s="62" t="s">
        <v>113</v>
      </c>
      <c r="I13" s="63">
        <v>1</v>
      </c>
      <c r="J13" s="64" t="s">
        <v>114</v>
      </c>
      <c r="K13" s="1962"/>
      <c r="L13" s="61">
        <v>2.032</v>
      </c>
      <c r="M13" s="62" t="s">
        <v>113</v>
      </c>
      <c r="N13" s="63">
        <v>1</v>
      </c>
      <c r="O13" s="64" t="s">
        <v>114</v>
      </c>
      <c r="P13" s="1962"/>
      <c r="Q13" s="61">
        <v>4.3680000000000003</v>
      </c>
      <c r="R13" s="62" t="s">
        <v>113</v>
      </c>
      <c r="S13" s="63">
        <v>1</v>
      </c>
      <c r="T13" s="64" t="s">
        <v>114</v>
      </c>
      <c r="U13" s="1962"/>
      <c r="V13" s="61">
        <v>1.117</v>
      </c>
      <c r="W13" s="62" t="s">
        <v>113</v>
      </c>
      <c r="X13" s="63">
        <v>1</v>
      </c>
      <c r="Y13" s="64" t="s">
        <v>114</v>
      </c>
      <c r="Z13" s="1962"/>
      <c r="AA13" s="61">
        <v>0.17699999999999999</v>
      </c>
      <c r="AB13" s="62" t="s">
        <v>113</v>
      </c>
      <c r="AC13" s="63">
        <v>1</v>
      </c>
      <c r="AD13" s="64" t="s">
        <v>114</v>
      </c>
      <c r="AE13" s="1962"/>
      <c r="AF13" s="61">
        <v>0.81200000000000006</v>
      </c>
      <c r="AG13" s="62" t="s">
        <v>113</v>
      </c>
      <c r="AH13" s="63">
        <v>1</v>
      </c>
      <c r="AI13" s="64" t="s">
        <v>114</v>
      </c>
      <c r="AJ13" s="1962"/>
      <c r="AK13" s="61">
        <v>1.93</v>
      </c>
      <c r="AL13" s="62" t="s">
        <v>113</v>
      </c>
      <c r="AM13" s="63">
        <v>1</v>
      </c>
      <c r="AN13" s="64" t="s">
        <v>114</v>
      </c>
      <c r="AO13" s="1962"/>
      <c r="AP13" s="61">
        <v>2.387</v>
      </c>
      <c r="AQ13" s="62" t="s">
        <v>113</v>
      </c>
      <c r="AR13" s="63">
        <v>1</v>
      </c>
      <c r="AS13" s="64" t="s">
        <v>114</v>
      </c>
      <c r="AT13" s="1962"/>
      <c r="AU13" s="61">
        <v>4.165</v>
      </c>
      <c r="AV13" s="62" t="s">
        <v>113</v>
      </c>
      <c r="AW13" s="63">
        <v>1</v>
      </c>
      <c r="AX13" s="64" t="s">
        <v>114</v>
      </c>
      <c r="AY13" s="1331"/>
      <c r="AZ13" s="61">
        <v>0.50800000000000001</v>
      </c>
      <c r="BA13" s="62" t="s">
        <v>113</v>
      </c>
      <c r="BB13" s="63">
        <v>1</v>
      </c>
      <c r="BC13" s="64" t="s">
        <v>114</v>
      </c>
      <c r="BD13" s="1331"/>
      <c r="BE13" s="61">
        <v>4.9530000000000003</v>
      </c>
      <c r="BF13" s="62" t="s">
        <v>113</v>
      </c>
      <c r="BG13" s="63">
        <v>1</v>
      </c>
      <c r="BH13" s="64" t="s">
        <v>114</v>
      </c>
      <c r="BI13" s="1331"/>
      <c r="BJ13" s="61">
        <v>0.20319999999999999</v>
      </c>
      <c r="BK13" s="62" t="s">
        <v>113</v>
      </c>
      <c r="BL13" s="63">
        <v>1</v>
      </c>
      <c r="BM13" s="64" t="s">
        <v>114</v>
      </c>
      <c r="BN13" s="1331"/>
      <c r="BO13" s="61">
        <v>1.0000000000000001E-9</v>
      </c>
      <c r="BP13" s="62" t="s">
        <v>113</v>
      </c>
      <c r="BQ13" s="63">
        <v>1</v>
      </c>
      <c r="BR13" s="64" t="s">
        <v>114</v>
      </c>
      <c r="BW13" s="27"/>
      <c r="BX13" s="27"/>
      <c r="BY13" s="27"/>
      <c r="BZ13" s="27"/>
      <c r="CA13" s="27"/>
      <c r="CB13" s="27"/>
      <c r="CC13" s="27"/>
      <c r="CD13" s="27"/>
      <c r="CE13" s="27"/>
    </row>
    <row r="14" spans="1:83" s="322" customFormat="1" ht="26.1" customHeight="1" thickTop="1" x14ac:dyDescent="0.35">
      <c r="A14" s="1957" t="s">
        <v>110</v>
      </c>
      <c r="B14" s="1958"/>
      <c r="C14" s="1307">
        <f t="shared" ref="C14" si="25">B19/((42*3.1415/59)*(131.33/3.281))</f>
        <v>1.9862764795791771E-3</v>
      </c>
      <c r="D14" s="1307"/>
      <c r="E14" s="1308"/>
      <c r="F14" s="1957" t="s">
        <v>110</v>
      </c>
      <c r="G14" s="1958"/>
      <c r="H14" s="1307">
        <f t="shared" ref="H14" si="26">G19/((42*3.1415/59)*(131.33/3.281))</f>
        <v>2.5537840451732271E-3</v>
      </c>
      <c r="I14" s="1307"/>
      <c r="J14" s="1308"/>
      <c r="K14" s="1957" t="s">
        <v>110</v>
      </c>
      <c r="L14" s="1958"/>
      <c r="M14" s="1307">
        <f t="shared" ref="M14" si="27">L19/((42*3.1415/59)*(131.33/3.281))</f>
        <v>8.796367266707782E-3</v>
      </c>
      <c r="N14" s="1307"/>
      <c r="O14" s="1308"/>
      <c r="P14" s="1957" t="s">
        <v>110</v>
      </c>
      <c r="Q14" s="1958"/>
      <c r="R14" s="1307">
        <f t="shared" ref="R14" si="28">Q19/((42*3.1415/59)*(131.33/3.281))</f>
        <v>2.1849041275370944E-2</v>
      </c>
      <c r="S14" s="1307"/>
      <c r="T14" s="1308"/>
      <c r="U14" s="1957" t="s">
        <v>110</v>
      </c>
      <c r="V14" s="1958"/>
      <c r="W14" s="1307">
        <f t="shared" ref="W14" si="29">V19/((42*3.1415/59)*(131.33/3.281))</f>
        <v>4.8238143075494296E-3</v>
      </c>
      <c r="X14" s="1307"/>
      <c r="Y14" s="1308"/>
      <c r="Z14" s="1957" t="s">
        <v>110</v>
      </c>
      <c r="AA14" s="1958"/>
      <c r="AB14" s="1307">
        <f t="shared" ref="AB14" si="30">AA19/((42*3.1415/59)*(131.33/3.281))</f>
        <v>0.13591135911451219</v>
      </c>
      <c r="AC14" s="1307"/>
      <c r="AD14" s="1308"/>
      <c r="AE14" s="1957" t="s">
        <v>110</v>
      </c>
      <c r="AF14" s="1958"/>
      <c r="AG14" s="1307">
        <f t="shared" ref="AG14" si="31">AF19/((42*3.1415/59)*(131.33/3.281))</f>
        <v>7.3775983527226566E-3</v>
      </c>
      <c r="AH14" s="1307"/>
      <c r="AI14" s="1308"/>
      <c r="AJ14" s="1957" t="s">
        <v>110</v>
      </c>
      <c r="AK14" s="1958"/>
      <c r="AL14" s="1307">
        <f t="shared" ref="AL14" si="32">AK19/((42*3.1415/59)*(131.33/3.281))</f>
        <v>2.2700302623762021E-3</v>
      </c>
      <c r="AM14" s="1307"/>
      <c r="AN14" s="1308"/>
      <c r="AO14" s="1957" t="s">
        <v>110</v>
      </c>
      <c r="AP14" s="1958"/>
      <c r="AQ14" s="1307">
        <f t="shared" ref="AQ14" si="33">AP19/((42*3.1415/59)*(131.33/3.281))</f>
        <v>1.4471442922648289E-2</v>
      </c>
      <c r="AR14" s="1307"/>
      <c r="AS14" s="1308"/>
      <c r="AT14" s="1957" t="s">
        <v>110</v>
      </c>
      <c r="AU14" s="1958"/>
      <c r="AV14" s="1307">
        <f t="shared" ref="AV14" si="34">AU19/((42*3.1415/59)*(131.33/3.281))</f>
        <v>1.4187689139851262E-2</v>
      </c>
      <c r="AW14" s="1307"/>
      <c r="AX14" s="1308"/>
      <c r="AY14" s="1957" t="s">
        <v>110</v>
      </c>
      <c r="AZ14" s="1958"/>
      <c r="BA14" s="1307">
        <f t="shared" ref="BA14" si="35">AZ19/((42*3.1415/59)*(131.33/3.281))</f>
        <v>3.3961082665470736E-3</v>
      </c>
      <c r="BB14" s="1307"/>
      <c r="BC14" s="1308"/>
      <c r="BD14" s="1957" t="s">
        <v>110</v>
      </c>
      <c r="BE14" s="1958"/>
      <c r="BF14" s="1307">
        <f t="shared" ref="BF14" si="36">BE19/((42*3.1415/59)*(131.33/3.281))</f>
        <v>6.5263370043315812E-3</v>
      </c>
      <c r="BG14" s="1307"/>
      <c r="BH14" s="1308"/>
      <c r="BI14" s="1957" t="s">
        <v>110</v>
      </c>
      <c r="BJ14" s="1958"/>
      <c r="BK14" s="1307">
        <f t="shared" ref="BK14" si="37">BJ19/((42*3.1415/59)*(131.33/3.281))</f>
        <v>4.2563067419553787E-3</v>
      </c>
      <c r="BL14" s="1307"/>
      <c r="BM14" s="1308"/>
      <c r="BN14" s="1957" t="s">
        <v>110</v>
      </c>
      <c r="BO14" s="1958"/>
      <c r="BP14" s="1307">
        <f t="shared" ref="BP14" si="38">BO19/((42*3.1415/59)*(131.33/3.281))</f>
        <v>1.7025226967821515E-2</v>
      </c>
      <c r="BQ14" s="1307"/>
      <c r="BR14" s="1308"/>
    </row>
    <row r="15" spans="1:83" s="322" customFormat="1" ht="6.75" customHeight="1" x14ac:dyDescent="0.35">
      <c r="A15" s="1959"/>
      <c r="B15" s="1960"/>
      <c r="C15" s="1309"/>
      <c r="D15" s="1309"/>
      <c r="E15" s="1310"/>
      <c r="F15" s="1959"/>
      <c r="G15" s="1960"/>
      <c r="H15" s="1309"/>
      <c r="I15" s="1309"/>
      <c r="J15" s="1310"/>
      <c r="K15" s="1959"/>
      <c r="L15" s="1960"/>
      <c r="M15" s="1309"/>
      <c r="N15" s="1309"/>
      <c r="O15" s="1310"/>
      <c r="P15" s="1959"/>
      <c r="Q15" s="1960"/>
      <c r="R15" s="1309"/>
      <c r="S15" s="1309"/>
      <c r="T15" s="1310"/>
      <c r="U15" s="1959"/>
      <c r="V15" s="1960"/>
      <c r="W15" s="1309"/>
      <c r="X15" s="1309"/>
      <c r="Y15" s="1310"/>
      <c r="Z15" s="1959"/>
      <c r="AA15" s="1960"/>
      <c r="AB15" s="1309"/>
      <c r="AC15" s="1309"/>
      <c r="AD15" s="1310"/>
      <c r="AE15" s="1959"/>
      <c r="AF15" s="1960"/>
      <c r="AG15" s="1309"/>
      <c r="AH15" s="1309"/>
      <c r="AI15" s="1310"/>
      <c r="AJ15" s="1959"/>
      <c r="AK15" s="1960"/>
      <c r="AL15" s="1309"/>
      <c r="AM15" s="1309"/>
      <c r="AN15" s="1310"/>
      <c r="AO15" s="1959"/>
      <c r="AP15" s="1960"/>
      <c r="AQ15" s="1309"/>
      <c r="AR15" s="1309"/>
      <c r="AS15" s="1310"/>
      <c r="AT15" s="1959"/>
      <c r="AU15" s="1960"/>
      <c r="AV15" s="1309"/>
      <c r="AW15" s="1309"/>
      <c r="AX15" s="1310"/>
      <c r="AY15" s="1959"/>
      <c r="AZ15" s="1960"/>
      <c r="BA15" s="1309"/>
      <c r="BB15" s="1309"/>
      <c r="BC15" s="1310"/>
      <c r="BD15" s="1959"/>
      <c r="BE15" s="1960"/>
      <c r="BF15" s="1309"/>
      <c r="BG15" s="1309"/>
      <c r="BH15" s="1310"/>
      <c r="BI15" s="1959"/>
      <c r="BJ15" s="1960"/>
      <c r="BK15" s="1309"/>
      <c r="BL15" s="1309"/>
      <c r="BM15" s="1310"/>
      <c r="BN15" s="1959"/>
      <c r="BO15" s="1960"/>
      <c r="BP15" s="1309"/>
      <c r="BQ15" s="1309"/>
      <c r="BR15" s="1310"/>
    </row>
    <row r="16" spans="1:83" s="322" customFormat="1" ht="21.95" customHeight="1" x14ac:dyDescent="0.35">
      <c r="A16" s="1959"/>
      <c r="B16" s="1960"/>
      <c r="C16" s="1309"/>
      <c r="D16" s="1309"/>
      <c r="E16" s="1310"/>
      <c r="F16" s="1959"/>
      <c r="G16" s="1960"/>
      <c r="H16" s="1309"/>
      <c r="I16" s="1309"/>
      <c r="J16" s="1310"/>
      <c r="K16" s="1959"/>
      <c r="L16" s="1960"/>
      <c r="M16" s="1309"/>
      <c r="N16" s="1309"/>
      <c r="O16" s="1310"/>
      <c r="P16" s="1959"/>
      <c r="Q16" s="1960"/>
      <c r="R16" s="1309"/>
      <c r="S16" s="1309"/>
      <c r="T16" s="1310"/>
      <c r="U16" s="1959"/>
      <c r="V16" s="1960"/>
      <c r="W16" s="1309"/>
      <c r="X16" s="1309"/>
      <c r="Y16" s="1310"/>
      <c r="Z16" s="1959"/>
      <c r="AA16" s="1960"/>
      <c r="AB16" s="1309"/>
      <c r="AC16" s="1309"/>
      <c r="AD16" s="1310"/>
      <c r="AE16" s="1959"/>
      <c r="AF16" s="1960"/>
      <c r="AG16" s="1309"/>
      <c r="AH16" s="1309"/>
      <c r="AI16" s="1310"/>
      <c r="AJ16" s="1959"/>
      <c r="AK16" s="1960"/>
      <c r="AL16" s="1309"/>
      <c r="AM16" s="1309"/>
      <c r="AN16" s="1310"/>
      <c r="AO16" s="1959"/>
      <c r="AP16" s="1960"/>
      <c r="AQ16" s="1309"/>
      <c r="AR16" s="1309"/>
      <c r="AS16" s="1310"/>
      <c r="AT16" s="1959"/>
      <c r="AU16" s="1960"/>
      <c r="AV16" s="1309"/>
      <c r="AW16" s="1309"/>
      <c r="AX16" s="1310"/>
      <c r="AY16" s="1959"/>
      <c r="AZ16" s="1960"/>
      <c r="BA16" s="1309"/>
      <c r="BB16" s="1309"/>
      <c r="BC16" s="1310"/>
      <c r="BD16" s="1959"/>
      <c r="BE16" s="1960"/>
      <c r="BF16" s="1309"/>
      <c r="BG16" s="1309"/>
      <c r="BH16" s="1310"/>
      <c r="BI16" s="1959"/>
      <c r="BJ16" s="1960"/>
      <c r="BK16" s="1309"/>
      <c r="BL16" s="1309"/>
      <c r="BM16" s="1310"/>
      <c r="BN16" s="1959"/>
      <c r="BO16" s="1960"/>
      <c r="BP16" s="1309"/>
      <c r="BQ16" s="1309"/>
      <c r="BR16" s="1310"/>
    </row>
    <row r="17" spans="1:83" s="410" customFormat="1" ht="41.25" customHeight="1" x14ac:dyDescent="0.35">
      <c r="A17" s="1938" t="s">
        <v>662</v>
      </c>
      <c r="B17" s="1939"/>
      <c r="C17" s="1939"/>
      <c r="D17" s="1939"/>
      <c r="E17" s="1945"/>
      <c r="F17" s="1938" t="s">
        <v>662</v>
      </c>
      <c r="G17" s="1939"/>
      <c r="H17" s="1939"/>
      <c r="I17" s="1939"/>
      <c r="J17" s="1945"/>
      <c r="K17" s="1938" t="s">
        <v>662</v>
      </c>
      <c r="L17" s="1939"/>
      <c r="M17" s="1939"/>
      <c r="N17" s="1939"/>
      <c r="O17" s="1945"/>
      <c r="P17" s="1938" t="s">
        <v>662</v>
      </c>
      <c r="Q17" s="1939"/>
      <c r="R17" s="1939"/>
      <c r="S17" s="1939"/>
      <c r="T17" s="1945"/>
      <c r="U17" s="1938" t="s">
        <v>662</v>
      </c>
      <c r="V17" s="1939"/>
      <c r="W17" s="1939"/>
      <c r="X17" s="1939"/>
      <c r="Y17" s="1945"/>
      <c r="Z17" s="1938" t="s">
        <v>662</v>
      </c>
      <c r="AA17" s="1939"/>
      <c r="AB17" s="1939"/>
      <c r="AC17" s="1939"/>
      <c r="AD17" s="1945"/>
      <c r="AE17" s="1938" t="s">
        <v>662</v>
      </c>
      <c r="AF17" s="1939"/>
      <c r="AG17" s="1939"/>
      <c r="AH17" s="1939"/>
      <c r="AI17" s="1945"/>
      <c r="AJ17" s="1938" t="s">
        <v>662</v>
      </c>
      <c r="AK17" s="1939"/>
      <c r="AL17" s="1939"/>
      <c r="AM17" s="1939"/>
      <c r="AN17" s="1945"/>
      <c r="AO17" s="1938" t="s">
        <v>662</v>
      </c>
      <c r="AP17" s="1939"/>
      <c r="AQ17" s="1939"/>
      <c r="AR17" s="1939"/>
      <c r="AS17" s="1945"/>
      <c r="AT17" s="1938" t="s">
        <v>662</v>
      </c>
      <c r="AU17" s="1939"/>
      <c r="AV17" s="1939"/>
      <c r="AW17" s="1939"/>
      <c r="AX17" s="1945"/>
      <c r="AY17" s="1938" t="s">
        <v>662</v>
      </c>
      <c r="AZ17" s="1939"/>
      <c r="BA17" s="1939"/>
      <c r="BB17" s="1939"/>
      <c r="BC17" s="1945"/>
      <c r="BD17" s="1938" t="s">
        <v>662</v>
      </c>
      <c r="BE17" s="1939"/>
      <c r="BF17" s="1939"/>
      <c r="BG17" s="1939"/>
      <c r="BH17" s="1945"/>
      <c r="BI17" s="1938" t="s">
        <v>662</v>
      </c>
      <c r="BJ17" s="1939"/>
      <c r="BK17" s="1939"/>
      <c r="BL17" s="1939"/>
      <c r="BM17" s="1945"/>
      <c r="BN17" s="1938" t="s">
        <v>662</v>
      </c>
      <c r="BO17" s="1939"/>
      <c r="BP17" s="1939"/>
      <c r="BQ17" s="1939"/>
      <c r="BR17" s="1945"/>
    </row>
    <row r="18" spans="1:83" s="22" customFormat="1" ht="80.099999999999994" customHeight="1" x14ac:dyDescent="1.35">
      <c r="A18" s="1330" t="s">
        <v>659</v>
      </c>
      <c r="B18" s="588">
        <v>29</v>
      </c>
      <c r="C18" s="589"/>
      <c r="D18" s="589"/>
      <c r="E18" s="590"/>
      <c r="F18" s="1330" t="s">
        <v>659</v>
      </c>
      <c r="G18" s="588">
        <v>30</v>
      </c>
      <c r="H18" s="589"/>
      <c r="I18" s="589"/>
      <c r="J18" s="590"/>
      <c r="K18" s="1330" t="s">
        <v>659</v>
      </c>
      <c r="L18" s="588">
        <v>31</v>
      </c>
      <c r="M18" s="589"/>
      <c r="N18" s="589"/>
      <c r="O18" s="590"/>
      <c r="P18" s="1330" t="s">
        <v>659</v>
      </c>
      <c r="Q18" s="588">
        <v>32</v>
      </c>
      <c r="R18" s="589"/>
      <c r="S18" s="589"/>
      <c r="T18" s="590"/>
      <c r="U18" s="1330" t="s">
        <v>659</v>
      </c>
      <c r="V18" s="588">
        <v>33</v>
      </c>
      <c r="W18" s="589"/>
      <c r="X18" s="589"/>
      <c r="Y18" s="590"/>
      <c r="Z18" s="1330" t="s">
        <v>659</v>
      </c>
      <c r="AA18" s="588">
        <v>34</v>
      </c>
      <c r="AB18" s="589"/>
      <c r="AC18" s="589"/>
      <c r="AD18" s="590"/>
      <c r="AE18" s="1330" t="s">
        <v>659</v>
      </c>
      <c r="AF18" s="588">
        <v>35</v>
      </c>
      <c r="AG18" s="589"/>
      <c r="AH18" s="589"/>
      <c r="AI18" s="590"/>
      <c r="AJ18" s="1330" t="s">
        <v>659</v>
      </c>
      <c r="AK18" s="588">
        <v>36</v>
      </c>
      <c r="AL18" s="589"/>
      <c r="AM18" s="589"/>
      <c r="AN18" s="590"/>
      <c r="AO18" s="1330" t="s">
        <v>659</v>
      </c>
      <c r="AP18" s="588">
        <v>37</v>
      </c>
      <c r="AQ18" s="589"/>
      <c r="AR18" s="589"/>
      <c r="AS18" s="590"/>
      <c r="AT18" s="1330" t="s">
        <v>659</v>
      </c>
      <c r="AU18" s="588">
        <v>38</v>
      </c>
      <c r="AV18" s="589"/>
      <c r="AW18" s="589"/>
      <c r="AX18" s="590"/>
      <c r="AY18" s="1330" t="s">
        <v>659</v>
      </c>
      <c r="AZ18" s="588">
        <v>39</v>
      </c>
      <c r="BA18" s="589"/>
      <c r="BB18" s="589"/>
      <c r="BC18" s="590"/>
      <c r="BD18" s="1330" t="s">
        <v>659</v>
      </c>
      <c r="BE18" s="588">
        <v>40</v>
      </c>
      <c r="BF18" s="589"/>
      <c r="BG18" s="589"/>
      <c r="BH18" s="590"/>
      <c r="BI18" s="1330" t="s">
        <v>659</v>
      </c>
      <c r="BJ18" s="588">
        <v>41</v>
      </c>
      <c r="BK18" s="589"/>
      <c r="BL18" s="589"/>
      <c r="BM18" s="590"/>
      <c r="BN18" s="1330" t="s">
        <v>659</v>
      </c>
      <c r="BO18" s="588">
        <v>42</v>
      </c>
      <c r="BP18" s="589"/>
      <c r="BQ18" s="589"/>
      <c r="BR18" s="590"/>
    </row>
    <row r="19" spans="1:83" ht="27" customHeight="1" thickBot="1" x14ac:dyDescent="0.3">
      <c r="A19" s="1331"/>
      <c r="B19" s="61">
        <v>0.17780000000000001</v>
      </c>
      <c r="C19" s="62" t="s">
        <v>113</v>
      </c>
      <c r="D19" s="63">
        <v>1</v>
      </c>
      <c r="E19" s="64" t="s">
        <v>114</v>
      </c>
      <c r="F19" s="1331"/>
      <c r="G19" s="61">
        <v>0.2286</v>
      </c>
      <c r="H19" s="62" t="s">
        <v>113</v>
      </c>
      <c r="I19" s="63">
        <v>1</v>
      </c>
      <c r="J19" s="64" t="s">
        <v>114</v>
      </c>
      <c r="K19" s="1331"/>
      <c r="L19" s="61">
        <v>0.78739999999999999</v>
      </c>
      <c r="M19" s="62" t="s">
        <v>113</v>
      </c>
      <c r="N19" s="63">
        <v>1</v>
      </c>
      <c r="O19" s="64" t="s">
        <v>114</v>
      </c>
      <c r="P19" s="1331"/>
      <c r="Q19" s="61">
        <v>1.9558</v>
      </c>
      <c r="R19" s="62" t="s">
        <v>113</v>
      </c>
      <c r="S19" s="63">
        <v>1</v>
      </c>
      <c r="T19" s="64" t="s">
        <v>114</v>
      </c>
      <c r="U19" s="1331"/>
      <c r="V19" s="61">
        <v>0.43180000000000002</v>
      </c>
      <c r="W19" s="62" t="s">
        <v>113</v>
      </c>
      <c r="X19" s="63">
        <v>1</v>
      </c>
      <c r="Y19" s="64" t="s">
        <v>114</v>
      </c>
      <c r="Z19" s="1331"/>
      <c r="AA19" s="61">
        <v>12.166</v>
      </c>
      <c r="AB19" s="62" t="s">
        <v>113</v>
      </c>
      <c r="AC19" s="63">
        <v>1</v>
      </c>
      <c r="AD19" s="64" t="s">
        <v>114</v>
      </c>
      <c r="AE19" s="1331"/>
      <c r="AF19" s="61">
        <v>0.66039999999999999</v>
      </c>
      <c r="AG19" s="62" t="s">
        <v>113</v>
      </c>
      <c r="AH19" s="63">
        <v>1</v>
      </c>
      <c r="AI19" s="64" t="s">
        <v>114</v>
      </c>
      <c r="AJ19" s="1331"/>
      <c r="AK19" s="61">
        <v>0.20319999999999999</v>
      </c>
      <c r="AL19" s="62" t="s">
        <v>113</v>
      </c>
      <c r="AM19" s="63">
        <v>1</v>
      </c>
      <c r="AN19" s="64" t="s">
        <v>114</v>
      </c>
      <c r="AO19" s="1331"/>
      <c r="AP19" s="61">
        <v>1.2954000000000001</v>
      </c>
      <c r="AQ19" s="62" t="s">
        <v>113</v>
      </c>
      <c r="AR19" s="63">
        <v>1</v>
      </c>
      <c r="AS19" s="64" t="s">
        <v>114</v>
      </c>
      <c r="AT19" s="1331"/>
      <c r="AU19" s="61">
        <v>1.27</v>
      </c>
      <c r="AV19" s="62" t="s">
        <v>113</v>
      </c>
      <c r="AW19" s="63">
        <v>1</v>
      </c>
      <c r="AX19" s="64" t="s">
        <v>114</v>
      </c>
      <c r="AY19" s="1331"/>
      <c r="AZ19" s="61">
        <v>0.30399999999999999</v>
      </c>
      <c r="BA19" s="62" t="s">
        <v>113</v>
      </c>
      <c r="BB19" s="63">
        <v>1</v>
      </c>
      <c r="BC19" s="64" t="s">
        <v>114</v>
      </c>
      <c r="BD19" s="1331"/>
      <c r="BE19" s="61">
        <v>0.58420000000000005</v>
      </c>
      <c r="BF19" s="62" t="s">
        <v>113</v>
      </c>
      <c r="BG19" s="63">
        <v>1</v>
      </c>
      <c r="BH19" s="64" t="s">
        <v>114</v>
      </c>
      <c r="BI19" s="1331"/>
      <c r="BJ19" s="61">
        <v>0.38100000000000001</v>
      </c>
      <c r="BK19" s="62" t="s">
        <v>113</v>
      </c>
      <c r="BL19" s="63">
        <v>1</v>
      </c>
      <c r="BM19" s="64" t="s">
        <v>114</v>
      </c>
      <c r="BN19" s="1331"/>
      <c r="BO19" s="61">
        <v>1.524</v>
      </c>
      <c r="BP19" s="62" t="s">
        <v>113</v>
      </c>
      <c r="BQ19" s="63">
        <v>1</v>
      </c>
      <c r="BR19" s="64" t="s">
        <v>114</v>
      </c>
      <c r="BW19" s="27"/>
      <c r="BX19" s="27"/>
      <c r="BY19" s="27"/>
      <c r="BZ19" s="27"/>
      <c r="CA19" s="27"/>
      <c r="CB19" s="27"/>
      <c r="CC19" s="27"/>
      <c r="CD19" s="27"/>
      <c r="CE19" s="27"/>
    </row>
    <row r="20" spans="1:83" ht="26.1" customHeight="1" thickTop="1" x14ac:dyDescent="0.25">
      <c r="A20" s="1957" t="s">
        <v>110</v>
      </c>
      <c r="B20" s="1958"/>
      <c r="C20" s="1307">
        <f t="shared" ref="C20" si="39">B25/((42*3.1415/59)*(131.33/3.281))</f>
        <v>2.2132795058167971E-2</v>
      </c>
      <c r="D20" s="1307"/>
      <c r="E20" s="1308"/>
      <c r="F20" s="1957" t="s">
        <v>110</v>
      </c>
      <c r="G20" s="1958"/>
      <c r="H20" s="1307">
        <f t="shared" ref="H20" si="40">G25/((42*3.1415/59)*(131.33/3.281))</f>
        <v>1.1171408771536428E-12</v>
      </c>
      <c r="I20" s="1307"/>
      <c r="J20" s="1308"/>
      <c r="K20" s="1957" t="s">
        <v>110</v>
      </c>
      <c r="L20" s="1958"/>
      <c r="M20" s="1307">
        <f t="shared" ref="M20" si="41">L25/((42*3.1415/59)*(131.33/3.281))</f>
        <v>4.9936197208767824E-2</v>
      </c>
      <c r="N20" s="1307"/>
      <c r="O20" s="1308"/>
      <c r="P20" s="1957" t="s">
        <v>110</v>
      </c>
      <c r="Q20" s="1958"/>
      <c r="R20" s="1307">
        <f t="shared" ref="R20" si="42">Q25/((42*3.1415/59)*(131.33/3.281))</f>
        <v>1.1171408771536426E-13</v>
      </c>
      <c r="S20" s="1307"/>
      <c r="T20" s="1308"/>
      <c r="U20" s="1957" t="s">
        <v>110</v>
      </c>
      <c r="V20" s="1958"/>
      <c r="W20" s="1307">
        <f t="shared" ref="W20" si="43">V25/((42*3.1415/59)*(131.33/3.281))</f>
        <v>1.1171408771536428E-12</v>
      </c>
      <c r="X20" s="1307"/>
      <c r="Y20" s="1308"/>
      <c r="Z20" s="1957" t="s">
        <v>110</v>
      </c>
      <c r="AA20" s="1958"/>
      <c r="AB20" s="1307">
        <f t="shared" ref="AB20" si="44">AA25/((42*3.1415/59)*(131.33/3.281))</f>
        <v>5.1359434686261571E-2</v>
      </c>
      <c r="AC20" s="1307"/>
      <c r="AD20" s="1308"/>
      <c r="AE20" s="712"/>
      <c r="AF20" s="710"/>
      <c r="AG20" s="1804"/>
      <c r="AH20" s="1804"/>
      <c r="AI20" s="1804"/>
      <c r="AJ20" s="710"/>
      <c r="AK20" s="710"/>
      <c r="AL20" s="1804"/>
      <c r="AM20" s="1804"/>
      <c r="AN20" s="1804"/>
      <c r="AO20" s="710"/>
      <c r="AP20" s="710"/>
      <c r="AQ20" s="1804"/>
      <c r="AR20" s="1804"/>
      <c r="AS20" s="1804"/>
      <c r="AT20" s="710"/>
      <c r="AU20" s="710"/>
      <c r="AV20" s="1804"/>
      <c r="AW20" s="1804"/>
      <c r="AX20" s="1804"/>
      <c r="AY20" s="710"/>
      <c r="AZ20" s="710"/>
      <c r="BA20" s="1804"/>
      <c r="BB20" s="1804"/>
      <c r="BC20" s="1804"/>
      <c r="BD20" s="710"/>
      <c r="BE20" s="710"/>
      <c r="BF20" s="1804"/>
      <c r="BG20" s="1804"/>
      <c r="BH20" s="1804"/>
      <c r="BI20" s="710"/>
      <c r="BJ20" s="710"/>
      <c r="BK20" s="1804"/>
      <c r="BL20" s="1804"/>
      <c r="BM20" s="1804"/>
      <c r="BN20" s="710"/>
      <c r="BO20" s="710"/>
      <c r="BP20" s="1804"/>
      <c r="BQ20" s="1804"/>
      <c r="BR20" s="1804"/>
    </row>
    <row r="21" spans="1:83" ht="6.75" customHeight="1" x14ac:dyDescent="0.25">
      <c r="A21" s="1959"/>
      <c r="B21" s="1960"/>
      <c r="C21" s="1309"/>
      <c r="D21" s="1309"/>
      <c r="E21" s="1310"/>
      <c r="F21" s="1959"/>
      <c r="G21" s="1960"/>
      <c r="H21" s="1309"/>
      <c r="I21" s="1309"/>
      <c r="J21" s="1310"/>
      <c r="K21" s="1959"/>
      <c r="L21" s="1960"/>
      <c r="M21" s="1309"/>
      <c r="N21" s="1309"/>
      <c r="O21" s="1310"/>
      <c r="P21" s="1959"/>
      <c r="Q21" s="1960"/>
      <c r="R21" s="1309"/>
      <c r="S21" s="1309"/>
      <c r="T21" s="1310"/>
      <c r="U21" s="1959"/>
      <c r="V21" s="1960"/>
      <c r="W21" s="1309"/>
      <c r="X21" s="1309"/>
      <c r="Y21" s="1310"/>
      <c r="Z21" s="1959"/>
      <c r="AA21" s="1960"/>
      <c r="AB21" s="1309"/>
      <c r="AC21" s="1309"/>
      <c r="AD21" s="1310"/>
      <c r="AE21" s="1859"/>
      <c r="AF21" s="719"/>
      <c r="AG21" s="1300"/>
      <c r="AH21" s="1300"/>
      <c r="AI21" s="1300"/>
      <c r="AJ21" s="719"/>
      <c r="AK21" s="719"/>
      <c r="AL21" s="1300"/>
      <c r="AM21" s="1300"/>
      <c r="AN21" s="1300"/>
      <c r="AO21" s="719"/>
      <c r="AP21" s="719"/>
      <c r="AQ21" s="1300"/>
      <c r="AR21" s="1300"/>
      <c r="AS21" s="1300"/>
      <c r="AT21" s="719"/>
      <c r="AU21" s="719"/>
      <c r="AV21" s="1300"/>
      <c r="AW21" s="1300"/>
      <c r="AX21" s="1300"/>
      <c r="AY21" s="719"/>
      <c r="AZ21" s="719"/>
      <c r="BA21" s="1300"/>
      <c r="BB21" s="1300"/>
      <c r="BC21" s="1300"/>
      <c r="BD21" s="719"/>
      <c r="BE21" s="719"/>
      <c r="BF21" s="1300"/>
      <c r="BG21" s="1300"/>
      <c r="BH21" s="1300"/>
      <c r="BI21" s="719"/>
      <c r="BJ21" s="719"/>
      <c r="BK21" s="1300"/>
      <c r="BL21" s="1300"/>
      <c r="BM21" s="1300"/>
      <c r="BN21" s="719"/>
      <c r="BO21" s="719"/>
      <c r="BP21" s="1300"/>
      <c r="BQ21" s="1300"/>
      <c r="BR21" s="1300"/>
    </row>
    <row r="22" spans="1:83" ht="21.95" customHeight="1" x14ac:dyDescent="0.25">
      <c r="A22" s="1959"/>
      <c r="B22" s="1960"/>
      <c r="C22" s="1309"/>
      <c r="D22" s="1309"/>
      <c r="E22" s="1310"/>
      <c r="F22" s="1959"/>
      <c r="G22" s="1960"/>
      <c r="H22" s="1309"/>
      <c r="I22" s="1309"/>
      <c r="J22" s="1310"/>
      <c r="K22" s="1959"/>
      <c r="L22" s="1960"/>
      <c r="M22" s="1309"/>
      <c r="N22" s="1309"/>
      <c r="O22" s="1310"/>
      <c r="P22" s="1959"/>
      <c r="Q22" s="1960"/>
      <c r="R22" s="1309"/>
      <c r="S22" s="1309"/>
      <c r="T22" s="1310"/>
      <c r="U22" s="1959"/>
      <c r="V22" s="1960"/>
      <c r="W22" s="1309"/>
      <c r="X22" s="1309"/>
      <c r="Y22" s="1310"/>
      <c r="Z22" s="1959"/>
      <c r="AA22" s="1960"/>
      <c r="AB22" s="1309"/>
      <c r="AC22" s="1309"/>
      <c r="AD22" s="1310"/>
      <c r="AE22" s="1859"/>
      <c r="AF22" s="719"/>
      <c r="AG22" s="1300"/>
      <c r="AH22" s="1300"/>
      <c r="AI22" s="1300"/>
      <c r="AJ22" s="719"/>
      <c r="AK22" s="719"/>
      <c r="AL22" s="1300"/>
      <c r="AM22" s="1300"/>
      <c r="AN22" s="1300"/>
      <c r="AO22" s="719"/>
      <c r="AP22" s="719"/>
      <c r="AQ22" s="1300"/>
      <c r="AR22" s="1300"/>
      <c r="AS22" s="1300"/>
      <c r="AT22" s="719"/>
      <c r="AU22" s="719"/>
      <c r="AV22" s="1300"/>
      <c r="AW22" s="1300"/>
      <c r="AX22" s="1300"/>
      <c r="AY22" s="719"/>
      <c r="AZ22" s="719"/>
      <c r="BA22" s="1300"/>
      <c r="BB22" s="1300"/>
      <c r="BC22" s="1300"/>
      <c r="BD22" s="719"/>
      <c r="BE22" s="719"/>
      <c r="BF22" s="1300"/>
      <c r="BG22" s="1300"/>
      <c r="BH22" s="1300"/>
      <c r="BI22" s="719"/>
      <c r="BJ22" s="719"/>
      <c r="BK22" s="1300"/>
      <c r="BL22" s="1300"/>
      <c r="BM22" s="1300"/>
      <c r="BN22" s="719"/>
      <c r="BO22" s="719"/>
      <c r="BP22" s="1300"/>
      <c r="BQ22" s="1300"/>
      <c r="BR22" s="1300"/>
    </row>
    <row r="23" spans="1:83" s="410" customFormat="1" ht="41.25" customHeight="1" x14ac:dyDescent="0.35">
      <c r="A23" s="1938" t="s">
        <v>662</v>
      </c>
      <c r="B23" s="1939"/>
      <c r="C23" s="1939"/>
      <c r="D23" s="1939"/>
      <c r="E23" s="1945"/>
      <c r="F23" s="1938" t="s">
        <v>662</v>
      </c>
      <c r="G23" s="1939"/>
      <c r="H23" s="1939"/>
      <c r="I23" s="1939"/>
      <c r="J23" s="1945"/>
      <c r="K23" s="1938" t="s">
        <v>662</v>
      </c>
      <c r="L23" s="1939"/>
      <c r="M23" s="1939"/>
      <c r="N23" s="1939"/>
      <c r="O23" s="1945"/>
      <c r="P23" s="1938" t="s">
        <v>662</v>
      </c>
      <c r="Q23" s="1939"/>
      <c r="R23" s="1939"/>
      <c r="S23" s="1939"/>
      <c r="T23" s="1945"/>
      <c r="U23" s="1938" t="s">
        <v>662</v>
      </c>
      <c r="V23" s="1939"/>
      <c r="W23" s="1939"/>
      <c r="X23" s="1939"/>
      <c r="Y23" s="1945"/>
      <c r="Z23" s="1938" t="s">
        <v>662</v>
      </c>
      <c r="AA23" s="1939"/>
      <c r="AB23" s="1939"/>
      <c r="AC23" s="1939"/>
      <c r="AD23" s="1945"/>
      <c r="AE23" s="1859"/>
      <c r="AF23" s="719"/>
      <c r="AG23" s="1300"/>
      <c r="AH23" s="1300"/>
      <c r="AI23" s="1300"/>
      <c r="AJ23" s="719"/>
      <c r="AK23" s="719"/>
      <c r="AL23" s="1300"/>
      <c r="AM23" s="1300"/>
      <c r="AN23" s="1300"/>
      <c r="AO23" s="719"/>
      <c r="AP23" s="719"/>
      <c r="AQ23" s="1300"/>
      <c r="AR23" s="1300"/>
      <c r="AS23" s="1300"/>
      <c r="AT23" s="719"/>
      <c r="AU23" s="719"/>
      <c r="AV23" s="1300"/>
      <c r="AW23" s="1300"/>
      <c r="AX23" s="1300"/>
      <c r="AY23" s="719"/>
      <c r="AZ23" s="719"/>
      <c r="BA23" s="1300"/>
      <c r="BB23" s="1300"/>
      <c r="BC23" s="1300"/>
      <c r="BD23" s="719"/>
      <c r="BE23" s="719"/>
      <c r="BF23" s="1300"/>
      <c r="BG23" s="1300"/>
      <c r="BH23" s="1300"/>
      <c r="BI23" s="719"/>
      <c r="BJ23" s="719"/>
      <c r="BK23" s="1300"/>
      <c r="BL23" s="1300"/>
      <c r="BM23" s="1300"/>
      <c r="BN23" s="719"/>
      <c r="BO23" s="719"/>
      <c r="BP23" s="1300"/>
      <c r="BQ23" s="1300"/>
      <c r="BR23" s="1300"/>
    </row>
    <row r="24" spans="1:83" s="22" customFormat="1" ht="80.099999999999994" customHeight="1" x14ac:dyDescent="1.35">
      <c r="A24" s="1330" t="s">
        <v>659</v>
      </c>
      <c r="B24" s="588">
        <v>43</v>
      </c>
      <c r="C24" s="589"/>
      <c r="D24" s="589"/>
      <c r="E24" s="590"/>
      <c r="F24" s="1330" t="s">
        <v>659</v>
      </c>
      <c r="G24" s="588">
        <v>44</v>
      </c>
      <c r="H24" s="589"/>
      <c r="I24" s="589"/>
      <c r="J24" s="590"/>
      <c r="K24" s="1330" t="s">
        <v>659</v>
      </c>
      <c r="L24" s="588">
        <v>45</v>
      </c>
      <c r="M24" s="589"/>
      <c r="N24" s="589"/>
      <c r="O24" s="590"/>
      <c r="P24" s="1330" t="s">
        <v>659</v>
      </c>
      <c r="Q24" s="588">
        <v>46</v>
      </c>
      <c r="R24" s="589"/>
      <c r="S24" s="589"/>
      <c r="T24" s="590"/>
      <c r="U24" s="1330" t="s">
        <v>659</v>
      </c>
      <c r="V24" s="588">
        <v>47</v>
      </c>
      <c r="W24" s="589"/>
      <c r="X24" s="589"/>
      <c r="Y24" s="590"/>
      <c r="Z24" s="1330" t="s">
        <v>659</v>
      </c>
      <c r="AA24" s="588">
        <v>48</v>
      </c>
      <c r="AB24" s="589"/>
      <c r="AC24" s="589"/>
      <c r="AD24" s="590"/>
      <c r="AE24" s="718"/>
      <c r="AF24" s="1923"/>
      <c r="AG24" s="1923"/>
      <c r="AH24" s="1923"/>
      <c r="AI24" s="1923"/>
      <c r="AJ24" s="716"/>
      <c r="AK24" s="1923"/>
      <c r="AL24" s="1923"/>
      <c r="AM24" s="1923"/>
      <c r="AN24" s="1923"/>
      <c r="AO24" s="716"/>
      <c r="AP24" s="1923"/>
      <c r="AQ24" s="1923"/>
      <c r="AR24" s="1923"/>
      <c r="AS24" s="1923"/>
      <c r="AT24" s="716"/>
      <c r="AU24" s="1923"/>
      <c r="AV24" s="1923"/>
      <c r="AW24" s="1923"/>
      <c r="AX24" s="1923"/>
      <c r="AY24" s="1996"/>
      <c r="AZ24" s="1923"/>
      <c r="BA24" s="1923"/>
      <c r="BB24" s="1923"/>
      <c r="BC24" s="1923"/>
      <c r="BD24" s="716"/>
      <c r="BE24" s="1923"/>
      <c r="BF24" s="1923"/>
      <c r="BG24" s="1923"/>
      <c r="BH24" s="1923"/>
      <c r="BI24" s="716"/>
      <c r="BJ24" s="1923"/>
      <c r="BK24" s="1923"/>
      <c r="BL24" s="1923"/>
      <c r="BM24" s="1923"/>
      <c r="BN24" s="716"/>
      <c r="BO24" s="1923"/>
      <c r="BP24" s="1923"/>
      <c r="BQ24" s="1923"/>
      <c r="BR24" s="1923"/>
    </row>
    <row r="25" spans="1:83" ht="27" customHeight="1" thickBot="1" x14ac:dyDescent="0.3">
      <c r="A25" s="1331"/>
      <c r="B25" s="61">
        <v>1.9812000000000001</v>
      </c>
      <c r="C25" s="62" t="s">
        <v>113</v>
      </c>
      <c r="D25" s="63">
        <v>1</v>
      </c>
      <c r="E25" s="64" t="s">
        <v>114</v>
      </c>
      <c r="F25" s="1331"/>
      <c r="G25" s="61">
        <v>1E-10</v>
      </c>
      <c r="H25" s="62" t="s">
        <v>113</v>
      </c>
      <c r="I25" s="63">
        <v>1</v>
      </c>
      <c r="J25" s="64" t="s">
        <v>114</v>
      </c>
      <c r="K25" s="1331"/>
      <c r="L25" s="61">
        <v>4.47</v>
      </c>
      <c r="M25" s="62" t="s">
        <v>113</v>
      </c>
      <c r="N25" s="63">
        <v>1</v>
      </c>
      <c r="O25" s="64" t="s">
        <v>114</v>
      </c>
      <c r="P25" s="1331"/>
      <c r="Q25" s="61">
        <v>9.9999999999999994E-12</v>
      </c>
      <c r="R25" s="62" t="s">
        <v>113</v>
      </c>
      <c r="S25" s="63">
        <v>1</v>
      </c>
      <c r="T25" s="64" t="s">
        <v>114</v>
      </c>
      <c r="U25" s="1331"/>
      <c r="V25" s="61">
        <v>1E-10</v>
      </c>
      <c r="W25" s="62" t="s">
        <v>113</v>
      </c>
      <c r="X25" s="63">
        <v>1</v>
      </c>
      <c r="Y25" s="64" t="s">
        <v>114</v>
      </c>
      <c r="Z25" s="1331"/>
      <c r="AA25" s="61">
        <v>4.5974000000000004</v>
      </c>
      <c r="AB25" s="62" t="s">
        <v>113</v>
      </c>
      <c r="AC25" s="63">
        <v>1</v>
      </c>
      <c r="AD25" s="64" t="s">
        <v>114</v>
      </c>
      <c r="AE25" s="718"/>
      <c r="AF25" s="32"/>
      <c r="AG25" s="33"/>
      <c r="AH25" s="34"/>
      <c r="AI25" s="35"/>
      <c r="AJ25" s="716"/>
      <c r="AK25" s="32"/>
      <c r="AL25" s="33"/>
      <c r="AM25" s="34"/>
      <c r="AN25" s="35"/>
      <c r="AO25" s="716"/>
      <c r="AP25" s="32"/>
      <c r="AQ25" s="33"/>
      <c r="AR25" s="34"/>
      <c r="AS25" s="35"/>
      <c r="AT25" s="716"/>
      <c r="AU25" s="32"/>
      <c r="AV25" s="33"/>
      <c r="AW25" s="34"/>
      <c r="AX25" s="35"/>
      <c r="AY25" s="1996"/>
      <c r="AZ25" s="32"/>
      <c r="BA25" s="33"/>
      <c r="BB25" s="34"/>
      <c r="BC25" s="35"/>
      <c r="BD25" s="716"/>
      <c r="BE25" s="32"/>
      <c r="BF25" s="33"/>
      <c r="BG25" s="34"/>
      <c r="BH25" s="35"/>
      <c r="BI25" s="716"/>
      <c r="BJ25" s="32"/>
      <c r="BK25" s="33"/>
      <c r="BL25" s="34"/>
      <c r="BM25" s="35"/>
      <c r="BN25" s="716"/>
      <c r="BO25" s="32"/>
      <c r="BP25" s="33"/>
      <c r="BQ25" s="34"/>
      <c r="BR25" s="35"/>
      <c r="BW25" s="27"/>
      <c r="BX25" s="27"/>
      <c r="BY25" s="27"/>
      <c r="BZ25" s="27"/>
      <c r="CA25" s="27"/>
      <c r="CB25" s="27"/>
      <c r="CC25" s="27"/>
      <c r="CD25" s="27"/>
      <c r="CE25" s="27"/>
    </row>
    <row r="26" spans="1:83" ht="106.5" customHeight="1" thickTop="1" x14ac:dyDescent="0.25">
      <c r="A26" s="118"/>
      <c r="B26" s="118"/>
      <c r="C26" s="118"/>
      <c r="D26" s="118"/>
      <c r="E26" s="118"/>
      <c r="F26" s="118"/>
      <c r="G26" s="118"/>
      <c r="H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4"/>
      <c r="BK26" s="44"/>
      <c r="BL26" s="44"/>
      <c r="BM26" s="44"/>
      <c r="BN26" s="44"/>
      <c r="BO26" s="44"/>
      <c r="BP26" s="44"/>
      <c r="BQ26" s="44"/>
      <c r="BR26" s="44"/>
    </row>
    <row r="27" spans="1:83" ht="127.5" customHeight="1" x14ac:dyDescent="0.25">
      <c r="A27" s="44"/>
      <c r="B27" s="44"/>
      <c r="C27" s="44"/>
      <c r="D27" s="44"/>
      <c r="E27" s="44"/>
      <c r="F27" s="44"/>
      <c r="G27" s="44"/>
      <c r="H27" s="44"/>
      <c r="M27" s="44"/>
      <c r="N27" s="44"/>
      <c r="Q27" s="1468" cm="1">
        <f t="array" aca="1" ref="Q27" ca="1">SUM(COUNTIF(INDIRECT({"B6","G6","L6","Q6","V6","AA6","AF6","AK6","AP6","AU6","AZ6","BE6","BJ6","BO6","B12","G12","L12","Q12","V12","AA12","AF12","AK12","AP12","AU12","AZ12","BE12","BJ12","BO12","B18","G18","L18","Q18","V18","AA18","AF18","AK18","AP18","AU18","AZ18","BE18","BJ18","BO18","B24","G24","L24","Q24","V24","AA24"}),"&gt;0"))</f>
        <v>48</v>
      </c>
      <c r="R27" s="1468"/>
      <c r="S27" s="1468"/>
      <c r="T27" s="1468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4"/>
      <c r="BK27" s="44"/>
      <c r="BL27" s="44"/>
      <c r="BM27" s="44"/>
      <c r="BN27" s="44"/>
      <c r="BO27" s="44"/>
      <c r="BP27" s="44"/>
      <c r="BQ27" s="44"/>
      <c r="BR27" s="44"/>
    </row>
    <row r="28" spans="1:83" ht="127.5" customHeight="1" x14ac:dyDescent="0.25">
      <c r="A28" s="44"/>
      <c r="B28" s="44"/>
      <c r="C28" s="44"/>
      <c r="D28" s="44"/>
      <c r="E28" s="44"/>
      <c r="F28" s="44"/>
      <c r="G28" s="44"/>
      <c r="H28" s="44"/>
      <c r="M28" s="44"/>
      <c r="N28" s="44"/>
      <c r="O28" s="48"/>
      <c r="P28" s="48"/>
      <c r="Q28" s="1462" cm="1">
        <f t="array" aca="1" ref="Q28" ca="1">SUM(COUNTIF(INDIRECT({"B7","G7","L7","Q7","V7","AA7","AF7","AK7","AP7","AU7","AZ7","BE7","BJ7","BO7","B13","G13","L13","Q13","V13","AA13","AF13","AK13","AP13","AU13","AZ13","BE13","BJ13","BO13","B19","G19","L19","Q19","V19","AA19","AF19","AK19","AP19","AU19","AZ19","BE19","BJ19","BO19","B25","G25","L25","Q25","V25","AA25"}),"&gt;0"))</f>
        <v>48</v>
      </c>
      <c r="R28" s="1462"/>
      <c r="S28" s="1462"/>
      <c r="T28" s="1462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  <c r="BM28" s="44"/>
      <c r="BN28" s="44"/>
      <c r="BO28" s="44"/>
      <c r="BP28" s="44"/>
      <c r="BQ28" s="44"/>
      <c r="BR28" s="44"/>
    </row>
    <row r="29" spans="1:83" ht="66.75" customHeight="1" x14ac:dyDescent="0.25">
      <c r="A29" s="44"/>
      <c r="B29" s="44"/>
      <c r="C29" s="44"/>
      <c r="D29" s="44"/>
      <c r="E29" s="44"/>
      <c r="F29" s="44"/>
      <c r="G29" s="44"/>
      <c r="H29" s="44"/>
      <c r="I29" s="71"/>
      <c r="J29" s="71"/>
      <c r="K29" s="71"/>
      <c r="L29" s="44"/>
      <c r="M29" s="44"/>
      <c r="N29" s="44"/>
      <c r="O29" s="44"/>
      <c r="P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  <c r="BC29" s="44"/>
      <c r="BD29" s="44"/>
      <c r="BE29" s="44"/>
      <c r="BF29" s="44"/>
      <c r="BG29" s="44"/>
      <c r="BH29" s="44"/>
      <c r="BI29" s="44"/>
      <c r="BJ29" s="44"/>
      <c r="BK29" s="44"/>
      <c r="BL29" s="44"/>
      <c r="BM29" s="44"/>
      <c r="BN29" s="44"/>
      <c r="BO29" s="44"/>
      <c r="BP29" s="44"/>
      <c r="BQ29" s="44"/>
      <c r="BR29" s="44"/>
    </row>
    <row r="30" spans="1:83" s="22" customFormat="1" ht="50.25" customHeight="1" x14ac:dyDescent="1.35">
      <c r="A30" s="44"/>
      <c r="B30" s="44"/>
      <c r="C30" s="44"/>
      <c r="D30" s="44"/>
      <c r="E30" s="44"/>
      <c r="F30" s="44"/>
      <c r="G30" s="44"/>
      <c r="H30" s="44"/>
      <c r="I30" s="71"/>
      <c r="J30" s="71"/>
      <c r="K30" s="71"/>
      <c r="L30" s="44"/>
      <c r="M30" s="44"/>
      <c r="N30" s="44"/>
      <c r="O30" s="44"/>
      <c r="P30" s="44"/>
      <c r="U30" s="44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37"/>
      <c r="AI30" s="38"/>
      <c r="AJ30" s="39"/>
      <c r="AK30" s="40"/>
      <c r="AL30" s="41"/>
      <c r="AM30" s="37"/>
      <c r="AN30" s="38"/>
      <c r="AO30" s="39"/>
      <c r="AP30" s="40"/>
      <c r="AQ30" s="41"/>
      <c r="AR30" s="37"/>
      <c r="AS30" s="38"/>
      <c r="AT30" s="39"/>
      <c r="AU30" s="40"/>
      <c r="AV30" s="41"/>
      <c r="AW30" s="37"/>
      <c r="AX30" s="38"/>
      <c r="AY30" s="39"/>
      <c r="AZ30" s="40"/>
      <c r="BA30" s="41"/>
      <c r="BB30" s="37"/>
      <c r="BC30" s="38"/>
      <c r="BD30" s="39"/>
      <c r="BE30" s="40"/>
      <c r="BF30" s="41"/>
      <c r="BG30" s="37"/>
      <c r="BH30" s="38"/>
      <c r="BI30" s="39"/>
      <c r="BJ30" s="40"/>
      <c r="BK30" s="41"/>
      <c r="BL30" s="37"/>
      <c r="BM30" s="38"/>
      <c r="BN30" s="39"/>
      <c r="BO30" s="40"/>
      <c r="BP30" s="41"/>
      <c r="BQ30" s="44"/>
      <c r="BR30" s="44"/>
    </row>
    <row r="31" spans="1:83" ht="15" hidden="1" customHeight="1" x14ac:dyDescent="0.25">
      <c r="A31" s="44"/>
      <c r="B31" s="44"/>
      <c r="C31" s="44"/>
      <c r="D31" s="44"/>
      <c r="E31" s="44"/>
      <c r="F31" s="44"/>
      <c r="G31" s="44"/>
      <c r="H31" s="44"/>
      <c r="I31" s="71"/>
      <c r="J31" s="71"/>
      <c r="K31" s="71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697" t="s">
        <v>116</v>
      </c>
      <c r="W31" s="697"/>
      <c r="X31" s="697"/>
      <c r="Y31" s="697"/>
      <c r="Z31" s="697"/>
      <c r="AA31" s="697"/>
      <c r="AB31" s="697"/>
      <c r="AC31" s="697"/>
      <c r="AD31" s="697"/>
      <c r="AE31" s="697"/>
      <c r="AF31" s="697"/>
      <c r="AG31" s="697"/>
      <c r="AH31" s="697" t="s">
        <v>117</v>
      </c>
      <c r="AI31" s="697"/>
      <c r="AJ31" s="697"/>
      <c r="AK31" s="697"/>
      <c r="AL31" s="697"/>
      <c r="AM31" s="697"/>
      <c r="AN31" s="697"/>
      <c r="AO31" s="697"/>
      <c r="AP31" s="697"/>
      <c r="AQ31" s="697"/>
      <c r="AR31" s="46"/>
      <c r="AS31" s="698" t="s">
        <v>118</v>
      </c>
      <c r="AT31" s="698"/>
      <c r="AU31" s="698"/>
      <c r="AV31" s="698"/>
      <c r="AW31" s="698"/>
      <c r="AX31" s="698"/>
      <c r="AY31" s="698"/>
      <c r="AZ31" s="698"/>
      <c r="BA31" s="698"/>
      <c r="BB31" s="698"/>
      <c r="BC31" s="698"/>
      <c r="BD31" s="698"/>
      <c r="BE31" s="699" t="s">
        <v>119</v>
      </c>
      <c r="BF31" s="699"/>
      <c r="BG31" s="699"/>
      <c r="BH31" s="699"/>
      <c r="BI31" s="699"/>
      <c r="BJ31" s="700">
        <f>D7+I7+N7+S7+X7+AC7+AH7+AM7+AR7+AW7+BB7+BG7+BL7+BQ7+AC13+X13+S13+N13+I13+D13+AH13+AM13+AR13+AW13+BB13+BG13+BL13+BQ13+D19+I19+N19+S19+X19+AC19+AH19+AM19+AR19+AW19+BB19+BG19+BL19+BQ19+D25+I25+N25+S25+X25+AC25</f>
        <v>48</v>
      </c>
      <c r="BK31" s="700"/>
      <c r="BL31" s="700"/>
      <c r="BM31" s="700"/>
      <c r="BN31" s="701" t="s">
        <v>120</v>
      </c>
      <c r="BO31" s="701"/>
      <c r="BP31" s="701"/>
      <c r="BQ31" s="44"/>
      <c r="BR31" s="44"/>
      <c r="BW31" s="27"/>
      <c r="BX31" s="27"/>
      <c r="BY31" s="27"/>
      <c r="BZ31" s="27"/>
      <c r="CA31" s="27"/>
      <c r="CB31" s="27"/>
      <c r="CC31" s="27"/>
      <c r="CD31" s="27"/>
      <c r="CE31" s="27"/>
    </row>
    <row r="32" spans="1:83" ht="6.75" hidden="1" customHeight="1" x14ac:dyDescent="0.25">
      <c r="A32" s="44"/>
      <c r="B32" s="44"/>
      <c r="C32" s="44"/>
      <c r="D32" s="44"/>
      <c r="E32" s="44"/>
      <c r="F32" s="44"/>
      <c r="G32" s="44"/>
      <c r="H32" s="44"/>
      <c r="I32" s="71"/>
      <c r="J32" s="71"/>
      <c r="K32" s="71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697"/>
      <c r="W32" s="697"/>
      <c r="X32" s="697"/>
      <c r="Y32" s="697"/>
      <c r="Z32" s="697"/>
      <c r="AA32" s="697"/>
      <c r="AB32" s="697"/>
      <c r="AC32" s="697"/>
      <c r="AD32" s="697"/>
      <c r="AE32" s="697"/>
      <c r="AF32" s="697"/>
      <c r="AG32" s="697"/>
      <c r="AH32" s="697"/>
      <c r="AI32" s="697"/>
      <c r="AJ32" s="697"/>
      <c r="AK32" s="697"/>
      <c r="AL32" s="697"/>
      <c r="AM32" s="697"/>
      <c r="AN32" s="697"/>
      <c r="AO32" s="697"/>
      <c r="AP32" s="697"/>
      <c r="AQ32" s="697"/>
      <c r="AR32" s="46"/>
      <c r="AS32" s="698"/>
      <c r="AT32" s="698"/>
      <c r="AU32" s="698"/>
      <c r="AV32" s="698"/>
      <c r="AW32" s="698"/>
      <c r="AX32" s="698"/>
      <c r="AY32" s="698"/>
      <c r="AZ32" s="698"/>
      <c r="BA32" s="698"/>
      <c r="BB32" s="698"/>
      <c r="BC32" s="698"/>
      <c r="BD32" s="698"/>
      <c r="BE32" s="699"/>
      <c r="BF32" s="699"/>
      <c r="BG32" s="699"/>
      <c r="BH32" s="699"/>
      <c r="BI32" s="699"/>
      <c r="BJ32" s="700"/>
      <c r="BK32" s="700"/>
      <c r="BL32" s="700"/>
      <c r="BM32" s="700"/>
      <c r="BN32" s="701"/>
      <c r="BO32" s="701"/>
      <c r="BP32" s="701"/>
      <c r="BQ32" s="44"/>
      <c r="BR32" s="44"/>
    </row>
    <row r="33" spans="1:83" ht="20.25" customHeight="1" x14ac:dyDescent="0.25">
      <c r="A33" s="44"/>
      <c r="B33" s="44"/>
      <c r="C33" s="44"/>
      <c r="D33" s="44"/>
      <c r="E33" s="44"/>
      <c r="F33" s="44"/>
      <c r="G33" s="44"/>
      <c r="H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697"/>
      <c r="W33" s="697"/>
      <c r="X33" s="697"/>
      <c r="Y33" s="697"/>
      <c r="Z33" s="697"/>
      <c r="AA33" s="697"/>
      <c r="AB33" s="697"/>
      <c r="AC33" s="697"/>
      <c r="AD33" s="697"/>
      <c r="AE33" s="697"/>
      <c r="AF33" s="697"/>
      <c r="AG33" s="697"/>
      <c r="AH33" s="697"/>
      <c r="AI33" s="697"/>
      <c r="AJ33" s="697"/>
      <c r="AK33" s="697"/>
      <c r="AL33" s="697"/>
      <c r="AM33" s="697"/>
      <c r="AN33" s="697"/>
      <c r="AO33" s="697"/>
      <c r="AP33" s="697"/>
      <c r="AQ33" s="697"/>
      <c r="AR33" s="46"/>
      <c r="AS33" s="698"/>
      <c r="AT33" s="698"/>
      <c r="AU33" s="698"/>
      <c r="AV33" s="698"/>
      <c r="AW33" s="698"/>
      <c r="AX33" s="698"/>
      <c r="AY33" s="698"/>
      <c r="AZ33" s="698"/>
      <c r="BA33" s="698"/>
      <c r="BB33" s="698"/>
      <c r="BC33" s="698"/>
      <c r="BD33" s="698"/>
      <c r="BE33" s="699"/>
      <c r="BF33" s="699"/>
      <c r="BG33" s="699"/>
      <c r="BH33" s="699"/>
      <c r="BI33" s="699"/>
      <c r="BJ33" s="700"/>
      <c r="BK33" s="700"/>
      <c r="BL33" s="700"/>
      <c r="BM33" s="700"/>
      <c r="BN33" s="701"/>
      <c r="BO33" s="701"/>
      <c r="BP33" s="701"/>
      <c r="BQ33" s="44"/>
      <c r="BR33" s="44"/>
    </row>
    <row r="34" spans="1:83" ht="93" customHeight="1" x14ac:dyDescent="0.25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697"/>
      <c r="W34" s="697"/>
      <c r="X34" s="697"/>
      <c r="Y34" s="697"/>
      <c r="Z34" s="697"/>
      <c r="AA34" s="697"/>
      <c r="AB34" s="697"/>
      <c r="AC34" s="697"/>
      <c r="AD34" s="697"/>
      <c r="AE34" s="697"/>
      <c r="AF34" s="697"/>
      <c r="AG34" s="697"/>
      <c r="AH34" s="697"/>
      <c r="AI34" s="697"/>
      <c r="AJ34" s="697"/>
      <c r="AK34" s="697"/>
      <c r="AL34" s="697"/>
      <c r="AM34" s="697"/>
      <c r="AN34" s="697"/>
      <c r="AO34" s="697"/>
      <c r="AP34" s="697"/>
      <c r="AQ34" s="697"/>
      <c r="AR34" s="46"/>
      <c r="AS34" s="698"/>
      <c r="AT34" s="698"/>
      <c r="AU34" s="698"/>
      <c r="AV34" s="698"/>
      <c r="AW34" s="698"/>
      <c r="AX34" s="698"/>
      <c r="AY34" s="698"/>
      <c r="AZ34" s="698"/>
      <c r="BA34" s="698"/>
      <c r="BB34" s="698"/>
      <c r="BC34" s="698"/>
      <c r="BD34" s="698"/>
      <c r="BE34" s="699"/>
      <c r="BF34" s="699"/>
      <c r="BG34" s="699"/>
      <c r="BH34" s="699"/>
      <c r="BI34" s="699"/>
      <c r="BJ34" s="700"/>
      <c r="BK34" s="700"/>
      <c r="BL34" s="700"/>
      <c r="BM34" s="700"/>
      <c r="BN34" s="701"/>
      <c r="BO34" s="701"/>
      <c r="BP34" s="701"/>
      <c r="BQ34" s="44"/>
      <c r="BR34" s="44"/>
    </row>
    <row r="35" spans="1:83" ht="6" customHeight="1" x14ac:dyDescent="0.25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722"/>
      <c r="W35" s="722"/>
      <c r="X35" s="722"/>
      <c r="Y35" s="722"/>
      <c r="Z35" s="722"/>
      <c r="AA35" s="722"/>
      <c r="AB35" s="722"/>
      <c r="AC35" s="722"/>
      <c r="AD35" s="722"/>
      <c r="AE35" s="722"/>
      <c r="AF35" s="722"/>
      <c r="AG35" s="722"/>
      <c r="AH35" s="723">
        <f>AS35-AD87</f>
        <v>0</v>
      </c>
      <c r="AI35" s="723"/>
      <c r="AJ35" s="723"/>
      <c r="AK35" s="723"/>
      <c r="AL35" s="723"/>
      <c r="AM35" s="723"/>
      <c r="AN35" s="723"/>
      <c r="AO35" s="723"/>
      <c r="AP35" s="723"/>
      <c r="AQ35" s="723"/>
      <c r="AR35" s="723"/>
      <c r="AS35" s="707">
        <f>B7+G7+L7+Q7+V7+AA7+AF7+AK7+AP7+AU7+AZ7+BE7+BJ7+BO7+B13+G13+L13+Q13+V13+AA13+AF13+AK13+AP13+AU13+AZ13+BE13+BJ13+BO13+B19+G19+L19+Q19+V19+AA19+AF19+AK19+AP19+AU19+AZ19+BE19+BJ19+BO19+B25+G25+L25+Q25+V25+AA25</f>
        <v>94.302600002209971</v>
      </c>
      <c r="AT35" s="707"/>
      <c r="AU35" s="707"/>
      <c r="AV35" s="707"/>
      <c r="AW35" s="707"/>
      <c r="AX35" s="707"/>
      <c r="AY35" s="707"/>
      <c r="AZ35" s="707"/>
      <c r="BA35" s="707"/>
      <c r="BB35" s="707"/>
      <c r="BC35" s="707"/>
      <c r="BD35" s="707"/>
      <c r="BE35" s="699"/>
      <c r="BF35" s="699"/>
      <c r="BG35" s="699"/>
      <c r="BH35" s="699"/>
      <c r="BI35" s="699"/>
      <c r="BJ35" s="708">
        <f>BJ31*1.5</f>
        <v>72</v>
      </c>
      <c r="BK35" s="708"/>
      <c r="BL35" s="708"/>
      <c r="BM35" s="708"/>
      <c r="BN35" s="708"/>
      <c r="BO35" s="708"/>
      <c r="BP35" s="708"/>
      <c r="BQ35" s="44"/>
      <c r="BR35" s="44"/>
    </row>
    <row r="36" spans="1:83" s="22" customFormat="1" ht="80.099999999999994" customHeight="1" x14ac:dyDescent="1.35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722"/>
      <c r="W36" s="722"/>
      <c r="X36" s="722"/>
      <c r="Y36" s="722"/>
      <c r="Z36" s="722"/>
      <c r="AA36" s="722"/>
      <c r="AB36" s="722"/>
      <c r="AC36" s="722"/>
      <c r="AD36" s="722"/>
      <c r="AE36" s="722"/>
      <c r="AF36" s="722"/>
      <c r="AG36" s="722"/>
      <c r="AH36" s="723"/>
      <c r="AI36" s="723"/>
      <c r="AJ36" s="723"/>
      <c r="AK36" s="723"/>
      <c r="AL36" s="723"/>
      <c r="AM36" s="723"/>
      <c r="AN36" s="723"/>
      <c r="AO36" s="723"/>
      <c r="AP36" s="723"/>
      <c r="AQ36" s="723"/>
      <c r="AR36" s="723"/>
      <c r="AS36" s="707"/>
      <c r="AT36" s="707"/>
      <c r="AU36" s="707"/>
      <c r="AV36" s="707"/>
      <c r="AW36" s="707"/>
      <c r="AX36" s="707"/>
      <c r="AY36" s="707"/>
      <c r="AZ36" s="707"/>
      <c r="BA36" s="707"/>
      <c r="BB36" s="707"/>
      <c r="BC36" s="707"/>
      <c r="BD36" s="707"/>
      <c r="BE36" s="699"/>
      <c r="BF36" s="699"/>
      <c r="BG36" s="699"/>
      <c r="BH36" s="699"/>
      <c r="BI36" s="699"/>
      <c r="BJ36" s="708"/>
      <c r="BK36" s="708"/>
      <c r="BL36" s="708"/>
      <c r="BM36" s="708"/>
      <c r="BN36" s="708"/>
      <c r="BO36" s="708"/>
      <c r="BP36" s="708"/>
      <c r="BQ36" s="44"/>
      <c r="BR36" s="44"/>
    </row>
    <row r="37" spans="1:83" ht="27" customHeight="1" x14ac:dyDescent="0.25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1988"/>
      <c r="R37" s="1988"/>
      <c r="S37" s="1988"/>
      <c r="T37" s="1988"/>
      <c r="U37" s="44"/>
      <c r="V37" s="722"/>
      <c r="W37" s="722"/>
      <c r="X37" s="722"/>
      <c r="Y37" s="722"/>
      <c r="Z37" s="722"/>
      <c r="AA37" s="722"/>
      <c r="AB37" s="722"/>
      <c r="AC37" s="722"/>
      <c r="AD37" s="722"/>
      <c r="AE37" s="722"/>
      <c r="AF37" s="722"/>
      <c r="AG37" s="722"/>
      <c r="AH37" s="723"/>
      <c r="AI37" s="723"/>
      <c r="AJ37" s="723"/>
      <c r="AK37" s="723"/>
      <c r="AL37" s="723"/>
      <c r="AM37" s="723"/>
      <c r="AN37" s="723"/>
      <c r="AO37" s="723"/>
      <c r="AP37" s="723"/>
      <c r="AQ37" s="723"/>
      <c r="AR37" s="723"/>
      <c r="AS37" s="707"/>
      <c r="AT37" s="707"/>
      <c r="AU37" s="707"/>
      <c r="AV37" s="707"/>
      <c r="AW37" s="707"/>
      <c r="AX37" s="707"/>
      <c r="AY37" s="707"/>
      <c r="AZ37" s="707"/>
      <c r="BA37" s="707"/>
      <c r="BB37" s="707"/>
      <c r="BC37" s="707"/>
      <c r="BD37" s="707"/>
      <c r="BE37" s="699"/>
      <c r="BF37" s="699"/>
      <c r="BG37" s="699"/>
      <c r="BH37" s="699"/>
      <c r="BI37" s="699"/>
      <c r="BJ37" s="708"/>
      <c r="BK37" s="708"/>
      <c r="BL37" s="708"/>
      <c r="BM37" s="708"/>
      <c r="BN37" s="708"/>
      <c r="BO37" s="708"/>
      <c r="BP37" s="708"/>
      <c r="BQ37" s="44"/>
      <c r="BR37" s="44"/>
      <c r="BW37" s="27"/>
      <c r="BX37" s="27"/>
      <c r="BY37" s="27"/>
      <c r="BZ37" s="27"/>
      <c r="CA37" s="27"/>
      <c r="CB37" s="27"/>
      <c r="CC37" s="27"/>
      <c r="CD37" s="27"/>
      <c r="CE37" s="27"/>
    </row>
    <row r="38" spans="1:83" ht="26.1" customHeight="1" x14ac:dyDescent="0.25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1988"/>
      <c r="R38" s="1988"/>
      <c r="S38" s="1988"/>
      <c r="T38" s="1988"/>
      <c r="U38" s="44"/>
      <c r="V38" s="722"/>
      <c r="W38" s="722"/>
      <c r="X38" s="722"/>
      <c r="Y38" s="722"/>
      <c r="Z38" s="722"/>
      <c r="AA38" s="722"/>
      <c r="AB38" s="722"/>
      <c r="AC38" s="722"/>
      <c r="AD38" s="722"/>
      <c r="AE38" s="722"/>
      <c r="AF38" s="722"/>
      <c r="AG38" s="722"/>
      <c r="AH38" s="723"/>
      <c r="AI38" s="723"/>
      <c r="AJ38" s="723"/>
      <c r="AK38" s="723"/>
      <c r="AL38" s="723"/>
      <c r="AM38" s="723"/>
      <c r="AN38" s="723"/>
      <c r="AO38" s="723"/>
      <c r="AP38" s="723"/>
      <c r="AQ38" s="723"/>
      <c r="AR38" s="723"/>
      <c r="AS38" s="707"/>
      <c r="AT38" s="707"/>
      <c r="AU38" s="707"/>
      <c r="AV38" s="707"/>
      <c r="AW38" s="707"/>
      <c r="AX38" s="707"/>
      <c r="AY38" s="707"/>
      <c r="AZ38" s="707"/>
      <c r="BA38" s="707"/>
      <c r="BB38" s="707"/>
      <c r="BC38" s="707"/>
      <c r="BD38" s="707"/>
      <c r="BE38" s="699"/>
      <c r="BF38" s="699"/>
      <c r="BG38" s="699"/>
      <c r="BH38" s="699"/>
      <c r="BI38" s="699"/>
      <c r="BJ38" s="708"/>
      <c r="BK38" s="708"/>
      <c r="BL38" s="708"/>
      <c r="BM38" s="708"/>
      <c r="BN38" s="708"/>
      <c r="BO38" s="708"/>
      <c r="BP38" s="708"/>
      <c r="BQ38" s="44"/>
      <c r="BR38" s="44"/>
    </row>
    <row r="39" spans="1:83" ht="6.75" customHeight="1" x14ac:dyDescent="0.25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1988"/>
      <c r="R39" s="1988"/>
      <c r="S39" s="1988"/>
      <c r="T39" s="1988"/>
      <c r="U39" s="44"/>
      <c r="V39" s="722"/>
      <c r="W39" s="722"/>
      <c r="X39" s="722"/>
      <c r="Y39" s="722"/>
      <c r="Z39" s="722"/>
      <c r="AA39" s="722"/>
      <c r="AB39" s="722"/>
      <c r="AC39" s="722"/>
      <c r="AD39" s="722"/>
      <c r="AE39" s="722"/>
      <c r="AF39" s="722"/>
      <c r="AG39" s="722"/>
      <c r="AH39" s="723"/>
      <c r="AI39" s="723"/>
      <c r="AJ39" s="723"/>
      <c r="AK39" s="723"/>
      <c r="AL39" s="723"/>
      <c r="AM39" s="723"/>
      <c r="AN39" s="723"/>
      <c r="AO39" s="723"/>
      <c r="AP39" s="723"/>
      <c r="AQ39" s="723"/>
      <c r="AR39" s="723"/>
      <c r="AS39" s="707"/>
      <c r="AT39" s="707"/>
      <c r="AU39" s="707"/>
      <c r="AV39" s="707"/>
      <c r="AW39" s="707"/>
      <c r="AX39" s="707"/>
      <c r="AY39" s="707"/>
      <c r="AZ39" s="707"/>
      <c r="BA39" s="707"/>
      <c r="BB39" s="707"/>
      <c r="BC39" s="707"/>
      <c r="BD39" s="707"/>
      <c r="BE39" s="699"/>
      <c r="BF39" s="699"/>
      <c r="BG39" s="699"/>
      <c r="BH39" s="699"/>
      <c r="BI39" s="699"/>
      <c r="BJ39" s="699" t="s">
        <v>121</v>
      </c>
      <c r="BK39" s="699"/>
      <c r="BL39" s="699"/>
      <c r="BM39" s="699"/>
      <c r="BN39" s="699"/>
      <c r="BO39" s="699"/>
      <c r="BP39" s="699"/>
      <c r="BQ39" s="44"/>
      <c r="BR39" s="44"/>
    </row>
    <row r="40" spans="1:83" ht="21.95" customHeight="1" x14ac:dyDescent="0.25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1988"/>
      <c r="R40" s="1988"/>
      <c r="S40" s="1988"/>
      <c r="T40" s="1988"/>
      <c r="U40" s="44"/>
      <c r="V40" s="722"/>
      <c r="W40" s="722"/>
      <c r="X40" s="722"/>
      <c r="Y40" s="722"/>
      <c r="Z40" s="722"/>
      <c r="AA40" s="722"/>
      <c r="AB40" s="722"/>
      <c r="AC40" s="722"/>
      <c r="AD40" s="722"/>
      <c r="AE40" s="722"/>
      <c r="AF40" s="722"/>
      <c r="AG40" s="722"/>
      <c r="AH40" s="723"/>
      <c r="AI40" s="723"/>
      <c r="AJ40" s="723"/>
      <c r="AK40" s="723"/>
      <c r="AL40" s="723"/>
      <c r="AM40" s="723"/>
      <c r="AN40" s="723"/>
      <c r="AO40" s="723"/>
      <c r="AP40" s="723"/>
      <c r="AQ40" s="723"/>
      <c r="AR40" s="723"/>
      <c r="AS40" s="707"/>
      <c r="AT40" s="707"/>
      <c r="AU40" s="707"/>
      <c r="AV40" s="707"/>
      <c r="AW40" s="707"/>
      <c r="AX40" s="707"/>
      <c r="AY40" s="707"/>
      <c r="AZ40" s="707"/>
      <c r="BA40" s="707"/>
      <c r="BB40" s="707"/>
      <c r="BC40" s="707"/>
      <c r="BD40" s="707"/>
      <c r="BE40" s="699"/>
      <c r="BF40" s="699"/>
      <c r="BG40" s="699"/>
      <c r="BH40" s="699"/>
      <c r="BI40" s="699"/>
      <c r="BJ40" s="699"/>
      <c r="BK40" s="699"/>
      <c r="BL40" s="699"/>
      <c r="BM40" s="699"/>
      <c r="BN40" s="699"/>
      <c r="BO40" s="699"/>
      <c r="BP40" s="699"/>
      <c r="BQ40" s="44"/>
      <c r="BR40" s="44"/>
    </row>
    <row r="41" spans="1:83" ht="6" customHeight="1" x14ac:dyDescent="0.25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1988"/>
      <c r="R41" s="1988"/>
      <c r="S41" s="1988"/>
      <c r="T41" s="1988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44"/>
      <c r="BE41" s="44"/>
      <c r="BF41" s="44"/>
      <c r="BG41" s="44"/>
      <c r="BH41" s="44"/>
      <c r="BI41" s="44"/>
      <c r="BJ41" s="44"/>
      <c r="BK41" s="44"/>
      <c r="BL41" s="44"/>
      <c r="BM41" s="44"/>
      <c r="BN41" s="44"/>
      <c r="BO41" s="44"/>
      <c r="BP41" s="44"/>
      <c r="BQ41" s="44"/>
      <c r="BR41" s="44"/>
    </row>
    <row r="42" spans="1:83" s="22" customFormat="1" ht="38.25" customHeight="1" x14ac:dyDescent="1.35">
      <c r="A42" s="44"/>
      <c r="B42" s="44"/>
      <c r="C42" s="44"/>
      <c r="D42" s="44"/>
      <c r="E42" s="44"/>
      <c r="F42" s="44"/>
      <c r="J42" s="1989"/>
      <c r="K42" s="1989"/>
      <c r="L42" s="1989"/>
      <c r="M42" s="44"/>
      <c r="N42" s="44"/>
      <c r="O42" s="44"/>
      <c r="P42" s="44"/>
      <c r="Q42" s="1988"/>
      <c r="R42" s="1988"/>
      <c r="S42" s="1988"/>
      <c r="T42" s="1988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44"/>
      <c r="BC42" s="44"/>
      <c r="BD42" s="44"/>
      <c r="BE42" s="44"/>
      <c r="BF42" s="44"/>
      <c r="BG42" s="44"/>
      <c r="BH42" s="44"/>
      <c r="BI42" s="44"/>
      <c r="BJ42" s="44"/>
      <c r="BK42" s="44"/>
      <c r="BL42" s="44"/>
      <c r="BM42" s="44"/>
      <c r="BN42" s="44"/>
      <c r="BO42" s="44"/>
      <c r="BP42" s="44"/>
      <c r="BQ42" s="44"/>
      <c r="BR42" s="44"/>
    </row>
    <row r="43" spans="1:83" ht="15" hidden="1" customHeight="1" x14ac:dyDescent="0.25">
      <c r="A43" s="44"/>
      <c r="B43" s="44"/>
      <c r="C43" s="44"/>
      <c r="D43" s="44"/>
      <c r="E43" s="44"/>
      <c r="F43" s="44"/>
      <c r="J43" s="1990"/>
      <c r="K43" s="1990"/>
      <c r="L43" s="1990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44"/>
      <c r="BB43" s="44"/>
      <c r="BC43" s="44"/>
      <c r="BD43" s="44"/>
      <c r="BE43" s="44"/>
      <c r="BF43" s="44"/>
      <c r="BG43" s="44"/>
      <c r="BH43" s="44"/>
      <c r="BI43" s="44"/>
      <c r="BJ43" s="44"/>
      <c r="BK43" s="44"/>
      <c r="BL43" s="44"/>
      <c r="BM43" s="44"/>
      <c r="BN43" s="44"/>
      <c r="BO43" s="44"/>
      <c r="BP43" s="44"/>
      <c r="BQ43" s="44"/>
      <c r="BR43" s="44"/>
      <c r="BW43" s="27"/>
      <c r="BX43" s="27"/>
      <c r="BY43" s="27"/>
      <c r="BZ43" s="27"/>
      <c r="CA43" s="27"/>
      <c r="CB43" s="27"/>
      <c r="CC43" s="27"/>
      <c r="CD43" s="27"/>
      <c r="CE43" s="27"/>
    </row>
    <row r="44" spans="1:83" ht="25.5" hidden="1" customHeight="1" x14ac:dyDescent="0.25">
      <c r="A44" s="44"/>
      <c r="B44" s="44"/>
      <c r="C44" s="44"/>
      <c r="D44" s="44"/>
      <c r="E44" s="44"/>
      <c r="F44" s="44"/>
      <c r="J44" s="1990"/>
      <c r="K44" s="1990"/>
      <c r="L44" s="1990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44"/>
      <c r="BJ44" s="44"/>
      <c r="BK44" s="44"/>
      <c r="BL44" s="44"/>
      <c r="BM44" s="44"/>
      <c r="BN44" s="44"/>
      <c r="BO44" s="44"/>
      <c r="BP44" s="44"/>
      <c r="BQ44" s="44"/>
      <c r="BR44" s="44"/>
    </row>
    <row r="45" spans="1:83" ht="6.75" hidden="1" customHeight="1" x14ac:dyDescent="0.25">
      <c r="A45" s="44"/>
      <c r="B45" s="44"/>
      <c r="C45" s="44"/>
      <c r="D45" s="44"/>
      <c r="E45" s="44"/>
      <c r="F45" s="44"/>
      <c r="J45" s="1990"/>
      <c r="K45" s="1990"/>
      <c r="L45" s="1990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44"/>
      <c r="BJ45" s="44"/>
      <c r="BK45" s="44"/>
      <c r="BL45" s="44"/>
      <c r="BM45" s="44"/>
      <c r="BN45" s="44"/>
      <c r="BO45" s="44"/>
      <c r="BP45" s="44"/>
      <c r="BQ45" s="44"/>
      <c r="BR45" s="44"/>
    </row>
    <row r="46" spans="1:83" ht="21.75" hidden="1" customHeight="1" x14ac:dyDescent="0.25">
      <c r="A46" s="44"/>
      <c r="B46" s="44"/>
      <c r="C46" s="44"/>
      <c r="D46" s="44"/>
      <c r="E46" s="44"/>
      <c r="F46" s="44"/>
      <c r="J46" s="1990"/>
      <c r="K46" s="1990"/>
      <c r="L46" s="1990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44"/>
      <c r="BJ46" s="44"/>
      <c r="BK46" s="44"/>
      <c r="BL46" s="44"/>
      <c r="BM46" s="44"/>
      <c r="BN46" s="44"/>
      <c r="BO46" s="44"/>
      <c r="BP46" s="44"/>
      <c r="BQ46" s="44"/>
      <c r="BR46" s="44"/>
    </row>
    <row r="47" spans="1:83" ht="6" hidden="1" customHeight="1" x14ac:dyDescent="0.25">
      <c r="A47" s="44"/>
      <c r="B47" s="44"/>
      <c r="C47" s="44"/>
      <c r="D47" s="44"/>
      <c r="E47" s="44"/>
      <c r="F47" s="44"/>
      <c r="J47" s="1990"/>
      <c r="K47" s="1990"/>
      <c r="L47" s="1990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44"/>
      <c r="BJ47" s="44"/>
      <c r="BK47" s="44"/>
      <c r="BL47" s="44"/>
      <c r="BM47" s="44"/>
      <c r="BN47" s="44"/>
      <c r="BO47" s="44"/>
      <c r="BP47" s="44"/>
      <c r="BQ47" s="44"/>
      <c r="BR47" s="44"/>
    </row>
    <row r="48" spans="1:83" s="22" customFormat="1" ht="79.5" hidden="1" customHeight="1" x14ac:dyDescent="1.35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4"/>
      <c r="BK48" s="44"/>
      <c r="BL48" s="44"/>
      <c r="BM48" s="44"/>
      <c r="BN48" s="44"/>
      <c r="BO48" s="44"/>
      <c r="BP48" s="44"/>
      <c r="BQ48" s="44"/>
      <c r="BR48" s="44"/>
    </row>
    <row r="49" spans="1:83" ht="15" customHeight="1" x14ac:dyDescent="0.25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>
        <v>130.33000000000001</v>
      </c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4"/>
      <c r="BI49" s="44"/>
      <c r="BJ49" s="44"/>
      <c r="BK49" s="44"/>
      <c r="BL49" s="44"/>
      <c r="BM49" s="44"/>
      <c r="BN49" s="44"/>
      <c r="BO49" s="44"/>
      <c r="BP49" s="44"/>
      <c r="BQ49" s="44"/>
      <c r="BR49" s="44"/>
      <c r="BW49" s="27"/>
      <c r="BX49" s="27"/>
      <c r="BY49" s="27"/>
      <c r="BZ49" s="27"/>
      <c r="CA49" s="27"/>
      <c r="CB49" s="27"/>
      <c r="CC49" s="27"/>
      <c r="CD49" s="27"/>
      <c r="CE49" s="27"/>
    </row>
    <row r="50" spans="1:83" ht="26.1" customHeight="1" x14ac:dyDescent="0.25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</row>
    <row r="51" spans="1:83" ht="6.75" customHeight="1" x14ac:dyDescent="0.25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</row>
    <row r="52" spans="1:83" ht="21.95" hidden="1" customHeight="1" x14ac:dyDescent="0.25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</row>
    <row r="53" spans="1:83" ht="6" hidden="1" customHeight="1" x14ac:dyDescent="0.25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</row>
    <row r="54" spans="1:83" s="22" customFormat="1" ht="9.75" hidden="1" customHeight="1" x14ac:dyDescent="1.35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</row>
    <row r="55" spans="1:83" ht="9.75" hidden="1" customHeight="1" x14ac:dyDescent="0.25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W55" s="27"/>
      <c r="BX55" s="27"/>
      <c r="BY55" s="27"/>
      <c r="BZ55" s="27"/>
      <c r="CA55" s="27"/>
      <c r="CB55" s="27"/>
      <c r="CC55" s="27"/>
      <c r="CD55" s="27"/>
      <c r="CE55" s="27"/>
    </row>
    <row r="56" spans="1:83" ht="9.75" hidden="1" customHeight="1" x14ac:dyDescent="0.25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</row>
    <row r="57" spans="1:83" ht="9.75" hidden="1" customHeight="1" x14ac:dyDescent="0.25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</row>
    <row r="58" spans="1:83" ht="9.75" hidden="1" customHeight="1" x14ac:dyDescent="0.25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</row>
    <row r="59" spans="1:83" ht="9.75" hidden="1" customHeight="1" x14ac:dyDescent="0.25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</row>
    <row r="60" spans="1:83" s="22" customFormat="1" ht="9.75" hidden="1" customHeight="1" x14ac:dyDescent="1.35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44"/>
      <c r="AM60" s="44"/>
      <c r="AN60" s="44"/>
      <c r="AO60" s="44"/>
      <c r="AP60" s="44"/>
      <c r="AQ60" s="44"/>
      <c r="AR60" s="44"/>
      <c r="AS60" s="44"/>
      <c r="AT60" s="44"/>
      <c r="AU60" s="44"/>
      <c r="AV60" s="44"/>
      <c r="AW60" s="44"/>
      <c r="AX60" s="44"/>
      <c r="AY60" s="44"/>
      <c r="AZ60" s="44"/>
      <c r="BA60" s="44"/>
      <c r="BB60" s="44"/>
      <c r="BC60" s="44"/>
      <c r="BD60" s="44"/>
      <c r="BE60" s="44"/>
      <c r="BF60" s="44"/>
      <c r="BG60" s="44"/>
      <c r="BH60" s="44"/>
      <c r="BI60" s="44"/>
      <c r="BJ60" s="44"/>
      <c r="BK60" s="44"/>
      <c r="BL60" s="44"/>
      <c r="BM60" s="44"/>
      <c r="BN60" s="44"/>
      <c r="BO60" s="44"/>
      <c r="BP60" s="44"/>
      <c r="BQ60" s="44"/>
      <c r="BR60" s="44"/>
    </row>
    <row r="61" spans="1:83" ht="9.75" hidden="1" customHeight="1" thickBot="1" x14ac:dyDescent="0.3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44"/>
      <c r="BC61" s="44"/>
      <c r="BD61" s="44"/>
      <c r="BE61" s="44"/>
      <c r="BF61" s="44"/>
      <c r="BG61" s="44"/>
      <c r="BH61" s="44"/>
      <c r="BI61" s="44"/>
      <c r="BJ61" s="44"/>
      <c r="BK61" s="44"/>
      <c r="BL61" s="44"/>
      <c r="BM61" s="44"/>
      <c r="BN61" s="44"/>
      <c r="BO61" s="44"/>
      <c r="BP61" s="44"/>
      <c r="BQ61" s="44"/>
      <c r="BR61" s="44"/>
      <c r="BW61" s="27"/>
      <c r="BX61" s="27"/>
      <c r="BY61" s="27"/>
      <c r="BZ61" s="27"/>
      <c r="CA61" s="27"/>
      <c r="CB61" s="27"/>
      <c r="CC61" s="27"/>
      <c r="CD61" s="27"/>
      <c r="CE61" s="27"/>
    </row>
    <row r="62" spans="1:83" ht="9.75" hidden="1" customHeight="1" thickTop="1" x14ac:dyDescent="0.25">
      <c r="A62" s="672"/>
      <c r="B62" s="672"/>
      <c r="C62" s="672"/>
      <c r="D62" s="673"/>
      <c r="E62" s="673"/>
      <c r="F62" s="672"/>
      <c r="G62" s="672"/>
      <c r="H62" s="672"/>
      <c r="I62" s="673"/>
      <c r="J62" s="673"/>
      <c r="K62" s="672"/>
      <c r="L62" s="672"/>
      <c r="M62" s="672"/>
      <c r="N62" s="673"/>
      <c r="O62" s="673"/>
      <c r="P62" s="672"/>
      <c r="Q62" s="672"/>
      <c r="R62" s="672"/>
      <c r="S62" s="673"/>
      <c r="T62" s="673"/>
      <c r="U62" s="674"/>
      <c r="V62" s="674"/>
      <c r="W62" s="674"/>
      <c r="X62" s="675"/>
      <c r="Y62" s="675"/>
      <c r="Z62" s="674"/>
      <c r="AA62" s="674"/>
      <c r="AB62" s="674"/>
      <c r="AC62" s="675"/>
      <c r="AD62" s="675"/>
      <c r="AE62" s="674"/>
      <c r="AF62" s="674"/>
      <c r="AG62" s="674"/>
      <c r="AH62" s="675"/>
      <c r="AI62" s="675"/>
      <c r="AJ62" s="674"/>
      <c r="AK62" s="674"/>
      <c r="AL62" s="674"/>
      <c r="AM62" s="675"/>
      <c r="AN62" s="675"/>
      <c r="AO62" s="674"/>
      <c r="AP62" s="674"/>
      <c r="AQ62" s="674"/>
      <c r="AR62" s="675"/>
      <c r="AS62" s="675"/>
      <c r="AT62" s="674"/>
      <c r="AU62" s="674"/>
      <c r="AV62" s="674"/>
      <c r="AW62" s="675"/>
      <c r="AX62" s="675"/>
      <c r="AY62" s="674"/>
      <c r="AZ62" s="674"/>
      <c r="BA62" s="674"/>
      <c r="BB62" s="675"/>
      <c r="BC62" s="675"/>
      <c r="BD62" s="674"/>
      <c r="BE62" s="674"/>
      <c r="BF62" s="674"/>
      <c r="BG62" s="675"/>
      <c r="BH62" s="675"/>
      <c r="BI62" s="674"/>
      <c r="BJ62" s="674"/>
      <c r="BK62" s="674"/>
      <c r="BL62" s="675"/>
      <c r="BM62" s="675"/>
      <c r="BN62" s="674"/>
      <c r="BO62" s="674"/>
      <c r="BP62" s="674"/>
      <c r="BQ62" s="675"/>
      <c r="BR62" s="675"/>
    </row>
    <row r="63" spans="1:83" ht="9.75" hidden="1" customHeight="1" x14ac:dyDescent="0.25">
      <c r="A63" s="676"/>
      <c r="B63" s="676"/>
      <c r="C63" s="676"/>
      <c r="D63" s="29"/>
      <c r="E63" s="29"/>
      <c r="F63" s="676"/>
      <c r="G63" s="676"/>
      <c r="H63" s="676"/>
      <c r="I63" s="29"/>
      <c r="J63" s="29"/>
      <c r="K63" s="676"/>
      <c r="L63" s="676"/>
      <c r="M63" s="676"/>
      <c r="N63" s="29"/>
      <c r="O63" s="29"/>
      <c r="P63" s="676"/>
      <c r="Q63" s="676"/>
      <c r="R63" s="676"/>
      <c r="S63" s="29"/>
      <c r="T63" s="29"/>
      <c r="U63" s="676"/>
      <c r="V63" s="676"/>
      <c r="W63" s="676"/>
      <c r="X63" s="29"/>
      <c r="Y63" s="29"/>
      <c r="Z63" s="676"/>
      <c r="AA63" s="676"/>
      <c r="AB63" s="676"/>
      <c r="AC63" s="29"/>
      <c r="AD63" s="29"/>
      <c r="AE63" s="676"/>
      <c r="AF63" s="676"/>
      <c r="AG63" s="676"/>
      <c r="AH63" s="29"/>
      <c r="AI63" s="29"/>
      <c r="AJ63" s="676"/>
      <c r="AK63" s="676"/>
      <c r="AL63" s="676"/>
      <c r="AM63" s="29"/>
      <c r="AN63" s="29"/>
      <c r="AO63" s="676"/>
      <c r="AP63" s="676"/>
      <c r="AQ63" s="676"/>
      <c r="AR63" s="29"/>
      <c r="AS63" s="29"/>
      <c r="AT63" s="676"/>
      <c r="AU63" s="676"/>
      <c r="AV63" s="676"/>
      <c r="AW63" s="29"/>
      <c r="AX63" s="29"/>
      <c r="AY63" s="676"/>
      <c r="AZ63" s="676"/>
      <c r="BA63" s="676"/>
      <c r="BB63" s="29"/>
      <c r="BC63" s="29"/>
      <c r="BD63" s="676"/>
      <c r="BE63" s="676"/>
      <c r="BF63" s="676"/>
      <c r="BG63" s="29"/>
      <c r="BH63" s="29"/>
      <c r="BI63" s="676"/>
      <c r="BJ63" s="676"/>
      <c r="BK63" s="676"/>
      <c r="BL63" s="29"/>
      <c r="BM63" s="29"/>
      <c r="BN63" s="676"/>
      <c r="BO63" s="676"/>
      <c r="BP63" s="676"/>
      <c r="BQ63" s="29"/>
      <c r="BR63" s="29"/>
    </row>
    <row r="64" spans="1:83" ht="9.75" hidden="1" customHeight="1" x14ac:dyDescent="0.25">
      <c r="A64" s="676"/>
      <c r="B64" s="676"/>
      <c r="C64" s="676"/>
      <c r="D64" s="30"/>
      <c r="E64" s="29"/>
      <c r="F64" s="676"/>
      <c r="G64" s="676"/>
      <c r="H64" s="676"/>
      <c r="I64" s="30"/>
      <c r="J64" s="29"/>
      <c r="K64" s="676"/>
      <c r="L64" s="676"/>
      <c r="M64" s="676"/>
      <c r="N64" s="30"/>
      <c r="O64" s="29"/>
      <c r="P64" s="676"/>
      <c r="Q64" s="676"/>
      <c r="R64" s="676"/>
      <c r="S64" s="30"/>
      <c r="T64" s="29"/>
      <c r="U64" s="676"/>
      <c r="V64" s="676"/>
      <c r="W64" s="676"/>
      <c r="X64" s="30"/>
      <c r="Y64" s="29"/>
      <c r="Z64" s="676"/>
      <c r="AA64" s="676"/>
      <c r="AB64" s="676"/>
      <c r="AC64" s="30"/>
      <c r="AD64" s="29"/>
      <c r="AE64" s="676"/>
      <c r="AF64" s="676"/>
      <c r="AG64" s="676"/>
      <c r="AH64" s="30"/>
      <c r="AI64" s="29"/>
      <c r="AJ64" s="676"/>
      <c r="AK64" s="676"/>
      <c r="AL64" s="676"/>
      <c r="AM64" s="30"/>
      <c r="AN64" s="29"/>
      <c r="AO64" s="676"/>
      <c r="AP64" s="676"/>
      <c r="AQ64" s="676"/>
      <c r="AR64" s="30"/>
      <c r="AS64" s="29"/>
      <c r="AT64" s="676"/>
      <c r="AU64" s="676"/>
      <c r="AV64" s="676"/>
      <c r="AW64" s="30"/>
      <c r="AX64" s="29"/>
      <c r="AY64" s="676"/>
      <c r="AZ64" s="676"/>
      <c r="BA64" s="676"/>
      <c r="BB64" s="30"/>
      <c r="BC64" s="29"/>
      <c r="BD64" s="676"/>
      <c r="BE64" s="676"/>
      <c r="BF64" s="676"/>
      <c r="BG64" s="30"/>
      <c r="BH64" s="29"/>
      <c r="BI64" s="676"/>
      <c r="BJ64" s="676"/>
      <c r="BK64" s="676"/>
      <c r="BL64" s="30"/>
      <c r="BM64" s="29"/>
      <c r="BN64" s="676"/>
      <c r="BO64" s="676"/>
      <c r="BP64" s="676"/>
      <c r="BQ64" s="30"/>
      <c r="BR64" s="29"/>
    </row>
    <row r="65" spans="1:90" ht="9.75" hidden="1" customHeight="1" x14ac:dyDescent="0.25">
      <c r="A65" s="676"/>
      <c r="B65" s="676"/>
      <c r="C65" s="676"/>
      <c r="D65" s="675"/>
      <c r="E65" s="675"/>
      <c r="F65" s="676"/>
      <c r="G65" s="676"/>
      <c r="H65" s="676"/>
      <c r="I65" s="675"/>
      <c r="J65" s="675"/>
      <c r="K65" s="676"/>
      <c r="L65" s="676"/>
      <c r="M65" s="676"/>
      <c r="N65" s="675"/>
      <c r="O65" s="675"/>
      <c r="P65" s="676"/>
      <c r="Q65" s="676"/>
      <c r="R65" s="676"/>
      <c r="S65" s="675"/>
      <c r="T65" s="675"/>
      <c r="U65" s="676"/>
      <c r="V65" s="676"/>
      <c r="W65" s="676"/>
      <c r="X65" s="675"/>
      <c r="Y65" s="675"/>
      <c r="Z65" s="676"/>
      <c r="AA65" s="676"/>
      <c r="AB65" s="676"/>
      <c r="AC65" s="675"/>
      <c r="AD65" s="675"/>
      <c r="AE65" s="676"/>
      <c r="AF65" s="676"/>
      <c r="AG65" s="676"/>
      <c r="AH65" s="675"/>
      <c r="AI65" s="675"/>
      <c r="AJ65" s="676"/>
      <c r="AK65" s="676"/>
      <c r="AL65" s="676"/>
      <c r="AM65" s="675"/>
      <c r="AN65" s="675"/>
      <c r="AO65" s="676"/>
      <c r="AP65" s="676"/>
      <c r="AQ65" s="676"/>
      <c r="AR65" s="675"/>
      <c r="AS65" s="675"/>
      <c r="AT65" s="676"/>
      <c r="AU65" s="676"/>
      <c r="AV65" s="676"/>
      <c r="AW65" s="675"/>
      <c r="AX65" s="675"/>
      <c r="AY65" s="676"/>
      <c r="AZ65" s="676"/>
      <c r="BA65" s="676"/>
      <c r="BB65" s="675"/>
      <c r="BC65" s="675"/>
      <c r="BD65" s="676"/>
      <c r="BE65" s="676"/>
      <c r="BF65" s="676"/>
      <c r="BG65" s="675"/>
      <c r="BH65" s="675"/>
      <c r="BI65" s="676"/>
      <c r="BJ65" s="676"/>
      <c r="BK65" s="676"/>
      <c r="BL65" s="675"/>
      <c r="BM65" s="675"/>
      <c r="BN65" s="676"/>
      <c r="BO65" s="676"/>
      <c r="BP65" s="676"/>
      <c r="BQ65" s="675"/>
      <c r="BR65" s="675"/>
    </row>
    <row r="66" spans="1:90" ht="9.75" hidden="1" customHeight="1" x14ac:dyDescent="0.25">
      <c r="A66" s="677"/>
      <c r="B66" s="678"/>
      <c r="C66" s="678"/>
      <c r="D66" s="678"/>
      <c r="E66" s="678"/>
      <c r="F66" s="677"/>
      <c r="G66" s="678"/>
      <c r="H66" s="678"/>
      <c r="I66" s="678"/>
      <c r="J66" s="678"/>
      <c r="K66" s="677"/>
      <c r="L66" s="678"/>
      <c r="M66" s="678"/>
      <c r="N66" s="678"/>
      <c r="O66" s="678"/>
      <c r="P66" s="677"/>
      <c r="Q66" s="678"/>
      <c r="R66" s="678"/>
      <c r="S66" s="678"/>
      <c r="T66" s="678"/>
      <c r="U66" s="677"/>
      <c r="V66" s="678"/>
      <c r="W66" s="678"/>
      <c r="X66" s="678"/>
      <c r="Y66" s="678"/>
      <c r="Z66" s="677"/>
      <c r="AA66" s="678"/>
      <c r="AB66" s="678"/>
      <c r="AC66" s="678"/>
      <c r="AD66" s="678"/>
      <c r="AE66" s="677"/>
      <c r="AF66" s="678"/>
      <c r="AG66" s="678"/>
      <c r="AH66" s="678"/>
      <c r="AI66" s="678"/>
      <c r="AJ66" s="677"/>
      <c r="AK66" s="678"/>
      <c r="AL66" s="678"/>
      <c r="AM66" s="678"/>
      <c r="AN66" s="678"/>
      <c r="AO66" s="677"/>
      <c r="AP66" s="678"/>
      <c r="AQ66" s="678"/>
      <c r="AR66" s="678"/>
      <c r="AS66" s="678"/>
      <c r="AT66" s="677"/>
      <c r="AU66" s="678"/>
      <c r="AV66" s="678"/>
      <c r="AW66" s="678"/>
      <c r="AX66" s="678"/>
      <c r="AY66" s="677"/>
      <c r="AZ66" s="678"/>
      <c r="BA66" s="678"/>
      <c r="BB66" s="678"/>
      <c r="BC66" s="678"/>
      <c r="BD66" s="677"/>
      <c r="BE66" s="678"/>
      <c r="BF66" s="678"/>
      <c r="BG66" s="678"/>
      <c r="BH66" s="678"/>
      <c r="BI66" s="677"/>
      <c r="BJ66" s="678"/>
      <c r="BK66" s="678"/>
      <c r="BL66" s="678"/>
      <c r="BM66" s="678"/>
      <c r="BN66" s="677"/>
      <c r="BO66" s="678"/>
      <c r="BP66" s="678"/>
      <c r="BQ66" s="678"/>
      <c r="BR66" s="678"/>
    </row>
    <row r="67" spans="1:90" ht="9.75" hidden="1" customHeight="1" x14ac:dyDescent="0.25">
      <c r="A67" s="677"/>
      <c r="B67" s="32"/>
      <c r="C67" s="33"/>
      <c r="D67" s="34"/>
      <c r="E67" s="35"/>
      <c r="F67" s="677"/>
      <c r="G67" s="32"/>
      <c r="H67" s="33"/>
      <c r="I67" s="34"/>
      <c r="J67" s="35"/>
      <c r="K67" s="677"/>
      <c r="L67" s="32"/>
      <c r="M67" s="33"/>
      <c r="N67" s="34"/>
      <c r="O67" s="35"/>
      <c r="P67" s="677"/>
      <c r="Q67" s="32"/>
      <c r="R67" s="33"/>
      <c r="S67" s="34"/>
      <c r="T67" s="35"/>
      <c r="U67" s="677"/>
      <c r="V67" s="32"/>
      <c r="W67" s="33"/>
      <c r="X67" s="34"/>
      <c r="Y67" s="35"/>
      <c r="Z67" s="677"/>
      <c r="AA67" s="32"/>
      <c r="AB67" s="33"/>
      <c r="AC67" s="34"/>
      <c r="AD67" s="35"/>
      <c r="AE67" s="677"/>
      <c r="AF67" s="32"/>
      <c r="AG67" s="33"/>
      <c r="AH67" s="34"/>
      <c r="AI67" s="35"/>
      <c r="AJ67" s="677"/>
      <c r="AK67" s="32"/>
      <c r="AL67" s="33"/>
      <c r="AM67" s="34"/>
      <c r="AN67" s="35"/>
      <c r="AO67" s="677"/>
      <c r="AP67" s="32"/>
      <c r="AQ67" s="33"/>
      <c r="AR67" s="34"/>
      <c r="AS67" s="35"/>
      <c r="AT67" s="677"/>
      <c r="AU67" s="32"/>
      <c r="AV67" s="33"/>
      <c r="AW67" s="34"/>
      <c r="AX67" s="35"/>
      <c r="AY67" s="677"/>
      <c r="AZ67" s="32"/>
      <c r="BA67" s="33"/>
      <c r="BB67" s="34"/>
      <c r="BC67" s="35"/>
      <c r="BD67" s="677"/>
      <c r="BE67" s="32"/>
      <c r="BF67" s="33"/>
      <c r="BG67" s="34"/>
      <c r="BH67" s="35"/>
      <c r="BI67" s="677"/>
      <c r="BJ67" s="32"/>
      <c r="BK67" s="33"/>
      <c r="BL67" s="34"/>
      <c r="BM67" s="35"/>
      <c r="BN67" s="677"/>
      <c r="BO67" s="32"/>
      <c r="BP67" s="33"/>
      <c r="BQ67" s="34"/>
      <c r="BR67" s="35"/>
      <c r="BW67" s="27"/>
      <c r="BX67" s="27"/>
      <c r="BY67" s="27"/>
      <c r="BZ67" s="27"/>
      <c r="CA67" s="27"/>
      <c r="CB67" s="27"/>
      <c r="CC67" s="27"/>
      <c r="CD67" s="27"/>
      <c r="CE67" s="27"/>
    </row>
    <row r="68" spans="1:90" ht="9.75" hidden="1" customHeight="1" x14ac:dyDescent="0.25">
      <c r="A68" s="674"/>
      <c r="B68" s="674"/>
      <c r="C68" s="674"/>
      <c r="D68" s="675"/>
      <c r="E68" s="675"/>
      <c r="F68" s="674"/>
      <c r="G68" s="674"/>
      <c r="H68" s="674"/>
      <c r="I68" s="675"/>
      <c r="J68" s="675"/>
      <c r="K68" s="674"/>
      <c r="L68" s="674"/>
      <c r="M68" s="674"/>
      <c r="N68" s="675"/>
      <c r="O68" s="675"/>
      <c r="P68" s="674"/>
      <c r="Q68" s="674"/>
      <c r="R68" s="674"/>
      <c r="S68" s="675"/>
      <c r="T68" s="675"/>
      <c r="U68" s="674"/>
      <c r="V68" s="674"/>
      <c r="W68" s="674"/>
      <c r="X68" s="675"/>
      <c r="Y68" s="675"/>
      <c r="Z68" s="674"/>
      <c r="AA68" s="674"/>
      <c r="AB68" s="674"/>
      <c r="AC68" s="675"/>
      <c r="AD68" s="675"/>
      <c r="AE68" s="674"/>
      <c r="AF68" s="674"/>
      <c r="AG68" s="674"/>
      <c r="AH68" s="675"/>
      <c r="AI68" s="675"/>
      <c r="AJ68" s="674"/>
      <c r="AK68" s="674"/>
      <c r="AL68" s="674"/>
      <c r="AM68" s="675"/>
      <c r="AN68" s="675"/>
      <c r="AO68" s="674"/>
      <c r="AP68" s="674"/>
      <c r="AQ68" s="674"/>
      <c r="AR68" s="675"/>
      <c r="AS68" s="675"/>
      <c r="AT68" s="674"/>
      <c r="AU68" s="674"/>
      <c r="AV68" s="674"/>
      <c r="AW68" s="675"/>
      <c r="AX68" s="675"/>
      <c r="AY68" s="674"/>
      <c r="AZ68" s="674"/>
      <c r="BA68" s="674"/>
      <c r="BB68" s="675"/>
      <c r="BC68" s="675"/>
      <c r="BD68" s="674"/>
      <c r="BE68" s="674"/>
      <c r="BF68" s="674"/>
      <c r="BG68" s="675"/>
      <c r="BH68" s="675"/>
      <c r="BI68" s="674"/>
      <c r="BJ68" s="674"/>
      <c r="BK68" s="674"/>
      <c r="BL68" s="675"/>
      <c r="BM68" s="675"/>
      <c r="BN68" s="674"/>
      <c r="BO68" s="674"/>
      <c r="BP68" s="674"/>
      <c r="BQ68" s="675"/>
      <c r="BR68" s="675"/>
    </row>
    <row r="69" spans="1:90" ht="9.75" hidden="1" customHeight="1" x14ac:dyDescent="0.25">
      <c r="A69" s="676"/>
      <c r="B69" s="676"/>
      <c r="C69" s="676"/>
      <c r="D69" s="29"/>
      <c r="E69" s="29"/>
      <c r="F69" s="676"/>
      <c r="G69" s="676"/>
      <c r="H69" s="676"/>
      <c r="I69" s="29"/>
      <c r="J69" s="29"/>
      <c r="K69" s="676"/>
      <c r="L69" s="676"/>
      <c r="M69" s="676"/>
      <c r="N69" s="29"/>
      <c r="O69" s="29"/>
      <c r="P69" s="676"/>
      <c r="Q69" s="676"/>
      <c r="R69" s="676"/>
      <c r="S69" s="29"/>
      <c r="T69" s="29"/>
      <c r="U69" s="676"/>
      <c r="V69" s="676"/>
      <c r="W69" s="676"/>
      <c r="X69" s="29"/>
      <c r="Y69" s="29"/>
      <c r="Z69" s="676"/>
      <c r="AA69" s="676"/>
      <c r="AB69" s="676"/>
      <c r="AC69" s="29"/>
      <c r="AD69" s="29"/>
      <c r="AE69" s="676"/>
      <c r="AF69" s="676"/>
      <c r="AG69" s="676"/>
      <c r="AH69" s="29"/>
      <c r="AI69" s="29"/>
      <c r="AJ69" s="676"/>
      <c r="AK69" s="676"/>
      <c r="AL69" s="676"/>
      <c r="AM69" s="29"/>
      <c r="AN69" s="29"/>
      <c r="AO69" s="676"/>
      <c r="AP69" s="676"/>
      <c r="AQ69" s="676"/>
      <c r="AR69" s="29"/>
      <c r="AS69" s="29"/>
      <c r="AT69" s="676"/>
      <c r="AU69" s="676"/>
      <c r="AV69" s="676"/>
      <c r="AW69" s="29"/>
      <c r="AX69" s="29"/>
      <c r="AY69" s="676"/>
      <c r="AZ69" s="676"/>
      <c r="BA69" s="676"/>
      <c r="BB69" s="29"/>
      <c r="BC69" s="29"/>
      <c r="BD69" s="676"/>
      <c r="BE69" s="676"/>
      <c r="BF69" s="676"/>
      <c r="BG69" s="29"/>
      <c r="BH69" s="29"/>
      <c r="BI69" s="676"/>
      <c r="BJ69" s="676"/>
      <c r="BK69" s="676"/>
      <c r="BL69" s="29"/>
      <c r="BM69" s="29"/>
      <c r="BN69" s="676"/>
      <c r="BO69" s="676"/>
      <c r="BP69" s="676"/>
      <c r="BQ69" s="29"/>
      <c r="BR69" s="29"/>
    </row>
    <row r="70" spans="1:90" ht="9.75" hidden="1" customHeight="1" x14ac:dyDescent="0.25">
      <c r="A70" s="676"/>
      <c r="B70" s="676"/>
      <c r="C70" s="676"/>
      <c r="D70" s="30"/>
      <c r="E70" s="29"/>
      <c r="F70" s="676"/>
      <c r="G70" s="676"/>
      <c r="H70" s="676"/>
      <c r="I70" s="30"/>
      <c r="J70" s="29"/>
      <c r="K70" s="676"/>
      <c r="L70" s="676"/>
      <c r="M70" s="676"/>
      <c r="N70" s="30"/>
      <c r="O70" s="29"/>
      <c r="P70" s="676"/>
      <c r="Q70" s="676"/>
      <c r="R70" s="676"/>
      <c r="S70" s="30"/>
      <c r="T70" s="29"/>
      <c r="U70" s="676"/>
      <c r="V70" s="676"/>
      <c r="W70" s="676"/>
      <c r="X70" s="30"/>
      <c r="Y70" s="29"/>
      <c r="Z70" s="676"/>
      <c r="AA70" s="676"/>
      <c r="AB70" s="676"/>
      <c r="AC70" s="30"/>
      <c r="AD70" s="29"/>
      <c r="AE70" s="676"/>
      <c r="AF70" s="676"/>
      <c r="AG70" s="676"/>
      <c r="AH70" s="30"/>
      <c r="AI70" s="29"/>
      <c r="AJ70" s="676"/>
      <c r="AK70" s="676"/>
      <c r="AL70" s="676"/>
      <c r="AM70" s="30"/>
      <c r="AN70" s="29"/>
      <c r="AO70" s="676"/>
      <c r="AP70" s="676"/>
      <c r="AQ70" s="676"/>
      <c r="AR70" s="30"/>
      <c r="AS70" s="29"/>
      <c r="AT70" s="676"/>
      <c r="AU70" s="676"/>
      <c r="AV70" s="676"/>
      <c r="AW70" s="30"/>
      <c r="AX70" s="29"/>
      <c r="AY70" s="676"/>
      <c r="AZ70" s="676"/>
      <c r="BA70" s="676"/>
      <c r="BB70" s="30"/>
      <c r="BC70" s="29"/>
      <c r="BD70" s="676"/>
      <c r="BE70" s="676"/>
      <c r="BF70" s="676"/>
      <c r="BG70" s="30"/>
      <c r="BH70" s="29"/>
      <c r="BI70" s="676"/>
      <c r="BJ70" s="676"/>
      <c r="BK70" s="676"/>
      <c r="BL70" s="30"/>
      <c r="BM70" s="29"/>
      <c r="BN70" s="676"/>
      <c r="BO70" s="676"/>
      <c r="BP70" s="676"/>
      <c r="BQ70" s="30"/>
      <c r="BR70" s="29"/>
    </row>
    <row r="71" spans="1:90" ht="9.75" hidden="1" customHeight="1" x14ac:dyDescent="0.25">
      <c r="A71" s="676"/>
      <c r="B71" s="676"/>
      <c r="C71" s="676"/>
      <c r="D71" s="675"/>
      <c r="E71" s="675"/>
      <c r="F71" s="676"/>
      <c r="G71" s="676"/>
      <c r="H71" s="676"/>
      <c r="I71" s="675"/>
      <c r="J71" s="675"/>
      <c r="K71" s="676"/>
      <c r="L71" s="676"/>
      <c r="M71" s="676"/>
      <c r="N71" s="675"/>
      <c r="O71" s="675"/>
      <c r="P71" s="676"/>
      <c r="Q71" s="676"/>
      <c r="R71" s="676"/>
      <c r="S71" s="675"/>
      <c r="T71" s="675"/>
      <c r="U71" s="676"/>
      <c r="V71" s="676"/>
      <c r="W71" s="676"/>
      <c r="X71" s="675"/>
      <c r="Y71" s="675"/>
      <c r="Z71" s="676"/>
      <c r="AA71" s="676"/>
      <c r="AB71" s="676"/>
      <c r="AC71" s="675"/>
      <c r="AD71" s="675"/>
      <c r="AE71" s="676"/>
      <c r="AF71" s="676"/>
      <c r="AG71" s="676"/>
      <c r="AH71" s="675"/>
      <c r="AI71" s="675"/>
      <c r="AJ71" s="676"/>
      <c r="AK71" s="676"/>
      <c r="AL71" s="676"/>
      <c r="AM71" s="675"/>
      <c r="AN71" s="675"/>
      <c r="AO71" s="676"/>
      <c r="AP71" s="676"/>
      <c r="AQ71" s="676"/>
      <c r="AR71" s="675"/>
      <c r="AS71" s="675"/>
      <c r="AT71" s="676"/>
      <c r="AU71" s="676"/>
      <c r="AV71" s="676"/>
      <c r="AW71" s="675"/>
      <c r="AX71" s="675"/>
      <c r="AY71" s="676"/>
      <c r="AZ71" s="676"/>
      <c r="BA71" s="676"/>
      <c r="BB71" s="675"/>
      <c r="BC71" s="675"/>
      <c r="BD71" s="676"/>
      <c r="BE71" s="676"/>
      <c r="BF71" s="676"/>
      <c r="BG71" s="675"/>
      <c r="BH71" s="675"/>
      <c r="BI71" s="676"/>
      <c r="BJ71" s="676"/>
      <c r="BK71" s="676"/>
      <c r="BL71" s="675"/>
      <c r="BM71" s="675"/>
      <c r="BN71" s="676"/>
      <c r="BO71" s="676"/>
      <c r="BP71" s="676"/>
      <c r="BQ71" s="675"/>
      <c r="BR71" s="675"/>
    </row>
    <row r="72" spans="1:90" ht="9.75" hidden="1" customHeight="1" x14ac:dyDescent="0.25">
      <c r="A72" s="677"/>
      <c r="B72" s="678"/>
      <c r="C72" s="678"/>
      <c r="D72" s="678"/>
      <c r="E72" s="678"/>
      <c r="F72" s="677"/>
      <c r="G72" s="678"/>
      <c r="H72" s="678"/>
      <c r="I72" s="678"/>
      <c r="J72" s="678"/>
      <c r="K72" s="677"/>
      <c r="L72" s="678"/>
      <c r="M72" s="678"/>
      <c r="N72" s="678"/>
      <c r="O72" s="678"/>
      <c r="P72" s="677"/>
      <c r="Q72" s="678"/>
      <c r="R72" s="678"/>
      <c r="S72" s="678"/>
      <c r="T72" s="678"/>
      <c r="U72" s="677"/>
      <c r="V72" s="678"/>
      <c r="W72" s="678"/>
      <c r="X72" s="678"/>
      <c r="Y72" s="678"/>
      <c r="Z72" s="677"/>
      <c r="AA72" s="678"/>
      <c r="AB72" s="678"/>
      <c r="AC72" s="678"/>
      <c r="AD72" s="678"/>
      <c r="AE72" s="677"/>
      <c r="AF72" s="678"/>
      <c r="AG72" s="678"/>
      <c r="AH72" s="678"/>
      <c r="AI72" s="678"/>
      <c r="AJ72" s="677"/>
      <c r="AK72" s="678"/>
      <c r="AL72" s="678"/>
      <c r="AM72" s="678"/>
      <c r="AN72" s="678"/>
      <c r="AO72" s="677"/>
      <c r="AP72" s="678"/>
      <c r="AQ72" s="678"/>
      <c r="AR72" s="678"/>
      <c r="AS72" s="678"/>
      <c r="AT72" s="677"/>
      <c r="AU72" s="678"/>
      <c r="AV72" s="678"/>
      <c r="AW72" s="678"/>
      <c r="AX72" s="678"/>
      <c r="AY72" s="677"/>
      <c r="AZ72" s="678"/>
      <c r="BA72" s="678"/>
      <c r="BB72" s="678"/>
      <c r="BC72" s="678"/>
      <c r="BD72" s="677"/>
      <c r="BE72" s="678"/>
      <c r="BF72" s="678"/>
      <c r="BG72" s="678"/>
      <c r="BH72" s="678"/>
      <c r="BI72" s="677"/>
      <c r="BJ72" s="678"/>
      <c r="BK72" s="678"/>
      <c r="BL72" s="678"/>
      <c r="BM72" s="678"/>
      <c r="BN72" s="677"/>
      <c r="BO72" s="678"/>
      <c r="BP72" s="678"/>
      <c r="BQ72" s="678"/>
      <c r="BR72" s="678"/>
    </row>
    <row r="73" spans="1:90" ht="9.75" hidden="1" customHeight="1" thickBot="1" x14ac:dyDescent="0.3">
      <c r="A73" s="677"/>
      <c r="B73" s="32"/>
      <c r="C73" s="33"/>
      <c r="D73" s="34"/>
      <c r="E73" s="35"/>
      <c r="F73" s="677"/>
      <c r="G73" s="32"/>
      <c r="H73" s="33"/>
      <c r="I73" s="34"/>
      <c r="J73" s="35"/>
      <c r="K73" s="677"/>
      <c r="L73" s="32"/>
      <c r="M73" s="33"/>
      <c r="N73" s="34"/>
      <c r="O73" s="35"/>
      <c r="P73" s="677"/>
      <c r="Q73" s="32"/>
      <c r="R73" s="33"/>
      <c r="S73" s="34"/>
      <c r="T73" s="35"/>
      <c r="U73" s="677"/>
      <c r="V73" s="32"/>
      <c r="W73" s="33"/>
      <c r="X73" s="34"/>
      <c r="Y73" s="35"/>
      <c r="Z73" s="677"/>
      <c r="AA73" s="32"/>
      <c r="AB73" s="33"/>
      <c r="AC73" s="34"/>
      <c r="AD73" s="35"/>
      <c r="AE73" s="677"/>
      <c r="AF73" s="32"/>
      <c r="AG73" s="33"/>
      <c r="AH73" s="34"/>
      <c r="AI73" s="35"/>
      <c r="AJ73" s="677"/>
      <c r="AK73" s="32"/>
      <c r="AL73" s="33"/>
      <c r="AM73" s="34"/>
      <c r="AN73" s="35"/>
      <c r="AO73" s="677"/>
      <c r="AP73" s="32"/>
      <c r="AQ73" s="33"/>
      <c r="AR73" s="34"/>
      <c r="AS73" s="35"/>
      <c r="AT73" s="677"/>
      <c r="AU73" s="32"/>
      <c r="AV73" s="33"/>
      <c r="AW73" s="34"/>
      <c r="AX73" s="35"/>
      <c r="AY73" s="677"/>
      <c r="AZ73" s="32"/>
      <c r="BA73" s="33"/>
      <c r="BB73" s="34"/>
      <c r="BC73" s="35"/>
      <c r="BD73" s="677"/>
      <c r="BE73" s="32"/>
      <c r="BF73" s="33"/>
      <c r="BG73" s="34"/>
      <c r="BH73" s="35"/>
      <c r="BI73" s="677"/>
      <c r="BJ73" s="32"/>
      <c r="BK73" s="33"/>
      <c r="BL73" s="34"/>
      <c r="BM73" s="35"/>
      <c r="BN73" s="677"/>
      <c r="BO73" s="32"/>
      <c r="BP73" s="33"/>
      <c r="BQ73" s="34"/>
      <c r="BR73" s="35"/>
      <c r="BW73" s="27"/>
      <c r="BX73" s="27"/>
      <c r="BY73" s="27"/>
      <c r="BZ73" s="27"/>
      <c r="CA73" s="27"/>
      <c r="CB73" s="27"/>
      <c r="CC73" s="27"/>
      <c r="CD73" s="27"/>
      <c r="CE73" s="27"/>
    </row>
    <row r="74" spans="1:90" s="42" customFormat="1" ht="9.75" hidden="1" customHeight="1" thickTop="1" x14ac:dyDescent="0.25">
      <c r="A74" s="37"/>
      <c r="B74" s="38"/>
      <c r="C74" s="39"/>
      <c r="D74" s="40"/>
      <c r="E74" s="41"/>
      <c r="F74" s="37"/>
      <c r="G74" s="38"/>
      <c r="H74" s="39"/>
      <c r="I74" s="40"/>
      <c r="J74" s="41"/>
      <c r="K74" s="37"/>
      <c r="L74" s="38"/>
      <c r="M74" s="39"/>
      <c r="N74" s="40"/>
      <c r="O74" s="41"/>
      <c r="P74" s="37"/>
      <c r="Q74" s="38"/>
      <c r="R74" s="39"/>
      <c r="S74" s="40"/>
      <c r="T74" s="41"/>
      <c r="U74" s="37"/>
      <c r="V74" s="38"/>
      <c r="W74" s="39"/>
      <c r="X74" s="90"/>
      <c r="Y74" s="90"/>
      <c r="Z74" s="90"/>
      <c r="AA74" s="90"/>
      <c r="AB74" s="90"/>
      <c r="AC74" s="90"/>
      <c r="AD74" s="90"/>
      <c r="AE74" s="90"/>
      <c r="AF74" s="90"/>
      <c r="AG74" s="90"/>
      <c r="AH74" s="90"/>
      <c r="AI74" s="90"/>
      <c r="AJ74" s="37"/>
      <c r="AK74" s="38"/>
      <c r="AL74" s="39"/>
      <c r="AM74" s="40"/>
      <c r="AN74" s="41"/>
      <c r="AO74" s="37"/>
      <c r="AP74" s="38"/>
      <c r="AQ74" s="39"/>
      <c r="AR74" s="40"/>
      <c r="AS74" s="41"/>
      <c r="AT74" s="37"/>
      <c r="AU74" s="38"/>
      <c r="AV74" s="39"/>
      <c r="AW74" s="40"/>
      <c r="AX74" s="41"/>
      <c r="AY74" s="37"/>
      <c r="AZ74" s="38"/>
      <c r="BA74" s="39"/>
      <c r="BB74" s="40"/>
      <c r="BC74" s="41"/>
      <c r="BD74" s="37"/>
      <c r="BE74" s="38"/>
      <c r="BF74" s="39"/>
      <c r="BG74" s="40"/>
      <c r="BH74" s="41"/>
      <c r="BI74" s="37"/>
      <c r="BJ74" s="38"/>
      <c r="BK74" s="39"/>
      <c r="BL74" s="40"/>
      <c r="BM74" s="41"/>
      <c r="BN74" s="37"/>
      <c r="BO74" s="38"/>
      <c r="BP74" s="39"/>
      <c r="BQ74" s="40"/>
      <c r="BR74" s="41"/>
      <c r="BW74" s="43"/>
      <c r="BX74" s="43"/>
      <c r="BY74" s="43"/>
      <c r="BZ74" s="43"/>
      <c r="CA74" s="43"/>
      <c r="CB74" s="43"/>
      <c r="CC74" s="43"/>
      <c r="CD74" s="43"/>
      <c r="CE74" s="43"/>
    </row>
    <row r="75" spans="1:90" ht="9.75" hidden="1" customHeight="1" x14ac:dyDescent="0.25">
      <c r="A75" s="674"/>
      <c r="B75" s="674"/>
      <c r="C75" s="674"/>
      <c r="D75" s="675"/>
      <c r="E75" s="675"/>
      <c r="F75" s="44"/>
      <c r="G75" s="702"/>
      <c r="H75" s="702"/>
      <c r="I75" s="702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90"/>
      <c r="Y75" s="90"/>
      <c r="Z75" s="90"/>
      <c r="AA75" s="90"/>
      <c r="AB75" s="90"/>
      <c r="AC75" s="90"/>
      <c r="AD75" s="90"/>
      <c r="AE75" s="90"/>
      <c r="AF75" s="90"/>
      <c r="AG75" s="90"/>
      <c r="AH75" s="90"/>
      <c r="AI75" s="90"/>
      <c r="AJ75" s="90"/>
      <c r="AK75" s="90"/>
      <c r="AL75" s="90"/>
      <c r="AM75" s="90"/>
      <c r="AN75" s="90"/>
      <c r="AO75" s="90"/>
      <c r="AP75" s="90"/>
      <c r="AQ75" s="90"/>
      <c r="AR75" s="90"/>
      <c r="AS75" s="90"/>
      <c r="AT75" s="46"/>
      <c r="AU75" s="91"/>
      <c r="AV75" s="91"/>
      <c r="AW75" s="91"/>
      <c r="AX75" s="91"/>
      <c r="AY75" s="91"/>
      <c r="AZ75" s="91"/>
      <c r="BA75" s="91"/>
      <c r="BB75" s="91"/>
      <c r="BC75" s="91"/>
      <c r="BD75" s="91"/>
      <c r="BE75" s="91"/>
      <c r="BF75" s="91"/>
      <c r="BG75" s="45"/>
      <c r="BH75" s="45"/>
      <c r="BI75" s="45"/>
      <c r="BJ75" s="45"/>
      <c r="BK75" s="45"/>
      <c r="BL75" s="92"/>
      <c r="BM75" s="92"/>
      <c r="BN75" s="92"/>
      <c r="BO75" s="92"/>
      <c r="BP75" s="93"/>
      <c r="BQ75" s="93"/>
      <c r="BR75" s="93"/>
    </row>
    <row r="76" spans="1:90" ht="9.75" hidden="1" customHeight="1" x14ac:dyDescent="0.25">
      <c r="A76" s="676"/>
      <c r="B76" s="676"/>
      <c r="C76" s="676"/>
      <c r="D76" s="29"/>
      <c r="E76" s="29"/>
      <c r="F76" s="47"/>
      <c r="G76" s="702"/>
      <c r="H76" s="702"/>
      <c r="I76" s="702"/>
      <c r="J76" s="48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90"/>
      <c r="Y76" s="90"/>
      <c r="Z76" s="90"/>
      <c r="AA76" s="90"/>
      <c r="AB76" s="90"/>
      <c r="AC76" s="90"/>
      <c r="AD76" s="90"/>
      <c r="AE76" s="90"/>
      <c r="AF76" s="90"/>
      <c r="AG76" s="90"/>
      <c r="AH76" s="90"/>
      <c r="AI76" s="90"/>
      <c r="AJ76" s="90"/>
      <c r="AK76" s="90"/>
      <c r="AL76" s="90"/>
      <c r="AM76" s="90"/>
      <c r="AN76" s="90"/>
      <c r="AO76" s="90"/>
      <c r="AP76" s="90"/>
      <c r="AQ76" s="90"/>
      <c r="AR76" s="90"/>
      <c r="AS76" s="90"/>
      <c r="AT76" s="46"/>
      <c r="AU76" s="91"/>
      <c r="AV76" s="91"/>
      <c r="AW76" s="91"/>
      <c r="AX76" s="91"/>
      <c r="AY76" s="91"/>
      <c r="AZ76" s="91"/>
      <c r="BA76" s="91"/>
      <c r="BB76" s="91"/>
      <c r="BC76" s="91"/>
      <c r="BD76" s="91"/>
      <c r="BE76" s="91"/>
      <c r="BF76" s="91"/>
      <c r="BG76" s="45"/>
      <c r="BH76" s="45"/>
      <c r="BI76" s="45"/>
      <c r="BJ76" s="45"/>
      <c r="BK76" s="45"/>
      <c r="BL76" s="92"/>
      <c r="BM76" s="92"/>
      <c r="BN76" s="92"/>
      <c r="BO76" s="92"/>
      <c r="BP76" s="93"/>
      <c r="BQ76" s="93"/>
      <c r="BR76" s="93"/>
    </row>
    <row r="77" spans="1:90" ht="9.75" hidden="1" customHeight="1" x14ac:dyDescent="0.25">
      <c r="A77" s="676"/>
      <c r="B77" s="676"/>
      <c r="C77" s="676"/>
      <c r="D77" s="29"/>
      <c r="E77" s="29"/>
      <c r="F77" s="47"/>
      <c r="G77" s="702"/>
      <c r="H77" s="702"/>
      <c r="I77" s="702"/>
      <c r="J77" s="48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90"/>
      <c r="Y77" s="90"/>
      <c r="Z77" s="90"/>
      <c r="AA77" s="90"/>
      <c r="AB77" s="90"/>
      <c r="AC77" s="90"/>
      <c r="AD77" s="90"/>
      <c r="AE77" s="90"/>
      <c r="AF77" s="90"/>
      <c r="AG77" s="90"/>
      <c r="AH77" s="90"/>
      <c r="AI77" s="90"/>
      <c r="AJ77" s="90"/>
      <c r="AK77" s="90"/>
      <c r="AL77" s="90"/>
      <c r="AM77" s="90"/>
      <c r="AN77" s="90"/>
      <c r="AO77" s="90"/>
      <c r="AP77" s="90"/>
      <c r="AQ77" s="90"/>
      <c r="AR77" s="90"/>
      <c r="AS77" s="90"/>
      <c r="AT77" s="46"/>
      <c r="AU77" s="91"/>
      <c r="AV77" s="91"/>
      <c r="AW77" s="91"/>
      <c r="AX77" s="91"/>
      <c r="AY77" s="91"/>
      <c r="AZ77" s="91"/>
      <c r="BA77" s="91"/>
      <c r="BB77" s="91"/>
      <c r="BC77" s="91"/>
      <c r="BD77" s="91"/>
      <c r="BE77" s="91"/>
      <c r="BF77" s="91"/>
      <c r="BG77" s="45"/>
      <c r="BH77" s="45"/>
      <c r="BI77" s="45"/>
      <c r="BJ77" s="45"/>
      <c r="BK77" s="45"/>
      <c r="BL77" s="92"/>
      <c r="BM77" s="92"/>
      <c r="BN77" s="92"/>
      <c r="BO77" s="92"/>
      <c r="BP77" s="93"/>
      <c r="BQ77" s="93"/>
      <c r="BR77" s="93"/>
    </row>
    <row r="78" spans="1:90" ht="9.75" hidden="1" customHeight="1" x14ac:dyDescent="0.25">
      <c r="A78" s="676"/>
      <c r="B78" s="676"/>
      <c r="C78" s="676"/>
      <c r="D78" s="675"/>
      <c r="E78" s="675"/>
      <c r="F78" s="47"/>
      <c r="G78" s="703"/>
      <c r="H78" s="703"/>
      <c r="I78" s="703"/>
      <c r="J78" s="48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90"/>
      <c r="Y78" s="90"/>
      <c r="Z78" s="90"/>
      <c r="AA78" s="90"/>
      <c r="AB78" s="90"/>
      <c r="AC78" s="90"/>
      <c r="AD78" s="90"/>
      <c r="AE78" s="90"/>
      <c r="AF78" s="90"/>
      <c r="AG78" s="90"/>
      <c r="AH78" s="90"/>
      <c r="AI78" s="90"/>
      <c r="AJ78" s="90"/>
      <c r="AK78" s="90"/>
      <c r="AL78" s="90"/>
      <c r="AM78" s="90"/>
      <c r="AN78" s="90"/>
      <c r="AO78" s="90"/>
      <c r="AP78" s="90"/>
      <c r="AQ78" s="90"/>
      <c r="AR78" s="90"/>
      <c r="AS78" s="90"/>
      <c r="AT78" s="46"/>
      <c r="AU78" s="91"/>
      <c r="AV78" s="91"/>
      <c r="AW78" s="91"/>
      <c r="AX78" s="91"/>
      <c r="AY78" s="91"/>
      <c r="AZ78" s="91"/>
      <c r="BA78" s="91"/>
      <c r="BB78" s="91"/>
      <c r="BC78" s="91"/>
      <c r="BD78" s="91"/>
      <c r="BE78" s="91"/>
      <c r="BF78" s="91"/>
      <c r="BG78" s="45"/>
      <c r="BH78" s="45"/>
      <c r="BI78" s="45"/>
      <c r="BJ78" s="45"/>
      <c r="BK78" s="45"/>
      <c r="BL78" s="92"/>
      <c r="BM78" s="92"/>
      <c r="BN78" s="92"/>
      <c r="BO78" s="92"/>
      <c r="BP78" s="93"/>
      <c r="BQ78" s="93"/>
      <c r="BR78" s="93"/>
    </row>
    <row r="79" spans="1:90" ht="9.75" hidden="1" customHeight="1" x14ac:dyDescent="0.25">
      <c r="B79" s="17"/>
      <c r="G79" s="703"/>
      <c r="H79" s="703"/>
      <c r="I79" s="703"/>
      <c r="J79" s="48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116"/>
      <c r="Y79" s="116"/>
      <c r="Z79" s="116"/>
      <c r="AA79" s="116"/>
      <c r="AB79" s="116"/>
      <c r="AC79" s="116"/>
      <c r="AD79" s="116"/>
      <c r="AE79" s="116"/>
      <c r="AF79" s="116"/>
      <c r="AG79" s="116"/>
      <c r="AH79" s="116"/>
      <c r="AI79" s="116"/>
      <c r="AJ79" s="115"/>
      <c r="AK79" s="115"/>
      <c r="AL79" s="115"/>
      <c r="AM79" s="115"/>
      <c r="AN79" s="115"/>
      <c r="AO79" s="115"/>
      <c r="AP79" s="115"/>
      <c r="AQ79" s="115"/>
      <c r="AR79" s="115"/>
      <c r="AS79" s="115"/>
      <c r="AT79" s="115"/>
      <c r="AU79" s="94"/>
      <c r="AV79" s="94"/>
      <c r="AW79" s="94"/>
      <c r="AX79" s="94"/>
      <c r="AY79" s="94"/>
      <c r="AZ79" s="94"/>
      <c r="BA79" s="94"/>
      <c r="BB79" s="94"/>
      <c r="BC79" s="94"/>
      <c r="BD79" s="94"/>
      <c r="BE79" s="94"/>
      <c r="BF79" s="94"/>
      <c r="BG79" s="45"/>
      <c r="BH79" s="45"/>
      <c r="BI79" s="45"/>
      <c r="BJ79" s="45"/>
      <c r="BK79" s="45"/>
      <c r="BL79" s="95"/>
      <c r="BM79" s="95"/>
      <c r="BN79" s="95"/>
      <c r="BO79" s="95"/>
      <c r="BP79" s="95"/>
      <c r="BQ79" s="95"/>
      <c r="BR79" s="95"/>
      <c r="BS79" s="50"/>
      <c r="BT79" s="50"/>
      <c r="BW79" s="51"/>
      <c r="BX79" s="51"/>
      <c r="BY79" s="51"/>
      <c r="BZ79" s="51"/>
      <c r="CA79" s="51"/>
      <c r="CB79" s="51"/>
      <c r="CC79" s="27"/>
      <c r="CD79" s="27"/>
      <c r="CE79" s="27"/>
      <c r="CG79" s="27"/>
      <c r="CH79" s="27"/>
      <c r="CI79" s="27"/>
      <c r="CJ79" s="27"/>
      <c r="CK79" s="27"/>
      <c r="CL79" s="27"/>
    </row>
    <row r="80" spans="1:90" ht="9.75" hidden="1" customHeight="1" x14ac:dyDescent="0.25">
      <c r="G80" s="703"/>
      <c r="H80" s="703"/>
      <c r="I80" s="703"/>
      <c r="J80" s="52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116"/>
      <c r="Y80" s="116"/>
      <c r="Z80" s="116"/>
      <c r="AA80" s="116"/>
      <c r="AB80" s="116"/>
      <c r="AC80" s="116"/>
      <c r="AD80" s="116"/>
      <c r="AE80" s="116"/>
      <c r="AF80" s="116"/>
      <c r="AG80" s="116"/>
      <c r="AH80" s="116"/>
      <c r="AI80" s="116"/>
      <c r="AJ80" s="115"/>
      <c r="AK80" s="115"/>
      <c r="AL80" s="115"/>
      <c r="AM80" s="115"/>
      <c r="AN80" s="115"/>
      <c r="AO80" s="115"/>
      <c r="AP80" s="115"/>
      <c r="AQ80" s="115"/>
      <c r="AR80" s="115"/>
      <c r="AS80" s="115"/>
      <c r="AT80" s="115"/>
      <c r="AU80" s="94"/>
      <c r="AV80" s="94"/>
      <c r="AW80" s="94"/>
      <c r="AX80" s="94"/>
      <c r="AY80" s="94"/>
      <c r="AZ80" s="94"/>
      <c r="BA80" s="94"/>
      <c r="BB80" s="94"/>
      <c r="BC80" s="94"/>
      <c r="BD80" s="94"/>
      <c r="BE80" s="94"/>
      <c r="BF80" s="94"/>
      <c r="BG80" s="45"/>
      <c r="BH80" s="45"/>
      <c r="BI80" s="45"/>
      <c r="BJ80" s="45"/>
      <c r="BK80" s="45"/>
      <c r="BL80" s="95"/>
      <c r="BM80" s="95"/>
      <c r="BN80" s="95"/>
      <c r="BO80" s="95"/>
      <c r="BP80" s="95"/>
      <c r="BQ80" s="95"/>
      <c r="BR80" s="95"/>
      <c r="BS80" s="50"/>
      <c r="BT80" s="50"/>
      <c r="BW80" s="27"/>
      <c r="BX80" s="27"/>
      <c r="BY80" s="27"/>
      <c r="BZ80" s="27"/>
      <c r="CA80" s="27"/>
      <c r="CB80" s="27"/>
      <c r="CC80" s="27"/>
      <c r="CD80" s="27"/>
      <c r="CE80" s="27"/>
      <c r="CG80" s="27"/>
      <c r="CH80" s="27"/>
      <c r="CI80" s="27"/>
      <c r="CJ80" s="27"/>
      <c r="CK80" s="27"/>
      <c r="CL80" s="27"/>
    </row>
    <row r="81" spans="1:90" ht="15" hidden="1" customHeight="1" x14ac:dyDescent="0.25">
      <c r="G81" s="709"/>
      <c r="H81" s="709"/>
      <c r="I81" s="709"/>
      <c r="J81" s="52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116"/>
      <c r="Y81" s="116"/>
      <c r="Z81" s="116"/>
      <c r="AA81" s="116"/>
      <c r="AB81" s="116"/>
      <c r="AC81" s="116"/>
      <c r="AD81" s="116"/>
      <c r="AE81" s="116"/>
      <c r="AF81" s="116"/>
      <c r="AG81" s="116"/>
      <c r="AH81" s="116"/>
      <c r="AI81" s="116"/>
      <c r="AJ81" s="115"/>
      <c r="AK81" s="115"/>
      <c r="AL81" s="115"/>
      <c r="AM81" s="115"/>
      <c r="AN81" s="115"/>
      <c r="AO81" s="115"/>
      <c r="AP81" s="115"/>
      <c r="AQ81" s="115"/>
      <c r="AR81" s="115"/>
      <c r="AS81" s="115"/>
      <c r="AT81" s="115"/>
      <c r="AU81" s="94"/>
      <c r="AV81" s="94"/>
      <c r="AW81" s="94"/>
      <c r="AX81" s="94"/>
      <c r="AY81" s="94"/>
      <c r="AZ81" s="94"/>
      <c r="BA81" s="94"/>
      <c r="BB81" s="94"/>
      <c r="BC81" s="94"/>
      <c r="BD81" s="94"/>
      <c r="BE81" s="94"/>
      <c r="BF81" s="94"/>
      <c r="BG81" s="45"/>
      <c r="BH81" s="45"/>
      <c r="BI81" s="45"/>
      <c r="BJ81" s="45"/>
      <c r="BK81" s="45"/>
      <c r="BL81" s="95"/>
      <c r="BM81" s="95"/>
      <c r="BN81" s="95"/>
      <c r="BO81" s="95"/>
      <c r="BP81" s="95"/>
      <c r="BQ81" s="95"/>
      <c r="BR81" s="95"/>
      <c r="BS81" s="50"/>
      <c r="BT81" s="50"/>
      <c r="BW81" s="27"/>
      <c r="BX81" s="27"/>
      <c r="BY81" s="27"/>
      <c r="BZ81" s="27"/>
      <c r="CA81" s="27"/>
      <c r="CB81" s="27"/>
      <c r="CC81" s="27"/>
      <c r="CD81" s="27"/>
      <c r="CE81" s="27"/>
      <c r="CG81" s="27"/>
      <c r="CH81" s="27"/>
      <c r="CI81" s="27"/>
      <c r="CJ81" s="27"/>
      <c r="CK81" s="27"/>
      <c r="CL81" s="27"/>
    </row>
    <row r="82" spans="1:90" ht="15" customHeight="1" x14ac:dyDescent="0.25">
      <c r="G82" s="709"/>
      <c r="H82" s="709"/>
      <c r="I82" s="709"/>
      <c r="J82" s="52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116"/>
      <c r="Y82" s="116"/>
      <c r="Z82" s="116"/>
      <c r="AA82" s="116"/>
      <c r="AB82" s="116"/>
      <c r="AC82" s="116"/>
      <c r="AD82" s="116"/>
      <c r="AE82" s="116"/>
      <c r="AF82" s="116"/>
      <c r="AG82" s="116"/>
      <c r="AH82" s="116"/>
      <c r="AI82" s="116"/>
      <c r="AJ82" s="115"/>
      <c r="AK82" s="115"/>
      <c r="AL82" s="115"/>
      <c r="AM82" s="115"/>
      <c r="AN82" s="115"/>
      <c r="AO82" s="115"/>
      <c r="AP82" s="115"/>
      <c r="AQ82" s="115"/>
      <c r="AR82" s="115"/>
      <c r="AS82" s="115"/>
      <c r="AT82" s="115"/>
      <c r="AU82" s="94"/>
      <c r="AV82" s="94"/>
      <c r="AW82" s="94"/>
      <c r="AX82" s="94"/>
      <c r="AY82" s="94"/>
      <c r="AZ82" s="94"/>
      <c r="BA82" s="94"/>
      <c r="BB82" s="94"/>
      <c r="BC82" s="94"/>
      <c r="BD82" s="94"/>
      <c r="BE82" s="94"/>
      <c r="BF82" s="94"/>
      <c r="BG82" s="45"/>
      <c r="BH82" s="45"/>
      <c r="BI82" s="45"/>
      <c r="BJ82" s="45"/>
      <c r="BK82" s="45"/>
      <c r="BL82" s="95"/>
      <c r="BM82" s="95"/>
      <c r="BN82" s="95"/>
      <c r="BO82" s="95"/>
      <c r="BP82" s="95"/>
      <c r="BQ82" s="95"/>
      <c r="BR82" s="95"/>
      <c r="BS82" s="50"/>
      <c r="BT82" s="50"/>
      <c r="BW82" s="27"/>
      <c r="BX82" s="27"/>
      <c r="BY82" s="27"/>
      <c r="BZ82" s="27"/>
      <c r="CA82" s="27"/>
      <c r="CB82" s="27"/>
      <c r="CC82" s="27"/>
      <c r="CD82" s="27"/>
      <c r="CE82" s="27"/>
      <c r="CG82" s="27"/>
      <c r="CH82" s="27"/>
      <c r="CI82" s="27"/>
      <c r="CJ82" s="27"/>
      <c r="CK82" s="27"/>
      <c r="CL82" s="27"/>
    </row>
    <row r="83" spans="1:90" ht="15" customHeight="1" x14ac:dyDescent="0.25">
      <c r="G83" s="709"/>
      <c r="H83" s="709"/>
      <c r="I83" s="709"/>
      <c r="J83" s="52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116"/>
      <c r="Y83" s="116"/>
      <c r="Z83" s="116"/>
      <c r="AA83" s="116"/>
      <c r="AB83" s="116"/>
      <c r="AC83" s="116"/>
      <c r="AD83" s="116"/>
      <c r="AE83" s="116"/>
      <c r="AF83" s="116"/>
      <c r="AG83" s="116"/>
      <c r="AH83" s="116"/>
      <c r="AI83" s="116"/>
      <c r="AJ83" s="115"/>
      <c r="AK83" s="115"/>
      <c r="AL83" s="115"/>
      <c r="AM83" s="115"/>
      <c r="AN83" s="115"/>
      <c r="AO83" s="115"/>
      <c r="AP83" s="115"/>
      <c r="AQ83" s="115"/>
      <c r="AR83" s="115"/>
      <c r="AS83" s="115"/>
      <c r="AT83" s="115"/>
      <c r="AU83" s="94"/>
      <c r="AV83" s="94"/>
      <c r="AW83" s="94"/>
      <c r="AX83" s="94"/>
      <c r="AY83" s="94"/>
      <c r="AZ83" s="94"/>
      <c r="BA83" s="94"/>
      <c r="BB83" s="94"/>
      <c r="BC83" s="94"/>
      <c r="BD83" s="94"/>
      <c r="BE83" s="94"/>
      <c r="BF83" s="94"/>
      <c r="BG83" s="45"/>
      <c r="BH83" s="45"/>
      <c r="BI83" s="45"/>
      <c r="BJ83" s="45"/>
      <c r="BK83" s="45"/>
      <c r="BL83" s="45"/>
      <c r="BM83" s="45"/>
      <c r="BN83" s="45"/>
      <c r="BO83" s="45"/>
      <c r="BP83" s="45"/>
      <c r="BQ83" s="45"/>
      <c r="BR83" s="45"/>
      <c r="BS83" s="53"/>
      <c r="BT83" s="53"/>
    </row>
    <row r="84" spans="1:90" ht="22.5" customHeight="1" x14ac:dyDescent="0.25">
      <c r="G84" s="709"/>
      <c r="H84" s="709"/>
      <c r="I84" s="709"/>
      <c r="J84" s="52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116"/>
      <c r="Y84" s="116"/>
      <c r="Z84" s="116"/>
      <c r="AA84" s="116"/>
      <c r="AB84" s="116"/>
      <c r="AC84" s="116"/>
      <c r="AD84" s="116"/>
      <c r="AE84" s="116"/>
      <c r="AF84" s="116"/>
      <c r="AG84" s="116"/>
      <c r="AH84" s="116"/>
      <c r="AI84" s="116"/>
      <c r="AJ84" s="115"/>
      <c r="AK84" s="115"/>
      <c r="AL84" s="115"/>
      <c r="AM84" s="115"/>
      <c r="AN84" s="115"/>
      <c r="AO84" s="115"/>
      <c r="AP84" s="115"/>
      <c r="AQ84" s="115"/>
      <c r="AR84" s="115"/>
      <c r="AS84" s="115"/>
      <c r="AT84" s="115"/>
      <c r="AU84" s="94"/>
      <c r="AV84" s="94"/>
      <c r="AW84" s="94"/>
      <c r="AX84" s="94"/>
      <c r="AY84" s="94"/>
      <c r="AZ84" s="94"/>
      <c r="BA84" s="94"/>
      <c r="BB84" s="94"/>
      <c r="BC84" s="94"/>
      <c r="BD84" s="94"/>
      <c r="BE84" s="94"/>
      <c r="BF84" s="94"/>
      <c r="BG84" s="45"/>
      <c r="BH84" s="45"/>
      <c r="BI84" s="45"/>
      <c r="BJ84" s="45"/>
      <c r="BK84" s="45"/>
      <c r="BL84" s="45"/>
      <c r="BM84" s="45"/>
      <c r="BN84" s="45"/>
      <c r="BO84" s="45"/>
      <c r="BP84" s="45"/>
      <c r="BQ84" s="45"/>
      <c r="BR84" s="45"/>
      <c r="BS84" s="53"/>
      <c r="BT84" s="53"/>
    </row>
    <row r="85" spans="1:90" ht="23.25" x14ac:dyDescent="0.35">
      <c r="A85" s="54"/>
      <c r="E85" s="54"/>
      <c r="F85" s="54"/>
      <c r="G85" s="54"/>
      <c r="H85" s="54"/>
      <c r="I85" s="54"/>
      <c r="J85" s="54"/>
      <c r="K85" s="54"/>
    </row>
    <row r="86" spans="1:90" ht="24" thickBot="1" x14ac:dyDescent="0.4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X86" s="55"/>
    </row>
    <row r="87" spans="1:90" ht="15.75" thickTop="1" x14ac:dyDescent="0.25">
      <c r="AD87" s="775">
        <v>94.302600002209971</v>
      </c>
      <c r="AE87" s="776"/>
      <c r="AF87" s="776"/>
      <c r="AG87" s="776"/>
      <c r="AH87" s="777"/>
      <c r="AL87" s="727" t="s">
        <v>122</v>
      </c>
      <c r="AM87" s="727"/>
      <c r="AN87" s="727"/>
      <c r="AO87" s="727" t="s">
        <v>123</v>
      </c>
      <c r="AP87" s="727"/>
      <c r="AQ87" s="727"/>
      <c r="AR87" s="727" t="s">
        <v>124</v>
      </c>
      <c r="AS87" s="727"/>
      <c r="AT87" s="727" t="s">
        <v>125</v>
      </c>
      <c r="AU87" s="727"/>
      <c r="AY87" s="739" t="s">
        <v>126</v>
      </c>
      <c r="AZ87" s="740"/>
      <c r="BA87" s="740"/>
      <c r="BB87" s="740"/>
      <c r="BC87" s="740"/>
      <c r="BD87" s="740"/>
      <c r="BE87" s="740"/>
      <c r="BF87" s="740"/>
      <c r="BG87" s="740"/>
      <c r="BH87" s="741"/>
      <c r="BI87" s="13"/>
      <c r="BJ87" s="13"/>
      <c r="BK87" s="13"/>
      <c r="BL87" s="13"/>
      <c r="BM87" s="13"/>
      <c r="BN87" s="13"/>
      <c r="BO87" s="13"/>
      <c r="BP87" s="13"/>
      <c r="BQ87" s="13"/>
      <c r="BR87" s="13"/>
    </row>
    <row r="88" spans="1:90" x14ac:dyDescent="0.25">
      <c r="O88" s="1992" t="s">
        <v>127</v>
      </c>
      <c r="P88" s="1992"/>
      <c r="Q88" s="1992"/>
      <c r="R88" s="1992"/>
      <c r="S88" s="1992"/>
      <c r="T88" s="1992"/>
      <c r="U88" s="1992"/>
      <c r="V88" s="1992"/>
      <c r="AD88" s="778"/>
      <c r="AE88" s="779"/>
      <c r="AF88" s="779"/>
      <c r="AG88" s="779"/>
      <c r="AH88" s="780"/>
      <c r="AL88" s="727"/>
      <c r="AM88" s="727"/>
      <c r="AN88" s="727"/>
      <c r="AO88" s="727"/>
      <c r="AP88" s="727"/>
      <c r="AQ88" s="727"/>
      <c r="AR88" s="727"/>
      <c r="AS88" s="727"/>
      <c r="AT88" s="727"/>
      <c r="AU88" s="727"/>
      <c r="AY88" s="750"/>
      <c r="AZ88" s="751"/>
      <c r="BA88" s="751"/>
      <c r="BB88" s="751"/>
      <c r="BC88" s="751"/>
      <c r="BD88" s="751"/>
      <c r="BE88" s="751"/>
      <c r="BF88" s="751"/>
      <c r="BG88" s="751"/>
      <c r="BH88" s="752"/>
      <c r="BI88" s="13"/>
      <c r="BJ88" s="13"/>
      <c r="BK88" s="13"/>
      <c r="BL88" s="13"/>
      <c r="BM88" s="13"/>
      <c r="BN88" s="13"/>
      <c r="BO88" s="13"/>
      <c r="BP88" s="13"/>
      <c r="BQ88" s="13"/>
      <c r="BR88" s="13"/>
    </row>
    <row r="89" spans="1:90" x14ac:dyDescent="0.25">
      <c r="O89" s="1992"/>
      <c r="P89" s="1992"/>
      <c r="Q89" s="1992"/>
      <c r="R89" s="1992"/>
      <c r="S89" s="1992"/>
      <c r="T89" s="1992"/>
      <c r="U89" s="1992"/>
      <c r="V89" s="1992"/>
      <c r="AA89" s="56"/>
      <c r="AD89" s="778"/>
      <c r="AE89" s="779"/>
      <c r="AF89" s="779"/>
      <c r="AG89" s="779"/>
      <c r="AH89" s="780"/>
      <c r="AL89" s="727"/>
      <c r="AM89" s="727"/>
      <c r="AN89" s="727"/>
      <c r="AO89" s="727"/>
      <c r="AP89" s="727"/>
      <c r="AQ89" s="727"/>
      <c r="AR89" s="727"/>
      <c r="AS89" s="727"/>
      <c r="AT89" s="727"/>
      <c r="AU89" s="727"/>
      <c r="AY89" s="742"/>
      <c r="AZ89" s="743"/>
      <c r="BA89" s="743"/>
      <c r="BB89" s="743"/>
      <c r="BC89" s="743"/>
      <c r="BD89" s="743"/>
      <c r="BE89" s="743"/>
      <c r="BF89" s="743"/>
      <c r="BG89" s="743"/>
      <c r="BH89" s="744"/>
      <c r="BI89" s="13"/>
      <c r="BJ89" s="13"/>
      <c r="BK89" s="13"/>
      <c r="BL89" s="13"/>
      <c r="BM89" s="13"/>
      <c r="BN89" s="13"/>
      <c r="BO89" s="13"/>
      <c r="BP89" s="13"/>
      <c r="BQ89" s="13"/>
      <c r="BR89" s="13"/>
    </row>
    <row r="90" spans="1:90" x14ac:dyDescent="0.25">
      <c r="O90" s="1992"/>
      <c r="P90" s="1992"/>
      <c r="Q90" s="1992"/>
      <c r="R90" s="1992"/>
      <c r="S90" s="1992"/>
      <c r="T90" s="1992"/>
      <c r="U90" s="1992"/>
      <c r="V90" s="1992"/>
      <c r="AD90" s="778"/>
      <c r="AE90" s="779"/>
      <c r="AF90" s="779"/>
      <c r="AG90" s="779"/>
      <c r="AH90" s="780"/>
      <c r="AL90" s="774">
        <v>6279.84</v>
      </c>
      <c r="AM90" s="774"/>
      <c r="AN90" s="774"/>
      <c r="AO90" s="774">
        <f ca="1">AT106</f>
        <v>6279.84</v>
      </c>
      <c r="AP90" s="774"/>
      <c r="AQ90" s="774"/>
      <c r="AR90" s="726">
        <f>AS35</f>
        <v>94.302600002209971</v>
      </c>
      <c r="AS90" s="726"/>
      <c r="AT90" s="726">
        <f>AS35+BJ35</f>
        <v>166.30260000220997</v>
      </c>
      <c r="AU90" s="726"/>
      <c r="AY90" s="727" t="s">
        <v>128</v>
      </c>
      <c r="AZ90" s="727"/>
      <c r="BA90" s="727"/>
      <c r="BB90" s="727"/>
      <c r="BC90" s="727"/>
      <c r="BD90" s="727"/>
      <c r="BE90" s="727"/>
      <c r="BF90" s="727"/>
      <c r="BG90" s="727"/>
      <c r="BH90" s="727"/>
      <c r="BI90" s="13"/>
      <c r="BJ90" s="13"/>
      <c r="BK90" s="13"/>
      <c r="BL90" s="13"/>
      <c r="BM90" s="13"/>
      <c r="BN90" s="13"/>
      <c r="BO90" s="13"/>
      <c r="BP90" s="13"/>
      <c r="BQ90" s="13"/>
      <c r="BR90" s="13"/>
    </row>
    <row r="91" spans="1:90" x14ac:dyDescent="0.25">
      <c r="O91" s="1992"/>
      <c r="P91" s="1992"/>
      <c r="Q91" s="1992"/>
      <c r="R91" s="1992"/>
      <c r="S91" s="1992"/>
      <c r="T91" s="1992"/>
      <c r="U91" s="1992"/>
      <c r="V91" s="1992"/>
      <c r="AD91" s="778"/>
      <c r="AE91" s="779"/>
      <c r="AF91" s="779"/>
      <c r="AG91" s="779"/>
      <c r="AH91" s="780"/>
      <c r="AL91" s="774"/>
      <c r="AM91" s="774"/>
      <c r="AN91" s="774"/>
      <c r="AO91" s="774"/>
      <c r="AP91" s="774"/>
      <c r="AQ91" s="774"/>
      <c r="AR91" s="726"/>
      <c r="AS91" s="726"/>
      <c r="AT91" s="726"/>
      <c r="AU91" s="726"/>
      <c r="AY91" s="727"/>
      <c r="AZ91" s="727"/>
      <c r="BA91" s="727"/>
      <c r="BB91" s="727"/>
      <c r="BC91" s="727"/>
      <c r="BD91" s="727"/>
      <c r="BE91" s="727"/>
      <c r="BF91" s="727"/>
      <c r="BG91" s="727"/>
      <c r="BH91" s="727"/>
      <c r="BI91" s="13"/>
      <c r="BJ91" s="13"/>
      <c r="BK91" s="13"/>
      <c r="BL91" s="13"/>
      <c r="BM91" s="13"/>
      <c r="BN91" s="13"/>
      <c r="BO91" s="13"/>
      <c r="BP91" s="13"/>
      <c r="BQ91" s="13"/>
      <c r="BR91" s="13"/>
    </row>
    <row r="92" spans="1:90" ht="15" customHeight="1" x14ac:dyDescent="0.25">
      <c r="O92" s="1992"/>
      <c r="P92" s="1992"/>
      <c r="Q92" s="1992"/>
      <c r="R92" s="1992"/>
      <c r="S92" s="1992"/>
      <c r="T92" s="1992"/>
      <c r="U92" s="1992"/>
      <c r="V92" s="1992"/>
      <c r="AD92" s="778"/>
      <c r="AE92" s="779"/>
      <c r="AF92" s="779"/>
      <c r="AG92" s="779"/>
      <c r="AH92" s="780"/>
      <c r="AL92" s="774"/>
      <c r="AM92" s="774"/>
      <c r="AN92" s="774"/>
      <c r="AO92" s="774"/>
      <c r="AP92" s="774"/>
      <c r="AQ92" s="774"/>
      <c r="AR92" s="726"/>
      <c r="AS92" s="726"/>
      <c r="AT92" s="726"/>
      <c r="AU92" s="726"/>
      <c r="AY92" s="728">
        <f ca="1">AR90/((42*3.1415/59)*(AO90/3.281))</f>
        <v>2.2031647560625915E-2</v>
      </c>
      <c r="AZ92" s="729"/>
      <c r="BA92" s="729"/>
      <c r="BB92" s="729"/>
      <c r="BC92" s="729"/>
      <c r="BD92" s="729"/>
      <c r="BE92" s="729"/>
      <c r="BF92" s="729"/>
      <c r="BG92" s="729"/>
      <c r="BH92" s="730"/>
      <c r="BI92" s="57"/>
      <c r="BJ92" s="57"/>
      <c r="BK92" s="57"/>
      <c r="BL92" s="57"/>
      <c r="BM92" s="57"/>
      <c r="BN92" s="57"/>
      <c r="BO92" s="57"/>
      <c r="BP92" s="57"/>
      <c r="BQ92" s="57"/>
      <c r="BR92" s="57"/>
    </row>
    <row r="93" spans="1:90" ht="15.75" customHeight="1" thickBot="1" x14ac:dyDescent="0.3">
      <c r="AD93" s="781"/>
      <c r="AE93" s="782"/>
      <c r="AF93" s="782"/>
      <c r="AG93" s="782"/>
      <c r="AH93" s="783"/>
      <c r="AL93" s="774"/>
      <c r="AM93" s="774"/>
      <c r="AN93" s="774"/>
      <c r="AO93" s="774"/>
      <c r="AP93" s="774"/>
      <c r="AQ93" s="774"/>
      <c r="AR93" s="726"/>
      <c r="AS93" s="726"/>
      <c r="AT93" s="726"/>
      <c r="AU93" s="726"/>
      <c r="AY93" s="731"/>
      <c r="AZ93" s="732"/>
      <c r="BA93" s="732"/>
      <c r="BB93" s="732"/>
      <c r="BC93" s="732"/>
      <c r="BD93" s="732"/>
      <c r="BE93" s="732"/>
      <c r="BF93" s="732"/>
      <c r="BG93" s="732"/>
      <c r="BH93" s="733"/>
      <c r="BI93" s="57"/>
      <c r="BJ93" s="57"/>
      <c r="BK93" s="57"/>
      <c r="BL93" s="57"/>
      <c r="BM93" s="57"/>
      <c r="BN93" s="57"/>
      <c r="BO93" s="57"/>
      <c r="BP93" s="57"/>
      <c r="BQ93" s="57"/>
      <c r="BR93" s="57"/>
    </row>
    <row r="94" spans="1:90" ht="15.75" customHeight="1" thickTop="1" x14ac:dyDescent="0.25">
      <c r="AY94" s="734"/>
      <c r="AZ94" s="735"/>
      <c r="BA94" s="735"/>
      <c r="BB94" s="735"/>
      <c r="BC94" s="735"/>
      <c r="BD94" s="735"/>
      <c r="BE94" s="735"/>
      <c r="BF94" s="735"/>
      <c r="BG94" s="735"/>
      <c r="BH94" s="736"/>
      <c r="BI94" s="57"/>
      <c r="BJ94" s="57"/>
      <c r="BK94" s="57"/>
      <c r="BL94" s="57"/>
      <c r="BM94" s="57"/>
      <c r="BN94" s="57"/>
      <c r="BO94" s="57"/>
      <c r="BP94" s="57"/>
      <c r="BQ94" s="57"/>
      <c r="BR94" s="57"/>
    </row>
    <row r="95" spans="1:90" x14ac:dyDescent="0.25">
      <c r="AY95" s="739" t="s">
        <v>129</v>
      </c>
      <c r="AZ95" s="740"/>
      <c r="BA95" s="740"/>
      <c r="BB95" s="740"/>
      <c r="BC95" s="740"/>
      <c r="BD95" s="740"/>
      <c r="BE95" s="740"/>
      <c r="BF95" s="740"/>
      <c r="BG95" s="740"/>
      <c r="BH95" s="741"/>
      <c r="BI95" s="13"/>
      <c r="BJ95" s="13"/>
      <c r="BK95" s="13"/>
      <c r="BL95" s="13"/>
      <c r="BM95" s="13"/>
      <c r="BN95" s="13"/>
      <c r="BO95" s="13"/>
      <c r="BP95" s="13"/>
      <c r="BQ95" s="13"/>
      <c r="BR95" s="13"/>
    </row>
    <row r="96" spans="1:90" x14ac:dyDescent="0.25">
      <c r="AY96" s="742"/>
      <c r="AZ96" s="743"/>
      <c r="BA96" s="743"/>
      <c r="BB96" s="743"/>
      <c r="BC96" s="743"/>
      <c r="BD96" s="743"/>
      <c r="BE96" s="743"/>
      <c r="BF96" s="743"/>
      <c r="BG96" s="743"/>
      <c r="BH96" s="744"/>
      <c r="BI96" s="13"/>
      <c r="BJ96" s="13"/>
      <c r="BK96" s="13"/>
      <c r="BL96" s="13"/>
      <c r="BM96" s="13"/>
      <c r="BN96" s="13"/>
      <c r="BO96" s="13"/>
      <c r="BP96" s="13"/>
      <c r="BQ96" s="13"/>
      <c r="BR96" s="13"/>
    </row>
    <row r="97" spans="40:70" x14ac:dyDescent="0.25">
      <c r="AN97" s="1255">
        <v>130.33000000000001</v>
      </c>
      <c r="AO97" s="1255"/>
      <c r="AP97" s="1255"/>
      <c r="AQ97" s="746" cm="1">
        <f t="array" aca="1" ref="AQ97" ca="1">SUM(COUNTIF(INDIRECT({"B7","G7","L7","Q7","V7","AA7","AF7","AK7","AP7","AU7","AZ7","BE7","BJ7","BO7","B13","G13","L13","Q13","V13","AA13","AF13","AK13","AP13","AU13"}),"&gt;0"))</f>
        <v>24</v>
      </c>
      <c r="AR97" s="746"/>
      <c r="AS97" s="746"/>
      <c r="AT97" s="747">
        <f ca="1">AQ97*AN97</f>
        <v>3127.92</v>
      </c>
      <c r="AU97" s="748"/>
      <c r="AV97" s="748"/>
      <c r="AW97" s="749"/>
      <c r="AY97" s="739" t="s">
        <v>130</v>
      </c>
      <c r="AZ97" s="740"/>
      <c r="BA97" s="740"/>
      <c r="BB97" s="740"/>
      <c r="BC97" s="740"/>
      <c r="BD97" s="740"/>
      <c r="BE97" s="740"/>
      <c r="BF97" s="740"/>
      <c r="BG97" s="740"/>
      <c r="BH97" s="741"/>
      <c r="BI97" s="13"/>
      <c r="BJ97" s="13"/>
      <c r="BK97" s="13"/>
      <c r="BL97" s="13"/>
      <c r="BM97" s="13"/>
      <c r="BN97" s="13"/>
      <c r="BO97" s="13"/>
      <c r="BP97" s="13"/>
      <c r="BQ97" s="13"/>
      <c r="BR97" s="13"/>
    </row>
    <row r="98" spans="40:70" x14ac:dyDescent="0.25">
      <c r="AN98" s="1255"/>
      <c r="AO98" s="1255"/>
      <c r="AP98" s="1255"/>
      <c r="AQ98" s="746"/>
      <c r="AR98" s="746"/>
      <c r="AS98" s="746"/>
      <c r="AT98" s="747"/>
      <c r="AU98" s="748"/>
      <c r="AV98" s="748"/>
      <c r="AW98" s="749"/>
      <c r="AY98" s="750"/>
      <c r="AZ98" s="751"/>
      <c r="BA98" s="751"/>
      <c r="BB98" s="751"/>
      <c r="BC98" s="751"/>
      <c r="BD98" s="751"/>
      <c r="BE98" s="751"/>
      <c r="BF98" s="751"/>
      <c r="BG98" s="751"/>
      <c r="BH98" s="752"/>
      <c r="BI98" s="13"/>
      <c r="BJ98" s="13"/>
      <c r="BK98" s="13"/>
      <c r="BL98" s="13"/>
      <c r="BM98" s="13"/>
      <c r="BN98" s="13"/>
      <c r="BO98" s="13"/>
      <c r="BP98" s="13"/>
      <c r="BQ98" s="13"/>
      <c r="BR98" s="13"/>
    </row>
    <row r="99" spans="40:70" ht="15" customHeight="1" x14ac:dyDescent="0.25">
      <c r="AN99" s="1255"/>
      <c r="AO99" s="1255"/>
      <c r="AP99" s="1255"/>
      <c r="AQ99" s="746"/>
      <c r="AR99" s="746"/>
      <c r="AS99" s="746"/>
      <c r="AT99" s="747"/>
      <c r="AU99" s="748"/>
      <c r="AV99" s="748"/>
      <c r="AW99" s="749"/>
      <c r="AY99" s="750"/>
      <c r="AZ99" s="751"/>
      <c r="BA99" s="751"/>
      <c r="BB99" s="751"/>
      <c r="BC99" s="751"/>
      <c r="BD99" s="751"/>
      <c r="BE99" s="751"/>
      <c r="BF99" s="751"/>
      <c r="BG99" s="751"/>
      <c r="BH99" s="752"/>
      <c r="BI99" s="13"/>
      <c r="BJ99" s="13"/>
      <c r="BK99" s="13"/>
      <c r="BL99" s="13"/>
      <c r="BM99" s="13"/>
      <c r="BN99" s="13"/>
      <c r="BO99" s="13"/>
      <c r="BP99" s="13"/>
      <c r="BQ99" s="13"/>
      <c r="BR99" s="13"/>
    </row>
    <row r="100" spans="40:70" ht="15" customHeight="1" x14ac:dyDescent="0.25">
      <c r="AN100" s="1255">
        <v>131.33000000000001</v>
      </c>
      <c r="AO100" s="1255"/>
      <c r="AP100" s="1255"/>
      <c r="AQ100" s="746" cm="1">
        <f t="array" aca="1" ref="AQ100" ca="1">SUM(COUNTIF(INDIRECT({"AZ13","BE13","BJ13","BO13","B19","G19","L19","Q19","V19","AA19","AF19","AK19","AP19","AU19","AZ19","BE19","BJ19","BO19","B25","G25","L25","Q25","V25","AA25"}),"&gt;0"))</f>
        <v>24</v>
      </c>
      <c r="AR100" s="746"/>
      <c r="AS100" s="746"/>
      <c r="AT100" s="747">
        <f ca="1">AQ100*AN100</f>
        <v>3151.92</v>
      </c>
      <c r="AU100" s="748"/>
      <c r="AV100" s="748"/>
      <c r="AW100" s="749"/>
      <c r="AY100" s="742"/>
      <c r="AZ100" s="743"/>
      <c r="BA100" s="743"/>
      <c r="BB100" s="743"/>
      <c r="BC100" s="743"/>
      <c r="BD100" s="743"/>
      <c r="BE100" s="743"/>
      <c r="BF100" s="743"/>
      <c r="BG100" s="743"/>
      <c r="BH100" s="744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</row>
    <row r="101" spans="40:70" ht="26.25" x14ac:dyDescent="0.25">
      <c r="AN101" s="1255"/>
      <c r="AO101" s="1255"/>
      <c r="AP101" s="1255"/>
      <c r="AQ101" s="746"/>
      <c r="AR101" s="746"/>
      <c r="AS101" s="746"/>
      <c r="AT101" s="747"/>
      <c r="AU101" s="748"/>
      <c r="AV101" s="748"/>
      <c r="AW101" s="749"/>
      <c r="AY101" s="728">
        <f ca="1">AT90/((42*3.1415/59)*(AO90/3.281))</f>
        <v>3.8852802272456681E-2</v>
      </c>
      <c r="AZ101" s="729"/>
      <c r="BA101" s="729"/>
      <c r="BB101" s="729"/>
      <c r="BC101" s="729"/>
      <c r="BD101" s="729"/>
      <c r="BE101" s="729"/>
      <c r="BF101" s="729"/>
      <c r="BG101" s="729"/>
      <c r="BH101" s="730"/>
      <c r="BI101" s="57"/>
      <c r="BJ101" s="57"/>
      <c r="BK101" s="57"/>
      <c r="BL101" s="57"/>
      <c r="BM101" s="57"/>
      <c r="BN101" s="57"/>
      <c r="BO101" s="57"/>
      <c r="BP101" s="57"/>
      <c r="BQ101" s="57"/>
      <c r="BR101" s="57"/>
    </row>
    <row r="102" spans="40:70" ht="26.25" x14ac:dyDescent="0.25">
      <c r="AN102" s="1255"/>
      <c r="AO102" s="1255"/>
      <c r="AP102" s="1255"/>
      <c r="AQ102" s="746"/>
      <c r="AR102" s="746"/>
      <c r="AS102" s="746"/>
      <c r="AT102" s="747"/>
      <c r="AU102" s="748"/>
      <c r="AV102" s="748"/>
      <c r="AW102" s="749"/>
      <c r="AY102" s="731"/>
      <c r="AZ102" s="732"/>
      <c r="BA102" s="732"/>
      <c r="BB102" s="732"/>
      <c r="BC102" s="732"/>
      <c r="BD102" s="732"/>
      <c r="BE102" s="732"/>
      <c r="BF102" s="732"/>
      <c r="BG102" s="732"/>
      <c r="BH102" s="733"/>
      <c r="BI102" s="57"/>
      <c r="BJ102" s="57"/>
      <c r="BK102" s="57"/>
      <c r="BL102" s="57"/>
      <c r="BM102" s="57"/>
      <c r="BN102" s="57"/>
      <c r="BO102" s="57"/>
      <c r="BP102" s="57"/>
      <c r="BQ102" s="57"/>
      <c r="BR102" s="57"/>
    </row>
    <row r="103" spans="40:70" ht="15" customHeight="1" x14ac:dyDescent="0.25">
      <c r="AN103" s="727"/>
      <c r="AO103" s="727"/>
      <c r="AP103" s="727"/>
      <c r="AQ103" s="746"/>
      <c r="AR103" s="746"/>
      <c r="AS103" s="746"/>
      <c r="AT103" s="747"/>
      <c r="AU103" s="748"/>
      <c r="AV103" s="748"/>
      <c r="AW103" s="749"/>
      <c r="AY103" s="731"/>
      <c r="AZ103" s="732"/>
      <c r="BA103" s="732"/>
      <c r="BB103" s="732"/>
      <c r="BC103" s="732"/>
      <c r="BD103" s="732"/>
      <c r="BE103" s="732"/>
      <c r="BF103" s="732"/>
      <c r="BG103" s="732"/>
      <c r="BH103" s="733"/>
      <c r="BI103" s="57"/>
      <c r="BJ103" s="57"/>
      <c r="BK103" s="57"/>
      <c r="BL103" s="57"/>
      <c r="BM103" s="57"/>
      <c r="BN103" s="57"/>
      <c r="BO103" s="57"/>
      <c r="BP103" s="57"/>
      <c r="BQ103" s="57"/>
      <c r="BR103" s="57"/>
    </row>
    <row r="104" spans="40:70" ht="15" customHeight="1" x14ac:dyDescent="0.25">
      <c r="AN104" s="727"/>
      <c r="AO104" s="727"/>
      <c r="AP104" s="727"/>
      <c r="AQ104" s="746"/>
      <c r="AR104" s="746"/>
      <c r="AS104" s="746"/>
      <c r="AT104" s="747"/>
      <c r="AU104" s="748"/>
      <c r="AV104" s="748"/>
      <c r="AW104" s="749"/>
      <c r="AY104" s="731"/>
      <c r="AZ104" s="732"/>
      <c r="BA104" s="732"/>
      <c r="BB104" s="732"/>
      <c r="BC104" s="732"/>
      <c r="BD104" s="732"/>
      <c r="BE104" s="732"/>
      <c r="BF104" s="732"/>
      <c r="BG104" s="732"/>
      <c r="BH104" s="733"/>
      <c r="BI104" s="57"/>
      <c r="BJ104" s="57"/>
      <c r="BK104" s="57"/>
      <c r="BL104" s="57"/>
      <c r="BM104" s="57"/>
      <c r="BN104" s="57"/>
      <c r="BO104" s="57"/>
      <c r="BP104" s="57"/>
      <c r="BQ104" s="57"/>
      <c r="BR104" s="57"/>
    </row>
    <row r="105" spans="40:70" ht="15" customHeight="1" x14ac:dyDescent="0.25">
      <c r="AN105" s="727"/>
      <c r="AO105" s="727"/>
      <c r="AP105" s="727"/>
      <c r="AQ105" s="746"/>
      <c r="AR105" s="746"/>
      <c r="AS105" s="746"/>
      <c r="AT105" s="747"/>
      <c r="AU105" s="748"/>
      <c r="AV105" s="748"/>
      <c r="AW105" s="749"/>
      <c r="AY105" s="734"/>
      <c r="AZ105" s="735"/>
      <c r="BA105" s="735"/>
      <c r="BB105" s="735"/>
      <c r="BC105" s="735"/>
      <c r="BD105" s="735"/>
      <c r="BE105" s="735"/>
      <c r="BF105" s="735"/>
      <c r="BG105" s="735"/>
      <c r="BH105" s="736"/>
      <c r="BI105" s="57"/>
      <c r="BJ105" s="57"/>
      <c r="BK105" s="57"/>
      <c r="BL105" s="57"/>
      <c r="BM105" s="57"/>
      <c r="BN105" s="57"/>
      <c r="BO105" s="57"/>
      <c r="BP105" s="57"/>
      <c r="BQ105" s="57"/>
      <c r="BR105" s="57"/>
    </row>
    <row r="106" spans="40:70" x14ac:dyDescent="0.25">
      <c r="AQ106" s="1254">
        <f ca="1">AQ103+AQ100+AQ97</f>
        <v>48</v>
      </c>
      <c r="AR106" s="1254"/>
      <c r="AS106" s="1254"/>
      <c r="AT106" s="747">
        <f ca="1">AT100+AT103+AT97</f>
        <v>6279.84</v>
      </c>
      <c r="AU106" s="748"/>
      <c r="AV106" s="748"/>
      <c r="AW106" s="749"/>
    </row>
    <row r="107" spans="40:70" x14ac:dyDescent="0.25">
      <c r="AQ107" s="1254"/>
      <c r="AR107" s="1254"/>
      <c r="AS107" s="1254"/>
      <c r="AT107" s="747"/>
      <c r="AU107" s="748"/>
      <c r="AV107" s="748"/>
      <c r="AW107" s="749"/>
    </row>
    <row r="108" spans="40:70" ht="15" customHeight="1" x14ac:dyDescent="0.25">
      <c r="AQ108" s="1254"/>
      <c r="AR108" s="1254"/>
      <c r="AS108" s="1254"/>
      <c r="AT108" s="747"/>
      <c r="AU108" s="748"/>
      <c r="AV108" s="748"/>
      <c r="AW108" s="749"/>
    </row>
    <row r="109" spans="40:70" ht="15" customHeight="1" x14ac:dyDescent="0.25"/>
    <row r="110" spans="40:70" ht="15" customHeight="1" x14ac:dyDescent="0.25"/>
    <row r="111" spans="40:70" ht="15" customHeight="1" x14ac:dyDescent="0.25"/>
    <row r="112" spans="40:70" ht="15" customHeight="1" x14ac:dyDescent="0.25"/>
    <row r="113" spans="45:47" ht="15" customHeight="1" x14ac:dyDescent="0.25"/>
    <row r="114" spans="45:47" ht="15" customHeight="1" x14ac:dyDescent="0.25"/>
    <row r="115" spans="45:47" ht="15" customHeight="1" x14ac:dyDescent="0.25"/>
    <row r="116" spans="45:47" ht="15" customHeight="1" x14ac:dyDescent="0.25"/>
    <row r="117" spans="45:47" ht="15" customHeight="1" x14ac:dyDescent="0.25"/>
    <row r="118" spans="45:47" ht="15" customHeight="1" x14ac:dyDescent="0.25"/>
    <row r="119" spans="45:47" ht="15" customHeight="1" x14ac:dyDescent="0.25">
      <c r="AS119" s="27"/>
      <c r="AT119" s="27"/>
      <c r="AU119" s="27"/>
    </row>
  </sheetData>
  <mergeCells count="490">
    <mergeCell ref="AO6:AO7"/>
    <mergeCell ref="P2:Q4"/>
    <mergeCell ref="R2:T4"/>
    <mergeCell ref="U2:V4"/>
    <mergeCell ref="W2:Y4"/>
    <mergeCell ref="M2:O4"/>
    <mergeCell ref="AE6:AE7"/>
    <mergeCell ref="AF6:AI6"/>
    <mergeCell ref="Z6:Z7"/>
    <mergeCell ref="AA6:AD6"/>
    <mergeCell ref="Z5:AD5"/>
    <mergeCell ref="AE5:AI5"/>
    <mergeCell ref="U8:V10"/>
    <mergeCell ref="AG8:AI10"/>
    <mergeCell ref="AJ8:AK10"/>
    <mergeCell ref="AL8:AN10"/>
    <mergeCell ref="A6:A7"/>
    <mergeCell ref="B6:E6"/>
    <mergeCell ref="F6:F7"/>
    <mergeCell ref="G6:J6"/>
    <mergeCell ref="K6:K7"/>
    <mergeCell ref="L6:O6"/>
    <mergeCell ref="AJ6:AJ7"/>
    <mergeCell ref="AK6:AN6"/>
    <mergeCell ref="Z8:AA10"/>
    <mergeCell ref="AB8:AD10"/>
    <mergeCell ref="P6:P7"/>
    <mergeCell ref="Q6:T6"/>
    <mergeCell ref="U6:U7"/>
    <mergeCell ref="V6:Y6"/>
    <mergeCell ref="BK8:BM10"/>
    <mergeCell ref="BN8:BO10"/>
    <mergeCell ref="BP8:BR10"/>
    <mergeCell ref="AY8:AZ10"/>
    <mergeCell ref="BA8:BC10"/>
    <mergeCell ref="BN12:BN13"/>
    <mergeCell ref="BO12:BR12"/>
    <mergeCell ref="AK12:AN12"/>
    <mergeCell ref="AO12:AO13"/>
    <mergeCell ref="AP12:AS12"/>
    <mergeCell ref="AT12:AT13"/>
    <mergeCell ref="AU12:AX12"/>
    <mergeCell ref="AY12:AY13"/>
    <mergeCell ref="BI12:BI13"/>
    <mergeCell ref="BJ12:BM12"/>
    <mergeCell ref="BI8:BJ10"/>
    <mergeCell ref="BO6:BR6"/>
    <mergeCell ref="AT6:AT7"/>
    <mergeCell ref="AU6:AX6"/>
    <mergeCell ref="AY6:AY7"/>
    <mergeCell ref="AZ6:BC6"/>
    <mergeCell ref="BD6:BD7"/>
    <mergeCell ref="BE6:BH6"/>
    <mergeCell ref="BI6:BI7"/>
    <mergeCell ref="BJ6:BM6"/>
    <mergeCell ref="BN6:BN7"/>
    <mergeCell ref="AP6:AS6"/>
    <mergeCell ref="BD14:BE16"/>
    <mergeCell ref="BF14:BH16"/>
    <mergeCell ref="AE14:AF16"/>
    <mergeCell ref="AG14:AI16"/>
    <mergeCell ref="AJ14:AK16"/>
    <mergeCell ref="AL14:AN16"/>
    <mergeCell ref="W14:Y16"/>
    <mergeCell ref="Z14:AA16"/>
    <mergeCell ref="AB14:AD16"/>
    <mergeCell ref="AO8:AP10"/>
    <mergeCell ref="AQ8:AS10"/>
    <mergeCell ref="AT8:AU10"/>
    <mergeCell ref="AV8:AX10"/>
    <mergeCell ref="AZ12:BC12"/>
    <mergeCell ref="BD12:BD13"/>
    <mergeCell ref="BE12:BH12"/>
    <mergeCell ref="AE12:AE13"/>
    <mergeCell ref="AF12:AI12"/>
    <mergeCell ref="AJ12:AJ13"/>
    <mergeCell ref="W8:Y10"/>
    <mergeCell ref="BD8:BE10"/>
    <mergeCell ref="BF8:BH10"/>
    <mergeCell ref="AE8:AF10"/>
    <mergeCell ref="BN18:BN19"/>
    <mergeCell ref="BO18:BR18"/>
    <mergeCell ref="AT18:AT19"/>
    <mergeCell ref="AU18:AX18"/>
    <mergeCell ref="AY18:AY19"/>
    <mergeCell ref="AZ18:BC18"/>
    <mergeCell ref="BD18:BD19"/>
    <mergeCell ref="BE18:BH18"/>
    <mergeCell ref="A18:A19"/>
    <mergeCell ref="B18:E18"/>
    <mergeCell ref="F18:F19"/>
    <mergeCell ref="G18:J18"/>
    <mergeCell ref="K18:K19"/>
    <mergeCell ref="L18:O18"/>
    <mergeCell ref="AE18:AE19"/>
    <mergeCell ref="AF18:AI18"/>
    <mergeCell ref="AJ18:AJ19"/>
    <mergeCell ref="AK18:AN18"/>
    <mergeCell ref="AO18:AO19"/>
    <mergeCell ref="AP18:AS18"/>
    <mergeCell ref="P18:P19"/>
    <mergeCell ref="Q18:T18"/>
    <mergeCell ref="U18:U19"/>
    <mergeCell ref="AB20:AD22"/>
    <mergeCell ref="P24:P25"/>
    <mergeCell ref="Q24:T24"/>
    <mergeCell ref="U24:U25"/>
    <mergeCell ref="V24:Y24"/>
    <mergeCell ref="Z24:Z25"/>
    <mergeCell ref="V18:Y18"/>
    <mergeCell ref="Z18:Z19"/>
    <mergeCell ref="AA18:AD18"/>
    <mergeCell ref="BI24:BI25"/>
    <mergeCell ref="BJ24:BM24"/>
    <mergeCell ref="BN24:BN25"/>
    <mergeCell ref="BO24:BR24"/>
    <mergeCell ref="A24:A25"/>
    <mergeCell ref="B24:E24"/>
    <mergeCell ref="F24:F25"/>
    <mergeCell ref="G24:J24"/>
    <mergeCell ref="K24:K25"/>
    <mergeCell ref="L24:O24"/>
    <mergeCell ref="Q27:T27"/>
    <mergeCell ref="Q28:T28"/>
    <mergeCell ref="AT24:AT25"/>
    <mergeCell ref="AU24:AX24"/>
    <mergeCell ref="AY24:AY25"/>
    <mergeCell ref="AZ24:BC24"/>
    <mergeCell ref="BD24:BD25"/>
    <mergeCell ref="BE24:BH24"/>
    <mergeCell ref="AE24:AE25"/>
    <mergeCell ref="AF24:AI24"/>
    <mergeCell ref="AJ24:AJ25"/>
    <mergeCell ref="AK24:AN24"/>
    <mergeCell ref="AO24:AO25"/>
    <mergeCell ref="AP24:AS24"/>
    <mergeCell ref="AA24:AD24"/>
    <mergeCell ref="V31:AG34"/>
    <mergeCell ref="AH31:AQ34"/>
    <mergeCell ref="AS31:BD34"/>
    <mergeCell ref="BE31:BI40"/>
    <mergeCell ref="BJ31:BM34"/>
    <mergeCell ref="BN31:BP34"/>
    <mergeCell ref="V35:AG40"/>
    <mergeCell ref="AH35:AR40"/>
    <mergeCell ref="AS35:BD40"/>
    <mergeCell ref="BJ35:BP38"/>
    <mergeCell ref="Q37:T42"/>
    <mergeCell ref="BJ39:BP40"/>
    <mergeCell ref="J42:L42"/>
    <mergeCell ref="J43:L47"/>
    <mergeCell ref="A62:C62"/>
    <mergeCell ref="D62:E62"/>
    <mergeCell ref="F62:H62"/>
    <mergeCell ref="I62:J62"/>
    <mergeCell ref="K62:M62"/>
    <mergeCell ref="N62:O62"/>
    <mergeCell ref="P62:R62"/>
    <mergeCell ref="S62:T62"/>
    <mergeCell ref="U62:W62"/>
    <mergeCell ref="X62:Y62"/>
    <mergeCell ref="Z62:AB62"/>
    <mergeCell ref="AC62:AD62"/>
    <mergeCell ref="AR65:AS65"/>
    <mergeCell ref="AT62:AV62"/>
    <mergeCell ref="AW62:AX62"/>
    <mergeCell ref="AY62:BA62"/>
    <mergeCell ref="BB62:BC62"/>
    <mergeCell ref="BD62:BF62"/>
    <mergeCell ref="AE62:AG62"/>
    <mergeCell ref="AH62:AI62"/>
    <mergeCell ref="AJ62:AL62"/>
    <mergeCell ref="AM62:AN62"/>
    <mergeCell ref="AO62:AQ62"/>
    <mergeCell ref="AR62:AS62"/>
    <mergeCell ref="AO63:AQ65"/>
    <mergeCell ref="AT63:AV65"/>
    <mergeCell ref="BJ66:BM66"/>
    <mergeCell ref="BN66:BN67"/>
    <mergeCell ref="BO66:BR66"/>
    <mergeCell ref="AW65:AX65"/>
    <mergeCell ref="BB65:BC65"/>
    <mergeCell ref="BI62:BK62"/>
    <mergeCell ref="BL62:BM62"/>
    <mergeCell ref="BN62:BP62"/>
    <mergeCell ref="BQ62:BR62"/>
    <mergeCell ref="BG62:BH62"/>
    <mergeCell ref="BG65:BH65"/>
    <mergeCell ref="BL65:BM65"/>
    <mergeCell ref="BQ65:BR65"/>
    <mergeCell ref="BI63:BK65"/>
    <mergeCell ref="BN63:BP65"/>
    <mergeCell ref="AZ66:BC66"/>
    <mergeCell ref="BD66:BD67"/>
    <mergeCell ref="BE66:BH66"/>
    <mergeCell ref="BI66:BI67"/>
    <mergeCell ref="AY63:BA65"/>
    <mergeCell ref="BD63:BF65"/>
    <mergeCell ref="D65:E65"/>
    <mergeCell ref="I65:J65"/>
    <mergeCell ref="N65:O65"/>
    <mergeCell ref="S65:T65"/>
    <mergeCell ref="X65:Y65"/>
    <mergeCell ref="AC65:AD65"/>
    <mergeCell ref="AH65:AI65"/>
    <mergeCell ref="AM65:AN65"/>
    <mergeCell ref="AE63:AG65"/>
    <mergeCell ref="AJ63:AL65"/>
    <mergeCell ref="K63:M65"/>
    <mergeCell ref="P63:R65"/>
    <mergeCell ref="U63:W65"/>
    <mergeCell ref="Z63:AB65"/>
    <mergeCell ref="A68:C68"/>
    <mergeCell ref="D68:E68"/>
    <mergeCell ref="F68:H68"/>
    <mergeCell ref="I68:J68"/>
    <mergeCell ref="K68:M68"/>
    <mergeCell ref="N68:O68"/>
    <mergeCell ref="P68:R68"/>
    <mergeCell ref="AU66:AX66"/>
    <mergeCell ref="AY66:AY67"/>
    <mergeCell ref="Q66:T66"/>
    <mergeCell ref="U66:U67"/>
    <mergeCell ref="A66:A67"/>
    <mergeCell ref="B66:E66"/>
    <mergeCell ref="F66:F67"/>
    <mergeCell ref="G66:J66"/>
    <mergeCell ref="K66:K67"/>
    <mergeCell ref="L66:O66"/>
    <mergeCell ref="P66:P67"/>
    <mergeCell ref="AF66:AI66"/>
    <mergeCell ref="AJ66:AJ67"/>
    <mergeCell ref="AK66:AN66"/>
    <mergeCell ref="AO66:AO67"/>
    <mergeCell ref="AP66:AS66"/>
    <mergeCell ref="AT66:AT67"/>
    <mergeCell ref="BD69:BF71"/>
    <mergeCell ref="BI69:BK71"/>
    <mergeCell ref="AW71:AX71"/>
    <mergeCell ref="BB71:BC71"/>
    <mergeCell ref="BG71:BH71"/>
    <mergeCell ref="BL68:BM68"/>
    <mergeCell ref="BN68:BP68"/>
    <mergeCell ref="BQ68:BR68"/>
    <mergeCell ref="A69:C71"/>
    <mergeCell ref="F69:H71"/>
    <mergeCell ref="K69:M71"/>
    <mergeCell ref="P69:R71"/>
    <mergeCell ref="U69:W71"/>
    <mergeCell ref="Z69:AB71"/>
    <mergeCell ref="AE69:AG71"/>
    <mergeCell ref="AW68:AX68"/>
    <mergeCell ref="AY68:BA68"/>
    <mergeCell ref="BB68:BC68"/>
    <mergeCell ref="BD68:BF68"/>
    <mergeCell ref="BG68:BH68"/>
    <mergeCell ref="BI68:BK68"/>
    <mergeCell ref="AH68:AI68"/>
    <mergeCell ref="AJ68:AL68"/>
    <mergeCell ref="AM68:AN68"/>
    <mergeCell ref="BL71:BM71"/>
    <mergeCell ref="BQ71:BR71"/>
    <mergeCell ref="A72:A73"/>
    <mergeCell ref="B72:E72"/>
    <mergeCell ref="F72:F73"/>
    <mergeCell ref="G72:J72"/>
    <mergeCell ref="K72:K73"/>
    <mergeCell ref="L72:O72"/>
    <mergeCell ref="P72:P73"/>
    <mergeCell ref="Q72:T72"/>
    <mergeCell ref="BN69:BP71"/>
    <mergeCell ref="D71:E71"/>
    <mergeCell ref="I71:J71"/>
    <mergeCell ref="N71:O71"/>
    <mergeCell ref="S71:T71"/>
    <mergeCell ref="X71:Y71"/>
    <mergeCell ref="AC71:AD71"/>
    <mergeCell ref="AH71:AI71"/>
    <mergeCell ref="AM71:AN71"/>
    <mergeCell ref="AR71:AS71"/>
    <mergeCell ref="AJ69:AL71"/>
    <mergeCell ref="AO69:AQ71"/>
    <mergeCell ref="AT69:AV71"/>
    <mergeCell ref="AY69:BA71"/>
    <mergeCell ref="BN72:BN73"/>
    <mergeCell ref="BO72:BR72"/>
    <mergeCell ref="A75:C75"/>
    <mergeCell ref="D75:E75"/>
    <mergeCell ref="G75:I77"/>
    <mergeCell ref="A76:C78"/>
    <mergeCell ref="D78:E78"/>
    <mergeCell ref="G78:I80"/>
    <mergeCell ref="AY72:AY73"/>
    <mergeCell ref="AZ72:BC72"/>
    <mergeCell ref="BD72:BD73"/>
    <mergeCell ref="BE72:BH72"/>
    <mergeCell ref="BI72:BI73"/>
    <mergeCell ref="BJ72:BM72"/>
    <mergeCell ref="AJ72:AJ73"/>
    <mergeCell ref="AK72:AN72"/>
    <mergeCell ref="AO72:AO73"/>
    <mergeCell ref="AP72:AS72"/>
    <mergeCell ref="AT72:AT73"/>
    <mergeCell ref="AU72:AX72"/>
    <mergeCell ref="U72:U73"/>
    <mergeCell ref="V72:Y72"/>
    <mergeCell ref="Z72:Z73"/>
    <mergeCell ref="AA72:AD72"/>
    <mergeCell ref="AY87:BH89"/>
    <mergeCell ref="O88:V92"/>
    <mergeCell ref="AL90:AN93"/>
    <mergeCell ref="AO90:AQ93"/>
    <mergeCell ref="AR90:AS93"/>
    <mergeCell ref="AT90:AU93"/>
    <mergeCell ref="AY90:BH91"/>
    <mergeCell ref="AY92:BH94"/>
    <mergeCell ref="G81:I84"/>
    <mergeCell ref="AD87:AH93"/>
    <mergeCell ref="AL87:AN89"/>
    <mergeCell ref="AO87:AQ89"/>
    <mergeCell ref="AR87:AS89"/>
    <mergeCell ref="AT87:AU89"/>
    <mergeCell ref="AY95:BH96"/>
    <mergeCell ref="AN97:AP99"/>
    <mergeCell ref="AQ97:AS99"/>
    <mergeCell ref="AT97:AW99"/>
    <mergeCell ref="AY97:BH100"/>
    <mergeCell ref="AN100:AP102"/>
    <mergeCell ref="AQ100:AS102"/>
    <mergeCell ref="AT100:AW102"/>
    <mergeCell ref="AY101:BH105"/>
    <mergeCell ref="AN103:AP105"/>
    <mergeCell ref="AQ103:AS105"/>
    <mergeCell ref="AT103:AW105"/>
    <mergeCell ref="AQ106:AS108"/>
    <mergeCell ref="AT106:AW108"/>
    <mergeCell ref="A2:B4"/>
    <mergeCell ref="C2:E4"/>
    <mergeCell ref="F2:G4"/>
    <mergeCell ref="H2:J4"/>
    <mergeCell ref="K2:L4"/>
    <mergeCell ref="AE72:AE73"/>
    <mergeCell ref="AF72:AI72"/>
    <mergeCell ref="AO68:AQ68"/>
    <mergeCell ref="AR68:AS68"/>
    <mergeCell ref="AT68:AV68"/>
    <mergeCell ref="S68:T68"/>
    <mergeCell ref="U68:W68"/>
    <mergeCell ref="X68:Y68"/>
    <mergeCell ref="Z68:AB68"/>
    <mergeCell ref="AC68:AD68"/>
    <mergeCell ref="AE68:AG68"/>
    <mergeCell ref="V66:Y66"/>
    <mergeCell ref="Z66:Z67"/>
    <mergeCell ref="AA66:AD66"/>
    <mergeCell ref="AE66:AE67"/>
    <mergeCell ref="A63:C65"/>
    <mergeCell ref="F63:H65"/>
    <mergeCell ref="BD2:BE4"/>
    <mergeCell ref="BF2:BH4"/>
    <mergeCell ref="BI2:BJ4"/>
    <mergeCell ref="BK2:BM4"/>
    <mergeCell ref="BN2:BO4"/>
    <mergeCell ref="BP2:BR4"/>
    <mergeCell ref="Z2:AA4"/>
    <mergeCell ref="AB2:AD4"/>
    <mergeCell ref="AE2:AF4"/>
    <mergeCell ref="AG2:AI4"/>
    <mergeCell ref="AJ2:AK4"/>
    <mergeCell ref="AL2:AN4"/>
    <mergeCell ref="BA2:BC4"/>
    <mergeCell ref="AT2:AU4"/>
    <mergeCell ref="AV2:AX4"/>
    <mergeCell ref="AY2:AZ4"/>
    <mergeCell ref="AO2:AP4"/>
    <mergeCell ref="AQ2:AS4"/>
    <mergeCell ref="A14:B16"/>
    <mergeCell ref="C14:E16"/>
    <mergeCell ref="F14:G16"/>
    <mergeCell ref="H14:J16"/>
    <mergeCell ref="K14:L16"/>
    <mergeCell ref="M14:O16"/>
    <mergeCell ref="P14:Q16"/>
    <mergeCell ref="A8:B10"/>
    <mergeCell ref="C8:E10"/>
    <mergeCell ref="A12:A13"/>
    <mergeCell ref="B12:E12"/>
    <mergeCell ref="F12:F13"/>
    <mergeCell ref="G12:J12"/>
    <mergeCell ref="K12:K13"/>
    <mergeCell ref="L12:O12"/>
    <mergeCell ref="P12:P13"/>
    <mergeCell ref="Q12:T12"/>
    <mergeCell ref="R8:T10"/>
    <mergeCell ref="U12:U13"/>
    <mergeCell ref="V12:Y12"/>
    <mergeCell ref="Z12:Z13"/>
    <mergeCell ref="AA12:AD12"/>
    <mergeCell ref="BP20:BR23"/>
    <mergeCell ref="BI18:BI19"/>
    <mergeCell ref="BI14:BJ16"/>
    <mergeCell ref="BK14:BM16"/>
    <mergeCell ref="BN14:BO16"/>
    <mergeCell ref="BP14:BR16"/>
    <mergeCell ref="AO14:AP16"/>
    <mergeCell ref="AQ14:AS16"/>
    <mergeCell ref="AT14:AU16"/>
    <mergeCell ref="AV14:AX16"/>
    <mergeCell ref="AY14:AZ16"/>
    <mergeCell ref="BA14:BC16"/>
    <mergeCell ref="BI20:BJ23"/>
    <mergeCell ref="BK20:BM23"/>
    <mergeCell ref="BN20:BO23"/>
    <mergeCell ref="BA20:BC23"/>
    <mergeCell ref="BD20:BE23"/>
    <mergeCell ref="BF20:BH23"/>
    <mergeCell ref="AT20:AU23"/>
    <mergeCell ref="AV20:AX23"/>
    <mergeCell ref="AY20:AZ23"/>
    <mergeCell ref="AO20:AP23"/>
    <mergeCell ref="AQ20:AS23"/>
    <mergeCell ref="BJ18:BM18"/>
    <mergeCell ref="K20:L22"/>
    <mergeCell ref="M20:O22"/>
    <mergeCell ref="P20:Q22"/>
    <mergeCell ref="R20:T22"/>
    <mergeCell ref="AJ5:AN5"/>
    <mergeCell ref="AO5:AS5"/>
    <mergeCell ref="AT5:AX5"/>
    <mergeCell ref="AY5:BC5"/>
    <mergeCell ref="BD5:BH5"/>
    <mergeCell ref="K5:O5"/>
    <mergeCell ref="P5:T5"/>
    <mergeCell ref="U5:Y5"/>
    <mergeCell ref="K8:L10"/>
    <mergeCell ref="M8:O10"/>
    <mergeCell ref="P8:Q10"/>
    <mergeCell ref="R14:T16"/>
    <mergeCell ref="U14:V16"/>
    <mergeCell ref="AE20:AF23"/>
    <mergeCell ref="AG20:AI23"/>
    <mergeCell ref="AJ20:AK23"/>
    <mergeCell ref="AL20:AN23"/>
    <mergeCell ref="U20:V22"/>
    <mergeCell ref="W20:Y22"/>
    <mergeCell ref="Z20:AA22"/>
    <mergeCell ref="BI5:BM5"/>
    <mergeCell ref="BN5:BR5"/>
    <mergeCell ref="A11:E11"/>
    <mergeCell ref="F11:J11"/>
    <mergeCell ref="K11:O11"/>
    <mergeCell ref="P11:T11"/>
    <mergeCell ref="U11:Y11"/>
    <mergeCell ref="Z11:AD11"/>
    <mergeCell ref="AE11:AI11"/>
    <mergeCell ref="AJ11:AN11"/>
    <mergeCell ref="AO11:AS11"/>
    <mergeCell ref="AT11:AX11"/>
    <mergeCell ref="AY11:BC11"/>
    <mergeCell ref="BD11:BH11"/>
    <mergeCell ref="BI11:BM11"/>
    <mergeCell ref="BN11:BR11"/>
    <mergeCell ref="A5:E5"/>
    <mergeCell ref="F5:J5"/>
    <mergeCell ref="F8:G10"/>
    <mergeCell ref="H8:J10"/>
    <mergeCell ref="AT17:AX17"/>
    <mergeCell ref="AY17:BC17"/>
    <mergeCell ref="BD17:BH17"/>
    <mergeCell ref="BI17:BM17"/>
    <mergeCell ref="BN17:BR17"/>
    <mergeCell ref="A23:E23"/>
    <mergeCell ref="F23:J23"/>
    <mergeCell ref="K23:O23"/>
    <mergeCell ref="P23:T23"/>
    <mergeCell ref="U23:Y23"/>
    <mergeCell ref="Z23:AD23"/>
    <mergeCell ref="A17:E17"/>
    <mergeCell ref="F17:J17"/>
    <mergeCell ref="K17:O17"/>
    <mergeCell ref="P17:T17"/>
    <mergeCell ref="U17:Y17"/>
    <mergeCell ref="Z17:AD17"/>
    <mergeCell ref="AE17:AI17"/>
    <mergeCell ref="AJ17:AN17"/>
    <mergeCell ref="AO17:AS17"/>
    <mergeCell ref="A20:B22"/>
    <mergeCell ref="C20:E22"/>
    <mergeCell ref="F20:G22"/>
    <mergeCell ref="H20:J22"/>
  </mergeCells>
  <pageMargins left="0.25" right="0" top="0.7" bottom="0" header="0.3" footer="0.3"/>
  <pageSetup paperSize="8" scale="45" orientation="landscape" r:id="rId1"/>
  <headerFooter>
    <oddFooter>&amp;C&amp;"-,Bold Italic"&amp;16Prepared by Emir Cebecioglu&amp;RQuality Control Department</oddFooter>
  </headerFooter>
  <colBreaks count="1" manualBreakCount="1">
    <brk id="70" max="50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4AC5A-FD23-485B-B327-870A7E98496A}">
  <sheetPr>
    <pageSetUpPr fitToPage="1"/>
  </sheetPr>
  <dimension ref="A1:CB77"/>
  <sheetViews>
    <sheetView view="pageBreakPreview" zoomScale="70" zoomScaleNormal="70" zoomScaleSheetLayoutView="70" zoomScalePageLayoutView="55" workbookViewId="0">
      <selection activeCell="Z10" sqref="Z10:AC10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9.140625" customWidth="1"/>
    <col min="47" max="47" width="6.570312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1" customWidth="1"/>
    <col min="62" max="62" width="56.7109375" customWidth="1"/>
    <col min="63" max="63" width="13" customWidth="1"/>
    <col min="64" max="64" width="7" customWidth="1"/>
  </cols>
  <sheetData>
    <row r="1" spans="1:80" ht="283.5" customHeight="1" thickBot="1" x14ac:dyDescent="0.3"/>
    <row r="2" spans="1:80" ht="36" customHeight="1" thickTop="1" x14ac:dyDescent="0.25">
      <c r="A2" s="1371"/>
      <c r="B2" s="1371"/>
      <c r="C2" s="1371"/>
      <c r="D2" s="1371"/>
      <c r="E2" s="1370"/>
      <c r="F2" s="2000" t="s">
        <v>250</v>
      </c>
      <c r="G2" s="2001"/>
      <c r="H2" s="2001"/>
      <c r="I2" s="2006">
        <f>G7/((42*3.1415/59)*(60/3.281))</f>
        <v>2.4452351899431317E-11</v>
      </c>
      <c r="J2" s="2007"/>
      <c r="K2" s="2000" t="s">
        <v>250</v>
      </c>
      <c r="L2" s="2001"/>
      <c r="M2" s="2001"/>
      <c r="N2" s="2006">
        <f t="shared" ref="N2" si="0">L7/((42*3.1415/59)*(60/3.281))</f>
        <v>3.2912865656634552E-2</v>
      </c>
      <c r="O2" s="2007"/>
      <c r="P2" s="2000" t="s">
        <v>250</v>
      </c>
      <c r="Q2" s="2001"/>
      <c r="R2" s="2001"/>
      <c r="S2" s="2006">
        <f t="shared" ref="S2" si="1">Q7/((42*3.1415/59)*(60/3.281))</f>
        <v>4.4698899272160447E-2</v>
      </c>
      <c r="T2" s="2007"/>
      <c r="U2" s="2000" t="s">
        <v>250</v>
      </c>
      <c r="V2" s="2001"/>
      <c r="W2" s="2001"/>
      <c r="X2" s="2006">
        <f t="shared" ref="X2" si="2">V7/((42*3.1415/59)*(60/3.281))</f>
        <v>2.9171655816021561E-2</v>
      </c>
      <c r="Y2" s="2007"/>
      <c r="Z2" s="2000" t="s">
        <v>250</v>
      </c>
      <c r="AA2" s="2001"/>
      <c r="AB2" s="2001"/>
      <c r="AC2" s="2006">
        <f t="shared" ref="AC2" si="3">AA7/((42*3.1415/59)*(60/3.281))</f>
        <v>0.10805494304358698</v>
      </c>
      <c r="AD2" s="2007"/>
      <c r="AE2" s="2000" t="s">
        <v>250</v>
      </c>
      <c r="AF2" s="2001"/>
      <c r="AG2" s="2001"/>
      <c r="AH2" s="2006">
        <f t="shared" ref="AH2" si="4">AF7/((42*3.1415/59)*(60/3.281))</f>
        <v>1.9244000944852447E-2</v>
      </c>
      <c r="AI2" s="2007"/>
      <c r="AJ2" s="2000" t="s">
        <v>250</v>
      </c>
      <c r="AK2" s="2001"/>
      <c r="AL2" s="2001"/>
      <c r="AM2" s="2006">
        <f t="shared" ref="AM2" si="5">AK7/((42*3.1415/59)*(60/3.281))</f>
        <v>6.954248880198266E-2</v>
      </c>
      <c r="AN2" s="2007"/>
      <c r="AO2" s="2000" t="s">
        <v>250</v>
      </c>
      <c r="AP2" s="2001"/>
      <c r="AQ2" s="2001"/>
      <c r="AR2" s="2006">
        <f t="shared" ref="AR2" si="6">AP7/((42*3.1415/59)*(60/3.281))</f>
        <v>4.4698899272160447E-2</v>
      </c>
      <c r="AS2" s="2007"/>
      <c r="AT2" s="32"/>
      <c r="AU2" s="32"/>
      <c r="AV2" s="32"/>
      <c r="AW2" s="32"/>
      <c r="AX2" s="1370"/>
      <c r="AY2" s="674"/>
      <c r="AZ2" s="674"/>
      <c r="BA2" s="674"/>
      <c r="BB2" s="1300"/>
      <c r="BC2" s="1300"/>
      <c r="BD2" s="674"/>
      <c r="BE2" s="674"/>
      <c r="BF2" s="674"/>
      <c r="BG2" s="1300"/>
      <c r="BH2" s="1300"/>
      <c r="BM2" s="27"/>
      <c r="BN2" s="27"/>
      <c r="BO2" s="27"/>
      <c r="BP2" s="27"/>
      <c r="BQ2" s="27"/>
      <c r="BR2" s="27"/>
      <c r="BW2" s="27"/>
      <c r="BX2" s="27"/>
      <c r="BY2" s="27"/>
      <c r="BZ2" s="27"/>
      <c r="CA2" s="27"/>
      <c r="CB2" s="27"/>
    </row>
    <row r="3" spans="1:80" ht="9.9499999999999993" hidden="1" customHeight="1" x14ac:dyDescent="0.25">
      <c r="A3" s="32"/>
      <c r="B3" s="33"/>
      <c r="C3" s="34"/>
      <c r="D3" s="35"/>
      <c r="E3" s="1370"/>
      <c r="F3" s="2002"/>
      <c r="G3" s="2003"/>
      <c r="H3" s="2003"/>
      <c r="I3" s="2008"/>
      <c r="J3" s="2009"/>
      <c r="K3" s="2002"/>
      <c r="L3" s="2003"/>
      <c r="M3" s="2003"/>
      <c r="N3" s="2008"/>
      <c r="O3" s="2009"/>
      <c r="P3" s="2002"/>
      <c r="Q3" s="2003"/>
      <c r="R3" s="2003"/>
      <c r="S3" s="2008"/>
      <c r="T3" s="2009"/>
      <c r="U3" s="2002"/>
      <c r="V3" s="2003"/>
      <c r="W3" s="2003"/>
      <c r="X3" s="2008"/>
      <c r="Y3" s="2009"/>
      <c r="Z3" s="2002"/>
      <c r="AA3" s="2003"/>
      <c r="AB3" s="2003"/>
      <c r="AC3" s="2008"/>
      <c r="AD3" s="2009"/>
      <c r="AE3" s="2002"/>
      <c r="AF3" s="2003"/>
      <c r="AG3" s="2003"/>
      <c r="AH3" s="2008"/>
      <c r="AI3" s="2009"/>
      <c r="AJ3" s="2002"/>
      <c r="AK3" s="2003"/>
      <c r="AL3" s="2003"/>
      <c r="AM3" s="2008"/>
      <c r="AN3" s="2009"/>
      <c r="AO3" s="2002"/>
      <c r="AP3" s="2003"/>
      <c r="AQ3" s="2003"/>
      <c r="AR3" s="2008"/>
      <c r="AS3" s="2009"/>
      <c r="AT3" s="32"/>
      <c r="AU3" s="32"/>
      <c r="AV3" s="32"/>
      <c r="AW3" s="32"/>
      <c r="AX3" s="1370"/>
      <c r="AY3" s="676"/>
      <c r="AZ3" s="676"/>
      <c r="BA3" s="676"/>
      <c r="BB3" s="36"/>
      <c r="BC3" s="36"/>
      <c r="BD3" s="676"/>
      <c r="BE3" s="676"/>
      <c r="BF3" s="676"/>
      <c r="BG3" s="36"/>
      <c r="BH3" s="36"/>
    </row>
    <row r="4" spans="1:80" ht="24.95" hidden="1" customHeight="1" x14ac:dyDescent="0.25">
      <c r="A4" s="1371"/>
      <c r="B4" s="1371"/>
      <c r="C4" s="1371"/>
      <c r="D4" s="1371"/>
      <c r="E4" s="1370"/>
      <c r="F4" s="2002"/>
      <c r="G4" s="2003"/>
      <c r="H4" s="2003"/>
      <c r="I4" s="2008"/>
      <c r="J4" s="2009"/>
      <c r="K4" s="2002"/>
      <c r="L4" s="2003"/>
      <c r="M4" s="2003"/>
      <c r="N4" s="2008"/>
      <c r="O4" s="2009"/>
      <c r="P4" s="2002"/>
      <c r="Q4" s="2003"/>
      <c r="R4" s="2003"/>
      <c r="S4" s="2008"/>
      <c r="T4" s="2009"/>
      <c r="U4" s="2002"/>
      <c r="V4" s="2003"/>
      <c r="W4" s="2003"/>
      <c r="X4" s="2008"/>
      <c r="Y4" s="2009"/>
      <c r="Z4" s="2002"/>
      <c r="AA4" s="2003"/>
      <c r="AB4" s="2003"/>
      <c r="AC4" s="2008"/>
      <c r="AD4" s="2009"/>
      <c r="AE4" s="2002"/>
      <c r="AF4" s="2003"/>
      <c r="AG4" s="2003"/>
      <c r="AH4" s="2008"/>
      <c r="AI4" s="2009"/>
      <c r="AJ4" s="2002"/>
      <c r="AK4" s="2003"/>
      <c r="AL4" s="2003"/>
      <c r="AM4" s="2008"/>
      <c r="AN4" s="2009"/>
      <c r="AO4" s="2002"/>
      <c r="AP4" s="2003"/>
      <c r="AQ4" s="2003"/>
      <c r="AR4" s="2008"/>
      <c r="AS4" s="2009"/>
      <c r="AT4" s="32"/>
      <c r="AU4" s="32"/>
      <c r="AV4" s="32"/>
      <c r="AW4" s="32"/>
      <c r="AX4" s="1370"/>
      <c r="AY4" s="676"/>
      <c r="AZ4" s="676"/>
      <c r="BA4" s="676"/>
      <c r="BB4" s="36"/>
      <c r="BC4" s="36"/>
      <c r="BD4" s="676"/>
      <c r="BE4" s="676"/>
      <c r="BF4" s="676"/>
      <c r="BG4" s="36"/>
      <c r="BH4" s="36"/>
    </row>
    <row r="5" spans="1:80" ht="25.5" customHeight="1" x14ac:dyDescent="0.25">
      <c r="A5" s="32"/>
      <c r="B5" s="33"/>
      <c r="C5" s="34"/>
      <c r="D5" s="35"/>
      <c r="E5" s="1370"/>
      <c r="F5" s="2004"/>
      <c r="G5" s="2005"/>
      <c r="H5" s="2005"/>
      <c r="I5" s="2010"/>
      <c r="J5" s="2011"/>
      <c r="K5" s="2004"/>
      <c r="L5" s="2005"/>
      <c r="M5" s="2005"/>
      <c r="N5" s="2010"/>
      <c r="O5" s="2011"/>
      <c r="P5" s="2004"/>
      <c r="Q5" s="2005"/>
      <c r="R5" s="2005"/>
      <c r="S5" s="2010"/>
      <c r="T5" s="2011"/>
      <c r="U5" s="2004"/>
      <c r="V5" s="2005"/>
      <c r="W5" s="2005"/>
      <c r="X5" s="2010"/>
      <c r="Y5" s="2011"/>
      <c r="Z5" s="2004"/>
      <c r="AA5" s="2005"/>
      <c r="AB5" s="2005"/>
      <c r="AC5" s="2010"/>
      <c r="AD5" s="2011"/>
      <c r="AE5" s="2004"/>
      <c r="AF5" s="2005"/>
      <c r="AG5" s="2005"/>
      <c r="AH5" s="2010"/>
      <c r="AI5" s="2011"/>
      <c r="AJ5" s="2004"/>
      <c r="AK5" s="2005"/>
      <c r="AL5" s="2005"/>
      <c r="AM5" s="2010"/>
      <c r="AN5" s="2011"/>
      <c r="AO5" s="2004"/>
      <c r="AP5" s="2005"/>
      <c r="AQ5" s="2005"/>
      <c r="AR5" s="2010"/>
      <c r="AS5" s="2011"/>
      <c r="AT5" s="32"/>
      <c r="AU5" s="32"/>
      <c r="AV5" s="32"/>
      <c r="AW5" s="32"/>
      <c r="AX5" s="1370"/>
      <c r="AY5" s="676"/>
      <c r="AZ5" s="676"/>
      <c r="BA5" s="676"/>
      <c r="BB5" s="36"/>
      <c r="BC5" s="36"/>
      <c r="BD5" s="676"/>
      <c r="BE5" s="676"/>
      <c r="BF5" s="676"/>
      <c r="BG5" s="36"/>
      <c r="BH5" s="36"/>
    </row>
    <row r="6" spans="1:80" ht="72" customHeight="1" x14ac:dyDescent="0.25">
      <c r="A6" s="1371"/>
      <c r="B6" s="1371"/>
      <c r="C6" s="1371"/>
      <c r="D6" s="1371"/>
      <c r="E6" s="1370"/>
      <c r="F6" s="1721" t="s">
        <v>474</v>
      </c>
      <c r="G6" s="1714">
        <v>1</v>
      </c>
      <c r="H6" s="1715"/>
      <c r="I6" s="1715"/>
      <c r="J6" s="1716"/>
      <c r="K6" s="1721" t="s">
        <v>474</v>
      </c>
      <c r="L6" s="1714">
        <v>2</v>
      </c>
      <c r="M6" s="1715"/>
      <c r="N6" s="1715"/>
      <c r="O6" s="1716"/>
      <c r="P6" s="1721" t="s">
        <v>474</v>
      </c>
      <c r="Q6" s="1714">
        <v>3</v>
      </c>
      <c r="R6" s="1715"/>
      <c r="S6" s="1715"/>
      <c r="T6" s="1716"/>
      <c r="U6" s="1721" t="s">
        <v>474</v>
      </c>
      <c r="V6" s="1714">
        <v>4</v>
      </c>
      <c r="W6" s="1715"/>
      <c r="X6" s="1715"/>
      <c r="Y6" s="1716"/>
      <c r="Z6" s="1721" t="s">
        <v>474</v>
      </c>
      <c r="AA6" s="1714">
        <v>5</v>
      </c>
      <c r="AB6" s="1715"/>
      <c r="AC6" s="1715"/>
      <c r="AD6" s="1716"/>
      <c r="AE6" s="1721" t="s">
        <v>474</v>
      </c>
      <c r="AF6" s="1714">
        <v>6</v>
      </c>
      <c r="AG6" s="1715"/>
      <c r="AH6" s="1715"/>
      <c r="AI6" s="1716"/>
      <c r="AJ6" s="1721" t="s">
        <v>474</v>
      </c>
      <c r="AK6" s="1714">
        <v>7</v>
      </c>
      <c r="AL6" s="1715"/>
      <c r="AM6" s="1715"/>
      <c r="AN6" s="1716"/>
      <c r="AO6" s="1721" t="s">
        <v>474</v>
      </c>
      <c r="AP6" s="1714">
        <v>8</v>
      </c>
      <c r="AQ6" s="1715"/>
      <c r="AR6" s="1715"/>
      <c r="AS6" s="1716"/>
      <c r="AT6" s="32"/>
      <c r="AU6" s="32"/>
      <c r="AV6" s="32"/>
      <c r="AW6" s="32"/>
      <c r="AX6" s="1370"/>
      <c r="AY6" s="677"/>
      <c r="AZ6" s="1332"/>
      <c r="BA6" s="1332"/>
      <c r="BB6" s="1332"/>
      <c r="BC6" s="1332"/>
      <c r="BD6" s="677"/>
      <c r="BE6" s="1332"/>
      <c r="BF6" s="1332"/>
      <c r="BG6" s="1332"/>
      <c r="BH6" s="1332"/>
      <c r="BM6" s="27"/>
      <c r="BN6" s="27"/>
      <c r="BO6" s="27"/>
      <c r="BP6" s="27"/>
      <c r="BQ6" s="27"/>
      <c r="BR6" s="27"/>
      <c r="BW6" s="27"/>
      <c r="BX6" s="27"/>
      <c r="BY6" s="27"/>
      <c r="BZ6" s="27"/>
      <c r="CA6" s="27"/>
      <c r="CB6" s="27"/>
    </row>
    <row r="7" spans="1:80" ht="35.1" customHeight="1" thickBot="1" x14ac:dyDescent="0.3">
      <c r="A7" s="32"/>
      <c r="B7" s="33"/>
      <c r="C7" s="34"/>
      <c r="D7" s="35"/>
      <c r="E7" s="1370"/>
      <c r="F7" s="1722"/>
      <c r="G7" s="241">
        <v>1.0000000000000001E-9</v>
      </c>
      <c r="H7" s="242" t="s">
        <v>113</v>
      </c>
      <c r="I7" s="243"/>
      <c r="J7" s="244" t="s">
        <v>114</v>
      </c>
      <c r="K7" s="1722"/>
      <c r="L7" s="241">
        <v>1.3460000000000001</v>
      </c>
      <c r="M7" s="242" t="s">
        <v>113</v>
      </c>
      <c r="N7" s="243"/>
      <c r="O7" s="244" t="s">
        <v>114</v>
      </c>
      <c r="P7" s="1722"/>
      <c r="Q7" s="241">
        <v>1.8280000000000001</v>
      </c>
      <c r="R7" s="242" t="s">
        <v>113</v>
      </c>
      <c r="S7" s="243">
        <v>1</v>
      </c>
      <c r="T7" s="244" t="s">
        <v>114</v>
      </c>
      <c r="U7" s="1722"/>
      <c r="V7" s="241">
        <v>1.1930000000000001</v>
      </c>
      <c r="W7" s="242" t="s">
        <v>113</v>
      </c>
      <c r="X7" s="243"/>
      <c r="Y7" s="244" t="s">
        <v>114</v>
      </c>
      <c r="Z7" s="1722"/>
      <c r="AA7" s="241">
        <v>4.4189999999999996</v>
      </c>
      <c r="AB7" s="242" t="s">
        <v>113</v>
      </c>
      <c r="AC7" s="243">
        <v>1</v>
      </c>
      <c r="AD7" s="244" t="s">
        <v>114</v>
      </c>
      <c r="AE7" s="1722"/>
      <c r="AF7" s="241">
        <v>0.78700000000000003</v>
      </c>
      <c r="AG7" s="242" t="s">
        <v>113</v>
      </c>
      <c r="AH7" s="243"/>
      <c r="AI7" s="244" t="s">
        <v>114</v>
      </c>
      <c r="AJ7" s="1722"/>
      <c r="AK7" s="241">
        <v>2.8439999999999999</v>
      </c>
      <c r="AL7" s="242" t="s">
        <v>113</v>
      </c>
      <c r="AM7" s="243">
        <v>1</v>
      </c>
      <c r="AN7" s="244" t="s">
        <v>114</v>
      </c>
      <c r="AO7" s="1722"/>
      <c r="AP7" s="241">
        <v>1.8280000000000001</v>
      </c>
      <c r="AQ7" s="242" t="s">
        <v>113</v>
      </c>
      <c r="AR7" s="243"/>
      <c r="AS7" s="244" t="s">
        <v>114</v>
      </c>
      <c r="AT7" s="32"/>
      <c r="AU7" s="32"/>
      <c r="AV7" s="32"/>
      <c r="AW7" s="32"/>
      <c r="AX7" s="1370"/>
      <c r="AY7" s="677"/>
      <c r="AZ7" s="137"/>
      <c r="BA7" s="33"/>
      <c r="BB7" s="138"/>
      <c r="BC7" s="35"/>
      <c r="BD7" s="677"/>
      <c r="BE7" s="137"/>
      <c r="BF7" s="33"/>
      <c r="BG7" s="138"/>
      <c r="BH7" s="35"/>
      <c r="BM7" s="27"/>
      <c r="BN7" s="27"/>
      <c r="BO7" s="27"/>
      <c r="BP7" s="27"/>
      <c r="BQ7" s="27"/>
      <c r="BR7" s="27"/>
      <c r="BW7" s="27"/>
      <c r="BX7" s="27"/>
      <c r="BY7" s="27"/>
      <c r="BZ7" s="27"/>
      <c r="CA7" s="27"/>
      <c r="CB7" s="27"/>
    </row>
    <row r="8" spans="1:80" ht="30" customHeight="1" thickTop="1" x14ac:dyDescent="0.25">
      <c r="A8" s="1371"/>
      <c r="B8" s="1371"/>
      <c r="C8" s="1371"/>
      <c r="D8" s="1371"/>
      <c r="E8" s="1370"/>
      <c r="F8" s="1371"/>
      <c r="G8" s="1371"/>
      <c r="H8" s="1371"/>
      <c r="I8" s="1371"/>
      <c r="J8" s="1370"/>
      <c r="K8" s="1371"/>
      <c r="L8" s="1371"/>
      <c r="M8" s="1371"/>
      <c r="N8" s="1371"/>
      <c r="O8" s="1370"/>
      <c r="P8" s="1371"/>
      <c r="Q8" s="1371"/>
      <c r="R8" s="1371"/>
      <c r="S8" s="1371"/>
      <c r="T8" s="1370"/>
      <c r="U8" s="1371"/>
      <c r="V8" s="1371"/>
      <c r="W8" s="1371"/>
      <c r="X8" s="1371"/>
      <c r="Y8" s="1370"/>
      <c r="Z8" s="1371"/>
      <c r="AA8" s="1371"/>
      <c r="AB8" s="1371"/>
      <c r="AC8" s="1371"/>
      <c r="AD8" s="1370"/>
      <c r="AE8" s="1371"/>
      <c r="AF8" s="1371"/>
      <c r="AG8" s="1371"/>
      <c r="AH8" s="1371"/>
      <c r="AI8" s="1370"/>
      <c r="AJ8" s="1371"/>
      <c r="AK8" s="1371"/>
      <c r="AL8" s="1371"/>
      <c r="AM8" s="1371"/>
      <c r="AN8" s="1370"/>
      <c r="AO8" s="165"/>
      <c r="AP8" s="1997"/>
      <c r="AQ8" s="1998"/>
      <c r="AR8" s="1998"/>
      <c r="AS8" s="1998"/>
      <c r="AT8" s="1998"/>
      <c r="AU8" s="1998"/>
      <c r="AV8" s="1998"/>
      <c r="AW8" s="1998"/>
      <c r="AX8" s="165"/>
      <c r="AY8" s="674"/>
      <c r="AZ8" s="674"/>
      <c r="BA8" s="674"/>
      <c r="BB8" s="1300"/>
      <c r="BC8" s="1300"/>
      <c r="BD8" s="674"/>
      <c r="BE8" s="674"/>
      <c r="BF8" s="674"/>
      <c r="BG8" s="1300"/>
      <c r="BH8" s="1300"/>
      <c r="BM8" s="27"/>
      <c r="BN8" s="27"/>
      <c r="BO8" s="27"/>
      <c r="BP8" s="27"/>
      <c r="BQ8" s="27"/>
      <c r="BR8" s="27"/>
      <c r="BW8" s="27"/>
      <c r="BX8" s="27"/>
      <c r="BY8" s="27"/>
      <c r="BZ8" s="27"/>
      <c r="CA8" s="27"/>
      <c r="CB8" s="27"/>
    </row>
    <row r="9" spans="1:80" ht="30" customHeight="1" x14ac:dyDescent="0.25">
      <c r="A9" s="32"/>
      <c r="B9" s="33"/>
      <c r="C9" s="34"/>
      <c r="D9" s="35"/>
      <c r="E9" s="1370"/>
      <c r="F9" s="32"/>
      <c r="G9" s="33"/>
      <c r="H9" s="34"/>
      <c r="I9" s="35"/>
      <c r="J9" s="1370"/>
      <c r="K9" s="32"/>
      <c r="L9" s="33"/>
      <c r="M9" s="34"/>
      <c r="N9" s="35"/>
      <c r="O9" s="1370"/>
      <c r="P9" s="32"/>
      <c r="Q9" s="33"/>
      <c r="R9" s="34"/>
      <c r="S9" s="35"/>
      <c r="T9" s="1370"/>
      <c r="U9" s="32"/>
      <c r="V9" s="33"/>
      <c r="W9" s="34"/>
      <c r="X9" s="35"/>
      <c r="Y9" s="1370"/>
      <c r="Z9" s="32"/>
      <c r="AA9" s="33"/>
      <c r="AB9" s="34"/>
      <c r="AC9" s="35"/>
      <c r="AD9" s="1370"/>
      <c r="AE9" s="32"/>
      <c r="AF9" s="33"/>
      <c r="AG9" s="34"/>
      <c r="AH9" s="35"/>
      <c r="AI9" s="1370"/>
      <c r="AJ9" s="32"/>
      <c r="AK9" s="33"/>
      <c r="AL9" s="34"/>
      <c r="AM9" s="35"/>
      <c r="AN9" s="1370"/>
      <c r="AO9" s="165"/>
      <c r="AP9" s="1998"/>
      <c r="AQ9" s="1998"/>
      <c r="AR9" s="1998"/>
      <c r="AS9" s="1998"/>
      <c r="AT9" s="1998"/>
      <c r="AU9" s="1998"/>
      <c r="AV9" s="1998"/>
      <c r="AW9" s="1998"/>
      <c r="AX9" s="165"/>
      <c r="AY9" s="676"/>
      <c r="AZ9" s="676"/>
      <c r="BA9" s="676"/>
      <c r="BB9" s="36"/>
      <c r="BC9" s="36"/>
      <c r="BD9" s="676"/>
      <c r="BE9" s="676"/>
      <c r="BF9" s="676"/>
      <c r="BG9" s="36"/>
      <c r="BH9" s="36"/>
    </row>
    <row r="10" spans="1:80" ht="30" customHeight="1" x14ac:dyDescent="0.25">
      <c r="A10" s="1371"/>
      <c r="B10" s="1371"/>
      <c r="C10" s="1371"/>
      <c r="D10" s="1371"/>
      <c r="E10" s="1370"/>
      <c r="F10" s="1371"/>
      <c r="G10" s="1371"/>
      <c r="H10" s="1371"/>
      <c r="I10" s="1371"/>
      <c r="J10" s="1370"/>
      <c r="K10" s="1371"/>
      <c r="L10" s="1371"/>
      <c r="M10" s="1371"/>
      <c r="N10" s="1371"/>
      <c r="O10" s="1370"/>
      <c r="P10" s="1371"/>
      <c r="Q10" s="1371"/>
      <c r="R10" s="1371"/>
      <c r="S10" s="1371"/>
      <c r="T10" s="1370"/>
      <c r="U10" s="1371"/>
      <c r="V10" s="1371"/>
      <c r="W10" s="1371"/>
      <c r="X10" s="1371"/>
      <c r="Y10" s="1370"/>
      <c r="Z10" s="1371"/>
      <c r="AA10" s="1371"/>
      <c r="AB10" s="1371"/>
      <c r="AC10" s="1371"/>
      <c r="AD10" s="1370"/>
      <c r="AE10" s="1371"/>
      <c r="AF10" s="1371"/>
      <c r="AG10" s="1371"/>
      <c r="AH10" s="1371"/>
      <c r="AI10" s="1370"/>
      <c r="AJ10" s="1371"/>
      <c r="AK10" s="1371"/>
      <c r="AL10" s="1371"/>
      <c r="AM10" s="1371"/>
      <c r="AN10" s="1370"/>
      <c r="AO10" s="165"/>
      <c r="AP10" s="1998"/>
      <c r="AQ10" s="1998"/>
      <c r="AR10" s="1998"/>
      <c r="AS10" s="1998"/>
      <c r="AT10" s="1998"/>
      <c r="AU10" s="1998"/>
      <c r="AV10" s="1998"/>
      <c r="AW10" s="1998"/>
      <c r="AX10" s="165"/>
      <c r="AY10" s="676"/>
      <c r="AZ10" s="676"/>
      <c r="BA10" s="676"/>
      <c r="BB10" s="36"/>
      <c r="BC10" s="36"/>
      <c r="BD10" s="676"/>
      <c r="BE10" s="676"/>
      <c r="BF10" s="676"/>
      <c r="BG10" s="36"/>
      <c r="BH10" s="36"/>
    </row>
    <row r="11" spans="1:80" ht="30" customHeight="1" x14ac:dyDescent="0.25">
      <c r="A11" s="32"/>
      <c r="B11" s="33"/>
      <c r="C11" s="34"/>
      <c r="D11" s="35"/>
      <c r="E11" s="1370"/>
      <c r="F11" s="32"/>
      <c r="G11" s="33"/>
      <c r="H11" s="34"/>
      <c r="I11" s="35"/>
      <c r="J11" s="1370"/>
      <c r="K11" s="32"/>
      <c r="L11" s="33"/>
      <c r="M11" s="34"/>
      <c r="N11" s="35"/>
      <c r="O11" s="1370"/>
      <c r="P11" s="32"/>
      <c r="Q11" s="33"/>
      <c r="R11" s="34"/>
      <c r="S11" s="35"/>
      <c r="T11" s="1370"/>
      <c r="U11" s="32"/>
      <c r="V11" s="33"/>
      <c r="W11" s="34"/>
      <c r="X11" s="35"/>
      <c r="Y11" s="1370"/>
      <c r="Z11" s="32"/>
      <c r="AA11" s="33"/>
      <c r="AB11" s="34"/>
      <c r="AC11" s="35"/>
      <c r="AD11" s="1370"/>
      <c r="AE11" s="32"/>
      <c r="AF11" s="33"/>
      <c r="AG11" s="34"/>
      <c r="AH11" s="35"/>
      <c r="AI11" s="1370"/>
      <c r="AJ11" s="32"/>
      <c r="AK11" s="33"/>
      <c r="AL11" s="34"/>
      <c r="AM11" s="35"/>
      <c r="AN11" s="1370"/>
      <c r="AO11" s="165"/>
      <c r="AP11" s="1998"/>
      <c r="AQ11" s="1998"/>
      <c r="AR11" s="1998"/>
      <c r="AS11" s="1998"/>
      <c r="AT11" s="1998"/>
      <c r="AU11" s="1998"/>
      <c r="AV11" s="1998"/>
      <c r="AW11" s="1998"/>
      <c r="AX11" s="165"/>
      <c r="AY11" s="676"/>
      <c r="AZ11" s="676"/>
      <c r="BA11" s="676"/>
      <c r="BB11" s="36"/>
      <c r="BC11" s="36"/>
      <c r="BD11" s="676"/>
      <c r="BE11" s="676"/>
      <c r="BF11" s="676"/>
      <c r="BG11" s="36"/>
      <c r="BH11" s="36"/>
    </row>
    <row r="12" spans="1:80" ht="30" customHeight="1" x14ac:dyDescent="0.25">
      <c r="A12" s="1371"/>
      <c r="B12" s="1371"/>
      <c r="C12" s="1371"/>
      <c r="D12" s="1371"/>
      <c r="E12" s="1370"/>
      <c r="F12" s="1371"/>
      <c r="G12" s="1371"/>
      <c r="H12" s="1371"/>
      <c r="I12" s="1371"/>
      <c r="J12" s="1370"/>
      <c r="K12" s="1371"/>
      <c r="L12" s="1371"/>
      <c r="M12" s="1371"/>
      <c r="N12" s="1371"/>
      <c r="O12" s="1370"/>
      <c r="P12" s="1371"/>
      <c r="Q12" s="1371"/>
      <c r="R12" s="1371"/>
      <c r="S12" s="1371"/>
      <c r="T12" s="1370"/>
      <c r="U12" s="1371"/>
      <c r="V12" s="1371"/>
      <c r="W12" s="1371"/>
      <c r="X12" s="1371"/>
      <c r="Y12" s="1370"/>
      <c r="Z12" s="1371"/>
      <c r="AA12" s="1371"/>
      <c r="AB12" s="1371"/>
      <c r="AC12" s="1371"/>
      <c r="AD12" s="1370"/>
      <c r="AE12" s="1371"/>
      <c r="AF12" s="1371"/>
      <c r="AG12" s="1371"/>
      <c r="AH12" s="1371"/>
      <c r="AI12" s="1370"/>
      <c r="AJ12" s="1371"/>
      <c r="AK12" s="1371"/>
      <c r="AL12" s="1371"/>
      <c r="AM12" s="1371"/>
      <c r="AN12" s="1370"/>
      <c r="AO12" s="165"/>
      <c r="AP12" s="165"/>
      <c r="AQ12" s="165"/>
      <c r="AR12" s="165"/>
      <c r="AS12" s="165"/>
      <c r="AT12" s="165"/>
      <c r="AU12" s="165"/>
      <c r="AV12" s="165"/>
      <c r="AW12" s="165"/>
      <c r="AX12" s="165"/>
      <c r="AY12" s="677"/>
      <c r="AZ12" s="1332"/>
      <c r="BA12" s="1332"/>
      <c r="BB12" s="1332"/>
      <c r="BC12" s="1332"/>
      <c r="BD12" s="677"/>
      <c r="BE12" s="1332"/>
      <c r="BF12" s="1332"/>
      <c r="BG12" s="1332"/>
      <c r="BH12" s="1332"/>
      <c r="BM12" s="51"/>
      <c r="BN12" s="51"/>
      <c r="BO12" s="51"/>
      <c r="BP12" s="51"/>
      <c r="BQ12" s="51"/>
      <c r="BR12" s="51"/>
      <c r="BW12" s="27"/>
      <c r="BX12" s="27"/>
      <c r="BY12" s="27"/>
      <c r="BZ12" s="27"/>
      <c r="CA12" s="27"/>
      <c r="CB12" s="27"/>
    </row>
    <row r="13" spans="1:80" ht="30" customHeight="1" x14ac:dyDescent="0.25">
      <c r="A13" s="32"/>
      <c r="B13" s="33"/>
      <c r="C13" s="34"/>
      <c r="D13" s="35"/>
      <c r="E13" s="1370"/>
      <c r="F13" s="32"/>
      <c r="G13" s="33"/>
      <c r="H13" s="34"/>
      <c r="I13" s="35"/>
      <c r="J13" s="1370"/>
      <c r="K13" s="32"/>
      <c r="L13" s="33"/>
      <c r="M13" s="34"/>
      <c r="N13" s="35"/>
      <c r="O13" s="1370"/>
      <c r="P13" s="32"/>
      <c r="Q13" s="33"/>
      <c r="R13" s="34"/>
      <c r="S13" s="35"/>
      <c r="T13" s="1370"/>
      <c r="U13" s="32"/>
      <c r="V13" s="33"/>
      <c r="W13" s="34"/>
      <c r="X13" s="35"/>
      <c r="Y13" s="1370"/>
      <c r="Z13" s="32"/>
      <c r="AA13" s="33"/>
      <c r="AB13" s="34"/>
      <c r="AC13" s="35"/>
      <c r="AD13" s="1370"/>
      <c r="AE13" s="32"/>
      <c r="AF13" s="33"/>
      <c r="AG13" s="34"/>
      <c r="AH13" s="35"/>
      <c r="AI13" s="1370"/>
      <c r="AJ13" s="32"/>
      <c r="AK13" s="33"/>
      <c r="AL13" s="34"/>
      <c r="AM13" s="35"/>
      <c r="AN13" s="1370"/>
      <c r="AO13" s="165"/>
      <c r="AP13" s="165"/>
      <c r="AQ13" s="165"/>
      <c r="AR13" s="165"/>
      <c r="AS13" s="165"/>
      <c r="AT13" s="165"/>
      <c r="AU13" s="165"/>
      <c r="AV13" s="165"/>
      <c r="AW13" s="165"/>
      <c r="AX13" s="165"/>
      <c r="AY13" s="677"/>
      <c r="AZ13" s="137"/>
      <c r="BA13" s="33"/>
      <c r="BB13" s="138"/>
      <c r="BC13" s="35"/>
      <c r="BD13" s="677"/>
      <c r="BE13" s="137"/>
      <c r="BF13" s="33"/>
      <c r="BG13" s="138"/>
      <c r="BH13" s="35"/>
      <c r="BM13" s="51"/>
      <c r="BN13" s="51"/>
      <c r="BO13" s="51"/>
      <c r="BP13" s="51"/>
      <c r="BQ13" s="51"/>
      <c r="BR13" s="51"/>
      <c r="BW13" s="27"/>
      <c r="BX13" s="27"/>
      <c r="BY13" s="27"/>
      <c r="BZ13" s="27"/>
      <c r="CA13" s="27"/>
      <c r="CB13" s="27"/>
    </row>
    <row r="14" spans="1:80" ht="39.950000000000003" hidden="1" customHeight="1" thickTop="1" x14ac:dyDescent="0.25">
      <c r="A14" s="1695" t="s">
        <v>250</v>
      </c>
      <c r="B14" s="1696"/>
      <c r="C14" s="1696"/>
      <c r="D14" s="1697">
        <f>B19/((42*3.1415/59)*(30/3.281))</f>
        <v>0</v>
      </c>
      <c r="E14" s="1698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Z14" s="44"/>
      <c r="AA14" s="44"/>
      <c r="AB14" s="44"/>
      <c r="AC14" s="44"/>
      <c r="AD14" s="44"/>
      <c r="AE14" s="44"/>
      <c r="AF14" s="44"/>
      <c r="AG14" s="44"/>
      <c r="AH14" s="69"/>
      <c r="AI14" s="69"/>
      <c r="AJ14" s="44"/>
      <c r="AK14" s="44"/>
      <c r="AL14" s="44"/>
      <c r="AM14" s="69"/>
      <c r="AN14" s="69"/>
      <c r="AO14" s="674"/>
      <c r="AP14" s="674"/>
      <c r="AQ14" s="674"/>
      <c r="AR14" s="1300"/>
      <c r="AS14" s="1300"/>
      <c r="AT14" s="1389"/>
      <c r="AU14" s="1389"/>
      <c r="AV14" s="1389"/>
      <c r="AW14" s="1390"/>
      <c r="AX14" s="1390"/>
      <c r="AY14" s="674"/>
      <c r="AZ14" s="674"/>
      <c r="BA14" s="674"/>
      <c r="BB14" s="1300"/>
      <c r="BC14" s="1300"/>
      <c r="BD14" s="674"/>
      <c r="BE14" s="674"/>
      <c r="BF14" s="674"/>
      <c r="BG14" s="1300"/>
      <c r="BH14" s="1300"/>
      <c r="BM14" s="51"/>
      <c r="BN14" s="51"/>
      <c r="BO14" s="51"/>
      <c r="BP14" s="51"/>
      <c r="BQ14" s="51"/>
      <c r="BR14" s="51"/>
      <c r="BW14" s="27"/>
      <c r="BX14" s="27"/>
      <c r="BY14" s="27"/>
      <c r="BZ14" s="27"/>
      <c r="CA14" s="27"/>
      <c r="CB14" s="27"/>
    </row>
    <row r="15" spans="1:80" ht="9.9499999999999993" hidden="1" customHeight="1" x14ac:dyDescent="0.25">
      <c r="A15" s="1379" t="s">
        <v>252</v>
      </c>
      <c r="B15" s="1380"/>
      <c r="C15" s="1380"/>
      <c r="D15" s="1380"/>
      <c r="E15" s="1381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Z15" s="47"/>
      <c r="AA15" s="47"/>
      <c r="AB15" s="47"/>
      <c r="AC15" s="47"/>
      <c r="AD15" s="47"/>
      <c r="AE15" s="47"/>
      <c r="AF15" s="47"/>
      <c r="AG15" s="47"/>
      <c r="AH15" s="36"/>
      <c r="AI15" s="36"/>
      <c r="AJ15" s="47"/>
      <c r="AK15" s="47"/>
      <c r="AL15" s="47"/>
      <c r="AM15" s="36"/>
      <c r="AN15" s="36"/>
      <c r="AO15" s="676"/>
      <c r="AP15" s="676"/>
      <c r="AQ15" s="676"/>
      <c r="AR15" s="36"/>
      <c r="AS15" s="36"/>
      <c r="AT15" s="1388"/>
      <c r="AU15" s="1388"/>
      <c r="AV15" s="1388"/>
      <c r="AW15" s="139"/>
      <c r="AX15" s="139"/>
      <c r="AY15" s="676"/>
      <c r="AZ15" s="676"/>
      <c r="BA15" s="676"/>
      <c r="BB15" s="36"/>
      <c r="BC15" s="36"/>
      <c r="BD15" s="676"/>
      <c r="BE15" s="676"/>
      <c r="BF15" s="676"/>
      <c r="BG15" s="36"/>
      <c r="BH15" s="36"/>
    </row>
    <row r="16" spans="1:80" ht="24.95" hidden="1" customHeight="1" x14ac:dyDescent="0.25">
      <c r="A16" s="1382"/>
      <c r="B16" s="1383"/>
      <c r="C16" s="1383"/>
      <c r="D16" s="1383"/>
      <c r="E16" s="1384"/>
      <c r="F16" s="47"/>
      <c r="G16" s="47"/>
      <c r="H16" s="47"/>
      <c r="I16" s="47"/>
      <c r="J16" s="47"/>
      <c r="K16" s="47"/>
      <c r="L16" s="47"/>
      <c r="M16" s="285"/>
      <c r="N16" s="285"/>
      <c r="O16" s="285"/>
      <c r="P16" s="285"/>
      <c r="Q16" s="285"/>
      <c r="R16" s="47"/>
      <c r="S16" s="47"/>
      <c r="T16" s="47"/>
      <c r="Z16" s="47"/>
      <c r="AA16" s="47"/>
      <c r="AB16" s="47"/>
      <c r="AC16" s="47"/>
      <c r="AD16" s="47"/>
      <c r="AE16" s="47"/>
      <c r="AF16" s="47"/>
      <c r="AG16" s="47"/>
      <c r="AH16" s="140"/>
      <c r="AI16" s="36"/>
      <c r="AJ16" s="47"/>
      <c r="AK16" s="47"/>
      <c r="AL16" s="47"/>
      <c r="AM16" s="140"/>
      <c r="AN16" s="36"/>
      <c r="AO16" s="676"/>
      <c r="AP16" s="676"/>
      <c r="AQ16" s="676"/>
      <c r="AR16" s="140"/>
      <c r="AS16" s="36"/>
      <c r="AT16" s="1388"/>
      <c r="AU16" s="1388"/>
      <c r="AV16" s="1388"/>
      <c r="AW16" s="141"/>
      <c r="AX16" s="139"/>
      <c r="AY16" s="676"/>
      <c r="AZ16" s="676"/>
      <c r="BA16" s="676"/>
      <c r="BB16" s="36"/>
      <c r="BC16" s="36"/>
      <c r="BD16" s="676"/>
      <c r="BE16" s="676"/>
      <c r="BF16" s="676"/>
      <c r="BG16" s="36"/>
      <c r="BH16" s="36"/>
    </row>
    <row r="17" spans="1:80" ht="9.9499999999999993" hidden="1" customHeight="1" x14ac:dyDescent="0.25">
      <c r="A17" s="1385"/>
      <c r="B17" s="1386"/>
      <c r="C17" s="1386"/>
      <c r="D17" s="1386"/>
      <c r="E17" s="138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Z17" s="47"/>
      <c r="AA17" s="47"/>
      <c r="AB17" s="47"/>
      <c r="AC17" s="47"/>
      <c r="AD17" s="47"/>
      <c r="AE17" s="47"/>
      <c r="AF17" s="47"/>
      <c r="AG17" s="47"/>
      <c r="AH17" s="36"/>
      <c r="AI17" s="36"/>
      <c r="AJ17" s="47"/>
      <c r="AK17" s="47"/>
      <c r="AL17" s="47"/>
      <c r="AM17" s="36"/>
      <c r="AN17" s="36"/>
      <c r="AO17" s="676"/>
      <c r="AP17" s="676"/>
      <c r="AQ17" s="676"/>
      <c r="AR17" s="36"/>
      <c r="AS17" s="36"/>
      <c r="AT17" s="1388"/>
      <c r="AU17" s="1388"/>
      <c r="AV17" s="1388"/>
      <c r="AW17" s="139"/>
      <c r="AX17" s="139"/>
      <c r="AY17" s="676"/>
      <c r="AZ17" s="676"/>
      <c r="BA17" s="676"/>
      <c r="BB17" s="36"/>
      <c r="BC17" s="36"/>
      <c r="BD17" s="676"/>
      <c r="BE17" s="676"/>
      <c r="BF17" s="676"/>
      <c r="BG17" s="36"/>
      <c r="BH17" s="36"/>
    </row>
    <row r="18" spans="1:80" ht="72" hidden="1" customHeight="1" x14ac:dyDescent="0.25">
      <c r="A18" s="1374" t="s">
        <v>253</v>
      </c>
      <c r="B18" s="1376"/>
      <c r="C18" s="1377"/>
      <c r="D18" s="1377"/>
      <c r="E18" s="1378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3"/>
      <c r="AU18" s="143"/>
      <c r="AV18" s="143"/>
      <c r="AW18" s="143"/>
      <c r="AX18" s="143"/>
      <c r="AY18" s="677"/>
      <c r="AZ18" s="1332"/>
      <c r="BA18" s="1332"/>
      <c r="BB18" s="1332"/>
      <c r="BC18" s="1332"/>
      <c r="BD18" s="677"/>
      <c r="BE18" s="1332" t="s">
        <v>16</v>
      </c>
      <c r="BF18" s="1332"/>
      <c r="BG18" s="1332"/>
      <c r="BH18" s="1332"/>
      <c r="BM18" s="51"/>
      <c r="BN18" s="51"/>
      <c r="BO18" s="51"/>
      <c r="BP18" s="51"/>
      <c r="BQ18" s="51"/>
      <c r="BR18" s="51"/>
      <c r="BW18" s="27"/>
      <c r="BX18" s="27"/>
      <c r="BY18" s="27"/>
      <c r="BZ18" s="27"/>
      <c r="CA18" s="27"/>
      <c r="CB18" s="27"/>
    </row>
    <row r="19" spans="1:80" ht="35.1" hidden="1" customHeight="1" thickBot="1" x14ac:dyDescent="0.3">
      <c r="A19" s="1375"/>
      <c r="B19" s="144"/>
      <c r="C19" s="145" t="s">
        <v>113</v>
      </c>
      <c r="D19" s="146"/>
      <c r="E19" s="147" t="s">
        <v>114</v>
      </c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148"/>
      <c r="AU19" s="148"/>
      <c r="AV19" s="148"/>
      <c r="AW19" s="148"/>
      <c r="AX19" s="148"/>
      <c r="AY19" s="677"/>
      <c r="AZ19" s="137"/>
      <c r="BA19" s="33"/>
      <c r="BB19" s="138"/>
      <c r="BC19" s="35"/>
      <c r="BD19" s="677"/>
      <c r="BE19" s="137"/>
      <c r="BF19" s="33"/>
      <c r="BG19" s="138"/>
      <c r="BH19" s="35"/>
      <c r="BM19" s="51"/>
      <c r="BN19" s="51"/>
      <c r="BO19" s="51"/>
      <c r="BP19" s="51"/>
      <c r="BQ19" s="51"/>
      <c r="BR19" s="51"/>
      <c r="BW19" s="27"/>
      <c r="BX19" s="27"/>
      <c r="BY19" s="27"/>
      <c r="BZ19" s="27"/>
      <c r="CA19" s="27"/>
      <c r="CB19" s="27"/>
    </row>
    <row r="20" spans="1:80" ht="26.25" hidden="1" customHeight="1" x14ac:dyDescent="0.25">
      <c r="A20" s="1396"/>
      <c r="B20" s="1396"/>
      <c r="C20" s="1396"/>
      <c r="D20" s="1397"/>
      <c r="E20" s="1397"/>
      <c r="F20" s="674"/>
      <c r="G20" s="674"/>
      <c r="H20" s="674"/>
      <c r="I20" s="1300"/>
      <c r="J20" s="1300"/>
      <c r="K20" s="44"/>
      <c r="L20" s="44"/>
      <c r="M20" s="44"/>
      <c r="N20" s="69"/>
      <c r="O20" s="69"/>
      <c r="P20" s="44"/>
      <c r="Q20" s="44"/>
      <c r="R20" s="44"/>
      <c r="S20" s="69"/>
      <c r="T20" s="69"/>
      <c r="U20" s="44"/>
      <c r="V20" s="44"/>
      <c r="W20" s="44"/>
      <c r="X20" s="69"/>
      <c r="Y20" s="69"/>
      <c r="Z20" s="44"/>
      <c r="AA20" s="44"/>
      <c r="AB20" s="44"/>
      <c r="AC20" s="69"/>
      <c r="AD20" s="69"/>
      <c r="AE20" s="44"/>
      <c r="AF20" s="44"/>
      <c r="AG20" s="44"/>
      <c r="AH20" s="69"/>
      <c r="AI20" s="69"/>
      <c r="AJ20" s="44"/>
      <c r="AK20" s="44"/>
      <c r="AL20" s="44"/>
      <c r="AM20" s="69"/>
      <c r="AN20" s="69"/>
      <c r="AO20" s="674"/>
      <c r="AP20" s="674"/>
      <c r="AQ20" s="674"/>
      <c r="AR20" s="1300"/>
      <c r="AS20" s="1300"/>
      <c r="AT20" s="1389"/>
      <c r="AU20" s="1389"/>
      <c r="AV20" s="1389"/>
      <c r="AW20" s="1390"/>
      <c r="AX20" s="1390"/>
      <c r="AY20" s="674"/>
      <c r="AZ20" s="674"/>
      <c r="BA20" s="674"/>
      <c r="BB20" s="1300"/>
      <c r="BC20" s="1300"/>
      <c r="BD20" s="674"/>
      <c r="BE20" s="674"/>
      <c r="BF20" s="674"/>
      <c r="BG20" s="1300"/>
      <c r="BH20" s="1300"/>
      <c r="BM20" s="51"/>
      <c r="BN20" s="51"/>
      <c r="BO20" s="51"/>
      <c r="BP20" s="51"/>
      <c r="BQ20" s="51"/>
      <c r="BR20" s="51"/>
      <c r="BW20" s="27"/>
      <c r="BX20" s="27"/>
      <c r="BY20" s="27"/>
      <c r="BZ20" s="27"/>
      <c r="CA20" s="27"/>
      <c r="CB20" s="27"/>
    </row>
    <row r="21" spans="1:80" ht="18.75" hidden="1" customHeight="1" x14ac:dyDescent="0.25">
      <c r="A21" s="1395"/>
      <c r="B21" s="1395"/>
      <c r="C21" s="1395"/>
      <c r="D21" s="149"/>
      <c r="E21" s="149"/>
      <c r="F21" s="676"/>
      <c r="G21" s="676"/>
      <c r="H21" s="676"/>
      <c r="I21" s="36"/>
      <c r="J21" s="36"/>
      <c r="K21" s="47"/>
      <c r="L21" s="47"/>
      <c r="M21" s="47"/>
      <c r="N21" s="36"/>
      <c r="O21" s="36"/>
      <c r="P21" s="47"/>
      <c r="Q21" s="47"/>
      <c r="R21" s="47"/>
      <c r="S21" s="36"/>
      <c r="T21" s="36"/>
      <c r="U21" s="47"/>
      <c r="V21" s="47"/>
      <c r="W21" s="47"/>
      <c r="X21" s="36"/>
      <c r="Y21" s="36"/>
      <c r="Z21" s="47"/>
      <c r="AA21" s="47"/>
      <c r="AB21" s="47"/>
      <c r="AC21" s="36"/>
      <c r="AD21" s="36"/>
      <c r="AE21" s="47"/>
      <c r="AF21" s="47"/>
      <c r="AG21" s="47"/>
      <c r="AH21" s="36"/>
      <c r="AI21" s="36"/>
      <c r="AJ21" s="47"/>
      <c r="AK21" s="47"/>
      <c r="AL21" s="47"/>
      <c r="AM21" s="36"/>
      <c r="AN21" s="36"/>
      <c r="AO21" s="676"/>
      <c r="AP21" s="676"/>
      <c r="AQ21" s="676"/>
      <c r="AR21" s="36"/>
      <c r="AS21" s="36"/>
      <c r="AT21" s="1388"/>
      <c r="AU21" s="1388"/>
      <c r="AV21" s="1388"/>
      <c r="AW21" s="139"/>
      <c r="AX21" s="139"/>
      <c r="AY21" s="676"/>
      <c r="AZ21" s="676"/>
      <c r="BA21" s="676"/>
      <c r="BB21" s="36"/>
      <c r="BC21" s="36"/>
      <c r="BD21" s="676"/>
      <c r="BE21" s="676"/>
      <c r="BF21" s="676"/>
      <c r="BG21" s="36"/>
      <c r="BH21" s="36"/>
    </row>
    <row r="22" spans="1:80" ht="36" hidden="1" customHeight="1" x14ac:dyDescent="0.25">
      <c r="A22" s="1395"/>
      <c r="B22" s="1395"/>
      <c r="C22" s="1395"/>
      <c r="D22" s="150"/>
      <c r="E22" s="149"/>
      <c r="F22" s="676"/>
      <c r="G22" s="676"/>
      <c r="H22" s="676"/>
      <c r="I22" s="140"/>
      <c r="J22" s="36"/>
      <c r="K22" s="47"/>
      <c r="L22" s="47"/>
      <c r="M22" s="47"/>
      <c r="N22" s="140"/>
      <c r="O22" s="36"/>
      <c r="P22" s="47"/>
      <c r="Q22" s="47"/>
      <c r="R22" s="47"/>
      <c r="S22" s="140"/>
      <c r="T22" s="36"/>
      <c r="U22" s="47"/>
      <c r="V22" s="47"/>
      <c r="W22" s="47"/>
      <c r="X22" s="140"/>
      <c r="Y22" s="36"/>
      <c r="Z22" s="47"/>
      <c r="AA22" s="47"/>
      <c r="AB22" s="47"/>
      <c r="AC22" s="140"/>
      <c r="AD22" s="36"/>
      <c r="AE22" s="47"/>
      <c r="AF22" s="47"/>
      <c r="AG22" s="47"/>
      <c r="AH22" s="140"/>
      <c r="AI22" s="36"/>
      <c r="AJ22" s="47"/>
      <c r="AK22" s="47"/>
      <c r="AL22" s="47"/>
      <c r="AM22" s="140"/>
      <c r="AN22" s="36"/>
      <c r="AO22" s="676"/>
      <c r="AP22" s="676"/>
      <c r="AQ22" s="676"/>
      <c r="AR22" s="140"/>
      <c r="AS22" s="36"/>
      <c r="AT22" s="1388"/>
      <c r="AU22" s="1388"/>
      <c r="AV22" s="1388"/>
      <c r="AW22" s="141"/>
      <c r="AX22" s="139"/>
      <c r="AY22" s="676"/>
      <c r="AZ22" s="676"/>
      <c r="BA22" s="676"/>
      <c r="BB22" s="36"/>
      <c r="BC22" s="36"/>
      <c r="BD22" s="676"/>
      <c r="BE22" s="676"/>
      <c r="BF22" s="676"/>
      <c r="BG22" s="36"/>
      <c r="BH22" s="36"/>
    </row>
    <row r="23" spans="1:80" ht="18.75" hidden="1" customHeight="1" x14ac:dyDescent="0.25">
      <c r="A23" s="1395"/>
      <c r="B23" s="1395"/>
      <c r="C23" s="1395"/>
      <c r="D23" s="149"/>
      <c r="E23" s="149"/>
      <c r="F23" s="676"/>
      <c r="G23" s="676"/>
      <c r="H23" s="676"/>
      <c r="I23" s="36"/>
      <c r="J23" s="36"/>
      <c r="K23" s="47"/>
      <c r="L23" s="47"/>
      <c r="M23" s="47"/>
      <c r="N23" s="36"/>
      <c r="O23" s="36"/>
      <c r="P23" s="47"/>
      <c r="Q23" s="47"/>
      <c r="R23" s="47"/>
      <c r="S23" s="36"/>
      <c r="T23" s="36"/>
      <c r="U23" s="47"/>
      <c r="V23" s="47"/>
      <c r="W23" s="47"/>
      <c r="X23" s="36"/>
      <c r="Y23" s="36"/>
      <c r="Z23" s="47"/>
      <c r="AA23" s="47"/>
      <c r="AB23" s="47"/>
      <c r="AC23" s="36"/>
      <c r="AD23" s="36"/>
      <c r="AE23" s="47"/>
      <c r="AF23" s="47"/>
      <c r="AG23" s="47"/>
      <c r="AH23" s="36"/>
      <c r="AI23" s="36"/>
      <c r="AJ23" s="47"/>
      <c r="AK23" s="47"/>
      <c r="AL23" s="47"/>
      <c r="AM23" s="36"/>
      <c r="AN23" s="36"/>
      <c r="AO23" s="676"/>
      <c r="AP23" s="676"/>
      <c r="AQ23" s="676"/>
      <c r="AR23" s="36"/>
      <c r="AS23" s="36"/>
      <c r="AT23" s="1388"/>
      <c r="AU23" s="1388"/>
      <c r="AV23" s="1388"/>
      <c r="AW23" s="139"/>
      <c r="AX23" s="139"/>
      <c r="AY23" s="676"/>
      <c r="AZ23" s="676"/>
      <c r="BA23" s="676"/>
      <c r="BB23" s="36"/>
      <c r="BC23" s="36"/>
      <c r="BD23" s="676"/>
      <c r="BE23" s="676"/>
      <c r="BF23" s="676"/>
      <c r="BG23" s="36"/>
      <c r="BH23" s="36"/>
    </row>
    <row r="24" spans="1:80" ht="77.25" hidden="1" customHeight="1" x14ac:dyDescent="0.25">
      <c r="A24" s="1398"/>
      <c r="B24" s="1399"/>
      <c r="C24" s="1399"/>
      <c r="D24" s="1399"/>
      <c r="E24" s="1399"/>
      <c r="F24" s="1370"/>
      <c r="G24" s="1371"/>
      <c r="H24" s="1371"/>
      <c r="I24" s="1371"/>
      <c r="J24" s="1371"/>
      <c r="K24" s="230"/>
      <c r="L24" s="142"/>
      <c r="M24" s="142"/>
      <c r="N24" s="142"/>
      <c r="O24" s="142"/>
      <c r="P24" s="230"/>
      <c r="Q24" s="142"/>
      <c r="R24" s="142"/>
      <c r="S24" s="142"/>
      <c r="T24" s="142"/>
      <c r="U24" s="230"/>
      <c r="V24" s="142"/>
      <c r="W24" s="142"/>
      <c r="X24" s="142"/>
      <c r="Y24" s="142"/>
      <c r="Z24" s="230"/>
      <c r="AA24" s="142"/>
      <c r="AB24" s="142"/>
      <c r="AC24" s="142"/>
      <c r="AD24" s="142"/>
      <c r="AE24" s="230"/>
      <c r="AF24" s="142"/>
      <c r="AG24" s="142"/>
      <c r="AH24" s="142"/>
      <c r="AI24" s="142"/>
      <c r="AJ24" s="230"/>
      <c r="AK24" s="142"/>
      <c r="AL24" s="142"/>
      <c r="AM24" s="142"/>
      <c r="AN24" s="142"/>
      <c r="AO24" s="1370"/>
      <c r="AP24" s="1371"/>
      <c r="AQ24" s="1371"/>
      <c r="AR24" s="1371"/>
      <c r="AS24" s="1371"/>
      <c r="AT24" s="1439"/>
      <c r="AU24" s="1440"/>
      <c r="AV24" s="1440"/>
      <c r="AW24" s="1440"/>
      <c r="AX24" s="1440"/>
      <c r="AY24" s="677"/>
      <c r="AZ24" s="1332"/>
      <c r="BA24" s="1332"/>
      <c r="BB24" s="1332"/>
      <c r="BC24" s="1332"/>
      <c r="BD24" s="677"/>
      <c r="BE24" s="1332"/>
      <c r="BF24" s="1332"/>
      <c r="BG24" s="1332"/>
      <c r="BH24" s="1332"/>
      <c r="BM24" s="51"/>
      <c r="BN24" s="51"/>
      <c r="BO24" s="51"/>
      <c r="BP24" s="51"/>
      <c r="BQ24" s="51"/>
      <c r="BR24" s="51"/>
      <c r="BW24" s="27"/>
      <c r="BX24" s="27"/>
      <c r="BY24" s="27"/>
      <c r="BZ24" s="27"/>
      <c r="CA24" s="27"/>
      <c r="CB24" s="27"/>
    </row>
    <row r="25" spans="1:80" ht="26.25" hidden="1" customHeight="1" x14ac:dyDescent="0.25">
      <c r="A25" s="1398"/>
      <c r="B25" s="151"/>
      <c r="C25" s="152"/>
      <c r="D25" s="153"/>
      <c r="E25" s="154"/>
      <c r="F25" s="1370"/>
      <c r="G25" s="32"/>
      <c r="H25" s="33"/>
      <c r="I25" s="34"/>
      <c r="J25" s="35"/>
      <c r="K25" s="230"/>
      <c r="L25" s="32"/>
      <c r="M25" s="33"/>
      <c r="N25" s="34"/>
      <c r="O25" s="35"/>
      <c r="P25" s="230"/>
      <c r="Q25" s="32"/>
      <c r="R25" s="33"/>
      <c r="S25" s="34"/>
      <c r="T25" s="35"/>
      <c r="U25" s="230"/>
      <c r="V25" s="32"/>
      <c r="W25" s="33"/>
      <c r="X25" s="34"/>
      <c r="Y25" s="35"/>
      <c r="Z25" s="230"/>
      <c r="AA25" s="32"/>
      <c r="AB25" s="33"/>
      <c r="AC25" s="34"/>
      <c r="AD25" s="35"/>
      <c r="AE25" s="230"/>
      <c r="AF25" s="32"/>
      <c r="AG25" s="33"/>
      <c r="AH25" s="34"/>
      <c r="AI25" s="35"/>
      <c r="AJ25" s="230"/>
      <c r="AK25" s="32"/>
      <c r="AL25" s="33"/>
      <c r="AM25" s="34"/>
      <c r="AN25" s="35"/>
      <c r="AO25" s="1370"/>
      <c r="AP25" s="32"/>
      <c r="AQ25" s="33"/>
      <c r="AR25" s="34"/>
      <c r="AS25" s="35"/>
      <c r="AT25" s="1439"/>
      <c r="AU25" s="155"/>
      <c r="AV25" s="148"/>
      <c r="AW25" s="156"/>
      <c r="AX25" s="157"/>
      <c r="AY25" s="677"/>
      <c r="AZ25" s="137"/>
      <c r="BA25" s="33"/>
      <c r="BB25" s="138"/>
      <c r="BC25" s="35"/>
      <c r="BD25" s="677"/>
      <c r="BE25" s="137"/>
      <c r="BF25" s="33"/>
      <c r="BG25" s="138"/>
      <c r="BH25" s="35"/>
      <c r="BM25" s="51"/>
      <c r="BN25" s="51"/>
      <c r="BO25" s="51"/>
      <c r="BP25" s="51"/>
      <c r="BQ25" s="51"/>
      <c r="BR25" s="51"/>
      <c r="BW25" s="27"/>
      <c r="BX25" s="27"/>
      <c r="BY25" s="27"/>
      <c r="BZ25" s="27"/>
      <c r="CA25" s="27"/>
      <c r="CB25" s="27"/>
    </row>
    <row r="26" spans="1:80" ht="26.25" hidden="1" customHeight="1" x14ac:dyDescent="0.25">
      <c r="A26" s="1396"/>
      <c r="B26" s="1396"/>
      <c r="C26" s="1396"/>
      <c r="D26" s="1397"/>
      <c r="E26" s="1397"/>
      <c r="F26" s="674"/>
      <c r="G26" s="674"/>
      <c r="H26" s="674"/>
      <c r="I26" s="1300"/>
      <c r="J26" s="1300"/>
      <c r="K26" s="44"/>
      <c r="L26" s="44"/>
      <c r="M26" s="44"/>
      <c r="N26" s="69"/>
      <c r="O26" s="69"/>
      <c r="P26" s="44"/>
      <c r="Q26" s="44"/>
      <c r="R26" s="44"/>
      <c r="S26" s="69"/>
      <c r="T26" s="69"/>
      <c r="U26" s="44"/>
      <c r="V26" s="44"/>
      <c r="W26" s="44"/>
      <c r="X26" s="69"/>
      <c r="Y26" s="69"/>
      <c r="Z26" s="44"/>
      <c r="AA26" s="44"/>
      <c r="AB26" s="44"/>
      <c r="AC26" s="69"/>
      <c r="AD26" s="69"/>
      <c r="AE26" s="44"/>
      <c r="AF26" s="44"/>
      <c r="AG26" s="44"/>
      <c r="AH26" s="69"/>
      <c r="AI26" s="69"/>
      <c r="AJ26" s="44"/>
      <c r="AK26" s="44"/>
      <c r="AP26" s="44"/>
      <c r="AQ26" s="44"/>
      <c r="AT26" s="1389"/>
      <c r="AU26" s="1389"/>
      <c r="AV26" s="1389"/>
      <c r="AW26" s="1390"/>
      <c r="AX26" s="1390"/>
      <c r="AY26" s="674"/>
      <c r="AZ26" s="674"/>
      <c r="BA26" s="674"/>
      <c r="BB26" s="1300"/>
      <c r="BC26" s="1300"/>
      <c r="BD26" s="674"/>
      <c r="BE26" s="674"/>
      <c r="BF26" s="674"/>
      <c r="BG26" s="1300"/>
      <c r="BH26" s="1300"/>
      <c r="BM26" s="51"/>
      <c r="BN26" s="51"/>
      <c r="BO26" s="51"/>
      <c r="BP26" s="51"/>
      <c r="BQ26" s="51"/>
      <c r="BR26" s="51"/>
      <c r="BW26" s="27"/>
      <c r="BX26" s="27"/>
      <c r="BY26" s="27"/>
      <c r="BZ26" s="27"/>
      <c r="CA26" s="27"/>
      <c r="CB26" s="27"/>
    </row>
    <row r="27" spans="1:80" ht="21" hidden="1" customHeight="1" x14ac:dyDescent="0.25">
      <c r="A27" s="1395"/>
      <c r="B27" s="1395"/>
      <c r="C27" s="1395"/>
      <c r="D27" s="149"/>
      <c r="E27" s="149"/>
      <c r="F27" s="676"/>
      <c r="G27" s="676"/>
      <c r="H27" s="676"/>
      <c r="I27" s="36"/>
      <c r="J27" s="36"/>
      <c r="K27" s="47"/>
      <c r="L27" s="47"/>
      <c r="M27" s="47"/>
      <c r="N27" s="36"/>
      <c r="O27" s="36"/>
      <c r="P27" s="47"/>
      <c r="Q27" s="47"/>
      <c r="R27" s="47"/>
      <c r="S27" s="36"/>
      <c r="T27" s="36"/>
      <c r="U27" s="47"/>
      <c r="V27" s="47"/>
      <c r="W27" s="47"/>
      <c r="X27" s="36"/>
      <c r="Y27" s="36"/>
      <c r="Z27" s="47"/>
      <c r="AA27" s="47"/>
      <c r="AB27" s="47"/>
      <c r="AC27" s="36"/>
      <c r="AD27" s="36"/>
      <c r="AE27" s="47"/>
      <c r="AF27" s="47"/>
      <c r="AG27" s="47"/>
      <c r="AH27" s="36"/>
      <c r="AI27" s="36"/>
      <c r="AJ27" s="47"/>
      <c r="AK27" s="47"/>
      <c r="AP27" s="47"/>
      <c r="AQ27" s="47"/>
      <c r="AT27" s="1388"/>
      <c r="AU27" s="1388"/>
      <c r="AV27" s="1388"/>
      <c r="AW27" s="139"/>
      <c r="AX27" s="139"/>
      <c r="AY27" s="676"/>
      <c r="AZ27" s="676"/>
      <c r="BA27" s="676"/>
      <c r="BB27" s="36"/>
      <c r="BC27" s="36"/>
      <c r="BD27" s="676"/>
      <c r="BE27" s="676"/>
      <c r="BF27" s="676"/>
      <c r="BG27" s="36"/>
      <c r="BH27" s="36"/>
    </row>
    <row r="28" spans="1:80" ht="36" hidden="1" customHeight="1" x14ac:dyDescent="0.25">
      <c r="A28" s="1395"/>
      <c r="B28" s="1395"/>
      <c r="C28" s="1395"/>
      <c r="D28" s="150"/>
      <c r="E28" s="149"/>
      <c r="F28" s="676"/>
      <c r="G28" s="676"/>
      <c r="H28" s="676"/>
      <c r="I28" s="140"/>
      <c r="J28" s="36"/>
      <c r="K28" s="47"/>
      <c r="L28" s="47"/>
      <c r="M28" s="47"/>
      <c r="N28" s="140"/>
      <c r="O28" s="36"/>
      <c r="P28" s="47"/>
      <c r="Q28" s="47"/>
      <c r="R28" s="47"/>
      <c r="S28" s="140"/>
      <c r="T28" s="36"/>
      <c r="U28" s="47"/>
      <c r="V28" s="47"/>
      <c r="W28" s="47"/>
      <c r="X28" s="140"/>
      <c r="Y28" s="36"/>
      <c r="Z28" s="47"/>
      <c r="AA28" s="47"/>
      <c r="AB28" s="47"/>
      <c r="AC28" s="140"/>
      <c r="AD28" s="36"/>
      <c r="AE28" s="47"/>
      <c r="AF28" s="47"/>
      <c r="AG28" s="47"/>
      <c r="AH28" s="36"/>
      <c r="AI28" s="36"/>
      <c r="AJ28" s="47"/>
      <c r="AK28" s="47"/>
      <c r="AP28" s="47"/>
      <c r="AQ28" s="47"/>
      <c r="AT28" s="1388"/>
      <c r="AU28" s="1388"/>
      <c r="AV28" s="1388"/>
      <c r="AW28" s="139"/>
      <c r="AX28" s="139"/>
      <c r="AY28" s="676"/>
      <c r="AZ28" s="676"/>
      <c r="BA28" s="676"/>
      <c r="BB28" s="36"/>
      <c r="BC28" s="36"/>
      <c r="BD28" s="676"/>
      <c r="BE28" s="676"/>
      <c r="BF28" s="676"/>
      <c r="BG28" s="36"/>
      <c r="BH28" s="36"/>
    </row>
    <row r="29" spans="1:80" ht="21" hidden="1" customHeight="1" x14ac:dyDescent="0.25">
      <c r="A29" s="1395"/>
      <c r="B29" s="1395"/>
      <c r="C29" s="1395"/>
      <c r="D29" s="149"/>
      <c r="E29" s="149"/>
      <c r="F29" s="676"/>
      <c r="G29" s="676"/>
      <c r="H29" s="676"/>
      <c r="I29" s="36"/>
      <c r="J29" s="36"/>
      <c r="K29" s="47"/>
      <c r="L29" s="47"/>
      <c r="M29" s="47"/>
      <c r="N29" s="36"/>
      <c r="O29" s="36"/>
      <c r="P29" s="47"/>
      <c r="Q29" s="47"/>
      <c r="R29" s="47"/>
      <c r="S29" s="36"/>
      <c r="T29" s="36"/>
      <c r="U29" s="47"/>
      <c r="V29" s="47"/>
      <c r="W29" s="47"/>
      <c r="X29" s="36"/>
      <c r="Y29" s="36"/>
      <c r="Z29" s="47"/>
      <c r="AA29" s="47"/>
      <c r="AB29" s="47"/>
      <c r="AC29" s="36"/>
      <c r="AD29" s="36"/>
      <c r="AE29" s="47"/>
      <c r="AF29" s="47"/>
      <c r="AG29" s="47"/>
      <c r="AH29" s="36"/>
      <c r="AI29" s="36"/>
      <c r="AJ29" s="47"/>
      <c r="AK29" s="47"/>
      <c r="AP29" s="47"/>
      <c r="AQ29" s="47"/>
      <c r="AR29" s="36"/>
      <c r="AS29" s="36"/>
      <c r="AT29" s="1388"/>
      <c r="AU29" s="1388"/>
      <c r="AV29" s="1388"/>
      <c r="AW29" s="139"/>
      <c r="AX29" s="139"/>
      <c r="AY29" s="676"/>
      <c r="AZ29" s="676"/>
      <c r="BA29" s="676"/>
      <c r="BB29" s="36"/>
      <c r="BC29" s="36"/>
      <c r="BD29" s="676"/>
      <c r="BE29" s="676"/>
      <c r="BF29" s="676"/>
      <c r="BG29" s="36"/>
      <c r="BH29" s="36"/>
    </row>
    <row r="30" spans="1:80" ht="60.75" customHeight="1" x14ac:dyDescent="0.25">
      <c r="A30" s="1400"/>
      <c r="B30" s="1401"/>
      <c r="C30" s="1401"/>
      <c r="D30" s="1401"/>
      <c r="E30" s="1401"/>
      <c r="F30" s="1370"/>
      <c r="G30" s="1371"/>
      <c r="H30" s="1371"/>
      <c r="I30" s="1371"/>
      <c r="J30" s="1371"/>
      <c r="K30" s="230"/>
      <c r="L30" s="142"/>
      <c r="M30" s="142"/>
      <c r="N30" s="142"/>
      <c r="O30" s="142"/>
      <c r="P30" s="230"/>
      <c r="Q30" s="142"/>
      <c r="R30" s="142"/>
      <c r="S30" s="142"/>
      <c r="T30" s="142"/>
      <c r="U30" s="230"/>
      <c r="V30" s="142"/>
      <c r="W30" s="142"/>
      <c r="X30" s="142"/>
      <c r="Y30" s="142"/>
      <c r="Z30" s="230"/>
      <c r="AA30" s="142"/>
      <c r="AB30" s="142"/>
      <c r="AC30" s="142"/>
      <c r="AD30" s="142"/>
      <c r="AE30" s="70"/>
      <c r="AF30" s="231"/>
      <c r="AG30" s="231"/>
      <c r="AH30" s="231"/>
      <c r="AI30" s="231"/>
      <c r="AJ30" s="70"/>
      <c r="AR30" s="132"/>
      <c r="AS30" s="132"/>
      <c r="AT30" s="677"/>
      <c r="AU30" s="1332"/>
      <c r="AV30" s="1332"/>
      <c r="AW30" s="1332"/>
      <c r="AX30" s="1332"/>
      <c r="AY30" s="677"/>
      <c r="AZ30" s="1332"/>
      <c r="BA30" s="1332"/>
      <c r="BB30" s="1332"/>
      <c r="BC30" s="1332"/>
      <c r="BD30" s="677" t="s">
        <v>254</v>
      </c>
      <c r="BE30" s="1332"/>
      <c r="BF30" s="1332"/>
      <c r="BG30" s="1332"/>
      <c r="BH30" s="1332"/>
      <c r="BM30" s="51"/>
      <c r="BN30" s="51"/>
      <c r="BO30" s="51"/>
      <c r="BP30" s="51"/>
      <c r="BQ30" s="51"/>
      <c r="BR30" s="51"/>
      <c r="BW30" s="27"/>
      <c r="BX30" s="27"/>
      <c r="BY30" s="27"/>
      <c r="BZ30" s="27"/>
      <c r="CA30" s="27"/>
      <c r="CB30" s="27"/>
    </row>
    <row r="31" spans="1:80" ht="54.75" customHeight="1" x14ac:dyDescent="0.25">
      <c r="A31" s="1400"/>
      <c r="B31" s="158"/>
      <c r="C31" s="159"/>
      <c r="D31" s="160"/>
      <c r="E31" s="161"/>
      <c r="F31" s="1370"/>
      <c r="G31" s="32"/>
      <c r="H31" s="33"/>
      <c r="I31" s="34"/>
      <c r="J31" s="35"/>
      <c r="K31" s="230"/>
      <c r="L31" s="32"/>
      <c r="M31" s="33"/>
      <c r="N31" s="34"/>
      <c r="O31" s="35"/>
      <c r="P31" s="230"/>
      <c r="Q31" s="32"/>
      <c r="R31" s="33"/>
      <c r="S31" s="34"/>
      <c r="T31" s="35"/>
      <c r="U31" s="230"/>
      <c r="V31" s="32"/>
      <c r="W31" s="33"/>
      <c r="X31" s="34"/>
      <c r="Y31" s="35"/>
      <c r="Z31" s="230"/>
      <c r="AA31" s="32"/>
      <c r="AB31" s="33"/>
      <c r="AC31" s="34"/>
      <c r="AD31" s="35"/>
      <c r="AE31" s="70"/>
      <c r="AF31" s="137"/>
      <c r="AG31" s="33"/>
      <c r="AH31" s="138"/>
      <c r="AI31" s="35"/>
      <c r="AJ31" s="70"/>
      <c r="AK31" s="137"/>
      <c r="AL31" s="33"/>
      <c r="AM31" s="138"/>
      <c r="AN31" s="35"/>
      <c r="AO31" s="70"/>
      <c r="AP31" s="137"/>
      <c r="AQ31" s="33"/>
      <c r="AR31" s="138"/>
      <c r="AS31" s="35"/>
      <c r="AT31" s="677"/>
      <c r="AU31" s="137"/>
      <c r="AV31" s="33"/>
      <c r="AW31" s="138"/>
      <c r="AX31" s="35"/>
      <c r="AY31" s="677"/>
      <c r="AZ31" s="137" t="s">
        <v>16</v>
      </c>
      <c r="BA31" s="33"/>
      <c r="BB31" s="138"/>
      <c r="BC31" s="35"/>
      <c r="BD31" s="677"/>
      <c r="BE31" s="137" t="s">
        <v>15</v>
      </c>
      <c r="BF31" s="33"/>
      <c r="BG31" s="138"/>
      <c r="BH31" s="35"/>
      <c r="BM31" s="51"/>
      <c r="BN31" s="51"/>
      <c r="BO31" s="51"/>
      <c r="BP31" s="51"/>
      <c r="BQ31" s="51"/>
      <c r="BR31" s="51"/>
      <c r="BW31" s="27"/>
      <c r="BX31" s="27"/>
      <c r="BY31" s="27"/>
      <c r="BZ31" s="27"/>
      <c r="CA31" s="27"/>
      <c r="CB31" s="27"/>
    </row>
    <row r="32" spans="1:80" ht="59.25" customHeight="1" x14ac:dyDescent="0.25">
      <c r="A32" s="31"/>
      <c r="B32" s="162"/>
      <c r="C32" s="162"/>
      <c r="D32" s="162"/>
      <c r="F32" s="163"/>
      <c r="G32" s="163"/>
      <c r="H32" s="1413">
        <v>8</v>
      </c>
      <c r="I32" s="1413"/>
      <c r="J32" s="1413"/>
      <c r="K32" s="164"/>
      <c r="L32" s="160"/>
      <c r="M32" s="160"/>
      <c r="N32" s="160"/>
      <c r="O32" s="160"/>
      <c r="P32" s="160"/>
      <c r="Q32" s="1414" t="s">
        <v>255</v>
      </c>
      <c r="R32" s="1414"/>
      <c r="S32" s="1414"/>
      <c r="T32" s="1414"/>
      <c r="U32" s="1414"/>
      <c r="V32" s="1414"/>
      <c r="W32" s="165"/>
      <c r="X32" s="1690" t="s">
        <v>256</v>
      </c>
      <c r="Y32" s="1690"/>
      <c r="Z32" s="1690"/>
      <c r="AA32" s="1690"/>
      <c r="AB32" s="1690"/>
      <c r="AC32" s="1691">
        <f>L7+Q7+V7+AA7+AF7+AK7+AT7</f>
        <v>12.417000000000002</v>
      </c>
      <c r="AD32" s="1691"/>
      <c r="AE32" s="1691"/>
      <c r="AF32" s="1691"/>
      <c r="AG32" s="1691"/>
      <c r="AH32" s="1691"/>
      <c r="AI32" s="166"/>
      <c r="AJ32" s="1416" t="s">
        <v>119</v>
      </c>
      <c r="AK32" s="1416"/>
      <c r="AL32" s="1416"/>
      <c r="AM32" s="1416"/>
      <c r="AN32" s="1416"/>
      <c r="AO32" s="1417">
        <f>N7+S7+X7+AC7+AH7+AM7</f>
        <v>3</v>
      </c>
      <c r="AP32" s="1417"/>
      <c r="AQ32" s="1417"/>
      <c r="AR32" s="1417"/>
      <c r="AS32" s="1417"/>
      <c r="AT32" s="1402" t="s">
        <v>120</v>
      </c>
      <c r="AU32" s="1402"/>
      <c r="AV32" s="1402"/>
      <c r="AW32" s="1402"/>
      <c r="AX32" s="127"/>
      <c r="AY32" s="72"/>
      <c r="AZ32" s="72"/>
      <c r="BA32" s="72"/>
      <c r="BB32" s="72"/>
      <c r="BC32" s="72"/>
      <c r="BD32" s="72"/>
      <c r="BE32" t="s">
        <v>16</v>
      </c>
      <c r="BF32" s="167"/>
      <c r="BG32" s="167"/>
      <c r="BH32" s="167"/>
      <c r="BM32" s="51"/>
      <c r="BN32" s="51"/>
      <c r="BO32" s="51"/>
      <c r="BP32" s="51"/>
      <c r="BQ32" s="51"/>
      <c r="BR32" s="51"/>
      <c r="BW32" s="27"/>
      <c r="BX32" s="27"/>
      <c r="BY32" s="27"/>
      <c r="BZ32" s="27"/>
      <c r="CA32" s="27"/>
      <c r="CB32" s="27"/>
    </row>
    <row r="33" spans="1:80" ht="19.5" customHeight="1" x14ac:dyDescent="0.25">
      <c r="B33" s="162"/>
      <c r="C33" s="162"/>
      <c r="D33" s="162"/>
      <c r="E33" s="163"/>
      <c r="F33" s="163"/>
      <c r="G33" s="163"/>
      <c r="H33" s="1413"/>
      <c r="I33" s="1413"/>
      <c r="J33" s="1413"/>
      <c r="K33" s="168"/>
      <c r="L33" s="160"/>
      <c r="M33" s="160"/>
      <c r="N33" s="160"/>
      <c r="O33" s="160"/>
      <c r="P33" s="160"/>
      <c r="Q33" s="1414"/>
      <c r="R33" s="1414"/>
      <c r="S33" s="1414"/>
      <c r="T33" s="1414"/>
      <c r="U33" s="1414"/>
      <c r="V33" s="1414"/>
      <c r="W33" s="169"/>
      <c r="X33" s="1690"/>
      <c r="Y33" s="1690"/>
      <c r="Z33" s="1690"/>
      <c r="AA33" s="1690"/>
      <c r="AB33" s="1690"/>
      <c r="AC33" s="1691"/>
      <c r="AD33" s="1691"/>
      <c r="AE33" s="1691"/>
      <c r="AF33" s="1691"/>
      <c r="AG33" s="1691"/>
      <c r="AH33" s="1691"/>
      <c r="AI33" s="166"/>
      <c r="AJ33" s="1416"/>
      <c r="AK33" s="1416"/>
      <c r="AL33" s="1416"/>
      <c r="AM33" s="1416"/>
      <c r="AN33" s="1416"/>
      <c r="AO33" s="1417"/>
      <c r="AP33" s="1417"/>
      <c r="AQ33" s="1417"/>
      <c r="AR33" s="1417"/>
      <c r="AS33" s="1417"/>
      <c r="AT33" s="1402"/>
      <c r="AU33" s="1402"/>
      <c r="AV33" s="1402"/>
      <c r="AW33" s="1402"/>
      <c r="BI33" s="50"/>
      <c r="BJ33" s="50"/>
      <c r="BM33" s="51"/>
      <c r="BN33" s="51"/>
      <c r="BO33" s="51"/>
      <c r="BP33" s="51"/>
      <c r="BQ33" s="51"/>
      <c r="BR33" s="51"/>
      <c r="BS33" s="27"/>
      <c r="BT33" s="27"/>
      <c r="BU33" s="27"/>
      <c r="BW33" s="27"/>
      <c r="BX33" s="27"/>
      <c r="BY33" s="27"/>
      <c r="BZ33" s="27"/>
      <c r="CA33" s="27"/>
      <c r="CB33" s="27"/>
    </row>
    <row r="34" spans="1:80" ht="2.25" hidden="1" customHeight="1" x14ac:dyDescent="0.25">
      <c r="B34" s="162"/>
      <c r="C34" s="162"/>
      <c r="D34" s="162"/>
      <c r="E34" s="163"/>
      <c r="F34" s="163"/>
      <c r="G34" s="163"/>
      <c r="H34" s="168"/>
      <c r="I34" s="168"/>
      <c r="J34" s="168"/>
      <c r="K34" s="168"/>
      <c r="L34" s="160"/>
      <c r="M34" s="160"/>
      <c r="N34" s="160"/>
      <c r="O34" s="160"/>
      <c r="P34" s="160"/>
      <c r="Q34" s="1414"/>
      <c r="R34" s="1414"/>
      <c r="S34" s="1414"/>
      <c r="T34" s="1414"/>
      <c r="U34" s="1414"/>
      <c r="V34" s="1414"/>
      <c r="W34" s="169"/>
      <c r="X34" s="1690"/>
      <c r="Y34" s="1690"/>
      <c r="Z34" s="1690"/>
      <c r="AA34" s="1690"/>
      <c r="AB34" s="1690"/>
      <c r="AC34" s="1691"/>
      <c r="AD34" s="1691"/>
      <c r="AE34" s="1691"/>
      <c r="AF34" s="1691"/>
      <c r="AG34" s="1691"/>
      <c r="AH34" s="1691"/>
      <c r="AI34" s="166"/>
      <c r="AJ34" s="1416"/>
      <c r="AK34" s="1416"/>
      <c r="AL34" s="1416"/>
      <c r="AM34" s="1416"/>
      <c r="AN34" s="1416"/>
      <c r="AO34" s="1403">
        <f>AO32*1.5</f>
        <v>4.5</v>
      </c>
      <c r="AP34" s="1403"/>
      <c r="AQ34" s="1403"/>
      <c r="AR34" s="1403"/>
      <c r="AS34" s="1403"/>
      <c r="AT34" s="1403"/>
      <c r="AU34" s="1403"/>
      <c r="AV34" s="1404" t="s">
        <v>121</v>
      </c>
      <c r="AW34" s="1404"/>
      <c r="BI34" s="50"/>
      <c r="BJ34" s="50"/>
      <c r="BM34" s="27"/>
      <c r="BN34" s="27"/>
      <c r="BO34" s="27"/>
      <c r="BP34" s="27"/>
      <c r="BQ34" s="27"/>
      <c r="BR34" s="27"/>
      <c r="BS34" s="27"/>
      <c r="BT34" s="27"/>
      <c r="BU34" s="27"/>
      <c r="BW34" s="27"/>
      <c r="BX34" s="27"/>
      <c r="BY34" s="27"/>
      <c r="BZ34" s="27"/>
      <c r="CA34" s="27"/>
      <c r="CB34" s="27"/>
    </row>
    <row r="35" spans="1:80" ht="54.75" customHeight="1" x14ac:dyDescent="0.25">
      <c r="B35" s="162"/>
      <c r="C35" s="162"/>
      <c r="D35" s="162"/>
      <c r="E35" s="163"/>
      <c r="F35" s="163"/>
      <c r="G35" s="163"/>
      <c r="H35" s="1405">
        <v>8</v>
      </c>
      <c r="I35" s="1405"/>
      <c r="J35" s="1405"/>
      <c r="K35" s="168"/>
      <c r="L35" s="160"/>
      <c r="M35" s="160"/>
      <c r="N35" s="160"/>
      <c r="O35" s="160"/>
      <c r="P35" s="160"/>
      <c r="Q35" s="1692" t="s">
        <v>13</v>
      </c>
      <c r="R35" s="1693"/>
      <c r="S35" s="1693"/>
      <c r="T35" s="1693"/>
      <c r="U35" s="1693"/>
      <c r="V35" s="1693"/>
      <c r="W35" s="169"/>
      <c r="X35" s="1690"/>
      <c r="Y35" s="1690"/>
      <c r="Z35" s="1690"/>
      <c r="AA35" s="1690"/>
      <c r="AB35" s="1690"/>
      <c r="AC35" s="1691"/>
      <c r="AD35" s="1691"/>
      <c r="AE35" s="1691"/>
      <c r="AF35" s="1691"/>
      <c r="AG35" s="1691"/>
      <c r="AH35" s="1691"/>
      <c r="AI35" s="166"/>
      <c r="AJ35" s="1416"/>
      <c r="AK35" s="1416"/>
      <c r="AL35" s="1416"/>
      <c r="AM35" s="1416"/>
      <c r="AN35" s="1416"/>
      <c r="AO35" s="1403"/>
      <c r="AP35" s="1403"/>
      <c r="AQ35" s="1403"/>
      <c r="AR35" s="1403"/>
      <c r="AS35" s="1403"/>
      <c r="AT35" s="1403"/>
      <c r="AU35" s="1403"/>
      <c r="AV35" s="1404"/>
      <c r="AW35" s="1404"/>
      <c r="BI35" s="50"/>
      <c r="BJ35" s="50"/>
      <c r="BM35" s="27"/>
      <c r="BN35" s="27"/>
      <c r="BO35" s="27"/>
      <c r="BP35" s="27"/>
      <c r="BQ35" s="27"/>
      <c r="BR35" s="27"/>
      <c r="BS35" s="27"/>
      <c r="BT35" s="27"/>
      <c r="BU35" s="27"/>
      <c r="BW35" s="27"/>
      <c r="BX35" s="27"/>
      <c r="BY35" s="27"/>
      <c r="BZ35" s="27"/>
      <c r="CA35" s="27"/>
      <c r="CB35" s="27"/>
    </row>
    <row r="36" spans="1:80" ht="93" customHeight="1" x14ac:dyDescent="0.25">
      <c r="B36" s="162"/>
      <c r="C36" s="162"/>
      <c r="D36" s="162"/>
      <c r="E36" s="162"/>
      <c r="F36" s="162"/>
      <c r="G36" s="164"/>
      <c r="H36" s="1408"/>
      <c r="I36" s="1408"/>
      <c r="J36" s="1408"/>
      <c r="K36" s="168"/>
      <c r="L36" s="160"/>
      <c r="M36" s="160"/>
      <c r="N36" s="160"/>
      <c r="O36" s="160"/>
      <c r="P36" s="160"/>
      <c r="Q36" s="1693"/>
      <c r="R36" s="1693"/>
      <c r="S36" s="1693"/>
      <c r="T36" s="1693"/>
      <c r="U36" s="1693"/>
      <c r="V36" s="1693"/>
      <c r="W36" s="169"/>
      <c r="X36" s="1690"/>
      <c r="Y36" s="1690"/>
      <c r="Z36" s="1690"/>
      <c r="AA36" s="1690"/>
      <c r="AB36" s="1690"/>
      <c r="AC36" s="1691"/>
      <c r="AD36" s="1691"/>
      <c r="AE36" s="1691"/>
      <c r="AF36" s="1691"/>
      <c r="AG36" s="1691"/>
      <c r="AH36" s="1691"/>
      <c r="AI36" s="166"/>
      <c r="AJ36" s="1416"/>
      <c r="AK36" s="1416"/>
      <c r="AL36" s="1416"/>
      <c r="AM36" s="1416"/>
      <c r="AN36" s="1416"/>
      <c r="AO36" s="1403"/>
      <c r="AP36" s="1403"/>
      <c r="AQ36" s="1403"/>
      <c r="AR36" s="1403"/>
      <c r="AS36" s="1403"/>
      <c r="AT36" s="1403"/>
      <c r="AU36" s="1403"/>
      <c r="AV36" s="1404"/>
      <c r="AW36" s="1404"/>
      <c r="BI36" s="50"/>
      <c r="BJ36" s="50"/>
      <c r="BM36" s="27"/>
      <c r="BN36" s="27"/>
      <c r="BO36" s="27"/>
      <c r="BP36" s="27"/>
      <c r="BQ36" s="27"/>
      <c r="BR36" s="27"/>
      <c r="BS36" s="27"/>
      <c r="BT36" s="27"/>
      <c r="BU36" s="27"/>
      <c r="BW36" s="27"/>
      <c r="BX36" s="27"/>
      <c r="BY36" s="27"/>
      <c r="BZ36" s="27"/>
      <c r="CA36" s="27"/>
      <c r="CB36" s="27"/>
    </row>
    <row r="37" spans="1:80" ht="15" customHeight="1" x14ac:dyDescent="0.25">
      <c r="B37" s="162"/>
      <c r="C37" s="162"/>
      <c r="D37" s="162"/>
      <c r="E37" s="162"/>
      <c r="F37" s="162"/>
      <c r="G37" s="164"/>
      <c r="H37" s="1408"/>
      <c r="I37" s="1408"/>
      <c r="J37" s="1408"/>
      <c r="K37" s="164"/>
      <c r="L37" s="165"/>
      <c r="M37" s="165"/>
      <c r="N37" s="165"/>
      <c r="O37" s="165"/>
      <c r="P37" s="165"/>
      <c r="Q37" s="1693"/>
      <c r="R37" s="1693"/>
      <c r="S37" s="1693"/>
      <c r="T37" s="1693"/>
      <c r="U37" s="1693"/>
      <c r="V37" s="1693"/>
      <c r="W37" s="165"/>
      <c r="X37" s="1409" t="s">
        <v>257</v>
      </c>
      <c r="Y37" s="1409"/>
      <c r="Z37" s="1409"/>
      <c r="AA37" s="1409"/>
      <c r="AB37" s="1409"/>
      <c r="AC37" s="1999">
        <f>AC32-AD45</f>
        <v>-2.9999999999983373E-3</v>
      </c>
      <c r="AD37" s="1999"/>
      <c r="AE37" s="1999"/>
      <c r="AF37" s="1999"/>
      <c r="AG37" s="1999"/>
      <c r="AH37" s="1999"/>
      <c r="AI37" s="166"/>
      <c r="AJ37" s="1416"/>
      <c r="AK37" s="1416"/>
      <c r="AL37" s="1416"/>
      <c r="AM37" s="1416"/>
      <c r="AN37" s="1416"/>
      <c r="AO37" s="1403"/>
      <c r="AP37" s="1403"/>
      <c r="AQ37" s="1403"/>
      <c r="AR37" s="1403"/>
      <c r="AS37" s="1403"/>
      <c r="AT37" s="1403"/>
      <c r="AU37" s="1403"/>
      <c r="AV37" s="1404"/>
      <c r="AW37" s="1404"/>
      <c r="BI37" s="53"/>
      <c r="BJ37" s="53"/>
    </row>
    <row r="38" spans="1:80" ht="28.5" customHeight="1" x14ac:dyDescent="0.25">
      <c r="B38" s="162"/>
      <c r="C38" s="162"/>
      <c r="D38" s="162"/>
      <c r="E38" s="162"/>
      <c r="F38" s="162"/>
      <c r="G38" s="164"/>
      <c r="H38" s="1411"/>
      <c r="I38" s="1411"/>
      <c r="J38" s="1411"/>
      <c r="K38" s="168"/>
      <c r="L38" s="165"/>
      <c r="M38" s="165"/>
      <c r="N38" s="165"/>
      <c r="O38" s="165"/>
      <c r="P38" s="165"/>
      <c r="Q38" s="1693"/>
      <c r="R38" s="1693"/>
      <c r="S38" s="1693"/>
      <c r="T38" s="1693"/>
      <c r="U38" s="1693"/>
      <c r="V38" s="1693"/>
      <c r="W38" s="165"/>
      <c r="X38" s="1409"/>
      <c r="Y38" s="1409"/>
      <c r="Z38" s="1409"/>
      <c r="AA38" s="1409"/>
      <c r="AB38" s="1409"/>
      <c r="AC38" s="1999"/>
      <c r="AD38" s="1999"/>
      <c r="AE38" s="1999"/>
      <c r="AF38" s="1999"/>
      <c r="AG38" s="1999"/>
      <c r="AH38" s="1999"/>
      <c r="AI38" s="166"/>
      <c r="AJ38" s="1416"/>
      <c r="AK38" s="1416"/>
      <c r="AL38" s="1416"/>
      <c r="AM38" s="1416"/>
      <c r="AN38" s="1416"/>
      <c r="AO38" s="1403"/>
      <c r="AP38" s="1403"/>
      <c r="AQ38" s="1403"/>
      <c r="AR38" s="1403"/>
      <c r="AS38" s="1403"/>
      <c r="AT38" s="1403"/>
      <c r="AU38" s="1403"/>
      <c r="AV38" s="1404"/>
      <c r="AW38" s="1404"/>
      <c r="BI38" s="53"/>
      <c r="BJ38" s="53"/>
    </row>
    <row r="39" spans="1:80" ht="15" customHeight="1" x14ac:dyDescent="0.25">
      <c r="B39" s="162"/>
      <c r="C39" s="162"/>
      <c r="D39" s="162"/>
      <c r="E39" s="162"/>
      <c r="F39" s="162"/>
      <c r="G39" s="164"/>
      <c r="H39" s="1411"/>
      <c r="I39" s="1411"/>
      <c r="J39" s="1411"/>
      <c r="K39" s="168"/>
      <c r="L39" s="165"/>
      <c r="M39" s="165"/>
      <c r="N39" s="165"/>
      <c r="O39" s="165"/>
      <c r="P39" s="165"/>
      <c r="Q39" s="1693"/>
      <c r="R39" s="1693"/>
      <c r="S39" s="1693"/>
      <c r="T39" s="1693"/>
      <c r="U39" s="1693"/>
      <c r="V39" s="1693"/>
      <c r="W39" s="165"/>
      <c r="X39" s="1409"/>
      <c r="Y39" s="1409"/>
      <c r="Z39" s="1409"/>
      <c r="AA39" s="1409"/>
      <c r="AB39" s="1409"/>
      <c r="AC39" s="1999"/>
      <c r="AD39" s="1999"/>
      <c r="AE39" s="1999"/>
      <c r="AF39" s="1999"/>
      <c r="AG39" s="1999"/>
      <c r="AH39" s="1999"/>
      <c r="AI39" s="166"/>
      <c r="AJ39" s="1416"/>
      <c r="AK39" s="1416"/>
      <c r="AL39" s="1416"/>
      <c r="AM39" s="1416"/>
      <c r="AN39" s="1416"/>
      <c r="AO39" s="1403"/>
      <c r="AP39" s="1403"/>
      <c r="AQ39" s="1403"/>
      <c r="AR39" s="1403"/>
      <c r="AS39" s="1403"/>
      <c r="AT39" s="1403"/>
      <c r="AU39" s="1403"/>
      <c r="AV39" s="1404"/>
      <c r="AW39" s="1404"/>
      <c r="BI39" s="53"/>
      <c r="BJ39" s="53"/>
    </row>
    <row r="40" spans="1:80" ht="42.75" customHeight="1" x14ac:dyDescent="0.35">
      <c r="A40" s="54"/>
      <c r="B40" s="162"/>
      <c r="C40" s="162"/>
      <c r="D40" s="162"/>
      <c r="E40" s="162"/>
      <c r="F40" s="162"/>
      <c r="G40" s="164"/>
      <c r="H40" s="1411"/>
      <c r="I40" s="1411"/>
      <c r="J40" s="1411"/>
      <c r="K40" s="168"/>
      <c r="L40" s="165"/>
      <c r="M40" s="165"/>
      <c r="N40" s="165"/>
      <c r="O40" s="165"/>
      <c r="P40" s="165"/>
      <c r="Q40" s="1693"/>
      <c r="R40" s="1693"/>
      <c r="S40" s="1693"/>
      <c r="T40" s="1693"/>
      <c r="U40" s="1693"/>
      <c r="V40" s="1693"/>
      <c r="W40" s="165"/>
      <c r="X40" s="1409"/>
      <c r="Y40" s="1409"/>
      <c r="Z40" s="1409"/>
      <c r="AA40" s="1409"/>
      <c r="AB40" s="1409"/>
      <c r="AC40" s="1999"/>
      <c r="AD40" s="1999"/>
      <c r="AE40" s="1999"/>
      <c r="AF40" s="1999"/>
      <c r="AG40" s="1999"/>
      <c r="AH40" s="1999"/>
      <c r="AI40" s="166"/>
      <c r="AJ40" s="1416"/>
      <c r="AK40" s="1416"/>
      <c r="AL40" s="1416"/>
      <c r="AM40" s="1416"/>
      <c r="AN40" s="1416"/>
      <c r="AO40" s="1403"/>
      <c r="AP40" s="1403"/>
      <c r="AQ40" s="1403"/>
      <c r="AR40" s="1403"/>
      <c r="AS40" s="1403"/>
      <c r="AT40" s="1403"/>
      <c r="AU40" s="1403"/>
      <c r="AV40" s="1404"/>
      <c r="AW40" s="1404"/>
      <c r="BI40" s="53"/>
      <c r="BJ40" s="53"/>
    </row>
    <row r="41" spans="1:80" ht="38.25" customHeight="1" x14ac:dyDescent="0.35">
      <c r="A41" s="54"/>
      <c r="B41" s="162"/>
      <c r="C41" s="162"/>
      <c r="D41" s="162"/>
      <c r="E41" s="162"/>
      <c r="F41" s="162"/>
      <c r="G41" s="164"/>
      <c r="H41" s="1412"/>
      <c r="I41" s="1412"/>
      <c r="J41" s="1412"/>
      <c r="K41" s="168"/>
      <c r="L41" s="175"/>
      <c r="M41" s="175"/>
      <c r="N41" s="175"/>
      <c r="O41" s="175"/>
      <c r="P41" s="175"/>
      <c r="Q41" s="1693"/>
      <c r="R41" s="1693"/>
      <c r="S41" s="1693"/>
      <c r="T41" s="1693"/>
      <c r="U41" s="1693"/>
      <c r="V41" s="1693"/>
      <c r="W41" s="176"/>
      <c r="X41" s="1409"/>
      <c r="Y41" s="1409"/>
      <c r="Z41" s="1409"/>
      <c r="AA41" s="1409"/>
      <c r="AB41" s="1409"/>
      <c r="AC41" s="1999"/>
      <c r="AD41" s="1999"/>
      <c r="AE41" s="1999"/>
      <c r="AF41" s="1999"/>
      <c r="AG41" s="1999"/>
      <c r="AH41" s="1999"/>
      <c r="AI41" s="166"/>
      <c r="AJ41" s="1416"/>
      <c r="AK41" s="1416"/>
      <c r="AL41" s="1416"/>
      <c r="AM41" s="1416"/>
      <c r="AN41" s="1416"/>
      <c r="AO41" s="1418"/>
      <c r="AP41" s="1418"/>
      <c r="AQ41" s="1418"/>
      <c r="AR41" s="1418"/>
      <c r="AS41" s="1418"/>
      <c r="AT41" s="1418"/>
      <c r="AU41" s="1418"/>
      <c r="AV41" s="1418"/>
      <c r="AW41" s="1418"/>
      <c r="AX41" s="54"/>
      <c r="AY41" s="54"/>
      <c r="BI41" s="170"/>
      <c r="BJ41" s="170"/>
    </row>
    <row r="42" spans="1:80" ht="60" customHeight="1" x14ac:dyDescent="0.35">
      <c r="H42" s="1412"/>
      <c r="I42" s="1412"/>
      <c r="J42" s="1412"/>
      <c r="L42" s="175"/>
      <c r="M42" s="175"/>
      <c r="N42" s="175"/>
      <c r="O42" s="175"/>
      <c r="P42" s="175"/>
      <c r="Q42" s="1693"/>
      <c r="R42" s="1693"/>
      <c r="S42" s="1693"/>
      <c r="T42" s="1693"/>
      <c r="U42" s="1693"/>
      <c r="V42" s="1693"/>
      <c r="W42" s="176"/>
      <c r="X42" s="1409"/>
      <c r="Y42" s="1409"/>
      <c r="Z42" s="1409"/>
      <c r="AA42" s="1409"/>
      <c r="AB42" s="1409"/>
      <c r="AC42" s="1999"/>
      <c r="AD42" s="1999"/>
      <c r="AE42" s="1999"/>
      <c r="AF42" s="1999"/>
      <c r="AG42" s="1999"/>
      <c r="AH42" s="1999"/>
      <c r="AI42" s="166"/>
      <c r="AJ42" s="1416"/>
      <c r="AK42" s="1416"/>
      <c r="AL42" s="1416"/>
      <c r="AM42" s="1416"/>
      <c r="AN42" s="1416"/>
      <c r="AO42" s="1418"/>
      <c r="AP42" s="1418"/>
      <c r="AQ42" s="1418"/>
      <c r="AR42" s="1418"/>
      <c r="AS42" s="1418"/>
      <c r="AT42" s="1418"/>
      <c r="AU42" s="1418"/>
      <c r="AV42" s="1418"/>
      <c r="AW42" s="1418"/>
      <c r="AX42" s="54"/>
      <c r="AY42" s="54"/>
      <c r="BI42" s="170"/>
      <c r="BJ42" s="170"/>
    </row>
    <row r="43" spans="1:80" ht="15" customHeight="1" x14ac:dyDescent="0.35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1"/>
      <c r="AI43" s="171"/>
      <c r="AJ43" s="171"/>
      <c r="AK43" s="171"/>
      <c r="AL43" s="171"/>
      <c r="AM43" s="171"/>
      <c r="AN43" s="171"/>
      <c r="AO43" s="172"/>
      <c r="AP43" s="172"/>
      <c r="AQ43" s="172"/>
      <c r="AR43" s="172"/>
      <c r="AS43" s="172"/>
      <c r="AT43" s="172"/>
      <c r="AU43" s="172"/>
      <c r="AV43" s="172"/>
      <c r="AW43" s="172"/>
    </row>
    <row r="44" spans="1:80" ht="15.75" customHeight="1" thickBot="1" x14ac:dyDescent="0.4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3"/>
      <c r="Y44" s="171"/>
      <c r="Z44" s="171"/>
      <c r="AA44" s="171"/>
      <c r="AB44" s="171"/>
      <c r="AC44" s="171"/>
      <c r="AD44" s="171"/>
      <c r="AE44" s="171"/>
      <c r="AF44" s="171"/>
      <c r="AG44" s="171"/>
      <c r="AH44" s="171"/>
      <c r="AI44" s="171"/>
      <c r="AJ44" s="171"/>
      <c r="AK44" s="171"/>
      <c r="AL44" s="171"/>
      <c r="AM44" s="171"/>
      <c r="AN44" s="171"/>
      <c r="AO44" s="172"/>
      <c r="AP44" s="172"/>
      <c r="AQ44" s="172"/>
      <c r="AR44" s="172"/>
      <c r="AS44" s="172"/>
      <c r="AT44" s="172"/>
      <c r="AU44" s="172"/>
      <c r="AV44" s="172"/>
      <c r="AW44" s="172"/>
    </row>
    <row r="45" spans="1:80" ht="15.75" thickTop="1" x14ac:dyDescent="0.25">
      <c r="J45" t="s">
        <v>16</v>
      </c>
      <c r="AD45" s="775">
        <v>12.42</v>
      </c>
      <c r="AE45" s="776"/>
      <c r="AF45" s="776"/>
      <c r="AG45" s="776"/>
      <c r="AH45" s="777"/>
      <c r="AL45" s="727" t="s">
        <v>122</v>
      </c>
      <c r="AM45" s="727"/>
      <c r="AN45" s="727"/>
      <c r="AO45" s="727" t="s">
        <v>123</v>
      </c>
      <c r="AP45" s="727"/>
      <c r="AQ45" s="727"/>
      <c r="AR45" s="727" t="s">
        <v>124</v>
      </c>
      <c r="AS45" s="727"/>
      <c r="AT45" s="727" t="s">
        <v>125</v>
      </c>
      <c r="AU45" s="727"/>
      <c r="AY45" s="739" t="s">
        <v>126</v>
      </c>
      <c r="AZ45" s="740"/>
      <c r="BA45" s="740"/>
      <c r="BB45" s="740"/>
      <c r="BC45" s="740"/>
      <c r="BD45" s="740"/>
      <c r="BE45" s="740"/>
      <c r="BF45" s="740"/>
      <c r="BG45" s="740"/>
      <c r="BH45" s="741"/>
    </row>
    <row r="46" spans="1:80" x14ac:dyDescent="0.25">
      <c r="AD46" s="778"/>
      <c r="AE46" s="779"/>
      <c r="AF46" s="779"/>
      <c r="AG46" s="779"/>
      <c r="AH46" s="780"/>
      <c r="AL46" s="727"/>
      <c r="AM46" s="727"/>
      <c r="AN46" s="727"/>
      <c r="AO46" s="727"/>
      <c r="AP46" s="727"/>
      <c r="AQ46" s="727"/>
      <c r="AR46" s="727"/>
      <c r="AS46" s="727"/>
      <c r="AT46" s="727"/>
      <c r="AU46" s="727"/>
      <c r="AY46" s="750"/>
      <c r="AZ46" s="751"/>
      <c r="BA46" s="751"/>
      <c r="BB46" s="751"/>
      <c r="BC46" s="751"/>
      <c r="BD46" s="751"/>
      <c r="BE46" s="751"/>
      <c r="BF46" s="751"/>
      <c r="BG46" s="751"/>
      <c r="BH46" s="752"/>
    </row>
    <row r="47" spans="1:80" x14ac:dyDescent="0.25">
      <c r="AA47" s="56"/>
      <c r="AD47" s="778"/>
      <c r="AE47" s="779"/>
      <c r="AF47" s="779"/>
      <c r="AG47" s="779"/>
      <c r="AH47" s="780"/>
      <c r="AL47" s="727"/>
      <c r="AM47" s="727"/>
      <c r="AN47" s="727"/>
      <c r="AO47" s="727"/>
      <c r="AP47" s="727"/>
      <c r="AQ47" s="727"/>
      <c r="AR47" s="727"/>
      <c r="AS47" s="727"/>
      <c r="AT47" s="727"/>
      <c r="AU47" s="727"/>
      <c r="AY47" s="742"/>
      <c r="AZ47" s="743"/>
      <c r="BA47" s="743"/>
      <c r="BB47" s="743"/>
      <c r="BC47" s="743"/>
      <c r="BD47" s="743"/>
      <c r="BE47" s="743"/>
      <c r="BF47" s="743"/>
      <c r="BG47" s="743"/>
      <c r="BH47" s="744"/>
    </row>
    <row r="48" spans="1:80" x14ac:dyDescent="0.25">
      <c r="K48" t="s">
        <v>258</v>
      </c>
      <c r="AD48" s="778"/>
      <c r="AE48" s="779"/>
      <c r="AF48" s="779"/>
      <c r="AG48" s="779"/>
      <c r="AH48" s="780"/>
      <c r="AL48" s="727">
        <v>480</v>
      </c>
      <c r="AM48" s="727"/>
      <c r="AN48" s="727"/>
      <c r="AO48" s="727">
        <f>AT70</f>
        <v>480</v>
      </c>
      <c r="AP48" s="727"/>
      <c r="AQ48" s="727"/>
      <c r="AR48" s="1689">
        <f>AC32</f>
        <v>12.417000000000002</v>
      </c>
      <c r="AS48" s="1689"/>
      <c r="AT48" s="1689">
        <f>AC32+AO34</f>
        <v>16.917000000000002</v>
      </c>
      <c r="AU48" s="1689"/>
      <c r="AY48" s="727" t="s">
        <v>128</v>
      </c>
      <c r="AZ48" s="727"/>
      <c r="BA48" s="727"/>
      <c r="BB48" s="727"/>
      <c r="BC48" s="727"/>
      <c r="BD48" s="727"/>
      <c r="BE48" s="727"/>
      <c r="BF48" s="727"/>
      <c r="BG48" s="727"/>
      <c r="BH48" s="727"/>
    </row>
    <row r="49" spans="7:60" x14ac:dyDescent="0.25">
      <c r="G49" t="s">
        <v>16</v>
      </c>
      <c r="AD49" s="778"/>
      <c r="AE49" s="779"/>
      <c r="AF49" s="779"/>
      <c r="AG49" s="779"/>
      <c r="AH49" s="780"/>
      <c r="AL49" s="727"/>
      <c r="AM49" s="727"/>
      <c r="AN49" s="727"/>
      <c r="AO49" s="727"/>
      <c r="AP49" s="727"/>
      <c r="AQ49" s="727"/>
      <c r="AR49" s="1689"/>
      <c r="AS49" s="1689"/>
      <c r="AT49" s="1689"/>
      <c r="AU49" s="1689"/>
      <c r="AY49" s="727"/>
      <c r="AZ49" s="727"/>
      <c r="BA49" s="727"/>
      <c r="BB49" s="727"/>
      <c r="BC49" s="727"/>
      <c r="BD49" s="727"/>
      <c r="BE49" s="727"/>
      <c r="BF49" s="727"/>
      <c r="BG49" s="727"/>
      <c r="BH49" s="727"/>
    </row>
    <row r="50" spans="7:60" ht="15" customHeight="1" x14ac:dyDescent="0.25">
      <c r="AD50" s="778"/>
      <c r="AE50" s="779"/>
      <c r="AF50" s="779"/>
      <c r="AG50" s="779"/>
      <c r="AH50" s="780"/>
      <c r="AL50" s="727"/>
      <c r="AM50" s="727"/>
      <c r="AN50" s="727"/>
      <c r="AO50" s="727"/>
      <c r="AP50" s="727"/>
      <c r="AQ50" s="727"/>
      <c r="AR50" s="1689"/>
      <c r="AS50" s="1689"/>
      <c r="AT50" s="1689"/>
      <c r="AU50" s="1689"/>
      <c r="AY50" s="728">
        <f>AR48/((42*3.1415/59)*(AO48/3.281))</f>
        <v>3.7953106691904839E-2</v>
      </c>
      <c r="AZ50" s="729"/>
      <c r="BA50" s="729"/>
      <c r="BB50" s="729"/>
      <c r="BC50" s="729"/>
      <c r="BD50" s="729"/>
      <c r="BE50" s="729"/>
      <c r="BF50" s="729"/>
      <c r="BG50" s="729"/>
      <c r="BH50" s="730"/>
    </row>
    <row r="51" spans="7:60" ht="15.75" customHeight="1" thickBot="1" x14ac:dyDescent="0.3">
      <c r="AD51" s="781"/>
      <c r="AE51" s="782"/>
      <c r="AF51" s="782"/>
      <c r="AG51" s="782"/>
      <c r="AH51" s="783"/>
      <c r="AL51" s="727"/>
      <c r="AM51" s="727"/>
      <c r="AN51" s="727"/>
      <c r="AO51" s="727"/>
      <c r="AP51" s="727"/>
      <c r="AQ51" s="727"/>
      <c r="AR51" s="1689"/>
      <c r="AS51" s="1689"/>
      <c r="AT51" s="1689"/>
      <c r="AU51" s="1689"/>
      <c r="AY51" s="731"/>
      <c r="AZ51" s="732"/>
      <c r="BA51" s="732"/>
      <c r="BB51" s="732"/>
      <c r="BC51" s="732"/>
      <c r="BD51" s="732"/>
      <c r="BE51" s="732"/>
      <c r="BF51" s="732"/>
      <c r="BG51" s="732"/>
      <c r="BH51" s="733"/>
    </row>
    <row r="52" spans="7:60" ht="15.75" customHeight="1" thickTop="1" x14ac:dyDescent="0.25">
      <c r="AY52" s="734"/>
      <c r="AZ52" s="735"/>
      <c r="BA52" s="735"/>
      <c r="BB52" s="735"/>
      <c r="BC52" s="735"/>
      <c r="BD52" s="735"/>
      <c r="BE52" s="735"/>
      <c r="BF52" s="735"/>
      <c r="BG52" s="735"/>
      <c r="BH52" s="736"/>
    </row>
    <row r="53" spans="7:60" x14ac:dyDescent="0.25">
      <c r="AY53" s="739" t="s">
        <v>129</v>
      </c>
      <c r="AZ53" s="740"/>
      <c r="BA53" s="740"/>
      <c r="BB53" s="740"/>
      <c r="BC53" s="740"/>
      <c r="BD53" s="740"/>
      <c r="BE53" s="740"/>
      <c r="BF53" s="740"/>
      <c r="BG53" s="740"/>
      <c r="BH53" s="741"/>
    </row>
    <row r="54" spans="7:60" x14ac:dyDescent="0.25">
      <c r="AY54" s="742"/>
      <c r="AZ54" s="743"/>
      <c r="BA54" s="743"/>
      <c r="BB54" s="743"/>
      <c r="BC54" s="743"/>
      <c r="BD54" s="743"/>
      <c r="BE54" s="743"/>
      <c r="BF54" s="743"/>
      <c r="BG54" s="743"/>
      <c r="BH54" s="744"/>
    </row>
    <row r="55" spans="7:60" x14ac:dyDescent="0.25">
      <c r="AN55" s="727">
        <v>60</v>
      </c>
      <c r="AO55" s="727"/>
      <c r="AP55" s="727"/>
      <c r="AQ55" s="746">
        <v>8</v>
      </c>
      <c r="AR55" s="746"/>
      <c r="AS55" s="746"/>
      <c r="AT55" s="747">
        <f>AQ55*AN55</f>
        <v>480</v>
      </c>
      <c r="AU55" s="748"/>
      <c r="AV55" s="748"/>
      <c r="AW55" s="749"/>
      <c r="AY55" s="739" t="s">
        <v>130</v>
      </c>
      <c r="AZ55" s="740"/>
      <c r="BA55" s="740"/>
      <c r="BB55" s="740"/>
      <c r="BC55" s="740"/>
      <c r="BD55" s="740"/>
      <c r="BE55" s="740"/>
      <c r="BF55" s="740"/>
      <c r="BG55" s="740"/>
      <c r="BH55" s="741"/>
    </row>
    <row r="56" spans="7:60" x14ac:dyDescent="0.25">
      <c r="AN56" s="727"/>
      <c r="AO56" s="727"/>
      <c r="AP56" s="727"/>
      <c r="AQ56" s="746"/>
      <c r="AR56" s="746"/>
      <c r="AS56" s="746"/>
      <c r="AT56" s="747"/>
      <c r="AU56" s="748"/>
      <c r="AV56" s="748"/>
      <c r="AW56" s="749"/>
      <c r="AY56" s="750"/>
      <c r="AZ56" s="751"/>
      <c r="BA56" s="751"/>
      <c r="BB56" s="751"/>
      <c r="BC56" s="751"/>
      <c r="BD56" s="751"/>
      <c r="BE56" s="751"/>
      <c r="BF56" s="751"/>
      <c r="BG56" s="751"/>
      <c r="BH56" s="752"/>
    </row>
    <row r="57" spans="7:60" ht="15" customHeight="1" x14ac:dyDescent="0.25">
      <c r="AN57" s="727"/>
      <c r="AO57" s="727"/>
      <c r="AP57" s="727"/>
      <c r="AQ57" s="746"/>
      <c r="AR57" s="746"/>
      <c r="AS57" s="746"/>
      <c r="AT57" s="747"/>
      <c r="AU57" s="748"/>
      <c r="AV57" s="748"/>
      <c r="AW57" s="749"/>
      <c r="AY57" s="750"/>
      <c r="AZ57" s="751"/>
      <c r="BA57" s="751"/>
      <c r="BB57" s="751"/>
      <c r="BC57" s="751"/>
      <c r="BD57" s="751"/>
      <c r="BE57" s="751"/>
      <c r="BF57" s="751"/>
      <c r="BG57" s="751"/>
      <c r="BH57" s="752"/>
    </row>
    <row r="58" spans="7:60" ht="15" customHeight="1" x14ac:dyDescent="0.25">
      <c r="AN58" s="727"/>
      <c r="AO58" s="727"/>
      <c r="AP58" s="727"/>
      <c r="AQ58" s="746"/>
      <c r="AR58" s="746"/>
      <c r="AS58" s="746"/>
      <c r="AT58" s="747"/>
      <c r="AU58" s="748"/>
      <c r="AV58" s="748"/>
      <c r="AW58" s="749"/>
      <c r="AY58" s="742"/>
      <c r="AZ58" s="743"/>
      <c r="BA58" s="743"/>
      <c r="BB58" s="743"/>
      <c r="BC58" s="743"/>
      <c r="BD58" s="743"/>
      <c r="BE58" s="743"/>
      <c r="BF58" s="743"/>
      <c r="BG58" s="743"/>
      <c r="BH58" s="744"/>
    </row>
    <row r="59" spans="7:60" ht="15" customHeight="1" x14ac:dyDescent="0.25">
      <c r="AN59" s="727"/>
      <c r="AO59" s="727"/>
      <c r="AP59" s="727"/>
      <c r="AQ59" s="746"/>
      <c r="AR59" s="746"/>
      <c r="AS59" s="746"/>
      <c r="AT59" s="747"/>
      <c r="AU59" s="748"/>
      <c r="AV59" s="748"/>
      <c r="AW59" s="749"/>
      <c r="AY59" s="728">
        <f>AT48/((42*3.1415/59)*(AO48/3.281))</f>
        <v>5.1707554635334954E-2</v>
      </c>
      <c r="AZ59" s="729"/>
      <c r="BA59" s="729"/>
      <c r="BB59" s="729"/>
      <c r="BC59" s="729"/>
      <c r="BD59" s="729"/>
      <c r="BE59" s="729"/>
      <c r="BF59" s="729"/>
      <c r="BG59" s="729"/>
      <c r="BH59" s="730"/>
    </row>
    <row r="60" spans="7:60" ht="15" customHeight="1" x14ac:dyDescent="0.25">
      <c r="AN60" s="727"/>
      <c r="AO60" s="727"/>
      <c r="AP60" s="727"/>
      <c r="AQ60" s="746"/>
      <c r="AR60" s="746"/>
      <c r="AS60" s="746"/>
      <c r="AT60" s="747"/>
      <c r="AU60" s="748"/>
      <c r="AV60" s="748"/>
      <c r="AW60" s="749"/>
      <c r="AY60" s="731"/>
      <c r="AZ60" s="732"/>
      <c r="BA60" s="732"/>
      <c r="BB60" s="732"/>
      <c r="BC60" s="732"/>
      <c r="BD60" s="732"/>
      <c r="BE60" s="732"/>
      <c r="BF60" s="732"/>
      <c r="BG60" s="732"/>
      <c r="BH60" s="733"/>
    </row>
    <row r="61" spans="7:60" ht="15" customHeight="1" x14ac:dyDescent="0.25">
      <c r="AN61" s="727"/>
      <c r="AO61" s="727"/>
      <c r="AP61" s="727"/>
      <c r="AQ61" s="746"/>
      <c r="AR61" s="746"/>
      <c r="AS61" s="746"/>
      <c r="AT61" s="747"/>
      <c r="AU61" s="748"/>
      <c r="AV61" s="748"/>
      <c r="AW61" s="749"/>
      <c r="AY61" s="731"/>
      <c r="AZ61" s="732"/>
      <c r="BA61" s="732"/>
      <c r="BB61" s="732"/>
      <c r="BC61" s="732"/>
      <c r="BD61" s="732"/>
      <c r="BE61" s="732"/>
      <c r="BF61" s="732"/>
      <c r="BG61" s="732"/>
      <c r="BH61" s="733"/>
    </row>
    <row r="62" spans="7:60" ht="15" customHeight="1" x14ac:dyDescent="0.25">
      <c r="AN62" s="727"/>
      <c r="AO62" s="727"/>
      <c r="AP62" s="727"/>
      <c r="AQ62" s="746"/>
      <c r="AR62" s="746"/>
      <c r="AS62" s="746"/>
      <c r="AT62" s="747"/>
      <c r="AU62" s="748"/>
      <c r="AV62" s="748"/>
      <c r="AW62" s="749"/>
      <c r="AY62" s="731"/>
      <c r="AZ62" s="732"/>
      <c r="BA62" s="732"/>
      <c r="BB62" s="732"/>
      <c r="BC62" s="732"/>
      <c r="BD62" s="732"/>
      <c r="BE62" s="732"/>
      <c r="BF62" s="732"/>
      <c r="BG62" s="732"/>
      <c r="BH62" s="733"/>
    </row>
    <row r="63" spans="7:60" ht="15" customHeight="1" x14ac:dyDescent="0.25">
      <c r="AN63" s="727"/>
      <c r="AO63" s="727"/>
      <c r="AP63" s="727"/>
      <c r="AQ63" s="746"/>
      <c r="AR63" s="746"/>
      <c r="AS63" s="746"/>
      <c r="AT63" s="747"/>
      <c r="AU63" s="748"/>
      <c r="AV63" s="748"/>
      <c r="AW63" s="749"/>
      <c r="AY63" s="734"/>
      <c r="AZ63" s="735"/>
      <c r="BA63" s="735"/>
      <c r="BB63" s="735"/>
      <c r="BC63" s="735"/>
      <c r="BD63" s="735"/>
      <c r="BE63" s="735"/>
      <c r="BF63" s="735"/>
      <c r="BG63" s="735"/>
      <c r="BH63" s="736"/>
    </row>
    <row r="64" spans="7:60" ht="15" customHeight="1" x14ac:dyDescent="0.25">
      <c r="AN64" s="727"/>
      <c r="AO64" s="727"/>
      <c r="AP64" s="727"/>
      <c r="AQ64" s="746"/>
      <c r="AR64" s="746"/>
      <c r="AS64" s="746"/>
      <c r="AT64" s="747"/>
      <c r="AU64" s="748"/>
      <c r="AV64" s="748"/>
      <c r="AW64" s="749"/>
    </row>
    <row r="65" spans="40:49" ht="15" customHeight="1" x14ac:dyDescent="0.25">
      <c r="AN65" s="727"/>
      <c r="AO65" s="727"/>
      <c r="AP65" s="727"/>
      <c r="AQ65" s="746"/>
      <c r="AR65" s="746"/>
      <c r="AS65" s="746"/>
      <c r="AT65" s="747"/>
      <c r="AU65" s="748"/>
      <c r="AV65" s="748"/>
      <c r="AW65" s="749"/>
    </row>
    <row r="66" spans="40:49" ht="15" customHeight="1" x14ac:dyDescent="0.25">
      <c r="AN66" s="727"/>
      <c r="AO66" s="727"/>
      <c r="AP66" s="727"/>
      <c r="AQ66" s="746"/>
      <c r="AR66" s="746"/>
      <c r="AS66" s="746"/>
      <c r="AT66" s="747"/>
      <c r="AU66" s="748"/>
      <c r="AV66" s="748"/>
      <c r="AW66" s="749"/>
    </row>
    <row r="67" spans="40:49" ht="15" customHeight="1" x14ac:dyDescent="0.25">
      <c r="AN67" s="727"/>
      <c r="AO67" s="727"/>
      <c r="AP67" s="727"/>
      <c r="AQ67" s="746"/>
      <c r="AR67" s="746"/>
      <c r="AS67" s="746"/>
      <c r="AT67" s="747"/>
      <c r="AU67" s="748"/>
      <c r="AV67" s="748"/>
      <c r="AW67" s="749"/>
    </row>
    <row r="68" spans="40:49" ht="15" customHeight="1" x14ac:dyDescent="0.25">
      <c r="AN68" s="727"/>
      <c r="AO68" s="727"/>
      <c r="AP68" s="727"/>
      <c r="AQ68" s="746"/>
      <c r="AR68" s="746"/>
      <c r="AS68" s="746"/>
      <c r="AT68" s="747"/>
      <c r="AU68" s="748"/>
      <c r="AV68" s="748"/>
      <c r="AW68" s="749"/>
    </row>
    <row r="69" spans="40:49" ht="15" customHeight="1" x14ac:dyDescent="0.25">
      <c r="AN69" s="727"/>
      <c r="AO69" s="727"/>
      <c r="AP69" s="727"/>
      <c r="AQ69" s="746"/>
      <c r="AR69" s="746"/>
      <c r="AS69" s="746"/>
      <c r="AT69" s="747"/>
      <c r="AU69" s="748"/>
      <c r="AV69" s="748"/>
      <c r="AW69" s="749"/>
    </row>
    <row r="70" spans="40:49" ht="15" customHeight="1" x14ac:dyDescent="0.25">
      <c r="AQ70" s="1254">
        <f>AQ55+AQ58+AQ61+AQ64+AQ67</f>
        <v>8</v>
      </c>
      <c r="AR70" s="1254"/>
      <c r="AS70" s="1254"/>
      <c r="AT70" s="747">
        <f>AT55+AT58+AT61+AT64+AT67</f>
        <v>480</v>
      </c>
      <c r="AU70" s="748"/>
      <c r="AV70" s="748"/>
      <c r="AW70" s="749"/>
    </row>
    <row r="71" spans="40:49" ht="15" customHeight="1" x14ac:dyDescent="0.25">
      <c r="AQ71" s="1254"/>
      <c r="AR71" s="1254"/>
      <c r="AS71" s="1254"/>
      <c r="AT71" s="747"/>
      <c r="AU71" s="748"/>
      <c r="AV71" s="748"/>
      <c r="AW71" s="749"/>
    </row>
    <row r="72" spans="40:49" ht="15" customHeight="1" x14ac:dyDescent="0.25">
      <c r="AQ72" s="1254"/>
      <c r="AR72" s="1254"/>
      <c r="AS72" s="1254"/>
      <c r="AT72" s="747"/>
      <c r="AU72" s="748"/>
      <c r="AV72" s="748"/>
      <c r="AW72" s="749"/>
    </row>
    <row r="73" spans="40:49" ht="15" customHeight="1" x14ac:dyDescent="0.25"/>
    <row r="74" spans="40:49" ht="15" customHeight="1" x14ac:dyDescent="0.25"/>
    <row r="75" spans="40:49" ht="15" customHeight="1" x14ac:dyDescent="0.25"/>
    <row r="76" spans="40:49" ht="15" customHeight="1" x14ac:dyDescent="0.25"/>
    <row r="77" spans="40:49" ht="15" customHeight="1" x14ac:dyDescent="0.25">
      <c r="AS77" s="27"/>
      <c r="AT77" s="27"/>
      <c r="AU77" s="27"/>
    </row>
  </sheetData>
  <mergeCells count="235">
    <mergeCell ref="A2:D2"/>
    <mergeCell ref="E2:E3"/>
    <mergeCell ref="A4:D4"/>
    <mergeCell ref="E4:E5"/>
    <mergeCell ref="F2:H5"/>
    <mergeCell ref="I2:J5"/>
    <mergeCell ref="K2:M5"/>
    <mergeCell ref="N2:O5"/>
    <mergeCell ref="BG2:BH2"/>
    <mergeCell ref="AY3:BA5"/>
    <mergeCell ref="BD3:BF5"/>
    <mergeCell ref="AX4:AX5"/>
    <mergeCell ref="AX2:AX3"/>
    <mergeCell ref="AY2:BA2"/>
    <mergeCell ref="BB2:BC2"/>
    <mergeCell ref="BD2:BF2"/>
    <mergeCell ref="P2:R5"/>
    <mergeCell ref="AO2:AQ5"/>
    <mergeCell ref="AR2:AS5"/>
    <mergeCell ref="S2:T5"/>
    <mergeCell ref="U2:W5"/>
    <mergeCell ref="X2:Y5"/>
    <mergeCell ref="Z2:AB5"/>
    <mergeCell ref="AC2:AD5"/>
    <mergeCell ref="AE2:AG5"/>
    <mergeCell ref="AH2:AI5"/>
    <mergeCell ref="AJ2:AL5"/>
    <mergeCell ref="AM2:AN5"/>
    <mergeCell ref="BB8:BC8"/>
    <mergeCell ref="BD8:BF8"/>
    <mergeCell ref="BG8:BH8"/>
    <mergeCell ref="AY9:BA11"/>
    <mergeCell ref="BD9:BF11"/>
    <mergeCell ref="BE6:BH6"/>
    <mergeCell ref="AY8:BA8"/>
    <mergeCell ref="AJ10:AM10"/>
    <mergeCell ref="AN10:AN11"/>
    <mergeCell ref="AE8:AH8"/>
    <mergeCell ref="AI8:AI9"/>
    <mergeCell ref="AJ8:AM8"/>
    <mergeCell ref="A6:D6"/>
    <mergeCell ref="E6:E7"/>
    <mergeCell ref="F6:F7"/>
    <mergeCell ref="G6:J6"/>
    <mergeCell ref="K6:K7"/>
    <mergeCell ref="L6:O6"/>
    <mergeCell ref="AY6:AY7"/>
    <mergeCell ref="AZ6:BC6"/>
    <mergeCell ref="BD6:BD7"/>
    <mergeCell ref="AE6:AE7"/>
    <mergeCell ref="AF6:AI6"/>
    <mergeCell ref="AJ6:AJ7"/>
    <mergeCell ref="AK6:AN6"/>
    <mergeCell ref="P6:P7"/>
    <mergeCell ref="Q6:T6"/>
    <mergeCell ref="U6:U7"/>
    <mergeCell ref="V6:Y6"/>
    <mergeCell ref="Z6:Z7"/>
    <mergeCell ref="AA6:AD6"/>
    <mergeCell ref="O10:O11"/>
    <mergeCell ref="P10:S10"/>
    <mergeCell ref="T10:T11"/>
    <mergeCell ref="U10:X10"/>
    <mergeCell ref="F8:I8"/>
    <mergeCell ref="J8:J9"/>
    <mergeCell ref="K8:N8"/>
    <mergeCell ref="O8:O9"/>
    <mergeCell ref="P8:S8"/>
    <mergeCell ref="T8:T9"/>
    <mergeCell ref="U8:X8"/>
    <mergeCell ref="Y8:Y9"/>
    <mergeCell ref="Z8:AC8"/>
    <mergeCell ref="AD8:AD9"/>
    <mergeCell ref="A15:E17"/>
    <mergeCell ref="AO15:AQ17"/>
    <mergeCell ref="Y10:Y11"/>
    <mergeCell ref="Z10:AC10"/>
    <mergeCell ref="AD10:AD11"/>
    <mergeCell ref="AE10:AH10"/>
    <mergeCell ref="AI10:AI11"/>
    <mergeCell ref="AE12:AH12"/>
    <mergeCell ref="AI12:AI13"/>
    <mergeCell ref="AJ12:AM12"/>
    <mergeCell ref="O12:O13"/>
    <mergeCell ref="P12:S12"/>
    <mergeCell ref="T12:T13"/>
    <mergeCell ref="U12:X12"/>
    <mergeCell ref="A10:D10"/>
    <mergeCell ref="E10:E11"/>
    <mergeCell ref="F10:I10"/>
    <mergeCell ref="J10:J11"/>
    <mergeCell ref="K10:N10"/>
    <mergeCell ref="A8:D8"/>
    <mergeCell ref="E8:E9"/>
    <mergeCell ref="BG20:BH20"/>
    <mergeCell ref="A20:C20"/>
    <mergeCell ref="D20:E20"/>
    <mergeCell ref="F20:H20"/>
    <mergeCell ref="I20:J20"/>
    <mergeCell ref="AO20:AQ20"/>
    <mergeCell ref="AR20:AS20"/>
    <mergeCell ref="A18:A19"/>
    <mergeCell ref="B18:E18"/>
    <mergeCell ref="AY18:AY19"/>
    <mergeCell ref="AZ18:BC18"/>
    <mergeCell ref="BD18:BD19"/>
    <mergeCell ref="BE18:BH18"/>
    <mergeCell ref="AY15:BA17"/>
    <mergeCell ref="BD15:BF17"/>
    <mergeCell ref="AZ12:BC12"/>
    <mergeCell ref="BD12:BD13"/>
    <mergeCell ref="BE12:BH12"/>
    <mergeCell ref="A14:C14"/>
    <mergeCell ref="D14:E14"/>
    <mergeCell ref="AO14:AQ14"/>
    <mergeCell ref="AR14:AS14"/>
    <mergeCell ref="AT14:AV14"/>
    <mergeCell ref="AW14:AX14"/>
    <mergeCell ref="AY14:BA14"/>
    <mergeCell ref="AD12:AD13"/>
    <mergeCell ref="A12:D12"/>
    <mergeCell ref="E12:E13"/>
    <mergeCell ref="AY12:AY13"/>
    <mergeCell ref="Y12:Y13"/>
    <mergeCell ref="Z12:AC12"/>
    <mergeCell ref="F12:I12"/>
    <mergeCell ref="J12:J13"/>
    <mergeCell ref="K12:N12"/>
    <mergeCell ref="BB14:BC14"/>
    <mergeCell ref="BD14:BF14"/>
    <mergeCell ref="BG14:BH14"/>
    <mergeCell ref="A21:C23"/>
    <mergeCell ref="F21:H23"/>
    <mergeCell ref="AO21:AQ23"/>
    <mergeCell ref="AT21:AV23"/>
    <mergeCell ref="AY21:BA23"/>
    <mergeCell ref="BD21:BF23"/>
    <mergeCell ref="AT20:AV20"/>
    <mergeCell ref="AW20:AX20"/>
    <mergeCell ref="AY20:BA20"/>
    <mergeCell ref="BB20:BC20"/>
    <mergeCell ref="BD20:BF20"/>
    <mergeCell ref="AY24:AY25"/>
    <mergeCell ref="AZ24:BC24"/>
    <mergeCell ref="BD24:BD25"/>
    <mergeCell ref="BE24:BH24"/>
    <mergeCell ref="A24:A25"/>
    <mergeCell ref="B24:E24"/>
    <mergeCell ref="F24:F25"/>
    <mergeCell ref="G24:J24"/>
    <mergeCell ref="AO24:AO25"/>
    <mergeCell ref="AP24:AS24"/>
    <mergeCell ref="AY26:BA26"/>
    <mergeCell ref="BB26:BC26"/>
    <mergeCell ref="BD26:BF26"/>
    <mergeCell ref="BG26:BH26"/>
    <mergeCell ref="A27:C29"/>
    <mergeCell ref="F27:H29"/>
    <mergeCell ref="AT27:AV29"/>
    <mergeCell ref="AY27:BA29"/>
    <mergeCell ref="BD27:BF29"/>
    <mergeCell ref="A26:C26"/>
    <mergeCell ref="D26:E26"/>
    <mergeCell ref="F26:H26"/>
    <mergeCell ref="I26:J26"/>
    <mergeCell ref="AT26:AV26"/>
    <mergeCell ref="AW26:AX26"/>
    <mergeCell ref="BD30:BD31"/>
    <mergeCell ref="BE30:BH30"/>
    <mergeCell ref="H32:J33"/>
    <mergeCell ref="Q32:V34"/>
    <mergeCell ref="X32:AB36"/>
    <mergeCell ref="AC32:AH36"/>
    <mergeCell ref="AJ32:AN42"/>
    <mergeCell ref="AO32:AS33"/>
    <mergeCell ref="A30:A31"/>
    <mergeCell ref="B30:E30"/>
    <mergeCell ref="F30:F31"/>
    <mergeCell ref="G30:J30"/>
    <mergeCell ref="AT30:AT31"/>
    <mergeCell ref="AU30:AX30"/>
    <mergeCell ref="H35:J35"/>
    <mergeCell ref="Q35:V42"/>
    <mergeCell ref="H36:J37"/>
    <mergeCell ref="X37:AB42"/>
    <mergeCell ref="AC37:AH42"/>
    <mergeCell ref="H38:J40"/>
    <mergeCell ref="H41:J42"/>
    <mergeCell ref="AY30:AY31"/>
    <mergeCell ref="AZ30:BC30"/>
    <mergeCell ref="AY45:BH47"/>
    <mergeCell ref="AL48:AN51"/>
    <mergeCell ref="AO48:AQ51"/>
    <mergeCell ref="AR48:AS51"/>
    <mergeCell ref="AT48:AU51"/>
    <mergeCell ref="AY48:BH49"/>
    <mergeCell ref="AY50:BH52"/>
    <mergeCell ref="AO41:AW42"/>
    <mergeCell ref="AD45:AH51"/>
    <mergeCell ref="AL45:AN47"/>
    <mergeCell ref="AO45:AQ47"/>
    <mergeCell ref="AR45:AS47"/>
    <mergeCell ref="AT45:AU47"/>
    <mergeCell ref="AY53:BH54"/>
    <mergeCell ref="AN55:AP57"/>
    <mergeCell ref="AQ55:AS57"/>
    <mergeCell ref="AT55:AW57"/>
    <mergeCell ref="AY55:BH58"/>
    <mergeCell ref="AN58:AP60"/>
    <mergeCell ref="AQ58:AS60"/>
    <mergeCell ref="AT58:AW60"/>
    <mergeCell ref="AY59:BH63"/>
    <mergeCell ref="AN61:AP63"/>
    <mergeCell ref="AQ70:AS72"/>
    <mergeCell ref="AT70:AW72"/>
    <mergeCell ref="AO6:AO7"/>
    <mergeCell ref="AP6:AS6"/>
    <mergeCell ref="AQ61:AS63"/>
    <mergeCell ref="AT61:AW63"/>
    <mergeCell ref="AN64:AP66"/>
    <mergeCell ref="AQ64:AS66"/>
    <mergeCell ref="AT64:AW66"/>
    <mergeCell ref="AN67:AP69"/>
    <mergeCell ref="AQ67:AS69"/>
    <mergeCell ref="AT67:AW69"/>
    <mergeCell ref="AT32:AW33"/>
    <mergeCell ref="AO34:AU40"/>
    <mergeCell ref="AV34:AW40"/>
    <mergeCell ref="AT24:AT25"/>
    <mergeCell ref="AU24:AX24"/>
    <mergeCell ref="AX6:AX7"/>
    <mergeCell ref="AT15:AV17"/>
    <mergeCell ref="AP8:AW11"/>
    <mergeCell ref="AN12:AN13"/>
    <mergeCell ref="AN8:AN9"/>
  </mergeCells>
  <pageMargins left="0.75" right="0.5" top="1" bottom="0.5" header="0.3" footer="0.3"/>
  <pageSetup paperSize="8" scale="64" orientation="landscape" r:id="rId1"/>
  <headerFooter>
    <oddFooter>&amp;C&amp;"-,Bold Italic"&amp;16Prepared by Emir Cebecioglu&amp;RQuality Control Department</oddFooter>
  </headerFooter>
  <colBreaks count="1" manualBreakCount="1">
    <brk id="60" max="50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FF794-C8C6-4113-A0EB-7283D28068D6}">
  <sheetPr>
    <tabColor rgb="FFFFC000"/>
    <pageSetUpPr fitToPage="1"/>
  </sheetPr>
  <dimension ref="A1:CL112"/>
  <sheetViews>
    <sheetView view="pageBreakPreview" topLeftCell="A2" zoomScale="55" zoomScaleNormal="115" zoomScaleSheetLayoutView="55" workbookViewId="0">
      <selection activeCell="F15" sqref="F15:J17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140625" customWidth="1"/>
    <col min="47" max="47" width="10.71093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4.140625" customWidth="1"/>
    <col min="62" max="62" width="10.7109375" customWidth="1"/>
    <col min="63" max="63" width="4.28515625" customWidth="1"/>
    <col min="64" max="65" width="5.5703125" customWidth="1"/>
    <col min="66" max="66" width="4.140625" customWidth="1"/>
    <col min="67" max="67" width="10.7109375" customWidth="1"/>
    <col min="68" max="68" width="4.28515625" customWidth="1"/>
    <col min="69" max="70" width="5.5703125" customWidth="1"/>
    <col min="71" max="71" width="1" customWidth="1"/>
    <col min="72" max="72" width="56.7109375" customWidth="1"/>
    <col min="73" max="73" width="13" customWidth="1"/>
    <col min="74" max="74" width="7" customWidth="1"/>
  </cols>
  <sheetData>
    <row r="1" spans="1:83" ht="75" customHeight="1" x14ac:dyDescent="0.25"/>
    <row r="2" spans="1:83" ht="108.75" customHeight="1" x14ac:dyDescent="0.25"/>
    <row r="3" spans="1:83" ht="15" customHeight="1" x14ac:dyDescent="0.25">
      <c r="A3" s="2041" t="s">
        <v>110</v>
      </c>
      <c r="B3" s="2041"/>
      <c r="C3" s="2042">
        <f>B8/((54*3.1415/57)*(164/3.281))</f>
        <v>0.15162083111739119</v>
      </c>
      <c r="D3" s="2042"/>
      <c r="E3" s="2042"/>
      <c r="F3" s="2041" t="s">
        <v>110</v>
      </c>
      <c r="G3" s="2041"/>
      <c r="H3" s="2042">
        <f t="shared" ref="H3" si="0">G8/((54*3.1415/57)*(164/3.281))</f>
        <v>5.1390625518940199E-2</v>
      </c>
      <c r="I3" s="2042"/>
      <c r="J3" s="2042"/>
      <c r="K3" s="2041" t="s">
        <v>110</v>
      </c>
      <c r="L3" s="2041"/>
      <c r="M3" s="2042">
        <f t="shared" ref="M3" si="1">L8/((54*3.1415/57)*(164/3.281))</f>
        <v>0.38297275566580263</v>
      </c>
      <c r="N3" s="2042"/>
      <c r="O3" s="2042"/>
      <c r="P3" s="2041" t="s">
        <v>110</v>
      </c>
      <c r="Q3" s="2041"/>
      <c r="R3" s="2042">
        <f t="shared" ref="R3" si="2">Q8/((54*3.1415/57)*(164/3.281))</f>
        <v>5.190554009248511E-2</v>
      </c>
      <c r="S3" s="2042"/>
      <c r="T3" s="2042"/>
      <c r="U3" s="2041" t="s">
        <v>110</v>
      </c>
      <c r="V3" s="2041"/>
      <c r="W3" s="2042">
        <f t="shared" ref="W3" si="3">V8/((54*3.1415/57)*(164/3.281))</f>
        <v>0.10022012241489595</v>
      </c>
      <c r="X3" s="2042"/>
      <c r="Y3" s="2042"/>
      <c r="Z3" s="2041" t="s">
        <v>110</v>
      </c>
      <c r="AA3" s="2041"/>
      <c r="AB3" s="2042">
        <f t="shared" ref="AB3" si="4">AA8/((54*3.1415/57)*(164/3.281))</f>
        <v>0.29179388783860777</v>
      </c>
      <c r="AC3" s="2042"/>
      <c r="AD3" s="2042"/>
      <c r="AE3" s="2041" t="s">
        <v>110</v>
      </c>
      <c r="AF3" s="2041"/>
      <c r="AG3" s="2042">
        <f t="shared" ref="AG3" si="5">AF8/((54*3.1415/57)*(164/3.281))</f>
        <v>0.12771360290835118</v>
      </c>
      <c r="AH3" s="2042"/>
      <c r="AI3" s="2042"/>
      <c r="AJ3" s="2041" t="s">
        <v>110</v>
      </c>
      <c r="AK3" s="2041"/>
      <c r="AL3" s="2042">
        <f t="shared" ref="AL3" si="6">AK8/((54*3.1415/57)*(164/3.281))</f>
        <v>6.4369699391009491E-2</v>
      </c>
      <c r="AM3" s="2042"/>
      <c r="AN3" s="2042"/>
      <c r="AO3" s="2041" t="s">
        <v>110</v>
      </c>
      <c r="AP3" s="2041"/>
      <c r="AQ3" s="2042">
        <f t="shared" ref="AQ3" si="7">AP8/((54*3.1415/57)*(164/3.281))</f>
        <v>6.0270549169760344E-2</v>
      </c>
      <c r="AR3" s="2042"/>
      <c r="AS3" s="2042"/>
      <c r="AT3" s="2041" t="s">
        <v>110</v>
      </c>
      <c r="AU3" s="2041"/>
      <c r="AV3" s="2042">
        <f t="shared" ref="AV3" si="8">AU8/((54*3.1415/57)*(164/3.281))</f>
        <v>5.7023764065032019E-2</v>
      </c>
      <c r="AW3" s="2042"/>
      <c r="AX3" s="2042"/>
      <c r="AY3" s="2041" t="s">
        <v>110</v>
      </c>
      <c r="AZ3" s="2041"/>
      <c r="BA3" s="2042">
        <f t="shared" ref="BA3" si="9">AZ8/((54*3.1415/57)*(164/3.281))</f>
        <v>0.11678343193466949</v>
      </c>
      <c r="BB3" s="2042"/>
      <c r="BC3" s="2042"/>
      <c r="BD3" s="2041" t="s">
        <v>110</v>
      </c>
      <c r="BE3" s="2041"/>
      <c r="BF3" s="2042">
        <f t="shared" ref="BF3" si="10">BE8/((54*3.1415/57)*(164/3.281))</f>
        <v>4.6271057121919291E-2</v>
      </c>
      <c r="BG3" s="2042"/>
      <c r="BH3" s="2042"/>
      <c r="BI3" s="2041" t="s">
        <v>110</v>
      </c>
      <c r="BJ3" s="2041"/>
      <c r="BK3" s="2042">
        <f t="shared" ref="BK3" si="11">BJ8/((54*3.1415/57)*(164/3.281))</f>
        <v>2.0489028983875703E-2</v>
      </c>
      <c r="BL3" s="2042"/>
      <c r="BM3" s="2042"/>
      <c r="BN3" s="2041" t="s">
        <v>110</v>
      </c>
      <c r="BO3" s="2041"/>
      <c r="BP3" s="2042">
        <f t="shared" ref="BP3" si="12">BO8/((54*3.1415/57)*(164/3.281))</f>
        <v>3.9099896977562797E-2</v>
      </c>
      <c r="BQ3" s="2042"/>
      <c r="BR3" s="2042"/>
    </row>
    <row r="4" spans="1:83" ht="15" customHeight="1" x14ac:dyDescent="0.25">
      <c r="A4" s="2041"/>
      <c r="B4" s="2041"/>
      <c r="C4" s="2042"/>
      <c r="D4" s="2042"/>
      <c r="E4" s="2042"/>
      <c r="F4" s="2041"/>
      <c r="G4" s="2041"/>
      <c r="H4" s="2042"/>
      <c r="I4" s="2042"/>
      <c r="J4" s="2042"/>
      <c r="K4" s="2041"/>
      <c r="L4" s="2041"/>
      <c r="M4" s="2042"/>
      <c r="N4" s="2042"/>
      <c r="O4" s="2042"/>
      <c r="P4" s="2041"/>
      <c r="Q4" s="2041"/>
      <c r="R4" s="2042"/>
      <c r="S4" s="2042"/>
      <c r="T4" s="2042"/>
      <c r="U4" s="2041"/>
      <c r="V4" s="2041"/>
      <c r="W4" s="2042"/>
      <c r="X4" s="2042"/>
      <c r="Y4" s="2042"/>
      <c r="Z4" s="2041"/>
      <c r="AA4" s="2041"/>
      <c r="AB4" s="2042"/>
      <c r="AC4" s="2042"/>
      <c r="AD4" s="2042"/>
      <c r="AE4" s="2041"/>
      <c r="AF4" s="2041"/>
      <c r="AG4" s="2042"/>
      <c r="AH4" s="2042"/>
      <c r="AI4" s="2042"/>
      <c r="AJ4" s="2041"/>
      <c r="AK4" s="2041"/>
      <c r="AL4" s="2042"/>
      <c r="AM4" s="2042"/>
      <c r="AN4" s="2042"/>
      <c r="AO4" s="2041"/>
      <c r="AP4" s="2041"/>
      <c r="AQ4" s="2042"/>
      <c r="AR4" s="2042"/>
      <c r="AS4" s="2042"/>
      <c r="AT4" s="2041"/>
      <c r="AU4" s="2041"/>
      <c r="AV4" s="2042"/>
      <c r="AW4" s="2042"/>
      <c r="AX4" s="2042"/>
      <c r="AY4" s="2041"/>
      <c r="AZ4" s="2041"/>
      <c r="BA4" s="2042"/>
      <c r="BB4" s="2042"/>
      <c r="BC4" s="2042"/>
      <c r="BD4" s="2041"/>
      <c r="BE4" s="2041"/>
      <c r="BF4" s="2042"/>
      <c r="BG4" s="2042"/>
      <c r="BH4" s="2042"/>
      <c r="BI4" s="2041"/>
      <c r="BJ4" s="2041"/>
      <c r="BK4" s="2042"/>
      <c r="BL4" s="2042"/>
      <c r="BM4" s="2042"/>
      <c r="BN4" s="2041"/>
      <c r="BO4" s="2041"/>
      <c r="BP4" s="2042"/>
      <c r="BQ4" s="2042"/>
      <c r="BR4" s="2042"/>
    </row>
    <row r="5" spans="1:83" ht="15" customHeight="1" x14ac:dyDescent="0.25">
      <c r="A5" s="2041"/>
      <c r="B5" s="2041"/>
      <c r="C5" s="2042"/>
      <c r="D5" s="2042"/>
      <c r="E5" s="2042"/>
      <c r="F5" s="2041"/>
      <c r="G5" s="2041"/>
      <c r="H5" s="2042"/>
      <c r="I5" s="2042"/>
      <c r="J5" s="2042"/>
      <c r="K5" s="2041"/>
      <c r="L5" s="2041"/>
      <c r="M5" s="2042"/>
      <c r="N5" s="2042"/>
      <c r="O5" s="2042"/>
      <c r="P5" s="2041"/>
      <c r="Q5" s="2041"/>
      <c r="R5" s="2042"/>
      <c r="S5" s="2042"/>
      <c r="T5" s="2042"/>
      <c r="U5" s="2041"/>
      <c r="V5" s="2041"/>
      <c r="W5" s="2042"/>
      <c r="X5" s="2042"/>
      <c r="Y5" s="2042"/>
      <c r="Z5" s="2041"/>
      <c r="AA5" s="2041"/>
      <c r="AB5" s="2042"/>
      <c r="AC5" s="2042"/>
      <c r="AD5" s="2042"/>
      <c r="AE5" s="2041"/>
      <c r="AF5" s="2041"/>
      <c r="AG5" s="2042"/>
      <c r="AH5" s="2042"/>
      <c r="AI5" s="2042"/>
      <c r="AJ5" s="2041"/>
      <c r="AK5" s="2041"/>
      <c r="AL5" s="2042"/>
      <c r="AM5" s="2042"/>
      <c r="AN5" s="2042"/>
      <c r="AO5" s="2041"/>
      <c r="AP5" s="2041"/>
      <c r="AQ5" s="2042"/>
      <c r="AR5" s="2042"/>
      <c r="AS5" s="2042"/>
      <c r="AT5" s="2041"/>
      <c r="AU5" s="2041"/>
      <c r="AV5" s="2042"/>
      <c r="AW5" s="2042"/>
      <c r="AX5" s="2042"/>
      <c r="AY5" s="2041"/>
      <c r="AZ5" s="2041"/>
      <c r="BA5" s="2042"/>
      <c r="BB5" s="2042"/>
      <c r="BC5" s="2042"/>
      <c r="BD5" s="2041"/>
      <c r="BE5" s="2041"/>
      <c r="BF5" s="2042"/>
      <c r="BG5" s="2042"/>
      <c r="BH5" s="2042"/>
      <c r="BI5" s="2041"/>
      <c r="BJ5" s="2041"/>
      <c r="BK5" s="2042"/>
      <c r="BL5" s="2042"/>
      <c r="BM5" s="2042"/>
      <c r="BN5" s="2041"/>
      <c r="BO5" s="2041"/>
      <c r="BP5" s="2042"/>
      <c r="BQ5" s="2042"/>
      <c r="BR5" s="2042"/>
    </row>
    <row r="6" spans="1:83" ht="24.95" customHeight="1" x14ac:dyDescent="0.25">
      <c r="A6" s="2043" t="s">
        <v>111</v>
      </c>
      <c r="B6" s="2043"/>
      <c r="C6" s="2043" t="s">
        <v>466</v>
      </c>
      <c r="D6" s="2043"/>
      <c r="E6" s="2043"/>
      <c r="F6" s="2043" t="s">
        <v>111</v>
      </c>
      <c r="G6" s="2043"/>
      <c r="H6" s="2043" t="s">
        <v>466</v>
      </c>
      <c r="I6" s="2043"/>
      <c r="J6" s="2043"/>
      <c r="K6" s="2043" t="s">
        <v>111</v>
      </c>
      <c r="L6" s="2043"/>
      <c r="M6" s="2043" t="s">
        <v>466</v>
      </c>
      <c r="N6" s="2043"/>
      <c r="O6" s="2043"/>
      <c r="P6" s="2043" t="s">
        <v>111</v>
      </c>
      <c r="Q6" s="2043"/>
      <c r="R6" s="2043" t="s">
        <v>466</v>
      </c>
      <c r="S6" s="2043"/>
      <c r="T6" s="2043"/>
      <c r="U6" s="2043" t="s">
        <v>111</v>
      </c>
      <c r="V6" s="2043"/>
      <c r="W6" s="2043" t="s">
        <v>466</v>
      </c>
      <c r="X6" s="2043"/>
      <c r="Y6" s="2043"/>
      <c r="Z6" s="2043" t="s">
        <v>111</v>
      </c>
      <c r="AA6" s="2043"/>
      <c r="AB6" s="2043" t="s">
        <v>466</v>
      </c>
      <c r="AC6" s="2043"/>
      <c r="AD6" s="2043"/>
      <c r="AE6" s="2043" t="s">
        <v>111</v>
      </c>
      <c r="AF6" s="2043"/>
      <c r="AG6" s="2043" t="s">
        <v>466</v>
      </c>
      <c r="AH6" s="2043"/>
      <c r="AI6" s="2043"/>
      <c r="AJ6" s="2043" t="s">
        <v>111</v>
      </c>
      <c r="AK6" s="2043"/>
      <c r="AL6" s="2043" t="s">
        <v>466</v>
      </c>
      <c r="AM6" s="2043"/>
      <c r="AN6" s="2043"/>
      <c r="AO6" s="2043" t="s">
        <v>111</v>
      </c>
      <c r="AP6" s="2043"/>
      <c r="AQ6" s="2043" t="s">
        <v>466</v>
      </c>
      <c r="AR6" s="2043"/>
      <c r="AS6" s="2043"/>
      <c r="AT6" s="2043" t="s">
        <v>111</v>
      </c>
      <c r="AU6" s="2043"/>
      <c r="AV6" s="2043" t="s">
        <v>466</v>
      </c>
      <c r="AW6" s="2043"/>
      <c r="AX6" s="2043"/>
      <c r="AY6" s="2043" t="s">
        <v>111</v>
      </c>
      <c r="AZ6" s="2043"/>
      <c r="BA6" s="2043" t="s">
        <v>466</v>
      </c>
      <c r="BB6" s="2043"/>
      <c r="BC6" s="2043"/>
      <c r="BD6" s="2043" t="s">
        <v>111</v>
      </c>
      <c r="BE6" s="2043"/>
      <c r="BF6" s="2043" t="s">
        <v>466</v>
      </c>
      <c r="BG6" s="2043"/>
      <c r="BH6" s="2043"/>
      <c r="BI6" s="2043" t="s">
        <v>111</v>
      </c>
      <c r="BJ6" s="2043"/>
      <c r="BK6" s="2043" t="s">
        <v>466</v>
      </c>
      <c r="BL6" s="2043"/>
      <c r="BM6" s="2043"/>
      <c r="BN6" s="2043" t="s">
        <v>111</v>
      </c>
      <c r="BO6" s="2043"/>
      <c r="BP6" s="2043" t="s">
        <v>466</v>
      </c>
      <c r="BQ6" s="2043"/>
      <c r="BR6" s="2043"/>
    </row>
    <row r="7" spans="1:83" s="22" customFormat="1" ht="80.099999999999994" customHeight="1" x14ac:dyDescent="1.35">
      <c r="A7" s="2044" t="s">
        <v>483</v>
      </c>
      <c r="B7" s="1921">
        <v>1</v>
      </c>
      <c r="C7" s="1921"/>
      <c r="D7" s="1921"/>
      <c r="E7" s="1921"/>
      <c r="F7" s="2044" t="s">
        <v>483</v>
      </c>
      <c r="G7" s="1921">
        <v>2</v>
      </c>
      <c r="H7" s="1921"/>
      <c r="I7" s="1921"/>
      <c r="J7" s="1921"/>
      <c r="K7" s="2044" t="s">
        <v>483</v>
      </c>
      <c r="L7" s="1921">
        <v>3</v>
      </c>
      <c r="M7" s="1921"/>
      <c r="N7" s="1921"/>
      <c r="O7" s="1921"/>
      <c r="P7" s="2044" t="s">
        <v>483</v>
      </c>
      <c r="Q7" s="1921">
        <v>4</v>
      </c>
      <c r="R7" s="1921"/>
      <c r="S7" s="1921"/>
      <c r="T7" s="1921"/>
      <c r="U7" s="2044" t="s">
        <v>483</v>
      </c>
      <c r="V7" s="1921">
        <v>5</v>
      </c>
      <c r="W7" s="1921"/>
      <c r="X7" s="1921"/>
      <c r="Y7" s="1921"/>
      <c r="Z7" s="2044" t="s">
        <v>483</v>
      </c>
      <c r="AA7" s="1921">
        <v>6</v>
      </c>
      <c r="AB7" s="1921"/>
      <c r="AC7" s="1921"/>
      <c r="AD7" s="1921"/>
      <c r="AE7" s="2044" t="s">
        <v>483</v>
      </c>
      <c r="AF7" s="1921">
        <v>7</v>
      </c>
      <c r="AG7" s="1921"/>
      <c r="AH7" s="1921"/>
      <c r="AI7" s="1921"/>
      <c r="AJ7" s="2044" t="s">
        <v>483</v>
      </c>
      <c r="AK7" s="1921">
        <v>8</v>
      </c>
      <c r="AL7" s="1921"/>
      <c r="AM7" s="1921"/>
      <c r="AN7" s="1921"/>
      <c r="AO7" s="2044" t="s">
        <v>483</v>
      </c>
      <c r="AP7" s="1921">
        <v>9</v>
      </c>
      <c r="AQ7" s="1921"/>
      <c r="AR7" s="1921"/>
      <c r="AS7" s="1921"/>
      <c r="AT7" s="2044" t="s">
        <v>483</v>
      </c>
      <c r="AU7" s="1921">
        <v>10</v>
      </c>
      <c r="AV7" s="1921"/>
      <c r="AW7" s="1921"/>
      <c r="AX7" s="1921"/>
      <c r="AY7" s="2044" t="s">
        <v>483</v>
      </c>
      <c r="AZ7" s="1921">
        <v>11</v>
      </c>
      <c r="BA7" s="1921"/>
      <c r="BB7" s="1921"/>
      <c r="BC7" s="1921"/>
      <c r="BD7" s="2044" t="s">
        <v>483</v>
      </c>
      <c r="BE7" s="1921">
        <v>12</v>
      </c>
      <c r="BF7" s="1921"/>
      <c r="BG7" s="1921"/>
      <c r="BH7" s="1921"/>
      <c r="BI7" s="2044" t="s">
        <v>483</v>
      </c>
      <c r="BJ7" s="1921">
        <v>13</v>
      </c>
      <c r="BK7" s="1921"/>
      <c r="BL7" s="1921"/>
      <c r="BM7" s="1921"/>
      <c r="BN7" s="2044" t="s">
        <v>483</v>
      </c>
      <c r="BO7" s="1921">
        <v>14</v>
      </c>
      <c r="BP7" s="1921"/>
      <c r="BQ7" s="1921"/>
      <c r="BR7" s="1921"/>
    </row>
    <row r="8" spans="1:83" ht="27" customHeight="1" x14ac:dyDescent="0.25">
      <c r="A8" s="2044"/>
      <c r="B8" s="363">
        <v>22.555499999999999</v>
      </c>
      <c r="C8" s="364" t="s">
        <v>113</v>
      </c>
      <c r="D8" s="365">
        <v>9</v>
      </c>
      <c r="E8" s="366" t="s">
        <v>114</v>
      </c>
      <c r="F8" s="2044"/>
      <c r="G8" s="363">
        <v>7.6449999999999996</v>
      </c>
      <c r="H8" s="364" t="s">
        <v>113</v>
      </c>
      <c r="I8" s="365">
        <v>7</v>
      </c>
      <c r="J8" s="366" t="s">
        <v>114</v>
      </c>
      <c r="K8" s="2044"/>
      <c r="L8" s="363">
        <v>56.972000000000001</v>
      </c>
      <c r="M8" s="364" t="s">
        <v>113</v>
      </c>
      <c r="N8" s="365">
        <v>8</v>
      </c>
      <c r="O8" s="366" t="s">
        <v>114</v>
      </c>
      <c r="P8" s="2044"/>
      <c r="Q8" s="363">
        <v>7.7215999999999996</v>
      </c>
      <c r="R8" s="364" t="s">
        <v>113</v>
      </c>
      <c r="S8" s="365">
        <v>8</v>
      </c>
      <c r="T8" s="366" t="s">
        <v>114</v>
      </c>
      <c r="U8" s="2044"/>
      <c r="V8" s="363">
        <v>14.909000000000001</v>
      </c>
      <c r="W8" s="364" t="s">
        <v>113</v>
      </c>
      <c r="X8" s="365">
        <v>8</v>
      </c>
      <c r="Y8" s="366" t="s">
        <v>114</v>
      </c>
      <c r="Z8" s="2044"/>
      <c r="AA8" s="363">
        <v>43.408000000000001</v>
      </c>
      <c r="AB8" s="364" t="s">
        <v>113</v>
      </c>
      <c r="AC8" s="365">
        <v>8</v>
      </c>
      <c r="AD8" s="366" t="s">
        <v>114</v>
      </c>
      <c r="AE8" s="2044"/>
      <c r="AF8" s="363">
        <v>18.998999999999999</v>
      </c>
      <c r="AG8" s="364" t="s">
        <v>113</v>
      </c>
      <c r="AH8" s="365">
        <v>8</v>
      </c>
      <c r="AI8" s="366" t="s">
        <v>114</v>
      </c>
      <c r="AJ8" s="2044"/>
      <c r="AK8" s="363">
        <v>9.5757999999999992</v>
      </c>
      <c r="AL8" s="364" t="s">
        <v>113</v>
      </c>
      <c r="AM8" s="365">
        <v>8</v>
      </c>
      <c r="AN8" s="366" t="s">
        <v>114</v>
      </c>
      <c r="AO8" s="2044"/>
      <c r="AP8" s="363">
        <v>8.9659999999999993</v>
      </c>
      <c r="AQ8" s="364" t="s">
        <v>113</v>
      </c>
      <c r="AR8" s="365">
        <v>8</v>
      </c>
      <c r="AS8" s="366" t="s">
        <v>114</v>
      </c>
      <c r="AT8" s="2044"/>
      <c r="AU8" s="363">
        <v>8.4830000000000005</v>
      </c>
      <c r="AV8" s="364" t="s">
        <v>113</v>
      </c>
      <c r="AW8" s="365">
        <v>8</v>
      </c>
      <c r="AX8" s="366" t="s">
        <v>114</v>
      </c>
      <c r="AY8" s="2044"/>
      <c r="AZ8" s="363">
        <v>17.373000000000001</v>
      </c>
      <c r="BA8" s="364" t="s">
        <v>113</v>
      </c>
      <c r="BB8" s="365">
        <v>8</v>
      </c>
      <c r="BC8" s="366" t="s">
        <v>114</v>
      </c>
      <c r="BD8" s="2044"/>
      <c r="BE8" s="363">
        <v>6.8834</v>
      </c>
      <c r="BF8" s="364" t="s">
        <v>113</v>
      </c>
      <c r="BG8" s="365">
        <v>8</v>
      </c>
      <c r="BH8" s="366" t="s">
        <v>114</v>
      </c>
      <c r="BI8" s="2044"/>
      <c r="BJ8" s="363">
        <v>3.048</v>
      </c>
      <c r="BK8" s="364" t="s">
        <v>113</v>
      </c>
      <c r="BL8" s="365">
        <v>8</v>
      </c>
      <c r="BM8" s="366" t="s">
        <v>114</v>
      </c>
      <c r="BN8" s="2044"/>
      <c r="BO8" s="363">
        <v>5.8166000000000002</v>
      </c>
      <c r="BP8" s="364" t="s">
        <v>113</v>
      </c>
      <c r="BQ8" s="365">
        <v>8</v>
      </c>
      <c r="BR8" s="366" t="s">
        <v>114</v>
      </c>
      <c r="BW8" s="27"/>
      <c r="BX8" s="27"/>
      <c r="BY8" s="27"/>
      <c r="BZ8" s="27"/>
      <c r="CA8" s="27"/>
      <c r="CB8" s="27"/>
      <c r="CC8" s="27"/>
      <c r="CD8" s="27"/>
      <c r="CE8" s="27"/>
    </row>
    <row r="9" spans="1:83" ht="15" customHeight="1" x14ac:dyDescent="0.25">
      <c r="A9" s="2041" t="s">
        <v>110</v>
      </c>
      <c r="B9" s="2041"/>
      <c r="C9" s="2042">
        <f t="shared" ref="C9" si="13">B14/((54*3.1415/57)*(164/3.281))</f>
        <v>4.3196358349863934E-2</v>
      </c>
      <c r="D9" s="2042"/>
      <c r="E9" s="2042"/>
      <c r="F9" s="2041" t="s">
        <v>110</v>
      </c>
      <c r="G9" s="2041"/>
      <c r="H9" s="2042">
        <f t="shared" ref="H9" si="14">G14/((54*3.1415/57)*(164/3.281))</f>
        <v>3.1412477835187386E-2</v>
      </c>
      <c r="I9" s="2042"/>
      <c r="J9" s="2042"/>
      <c r="K9" s="2041" t="s">
        <v>110</v>
      </c>
      <c r="L9" s="2041"/>
      <c r="M9" s="2042">
        <f t="shared" ref="M9" si="15">L14/((54*3.1415/57)*(164/3.281))</f>
        <v>6.658934419759603E-3</v>
      </c>
      <c r="N9" s="2042"/>
      <c r="O9" s="2042"/>
      <c r="P9" s="2041" t="s">
        <v>110</v>
      </c>
      <c r="Q9" s="2041"/>
      <c r="R9" s="2042">
        <f t="shared" ref="R9" si="16">Q14/((54*3.1415/57)*(164/3.281))</f>
        <v>4.3196358349863934E-2</v>
      </c>
      <c r="S9" s="2042"/>
      <c r="T9" s="2042"/>
      <c r="U9" s="2041" t="s">
        <v>110</v>
      </c>
      <c r="V9" s="2041"/>
      <c r="W9" s="2042">
        <f>V14/((54*3.1415/35.5)*(164/3.281))</f>
        <v>0.23990136743576568</v>
      </c>
      <c r="X9" s="2042"/>
      <c r="Y9" s="2042"/>
      <c r="Z9" s="2041" t="s">
        <v>110</v>
      </c>
      <c r="AA9" s="2041"/>
      <c r="AB9" s="2042">
        <f t="shared" ref="AB9" si="17">AA14/((54*3.1415/35.5)*(164/3.281))</f>
        <v>0.20129937924147132</v>
      </c>
      <c r="AC9" s="2042"/>
      <c r="AD9" s="2042"/>
      <c r="AE9" s="2041" t="s">
        <v>110</v>
      </c>
      <c r="AF9" s="2041"/>
      <c r="AG9" s="2042">
        <f t="shared" ref="AG9" si="18">AF14/((54*3.1415/35.5)*(164/3.281))</f>
        <v>0.14323563208661158</v>
      </c>
      <c r="AH9" s="2042"/>
      <c r="AI9" s="2042"/>
      <c r="AJ9" s="2041" t="s">
        <v>110</v>
      </c>
      <c r="AK9" s="2041"/>
      <c r="AL9" s="2042">
        <f t="shared" ref="AL9" si="19">AK14/((54*3.1415/35.5)*(164/3.281))</f>
        <v>4.2323024928827453E-2</v>
      </c>
      <c r="AM9" s="2042"/>
      <c r="AN9" s="2042"/>
      <c r="AO9" s="2041" t="s">
        <v>110</v>
      </c>
      <c r="AP9" s="2041"/>
      <c r="AQ9" s="2042">
        <f t="shared" ref="AQ9" si="20">AP14/((54*3.1415/35.5)*(164/3.281))</f>
        <v>4.2961060480518322E-2</v>
      </c>
      <c r="AR9" s="2042"/>
      <c r="AS9" s="2042"/>
      <c r="AT9" s="2041" t="s">
        <v>110</v>
      </c>
      <c r="AU9" s="2041"/>
      <c r="AV9" s="2042">
        <f t="shared" ref="AV9" si="21">AU14/((54*3.1415/35.5)*(164/3.281))</f>
        <v>8.4962555682509447E-2</v>
      </c>
      <c r="AW9" s="2042"/>
      <c r="AX9" s="2042"/>
      <c r="AY9" s="2041" t="s">
        <v>110</v>
      </c>
      <c r="AZ9" s="2041"/>
      <c r="BA9" s="2042">
        <f t="shared" ref="BA9" si="22">AZ14/((54*3.1415/35.5)*(164/3.281))</f>
        <v>0.14132236274853596</v>
      </c>
      <c r="BB9" s="2042"/>
      <c r="BC9" s="2042"/>
      <c r="BD9" s="2041" t="s">
        <v>110</v>
      </c>
      <c r="BE9" s="2041"/>
      <c r="BF9" s="2042">
        <f t="shared" ref="BF9" si="23">BE14/((54*3.1415/35.5)*(164/3.281))</f>
        <v>6.805712551369239E-2</v>
      </c>
      <c r="BG9" s="2042"/>
      <c r="BH9" s="2042"/>
      <c r="BI9" s="2041" t="s">
        <v>110</v>
      </c>
      <c r="BJ9" s="2041"/>
      <c r="BK9" s="2042">
        <f t="shared" ref="BK9" si="24">BJ14/((54*3.1415/35.5)*(164/3.281))</f>
        <v>0.11835475752165871</v>
      </c>
      <c r="BL9" s="2042"/>
      <c r="BM9" s="2042"/>
      <c r="BN9" s="2041" t="s">
        <v>110</v>
      </c>
      <c r="BO9" s="2041"/>
      <c r="BP9" s="2042">
        <f t="shared" ref="BP9" si="25">BO14/((54*3.1415/35.5)*(164/3.281))</f>
        <v>7.1670148355616387E-2</v>
      </c>
      <c r="BQ9" s="2042"/>
      <c r="BR9" s="2042"/>
    </row>
    <row r="10" spans="1:83" ht="15" customHeight="1" x14ac:dyDescent="0.25">
      <c r="A10" s="2041"/>
      <c r="B10" s="2041"/>
      <c r="C10" s="2042"/>
      <c r="D10" s="2042"/>
      <c r="E10" s="2042"/>
      <c r="F10" s="2041"/>
      <c r="G10" s="2041"/>
      <c r="H10" s="2042"/>
      <c r="I10" s="2042"/>
      <c r="J10" s="2042"/>
      <c r="K10" s="2041"/>
      <c r="L10" s="2041"/>
      <c r="M10" s="2042"/>
      <c r="N10" s="2042"/>
      <c r="O10" s="2042"/>
      <c r="P10" s="2041"/>
      <c r="Q10" s="2041"/>
      <c r="R10" s="2042"/>
      <c r="S10" s="2042"/>
      <c r="T10" s="2042"/>
      <c r="U10" s="2041"/>
      <c r="V10" s="2041"/>
      <c r="W10" s="2042"/>
      <c r="X10" s="2042"/>
      <c r="Y10" s="2042"/>
      <c r="Z10" s="2041"/>
      <c r="AA10" s="2041"/>
      <c r="AB10" s="2042"/>
      <c r="AC10" s="2042"/>
      <c r="AD10" s="2042"/>
      <c r="AE10" s="2041"/>
      <c r="AF10" s="2041"/>
      <c r="AG10" s="2042"/>
      <c r="AH10" s="2042"/>
      <c r="AI10" s="2042"/>
      <c r="AJ10" s="2041"/>
      <c r="AK10" s="2041"/>
      <c r="AL10" s="2042"/>
      <c r="AM10" s="2042"/>
      <c r="AN10" s="2042"/>
      <c r="AO10" s="2041"/>
      <c r="AP10" s="2041"/>
      <c r="AQ10" s="2042"/>
      <c r="AR10" s="2042"/>
      <c r="AS10" s="2042"/>
      <c r="AT10" s="2041"/>
      <c r="AU10" s="2041"/>
      <c r="AV10" s="2042"/>
      <c r="AW10" s="2042"/>
      <c r="AX10" s="2042"/>
      <c r="AY10" s="2041"/>
      <c r="AZ10" s="2041"/>
      <c r="BA10" s="2042"/>
      <c r="BB10" s="2042"/>
      <c r="BC10" s="2042"/>
      <c r="BD10" s="2041"/>
      <c r="BE10" s="2041"/>
      <c r="BF10" s="2042"/>
      <c r="BG10" s="2042"/>
      <c r="BH10" s="2042"/>
      <c r="BI10" s="2041"/>
      <c r="BJ10" s="2041"/>
      <c r="BK10" s="2042"/>
      <c r="BL10" s="2042"/>
      <c r="BM10" s="2042"/>
      <c r="BN10" s="2041"/>
      <c r="BO10" s="2041"/>
      <c r="BP10" s="2042"/>
      <c r="BQ10" s="2042"/>
      <c r="BR10" s="2042"/>
    </row>
    <row r="11" spans="1:83" ht="15" customHeight="1" x14ac:dyDescent="0.25">
      <c r="A11" s="2041"/>
      <c r="B11" s="2041"/>
      <c r="C11" s="2042"/>
      <c r="D11" s="2042"/>
      <c r="E11" s="2042"/>
      <c r="F11" s="2041"/>
      <c r="G11" s="2041"/>
      <c r="H11" s="2042"/>
      <c r="I11" s="2042"/>
      <c r="J11" s="2042"/>
      <c r="K11" s="2041"/>
      <c r="L11" s="2041"/>
      <c r="M11" s="2042"/>
      <c r="N11" s="2042"/>
      <c r="O11" s="2042"/>
      <c r="P11" s="2041"/>
      <c r="Q11" s="2041"/>
      <c r="R11" s="2042"/>
      <c r="S11" s="2042"/>
      <c r="T11" s="2042"/>
      <c r="U11" s="2041"/>
      <c r="V11" s="2041"/>
      <c r="W11" s="2042"/>
      <c r="X11" s="2042"/>
      <c r="Y11" s="2042"/>
      <c r="Z11" s="2041"/>
      <c r="AA11" s="2041"/>
      <c r="AB11" s="2042"/>
      <c r="AC11" s="2042"/>
      <c r="AD11" s="2042"/>
      <c r="AE11" s="2041"/>
      <c r="AF11" s="2041"/>
      <c r="AG11" s="2042"/>
      <c r="AH11" s="2042"/>
      <c r="AI11" s="2042"/>
      <c r="AJ11" s="2041"/>
      <c r="AK11" s="2041"/>
      <c r="AL11" s="2042"/>
      <c r="AM11" s="2042"/>
      <c r="AN11" s="2042"/>
      <c r="AO11" s="2041"/>
      <c r="AP11" s="2041"/>
      <c r="AQ11" s="2042"/>
      <c r="AR11" s="2042"/>
      <c r="AS11" s="2042"/>
      <c r="AT11" s="2041"/>
      <c r="AU11" s="2041"/>
      <c r="AV11" s="2042"/>
      <c r="AW11" s="2042"/>
      <c r="AX11" s="2042"/>
      <c r="AY11" s="2041"/>
      <c r="AZ11" s="2041"/>
      <c r="BA11" s="2042"/>
      <c r="BB11" s="2042"/>
      <c r="BC11" s="2042"/>
      <c r="BD11" s="2041"/>
      <c r="BE11" s="2041"/>
      <c r="BF11" s="2042"/>
      <c r="BG11" s="2042"/>
      <c r="BH11" s="2042"/>
      <c r="BI11" s="2041"/>
      <c r="BJ11" s="2041"/>
      <c r="BK11" s="2042"/>
      <c r="BL11" s="2042"/>
      <c r="BM11" s="2042"/>
      <c r="BN11" s="2041"/>
      <c r="BO11" s="2041"/>
      <c r="BP11" s="2042"/>
      <c r="BQ11" s="2042"/>
      <c r="BR11" s="2042"/>
    </row>
    <row r="12" spans="1:83" ht="24.95" customHeight="1" x14ac:dyDescent="0.25">
      <c r="A12" s="2043" t="s">
        <v>111</v>
      </c>
      <c r="B12" s="2043"/>
      <c r="C12" s="2043" t="s">
        <v>466</v>
      </c>
      <c r="D12" s="2043"/>
      <c r="E12" s="2043"/>
      <c r="F12" s="2043" t="s">
        <v>111</v>
      </c>
      <c r="G12" s="2043"/>
      <c r="H12" s="2043" t="s">
        <v>466</v>
      </c>
      <c r="I12" s="2043"/>
      <c r="J12" s="2043"/>
      <c r="K12" s="2043" t="s">
        <v>111</v>
      </c>
      <c r="L12" s="2043"/>
      <c r="M12" s="2043" t="s">
        <v>466</v>
      </c>
      <c r="N12" s="2043"/>
      <c r="O12" s="2043"/>
      <c r="P12" s="2043" t="s">
        <v>111</v>
      </c>
      <c r="Q12" s="2043"/>
      <c r="R12" s="2043" t="s">
        <v>466</v>
      </c>
      <c r="S12" s="2043"/>
      <c r="T12" s="2043"/>
      <c r="U12" s="2012" t="s">
        <v>111</v>
      </c>
      <c r="V12" s="2012"/>
      <c r="W12" s="2012" t="s">
        <v>466</v>
      </c>
      <c r="X12" s="2012"/>
      <c r="Y12" s="2012"/>
      <c r="Z12" s="2012" t="s">
        <v>111</v>
      </c>
      <c r="AA12" s="2012"/>
      <c r="AB12" s="2012" t="s">
        <v>466</v>
      </c>
      <c r="AC12" s="2012"/>
      <c r="AD12" s="2012"/>
      <c r="AE12" s="2012" t="s">
        <v>111</v>
      </c>
      <c r="AF12" s="2012"/>
      <c r="AG12" s="2012" t="s">
        <v>466</v>
      </c>
      <c r="AH12" s="2012"/>
      <c r="AI12" s="2012"/>
      <c r="AJ12" s="2012" t="s">
        <v>111</v>
      </c>
      <c r="AK12" s="2012"/>
      <c r="AL12" s="2012" t="s">
        <v>466</v>
      </c>
      <c r="AM12" s="2012"/>
      <c r="AN12" s="2012"/>
      <c r="AO12" s="2012" t="s">
        <v>111</v>
      </c>
      <c r="AP12" s="2012"/>
      <c r="AQ12" s="2012" t="s">
        <v>466</v>
      </c>
      <c r="AR12" s="2012"/>
      <c r="AS12" s="2012"/>
      <c r="AT12" s="2012" t="s">
        <v>111</v>
      </c>
      <c r="AU12" s="2012"/>
      <c r="AV12" s="2012" t="s">
        <v>466</v>
      </c>
      <c r="AW12" s="2012"/>
      <c r="AX12" s="2012"/>
      <c r="AY12" s="2012" t="s">
        <v>111</v>
      </c>
      <c r="AZ12" s="2012"/>
      <c r="BA12" s="2012" t="s">
        <v>466</v>
      </c>
      <c r="BB12" s="2012"/>
      <c r="BC12" s="2012"/>
      <c r="BD12" s="2012" t="s">
        <v>111</v>
      </c>
      <c r="BE12" s="2012"/>
      <c r="BF12" s="2012" t="s">
        <v>466</v>
      </c>
      <c r="BG12" s="2012"/>
      <c r="BH12" s="2012"/>
      <c r="BI12" s="2012" t="s">
        <v>111</v>
      </c>
      <c r="BJ12" s="2012"/>
      <c r="BK12" s="2012" t="s">
        <v>466</v>
      </c>
      <c r="BL12" s="2012"/>
      <c r="BM12" s="2012"/>
      <c r="BN12" s="2012" t="s">
        <v>111</v>
      </c>
      <c r="BO12" s="2012"/>
      <c r="BP12" s="2012" t="s">
        <v>466</v>
      </c>
      <c r="BQ12" s="2012"/>
      <c r="BR12" s="2012"/>
    </row>
    <row r="13" spans="1:83" s="22" customFormat="1" ht="80.099999999999994" customHeight="1" x14ac:dyDescent="1.35">
      <c r="A13" s="2044" t="s">
        <v>483</v>
      </c>
      <c r="B13" s="1921">
        <v>15</v>
      </c>
      <c r="C13" s="1921"/>
      <c r="D13" s="1921"/>
      <c r="E13" s="1921"/>
      <c r="F13" s="2044" t="s">
        <v>483</v>
      </c>
      <c r="G13" s="1921">
        <v>16</v>
      </c>
      <c r="H13" s="1921"/>
      <c r="I13" s="1921"/>
      <c r="J13" s="1921"/>
      <c r="K13" s="2044" t="s">
        <v>483</v>
      </c>
      <c r="L13" s="1921">
        <v>17</v>
      </c>
      <c r="M13" s="1921"/>
      <c r="N13" s="1921"/>
      <c r="O13" s="1921"/>
      <c r="P13" s="2044" t="s">
        <v>483</v>
      </c>
      <c r="Q13" s="1921">
        <v>18</v>
      </c>
      <c r="R13" s="1921"/>
      <c r="S13" s="1921"/>
      <c r="T13" s="1921"/>
      <c r="U13" s="2044" t="s">
        <v>483</v>
      </c>
      <c r="V13" s="1921">
        <v>19</v>
      </c>
      <c r="W13" s="1921"/>
      <c r="X13" s="1921"/>
      <c r="Y13" s="1921"/>
      <c r="Z13" s="2044" t="s">
        <v>483</v>
      </c>
      <c r="AA13" s="1921">
        <v>20</v>
      </c>
      <c r="AB13" s="1921"/>
      <c r="AC13" s="1921"/>
      <c r="AD13" s="1921"/>
      <c r="AE13" s="2044" t="s">
        <v>483</v>
      </c>
      <c r="AF13" s="1921">
        <v>21</v>
      </c>
      <c r="AG13" s="1921"/>
      <c r="AH13" s="1921"/>
      <c r="AI13" s="1921"/>
      <c r="AJ13" s="2044" t="s">
        <v>483</v>
      </c>
      <c r="AK13" s="1921">
        <v>22</v>
      </c>
      <c r="AL13" s="1921"/>
      <c r="AM13" s="1921"/>
      <c r="AN13" s="1921"/>
      <c r="AO13" s="2044" t="s">
        <v>483</v>
      </c>
      <c r="AP13" s="1921">
        <v>23</v>
      </c>
      <c r="AQ13" s="1921"/>
      <c r="AR13" s="1921"/>
      <c r="AS13" s="1921"/>
      <c r="AT13" s="2044" t="s">
        <v>483</v>
      </c>
      <c r="AU13" s="1921">
        <v>24</v>
      </c>
      <c r="AV13" s="1921"/>
      <c r="AW13" s="1921"/>
      <c r="AX13" s="1921"/>
      <c r="AY13" s="2044" t="s">
        <v>483</v>
      </c>
      <c r="AZ13" s="1921">
        <v>25</v>
      </c>
      <c r="BA13" s="1921"/>
      <c r="BB13" s="1921"/>
      <c r="BC13" s="1921"/>
      <c r="BD13" s="2044" t="s">
        <v>483</v>
      </c>
      <c r="BE13" s="1921">
        <v>26</v>
      </c>
      <c r="BF13" s="1921"/>
      <c r="BG13" s="1921"/>
      <c r="BH13" s="1921"/>
      <c r="BI13" s="2044" t="s">
        <v>483</v>
      </c>
      <c r="BJ13" s="1921">
        <v>27</v>
      </c>
      <c r="BK13" s="1921"/>
      <c r="BL13" s="1921"/>
      <c r="BM13" s="1921"/>
      <c r="BN13" s="2044" t="s">
        <v>483</v>
      </c>
      <c r="BO13" s="1921">
        <v>28</v>
      </c>
      <c r="BP13" s="1921"/>
      <c r="BQ13" s="1921"/>
      <c r="BR13" s="1921"/>
    </row>
    <row r="14" spans="1:83" ht="27" customHeight="1" x14ac:dyDescent="0.25">
      <c r="A14" s="2044"/>
      <c r="B14" s="363">
        <v>6.4260000000000002</v>
      </c>
      <c r="C14" s="364" t="s">
        <v>113</v>
      </c>
      <c r="D14" s="365">
        <v>8</v>
      </c>
      <c r="E14" s="366" t="s">
        <v>114</v>
      </c>
      <c r="F14" s="2044"/>
      <c r="G14" s="363">
        <v>4.673</v>
      </c>
      <c r="H14" s="364" t="s">
        <v>113</v>
      </c>
      <c r="I14" s="365">
        <v>8</v>
      </c>
      <c r="J14" s="366" t="s">
        <v>114</v>
      </c>
      <c r="K14" s="2044"/>
      <c r="L14" s="363">
        <v>0.99060000000000004</v>
      </c>
      <c r="M14" s="364" t="s">
        <v>113</v>
      </c>
      <c r="N14" s="365">
        <v>8</v>
      </c>
      <c r="O14" s="366" t="s">
        <v>114</v>
      </c>
      <c r="P14" s="2044"/>
      <c r="Q14" s="363">
        <v>6.4260000000000002</v>
      </c>
      <c r="R14" s="364" t="s">
        <v>113</v>
      </c>
      <c r="S14" s="365">
        <v>8</v>
      </c>
      <c r="T14" s="366" t="s">
        <v>114</v>
      </c>
      <c r="U14" s="2044"/>
      <c r="V14" s="363">
        <v>57.302399999999999</v>
      </c>
      <c r="W14" s="364" t="s">
        <v>113</v>
      </c>
      <c r="X14" s="365">
        <v>13</v>
      </c>
      <c r="Y14" s="366" t="s">
        <v>114</v>
      </c>
      <c r="Z14" s="2044"/>
      <c r="AA14" s="363">
        <v>48.082000000000001</v>
      </c>
      <c r="AB14" s="364" t="s">
        <v>113</v>
      </c>
      <c r="AC14" s="365">
        <v>13</v>
      </c>
      <c r="AD14" s="366" t="s">
        <v>114</v>
      </c>
      <c r="AE14" s="2044"/>
      <c r="AF14" s="363">
        <v>34.213000000000001</v>
      </c>
      <c r="AG14" s="364" t="s">
        <v>113</v>
      </c>
      <c r="AH14" s="365">
        <v>14</v>
      </c>
      <c r="AI14" s="366" t="s">
        <v>114</v>
      </c>
      <c r="AJ14" s="2044"/>
      <c r="AK14" s="363">
        <v>10.1092</v>
      </c>
      <c r="AL14" s="364" t="s">
        <v>113</v>
      </c>
      <c r="AM14" s="365">
        <v>13</v>
      </c>
      <c r="AN14" s="366" t="s">
        <v>114</v>
      </c>
      <c r="AO14" s="2044"/>
      <c r="AP14" s="363">
        <v>10.2616</v>
      </c>
      <c r="AQ14" s="364" t="s">
        <v>113</v>
      </c>
      <c r="AR14" s="365">
        <v>13</v>
      </c>
      <c r="AS14" s="366" t="s">
        <v>114</v>
      </c>
      <c r="AT14" s="2044"/>
      <c r="AU14" s="363">
        <v>20.294</v>
      </c>
      <c r="AV14" s="364" t="s">
        <v>113</v>
      </c>
      <c r="AW14" s="365">
        <v>13</v>
      </c>
      <c r="AX14" s="366" t="s">
        <v>114</v>
      </c>
      <c r="AY14" s="2044"/>
      <c r="AZ14" s="363">
        <v>33.756</v>
      </c>
      <c r="BA14" s="364" t="s">
        <v>113</v>
      </c>
      <c r="BB14" s="365">
        <v>13</v>
      </c>
      <c r="BC14" s="366" t="s">
        <v>114</v>
      </c>
      <c r="BD14" s="2044"/>
      <c r="BE14" s="363">
        <v>16.256</v>
      </c>
      <c r="BF14" s="364" t="s">
        <v>113</v>
      </c>
      <c r="BG14" s="365">
        <v>13</v>
      </c>
      <c r="BH14" s="366" t="s">
        <v>114</v>
      </c>
      <c r="BI14" s="2044"/>
      <c r="BJ14" s="363">
        <v>28.27</v>
      </c>
      <c r="BK14" s="364" t="s">
        <v>113</v>
      </c>
      <c r="BL14" s="365">
        <v>13</v>
      </c>
      <c r="BM14" s="366" t="s">
        <v>114</v>
      </c>
      <c r="BN14" s="2044"/>
      <c r="BO14" s="363">
        <v>17.119</v>
      </c>
      <c r="BP14" s="364" t="s">
        <v>113</v>
      </c>
      <c r="BQ14" s="365">
        <v>13</v>
      </c>
      <c r="BR14" s="366" t="s">
        <v>114</v>
      </c>
      <c r="BW14" s="27"/>
      <c r="BX14" s="27"/>
      <c r="BY14" s="27"/>
      <c r="BZ14" s="27"/>
      <c r="CA14" s="27"/>
      <c r="CB14" s="27"/>
      <c r="CC14" s="27"/>
      <c r="CD14" s="27"/>
      <c r="CE14" s="27"/>
    </row>
    <row r="15" spans="1:83" ht="15" customHeight="1" x14ac:dyDescent="0.25">
      <c r="A15" s="2041" t="s">
        <v>110</v>
      </c>
      <c r="B15" s="2041"/>
      <c r="C15" s="2042">
        <f t="shared" ref="C15" si="26">B20/((54*3.1415/35.5)*(164/3.281))</f>
        <v>3.6896373471467223E-2</v>
      </c>
      <c r="D15" s="2042"/>
      <c r="E15" s="2042"/>
      <c r="F15" s="2041" t="s">
        <v>110</v>
      </c>
      <c r="G15" s="2041"/>
      <c r="H15" s="2042">
        <f t="shared" ref="H15" si="27">G20/((54*3.1415/35.5)*(164/3.281))</f>
        <v>6.2740162582935174E-2</v>
      </c>
      <c r="I15" s="2042"/>
      <c r="J15" s="2042"/>
      <c r="K15" s="2041" t="s">
        <v>110</v>
      </c>
      <c r="L15" s="2041"/>
      <c r="M15" s="2042">
        <f t="shared" ref="M15" si="28">L20/((54*3.1415/35.5)*(164/3.281))</f>
        <v>9.1024730740569645E-2</v>
      </c>
      <c r="N15" s="2042"/>
      <c r="O15" s="2042"/>
      <c r="P15" s="2041" t="s">
        <v>110</v>
      </c>
      <c r="Q15" s="2041"/>
      <c r="R15" s="2042">
        <f t="shared" ref="R15" si="29">Q20/((54*3.1415/35.5)*(164/3.281))</f>
        <v>6.9543363183313514E-2</v>
      </c>
      <c r="S15" s="2042"/>
      <c r="T15" s="2042"/>
      <c r="U15" s="2045" t="s">
        <v>110</v>
      </c>
      <c r="V15" s="2045"/>
      <c r="W15" s="2046">
        <f>V20/((54*3.1415/35.5)*(186.2/3.281))</f>
        <v>2.8282607522775824E-2</v>
      </c>
      <c r="X15" s="2046"/>
      <c r="Y15" s="2046"/>
      <c r="Z15" s="2045" t="s">
        <v>110</v>
      </c>
      <c r="AA15" s="2045"/>
      <c r="AB15" s="2046">
        <f t="shared" ref="AB15" si="30">AA20/((54*3.1415/35.5)*(186.2/3.281))</f>
        <v>1.6106705301106233E-2</v>
      </c>
      <c r="AC15" s="2046"/>
      <c r="AD15" s="2046"/>
      <c r="AE15" s="2045" t="s">
        <v>110</v>
      </c>
      <c r="AF15" s="2045"/>
      <c r="AG15" s="2046">
        <f t="shared" ref="AG15" si="31">AF20/((54*3.1415/35.5)*(186.2/3.281))</f>
        <v>5.6945020596379015E-2</v>
      </c>
      <c r="AH15" s="2046"/>
      <c r="AI15" s="2046"/>
      <c r="AJ15" s="2045" t="s">
        <v>110</v>
      </c>
      <c r="AK15" s="2045"/>
      <c r="AL15" s="2046">
        <f t="shared" ref="AL15" si="32">AK20/((54*3.1415/35.5)*(186.2/3.281))</f>
        <v>1.6575009232708909E-2</v>
      </c>
      <c r="AM15" s="2046"/>
      <c r="AN15" s="2046"/>
      <c r="AO15" s="2045" t="s">
        <v>110</v>
      </c>
      <c r="AP15" s="2045"/>
      <c r="AQ15" s="2046">
        <f t="shared" ref="AQ15" si="33">AP20/((54*3.1415/35.5)*(186.2/3.281))</f>
        <v>3.6874325323045404E-22</v>
      </c>
      <c r="AR15" s="2046"/>
      <c r="AS15" s="2046"/>
      <c r="AT15" s="2045" t="s">
        <v>110</v>
      </c>
      <c r="AU15" s="2045"/>
      <c r="AV15" s="2046">
        <f t="shared" ref="AV15" si="34">AU20/((54*3.1415/35.5)*(186.2/3.281))</f>
        <v>3.2029038975597238E-2</v>
      </c>
      <c r="AW15" s="2046"/>
      <c r="AX15" s="2046"/>
      <c r="AY15" s="2045" t="s">
        <v>110</v>
      </c>
      <c r="AZ15" s="2045"/>
      <c r="BA15" s="2046">
        <f t="shared" ref="BA15" si="35">AZ20/((54*3.1415/35.5)*(186.2/3.281))</f>
        <v>3.0812186239936739E-2</v>
      </c>
      <c r="BB15" s="2046"/>
      <c r="BC15" s="2046"/>
      <c r="BD15" s="2045" t="s">
        <v>110</v>
      </c>
      <c r="BE15" s="2045"/>
      <c r="BF15" s="2046">
        <f t="shared" ref="BF15" si="36">BE20/((54*3.1415/35.5)*(186.2/3.281))</f>
        <v>1.8075794273356857E-2</v>
      </c>
      <c r="BG15" s="2046"/>
      <c r="BH15" s="2046"/>
      <c r="BI15" s="2045" t="s">
        <v>110</v>
      </c>
      <c r="BJ15" s="2045"/>
      <c r="BK15" s="2046">
        <f t="shared" ref="BK15" si="37">BJ20/((54*3.1415/35.5)*(186.2/3.281))</f>
        <v>6.7716011023240583E-2</v>
      </c>
      <c r="BL15" s="2046"/>
      <c r="BM15" s="2046"/>
      <c r="BN15" s="2045" t="s">
        <v>110</v>
      </c>
      <c r="BO15" s="2045"/>
      <c r="BP15" s="2046">
        <f t="shared" ref="BP15" si="38">BO20/((54*3.1415/35.5)*(186.2/3.281))</f>
        <v>6.6873801432862229E-2</v>
      </c>
      <c r="BQ15" s="2046"/>
      <c r="BR15" s="2046"/>
    </row>
    <row r="16" spans="1:83" ht="15" customHeight="1" x14ac:dyDescent="0.25">
      <c r="A16" s="2041"/>
      <c r="B16" s="2041"/>
      <c r="C16" s="2042"/>
      <c r="D16" s="2042"/>
      <c r="E16" s="2042"/>
      <c r="F16" s="2041"/>
      <c r="G16" s="2041"/>
      <c r="H16" s="2042"/>
      <c r="I16" s="2042"/>
      <c r="J16" s="2042"/>
      <c r="K16" s="2041"/>
      <c r="L16" s="2041"/>
      <c r="M16" s="2042"/>
      <c r="N16" s="2042"/>
      <c r="O16" s="2042"/>
      <c r="P16" s="2041"/>
      <c r="Q16" s="2041"/>
      <c r="R16" s="2042"/>
      <c r="S16" s="2042"/>
      <c r="T16" s="2042"/>
      <c r="U16" s="2045"/>
      <c r="V16" s="2045"/>
      <c r="W16" s="2046"/>
      <c r="X16" s="2046"/>
      <c r="Y16" s="2046"/>
      <c r="Z16" s="2045"/>
      <c r="AA16" s="2045"/>
      <c r="AB16" s="2046"/>
      <c r="AC16" s="2046"/>
      <c r="AD16" s="2046"/>
      <c r="AE16" s="2045"/>
      <c r="AF16" s="2045"/>
      <c r="AG16" s="2046"/>
      <c r="AH16" s="2046"/>
      <c r="AI16" s="2046"/>
      <c r="AJ16" s="2045"/>
      <c r="AK16" s="2045"/>
      <c r="AL16" s="2046"/>
      <c r="AM16" s="2046"/>
      <c r="AN16" s="2046"/>
      <c r="AO16" s="2045"/>
      <c r="AP16" s="2045"/>
      <c r="AQ16" s="2046"/>
      <c r="AR16" s="2046"/>
      <c r="AS16" s="2046"/>
      <c r="AT16" s="2045"/>
      <c r="AU16" s="2045"/>
      <c r="AV16" s="2046"/>
      <c r="AW16" s="2046"/>
      <c r="AX16" s="2046"/>
      <c r="AY16" s="2045"/>
      <c r="AZ16" s="2045"/>
      <c r="BA16" s="2046"/>
      <c r="BB16" s="2046"/>
      <c r="BC16" s="2046"/>
      <c r="BD16" s="2045"/>
      <c r="BE16" s="2045"/>
      <c r="BF16" s="2046"/>
      <c r="BG16" s="2046"/>
      <c r="BH16" s="2046"/>
      <c r="BI16" s="2045"/>
      <c r="BJ16" s="2045"/>
      <c r="BK16" s="2046"/>
      <c r="BL16" s="2046"/>
      <c r="BM16" s="2046"/>
      <c r="BN16" s="2045"/>
      <c r="BO16" s="2045"/>
      <c r="BP16" s="2046"/>
      <c r="BQ16" s="2046"/>
      <c r="BR16" s="2046"/>
    </row>
    <row r="17" spans="1:83" ht="15" customHeight="1" x14ac:dyDescent="0.25">
      <c r="A17" s="2041"/>
      <c r="B17" s="2041"/>
      <c r="C17" s="2042"/>
      <c r="D17" s="2042"/>
      <c r="E17" s="2042"/>
      <c r="F17" s="2041"/>
      <c r="G17" s="2041"/>
      <c r="H17" s="2042"/>
      <c r="I17" s="2042"/>
      <c r="J17" s="2042"/>
      <c r="K17" s="2041"/>
      <c r="L17" s="2041"/>
      <c r="M17" s="2042"/>
      <c r="N17" s="2042"/>
      <c r="O17" s="2042"/>
      <c r="P17" s="2041"/>
      <c r="Q17" s="2041"/>
      <c r="R17" s="2042"/>
      <c r="S17" s="2042"/>
      <c r="T17" s="2042"/>
      <c r="U17" s="2045"/>
      <c r="V17" s="2045"/>
      <c r="W17" s="2046"/>
      <c r="X17" s="2046"/>
      <c r="Y17" s="2046"/>
      <c r="Z17" s="2045"/>
      <c r="AA17" s="2045"/>
      <c r="AB17" s="2046"/>
      <c r="AC17" s="2046"/>
      <c r="AD17" s="2046"/>
      <c r="AE17" s="2045"/>
      <c r="AF17" s="2045"/>
      <c r="AG17" s="2046"/>
      <c r="AH17" s="2046"/>
      <c r="AI17" s="2046"/>
      <c r="AJ17" s="2045"/>
      <c r="AK17" s="2045"/>
      <c r="AL17" s="2046"/>
      <c r="AM17" s="2046"/>
      <c r="AN17" s="2046"/>
      <c r="AO17" s="2045"/>
      <c r="AP17" s="2045"/>
      <c r="AQ17" s="2046"/>
      <c r="AR17" s="2046"/>
      <c r="AS17" s="2046"/>
      <c r="AT17" s="2045"/>
      <c r="AU17" s="2045"/>
      <c r="AV17" s="2046"/>
      <c r="AW17" s="2046"/>
      <c r="AX17" s="2046"/>
      <c r="AY17" s="2045"/>
      <c r="AZ17" s="2045"/>
      <c r="BA17" s="2046"/>
      <c r="BB17" s="2046"/>
      <c r="BC17" s="2046"/>
      <c r="BD17" s="2045"/>
      <c r="BE17" s="2045"/>
      <c r="BF17" s="2046"/>
      <c r="BG17" s="2046"/>
      <c r="BH17" s="2046"/>
      <c r="BI17" s="2045"/>
      <c r="BJ17" s="2045"/>
      <c r="BK17" s="2046"/>
      <c r="BL17" s="2046"/>
      <c r="BM17" s="2046"/>
      <c r="BN17" s="2045"/>
      <c r="BO17" s="2045"/>
      <c r="BP17" s="2046"/>
      <c r="BQ17" s="2046"/>
      <c r="BR17" s="2046"/>
    </row>
    <row r="18" spans="1:83" ht="24.95" customHeight="1" x14ac:dyDescent="0.25">
      <c r="A18" s="2012" t="s">
        <v>111</v>
      </c>
      <c r="B18" s="2012"/>
      <c r="C18" s="2012" t="s">
        <v>466</v>
      </c>
      <c r="D18" s="2012"/>
      <c r="E18" s="2012"/>
      <c r="F18" s="2012" t="s">
        <v>111</v>
      </c>
      <c r="G18" s="2012"/>
      <c r="H18" s="2012" t="s">
        <v>466</v>
      </c>
      <c r="I18" s="2012"/>
      <c r="J18" s="2012"/>
      <c r="K18" s="2012" t="s">
        <v>111</v>
      </c>
      <c r="L18" s="2012"/>
      <c r="M18" s="2012" t="s">
        <v>466</v>
      </c>
      <c r="N18" s="2012"/>
      <c r="O18" s="2012"/>
      <c r="P18" s="2012" t="s">
        <v>111</v>
      </c>
      <c r="Q18" s="2012"/>
      <c r="R18" s="2012" t="s">
        <v>466</v>
      </c>
      <c r="S18" s="2012"/>
      <c r="T18" s="2012"/>
      <c r="U18" s="2012" t="s">
        <v>111</v>
      </c>
      <c r="V18" s="2012"/>
      <c r="W18" s="2012" t="s">
        <v>466</v>
      </c>
      <c r="X18" s="2012"/>
      <c r="Y18" s="2012"/>
      <c r="Z18" s="2012" t="s">
        <v>111</v>
      </c>
      <c r="AA18" s="2012"/>
      <c r="AB18" s="2012" t="s">
        <v>466</v>
      </c>
      <c r="AC18" s="2012"/>
      <c r="AD18" s="2012"/>
      <c r="AE18" s="2012" t="s">
        <v>111</v>
      </c>
      <c r="AF18" s="2012"/>
      <c r="AG18" s="2012" t="s">
        <v>466</v>
      </c>
      <c r="AH18" s="2012"/>
      <c r="AI18" s="2012"/>
      <c r="AJ18" s="2012" t="s">
        <v>111</v>
      </c>
      <c r="AK18" s="2012"/>
      <c r="AL18" s="2012" t="s">
        <v>466</v>
      </c>
      <c r="AM18" s="2012"/>
      <c r="AN18" s="2012"/>
      <c r="AO18" s="2012" t="s">
        <v>111</v>
      </c>
      <c r="AP18" s="2012"/>
      <c r="AQ18" s="2012" t="s">
        <v>466</v>
      </c>
      <c r="AR18" s="2012"/>
      <c r="AS18" s="2012"/>
      <c r="AT18" s="2012" t="s">
        <v>111</v>
      </c>
      <c r="AU18" s="2012"/>
      <c r="AV18" s="2012" t="s">
        <v>466</v>
      </c>
      <c r="AW18" s="2012"/>
      <c r="AX18" s="2012"/>
      <c r="AY18" s="2012" t="s">
        <v>111</v>
      </c>
      <c r="AZ18" s="2012"/>
      <c r="BA18" s="2012" t="s">
        <v>466</v>
      </c>
      <c r="BB18" s="2012"/>
      <c r="BC18" s="2012"/>
      <c r="BD18" s="2012" t="s">
        <v>111</v>
      </c>
      <c r="BE18" s="2012"/>
      <c r="BF18" s="2012" t="s">
        <v>466</v>
      </c>
      <c r="BG18" s="2012"/>
      <c r="BH18" s="2012"/>
      <c r="BI18" s="2012" t="s">
        <v>111</v>
      </c>
      <c r="BJ18" s="2012"/>
      <c r="BK18" s="2012" t="s">
        <v>466</v>
      </c>
      <c r="BL18" s="2012"/>
      <c r="BM18" s="2012"/>
      <c r="BN18" s="2012" t="s">
        <v>111</v>
      </c>
      <c r="BO18" s="2012"/>
      <c r="BP18" s="2012" t="s">
        <v>466</v>
      </c>
      <c r="BQ18" s="2012"/>
      <c r="BR18" s="2012"/>
    </row>
    <row r="19" spans="1:83" s="22" customFormat="1" ht="80.099999999999994" customHeight="1" x14ac:dyDescent="1.35">
      <c r="A19" s="2044" t="s">
        <v>483</v>
      </c>
      <c r="B19" s="1921">
        <v>29</v>
      </c>
      <c r="C19" s="1921"/>
      <c r="D19" s="1921"/>
      <c r="E19" s="1921"/>
      <c r="F19" s="2044" t="s">
        <v>483</v>
      </c>
      <c r="G19" s="1921">
        <v>30</v>
      </c>
      <c r="H19" s="1921"/>
      <c r="I19" s="1921"/>
      <c r="J19" s="1921"/>
      <c r="K19" s="2044" t="s">
        <v>483</v>
      </c>
      <c r="L19" s="1921">
        <v>31</v>
      </c>
      <c r="M19" s="1921"/>
      <c r="N19" s="1921"/>
      <c r="O19" s="1921"/>
      <c r="P19" s="2044" t="s">
        <v>483</v>
      </c>
      <c r="Q19" s="1921">
        <v>32</v>
      </c>
      <c r="R19" s="1921"/>
      <c r="S19" s="1921"/>
      <c r="T19" s="1921"/>
      <c r="U19" s="2048" t="s">
        <v>482</v>
      </c>
      <c r="V19" s="1921">
        <v>33</v>
      </c>
      <c r="W19" s="1921"/>
      <c r="X19" s="1921"/>
      <c r="Y19" s="1921"/>
      <c r="Z19" s="2048" t="s">
        <v>482</v>
      </c>
      <c r="AA19" s="1921">
        <v>34</v>
      </c>
      <c r="AB19" s="1921"/>
      <c r="AC19" s="1921"/>
      <c r="AD19" s="1921"/>
      <c r="AE19" s="2048" t="s">
        <v>482</v>
      </c>
      <c r="AF19" s="1921">
        <v>35</v>
      </c>
      <c r="AG19" s="1921"/>
      <c r="AH19" s="1921"/>
      <c r="AI19" s="1921"/>
      <c r="AJ19" s="2048" t="s">
        <v>482</v>
      </c>
      <c r="AK19" s="1921">
        <v>36</v>
      </c>
      <c r="AL19" s="1921"/>
      <c r="AM19" s="1921"/>
      <c r="AN19" s="1921"/>
      <c r="AO19" s="2048" t="s">
        <v>482</v>
      </c>
      <c r="AP19" s="1921">
        <v>37</v>
      </c>
      <c r="AQ19" s="1921"/>
      <c r="AR19" s="1921"/>
      <c r="AS19" s="1921"/>
      <c r="AT19" s="2048" t="s">
        <v>482</v>
      </c>
      <c r="AU19" s="1921">
        <v>38</v>
      </c>
      <c r="AV19" s="1921"/>
      <c r="AW19" s="1921"/>
      <c r="AX19" s="1921"/>
      <c r="AY19" s="2048" t="s">
        <v>482</v>
      </c>
      <c r="AZ19" s="1921">
        <v>43</v>
      </c>
      <c r="BA19" s="1921"/>
      <c r="BB19" s="1921"/>
      <c r="BC19" s="1921"/>
      <c r="BD19" s="2048" t="s">
        <v>482</v>
      </c>
      <c r="BE19" s="1921">
        <v>44</v>
      </c>
      <c r="BF19" s="1921"/>
      <c r="BG19" s="1921"/>
      <c r="BH19" s="1921"/>
      <c r="BI19" s="2048" t="s">
        <v>482</v>
      </c>
      <c r="BJ19" s="1921">
        <v>45</v>
      </c>
      <c r="BK19" s="1921"/>
      <c r="BL19" s="1921"/>
      <c r="BM19" s="1921"/>
      <c r="BN19" s="2048" t="s">
        <v>482</v>
      </c>
      <c r="BO19" s="1921">
        <v>46</v>
      </c>
      <c r="BP19" s="1921"/>
      <c r="BQ19" s="1921"/>
      <c r="BR19" s="1921"/>
    </row>
    <row r="20" spans="1:83" ht="26.25" x14ac:dyDescent="0.25">
      <c r="A20" s="2044"/>
      <c r="B20" s="363">
        <v>8.8130000000000006</v>
      </c>
      <c r="C20" s="364" t="s">
        <v>113</v>
      </c>
      <c r="D20" s="365">
        <v>13</v>
      </c>
      <c r="E20" s="366" t="s">
        <v>114</v>
      </c>
      <c r="F20" s="2044"/>
      <c r="G20" s="363">
        <v>14.986000000000001</v>
      </c>
      <c r="H20" s="364" t="s">
        <v>113</v>
      </c>
      <c r="I20" s="365">
        <v>14</v>
      </c>
      <c r="J20" s="366" t="s">
        <v>114</v>
      </c>
      <c r="K20" s="2044"/>
      <c r="L20" s="363">
        <v>21.742000000000001</v>
      </c>
      <c r="M20" s="364" t="s">
        <v>113</v>
      </c>
      <c r="N20" s="365">
        <v>13</v>
      </c>
      <c r="O20" s="366" t="s">
        <v>114</v>
      </c>
      <c r="P20" s="2044"/>
      <c r="Q20" s="363">
        <v>16.611000000000001</v>
      </c>
      <c r="R20" s="364" t="s">
        <v>113</v>
      </c>
      <c r="S20" s="365">
        <v>13</v>
      </c>
      <c r="T20" s="366" t="s">
        <v>114</v>
      </c>
      <c r="U20" s="2048"/>
      <c r="V20" s="363">
        <v>7.67</v>
      </c>
      <c r="W20" s="364" t="s">
        <v>113</v>
      </c>
      <c r="X20" s="365">
        <v>15</v>
      </c>
      <c r="Y20" s="366" t="s">
        <v>114</v>
      </c>
      <c r="Z20" s="2048"/>
      <c r="AA20" s="363">
        <v>4.3680000000000003</v>
      </c>
      <c r="AB20" s="364" t="s">
        <v>113</v>
      </c>
      <c r="AC20" s="365">
        <v>14</v>
      </c>
      <c r="AD20" s="366" t="s">
        <v>114</v>
      </c>
      <c r="AE20" s="2048"/>
      <c r="AF20" s="363">
        <v>15.443</v>
      </c>
      <c r="AG20" s="364" t="s">
        <v>113</v>
      </c>
      <c r="AH20" s="365">
        <v>15</v>
      </c>
      <c r="AI20" s="366" t="s">
        <v>114</v>
      </c>
      <c r="AJ20" s="2048"/>
      <c r="AK20" s="363">
        <v>4.4950000000000001</v>
      </c>
      <c r="AL20" s="364" t="s">
        <v>113</v>
      </c>
      <c r="AM20" s="365">
        <v>15</v>
      </c>
      <c r="AN20" s="366" t="s">
        <v>114</v>
      </c>
      <c r="AO20" s="2048"/>
      <c r="AP20" s="363">
        <v>9.9999999999999998E-20</v>
      </c>
      <c r="AQ20" s="364" t="s">
        <v>113</v>
      </c>
      <c r="AR20" s="365">
        <v>15</v>
      </c>
      <c r="AS20" s="366" t="s">
        <v>114</v>
      </c>
      <c r="AT20" s="2048"/>
      <c r="AU20" s="363">
        <v>8.6859999999999999</v>
      </c>
      <c r="AV20" s="364" t="s">
        <v>113</v>
      </c>
      <c r="AW20" s="365">
        <v>15</v>
      </c>
      <c r="AX20" s="366" t="s">
        <v>114</v>
      </c>
      <c r="AY20" s="2048"/>
      <c r="AZ20" s="363">
        <v>8.3559999999999999</v>
      </c>
      <c r="BA20" s="364" t="s">
        <v>113</v>
      </c>
      <c r="BB20" s="365">
        <v>15</v>
      </c>
      <c r="BC20" s="366" t="s">
        <v>114</v>
      </c>
      <c r="BD20" s="2048"/>
      <c r="BE20" s="363">
        <v>4.9020000000000001</v>
      </c>
      <c r="BF20" s="364" t="s">
        <v>113</v>
      </c>
      <c r="BG20" s="365">
        <v>15</v>
      </c>
      <c r="BH20" s="366" t="s">
        <v>114</v>
      </c>
      <c r="BI20" s="2048"/>
      <c r="BJ20" s="363">
        <v>18.364000000000001</v>
      </c>
      <c r="BK20" s="364" t="s">
        <v>113</v>
      </c>
      <c r="BL20" s="365">
        <v>15</v>
      </c>
      <c r="BM20" s="366" t="s">
        <v>114</v>
      </c>
      <c r="BN20" s="2048"/>
      <c r="BO20" s="363">
        <v>18.1356</v>
      </c>
      <c r="BP20" s="364" t="s">
        <v>113</v>
      </c>
      <c r="BQ20" s="365">
        <v>15</v>
      </c>
      <c r="BR20" s="366" t="s">
        <v>114</v>
      </c>
      <c r="BW20" s="27"/>
      <c r="BX20" s="27"/>
      <c r="BY20" s="27"/>
      <c r="BZ20" s="27"/>
      <c r="CA20" s="27"/>
      <c r="CB20" s="27"/>
      <c r="CC20" s="27"/>
      <c r="CD20" s="27"/>
      <c r="CE20" s="27"/>
    </row>
    <row r="21" spans="1:83" ht="26.1" customHeight="1" x14ac:dyDescent="0.25">
      <c r="A21" s="2045" t="s">
        <v>110</v>
      </c>
      <c r="B21" s="2045"/>
      <c r="C21" s="2046">
        <f t="shared" ref="C21" si="39">B26/((54*3.1415/35.5)*(186.2/3.281))</f>
        <v>3.8493108204727094E-2</v>
      </c>
      <c r="D21" s="2046"/>
      <c r="E21" s="2046"/>
      <c r="F21" s="2045" t="s">
        <v>110</v>
      </c>
      <c r="G21" s="2045"/>
      <c r="H21" s="2046">
        <f t="shared" ref="H21" si="40">G26/((54*3.1415/35.5)*(186.2/3.281))</f>
        <v>3.5495225555963503E-2</v>
      </c>
      <c r="I21" s="2046"/>
      <c r="J21" s="2046"/>
      <c r="K21" s="2045" t="s">
        <v>110</v>
      </c>
      <c r="L21" s="2045"/>
      <c r="M21" s="2046">
        <f t="shared" ref="M21" si="41">L26/((54*3.1415/35.5)*(186.2/3.281))</f>
        <v>6.4157638629566707E-2</v>
      </c>
      <c r="N21" s="2046"/>
      <c r="O21" s="2046"/>
      <c r="P21" s="2059" t="s">
        <v>110</v>
      </c>
      <c r="Q21" s="2060"/>
      <c r="R21" s="2063">
        <f>Q26/((54*3.1415/35.5)*(92/3.281))</f>
        <v>5.7816192564451328E-2</v>
      </c>
      <c r="S21" s="2064"/>
      <c r="T21" s="2065"/>
      <c r="U21" s="2015" t="s">
        <v>110</v>
      </c>
      <c r="V21" s="2016"/>
      <c r="W21" s="2020">
        <f>V26/((54*3.1415/35.5)*(94.2/3.281))</f>
        <v>3.0911574681545241E-2</v>
      </c>
      <c r="X21" s="2021"/>
      <c r="Y21" s="2022"/>
      <c r="Z21" s="2059" t="s">
        <v>110</v>
      </c>
      <c r="AA21" s="2060"/>
      <c r="AB21" s="2063">
        <f>AA26/((54*3.1415/35.5)*(92/3.281))</f>
        <v>6.0278996688146812E-2</v>
      </c>
      <c r="AC21" s="2064"/>
      <c r="AD21" s="2065"/>
      <c r="AE21" s="2015" t="s">
        <v>110</v>
      </c>
      <c r="AF21" s="2016"/>
      <c r="AG21" s="2020">
        <f>AF26/((54*3.1415/35.5)*(94.2/3.281))</f>
        <v>2.1100921646562951E-2</v>
      </c>
      <c r="AH21" s="2021"/>
      <c r="AI21" s="2022"/>
      <c r="AJ21" s="121"/>
      <c r="AK21" s="121"/>
      <c r="AL21" s="121"/>
      <c r="AM21" s="121"/>
      <c r="AN21" s="31"/>
      <c r="AO21" s="121"/>
      <c r="AP21" s="121"/>
      <c r="AQ21" s="121"/>
      <c r="AR21" s="121"/>
      <c r="AS21" s="121"/>
      <c r="AT21" s="31"/>
      <c r="AU21" s="121"/>
      <c r="AV21" s="121"/>
      <c r="AW21" s="121"/>
      <c r="AX21" s="121"/>
      <c r="AY21" s="121"/>
      <c r="AZ21" s="121"/>
      <c r="BA21" s="121"/>
      <c r="BB21" s="31"/>
      <c r="BC21" s="121"/>
      <c r="BD21" s="121"/>
      <c r="BE21" s="121"/>
      <c r="BF21" s="121"/>
      <c r="BG21" s="121"/>
      <c r="BH21" s="31"/>
      <c r="BI21" s="121"/>
      <c r="BJ21" s="121"/>
      <c r="BK21" s="121"/>
      <c r="BL21" s="121"/>
      <c r="BM21" s="121"/>
      <c r="BN21" s="31"/>
      <c r="BO21" s="121"/>
      <c r="BP21" s="121"/>
      <c r="BQ21" s="121"/>
      <c r="BR21" s="121"/>
    </row>
    <row r="22" spans="1:83" ht="6.75" customHeight="1" x14ac:dyDescent="0.25">
      <c r="A22" s="2045"/>
      <c r="B22" s="2045"/>
      <c r="C22" s="2046"/>
      <c r="D22" s="2046"/>
      <c r="E22" s="2046"/>
      <c r="F22" s="2045"/>
      <c r="G22" s="2045"/>
      <c r="H22" s="2046"/>
      <c r="I22" s="2046"/>
      <c r="J22" s="2046"/>
      <c r="K22" s="2045"/>
      <c r="L22" s="2045"/>
      <c r="M22" s="2046"/>
      <c r="N22" s="2046"/>
      <c r="O22" s="2046"/>
      <c r="P22" s="2061"/>
      <c r="Q22" s="2062"/>
      <c r="R22" s="2066"/>
      <c r="S22" s="2067"/>
      <c r="T22" s="2068"/>
      <c r="U22" s="2017"/>
      <c r="V22" s="2018"/>
      <c r="W22" s="2023"/>
      <c r="X22" s="2024"/>
      <c r="Y22" s="2025"/>
      <c r="Z22" s="2061"/>
      <c r="AA22" s="2062"/>
      <c r="AB22" s="2066"/>
      <c r="AC22" s="2067"/>
      <c r="AD22" s="2068"/>
      <c r="AE22" s="2017"/>
      <c r="AF22" s="2018"/>
      <c r="AG22" s="2023"/>
      <c r="AH22" s="2024"/>
      <c r="AI22" s="2025"/>
      <c r="AJ22" s="34"/>
      <c r="AK22" s="34"/>
      <c r="AL22" s="35"/>
      <c r="AM22" s="31"/>
      <c r="AN22" s="32"/>
      <c r="AO22" s="33"/>
      <c r="AP22" s="34"/>
      <c r="AQ22" s="34"/>
      <c r="AR22" s="35"/>
      <c r="AS22" s="31"/>
      <c r="AT22" s="32"/>
      <c r="AU22" s="33"/>
      <c r="AV22" s="34"/>
      <c r="AW22" s="34"/>
      <c r="AX22" s="35"/>
      <c r="AY22" s="34"/>
      <c r="AZ22" s="35"/>
      <c r="BA22" s="31"/>
      <c r="BB22" s="32"/>
      <c r="BC22" s="33"/>
      <c r="BD22" s="34"/>
      <c r="BE22" s="34"/>
      <c r="BF22" s="35"/>
      <c r="BG22" s="31"/>
      <c r="BH22" s="32"/>
      <c r="BI22" s="33"/>
      <c r="BJ22" s="34"/>
      <c r="BK22" s="34"/>
      <c r="BL22" s="35"/>
      <c r="BM22" s="31"/>
      <c r="BN22" s="32"/>
      <c r="BO22" s="33"/>
      <c r="BP22" s="34"/>
      <c r="BQ22" s="34"/>
      <c r="BR22" s="35"/>
    </row>
    <row r="23" spans="1:83" ht="21.95" customHeight="1" x14ac:dyDescent="0.25">
      <c r="A23" s="2045"/>
      <c r="B23" s="2045"/>
      <c r="C23" s="2046"/>
      <c r="D23" s="2046"/>
      <c r="E23" s="2046"/>
      <c r="F23" s="2045"/>
      <c r="G23" s="2045"/>
      <c r="H23" s="2046"/>
      <c r="I23" s="2046"/>
      <c r="J23" s="2046"/>
      <c r="K23" s="2045"/>
      <c r="L23" s="2045"/>
      <c r="M23" s="2046"/>
      <c r="N23" s="2046"/>
      <c r="O23" s="2046"/>
      <c r="P23" s="2061"/>
      <c r="Q23" s="2062"/>
      <c r="R23" s="2066"/>
      <c r="S23" s="2067"/>
      <c r="T23" s="2068"/>
      <c r="U23" s="2017"/>
      <c r="V23" s="2018"/>
      <c r="W23" s="2023"/>
      <c r="X23" s="2024"/>
      <c r="Y23" s="2025"/>
      <c r="Z23" s="2061"/>
      <c r="AA23" s="2062"/>
      <c r="AB23" s="2066"/>
      <c r="AC23" s="2067"/>
      <c r="AD23" s="2068"/>
      <c r="AE23" s="2017"/>
      <c r="AF23" s="2018"/>
      <c r="AG23" s="2023"/>
      <c r="AH23" s="2024"/>
      <c r="AI23" s="2025"/>
      <c r="AJ23" s="34"/>
      <c r="AK23" s="34"/>
      <c r="AL23" s="35"/>
      <c r="AM23" s="31"/>
      <c r="AN23" s="32"/>
      <c r="AO23" s="33"/>
      <c r="AP23" s="34"/>
      <c r="AQ23" s="34"/>
      <c r="AR23" s="35"/>
      <c r="AS23" s="31"/>
      <c r="AT23" s="32"/>
      <c r="AU23" s="33"/>
      <c r="AV23" s="34"/>
      <c r="AW23" s="34"/>
      <c r="AX23" s="35"/>
      <c r="AY23" s="34"/>
      <c r="AZ23" s="35"/>
      <c r="BA23" s="31"/>
      <c r="BB23" s="32"/>
      <c r="BC23" s="33"/>
      <c r="BD23" s="34"/>
      <c r="BE23" s="34"/>
      <c r="BF23" s="35"/>
      <c r="BG23" s="31"/>
      <c r="BH23" s="32"/>
      <c r="BI23" s="33"/>
      <c r="BJ23" s="34"/>
      <c r="BK23" s="34"/>
      <c r="BL23" s="35"/>
      <c r="BM23" s="31"/>
      <c r="BN23" s="32"/>
      <c r="BO23" s="33"/>
      <c r="BP23" s="34"/>
      <c r="BQ23" s="34"/>
      <c r="BR23" s="35"/>
    </row>
    <row r="24" spans="1:83" ht="24" customHeight="1" x14ac:dyDescent="0.25">
      <c r="A24" s="2012" t="s">
        <v>111</v>
      </c>
      <c r="B24" s="2012"/>
      <c r="C24" s="2012" t="s">
        <v>466</v>
      </c>
      <c r="D24" s="2012"/>
      <c r="E24" s="2012"/>
      <c r="F24" s="2012" t="s">
        <v>111</v>
      </c>
      <c r="G24" s="2012"/>
      <c r="H24" s="2012" t="s">
        <v>466</v>
      </c>
      <c r="I24" s="2012"/>
      <c r="J24" s="2012"/>
      <c r="K24" s="2012" t="s">
        <v>111</v>
      </c>
      <c r="L24" s="2012"/>
      <c r="M24" s="2012" t="s">
        <v>466</v>
      </c>
      <c r="N24" s="2012"/>
      <c r="O24" s="2012"/>
      <c r="P24" s="2012" t="s">
        <v>111</v>
      </c>
      <c r="Q24" s="2012"/>
      <c r="R24" s="2012" t="s">
        <v>466</v>
      </c>
      <c r="S24" s="2012"/>
      <c r="T24" s="2012"/>
      <c r="U24" s="2019"/>
      <c r="V24" s="1854"/>
      <c r="W24" s="2026"/>
      <c r="X24" s="1857"/>
      <c r="Y24" s="2027"/>
      <c r="Z24" s="2012" t="s">
        <v>111</v>
      </c>
      <c r="AA24" s="2012"/>
      <c r="AB24" s="2012" t="s">
        <v>466</v>
      </c>
      <c r="AC24" s="2012"/>
      <c r="AD24" s="2012"/>
      <c r="AE24" s="2019"/>
      <c r="AF24" s="1854"/>
      <c r="AG24" s="2026"/>
      <c r="AH24" s="1857"/>
      <c r="AI24" s="2027"/>
      <c r="AJ24" s="121"/>
      <c r="AK24" s="121"/>
      <c r="AL24" s="121"/>
      <c r="AM24" s="121"/>
      <c r="AN24" s="121"/>
      <c r="AO24" s="121"/>
      <c r="AP24" s="121"/>
      <c r="AQ24" s="121"/>
      <c r="AR24" s="121"/>
      <c r="AS24" s="121"/>
      <c r="AT24" s="31"/>
      <c r="AU24" s="121"/>
      <c r="AV24" s="121"/>
      <c r="AW24" s="121"/>
      <c r="AX24" s="121"/>
      <c r="AY24" s="121"/>
      <c r="AZ24" s="121"/>
      <c r="BA24" s="121"/>
      <c r="BB24" s="31"/>
      <c r="BC24" s="121"/>
      <c r="BD24" s="121"/>
      <c r="BE24" s="121"/>
      <c r="BF24" s="121"/>
      <c r="BG24" s="121"/>
      <c r="BH24" s="31"/>
      <c r="BI24" s="121"/>
      <c r="BJ24" s="121"/>
      <c r="BK24" s="121"/>
      <c r="BL24" s="121"/>
      <c r="BM24" s="121"/>
      <c r="BN24" s="31"/>
      <c r="BO24" s="121"/>
      <c r="BP24" s="121"/>
      <c r="BQ24" s="121"/>
      <c r="BR24" s="121"/>
    </row>
    <row r="25" spans="1:83" s="22" customFormat="1" ht="80.099999999999994" customHeight="1" x14ac:dyDescent="1.35">
      <c r="A25" s="2048" t="s">
        <v>482</v>
      </c>
      <c r="B25" s="1921">
        <v>47</v>
      </c>
      <c r="C25" s="1921"/>
      <c r="D25" s="1921"/>
      <c r="E25" s="1921"/>
      <c r="F25" s="2048" t="s">
        <v>482</v>
      </c>
      <c r="G25" s="1921">
        <v>48</v>
      </c>
      <c r="H25" s="1921"/>
      <c r="I25" s="1921"/>
      <c r="J25" s="1921"/>
      <c r="K25" s="2048" t="s">
        <v>482</v>
      </c>
      <c r="L25" s="1921">
        <v>49</v>
      </c>
      <c r="M25" s="1921"/>
      <c r="N25" s="1921"/>
      <c r="O25" s="1921"/>
      <c r="P25" s="2013" t="s">
        <v>658</v>
      </c>
      <c r="Q25" s="1921">
        <v>39</v>
      </c>
      <c r="R25" s="1921"/>
      <c r="S25" s="1921"/>
      <c r="T25" s="1921"/>
      <c r="U25" s="2014" t="s">
        <v>657</v>
      </c>
      <c r="V25" s="1921">
        <v>40</v>
      </c>
      <c r="W25" s="1921"/>
      <c r="X25" s="1921"/>
      <c r="Y25" s="1921"/>
      <c r="Z25" s="2013" t="s">
        <v>658</v>
      </c>
      <c r="AA25" s="1921">
        <v>41</v>
      </c>
      <c r="AB25" s="1921"/>
      <c r="AC25" s="1921"/>
      <c r="AD25" s="1921"/>
      <c r="AE25" s="2014" t="s">
        <v>657</v>
      </c>
      <c r="AF25" s="1921">
        <v>42</v>
      </c>
      <c r="AG25" s="1921"/>
      <c r="AH25" s="1921"/>
      <c r="AI25" s="1921"/>
      <c r="AJ25" s="31"/>
      <c r="AK25" s="31"/>
      <c r="AL25" s="31"/>
      <c r="AM25" s="31"/>
      <c r="AN25" s="31"/>
      <c r="AO25" s="33"/>
      <c r="AP25" s="34"/>
      <c r="AQ25" s="34"/>
      <c r="AR25" s="35"/>
      <c r="AS25" s="31"/>
      <c r="AT25" s="32"/>
      <c r="AU25" s="33"/>
      <c r="AV25" s="34"/>
      <c r="AW25" s="34"/>
      <c r="AX25" s="35"/>
      <c r="AY25" s="34"/>
      <c r="AZ25" s="35"/>
      <c r="BA25" s="31"/>
      <c r="BB25" s="32"/>
      <c r="BC25" s="33"/>
      <c r="BD25" s="34"/>
      <c r="BE25" s="34"/>
      <c r="BF25" s="35"/>
      <c r="BG25" s="31"/>
      <c r="BH25" s="32"/>
      <c r="BI25" s="33"/>
      <c r="BJ25" s="34"/>
      <c r="BK25" s="34"/>
      <c r="BL25" s="35"/>
      <c r="BM25" s="31"/>
      <c r="BN25" s="32"/>
      <c r="BO25" s="33"/>
      <c r="BP25" s="34"/>
      <c r="BQ25" s="34"/>
      <c r="BR25" s="35"/>
    </row>
    <row r="26" spans="1:83" ht="27" customHeight="1" x14ac:dyDescent="0.25">
      <c r="A26" s="2048"/>
      <c r="B26" s="363">
        <v>10.439</v>
      </c>
      <c r="C26" s="364" t="s">
        <v>113</v>
      </c>
      <c r="D26" s="365">
        <v>15</v>
      </c>
      <c r="E26" s="366" t="s">
        <v>114</v>
      </c>
      <c r="F26" s="2048"/>
      <c r="G26" s="363">
        <v>9.6259999999999994</v>
      </c>
      <c r="H26" s="364" t="s">
        <v>113</v>
      </c>
      <c r="I26" s="365">
        <v>14</v>
      </c>
      <c r="J26" s="366" t="s">
        <v>114</v>
      </c>
      <c r="K26" s="2048"/>
      <c r="L26" s="363">
        <v>17.399000000000001</v>
      </c>
      <c r="M26" s="364" t="s">
        <v>113</v>
      </c>
      <c r="N26" s="365">
        <v>15</v>
      </c>
      <c r="O26" s="366" t="s">
        <v>114</v>
      </c>
      <c r="P26" s="2013"/>
      <c r="Q26" s="363">
        <v>7.7469999999999999</v>
      </c>
      <c r="R26" s="364" t="s">
        <v>113</v>
      </c>
      <c r="S26" s="365">
        <v>7</v>
      </c>
      <c r="T26" s="366" t="s">
        <v>114</v>
      </c>
      <c r="U26" s="2014"/>
      <c r="V26" s="363">
        <v>4.2409999999999997</v>
      </c>
      <c r="W26" s="364" t="s">
        <v>113</v>
      </c>
      <c r="X26" s="365">
        <v>8</v>
      </c>
      <c r="Y26" s="366" t="s">
        <v>114</v>
      </c>
      <c r="Z26" s="2013"/>
      <c r="AA26" s="363">
        <v>8.077</v>
      </c>
      <c r="AB26" s="364" t="s">
        <v>113</v>
      </c>
      <c r="AC26" s="365">
        <v>7</v>
      </c>
      <c r="AD26" s="366" t="s">
        <v>114</v>
      </c>
      <c r="AE26" s="2014"/>
      <c r="AF26" s="363">
        <v>2.895</v>
      </c>
      <c r="AG26" s="364" t="s">
        <v>113</v>
      </c>
      <c r="AH26" s="365">
        <v>7</v>
      </c>
      <c r="AI26" s="366" t="s">
        <v>114</v>
      </c>
      <c r="AJ26" s="31"/>
      <c r="AK26" s="31"/>
      <c r="AL26" s="31"/>
      <c r="AM26" s="31"/>
      <c r="AN26" s="31"/>
      <c r="AO26" s="33"/>
      <c r="AP26" s="34"/>
      <c r="AQ26" s="34"/>
      <c r="AR26" s="35"/>
      <c r="AS26" s="31"/>
      <c r="AT26" s="32"/>
      <c r="AU26" s="33"/>
      <c r="AV26" s="34"/>
      <c r="AW26" s="34"/>
      <c r="AX26" s="35"/>
      <c r="AY26" s="34"/>
      <c r="AZ26" s="35"/>
      <c r="BA26" s="31"/>
      <c r="BB26" s="32"/>
      <c r="BC26" s="33"/>
      <c r="BD26" s="34"/>
      <c r="BE26" s="34"/>
      <c r="BF26" s="35"/>
      <c r="BG26" s="31"/>
      <c r="BH26" s="32"/>
      <c r="BI26" s="33"/>
      <c r="BJ26" s="34"/>
      <c r="BK26" s="34"/>
      <c r="BL26" s="35"/>
      <c r="BM26" s="31"/>
      <c r="BN26" s="32"/>
      <c r="BO26" s="33"/>
      <c r="BP26" s="34"/>
      <c r="BQ26" s="34"/>
      <c r="BR26" s="35"/>
      <c r="BW26" s="27"/>
      <c r="BX26" s="27"/>
      <c r="BY26" s="27"/>
      <c r="BZ26" s="27"/>
      <c r="CA26" s="27"/>
      <c r="CB26" s="27"/>
      <c r="CC26" s="27"/>
      <c r="CD26" s="27"/>
      <c r="CE26" s="27"/>
    </row>
    <row r="27" spans="1:83" ht="26.1" customHeight="1" x14ac:dyDescent="0.25">
      <c r="A27" s="12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121"/>
      <c r="U27" s="121"/>
      <c r="V27" s="31"/>
      <c r="W27" s="121"/>
      <c r="X27" s="121"/>
      <c r="Y27" s="121"/>
      <c r="Z27" s="121"/>
      <c r="AA27" s="121"/>
      <c r="AB27" s="31"/>
      <c r="AC27" s="121"/>
      <c r="AD27" s="121"/>
      <c r="AE27" s="121"/>
      <c r="AF27" s="121"/>
      <c r="AG27" s="121"/>
      <c r="AH27" s="31"/>
      <c r="AI27" s="121"/>
      <c r="AJ27" s="121"/>
      <c r="AK27" s="121"/>
      <c r="AL27" s="121"/>
      <c r="AM27" s="121"/>
      <c r="AN27" s="31"/>
      <c r="AO27" s="121"/>
      <c r="AP27" s="121"/>
      <c r="AQ27" s="121"/>
      <c r="AR27" s="121"/>
      <c r="AS27" s="121"/>
      <c r="AT27" s="31"/>
      <c r="AU27" s="121"/>
      <c r="AV27" s="121"/>
      <c r="AW27" s="121"/>
      <c r="AX27" s="121"/>
      <c r="AY27" s="121"/>
      <c r="AZ27" s="121"/>
      <c r="BA27" s="121"/>
      <c r="BB27" s="31"/>
      <c r="BC27" s="121"/>
      <c r="BD27" s="121"/>
      <c r="BE27" s="121"/>
      <c r="BF27" s="121"/>
      <c r="BG27" s="121"/>
      <c r="BH27" s="31"/>
      <c r="BI27" s="121"/>
      <c r="BJ27" s="121"/>
      <c r="BK27" s="121"/>
      <c r="BL27" s="121"/>
      <c r="BM27" s="121"/>
      <c r="BN27" s="31"/>
      <c r="BO27" s="121"/>
      <c r="BP27" s="121"/>
      <c r="BQ27" s="121"/>
      <c r="BR27" s="121"/>
    </row>
    <row r="28" spans="1:83" ht="6.75" customHeight="1" x14ac:dyDescent="0.25">
      <c r="A28" s="34"/>
      <c r="B28" s="35"/>
      <c r="C28" s="31"/>
      <c r="D28" s="32"/>
      <c r="E28" s="33"/>
      <c r="F28" s="34"/>
      <c r="G28" s="34"/>
      <c r="H28" s="35"/>
      <c r="I28" s="31"/>
      <c r="J28" s="32"/>
      <c r="K28" s="33"/>
      <c r="L28" s="34"/>
      <c r="M28" s="34"/>
      <c r="N28" s="35"/>
      <c r="O28" s="31"/>
      <c r="P28" s="32"/>
      <c r="Q28" s="33"/>
      <c r="R28" s="34"/>
      <c r="S28" s="34"/>
      <c r="T28" s="35"/>
      <c r="U28" s="31"/>
      <c r="V28" s="32"/>
      <c r="W28" s="33"/>
      <c r="X28" s="34"/>
      <c r="Y28" s="34"/>
      <c r="Z28" s="35"/>
      <c r="AA28" s="31"/>
      <c r="AB28" s="32"/>
      <c r="AC28" s="33"/>
      <c r="AD28" s="34"/>
      <c r="AE28" s="34"/>
      <c r="AF28" s="35"/>
      <c r="AG28" s="31"/>
      <c r="AH28" s="32"/>
      <c r="AI28" s="33"/>
      <c r="AJ28" s="34"/>
      <c r="AK28" s="34"/>
      <c r="AL28" s="35"/>
      <c r="AM28" s="31"/>
      <c r="AN28" s="32"/>
      <c r="AO28" s="33"/>
      <c r="AP28" s="34"/>
      <c r="AQ28" s="34"/>
      <c r="AR28" s="35"/>
      <c r="AS28" s="31"/>
      <c r="AT28" s="32"/>
      <c r="AU28" s="33"/>
      <c r="AV28" s="34"/>
      <c r="AW28" s="34"/>
      <c r="AX28" s="35"/>
      <c r="AY28" s="34"/>
      <c r="AZ28" s="35"/>
      <c r="BA28" s="31"/>
      <c r="BB28" s="32"/>
      <c r="BC28" s="33"/>
      <c r="BD28" s="34"/>
      <c r="BE28" s="34"/>
      <c r="BF28" s="35"/>
      <c r="BG28" s="31"/>
      <c r="BH28" s="32"/>
      <c r="BI28" s="33"/>
      <c r="BJ28" s="34"/>
      <c r="BK28" s="34"/>
      <c r="BL28" s="35"/>
      <c r="BM28" s="31"/>
      <c r="BN28" s="32"/>
      <c r="BO28" s="33"/>
      <c r="BP28" s="34"/>
      <c r="BQ28" s="34"/>
      <c r="BR28" s="35"/>
    </row>
    <row r="29" spans="1:83" ht="21.95" customHeight="1" x14ac:dyDescent="0.25">
      <c r="A29" s="34"/>
      <c r="B29" s="35"/>
      <c r="C29" s="31"/>
      <c r="D29" s="32"/>
      <c r="E29" s="33"/>
      <c r="F29" s="34"/>
      <c r="G29" s="34"/>
      <c r="H29" s="35"/>
      <c r="I29" s="31"/>
      <c r="J29" s="32"/>
      <c r="K29" s="33"/>
      <c r="L29" s="34"/>
      <c r="M29" s="34"/>
      <c r="N29" s="35"/>
      <c r="O29" s="31"/>
      <c r="P29" s="32"/>
      <c r="Q29" s="33"/>
      <c r="R29" s="34"/>
      <c r="S29" s="34"/>
      <c r="T29" s="35"/>
      <c r="U29" s="31"/>
      <c r="V29" s="32"/>
      <c r="W29" s="33"/>
      <c r="X29" s="34"/>
      <c r="Y29" s="34"/>
      <c r="Z29" s="35"/>
      <c r="AA29" s="31"/>
      <c r="AB29" s="32"/>
      <c r="AC29" s="33"/>
      <c r="AD29" s="34"/>
      <c r="AE29" s="34"/>
      <c r="AF29" s="35"/>
      <c r="AG29" s="31"/>
      <c r="AH29" s="32"/>
      <c r="AI29" s="33"/>
      <c r="AJ29" s="34"/>
      <c r="AK29" s="34"/>
      <c r="AL29" s="35"/>
      <c r="AM29" s="31"/>
      <c r="AN29" s="32"/>
      <c r="AO29" s="33"/>
      <c r="AP29" s="34"/>
      <c r="AQ29" s="34"/>
      <c r="AR29" s="35"/>
      <c r="AS29" s="31"/>
      <c r="AT29" s="32"/>
      <c r="AU29" s="33"/>
      <c r="AV29" s="34"/>
      <c r="AW29" s="34"/>
      <c r="AX29" s="35"/>
      <c r="AY29" s="34"/>
      <c r="AZ29" s="35"/>
      <c r="BA29" s="31"/>
      <c r="BB29" s="32"/>
      <c r="BC29" s="33"/>
      <c r="BD29" s="34"/>
      <c r="BE29" s="34"/>
      <c r="BF29" s="35"/>
      <c r="BG29" s="31"/>
      <c r="BH29" s="32"/>
      <c r="BI29" s="33"/>
      <c r="BJ29" s="34"/>
      <c r="BK29" s="34"/>
      <c r="BL29" s="35"/>
      <c r="BM29" s="31"/>
      <c r="BN29" s="32"/>
      <c r="BO29" s="33"/>
      <c r="BP29" s="34"/>
      <c r="BQ29" s="34"/>
      <c r="BR29" s="35"/>
    </row>
    <row r="30" spans="1:83" ht="6" customHeight="1" x14ac:dyDescent="0.25">
      <c r="A30" s="121"/>
      <c r="B30" s="121"/>
      <c r="C30" s="121"/>
      <c r="D30" s="31"/>
      <c r="E30" s="121"/>
      <c r="F30" s="121"/>
      <c r="G30" s="121"/>
      <c r="H30" s="121"/>
      <c r="I30" s="121"/>
      <c r="J30" s="31"/>
      <c r="K30" s="121"/>
      <c r="L30" s="121"/>
      <c r="M30" s="121"/>
      <c r="N30" s="121"/>
      <c r="O30" s="121"/>
      <c r="P30" s="31"/>
      <c r="Q30" s="121"/>
      <c r="R30" s="121"/>
      <c r="S30" s="121"/>
      <c r="T30" s="121"/>
      <c r="U30" s="121"/>
      <c r="V30" s="31"/>
      <c r="W30" s="121"/>
      <c r="X30" s="121"/>
      <c r="Y30" s="121"/>
      <c r="Z30" s="121"/>
      <c r="AA30" s="121"/>
      <c r="AB30" s="31"/>
      <c r="AC30" s="121"/>
      <c r="AD30" s="121"/>
      <c r="AE30" s="121"/>
      <c r="AF30" s="121"/>
      <c r="AG30" s="121"/>
      <c r="AH30" s="31"/>
      <c r="AI30" s="121"/>
      <c r="AJ30" s="121"/>
      <c r="AK30" s="121"/>
      <c r="AL30" s="121"/>
      <c r="AM30" s="121"/>
      <c r="AN30" s="31"/>
      <c r="AO30" s="121"/>
      <c r="AP30" s="121"/>
      <c r="AQ30" s="121"/>
      <c r="AR30" s="121"/>
      <c r="AS30" s="121"/>
      <c r="AT30" s="31"/>
      <c r="AU30" s="121"/>
      <c r="AV30" s="121"/>
      <c r="AW30" s="121"/>
      <c r="AX30" s="121"/>
      <c r="AY30" s="121"/>
      <c r="AZ30" s="121"/>
      <c r="BA30" s="121"/>
      <c r="BB30" s="31"/>
      <c r="BC30" s="121"/>
      <c r="BD30" s="121"/>
      <c r="BE30" s="121"/>
      <c r="BF30" s="121"/>
      <c r="BG30" s="121"/>
      <c r="BH30" s="31"/>
      <c r="BI30" s="121"/>
      <c r="BJ30" s="121"/>
      <c r="BK30" s="121"/>
      <c r="BL30" s="121"/>
      <c r="BM30" s="121"/>
      <c r="BN30" s="31"/>
      <c r="BO30" s="121"/>
      <c r="BP30" s="121"/>
      <c r="BQ30" s="121"/>
      <c r="BR30" s="121"/>
    </row>
    <row r="31" spans="1:83" s="22" customFormat="1" ht="80.099999999999994" customHeight="1" x14ac:dyDescent="1.35">
      <c r="A31" s="34"/>
      <c r="B31" s="35"/>
      <c r="C31" s="31"/>
      <c r="D31" s="32"/>
      <c r="E31" s="33"/>
      <c r="F31" s="34"/>
      <c r="G31" s="34"/>
      <c r="H31" s="35"/>
      <c r="I31" s="31"/>
      <c r="J31" s="1797"/>
      <c r="K31" s="1797"/>
      <c r="L31" s="1797"/>
      <c r="M31" s="1797"/>
      <c r="N31" s="35"/>
      <c r="O31" s="31"/>
      <c r="P31" s="32"/>
      <c r="Q31" s="33"/>
      <c r="R31" s="34"/>
      <c r="S31" s="34"/>
      <c r="T31" s="35"/>
      <c r="U31" s="31"/>
      <c r="V31" s="32"/>
      <c r="W31" s="33"/>
      <c r="X31" s="34"/>
      <c r="Y31" s="34"/>
      <c r="Z31" s="35"/>
      <c r="AA31" s="31"/>
      <c r="AB31" s="32"/>
      <c r="AC31" s="33"/>
      <c r="AD31" s="34"/>
      <c r="AE31" s="34"/>
      <c r="AF31" s="35"/>
      <c r="AG31" s="31"/>
      <c r="AH31" s="32"/>
      <c r="AI31" s="33"/>
      <c r="AJ31" s="34"/>
      <c r="AK31" s="34"/>
      <c r="AL31" s="35"/>
      <c r="AM31" s="31"/>
      <c r="AN31" s="32"/>
      <c r="AO31" s="33"/>
      <c r="AP31" s="34"/>
      <c r="AQ31" s="34"/>
      <c r="AR31" s="35"/>
      <c r="AS31" s="31"/>
      <c r="AT31" s="32"/>
      <c r="AU31" s="33"/>
      <c r="AV31" s="34"/>
      <c r="AW31" s="34"/>
      <c r="AX31" s="35"/>
      <c r="AY31" s="34"/>
      <c r="AZ31" s="35"/>
      <c r="BA31" s="31"/>
      <c r="BB31" s="32"/>
      <c r="BC31" s="33"/>
      <c r="BD31" s="34"/>
      <c r="BE31" s="34"/>
      <c r="BF31" s="35"/>
      <c r="BG31" s="31"/>
      <c r="BH31" s="32"/>
      <c r="BI31" s="33"/>
      <c r="BJ31" s="34"/>
      <c r="BK31" s="34"/>
      <c r="BL31" s="35"/>
      <c r="BM31" s="31"/>
      <c r="BN31" s="32"/>
      <c r="BO31" s="33"/>
      <c r="BP31" s="34"/>
      <c r="BQ31" s="34"/>
      <c r="BR31" s="35"/>
    </row>
    <row r="32" spans="1:83" ht="26.25" customHeight="1" x14ac:dyDescent="0.25">
      <c r="A32" s="34"/>
      <c r="B32" s="35"/>
      <c r="C32" s="31"/>
      <c r="D32" s="32"/>
      <c r="E32" s="33"/>
      <c r="F32" s="34"/>
      <c r="G32" s="34"/>
      <c r="H32" s="35"/>
      <c r="I32" s="31"/>
      <c r="J32" s="1923" cm="1">
        <f t="array" aca="1" ref="J32" ca="1">SUM(COUNTIF(INDIRECT({"B7","G7","L7","Q7","V7","AA7","AF7","AK7","AP7","AU7","AZ7","BE7","BJ7","BO7","B13","G13","L13","Q13","V13","AA13","AF13","AK13","AP13","AU13","AZ13","BE13","BJ13","BO13","B19","G19","L19","Q19","V19","AA19","AF19","AK19","AP19","AU19","AZ19","BE19","BJ19","BO19","B25","G25","L25","Q25","V25","AA25","AF25"}),"&gt;0"))</f>
        <v>49</v>
      </c>
      <c r="K32" s="1923"/>
      <c r="L32" s="1923"/>
      <c r="M32" s="1923"/>
      <c r="N32" s="35"/>
      <c r="O32" s="31"/>
      <c r="P32" s="32"/>
      <c r="Q32" s="33"/>
      <c r="R32" s="34"/>
      <c r="S32" s="34"/>
      <c r="T32" s="35"/>
      <c r="U32" s="33"/>
      <c r="V32" s="34"/>
      <c r="W32" s="34"/>
      <c r="X32" s="33"/>
      <c r="Y32" s="717" cm="1">
        <f t="array" aca="1" ref="Y32" ca="1">SUM(COUNTIF(INDIRECT({"B8","G8","L8","Q8","V8","AA8","AF8","AK8","AP8","AU8","AZ8","BE8","BJ8","BO8","B14","G14","L14","Q14","V14","AA14","AF14","AK14","AP14","AU14","AZ14","BE14","BJ14","BO14","B20","G20","L20","Q20","V20","AA20","AF20","AK20","AP20","AU20","AZ20","BE20","BJ20","BO20","B26","G26","L26","Q26","V26","AA26","AF26"}),"&gt;0"))</f>
        <v>49</v>
      </c>
      <c r="Z32" s="717"/>
      <c r="AA32" s="717"/>
      <c r="AB32" s="717"/>
      <c r="AC32" s="34"/>
      <c r="AD32" s="33"/>
      <c r="AE32" s="34"/>
      <c r="AF32" s="34"/>
      <c r="AG32" s="33"/>
      <c r="AH32" s="34"/>
      <c r="AI32" s="34"/>
      <c r="AJ32" s="33"/>
      <c r="AK32" s="34"/>
      <c r="AL32" s="34"/>
      <c r="AM32" s="33"/>
      <c r="AN32" s="34"/>
      <c r="AO32" s="34"/>
      <c r="AP32" s="2047">
        <v>47</v>
      </c>
      <c r="AQ32" s="2047"/>
      <c r="AR32" s="2047"/>
      <c r="AS32" s="2047"/>
      <c r="AT32" s="34"/>
      <c r="AU32" s="34"/>
      <c r="AV32" s="33"/>
      <c r="AW32" s="34"/>
      <c r="AX32" s="34"/>
      <c r="AY32" s="33"/>
      <c r="AZ32" s="34"/>
      <c r="BA32" s="34"/>
      <c r="BB32" s="33"/>
      <c r="BC32" s="34"/>
      <c r="BD32" s="34"/>
      <c r="BE32" s="33"/>
      <c r="BF32" s="717">
        <v>47</v>
      </c>
      <c r="BG32" s="717"/>
      <c r="BH32" s="717"/>
      <c r="BI32" s="717"/>
      <c r="BJ32" s="717"/>
      <c r="BK32" s="33"/>
      <c r="BL32" s="34"/>
      <c r="BM32" s="34"/>
      <c r="BN32" s="33"/>
      <c r="BO32" s="34"/>
      <c r="BP32" s="34"/>
      <c r="BQ32" s="33"/>
      <c r="BR32" s="34"/>
      <c r="BW32" s="27"/>
      <c r="BX32" s="27"/>
      <c r="BY32" s="27"/>
      <c r="BZ32" s="27"/>
      <c r="CA32" s="27"/>
      <c r="CB32" s="27"/>
      <c r="CC32" s="27"/>
      <c r="CD32" s="27"/>
      <c r="CE32" s="27"/>
    </row>
    <row r="33" spans="1:83" ht="26.1" customHeight="1" x14ac:dyDescent="0.25">
      <c r="A33" s="30"/>
      <c r="B33" s="29"/>
      <c r="C33" s="28"/>
      <c r="D33" s="28"/>
      <c r="E33" s="28"/>
      <c r="F33" s="30"/>
      <c r="G33" s="29"/>
      <c r="H33" s="28"/>
      <c r="I33" s="28"/>
      <c r="J33" s="1923"/>
      <c r="K33" s="1923"/>
      <c r="L33" s="1923"/>
      <c r="M33" s="1923"/>
      <c r="N33" s="28"/>
      <c r="O33" s="28"/>
      <c r="P33" s="30"/>
      <c r="Q33" s="29"/>
      <c r="R33" s="28"/>
      <c r="S33" s="28"/>
      <c r="T33" s="28"/>
      <c r="U33" s="29"/>
      <c r="V33" s="28"/>
      <c r="W33" s="28"/>
      <c r="X33" s="29"/>
      <c r="Y33" s="717"/>
      <c r="Z33" s="717"/>
      <c r="AA33" s="717"/>
      <c r="AB33" s="717"/>
      <c r="AC33" s="28"/>
      <c r="AD33" s="29"/>
      <c r="AE33" s="28"/>
      <c r="AF33" s="28"/>
      <c r="AG33" s="29"/>
      <c r="AH33" s="28"/>
      <c r="AI33" s="28"/>
      <c r="AJ33" s="29"/>
      <c r="AK33" s="28"/>
      <c r="AL33" s="28"/>
      <c r="AM33" s="29"/>
      <c r="AN33" s="28"/>
      <c r="AO33" s="28"/>
      <c r="AP33" s="2047"/>
      <c r="AQ33" s="2047"/>
      <c r="AR33" s="2047"/>
      <c r="AS33" s="2047"/>
      <c r="AT33" s="28"/>
      <c r="AU33" s="28"/>
      <c r="AV33" s="29"/>
      <c r="AW33" s="28"/>
      <c r="AX33" s="28"/>
      <c r="AY33" s="29"/>
      <c r="AZ33" s="28"/>
      <c r="BA33" s="28"/>
      <c r="BB33" s="29"/>
      <c r="BC33" s="28"/>
      <c r="BD33" s="28"/>
      <c r="BE33" s="29"/>
      <c r="BF33" s="717"/>
      <c r="BG33" s="717"/>
      <c r="BH33" s="717"/>
      <c r="BI33" s="717"/>
      <c r="BJ33" s="717"/>
      <c r="BK33" s="29"/>
      <c r="BL33" s="28"/>
      <c r="BM33" s="28"/>
      <c r="BN33" s="29"/>
      <c r="BO33" s="28"/>
      <c r="BP33" s="28"/>
      <c r="BQ33" s="29"/>
      <c r="BR33" s="28"/>
    </row>
    <row r="34" spans="1:83" ht="6.75" customHeight="1" x14ac:dyDescent="0.25">
      <c r="A34" s="29"/>
      <c r="B34" s="29"/>
      <c r="C34" s="28"/>
      <c r="D34" s="28"/>
      <c r="E34" s="28"/>
      <c r="F34" s="29"/>
      <c r="G34" s="29"/>
      <c r="H34" s="28"/>
      <c r="I34" s="28"/>
      <c r="J34" s="1923"/>
      <c r="K34" s="1923"/>
      <c r="L34" s="1923"/>
      <c r="M34" s="1923"/>
      <c r="N34" s="28"/>
      <c r="O34" s="28"/>
      <c r="P34" s="29"/>
      <c r="Q34" s="29"/>
      <c r="R34" s="28"/>
      <c r="S34" s="28"/>
      <c r="T34" s="28"/>
      <c r="U34" s="28"/>
      <c r="V34" s="29"/>
      <c r="W34" s="29"/>
      <c r="X34" s="28"/>
      <c r="Y34" s="717"/>
      <c r="Z34" s="717"/>
      <c r="AA34" s="717"/>
      <c r="AB34" s="717"/>
      <c r="AC34" s="28"/>
      <c r="AD34" s="28"/>
      <c r="AE34" s="28"/>
      <c r="AF34" s="29"/>
      <c r="AG34" s="29"/>
      <c r="AH34" s="28"/>
      <c r="AI34" s="28"/>
      <c r="AJ34" s="28"/>
      <c r="AK34" s="29"/>
      <c r="AL34" s="29"/>
      <c r="AM34" s="28"/>
      <c r="AN34" s="28"/>
      <c r="AO34" s="28"/>
      <c r="AP34" s="2047"/>
      <c r="AQ34" s="2047"/>
      <c r="AR34" s="2047"/>
      <c r="AS34" s="2047"/>
      <c r="AT34" s="28"/>
      <c r="AU34" s="29"/>
      <c r="AV34" s="29"/>
      <c r="AW34" s="28"/>
      <c r="AX34" s="28"/>
      <c r="AY34" s="28"/>
      <c r="AZ34" s="29"/>
      <c r="BA34" s="29"/>
      <c r="BB34" s="28"/>
      <c r="BC34" s="28"/>
      <c r="BD34" s="28"/>
      <c r="BE34" s="28"/>
      <c r="BF34" s="717"/>
      <c r="BG34" s="717"/>
      <c r="BH34" s="717"/>
      <c r="BI34" s="717"/>
      <c r="BJ34" s="717"/>
      <c r="BK34" s="29"/>
      <c r="BL34" s="29"/>
      <c r="BM34" s="28"/>
      <c r="BN34" s="28"/>
      <c r="BO34" s="28"/>
      <c r="BP34" s="29"/>
      <c r="BQ34" s="29"/>
      <c r="BR34" s="28"/>
    </row>
    <row r="35" spans="1:83" ht="21.95" customHeight="1" x14ac:dyDescent="0.25">
      <c r="A35" s="121"/>
      <c r="B35" s="121"/>
      <c r="C35" s="31"/>
      <c r="D35" s="121"/>
      <c r="E35" s="121"/>
      <c r="F35" s="121"/>
      <c r="G35" s="121"/>
      <c r="H35" s="31"/>
      <c r="I35" s="121"/>
      <c r="J35" s="1923"/>
      <c r="K35" s="1923"/>
      <c r="L35" s="1923"/>
      <c r="M35" s="1923"/>
      <c r="N35" s="121"/>
      <c r="O35" s="121"/>
      <c r="P35" s="121"/>
      <c r="Q35" s="121"/>
      <c r="R35" s="31"/>
      <c r="S35" s="121"/>
      <c r="T35" s="121"/>
      <c r="U35" s="28"/>
      <c r="V35" s="30"/>
      <c r="W35" s="29"/>
      <c r="X35" s="28"/>
      <c r="Y35" s="717"/>
      <c r="Z35" s="717"/>
      <c r="AA35" s="717"/>
      <c r="AB35" s="717"/>
      <c r="AC35" s="28"/>
      <c r="AD35" s="28"/>
      <c r="AE35" s="28"/>
      <c r="AF35" s="30"/>
      <c r="AG35" s="29"/>
      <c r="AH35" s="28"/>
      <c r="AI35" s="28"/>
      <c r="AJ35" s="28"/>
      <c r="AK35" s="30"/>
      <c r="AL35" s="29"/>
      <c r="AM35" s="28"/>
      <c r="AN35" s="28"/>
      <c r="AO35" s="28"/>
      <c r="AP35" s="2047"/>
      <c r="AQ35" s="2047"/>
      <c r="AR35" s="2047"/>
      <c r="AS35" s="2047"/>
      <c r="AT35" s="28"/>
      <c r="AU35" s="30"/>
      <c r="AV35" s="29"/>
      <c r="AW35" s="28"/>
      <c r="AX35" s="28"/>
      <c r="AY35" s="28"/>
      <c r="AZ35" s="30"/>
      <c r="BA35" s="29"/>
      <c r="BB35" s="28"/>
      <c r="BC35" s="28"/>
      <c r="BD35" s="28"/>
      <c r="BE35" s="28"/>
      <c r="BF35" s="717"/>
      <c r="BG35" s="717"/>
      <c r="BH35" s="717"/>
      <c r="BI35" s="717"/>
      <c r="BJ35" s="717"/>
      <c r="BK35" s="30"/>
      <c r="BL35" s="29"/>
      <c r="BM35" s="28"/>
      <c r="BN35" s="28"/>
      <c r="BO35" s="28"/>
      <c r="BP35" s="30"/>
      <c r="BQ35" s="29"/>
      <c r="BR35" s="28"/>
    </row>
    <row r="36" spans="1:83" ht="6" customHeight="1" x14ac:dyDescent="0.25">
      <c r="A36" s="35"/>
      <c r="B36" s="31"/>
      <c r="C36" s="32"/>
      <c r="D36" s="33"/>
      <c r="E36" s="34"/>
      <c r="F36" s="35"/>
      <c r="G36" s="31"/>
      <c r="H36" s="32"/>
      <c r="I36" s="33"/>
      <c r="J36" s="34"/>
      <c r="K36" s="35"/>
      <c r="L36" s="31"/>
      <c r="M36" s="32"/>
      <c r="N36" s="33"/>
      <c r="O36" s="34"/>
      <c r="P36" s="35"/>
      <c r="Q36" s="31"/>
      <c r="R36" s="32"/>
      <c r="S36" s="33"/>
      <c r="T36" s="34"/>
      <c r="U36" s="28"/>
      <c r="V36" s="697" t="s">
        <v>116</v>
      </c>
      <c r="W36" s="697"/>
      <c r="X36" s="697"/>
      <c r="Y36" s="697"/>
      <c r="Z36" s="697"/>
      <c r="AA36" s="697"/>
      <c r="AB36" s="697"/>
      <c r="AC36" s="697"/>
      <c r="AD36" s="697"/>
      <c r="AE36" s="697"/>
      <c r="AF36" s="697"/>
      <c r="AG36" s="697"/>
      <c r="AH36" s="697" t="s">
        <v>117</v>
      </c>
      <c r="AI36" s="697"/>
      <c r="AJ36" s="697"/>
      <c r="AK36" s="697"/>
      <c r="AL36" s="697"/>
      <c r="AM36" s="697"/>
      <c r="AN36" s="697"/>
      <c r="AO36" s="697"/>
      <c r="AP36" s="697"/>
      <c r="AQ36" s="697"/>
      <c r="AR36" s="697"/>
      <c r="AS36" s="698" t="s">
        <v>118</v>
      </c>
      <c r="AT36" s="698"/>
      <c r="AU36" s="698"/>
      <c r="AV36" s="698"/>
      <c r="AW36" s="698"/>
      <c r="AX36" s="698"/>
      <c r="AY36" s="698"/>
      <c r="AZ36" s="698"/>
      <c r="BA36" s="698"/>
      <c r="BB36" s="698"/>
      <c r="BC36" s="698"/>
      <c r="BD36" s="698"/>
      <c r="BE36" s="699" t="s">
        <v>119</v>
      </c>
      <c r="BF36" s="699"/>
      <c r="BG36" s="699"/>
      <c r="BH36" s="699"/>
      <c r="BI36" s="699"/>
      <c r="BJ36" s="2049">
        <f>D8+I8+N8+S8+X8+AC8+AH8+AM8+AR8+AW8+BB8+BG8+BL8+D14+I14+N14+S14+X14+AC14+AH14+AM14+AR14+AW14+BB14+BG14+BL14+D20+I20+N20+S20+X20+AC20+AH20+AM20+AR20+AW20+BQ8+BQ14+BB20+BG20+BL20+BQ20+D26+I26+N26+S26+X26+AC26+AH26</f>
        <v>550</v>
      </c>
      <c r="BK36" s="2049"/>
      <c r="BL36" s="2049"/>
      <c r="BM36" s="2049"/>
      <c r="BN36" s="701" t="s">
        <v>120</v>
      </c>
      <c r="BO36" s="701"/>
      <c r="BP36" s="701"/>
      <c r="BQ36" s="29"/>
      <c r="BR36" s="28"/>
    </row>
    <row r="37" spans="1:83" s="22" customFormat="1" ht="80.099999999999994" customHeight="1" x14ac:dyDescent="1.35">
      <c r="A37" s="35"/>
      <c r="B37" s="31"/>
      <c r="C37" s="32"/>
      <c r="D37" s="33"/>
      <c r="E37" s="34"/>
      <c r="F37" s="35"/>
      <c r="G37" s="31"/>
      <c r="H37" s="32"/>
      <c r="I37" s="33"/>
      <c r="J37" s="34"/>
      <c r="K37" s="35"/>
      <c r="L37" s="31"/>
      <c r="M37" s="32"/>
      <c r="N37" s="33"/>
      <c r="O37" s="34"/>
      <c r="P37" s="35"/>
      <c r="Q37" s="31"/>
      <c r="R37" s="32"/>
      <c r="S37" s="33"/>
      <c r="T37" s="34"/>
      <c r="U37" s="121"/>
      <c r="V37" s="697"/>
      <c r="W37" s="697"/>
      <c r="X37" s="697"/>
      <c r="Y37" s="697"/>
      <c r="Z37" s="697"/>
      <c r="AA37" s="697"/>
      <c r="AB37" s="697"/>
      <c r="AC37" s="697"/>
      <c r="AD37" s="697"/>
      <c r="AE37" s="697"/>
      <c r="AF37" s="697"/>
      <c r="AG37" s="697"/>
      <c r="AH37" s="697"/>
      <c r="AI37" s="697"/>
      <c r="AJ37" s="697"/>
      <c r="AK37" s="697"/>
      <c r="AL37" s="697"/>
      <c r="AM37" s="697"/>
      <c r="AN37" s="697"/>
      <c r="AO37" s="697"/>
      <c r="AP37" s="697"/>
      <c r="AQ37" s="697"/>
      <c r="AR37" s="697"/>
      <c r="AS37" s="698"/>
      <c r="AT37" s="698"/>
      <c r="AU37" s="698"/>
      <c r="AV37" s="698"/>
      <c r="AW37" s="698"/>
      <c r="AX37" s="698"/>
      <c r="AY37" s="698"/>
      <c r="AZ37" s="698"/>
      <c r="BA37" s="698"/>
      <c r="BB37" s="698"/>
      <c r="BC37" s="698"/>
      <c r="BD37" s="698"/>
      <c r="BE37" s="699"/>
      <c r="BF37" s="699"/>
      <c r="BG37" s="699"/>
      <c r="BH37" s="699"/>
      <c r="BI37" s="699"/>
      <c r="BJ37" s="2049"/>
      <c r="BK37" s="2049"/>
      <c r="BL37" s="2049"/>
      <c r="BM37" s="2049"/>
      <c r="BN37" s="701"/>
      <c r="BO37" s="701"/>
      <c r="BP37" s="701"/>
      <c r="BQ37" s="121"/>
      <c r="BR37" s="31"/>
    </row>
    <row r="38" spans="1:83" ht="26.25" customHeight="1" x14ac:dyDescent="0.25">
      <c r="A38" s="34"/>
      <c r="B38" s="35"/>
      <c r="C38" s="31"/>
      <c r="D38" s="32"/>
      <c r="E38" s="33"/>
      <c r="F38" s="34"/>
      <c r="G38" s="34"/>
      <c r="H38" s="35"/>
      <c r="I38" s="31"/>
      <c r="J38" s="32"/>
      <c r="K38" s="33"/>
      <c r="L38" s="34"/>
      <c r="M38" s="34"/>
      <c r="N38" s="35"/>
      <c r="O38" s="31"/>
      <c r="P38" s="32"/>
      <c r="Q38" s="33"/>
      <c r="R38" s="34"/>
      <c r="S38" s="34"/>
      <c r="T38" s="35"/>
      <c r="U38" s="31"/>
      <c r="V38" s="697"/>
      <c r="W38" s="697"/>
      <c r="X38" s="697"/>
      <c r="Y38" s="697"/>
      <c r="Z38" s="697"/>
      <c r="AA38" s="697"/>
      <c r="AB38" s="697"/>
      <c r="AC38" s="697"/>
      <c r="AD38" s="697"/>
      <c r="AE38" s="697"/>
      <c r="AF38" s="697"/>
      <c r="AG38" s="697"/>
      <c r="AH38" s="697"/>
      <c r="AI38" s="697"/>
      <c r="AJ38" s="697"/>
      <c r="AK38" s="697"/>
      <c r="AL38" s="697"/>
      <c r="AM38" s="697"/>
      <c r="AN38" s="697"/>
      <c r="AO38" s="697"/>
      <c r="AP38" s="697"/>
      <c r="AQ38" s="697"/>
      <c r="AR38" s="697"/>
      <c r="AS38" s="698"/>
      <c r="AT38" s="698"/>
      <c r="AU38" s="698"/>
      <c r="AV38" s="698"/>
      <c r="AW38" s="698"/>
      <c r="AX38" s="698"/>
      <c r="AY38" s="698"/>
      <c r="AZ38" s="698"/>
      <c r="BA38" s="698"/>
      <c r="BB38" s="698"/>
      <c r="BC38" s="698"/>
      <c r="BD38" s="698"/>
      <c r="BE38" s="699"/>
      <c r="BF38" s="699"/>
      <c r="BG38" s="699"/>
      <c r="BH38" s="699"/>
      <c r="BI38" s="699"/>
      <c r="BJ38" s="2049"/>
      <c r="BK38" s="2049"/>
      <c r="BL38" s="2049"/>
      <c r="BM38" s="2049"/>
      <c r="BN38" s="701"/>
      <c r="BO38" s="701"/>
      <c r="BP38" s="701"/>
      <c r="BQ38" s="32"/>
      <c r="BR38" s="33"/>
      <c r="BW38" s="27"/>
      <c r="BX38" s="27"/>
      <c r="BY38" s="27"/>
      <c r="BZ38" s="27"/>
      <c r="CA38" s="27"/>
      <c r="CB38" s="27"/>
      <c r="CC38" s="27"/>
      <c r="CD38" s="27"/>
      <c r="CE38" s="27"/>
    </row>
    <row r="39" spans="1:83" ht="26.1" customHeight="1" x14ac:dyDescent="0.25">
      <c r="A39" s="34"/>
      <c r="B39" s="35"/>
      <c r="C39" s="31"/>
      <c r="D39" s="32"/>
      <c r="E39" s="33"/>
      <c r="F39" s="34"/>
      <c r="G39" s="34"/>
      <c r="H39" s="35"/>
      <c r="I39" s="31"/>
      <c r="J39" s="32"/>
      <c r="K39" s="33"/>
      <c r="L39" s="34"/>
      <c r="M39" s="34"/>
      <c r="N39" s="35"/>
      <c r="O39" s="31"/>
      <c r="P39" s="32"/>
      <c r="Q39" s="33"/>
      <c r="R39" s="34"/>
      <c r="S39" s="34"/>
      <c r="T39" s="35"/>
      <c r="U39" s="31"/>
      <c r="V39" s="697"/>
      <c r="W39" s="697"/>
      <c r="X39" s="697"/>
      <c r="Y39" s="697"/>
      <c r="Z39" s="697"/>
      <c r="AA39" s="697"/>
      <c r="AB39" s="697"/>
      <c r="AC39" s="697"/>
      <c r="AD39" s="697"/>
      <c r="AE39" s="697"/>
      <c r="AF39" s="697"/>
      <c r="AG39" s="697"/>
      <c r="AH39" s="697"/>
      <c r="AI39" s="697"/>
      <c r="AJ39" s="697"/>
      <c r="AK39" s="697"/>
      <c r="AL39" s="697"/>
      <c r="AM39" s="697"/>
      <c r="AN39" s="697"/>
      <c r="AO39" s="697"/>
      <c r="AP39" s="697"/>
      <c r="AQ39" s="697"/>
      <c r="AR39" s="697"/>
      <c r="AS39" s="698"/>
      <c r="AT39" s="698"/>
      <c r="AU39" s="698"/>
      <c r="AV39" s="698"/>
      <c r="AW39" s="698"/>
      <c r="AX39" s="698"/>
      <c r="AY39" s="698"/>
      <c r="AZ39" s="698"/>
      <c r="BA39" s="698"/>
      <c r="BB39" s="698"/>
      <c r="BC39" s="698"/>
      <c r="BD39" s="698"/>
      <c r="BE39" s="699"/>
      <c r="BF39" s="699"/>
      <c r="BG39" s="699"/>
      <c r="BH39" s="699"/>
      <c r="BI39" s="699"/>
      <c r="BJ39" s="2049"/>
      <c r="BK39" s="2049"/>
      <c r="BL39" s="2049"/>
      <c r="BM39" s="2049"/>
      <c r="BN39" s="701"/>
      <c r="BO39" s="701"/>
      <c r="BP39" s="701"/>
      <c r="BQ39" s="32"/>
      <c r="BR39" s="33"/>
    </row>
    <row r="40" spans="1:83" ht="6.75" customHeight="1" x14ac:dyDescent="0.25">
      <c r="A40" s="28"/>
      <c r="B40" s="28"/>
      <c r="C40" s="28"/>
      <c r="D40" s="29"/>
      <c r="E40" s="29"/>
      <c r="F40" s="28"/>
      <c r="G40" s="28"/>
      <c r="H40" s="28"/>
      <c r="I40" s="29"/>
      <c r="J40" s="29"/>
      <c r="K40" s="28"/>
      <c r="L40" s="28"/>
      <c r="M40" s="28"/>
      <c r="N40" s="29"/>
      <c r="O40" s="29"/>
      <c r="P40" s="28"/>
      <c r="Q40" s="28"/>
      <c r="R40" s="28"/>
      <c r="S40" s="29"/>
      <c r="T40" s="29"/>
      <c r="U40" s="28"/>
      <c r="V40" s="722" t="s">
        <v>13</v>
      </c>
      <c r="W40" s="722"/>
      <c r="X40" s="722"/>
      <c r="Y40" s="722"/>
      <c r="Z40" s="722"/>
      <c r="AA40" s="722"/>
      <c r="AB40" s="722"/>
      <c r="AC40" s="722"/>
      <c r="AD40" s="722"/>
      <c r="AE40" s="722"/>
      <c r="AF40" s="722"/>
      <c r="AG40" s="722"/>
      <c r="AH40" s="723">
        <f>AS40-AD76</f>
        <v>0</v>
      </c>
      <c r="AI40" s="723"/>
      <c r="AJ40" s="723"/>
      <c r="AK40" s="723"/>
      <c r="AL40" s="723"/>
      <c r="AM40" s="723"/>
      <c r="AN40" s="723"/>
      <c r="AO40" s="723"/>
      <c r="AP40" s="723"/>
      <c r="AQ40" s="723"/>
      <c r="AR40" s="723"/>
      <c r="AS40" s="707">
        <f>B8+G8+L8+Q8+V8+AA8+AF8+AK8+AP8+AU8+AZ8+BE8+BJ8+BO8+B14+G14+L14+Q14+V14+AA14+AF14+AK14+AP14+AU14+AZ14+BE14+BJ14+BO14+B20+G20+L20+Q20+V20+AA20+AF20+AK20+AP20+AU20+AZ20+BE20+BJ20+BO20+B26+G26+L26+Q26+V26+AA26+AF26</f>
        <v>739.53029999999978</v>
      </c>
      <c r="AT40" s="707"/>
      <c r="AU40" s="707"/>
      <c r="AV40" s="707"/>
      <c r="AW40" s="707"/>
      <c r="AX40" s="707"/>
      <c r="AY40" s="707"/>
      <c r="AZ40" s="707"/>
      <c r="BA40" s="707"/>
      <c r="BB40" s="707"/>
      <c r="BC40" s="707"/>
      <c r="BD40" s="707"/>
      <c r="BE40" s="699"/>
      <c r="BF40" s="699"/>
      <c r="BG40" s="699"/>
      <c r="BH40" s="699"/>
      <c r="BI40" s="699"/>
      <c r="BJ40" s="2049"/>
      <c r="BK40" s="2049"/>
      <c r="BL40" s="2049"/>
      <c r="BM40" s="2049"/>
      <c r="BN40" s="701"/>
      <c r="BO40" s="701"/>
      <c r="BP40" s="701"/>
      <c r="BQ40" s="29"/>
      <c r="BR40" s="29"/>
    </row>
    <row r="41" spans="1:83" ht="21.95" customHeight="1" x14ac:dyDescent="0.25">
      <c r="A41" s="28"/>
      <c r="B41" s="28"/>
      <c r="C41" s="28"/>
      <c r="D41" s="30"/>
      <c r="E41" s="29"/>
      <c r="F41" s="28"/>
      <c r="G41" s="28"/>
      <c r="H41" s="28"/>
      <c r="I41" s="30"/>
      <c r="J41" s="29"/>
      <c r="K41" s="28"/>
      <c r="L41" s="28"/>
      <c r="M41" s="28"/>
      <c r="N41" s="30"/>
      <c r="O41" s="29"/>
      <c r="P41" s="28"/>
      <c r="Q41" s="28"/>
      <c r="R41" s="28"/>
      <c r="S41" s="30"/>
      <c r="T41" s="29"/>
      <c r="U41" s="28"/>
      <c r="V41" s="722"/>
      <c r="W41" s="722"/>
      <c r="X41" s="722"/>
      <c r="Y41" s="722"/>
      <c r="Z41" s="722"/>
      <c r="AA41" s="722"/>
      <c r="AB41" s="722"/>
      <c r="AC41" s="722"/>
      <c r="AD41" s="722"/>
      <c r="AE41" s="722"/>
      <c r="AF41" s="722"/>
      <c r="AG41" s="722"/>
      <c r="AH41" s="723"/>
      <c r="AI41" s="723"/>
      <c r="AJ41" s="723"/>
      <c r="AK41" s="723"/>
      <c r="AL41" s="723"/>
      <c r="AM41" s="723"/>
      <c r="AN41" s="723"/>
      <c r="AO41" s="723"/>
      <c r="AP41" s="723"/>
      <c r="AQ41" s="723"/>
      <c r="AR41" s="723"/>
      <c r="AS41" s="707"/>
      <c r="AT41" s="707"/>
      <c r="AU41" s="707"/>
      <c r="AV41" s="707"/>
      <c r="AW41" s="707"/>
      <c r="AX41" s="707"/>
      <c r="AY41" s="707"/>
      <c r="AZ41" s="707"/>
      <c r="BA41" s="707"/>
      <c r="BB41" s="707"/>
      <c r="BC41" s="707"/>
      <c r="BD41" s="707"/>
      <c r="BE41" s="699"/>
      <c r="BF41" s="699"/>
      <c r="BG41" s="699"/>
      <c r="BH41" s="699"/>
      <c r="BI41" s="699"/>
      <c r="BJ41" s="2049"/>
      <c r="BK41" s="2049"/>
      <c r="BL41" s="2049"/>
      <c r="BM41" s="2049"/>
      <c r="BN41" s="701"/>
      <c r="BO41" s="701"/>
      <c r="BP41" s="701"/>
      <c r="BQ41" s="30"/>
      <c r="BR41" s="29"/>
    </row>
    <row r="42" spans="1:83" ht="6" customHeight="1" x14ac:dyDescent="0.25">
      <c r="A42" s="28"/>
      <c r="B42" s="28"/>
      <c r="C42" s="28"/>
      <c r="D42" s="29"/>
      <c r="E42" s="29"/>
      <c r="F42" s="28"/>
      <c r="G42" s="28"/>
      <c r="H42" s="28"/>
      <c r="I42" s="29"/>
      <c r="J42" s="29"/>
      <c r="K42" s="28"/>
      <c r="L42" s="28"/>
      <c r="M42" s="28"/>
      <c r="N42" s="29"/>
      <c r="O42" s="29"/>
      <c r="P42" s="28"/>
      <c r="Q42" s="28"/>
      <c r="R42" s="28"/>
      <c r="S42" s="29"/>
      <c r="T42" s="29"/>
      <c r="U42" s="28"/>
      <c r="V42" s="722"/>
      <c r="W42" s="722"/>
      <c r="X42" s="722"/>
      <c r="Y42" s="722"/>
      <c r="Z42" s="722"/>
      <c r="AA42" s="722"/>
      <c r="AB42" s="722"/>
      <c r="AC42" s="722"/>
      <c r="AD42" s="722"/>
      <c r="AE42" s="722"/>
      <c r="AF42" s="722"/>
      <c r="AG42" s="722"/>
      <c r="AH42" s="723"/>
      <c r="AI42" s="723"/>
      <c r="AJ42" s="723"/>
      <c r="AK42" s="723"/>
      <c r="AL42" s="723"/>
      <c r="AM42" s="723"/>
      <c r="AN42" s="723"/>
      <c r="AO42" s="723"/>
      <c r="AP42" s="723"/>
      <c r="AQ42" s="723"/>
      <c r="AR42" s="723"/>
      <c r="AS42" s="707"/>
      <c r="AT42" s="707"/>
      <c r="AU42" s="707"/>
      <c r="AV42" s="707"/>
      <c r="AW42" s="707"/>
      <c r="AX42" s="707"/>
      <c r="AY42" s="707"/>
      <c r="AZ42" s="707"/>
      <c r="BA42" s="707"/>
      <c r="BB42" s="707"/>
      <c r="BC42" s="707"/>
      <c r="BD42" s="707"/>
      <c r="BE42" s="699"/>
      <c r="BF42" s="699"/>
      <c r="BG42" s="699"/>
      <c r="BH42" s="699"/>
      <c r="BI42" s="699"/>
      <c r="BJ42" s="708">
        <f>(((144)*1.5))+((X14+AC14+AH14+AM14+AR14+AW14+BB14+BG14+BL14+BQ14+D20+I20+N20+S20+X20+AC20+AH20+AM20+AR20+AW20+BB20+BG20+BL20+BQ20+D26+I26+N26+S26+X26)*0.9)</f>
        <v>568.79999999999995</v>
      </c>
      <c r="BK42" s="708"/>
      <c r="BL42" s="708"/>
      <c r="BM42" s="708"/>
      <c r="BN42" s="708"/>
      <c r="BO42" s="708"/>
      <c r="BP42" s="708"/>
      <c r="BQ42" s="29"/>
      <c r="BR42" s="29"/>
    </row>
    <row r="43" spans="1:83" s="22" customFormat="1" ht="80.099999999999994" customHeight="1" x14ac:dyDescent="1.35">
      <c r="A43" s="31"/>
      <c r="B43" s="121"/>
      <c r="C43" s="121"/>
      <c r="D43" s="121"/>
      <c r="E43" s="121"/>
      <c r="F43" s="702"/>
      <c r="G43" s="702"/>
      <c r="H43" s="121"/>
      <c r="I43" s="121"/>
      <c r="J43" s="121"/>
      <c r="K43" s="31"/>
      <c r="L43" s="121"/>
      <c r="M43" s="121"/>
      <c r="N43" s="121"/>
      <c r="O43" s="121"/>
      <c r="P43" s="31"/>
      <c r="Q43" s="121"/>
      <c r="R43" s="121"/>
      <c r="S43" s="121"/>
      <c r="T43" s="121"/>
      <c r="U43" s="31"/>
      <c r="V43" s="722"/>
      <c r="W43" s="722"/>
      <c r="X43" s="722"/>
      <c r="Y43" s="722"/>
      <c r="Z43" s="722"/>
      <c r="AA43" s="722"/>
      <c r="AB43" s="722"/>
      <c r="AC43" s="722"/>
      <c r="AD43" s="722"/>
      <c r="AE43" s="722"/>
      <c r="AF43" s="722"/>
      <c r="AG43" s="722"/>
      <c r="AH43" s="723"/>
      <c r="AI43" s="723"/>
      <c r="AJ43" s="723"/>
      <c r="AK43" s="723"/>
      <c r="AL43" s="723"/>
      <c r="AM43" s="723"/>
      <c r="AN43" s="723"/>
      <c r="AO43" s="723"/>
      <c r="AP43" s="723"/>
      <c r="AQ43" s="723"/>
      <c r="AR43" s="723"/>
      <c r="AS43" s="707"/>
      <c r="AT43" s="707"/>
      <c r="AU43" s="707"/>
      <c r="AV43" s="707"/>
      <c r="AW43" s="707"/>
      <c r="AX43" s="707"/>
      <c r="AY43" s="707"/>
      <c r="AZ43" s="707"/>
      <c r="BA43" s="707"/>
      <c r="BB43" s="707"/>
      <c r="BC43" s="707"/>
      <c r="BD43" s="707"/>
      <c r="BE43" s="699"/>
      <c r="BF43" s="699"/>
      <c r="BG43" s="699"/>
      <c r="BH43" s="699"/>
      <c r="BI43" s="699"/>
      <c r="BJ43" s="708"/>
      <c r="BK43" s="708"/>
      <c r="BL43" s="708"/>
      <c r="BM43" s="708"/>
      <c r="BN43" s="708"/>
      <c r="BO43" s="708"/>
      <c r="BP43" s="708"/>
      <c r="BQ43" s="121"/>
      <c r="BR43" s="121"/>
    </row>
    <row r="44" spans="1:83" ht="26.25" customHeight="1" x14ac:dyDescent="0.25">
      <c r="A44" s="34"/>
      <c r="B44" s="35"/>
      <c r="C44" s="31"/>
      <c r="D44" s="32"/>
      <c r="E44" s="33"/>
      <c r="F44" s="703"/>
      <c r="G44" s="703"/>
      <c r="H44" s="31"/>
      <c r="I44" s="32"/>
      <c r="J44" s="33"/>
      <c r="K44" s="34"/>
      <c r="L44" s="35"/>
      <c r="M44" s="31"/>
      <c r="N44" s="32"/>
      <c r="O44" s="33"/>
      <c r="P44" s="34"/>
      <c r="Q44" s="35"/>
      <c r="R44" s="31"/>
      <c r="S44" s="32"/>
      <c r="T44" s="33"/>
      <c r="U44" s="34"/>
      <c r="V44" s="722"/>
      <c r="W44" s="722"/>
      <c r="X44" s="722"/>
      <c r="Y44" s="722"/>
      <c r="Z44" s="722"/>
      <c r="AA44" s="722"/>
      <c r="AB44" s="722"/>
      <c r="AC44" s="722"/>
      <c r="AD44" s="722"/>
      <c r="AE44" s="722"/>
      <c r="AF44" s="722"/>
      <c r="AG44" s="722"/>
      <c r="AH44" s="723"/>
      <c r="AI44" s="723"/>
      <c r="AJ44" s="723"/>
      <c r="AK44" s="723"/>
      <c r="AL44" s="723"/>
      <c r="AM44" s="723"/>
      <c r="AN44" s="723"/>
      <c r="AO44" s="723"/>
      <c r="AP44" s="723"/>
      <c r="AQ44" s="723"/>
      <c r="AR44" s="723"/>
      <c r="AS44" s="707"/>
      <c r="AT44" s="707"/>
      <c r="AU44" s="707"/>
      <c r="AV44" s="707"/>
      <c r="AW44" s="707"/>
      <c r="AX44" s="707"/>
      <c r="AY44" s="707"/>
      <c r="AZ44" s="707"/>
      <c r="BA44" s="707"/>
      <c r="BB44" s="707"/>
      <c r="BC44" s="707"/>
      <c r="BD44" s="707"/>
      <c r="BE44" s="699"/>
      <c r="BF44" s="699"/>
      <c r="BG44" s="699"/>
      <c r="BH44" s="699"/>
      <c r="BI44" s="699"/>
      <c r="BJ44" s="708"/>
      <c r="BK44" s="708"/>
      <c r="BL44" s="708"/>
      <c r="BM44" s="708"/>
      <c r="BN44" s="708"/>
      <c r="BO44" s="708"/>
      <c r="BP44" s="708"/>
      <c r="BQ44" s="31"/>
      <c r="BR44" s="32"/>
      <c r="BW44" s="27"/>
      <c r="BX44" s="27"/>
      <c r="BY44" s="27"/>
      <c r="BZ44" s="27"/>
      <c r="CA44" s="27"/>
      <c r="CB44" s="27"/>
      <c r="CC44" s="27"/>
      <c r="CD44" s="27"/>
      <c r="CE44" s="27"/>
    </row>
    <row r="45" spans="1:83" ht="26.1" customHeight="1" x14ac:dyDescent="0.25">
      <c r="A45" s="34"/>
      <c r="B45" s="35"/>
      <c r="C45" s="31"/>
      <c r="D45" s="32"/>
      <c r="E45" s="33"/>
      <c r="F45" s="703"/>
      <c r="G45" s="703"/>
      <c r="H45" s="31"/>
      <c r="I45" s="32"/>
      <c r="J45" s="33"/>
      <c r="K45" s="34"/>
      <c r="L45" s="35"/>
      <c r="M45" s="31"/>
      <c r="N45" s="32"/>
      <c r="O45" s="33"/>
      <c r="P45" s="34"/>
      <c r="Q45" s="35"/>
      <c r="R45" s="31"/>
      <c r="S45" s="32"/>
      <c r="T45" s="33"/>
      <c r="U45" s="34"/>
      <c r="V45" s="722"/>
      <c r="W45" s="722"/>
      <c r="X45" s="722"/>
      <c r="Y45" s="722"/>
      <c r="Z45" s="722"/>
      <c r="AA45" s="722"/>
      <c r="AB45" s="722"/>
      <c r="AC45" s="722"/>
      <c r="AD45" s="722"/>
      <c r="AE45" s="722"/>
      <c r="AF45" s="722"/>
      <c r="AG45" s="722"/>
      <c r="AH45" s="723"/>
      <c r="AI45" s="723"/>
      <c r="AJ45" s="723"/>
      <c r="AK45" s="723"/>
      <c r="AL45" s="723"/>
      <c r="AM45" s="723"/>
      <c r="AN45" s="723"/>
      <c r="AO45" s="723"/>
      <c r="AP45" s="723"/>
      <c r="AQ45" s="723"/>
      <c r="AR45" s="723"/>
      <c r="AS45" s="707"/>
      <c r="AT45" s="707"/>
      <c r="AU45" s="707"/>
      <c r="AV45" s="707"/>
      <c r="AW45" s="707"/>
      <c r="AX45" s="707"/>
      <c r="AY45" s="707"/>
      <c r="AZ45" s="707"/>
      <c r="BA45" s="707"/>
      <c r="BB45" s="707"/>
      <c r="BC45" s="707"/>
      <c r="BD45" s="707"/>
      <c r="BE45" s="699"/>
      <c r="BF45" s="699"/>
      <c r="BG45" s="699"/>
      <c r="BH45" s="699"/>
      <c r="BI45" s="699"/>
      <c r="BJ45" s="708"/>
      <c r="BK45" s="708"/>
      <c r="BL45" s="708"/>
      <c r="BM45" s="708"/>
      <c r="BN45" s="708"/>
      <c r="BO45" s="708"/>
      <c r="BP45" s="708"/>
      <c r="BQ45" s="31"/>
      <c r="BR45" s="32"/>
    </row>
    <row r="46" spans="1:83" ht="6.75" customHeight="1" x14ac:dyDescent="0.25">
      <c r="A46" s="28"/>
      <c r="B46" s="28"/>
      <c r="C46" s="28"/>
      <c r="D46" s="29"/>
      <c r="E46" s="29"/>
      <c r="F46" s="703"/>
      <c r="G46" s="703"/>
      <c r="H46" s="28"/>
      <c r="I46" s="29"/>
      <c r="J46" s="29"/>
      <c r="K46" s="28"/>
      <c r="L46" s="28"/>
      <c r="M46" s="28"/>
      <c r="N46" s="29"/>
      <c r="O46" s="29"/>
      <c r="P46" s="28"/>
      <c r="Q46" s="28"/>
      <c r="R46" s="28"/>
      <c r="S46" s="29"/>
      <c r="T46" s="29"/>
      <c r="U46" s="28"/>
      <c r="V46" s="722"/>
      <c r="W46" s="722"/>
      <c r="X46" s="722"/>
      <c r="Y46" s="722"/>
      <c r="Z46" s="722"/>
      <c r="AA46" s="722"/>
      <c r="AB46" s="722"/>
      <c r="AC46" s="722"/>
      <c r="AD46" s="722"/>
      <c r="AE46" s="722"/>
      <c r="AF46" s="722"/>
      <c r="AG46" s="722"/>
      <c r="AH46" s="723"/>
      <c r="AI46" s="723"/>
      <c r="AJ46" s="723"/>
      <c r="AK46" s="723"/>
      <c r="AL46" s="723"/>
      <c r="AM46" s="723"/>
      <c r="AN46" s="723"/>
      <c r="AO46" s="723"/>
      <c r="AP46" s="723"/>
      <c r="AQ46" s="723"/>
      <c r="AR46" s="723"/>
      <c r="AS46" s="707"/>
      <c r="AT46" s="707"/>
      <c r="AU46" s="707"/>
      <c r="AV46" s="707"/>
      <c r="AW46" s="707"/>
      <c r="AX46" s="707"/>
      <c r="AY46" s="707"/>
      <c r="AZ46" s="707"/>
      <c r="BA46" s="707"/>
      <c r="BB46" s="707"/>
      <c r="BC46" s="707"/>
      <c r="BD46" s="707"/>
      <c r="BE46" s="699"/>
      <c r="BF46" s="699"/>
      <c r="BG46" s="699"/>
      <c r="BH46" s="699"/>
      <c r="BI46" s="699"/>
      <c r="BJ46" s="699" t="s">
        <v>121</v>
      </c>
      <c r="BK46" s="699"/>
      <c r="BL46" s="699"/>
      <c r="BM46" s="699"/>
      <c r="BN46" s="699"/>
      <c r="BO46" s="699"/>
      <c r="BP46" s="699"/>
      <c r="BQ46" s="31"/>
      <c r="BR46" s="32"/>
    </row>
    <row r="47" spans="1:83" ht="21.95" customHeight="1" x14ac:dyDescent="0.25">
      <c r="A47" s="28"/>
      <c r="B47" s="28"/>
      <c r="C47" s="28"/>
      <c r="D47" s="30"/>
      <c r="E47" s="29"/>
      <c r="F47" s="703"/>
      <c r="G47" s="703"/>
      <c r="H47" s="28"/>
      <c r="I47" s="30"/>
      <c r="J47" s="29"/>
      <c r="K47" s="28"/>
      <c r="L47" s="28"/>
      <c r="M47" s="28"/>
      <c r="N47" s="30"/>
      <c r="O47" s="29"/>
      <c r="P47" s="28"/>
      <c r="Q47" s="28"/>
      <c r="R47" s="28"/>
      <c r="S47" s="30"/>
      <c r="T47" s="29"/>
      <c r="U47" s="28"/>
      <c r="V47" s="722"/>
      <c r="W47" s="722"/>
      <c r="X47" s="722"/>
      <c r="Y47" s="722"/>
      <c r="Z47" s="722"/>
      <c r="AA47" s="722"/>
      <c r="AB47" s="722"/>
      <c r="AC47" s="722"/>
      <c r="AD47" s="722"/>
      <c r="AE47" s="722"/>
      <c r="AF47" s="722"/>
      <c r="AG47" s="722"/>
      <c r="AH47" s="723"/>
      <c r="AI47" s="723"/>
      <c r="AJ47" s="723"/>
      <c r="AK47" s="723"/>
      <c r="AL47" s="723"/>
      <c r="AM47" s="723"/>
      <c r="AN47" s="723"/>
      <c r="AO47" s="723"/>
      <c r="AP47" s="723"/>
      <c r="AQ47" s="723"/>
      <c r="AR47" s="723"/>
      <c r="AS47" s="707"/>
      <c r="AT47" s="707"/>
      <c r="AU47" s="707"/>
      <c r="AV47" s="707"/>
      <c r="AW47" s="707"/>
      <c r="AX47" s="707"/>
      <c r="AY47" s="707"/>
      <c r="AZ47" s="707"/>
      <c r="BA47" s="707"/>
      <c r="BB47" s="707"/>
      <c r="BC47" s="707"/>
      <c r="BD47" s="707"/>
      <c r="BE47" s="699"/>
      <c r="BF47" s="699"/>
      <c r="BG47" s="699"/>
      <c r="BH47" s="699"/>
      <c r="BI47" s="699"/>
      <c r="BJ47" s="699"/>
      <c r="BK47" s="699"/>
      <c r="BL47" s="699"/>
      <c r="BM47" s="699"/>
      <c r="BN47" s="699"/>
      <c r="BO47" s="699"/>
      <c r="BP47" s="699"/>
      <c r="BQ47" s="30"/>
      <c r="BR47" s="29"/>
    </row>
    <row r="48" spans="1:83" ht="6" customHeight="1" x14ac:dyDescent="0.25">
      <c r="A48" s="28"/>
      <c r="B48" s="28"/>
      <c r="C48" s="28"/>
      <c r="D48" s="29"/>
      <c r="E48" s="29"/>
      <c r="F48" s="28"/>
      <c r="G48" s="28"/>
      <c r="H48" s="28"/>
      <c r="I48" s="29"/>
      <c r="J48" s="29"/>
      <c r="K48" s="28"/>
      <c r="L48" s="28"/>
      <c r="M48" s="28"/>
      <c r="N48" s="29"/>
      <c r="O48" s="29"/>
      <c r="P48" s="28"/>
      <c r="Q48" s="28"/>
      <c r="R48" s="28"/>
      <c r="S48" s="29"/>
      <c r="T48" s="29"/>
      <c r="U48" s="28"/>
      <c r="V48" s="28"/>
      <c r="W48" s="28"/>
      <c r="X48" s="29"/>
      <c r="Y48" s="29"/>
      <c r="Z48" s="28"/>
      <c r="AA48" s="28"/>
      <c r="AB48" s="28"/>
      <c r="AC48" s="29"/>
      <c r="AD48" s="29"/>
      <c r="AE48" s="28"/>
      <c r="AF48" s="28"/>
      <c r="AG48" s="28"/>
      <c r="AH48" s="29"/>
      <c r="AI48" s="29"/>
      <c r="AJ48" s="28"/>
      <c r="AK48" s="28"/>
      <c r="AL48" s="28"/>
      <c r="AM48" s="29"/>
      <c r="AN48" s="29"/>
      <c r="AO48" s="28"/>
      <c r="AP48" s="28"/>
      <c r="AQ48" s="28"/>
      <c r="AR48" s="29"/>
      <c r="AS48" s="29"/>
      <c r="AT48" s="28"/>
      <c r="AU48" s="28"/>
      <c r="AV48" s="28"/>
      <c r="AW48" s="29"/>
      <c r="AX48" s="29"/>
      <c r="AY48" s="28"/>
      <c r="AZ48" s="28"/>
      <c r="BA48" s="28"/>
      <c r="BB48" s="29"/>
      <c r="BC48" s="29"/>
      <c r="BD48" s="28"/>
      <c r="BE48" s="28"/>
      <c r="BF48" s="28"/>
      <c r="BG48" s="29"/>
      <c r="BH48" s="29"/>
      <c r="BI48" s="28"/>
      <c r="BJ48" s="699"/>
      <c r="BK48" s="699"/>
      <c r="BL48" s="699"/>
      <c r="BM48" s="699"/>
      <c r="BN48" s="699"/>
      <c r="BO48" s="699"/>
      <c r="BP48" s="699"/>
      <c r="BQ48" s="29"/>
      <c r="BR48" s="29"/>
    </row>
    <row r="49" spans="1:83" s="22" customFormat="1" ht="80.099999999999994" customHeight="1" x14ac:dyDescent="1.35">
      <c r="A49" s="31"/>
      <c r="B49" s="121"/>
      <c r="C49" s="121"/>
      <c r="D49" s="121"/>
      <c r="E49" s="121"/>
      <c r="F49" s="31"/>
      <c r="G49" s="121"/>
      <c r="H49" s="121"/>
      <c r="I49" s="121"/>
      <c r="J49" s="121"/>
      <c r="K49" s="31"/>
      <c r="L49" s="121"/>
      <c r="M49" s="121"/>
      <c r="N49" s="121"/>
      <c r="O49" s="121"/>
      <c r="P49" s="31"/>
      <c r="Q49" s="121"/>
      <c r="R49" s="121"/>
      <c r="S49" s="121"/>
      <c r="T49" s="121"/>
      <c r="U49" s="31"/>
      <c r="V49" s="121"/>
      <c r="W49" s="121"/>
      <c r="X49" s="121"/>
      <c r="Y49" s="121"/>
      <c r="Z49" s="31"/>
      <c r="AA49" s="121"/>
      <c r="AB49" s="121"/>
      <c r="AC49" s="121"/>
      <c r="AD49" s="121"/>
      <c r="AE49" s="31"/>
      <c r="AF49" s="121"/>
      <c r="AG49" s="121"/>
      <c r="AH49" s="121"/>
      <c r="AI49" s="121"/>
      <c r="AJ49" s="31"/>
      <c r="AK49" s="121"/>
      <c r="AL49" s="121"/>
      <c r="AM49" s="121"/>
      <c r="AN49" s="121"/>
      <c r="AO49" s="31"/>
      <c r="AP49" s="121"/>
      <c r="AQ49" s="121"/>
      <c r="AR49" s="121"/>
      <c r="AS49" s="121"/>
      <c r="AT49" s="31"/>
      <c r="AU49" s="121"/>
      <c r="AV49" s="121"/>
      <c r="AW49" s="121"/>
      <c r="AX49" s="121"/>
      <c r="AY49" s="31"/>
      <c r="AZ49" s="121"/>
      <c r="BA49" s="121"/>
      <c r="BB49" s="121"/>
      <c r="BC49" s="121"/>
      <c r="BD49" s="31"/>
      <c r="BE49" s="121"/>
      <c r="BF49" s="121"/>
      <c r="BG49" s="121"/>
      <c r="BH49" s="121"/>
      <c r="BI49" s="31"/>
      <c r="BJ49" s="121"/>
      <c r="BK49" s="121"/>
      <c r="BL49" s="121"/>
      <c r="BM49" s="121"/>
      <c r="BN49" s="31"/>
      <c r="BO49" s="121"/>
      <c r="BP49" s="121"/>
      <c r="BQ49" s="121"/>
      <c r="BR49" s="121"/>
    </row>
    <row r="50" spans="1:83" ht="25.5" customHeight="1" x14ac:dyDescent="0.25">
      <c r="A50" s="31"/>
      <c r="B50" s="32"/>
      <c r="C50" s="33"/>
      <c r="D50" s="34"/>
      <c r="E50" s="35"/>
      <c r="F50" s="31"/>
      <c r="G50" s="32"/>
      <c r="H50" s="33"/>
      <c r="I50" s="34"/>
      <c r="J50" s="35"/>
      <c r="K50" s="31"/>
      <c r="L50" s="32"/>
      <c r="M50" s="33"/>
      <c r="N50" s="34"/>
      <c r="O50" s="35"/>
      <c r="P50" s="31"/>
      <c r="Q50" s="32"/>
      <c r="R50" s="33"/>
      <c r="S50" s="34"/>
      <c r="T50" s="35"/>
      <c r="U50" s="31"/>
      <c r="V50" s="32"/>
      <c r="W50" s="33"/>
      <c r="X50" s="34"/>
      <c r="Y50" s="35"/>
      <c r="Z50" s="31"/>
      <c r="AA50" s="32"/>
      <c r="AB50" s="33"/>
      <c r="AC50" s="34"/>
      <c r="AD50" s="35"/>
      <c r="AE50" s="31"/>
      <c r="AF50" s="32"/>
      <c r="AG50" s="33"/>
      <c r="AH50" s="34"/>
      <c r="AI50" s="35"/>
      <c r="AJ50" s="31"/>
      <c r="AK50" s="32"/>
      <c r="AL50" s="33"/>
      <c r="AM50" s="34"/>
      <c r="AN50" s="35"/>
      <c r="AO50" s="31"/>
      <c r="AP50" s="32"/>
      <c r="AQ50" s="33"/>
      <c r="AR50" s="34"/>
      <c r="AS50" s="35"/>
      <c r="AT50" s="31"/>
      <c r="AU50" s="32"/>
      <c r="AV50" s="33"/>
      <c r="AW50" s="34"/>
      <c r="AX50" s="35"/>
      <c r="AY50" s="31"/>
      <c r="AZ50" s="32"/>
      <c r="BA50" s="33"/>
      <c r="BB50" s="34"/>
      <c r="BC50" s="35"/>
      <c r="BD50" s="31"/>
      <c r="BE50" s="32"/>
      <c r="BF50" s="33"/>
      <c r="BG50" s="34"/>
      <c r="BH50" s="35"/>
      <c r="BI50" s="31"/>
      <c r="BJ50" s="32"/>
      <c r="BK50" s="33"/>
      <c r="BL50" s="34"/>
      <c r="BM50" s="35"/>
      <c r="BN50" s="31"/>
      <c r="BO50" s="32"/>
      <c r="BP50" s="33"/>
      <c r="BQ50" s="34"/>
      <c r="BR50" s="35"/>
      <c r="BW50" s="27"/>
      <c r="BX50" s="27"/>
      <c r="BY50" s="27"/>
      <c r="BZ50" s="27"/>
      <c r="CA50" s="27"/>
      <c r="CB50" s="27"/>
      <c r="CC50" s="27"/>
      <c r="CD50" s="27"/>
      <c r="CE50" s="27"/>
    </row>
    <row r="51" spans="1:83" ht="26.1" hidden="1" customHeight="1" thickTop="1" x14ac:dyDescent="0.25">
      <c r="A51" s="672"/>
      <c r="B51" s="672"/>
      <c r="C51" s="672"/>
      <c r="D51" s="673"/>
      <c r="E51" s="673"/>
      <c r="F51" s="672"/>
      <c r="G51" s="672"/>
      <c r="H51" s="672"/>
      <c r="I51" s="673"/>
      <c r="J51" s="673"/>
      <c r="K51" s="672"/>
      <c r="L51" s="672"/>
      <c r="M51" s="672"/>
      <c r="N51" s="673"/>
      <c r="O51" s="673"/>
      <c r="P51" s="672"/>
      <c r="Q51" s="672"/>
      <c r="R51" s="672"/>
      <c r="S51" s="673"/>
      <c r="T51" s="673"/>
      <c r="U51" s="674"/>
      <c r="V51" s="674"/>
      <c r="W51" s="674"/>
      <c r="X51" s="675"/>
      <c r="Y51" s="675"/>
      <c r="Z51" s="44"/>
      <c r="AA51" s="44"/>
      <c r="AB51" s="44"/>
      <c r="AC51" s="69"/>
      <c r="AD51" s="69"/>
      <c r="AE51" s="44"/>
      <c r="AF51" s="44"/>
      <c r="AG51" s="44"/>
      <c r="AH51" s="69"/>
      <c r="AI51" s="69"/>
      <c r="AJ51" s="44"/>
      <c r="AK51" s="44"/>
      <c r="AL51" s="44"/>
      <c r="AM51" s="69"/>
      <c r="AN51" s="69"/>
      <c r="AO51" s="44"/>
      <c r="AP51" s="44"/>
      <c r="AQ51" s="44"/>
      <c r="AR51" s="69"/>
      <c r="AS51" s="69"/>
      <c r="AT51" s="44"/>
      <c r="AU51" s="44"/>
      <c r="AV51" s="44"/>
      <c r="AW51" s="69"/>
      <c r="AX51" s="69"/>
      <c r="AY51" s="44"/>
      <c r="AZ51" s="44"/>
      <c r="BA51" s="44"/>
      <c r="BB51" s="69"/>
      <c r="BC51" s="69"/>
      <c r="BD51" s="44"/>
      <c r="BE51" s="44"/>
      <c r="BF51" s="44"/>
      <c r="BG51" s="69"/>
      <c r="BH51" s="69"/>
      <c r="BI51" s="674"/>
      <c r="BJ51" s="674"/>
      <c r="BK51" s="674"/>
      <c r="BL51" s="675"/>
      <c r="BM51" s="675"/>
      <c r="BN51" s="674"/>
      <c r="BO51" s="674"/>
      <c r="BP51" s="674"/>
      <c r="BQ51" s="675"/>
      <c r="BR51" s="675"/>
    </row>
    <row r="52" spans="1:83" ht="6.75" hidden="1" customHeight="1" x14ac:dyDescent="0.25">
      <c r="A52" s="676"/>
      <c r="B52" s="676"/>
      <c r="C52" s="676"/>
      <c r="D52" s="29"/>
      <c r="E52" s="29"/>
      <c r="F52" s="676"/>
      <c r="G52" s="676"/>
      <c r="H52" s="676"/>
      <c r="I52" s="29"/>
      <c r="J52" s="29"/>
      <c r="K52" s="676"/>
      <c r="L52" s="676"/>
      <c r="M52" s="676"/>
      <c r="N52" s="29"/>
      <c r="O52" s="29"/>
      <c r="P52" s="676"/>
      <c r="Q52" s="676"/>
      <c r="R52" s="676"/>
      <c r="S52" s="29"/>
      <c r="T52" s="29"/>
      <c r="U52" s="676"/>
      <c r="V52" s="676"/>
      <c r="W52" s="676"/>
      <c r="X52" s="29"/>
      <c r="Y52" s="29"/>
      <c r="Z52" s="47"/>
      <c r="AA52" s="47"/>
      <c r="AB52" s="47"/>
      <c r="AC52" s="29"/>
      <c r="AD52" s="29"/>
      <c r="AE52" s="47"/>
      <c r="AF52" s="47"/>
      <c r="AG52" s="47"/>
      <c r="AH52" s="29"/>
      <c r="AI52" s="29"/>
      <c r="AJ52" s="47"/>
      <c r="AK52" s="47"/>
      <c r="AL52" s="47"/>
      <c r="AM52" s="29"/>
      <c r="AN52" s="29"/>
      <c r="AO52" s="47"/>
      <c r="AP52" s="47"/>
      <c r="AQ52" s="47"/>
      <c r="AR52" s="29"/>
      <c r="AS52" s="29"/>
      <c r="AT52" s="47"/>
      <c r="AU52" s="47"/>
      <c r="AV52" s="47"/>
      <c r="AW52" s="29"/>
      <c r="AX52" s="29"/>
      <c r="AY52" s="47"/>
      <c r="AZ52" s="47"/>
      <c r="BA52" s="47"/>
      <c r="BB52" s="29"/>
      <c r="BC52" s="29"/>
      <c r="BD52" s="47"/>
      <c r="BE52" s="47"/>
      <c r="BF52" s="47"/>
      <c r="BG52" s="29"/>
      <c r="BH52" s="29"/>
      <c r="BI52" s="676"/>
      <c r="BJ52" s="676"/>
      <c r="BK52" s="676"/>
      <c r="BL52" s="29"/>
      <c r="BM52" s="29"/>
      <c r="BN52" s="676"/>
      <c r="BO52" s="676"/>
      <c r="BP52" s="676"/>
      <c r="BQ52" s="29"/>
      <c r="BR52" s="29"/>
    </row>
    <row r="53" spans="1:83" ht="21.95" hidden="1" customHeight="1" x14ac:dyDescent="0.25">
      <c r="A53" s="676"/>
      <c r="B53" s="676"/>
      <c r="C53" s="676"/>
      <c r="D53" s="30"/>
      <c r="E53" s="29"/>
      <c r="F53" s="676"/>
      <c r="G53" s="676"/>
      <c r="H53" s="676"/>
      <c r="I53" s="30"/>
      <c r="J53" s="29"/>
      <c r="K53" s="676"/>
      <c r="L53" s="676"/>
      <c r="M53" s="676"/>
      <c r="N53" s="30"/>
      <c r="O53" s="29"/>
      <c r="P53" s="676"/>
      <c r="Q53" s="676"/>
      <c r="R53" s="676"/>
      <c r="S53" s="30"/>
      <c r="T53" s="29"/>
      <c r="U53" s="676"/>
      <c r="V53" s="676"/>
      <c r="W53" s="676"/>
      <c r="X53" s="30"/>
      <c r="Y53" s="29"/>
      <c r="Z53" s="47"/>
      <c r="AA53" s="47"/>
      <c r="AB53" s="47"/>
      <c r="AC53" s="30"/>
      <c r="AD53" s="29"/>
      <c r="AE53" s="47"/>
      <c r="AF53" s="47"/>
      <c r="AG53" s="47"/>
      <c r="AH53" s="30"/>
      <c r="AI53" s="29"/>
      <c r="AJ53" s="47"/>
      <c r="AK53" s="47"/>
      <c r="AL53" s="47"/>
      <c r="AM53" s="30"/>
      <c r="AN53" s="29"/>
      <c r="AO53" s="47"/>
      <c r="AP53" s="47"/>
      <c r="AQ53" s="47"/>
      <c r="AR53" s="30"/>
      <c r="AS53" s="29"/>
      <c r="AT53" s="47"/>
      <c r="AU53" s="47"/>
      <c r="AV53" s="47"/>
      <c r="AW53" s="30"/>
      <c r="AX53" s="29"/>
      <c r="AY53" s="47"/>
      <c r="AZ53" s="47"/>
      <c r="BA53" s="47"/>
      <c r="BB53" s="30"/>
      <c r="BC53" s="29"/>
      <c r="BD53" s="47"/>
      <c r="BE53" s="47"/>
      <c r="BF53" s="47"/>
      <c r="BG53" s="30"/>
      <c r="BH53" s="29"/>
      <c r="BI53" s="676"/>
      <c r="BJ53" s="676"/>
      <c r="BK53" s="676"/>
      <c r="BL53" s="30"/>
      <c r="BM53" s="29"/>
      <c r="BN53" s="676"/>
      <c r="BO53" s="676"/>
      <c r="BP53" s="676"/>
      <c r="BQ53" s="30"/>
      <c r="BR53" s="29"/>
    </row>
    <row r="54" spans="1:83" ht="6" hidden="1" customHeight="1" x14ac:dyDescent="0.25">
      <c r="A54" s="676"/>
      <c r="B54" s="676"/>
      <c r="C54" s="676"/>
      <c r="D54" s="675"/>
      <c r="E54" s="675"/>
      <c r="F54" s="676"/>
      <c r="G54" s="676"/>
      <c r="H54" s="676"/>
      <c r="I54" s="675"/>
      <c r="J54" s="675"/>
      <c r="K54" s="676"/>
      <c r="L54" s="676"/>
      <c r="M54" s="676"/>
      <c r="N54" s="675"/>
      <c r="O54" s="675"/>
      <c r="P54" s="676"/>
      <c r="Q54" s="676"/>
      <c r="R54" s="676"/>
      <c r="S54" s="675"/>
      <c r="T54" s="675"/>
      <c r="U54" s="676"/>
      <c r="V54" s="676"/>
      <c r="W54" s="676"/>
      <c r="X54" s="675"/>
      <c r="Y54" s="675"/>
      <c r="Z54" s="47"/>
      <c r="AA54" s="47"/>
      <c r="AB54" s="47"/>
      <c r="AC54" s="69"/>
      <c r="AD54" s="69"/>
      <c r="AE54" s="47"/>
      <c r="AF54" s="47"/>
      <c r="AG54" s="47"/>
      <c r="AH54" s="69"/>
      <c r="AI54" s="69"/>
      <c r="AJ54" s="47"/>
      <c r="AK54" s="47"/>
      <c r="AL54" s="47"/>
      <c r="AM54" s="69"/>
      <c r="AN54" s="69"/>
      <c r="AO54" s="47"/>
      <c r="AP54" s="47"/>
      <c r="AQ54" s="47"/>
      <c r="AR54" s="69"/>
      <c r="AS54" s="69"/>
      <c r="AT54" s="47"/>
      <c r="AU54" s="47"/>
      <c r="AV54" s="47"/>
      <c r="AW54" s="69"/>
      <c r="AX54" s="69"/>
      <c r="AY54" s="47"/>
      <c r="AZ54" s="47"/>
      <c r="BA54" s="47"/>
      <c r="BB54" s="69"/>
      <c r="BC54" s="69"/>
      <c r="BD54" s="47"/>
      <c r="BE54" s="47"/>
      <c r="BF54" s="47"/>
      <c r="BG54" s="69"/>
      <c r="BH54" s="69"/>
      <c r="BI54" s="676"/>
      <c r="BJ54" s="676"/>
      <c r="BK54" s="676"/>
      <c r="BL54" s="675"/>
      <c r="BM54" s="675"/>
      <c r="BN54" s="676"/>
      <c r="BO54" s="676"/>
      <c r="BP54" s="676"/>
      <c r="BQ54" s="675"/>
      <c r="BR54" s="675"/>
    </row>
    <row r="55" spans="1:83" ht="59.25" hidden="1" customHeight="1" thickBot="1" x14ac:dyDescent="0.3">
      <c r="A55" s="677"/>
      <c r="B55" s="678"/>
      <c r="C55" s="678"/>
      <c r="D55" s="678"/>
      <c r="E55" s="678"/>
      <c r="F55" s="677"/>
      <c r="G55" s="678"/>
      <c r="H55" s="678"/>
      <c r="I55" s="678"/>
      <c r="J55" s="678"/>
      <c r="K55" s="677"/>
      <c r="L55" s="678"/>
      <c r="M55" s="678"/>
      <c r="N55" s="678"/>
      <c r="O55" s="678"/>
      <c r="P55" s="677"/>
      <c r="Q55" s="678"/>
      <c r="R55" s="678"/>
      <c r="S55" s="678"/>
      <c r="T55" s="678"/>
      <c r="U55" s="677"/>
      <c r="V55" s="678"/>
      <c r="W55" s="678"/>
      <c r="X55" s="678"/>
      <c r="Y55" s="678"/>
      <c r="Z55" s="70"/>
      <c r="AA55" s="71"/>
      <c r="AB55" s="71"/>
      <c r="AC55" s="71"/>
      <c r="AD55" s="71"/>
      <c r="AE55" s="70"/>
      <c r="AF55" s="71"/>
      <c r="AG55" s="71"/>
      <c r="AH55" s="71"/>
      <c r="AI55" s="71"/>
      <c r="AJ55" s="70"/>
      <c r="AK55" s="71"/>
      <c r="AL55" s="71"/>
      <c r="AM55" s="71"/>
      <c r="AN55" s="71"/>
      <c r="AO55" s="70"/>
      <c r="AP55" s="71"/>
      <c r="AQ55" s="71"/>
      <c r="AR55" s="71"/>
      <c r="AS55" s="71"/>
      <c r="AT55" s="70"/>
      <c r="AU55" s="71"/>
      <c r="AV55" s="71"/>
      <c r="AW55" s="71"/>
      <c r="AX55" s="71"/>
      <c r="AY55" s="70"/>
      <c r="AZ55" s="71"/>
      <c r="BA55" s="71"/>
      <c r="BB55" s="71"/>
      <c r="BC55" s="71"/>
      <c r="BD55" s="70"/>
      <c r="BE55" s="71"/>
      <c r="BF55" s="71"/>
      <c r="BG55" s="71"/>
      <c r="BH55" s="71"/>
      <c r="BI55" s="677"/>
      <c r="BJ55" s="678"/>
      <c r="BK55" s="678"/>
      <c r="BL55" s="678"/>
      <c r="BM55" s="678"/>
      <c r="BN55" s="677"/>
      <c r="BO55" s="678"/>
      <c r="BP55" s="678"/>
      <c r="BQ55" s="678"/>
      <c r="BR55" s="678"/>
    </row>
    <row r="56" spans="1:83" ht="27" hidden="1" customHeight="1" thickBot="1" x14ac:dyDescent="0.3">
      <c r="A56" s="677"/>
      <c r="B56" s="32"/>
      <c r="C56" s="33"/>
      <c r="D56" s="34"/>
      <c r="E56" s="35"/>
      <c r="F56" s="677"/>
      <c r="G56" s="32"/>
      <c r="H56" s="33"/>
      <c r="I56" s="34"/>
      <c r="J56" s="35"/>
      <c r="K56" s="677"/>
      <c r="L56" s="32"/>
      <c r="M56" s="33"/>
      <c r="N56" s="34"/>
      <c r="O56" s="35"/>
      <c r="P56" s="677"/>
      <c r="Q56" s="32"/>
      <c r="R56" s="33"/>
      <c r="S56" s="34"/>
      <c r="T56" s="35"/>
      <c r="U56" s="677"/>
      <c r="V56" s="32"/>
      <c r="W56" s="33"/>
      <c r="X56" s="34"/>
      <c r="Y56" s="35"/>
      <c r="Z56" s="70"/>
      <c r="AA56" s="32"/>
      <c r="AB56" s="33"/>
      <c r="AC56" s="34"/>
      <c r="AD56" s="35"/>
      <c r="AE56" s="70"/>
      <c r="AF56" s="32"/>
      <c r="AG56" s="33"/>
      <c r="AH56" s="34"/>
      <c r="AI56" s="35"/>
      <c r="AJ56" s="70"/>
      <c r="AK56" s="32"/>
      <c r="AL56" s="33"/>
      <c r="AM56" s="34"/>
      <c r="AN56" s="35"/>
      <c r="AO56" s="70"/>
      <c r="AP56" s="32"/>
      <c r="AQ56" s="33"/>
      <c r="AR56" s="34"/>
      <c r="AS56" s="35"/>
      <c r="AT56" s="70"/>
      <c r="AU56" s="32"/>
      <c r="AV56" s="33"/>
      <c r="AW56" s="34"/>
      <c r="AX56" s="35"/>
      <c r="AY56" s="70"/>
      <c r="AZ56" s="32"/>
      <c r="BA56" s="33"/>
      <c r="BB56" s="34"/>
      <c r="BC56" s="35"/>
      <c r="BD56" s="70"/>
      <c r="BE56" s="32"/>
      <c r="BF56" s="33"/>
      <c r="BG56" s="34"/>
      <c r="BH56" s="35"/>
      <c r="BI56" s="677"/>
      <c r="BJ56" s="32"/>
      <c r="BK56" s="33"/>
      <c r="BL56" s="34"/>
      <c r="BM56" s="35"/>
      <c r="BN56" s="677"/>
      <c r="BO56" s="32"/>
      <c r="BP56" s="33"/>
      <c r="BQ56" s="34"/>
      <c r="BR56" s="35"/>
      <c r="BW56" s="27"/>
      <c r="BX56" s="27"/>
      <c r="BY56" s="27"/>
      <c r="BZ56" s="27"/>
      <c r="CA56" s="27"/>
      <c r="CB56" s="27"/>
      <c r="CC56" s="27"/>
      <c r="CD56" s="27"/>
      <c r="CE56" s="27"/>
    </row>
    <row r="57" spans="1:83" ht="26.1" hidden="1" customHeight="1" x14ac:dyDescent="0.25">
      <c r="A57" s="674"/>
      <c r="B57" s="674"/>
      <c r="C57" s="674"/>
      <c r="D57" s="675"/>
      <c r="E57" s="675"/>
      <c r="F57" s="674"/>
      <c r="G57" s="674"/>
      <c r="H57" s="674"/>
      <c r="I57" s="675"/>
      <c r="J57" s="675"/>
      <c r="K57" s="674"/>
      <c r="L57" s="674"/>
      <c r="M57" s="674"/>
      <c r="N57" s="675"/>
      <c r="O57" s="675"/>
      <c r="P57" s="674"/>
      <c r="Q57" s="674"/>
      <c r="R57" s="674"/>
      <c r="S57" s="675"/>
      <c r="T57" s="675"/>
      <c r="U57" s="674"/>
      <c r="V57" s="674"/>
      <c r="W57" s="674"/>
      <c r="X57" s="675"/>
      <c r="Y57" s="675"/>
      <c r="Z57" s="44"/>
      <c r="AA57" s="44"/>
      <c r="AB57" s="44"/>
      <c r="AC57" s="69"/>
      <c r="AD57" s="69"/>
      <c r="AE57" s="44"/>
      <c r="AF57" s="44"/>
      <c r="AG57" s="44"/>
      <c r="AH57" s="69"/>
      <c r="AI57" s="69"/>
      <c r="AJ57" s="44"/>
      <c r="AK57" s="44"/>
      <c r="AL57" s="44"/>
      <c r="AM57" s="69"/>
      <c r="AN57" s="69"/>
      <c r="AO57" s="44"/>
      <c r="AP57" s="44"/>
      <c r="AQ57" s="44"/>
      <c r="AR57" s="69"/>
      <c r="AS57" s="69"/>
      <c r="AT57" s="44"/>
      <c r="AU57" s="44"/>
      <c r="AV57" s="44"/>
      <c r="AW57" s="69"/>
      <c r="AX57" s="69"/>
      <c r="AY57" s="44"/>
      <c r="AZ57" s="44"/>
      <c r="BA57" s="44"/>
      <c r="BB57" s="69"/>
      <c r="BC57" s="69"/>
      <c r="BD57" s="44"/>
      <c r="BE57" s="44"/>
      <c r="BF57" s="44"/>
      <c r="BG57" s="69"/>
      <c r="BH57" s="69"/>
      <c r="BI57" s="674"/>
      <c r="BJ57" s="674"/>
      <c r="BK57" s="674"/>
      <c r="BL57" s="675"/>
      <c r="BM57" s="675"/>
      <c r="BN57" s="674"/>
      <c r="BO57" s="674"/>
      <c r="BP57" s="674"/>
      <c r="BQ57" s="675"/>
      <c r="BR57" s="675"/>
    </row>
    <row r="58" spans="1:83" ht="6.75" hidden="1" customHeight="1" x14ac:dyDescent="0.25">
      <c r="A58" s="676"/>
      <c r="B58" s="676"/>
      <c r="C58" s="676"/>
      <c r="D58" s="29"/>
      <c r="E58" s="29"/>
      <c r="F58" s="676"/>
      <c r="G58" s="676"/>
      <c r="H58" s="676"/>
      <c r="I58" s="29"/>
      <c r="J58" s="29"/>
      <c r="K58" s="676"/>
      <c r="L58" s="676"/>
      <c r="M58" s="676"/>
      <c r="N58" s="29"/>
      <c r="O58" s="29"/>
      <c r="P58" s="676"/>
      <c r="Q58" s="676"/>
      <c r="R58" s="676"/>
      <c r="S58" s="29"/>
      <c r="T58" s="29"/>
      <c r="U58" s="676"/>
      <c r="V58" s="676"/>
      <c r="W58" s="676"/>
      <c r="X58" s="29"/>
      <c r="Y58" s="29"/>
      <c r="Z58" s="47"/>
      <c r="AA58" s="47"/>
      <c r="AB58" s="47"/>
      <c r="AC58" s="29"/>
      <c r="AD58" s="29"/>
      <c r="AE58" s="47"/>
      <c r="AF58" s="47"/>
      <c r="AG58" s="47"/>
      <c r="AH58" s="29"/>
      <c r="AI58" s="29"/>
      <c r="AJ58" s="47"/>
      <c r="AK58" s="47"/>
      <c r="AL58" s="47"/>
      <c r="AM58" s="29"/>
      <c r="AN58" s="29"/>
      <c r="AO58" s="47"/>
      <c r="AP58" s="47"/>
      <c r="AQ58" s="47"/>
      <c r="AR58" s="29"/>
      <c r="AS58" s="29"/>
      <c r="AT58" s="47"/>
      <c r="AU58" s="47"/>
      <c r="AV58" s="47"/>
      <c r="AW58" s="29"/>
      <c r="AX58" s="29"/>
      <c r="AY58" s="47"/>
      <c r="AZ58" s="47"/>
      <c r="BA58" s="47"/>
      <c r="BB58" s="29"/>
      <c r="BC58" s="29"/>
      <c r="BD58" s="47"/>
      <c r="BE58" s="47"/>
      <c r="BF58" s="47"/>
      <c r="BG58" s="29"/>
      <c r="BH58" s="29"/>
      <c r="BI58" s="676"/>
      <c r="BJ58" s="676"/>
      <c r="BK58" s="676"/>
      <c r="BL58" s="29"/>
      <c r="BM58" s="29"/>
      <c r="BN58" s="676"/>
      <c r="BO58" s="676"/>
      <c r="BP58" s="676"/>
      <c r="BQ58" s="29"/>
      <c r="BR58" s="29"/>
    </row>
    <row r="59" spans="1:83" ht="21.95" hidden="1" customHeight="1" x14ac:dyDescent="0.25">
      <c r="A59" s="676"/>
      <c r="B59" s="676"/>
      <c r="C59" s="676"/>
      <c r="D59" s="30"/>
      <c r="E59" s="29"/>
      <c r="F59" s="676"/>
      <c r="G59" s="676"/>
      <c r="H59" s="676"/>
      <c r="I59" s="30"/>
      <c r="J59" s="29"/>
      <c r="K59" s="676"/>
      <c r="L59" s="676"/>
      <c r="M59" s="676"/>
      <c r="N59" s="30"/>
      <c r="O59" s="29"/>
      <c r="P59" s="676"/>
      <c r="Q59" s="676"/>
      <c r="R59" s="676"/>
      <c r="S59" s="30"/>
      <c r="T59" s="29"/>
      <c r="U59" s="676"/>
      <c r="V59" s="676"/>
      <c r="W59" s="676"/>
      <c r="X59" s="30"/>
      <c r="Y59" s="29"/>
      <c r="Z59" s="47"/>
      <c r="AA59" s="47"/>
      <c r="AB59" s="47"/>
      <c r="AC59" s="30"/>
      <c r="AD59" s="29"/>
      <c r="AE59" s="47"/>
      <c r="AF59" s="47"/>
      <c r="AG59" s="47"/>
      <c r="AH59" s="30"/>
      <c r="AI59" s="29"/>
      <c r="AJ59" s="47"/>
      <c r="AK59" s="47"/>
      <c r="AL59" s="47"/>
      <c r="AM59" s="30"/>
      <c r="AN59" s="29"/>
      <c r="AO59" s="47"/>
      <c r="AP59" s="47"/>
      <c r="AQ59" s="47"/>
      <c r="AR59" s="30"/>
      <c r="AS59" s="29"/>
      <c r="AT59" s="47"/>
      <c r="AU59" s="47"/>
      <c r="AV59" s="47"/>
      <c r="AW59" s="30"/>
      <c r="AX59" s="29"/>
      <c r="AY59" s="47"/>
      <c r="AZ59" s="47"/>
      <c r="BA59" s="47"/>
      <c r="BB59" s="30"/>
      <c r="BC59" s="29"/>
      <c r="BD59" s="47"/>
      <c r="BE59" s="47"/>
      <c r="BF59" s="47"/>
      <c r="BG59" s="30"/>
      <c r="BH59" s="29"/>
      <c r="BI59" s="676"/>
      <c r="BJ59" s="676"/>
      <c r="BK59" s="676"/>
      <c r="BL59" s="30"/>
      <c r="BM59" s="29"/>
      <c r="BN59" s="676"/>
      <c r="BO59" s="676"/>
      <c r="BP59" s="676"/>
      <c r="BQ59" s="30"/>
      <c r="BR59" s="29"/>
    </row>
    <row r="60" spans="1:83" ht="6" hidden="1" customHeight="1" x14ac:dyDescent="0.25">
      <c r="A60" s="676"/>
      <c r="B60" s="676"/>
      <c r="C60" s="676"/>
      <c r="D60" s="675"/>
      <c r="E60" s="675"/>
      <c r="F60" s="676"/>
      <c r="G60" s="676"/>
      <c r="H60" s="676"/>
      <c r="I60" s="675"/>
      <c r="J60" s="675"/>
      <c r="K60" s="676"/>
      <c r="L60" s="676"/>
      <c r="M60" s="676"/>
      <c r="N60" s="675"/>
      <c r="O60" s="675"/>
      <c r="P60" s="676"/>
      <c r="Q60" s="676"/>
      <c r="R60" s="676"/>
      <c r="S60" s="675"/>
      <c r="T60" s="675"/>
      <c r="U60" s="676"/>
      <c r="V60" s="676"/>
      <c r="W60" s="676"/>
      <c r="X60" s="675"/>
      <c r="Y60" s="675"/>
      <c r="Z60" s="47"/>
      <c r="AA60" s="47"/>
      <c r="AB60" s="47"/>
      <c r="AC60" s="69"/>
      <c r="AD60" s="69"/>
      <c r="AE60" s="47"/>
      <c r="AF60" s="47"/>
      <c r="AG60" s="47"/>
      <c r="AH60" s="69"/>
      <c r="AI60" s="69"/>
      <c r="AJ60" s="47"/>
      <c r="AK60" s="47"/>
      <c r="AL60" s="47"/>
      <c r="AM60" s="69"/>
      <c r="AN60" s="69"/>
      <c r="AO60" s="47"/>
      <c r="AP60" s="47"/>
      <c r="AQ60" s="47"/>
      <c r="AR60" s="69"/>
      <c r="AS60" s="69"/>
      <c r="AT60" s="47"/>
      <c r="AU60" s="47"/>
      <c r="AV60" s="47"/>
      <c r="AW60" s="69"/>
      <c r="AX60" s="69"/>
      <c r="AY60" s="47"/>
      <c r="AZ60" s="47"/>
      <c r="BA60" s="47"/>
      <c r="BB60" s="69"/>
      <c r="BC60" s="69"/>
      <c r="BD60" s="47"/>
      <c r="BE60" s="47"/>
      <c r="BF60" s="47"/>
      <c r="BG60" s="69"/>
      <c r="BH60" s="69"/>
      <c r="BI60" s="676"/>
      <c r="BJ60" s="676"/>
      <c r="BK60" s="676"/>
      <c r="BL60" s="675"/>
      <c r="BM60" s="675"/>
      <c r="BN60" s="676"/>
      <c r="BO60" s="676"/>
      <c r="BP60" s="676"/>
      <c r="BQ60" s="675"/>
      <c r="BR60" s="675"/>
    </row>
    <row r="61" spans="1:83" ht="59.25" hidden="1" customHeight="1" thickBot="1" x14ac:dyDescent="0.3">
      <c r="A61" s="677"/>
      <c r="B61" s="678"/>
      <c r="C61" s="678"/>
      <c r="D61" s="678"/>
      <c r="E61" s="678"/>
      <c r="F61" s="677"/>
      <c r="G61" s="678"/>
      <c r="H61" s="678"/>
      <c r="I61" s="678"/>
      <c r="J61" s="678"/>
      <c r="K61" s="677"/>
      <c r="L61" s="678"/>
      <c r="M61" s="678"/>
      <c r="N61" s="678"/>
      <c r="O61" s="678"/>
      <c r="P61" s="677"/>
      <c r="Q61" s="678"/>
      <c r="R61" s="678"/>
      <c r="S61" s="678"/>
      <c r="T61" s="678"/>
      <c r="U61" s="677"/>
      <c r="V61" s="678"/>
      <c r="W61" s="678"/>
      <c r="X61" s="678"/>
      <c r="Y61" s="678"/>
      <c r="Z61" s="70"/>
      <c r="AA61" s="71"/>
      <c r="AB61" s="71"/>
      <c r="AC61" s="71"/>
      <c r="AD61" s="71"/>
      <c r="AE61" s="70"/>
      <c r="AF61" s="71"/>
      <c r="AG61" s="71"/>
      <c r="AH61" s="71"/>
      <c r="AI61" s="71"/>
      <c r="AJ61" s="70"/>
      <c r="AK61" s="71"/>
      <c r="AL61" s="71"/>
      <c r="AM61" s="71"/>
      <c r="AN61" s="71"/>
      <c r="AO61" s="70"/>
      <c r="AP61" s="71"/>
      <c r="AQ61" s="71"/>
      <c r="AR61" s="71"/>
      <c r="AS61" s="71"/>
      <c r="AT61" s="70"/>
      <c r="AU61" s="71"/>
      <c r="AV61" s="71"/>
      <c r="AW61" s="71"/>
      <c r="AX61" s="71"/>
      <c r="AY61" s="70"/>
      <c r="AZ61" s="71"/>
      <c r="BA61" s="71"/>
      <c r="BB61" s="71"/>
      <c r="BC61" s="71"/>
      <c r="BD61" s="70"/>
      <c r="BE61" s="71"/>
      <c r="BF61" s="71"/>
      <c r="BG61" s="71"/>
      <c r="BH61" s="71"/>
      <c r="BI61" s="677"/>
      <c r="BJ61" s="678"/>
      <c r="BK61" s="678"/>
      <c r="BL61" s="678"/>
      <c r="BM61" s="678"/>
      <c r="BN61" s="677"/>
      <c r="BO61" s="678"/>
      <c r="BP61" s="678"/>
      <c r="BQ61" s="678"/>
      <c r="BR61" s="678"/>
    </row>
    <row r="62" spans="1:83" ht="27" hidden="1" customHeight="1" thickBot="1" x14ac:dyDescent="0.3">
      <c r="A62" s="677"/>
      <c r="B62" s="32"/>
      <c r="C62" s="33"/>
      <c r="D62" s="34"/>
      <c r="E62" s="35"/>
      <c r="F62" s="677"/>
      <c r="G62" s="32"/>
      <c r="H62" s="33"/>
      <c r="I62" s="34"/>
      <c r="J62" s="35"/>
      <c r="K62" s="677"/>
      <c r="L62" s="32"/>
      <c r="M62" s="33"/>
      <c r="N62" s="34"/>
      <c r="O62" s="35"/>
      <c r="P62" s="677"/>
      <c r="Q62" s="32"/>
      <c r="R62" s="33"/>
      <c r="S62" s="34"/>
      <c r="T62" s="35"/>
      <c r="U62" s="677"/>
      <c r="V62" s="32"/>
      <c r="W62" s="33"/>
      <c r="X62" s="34"/>
      <c r="Y62" s="35"/>
      <c r="Z62" s="70"/>
      <c r="AA62" s="32"/>
      <c r="AB62" s="33"/>
      <c r="AC62" s="34"/>
      <c r="AD62" s="35"/>
      <c r="AE62" s="70"/>
      <c r="AF62" s="32"/>
      <c r="AG62" s="33"/>
      <c r="AH62" s="34"/>
      <c r="AI62" s="35"/>
      <c r="AJ62" s="70"/>
      <c r="AK62" s="32"/>
      <c r="AL62" s="33"/>
      <c r="AM62" s="34"/>
      <c r="AN62" s="35"/>
      <c r="AO62" s="70"/>
      <c r="AP62" s="32"/>
      <c r="AQ62" s="33"/>
      <c r="AR62" s="34"/>
      <c r="AS62" s="35"/>
      <c r="AT62" s="70"/>
      <c r="AU62" s="32"/>
      <c r="AV62" s="33"/>
      <c r="AW62" s="34"/>
      <c r="AX62" s="35"/>
      <c r="AY62" s="70"/>
      <c r="AZ62" s="32"/>
      <c r="BA62" s="33"/>
      <c r="BB62" s="34"/>
      <c r="BC62" s="35"/>
      <c r="BD62" s="70"/>
      <c r="BE62" s="32"/>
      <c r="BF62" s="33"/>
      <c r="BG62" s="34"/>
      <c r="BH62" s="35"/>
      <c r="BI62" s="677"/>
      <c r="BJ62" s="32"/>
      <c r="BK62" s="33"/>
      <c r="BL62" s="34"/>
      <c r="BM62" s="35"/>
      <c r="BN62" s="677"/>
      <c r="BO62" s="32"/>
      <c r="BP62" s="33"/>
      <c r="BQ62" s="34"/>
      <c r="BR62" s="35"/>
      <c r="BW62" s="27"/>
      <c r="BX62" s="27"/>
      <c r="BY62" s="27"/>
      <c r="BZ62" s="27"/>
      <c r="CA62" s="27"/>
      <c r="CB62" s="27"/>
      <c r="CC62" s="27"/>
      <c r="CD62" s="27"/>
      <c r="CE62" s="27"/>
    </row>
    <row r="63" spans="1:83" s="42" customFormat="1" ht="30" hidden="1" customHeight="1" thickTop="1" x14ac:dyDescent="0.25">
      <c r="A63" s="37"/>
      <c r="B63" s="38"/>
      <c r="C63" s="39"/>
      <c r="D63" s="40"/>
      <c r="E63" s="41"/>
      <c r="F63" s="37"/>
      <c r="G63" s="38"/>
      <c r="H63" s="39"/>
      <c r="I63" s="40"/>
      <c r="J63" s="41"/>
      <c r="K63" s="37"/>
      <c r="L63" s="38"/>
      <c r="M63" s="39"/>
      <c r="N63" s="40"/>
      <c r="O63" s="41"/>
      <c r="P63" s="37"/>
      <c r="Q63" s="38"/>
      <c r="R63" s="39"/>
      <c r="S63" s="40"/>
      <c r="T63" s="41"/>
      <c r="U63" s="37"/>
      <c r="V63" s="38"/>
      <c r="W63" s="38"/>
      <c r="X63" s="39"/>
      <c r="Y63" s="40"/>
      <c r="Z63" s="41"/>
      <c r="AA63" s="37"/>
      <c r="AB63" s="38"/>
      <c r="AC63" s="39"/>
      <c r="AD63" s="40"/>
      <c r="AE63" s="41"/>
      <c r="AF63" s="38"/>
      <c r="AG63" s="39"/>
      <c r="AH63" s="40"/>
      <c r="AI63" s="41"/>
      <c r="AJ63" s="37"/>
      <c r="AK63" s="38"/>
      <c r="AL63" s="39"/>
      <c r="AM63" s="40"/>
      <c r="AN63" s="41"/>
      <c r="AO63" s="38"/>
      <c r="AP63" s="39"/>
      <c r="AQ63" s="40"/>
      <c r="AR63" s="41"/>
      <c r="AS63" s="37"/>
      <c r="AT63" s="38"/>
      <c r="AU63" s="39"/>
      <c r="AV63" s="40"/>
      <c r="AW63" s="41"/>
      <c r="AX63" s="38"/>
      <c r="AY63" s="39"/>
      <c r="AZ63" s="40"/>
      <c r="BA63" s="41"/>
      <c r="BB63" s="37"/>
      <c r="BC63" s="38"/>
      <c r="BD63" s="39"/>
      <c r="BE63" s="40"/>
      <c r="BF63" s="41"/>
      <c r="BG63" s="38"/>
      <c r="BH63" s="39"/>
      <c r="BI63" s="40"/>
      <c r="BJ63" s="41"/>
      <c r="BK63" s="37"/>
      <c r="BL63" s="38"/>
      <c r="BM63" s="39"/>
      <c r="BN63" s="40"/>
      <c r="BO63" s="41"/>
      <c r="BP63" s="38"/>
      <c r="BQ63" s="39"/>
      <c r="BR63" s="40"/>
      <c r="BW63" s="43"/>
      <c r="BX63" s="43"/>
      <c r="BY63" s="43"/>
      <c r="BZ63" s="43"/>
      <c r="CA63" s="43"/>
      <c r="CB63" s="43"/>
      <c r="CC63" s="43"/>
      <c r="CD63" s="43"/>
      <c r="CE63" s="43"/>
    </row>
    <row r="64" spans="1:83" ht="21.95" hidden="1" customHeight="1" x14ac:dyDescent="0.25">
      <c r="A64" s="674"/>
      <c r="B64" s="674"/>
      <c r="C64" s="674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45"/>
      <c r="BD64" s="45"/>
      <c r="BE64" s="45"/>
      <c r="BF64" s="45"/>
      <c r="BG64" s="45"/>
      <c r="BH64" s="45"/>
      <c r="BI64" s="45"/>
      <c r="BJ64" s="45"/>
      <c r="BK64" s="45"/>
      <c r="BL64" s="45"/>
      <c r="BM64" s="45"/>
      <c r="BN64" s="45"/>
      <c r="BO64" s="45"/>
      <c r="BP64" s="45"/>
      <c r="BQ64" s="45"/>
      <c r="BR64" s="45"/>
    </row>
    <row r="65" spans="1:90" ht="6.75" customHeight="1" x14ac:dyDescent="0.25">
      <c r="A65" s="676"/>
      <c r="B65" s="676"/>
      <c r="C65" s="676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5"/>
      <c r="AW65" s="45"/>
      <c r="AX65" s="45"/>
      <c r="AY65" s="45"/>
      <c r="AZ65" s="45"/>
      <c r="BA65" s="45"/>
      <c r="BB65" s="45"/>
      <c r="BC65" s="45"/>
      <c r="BD65" s="45"/>
      <c r="BE65" s="45"/>
      <c r="BF65" s="45"/>
      <c r="BG65" s="45"/>
      <c r="BH65" s="45"/>
      <c r="BI65" s="45"/>
      <c r="BJ65" s="45"/>
      <c r="BK65" s="45"/>
      <c r="BL65" s="45"/>
      <c r="BM65" s="45"/>
      <c r="BN65" s="45"/>
      <c r="BO65" s="45"/>
      <c r="BP65" s="45"/>
      <c r="BQ65" s="45"/>
      <c r="BR65" s="45"/>
    </row>
    <row r="66" spans="1:90" ht="37.5" hidden="1" customHeight="1" x14ac:dyDescent="0.25">
      <c r="A66" s="676"/>
      <c r="B66" s="676"/>
      <c r="C66" s="676"/>
      <c r="D66" s="49"/>
      <c r="E66" s="49"/>
      <c r="F66" s="49"/>
      <c r="G66" s="49"/>
      <c r="H66" s="49"/>
      <c r="I66" s="49"/>
      <c r="J66" s="49"/>
      <c r="K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5"/>
      <c r="BF66" s="45"/>
      <c r="BG66" s="45"/>
      <c r="BH66" s="45"/>
      <c r="BI66" s="45"/>
      <c r="BJ66" s="45"/>
      <c r="BK66" s="45"/>
      <c r="BL66" s="45"/>
      <c r="BM66" s="45"/>
      <c r="BN66" s="45"/>
      <c r="BO66" s="45"/>
      <c r="BP66" s="45"/>
      <c r="BQ66" s="45"/>
      <c r="BR66" s="45"/>
    </row>
    <row r="67" spans="1:90" ht="6" hidden="1" customHeight="1" x14ac:dyDescent="0.25">
      <c r="A67" s="676"/>
      <c r="B67" s="676"/>
      <c r="C67" s="676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  <c r="AT67" s="45"/>
      <c r="AU67" s="45"/>
      <c r="AV67" s="45"/>
      <c r="AW67" s="45"/>
      <c r="AX67" s="45"/>
      <c r="AY67" s="45"/>
      <c r="AZ67" s="45"/>
      <c r="BA67" s="45"/>
      <c r="BB67" s="45"/>
      <c r="BC67" s="45"/>
      <c r="BD67" s="45"/>
      <c r="BE67" s="45"/>
      <c r="BF67" s="45"/>
      <c r="BG67" s="45"/>
      <c r="BH67" s="45"/>
      <c r="BI67" s="45"/>
      <c r="BJ67" s="45"/>
      <c r="BK67" s="45"/>
      <c r="BL67" s="45"/>
      <c r="BM67" s="45"/>
      <c r="BN67" s="45"/>
      <c r="BO67" s="45"/>
      <c r="BP67" s="45"/>
      <c r="BQ67" s="45"/>
      <c r="BR67" s="45"/>
    </row>
    <row r="68" spans="1:90" ht="30" hidden="1" customHeight="1" x14ac:dyDescent="0.25">
      <c r="B68" s="17"/>
      <c r="D68" s="45"/>
      <c r="E68" s="45"/>
      <c r="F68" s="45"/>
      <c r="G68" s="45"/>
      <c r="H68" s="45"/>
      <c r="I68" s="45"/>
      <c r="J68" s="45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49"/>
      <c r="BC68" s="49"/>
      <c r="BD68" s="49"/>
      <c r="BE68" s="49"/>
      <c r="BF68" s="49"/>
      <c r="BG68" s="49"/>
      <c r="BH68" s="49"/>
      <c r="BI68" s="49"/>
      <c r="BJ68" s="49"/>
      <c r="BK68" s="49"/>
      <c r="BL68" s="49"/>
      <c r="BM68" s="49"/>
      <c r="BN68" s="49"/>
      <c r="BO68" s="49"/>
      <c r="BP68" s="49"/>
      <c r="BQ68" s="49"/>
      <c r="BR68" s="49"/>
      <c r="BS68" s="50"/>
      <c r="BT68" s="50"/>
      <c r="BW68" s="51"/>
      <c r="BX68" s="51"/>
      <c r="BY68" s="51"/>
      <c r="BZ68" s="51"/>
      <c r="CA68" s="51"/>
      <c r="CB68" s="51"/>
      <c r="CC68" s="27"/>
      <c r="CD68" s="27"/>
      <c r="CE68" s="27"/>
      <c r="CG68" s="27"/>
      <c r="CH68" s="27"/>
      <c r="CI68" s="27"/>
      <c r="CJ68" s="27"/>
      <c r="CK68" s="27"/>
      <c r="CL68" s="27"/>
    </row>
    <row r="69" spans="1:90" ht="34.5" hidden="1" customHeight="1" x14ac:dyDescent="0.25"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5"/>
      <c r="AW69" s="45"/>
      <c r="AX69" s="45"/>
      <c r="AY69" s="45"/>
      <c r="AZ69" s="45"/>
      <c r="BA69" s="45"/>
      <c r="BB69" s="45"/>
      <c r="BC69" s="45"/>
      <c r="BD69" s="45"/>
      <c r="BE69" s="45"/>
      <c r="BF69" s="45"/>
      <c r="BG69" s="45"/>
      <c r="BH69" s="45"/>
      <c r="BI69" s="45"/>
      <c r="BJ69" s="45"/>
      <c r="BK69" s="45"/>
      <c r="BL69" s="45"/>
      <c r="BM69" s="45"/>
      <c r="BN69" s="45"/>
      <c r="BO69" s="45"/>
      <c r="BP69" s="45"/>
      <c r="BQ69" s="45"/>
      <c r="BR69" s="45"/>
      <c r="BS69" s="50"/>
      <c r="BT69" s="50"/>
      <c r="BW69" s="27"/>
      <c r="BX69" s="27"/>
      <c r="BY69" s="27"/>
      <c r="BZ69" s="27"/>
      <c r="CA69" s="27"/>
      <c r="CB69" s="27"/>
      <c r="CC69" s="27"/>
      <c r="CD69" s="27"/>
      <c r="CE69" s="27"/>
      <c r="CG69" s="27"/>
      <c r="CH69" s="27"/>
      <c r="CI69" s="27"/>
      <c r="CJ69" s="27"/>
      <c r="CK69" s="27"/>
      <c r="CL69" s="27"/>
    </row>
    <row r="70" spans="1:90" ht="15" hidden="1" customHeight="1" x14ac:dyDescent="0.25">
      <c r="G70" s="45"/>
      <c r="H70" s="45"/>
      <c r="I70" s="45"/>
      <c r="J70" s="52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5"/>
      <c r="AW70" s="45"/>
      <c r="AX70" s="45"/>
      <c r="AY70" s="45"/>
      <c r="AZ70" s="45"/>
      <c r="BA70" s="45"/>
      <c r="BB70" s="45"/>
      <c r="BC70" s="45"/>
      <c r="BD70" s="45"/>
      <c r="BE70" s="45"/>
      <c r="BF70" s="45"/>
      <c r="BG70" s="45"/>
      <c r="BH70" s="45"/>
      <c r="BI70" s="45"/>
      <c r="BJ70" s="45"/>
      <c r="BK70" s="45"/>
      <c r="BL70" s="45"/>
      <c r="BM70" s="45"/>
      <c r="BN70" s="45"/>
      <c r="BO70" s="45"/>
      <c r="BP70" s="45"/>
      <c r="BQ70" s="45"/>
      <c r="BR70" s="45"/>
      <c r="BS70" s="50"/>
      <c r="BT70" s="50"/>
      <c r="BW70" s="27"/>
      <c r="BX70" s="27"/>
      <c r="BY70" s="27"/>
      <c r="BZ70" s="27"/>
      <c r="CA70" s="27"/>
      <c r="CB70" s="27"/>
      <c r="CC70" s="27"/>
      <c r="CD70" s="27"/>
      <c r="CE70" s="27"/>
      <c r="CG70" s="27"/>
      <c r="CH70" s="27"/>
      <c r="CI70" s="27"/>
      <c r="CJ70" s="27"/>
      <c r="CK70" s="27"/>
      <c r="CL70" s="27"/>
    </row>
    <row r="71" spans="1:90" ht="16.5" customHeight="1" x14ac:dyDescent="0.25">
      <c r="G71" s="45"/>
      <c r="H71" s="45"/>
      <c r="I71" s="45"/>
      <c r="J71" s="52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38"/>
      <c r="X71" s="39"/>
      <c r="Y71" s="40"/>
      <c r="Z71" s="41"/>
      <c r="AA71" s="37"/>
      <c r="AB71" s="38"/>
      <c r="AC71" s="39"/>
      <c r="AD71" s="40"/>
      <c r="AE71" s="41"/>
      <c r="AF71" s="38"/>
      <c r="AG71" s="39"/>
      <c r="AH71" s="40"/>
      <c r="AI71" s="41"/>
      <c r="AJ71" s="37"/>
      <c r="AK71" s="38"/>
      <c r="AL71" s="39"/>
      <c r="AM71" s="40"/>
      <c r="AN71" s="41"/>
      <c r="AO71" s="38"/>
      <c r="AP71" s="39"/>
      <c r="AQ71" s="40"/>
      <c r="AR71" s="41"/>
      <c r="AS71" s="37"/>
      <c r="AT71" s="38"/>
      <c r="AU71" s="39"/>
      <c r="AV71" s="40"/>
      <c r="AW71" s="41"/>
      <c r="AX71" s="38"/>
      <c r="AY71" s="39"/>
      <c r="AZ71" s="40"/>
      <c r="BA71" s="41"/>
      <c r="BB71" s="37"/>
      <c r="BC71" s="38"/>
      <c r="BD71" s="39"/>
      <c r="BE71" s="40"/>
      <c r="BF71" s="41"/>
      <c r="BG71" s="38"/>
      <c r="BH71" s="39"/>
      <c r="BI71" s="40"/>
      <c r="BJ71" s="41"/>
      <c r="BK71" s="37"/>
      <c r="BL71" s="38"/>
      <c r="BM71" s="39"/>
      <c r="BN71" s="40"/>
      <c r="BO71" s="41"/>
      <c r="BP71" s="38"/>
      <c r="BQ71" s="39"/>
      <c r="BR71" s="40"/>
      <c r="BS71" s="50"/>
      <c r="BT71" s="50"/>
      <c r="BW71" s="27"/>
      <c r="BX71" s="27"/>
      <c r="BY71" s="27"/>
      <c r="BZ71" s="27"/>
      <c r="CA71" s="27"/>
      <c r="CB71" s="27"/>
      <c r="CC71" s="27"/>
      <c r="CD71" s="27"/>
      <c r="CE71" s="27"/>
      <c r="CG71" s="27"/>
      <c r="CH71" s="27"/>
      <c r="CI71" s="27"/>
      <c r="CJ71" s="27"/>
      <c r="CK71" s="27"/>
      <c r="CL71" s="27"/>
    </row>
    <row r="72" spans="1:90" ht="15" hidden="1" customHeight="1" x14ac:dyDescent="0.25">
      <c r="G72" s="49"/>
      <c r="H72" s="49"/>
      <c r="I72" s="49"/>
      <c r="J72" s="52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  <c r="BC72" s="45"/>
      <c r="BD72" s="45"/>
      <c r="BE72" s="45"/>
      <c r="BF72" s="45"/>
      <c r="BG72" s="45"/>
      <c r="BH72" s="45"/>
      <c r="BI72" s="45"/>
      <c r="BJ72" s="45"/>
      <c r="BK72" s="45"/>
      <c r="BL72" s="45"/>
      <c r="BM72" s="45"/>
      <c r="BN72" s="45"/>
      <c r="BO72" s="45"/>
      <c r="BP72" s="45"/>
      <c r="BQ72" s="45"/>
      <c r="BR72" s="45"/>
      <c r="BS72" s="53"/>
      <c r="BT72" s="53"/>
    </row>
    <row r="73" spans="1:90" ht="22.5" hidden="1" customHeight="1" x14ac:dyDescent="0.25">
      <c r="G73" s="45"/>
      <c r="H73" s="45"/>
      <c r="I73" s="45"/>
      <c r="J73" s="52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45"/>
      <c r="AW73" s="45"/>
      <c r="AX73" s="45"/>
      <c r="AY73" s="45"/>
      <c r="AZ73" s="45"/>
      <c r="BA73" s="45"/>
      <c r="BB73" s="45"/>
      <c r="BC73" s="45"/>
      <c r="BD73" s="45"/>
      <c r="BE73" s="45"/>
      <c r="BF73" s="45"/>
      <c r="BG73" s="45"/>
      <c r="BH73" s="45"/>
      <c r="BI73" s="45"/>
      <c r="BJ73" s="45"/>
      <c r="BK73" s="45"/>
      <c r="BL73" s="45"/>
      <c r="BM73" s="45"/>
      <c r="BN73" s="45"/>
      <c r="BO73" s="45"/>
      <c r="BP73" s="45"/>
      <c r="BQ73" s="45"/>
      <c r="BR73" s="45"/>
      <c r="BS73" s="53"/>
      <c r="BT73" s="53"/>
    </row>
    <row r="74" spans="1:90" ht="23.25" x14ac:dyDescent="0.35">
      <c r="A74" s="54"/>
      <c r="E74" s="54"/>
      <c r="F74" s="54"/>
      <c r="G74" s="54"/>
      <c r="H74" s="54"/>
      <c r="I74" s="54"/>
      <c r="J74" s="54"/>
      <c r="K74" s="54"/>
    </row>
    <row r="75" spans="1:90" ht="24" thickBot="1" x14ac:dyDescent="0.4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X75" s="55"/>
    </row>
    <row r="76" spans="1:90" ht="15.75" customHeight="1" thickTop="1" x14ac:dyDescent="0.25">
      <c r="AD76" s="775">
        <v>739.53029999999978</v>
      </c>
      <c r="AE76" s="776"/>
      <c r="AF76" s="776"/>
      <c r="AG76" s="776"/>
      <c r="AH76" s="777"/>
      <c r="AL76" s="727" t="s">
        <v>122</v>
      </c>
      <c r="AM76" s="727"/>
      <c r="AN76" s="727"/>
      <c r="AO76" s="727" t="s">
        <v>123</v>
      </c>
      <c r="AP76" s="727"/>
      <c r="AQ76" s="727"/>
      <c r="AR76" s="727" t="s">
        <v>124</v>
      </c>
      <c r="AS76" s="727"/>
      <c r="AT76" s="727" t="s">
        <v>125</v>
      </c>
      <c r="AU76" s="727"/>
      <c r="AY76" s="739" t="s">
        <v>126</v>
      </c>
      <c r="AZ76" s="740"/>
      <c r="BA76" s="740"/>
      <c r="BB76" s="740"/>
      <c r="BC76" s="740"/>
      <c r="BD76" s="740"/>
      <c r="BE76" s="740"/>
      <c r="BF76" s="740"/>
      <c r="BG76" s="740"/>
      <c r="BH76" s="741"/>
      <c r="BI76" s="13"/>
      <c r="BJ76" s="13"/>
      <c r="BK76" s="13"/>
      <c r="BL76" s="13"/>
      <c r="BM76" s="13"/>
      <c r="BN76" s="13"/>
      <c r="BO76" s="13"/>
      <c r="BP76" s="13"/>
      <c r="BQ76" s="13"/>
      <c r="BR76" s="13"/>
    </row>
    <row r="77" spans="1:90" ht="15" customHeight="1" x14ac:dyDescent="0.25">
      <c r="O77" s="114" t="s">
        <v>127</v>
      </c>
      <c r="P77" s="114"/>
      <c r="Q77" s="114"/>
      <c r="R77" s="114"/>
      <c r="S77" s="114"/>
      <c r="T77" s="114"/>
      <c r="U77" s="114"/>
      <c r="V77" s="114"/>
      <c r="AD77" s="778"/>
      <c r="AE77" s="779"/>
      <c r="AF77" s="779"/>
      <c r="AG77" s="779"/>
      <c r="AH77" s="780"/>
      <c r="AL77" s="727"/>
      <c r="AM77" s="727"/>
      <c r="AN77" s="727"/>
      <c r="AO77" s="727"/>
      <c r="AP77" s="727"/>
      <c r="AQ77" s="727"/>
      <c r="AR77" s="727"/>
      <c r="AS77" s="727"/>
      <c r="AT77" s="727"/>
      <c r="AU77" s="727"/>
      <c r="AY77" s="750"/>
      <c r="AZ77" s="751"/>
      <c r="BA77" s="751"/>
      <c r="BB77" s="751"/>
      <c r="BC77" s="751"/>
      <c r="BD77" s="751"/>
      <c r="BE77" s="751"/>
      <c r="BF77" s="751"/>
      <c r="BG77" s="751"/>
      <c r="BH77" s="752"/>
      <c r="BI77" s="13"/>
      <c r="BJ77" s="13"/>
      <c r="BK77" s="13"/>
      <c r="BL77" s="13"/>
      <c r="BM77" s="13"/>
      <c r="BN77" s="13"/>
      <c r="BO77" s="13"/>
      <c r="BP77" s="13"/>
      <c r="BQ77" s="13"/>
      <c r="BR77" s="13"/>
    </row>
    <row r="78" spans="1:90" ht="15" customHeight="1" x14ac:dyDescent="0.25">
      <c r="O78" s="114"/>
      <c r="P78" s="114"/>
      <c r="Q78" s="114"/>
      <c r="R78" s="114"/>
      <c r="S78" s="114"/>
      <c r="T78" s="114"/>
      <c r="U78" s="114"/>
      <c r="V78" s="114"/>
      <c r="AA78" s="56"/>
      <c r="AD78" s="778"/>
      <c r="AE78" s="779"/>
      <c r="AF78" s="779"/>
      <c r="AG78" s="779"/>
      <c r="AH78" s="780"/>
      <c r="AL78" s="727"/>
      <c r="AM78" s="727"/>
      <c r="AN78" s="727"/>
      <c r="AO78" s="727"/>
      <c r="AP78" s="727"/>
      <c r="AQ78" s="727"/>
      <c r="AR78" s="727"/>
      <c r="AS78" s="727"/>
      <c r="AT78" s="727"/>
      <c r="AU78" s="727"/>
      <c r="AY78" s="742"/>
      <c r="AZ78" s="743"/>
      <c r="BA78" s="743"/>
      <c r="BB78" s="743"/>
      <c r="BC78" s="743"/>
      <c r="BD78" s="743"/>
      <c r="BE78" s="743"/>
      <c r="BF78" s="743"/>
      <c r="BG78" s="743"/>
      <c r="BH78" s="744"/>
      <c r="BI78" s="13"/>
      <c r="BJ78" s="13"/>
      <c r="BK78" s="13"/>
      <c r="BL78" s="13"/>
      <c r="BM78" s="13"/>
      <c r="BN78" s="13"/>
      <c r="BO78" s="13"/>
      <c r="BP78" s="13"/>
      <c r="BQ78" s="13"/>
      <c r="BR78" s="13"/>
    </row>
    <row r="79" spans="1:90" ht="15" customHeight="1" x14ac:dyDescent="0.25">
      <c r="O79" s="114"/>
      <c r="P79" s="114"/>
      <c r="Q79" s="114"/>
      <c r="R79" s="114"/>
      <c r="S79" s="114"/>
      <c r="T79" s="114"/>
      <c r="U79" s="114"/>
      <c r="V79" s="114"/>
      <c r="AD79" s="778"/>
      <c r="AE79" s="779"/>
      <c r="AF79" s="779"/>
      <c r="AG79" s="779"/>
      <c r="AH79" s="780"/>
      <c r="AL79" s="774">
        <v>8041</v>
      </c>
      <c r="AM79" s="774"/>
      <c r="AN79" s="774"/>
      <c r="AO79" s="774">
        <f ca="1">AT95</f>
        <v>2952</v>
      </c>
      <c r="AP79" s="774"/>
      <c r="AQ79" s="774"/>
      <c r="AR79" s="726">
        <f>AS40</f>
        <v>739.53029999999978</v>
      </c>
      <c r="AS79" s="726"/>
      <c r="AT79" s="726">
        <f>AS40+BJ42</f>
        <v>1308.3302999999996</v>
      </c>
      <c r="AU79" s="726"/>
      <c r="AY79" s="727" t="s">
        <v>128</v>
      </c>
      <c r="AZ79" s="727"/>
      <c r="BA79" s="727"/>
      <c r="BB79" s="727"/>
      <c r="BC79" s="727"/>
      <c r="BD79" s="727"/>
      <c r="BE79" s="727"/>
      <c r="BF79" s="727"/>
      <c r="BG79" s="727"/>
      <c r="BH79" s="727"/>
      <c r="BI79" s="13"/>
      <c r="BJ79" s="13"/>
      <c r="BK79" s="13"/>
      <c r="BL79" s="13"/>
      <c r="BM79" s="13"/>
      <c r="BN79" s="13"/>
      <c r="BO79" s="13"/>
      <c r="BP79" s="13"/>
      <c r="BQ79" s="13"/>
      <c r="BR79" s="13"/>
    </row>
    <row r="80" spans="1:90" ht="15" customHeight="1" x14ac:dyDescent="0.25">
      <c r="O80" s="114"/>
      <c r="P80" s="114"/>
      <c r="Q80" s="114"/>
      <c r="R80" s="114"/>
      <c r="S80" s="114"/>
      <c r="T80" s="114"/>
      <c r="U80" s="114"/>
      <c r="V80" s="114"/>
      <c r="AD80" s="778"/>
      <c r="AE80" s="779"/>
      <c r="AF80" s="779"/>
      <c r="AG80" s="779"/>
      <c r="AH80" s="780"/>
      <c r="AL80" s="774"/>
      <c r="AM80" s="774"/>
      <c r="AN80" s="774"/>
      <c r="AO80" s="774"/>
      <c r="AP80" s="774"/>
      <c r="AQ80" s="774"/>
      <c r="AR80" s="726"/>
      <c r="AS80" s="726"/>
      <c r="AT80" s="726"/>
      <c r="AU80" s="726"/>
      <c r="AY80" s="727"/>
      <c r="AZ80" s="727"/>
      <c r="BA80" s="727"/>
      <c r="BB80" s="727"/>
      <c r="BC80" s="727"/>
      <c r="BD80" s="727"/>
      <c r="BE80" s="727"/>
      <c r="BF80" s="727"/>
      <c r="BG80" s="727"/>
      <c r="BH80" s="727"/>
      <c r="BI80" s="13"/>
      <c r="BJ80" s="13"/>
      <c r="BK80" s="13"/>
      <c r="BL80" s="13"/>
      <c r="BM80" s="13"/>
      <c r="BN80" s="13"/>
      <c r="BO80" s="13"/>
      <c r="BP80" s="13"/>
      <c r="BQ80" s="13"/>
      <c r="BR80" s="13"/>
    </row>
    <row r="81" spans="15:70" ht="15" customHeight="1" x14ac:dyDescent="0.25">
      <c r="O81" s="114"/>
      <c r="P81" s="114"/>
      <c r="Q81" s="114"/>
      <c r="R81" s="114"/>
      <c r="S81" s="114"/>
      <c r="T81" s="114"/>
      <c r="U81" s="114"/>
      <c r="V81" s="114"/>
      <c r="AD81" s="778"/>
      <c r="AE81" s="779"/>
      <c r="AF81" s="779"/>
      <c r="AG81" s="779"/>
      <c r="AH81" s="780"/>
      <c r="AL81" s="774"/>
      <c r="AM81" s="774"/>
      <c r="AN81" s="774"/>
      <c r="AO81" s="774"/>
      <c r="AP81" s="774"/>
      <c r="AQ81" s="774"/>
      <c r="AR81" s="726"/>
      <c r="AS81" s="726"/>
      <c r="AT81" s="726"/>
      <c r="AU81" s="726"/>
      <c r="AY81" s="728">
        <f ca="1">AR79/(((54*3.1415/57)*(AO79/3.281))+((54*3.1415/35.5)*(AO83/3.281)))</f>
        <v>7.329621492930577E-2</v>
      </c>
      <c r="AZ81" s="729"/>
      <c r="BA81" s="729"/>
      <c r="BB81" s="729"/>
      <c r="BC81" s="729"/>
      <c r="BD81" s="729"/>
      <c r="BE81" s="729"/>
      <c r="BF81" s="729"/>
      <c r="BG81" s="729"/>
      <c r="BH81" s="730"/>
      <c r="BI81" s="57"/>
      <c r="BJ81" s="57"/>
      <c r="BK81" s="57"/>
      <c r="BL81" s="57"/>
      <c r="BM81" s="57"/>
      <c r="BN81" s="57"/>
      <c r="BO81" s="57"/>
      <c r="BP81" s="57"/>
      <c r="BQ81" s="57"/>
      <c r="BR81" s="57"/>
    </row>
    <row r="82" spans="15:70" ht="15.75" customHeight="1" thickBot="1" x14ac:dyDescent="0.3">
      <c r="AD82" s="781"/>
      <c r="AE82" s="782"/>
      <c r="AF82" s="782"/>
      <c r="AG82" s="782"/>
      <c r="AH82" s="783"/>
      <c r="AL82" s="774"/>
      <c r="AM82" s="774"/>
      <c r="AN82" s="774"/>
      <c r="AO82" s="774"/>
      <c r="AP82" s="774"/>
      <c r="AQ82" s="774"/>
      <c r="AR82" s="726"/>
      <c r="AS82" s="726"/>
      <c r="AT82" s="726"/>
      <c r="AU82" s="726"/>
      <c r="AY82" s="731"/>
      <c r="AZ82" s="732"/>
      <c r="BA82" s="732"/>
      <c r="BB82" s="732"/>
      <c r="BC82" s="732"/>
      <c r="BD82" s="732"/>
      <c r="BE82" s="732"/>
      <c r="BF82" s="732"/>
      <c r="BG82" s="732"/>
      <c r="BH82" s="733"/>
      <c r="BI82" s="57"/>
      <c r="BJ82" s="57"/>
      <c r="BK82" s="57"/>
      <c r="BL82" s="57"/>
      <c r="BM82" s="57"/>
      <c r="BN82" s="57"/>
      <c r="BO82" s="57"/>
      <c r="BP82" s="57"/>
      <c r="BQ82" s="57"/>
      <c r="BR82" s="57"/>
    </row>
    <row r="83" spans="15:70" ht="15.75" customHeight="1" thickTop="1" x14ac:dyDescent="0.25">
      <c r="AO83" s="2050">
        <f ca="1">AT110</f>
        <v>5089</v>
      </c>
      <c r="AP83" s="2051"/>
      <c r="AQ83" s="2052"/>
      <c r="AT83" s="2028"/>
      <c r="AU83" s="2029"/>
      <c r="AY83" s="734"/>
      <c r="AZ83" s="735"/>
      <c r="BA83" s="735"/>
      <c r="BB83" s="735"/>
      <c r="BC83" s="735"/>
      <c r="BD83" s="735"/>
      <c r="BE83" s="735"/>
      <c r="BF83" s="735"/>
      <c r="BG83" s="735"/>
      <c r="BH83" s="736"/>
      <c r="BI83" s="57"/>
      <c r="BJ83" s="57"/>
      <c r="BK83" s="57"/>
      <c r="BL83" s="57"/>
      <c r="BM83" s="57"/>
      <c r="BN83" s="57"/>
      <c r="BO83" s="57"/>
      <c r="BP83" s="57"/>
      <c r="BQ83" s="57"/>
      <c r="BR83" s="57"/>
    </row>
    <row r="84" spans="15:70" x14ac:dyDescent="0.25">
      <c r="AO84" s="2053"/>
      <c r="AP84" s="2054"/>
      <c r="AQ84" s="2055"/>
      <c r="AT84" s="2030"/>
      <c r="AU84" s="2031"/>
      <c r="AY84" s="739" t="s">
        <v>129</v>
      </c>
      <c r="AZ84" s="740"/>
      <c r="BA84" s="740"/>
      <c r="BB84" s="740"/>
      <c r="BC84" s="740"/>
      <c r="BD84" s="740"/>
      <c r="BE84" s="740"/>
      <c r="BF84" s="740"/>
      <c r="BG84" s="740"/>
      <c r="BH84" s="741"/>
      <c r="BI84" s="13"/>
      <c r="BJ84" s="13"/>
      <c r="BK84" s="13"/>
      <c r="BL84" s="13"/>
      <c r="BM84" s="13"/>
      <c r="BN84" s="13"/>
      <c r="BO84" s="13"/>
      <c r="BP84" s="13"/>
      <c r="BQ84" s="13"/>
      <c r="BR84" s="13"/>
    </row>
    <row r="85" spans="15:70" x14ac:dyDescent="0.25">
      <c r="AO85" s="2056"/>
      <c r="AP85" s="2057"/>
      <c r="AQ85" s="2058"/>
      <c r="AT85" s="2032"/>
      <c r="AU85" s="2033"/>
      <c r="AY85" s="742"/>
      <c r="AZ85" s="743"/>
      <c r="BA85" s="743"/>
      <c r="BB85" s="743"/>
      <c r="BC85" s="743"/>
      <c r="BD85" s="743"/>
      <c r="BE85" s="743"/>
      <c r="BF85" s="743"/>
      <c r="BG85" s="743"/>
      <c r="BH85" s="744"/>
      <c r="BI85" s="13"/>
      <c r="BJ85" s="13"/>
      <c r="BK85" s="13"/>
      <c r="BL85" s="13"/>
      <c r="BM85" s="13"/>
      <c r="BN85" s="13"/>
      <c r="BO85" s="13"/>
      <c r="BP85" s="13"/>
      <c r="BQ85" s="13"/>
      <c r="BR85" s="13"/>
    </row>
    <row r="86" spans="15:70" ht="15" customHeight="1" x14ac:dyDescent="0.25">
      <c r="AN86" s="1255">
        <v>164</v>
      </c>
      <c r="AO86" s="1255"/>
      <c r="AP86" s="1255"/>
      <c r="AQ86" s="746" cm="1">
        <f t="array" aca="1" ref="AQ86" ca="1">SUM(COUNTIF(INDIRECT({"B8","G8","L8","Q8","V8","AA8","AF8","AK8","AP8","AU8","AZ8","BE8","BJ8","BO8","B14","G14","L14","Q14"}),"&gt;0"))</f>
        <v>18</v>
      </c>
      <c r="AR86" s="746"/>
      <c r="AS86" s="746"/>
      <c r="AT86" s="747">
        <f ca="1">AQ86*AN86</f>
        <v>2952</v>
      </c>
      <c r="AU86" s="748"/>
      <c r="AV86" s="748"/>
      <c r="AW86" s="749"/>
      <c r="AY86" s="739" t="s">
        <v>130</v>
      </c>
      <c r="AZ86" s="740"/>
      <c r="BA86" s="740"/>
      <c r="BB86" s="740"/>
      <c r="BC86" s="740"/>
      <c r="BD86" s="740"/>
      <c r="BE86" s="740"/>
      <c r="BF86" s="740"/>
      <c r="BG86" s="740"/>
      <c r="BH86" s="741"/>
      <c r="BI86" s="13"/>
      <c r="BJ86" s="13"/>
      <c r="BK86" s="13"/>
      <c r="BL86" s="13"/>
      <c r="BM86" s="13"/>
      <c r="BN86" s="13"/>
      <c r="BO86" s="13"/>
      <c r="BP86" s="13"/>
      <c r="BQ86" s="13"/>
      <c r="BR86" s="13"/>
    </row>
    <row r="87" spans="15:70" ht="15" customHeight="1" x14ac:dyDescent="0.25">
      <c r="AN87" s="1255"/>
      <c r="AO87" s="1255"/>
      <c r="AP87" s="1255"/>
      <c r="AQ87" s="746"/>
      <c r="AR87" s="746"/>
      <c r="AS87" s="746"/>
      <c r="AT87" s="747"/>
      <c r="AU87" s="748"/>
      <c r="AV87" s="748"/>
      <c r="AW87" s="749"/>
      <c r="AY87" s="750"/>
      <c r="AZ87" s="751"/>
      <c r="BA87" s="751"/>
      <c r="BB87" s="751"/>
      <c r="BC87" s="751"/>
      <c r="BD87" s="751"/>
      <c r="BE87" s="751"/>
      <c r="BF87" s="751"/>
      <c r="BG87" s="751"/>
      <c r="BH87" s="752"/>
      <c r="BI87" s="13"/>
      <c r="BJ87" s="13"/>
      <c r="BK87" s="13"/>
      <c r="BL87" s="13"/>
      <c r="BM87" s="13"/>
      <c r="BN87" s="13"/>
      <c r="BO87" s="13"/>
      <c r="BP87" s="13"/>
      <c r="BQ87" s="13"/>
      <c r="BR87" s="13"/>
    </row>
    <row r="88" spans="15:70" ht="15" customHeight="1" x14ac:dyDescent="0.25">
      <c r="AA88" s="2034" t="s">
        <v>624</v>
      </c>
      <c r="AB88" s="2035"/>
      <c r="AC88" s="2035"/>
      <c r="AD88" s="2035"/>
      <c r="AE88" s="2035"/>
      <c r="AF88" s="2035"/>
      <c r="AG88" s="2035"/>
      <c r="AH88" s="2036"/>
      <c r="AN88" s="1255"/>
      <c r="AO88" s="1255"/>
      <c r="AP88" s="1255"/>
      <c r="AQ88" s="746"/>
      <c r="AR88" s="746"/>
      <c r="AS88" s="746"/>
      <c r="AT88" s="747"/>
      <c r="AU88" s="748"/>
      <c r="AV88" s="748"/>
      <c r="AW88" s="749"/>
      <c r="AY88" s="750"/>
      <c r="AZ88" s="751"/>
      <c r="BA88" s="751"/>
      <c r="BB88" s="751"/>
      <c r="BC88" s="751"/>
      <c r="BD88" s="751"/>
      <c r="BE88" s="751"/>
      <c r="BF88" s="751"/>
      <c r="BG88" s="751"/>
      <c r="BH88" s="752"/>
      <c r="BI88" s="13"/>
      <c r="BJ88" s="13"/>
      <c r="BK88" s="13"/>
      <c r="BL88" s="13"/>
      <c r="BM88" s="13"/>
      <c r="BN88" s="13"/>
      <c r="BO88" s="13"/>
      <c r="BP88" s="13"/>
      <c r="BQ88" s="13"/>
      <c r="BR88" s="13"/>
    </row>
    <row r="89" spans="15:70" ht="15" customHeight="1" x14ac:dyDescent="0.25">
      <c r="AA89" s="2034"/>
      <c r="AB89" s="2035"/>
      <c r="AC89" s="2035"/>
      <c r="AD89" s="2035"/>
      <c r="AE89" s="2035"/>
      <c r="AF89" s="2035"/>
      <c r="AG89" s="2035"/>
      <c r="AH89" s="2036"/>
      <c r="AN89" s="727">
        <v>186.2</v>
      </c>
      <c r="AO89" s="727"/>
      <c r="AP89" s="727"/>
      <c r="AQ89" s="746"/>
      <c r="AR89" s="746"/>
      <c r="AS89" s="746"/>
      <c r="AT89" s="747"/>
      <c r="AU89" s="748"/>
      <c r="AV89" s="748"/>
      <c r="AW89" s="749"/>
      <c r="AY89" s="742"/>
      <c r="AZ89" s="743"/>
      <c r="BA89" s="743"/>
      <c r="BB89" s="743"/>
      <c r="BC89" s="743"/>
      <c r="BD89" s="743"/>
      <c r="BE89" s="743"/>
      <c r="BF89" s="743"/>
      <c r="BG89" s="743"/>
      <c r="BH89" s="744"/>
      <c r="BI89" s="13"/>
      <c r="BJ89" s="13"/>
      <c r="BK89" s="13"/>
      <c r="BL89" s="13"/>
      <c r="BM89" s="13"/>
      <c r="BN89" s="13"/>
      <c r="BO89" s="13"/>
      <c r="BP89" s="13"/>
      <c r="BQ89" s="13"/>
      <c r="BR89" s="13"/>
    </row>
    <row r="90" spans="15:70" ht="26.25" x14ac:dyDescent="0.25">
      <c r="AA90" s="2034"/>
      <c r="AB90" s="2035"/>
      <c r="AC90" s="2035"/>
      <c r="AD90" s="2035"/>
      <c r="AE90" s="2035"/>
      <c r="AF90" s="2035"/>
      <c r="AG90" s="2035"/>
      <c r="AH90" s="2036"/>
      <c r="AN90" s="727"/>
      <c r="AO90" s="727"/>
      <c r="AP90" s="727"/>
      <c r="AQ90" s="746"/>
      <c r="AR90" s="746"/>
      <c r="AS90" s="746"/>
      <c r="AT90" s="747"/>
      <c r="AU90" s="748"/>
      <c r="AV90" s="748"/>
      <c r="AW90" s="749"/>
      <c r="AY90" s="728">
        <f ca="1">AT79/(((54*3.1415/57)*(AO79/3.281))+((54*3.1415/35.5)*(AO83/3.281)))</f>
        <v>0.12967103425961463</v>
      </c>
      <c r="AZ90" s="729"/>
      <c r="BA90" s="729"/>
      <c r="BB90" s="729"/>
      <c r="BC90" s="729"/>
      <c r="BD90" s="729"/>
      <c r="BE90" s="729"/>
      <c r="BF90" s="729"/>
      <c r="BG90" s="729"/>
      <c r="BH90" s="730"/>
      <c r="BI90" s="57"/>
      <c r="BJ90" s="57"/>
      <c r="BK90" s="57"/>
      <c r="BL90" s="57"/>
      <c r="BM90" s="57"/>
      <c r="BN90" s="57"/>
      <c r="BO90" s="57"/>
      <c r="BP90" s="57"/>
      <c r="BQ90" s="57"/>
      <c r="BR90" s="57"/>
    </row>
    <row r="91" spans="15:70" ht="26.25" x14ac:dyDescent="0.25">
      <c r="AA91" s="2034"/>
      <c r="AB91" s="2035"/>
      <c r="AC91" s="2035"/>
      <c r="AD91" s="2035"/>
      <c r="AE91" s="2035"/>
      <c r="AF91" s="2035"/>
      <c r="AG91" s="2035"/>
      <c r="AH91" s="2036"/>
      <c r="AN91" s="727"/>
      <c r="AO91" s="727"/>
      <c r="AP91" s="727"/>
      <c r="AQ91" s="746"/>
      <c r="AR91" s="746"/>
      <c r="AS91" s="746"/>
      <c r="AT91" s="747"/>
      <c r="AU91" s="748"/>
      <c r="AV91" s="748"/>
      <c r="AW91" s="749"/>
      <c r="AY91" s="731"/>
      <c r="AZ91" s="732"/>
      <c r="BA91" s="732"/>
      <c r="BB91" s="732"/>
      <c r="BC91" s="732"/>
      <c r="BD91" s="732"/>
      <c r="BE91" s="732"/>
      <c r="BF91" s="732"/>
      <c r="BG91" s="732"/>
      <c r="BH91" s="733"/>
      <c r="BI91" s="57"/>
      <c r="BJ91" s="57"/>
      <c r="BK91" s="57"/>
      <c r="BL91" s="57"/>
      <c r="BM91" s="57"/>
      <c r="BN91" s="57"/>
      <c r="BO91" s="57"/>
      <c r="BP91" s="57"/>
      <c r="BQ91" s="57"/>
      <c r="BR91" s="57"/>
    </row>
    <row r="92" spans="15:70" ht="15" customHeight="1" x14ac:dyDescent="0.25">
      <c r="AA92" s="2034"/>
      <c r="AB92" s="2035"/>
      <c r="AC92" s="2035"/>
      <c r="AD92" s="2035"/>
      <c r="AE92" s="2035"/>
      <c r="AF92" s="2035"/>
      <c r="AG92" s="2035"/>
      <c r="AH92" s="2036"/>
      <c r="AN92" s="727"/>
      <c r="AO92" s="727"/>
      <c r="AP92" s="727"/>
      <c r="AQ92" s="746"/>
      <c r="AR92" s="746"/>
      <c r="AS92" s="746"/>
      <c r="AT92" s="747"/>
      <c r="AU92" s="748"/>
      <c r="AV92" s="748"/>
      <c r="AW92" s="749"/>
      <c r="AY92" s="731"/>
      <c r="AZ92" s="732"/>
      <c r="BA92" s="732"/>
      <c r="BB92" s="732"/>
      <c r="BC92" s="732"/>
      <c r="BD92" s="732"/>
      <c r="BE92" s="732"/>
      <c r="BF92" s="732"/>
      <c r="BG92" s="732"/>
      <c r="BH92" s="733"/>
      <c r="BI92" s="57"/>
      <c r="BJ92" s="57"/>
      <c r="BK92" s="57"/>
      <c r="BL92" s="57"/>
      <c r="BM92" s="57"/>
      <c r="BN92" s="57"/>
      <c r="BO92" s="57"/>
      <c r="BP92" s="57"/>
      <c r="BQ92" s="57"/>
      <c r="BR92" s="57"/>
    </row>
    <row r="93" spans="15:70" ht="15" customHeight="1" x14ac:dyDescent="0.25">
      <c r="AA93" s="2034"/>
      <c r="AB93" s="2035"/>
      <c r="AC93" s="2035"/>
      <c r="AD93" s="2035"/>
      <c r="AE93" s="2035"/>
      <c r="AF93" s="2035"/>
      <c r="AG93" s="2035"/>
      <c r="AH93" s="2036"/>
      <c r="AN93" s="727"/>
      <c r="AO93" s="727"/>
      <c r="AP93" s="727"/>
      <c r="AQ93" s="746"/>
      <c r="AR93" s="746"/>
      <c r="AS93" s="746"/>
      <c r="AT93" s="747"/>
      <c r="AU93" s="748"/>
      <c r="AV93" s="748"/>
      <c r="AW93" s="749"/>
      <c r="AY93" s="731"/>
      <c r="AZ93" s="732"/>
      <c r="BA93" s="732"/>
      <c r="BB93" s="732"/>
      <c r="BC93" s="732"/>
      <c r="BD93" s="732"/>
      <c r="BE93" s="732"/>
      <c r="BF93" s="732"/>
      <c r="BG93" s="732"/>
      <c r="BH93" s="733"/>
      <c r="BI93" s="57"/>
      <c r="BJ93" s="57"/>
      <c r="BK93" s="57"/>
      <c r="BL93" s="57"/>
      <c r="BM93" s="57"/>
      <c r="BN93" s="57"/>
      <c r="BO93" s="57"/>
      <c r="BP93" s="57"/>
      <c r="BQ93" s="57"/>
      <c r="BR93" s="57"/>
    </row>
    <row r="94" spans="15:70" ht="15" customHeight="1" x14ac:dyDescent="0.25">
      <c r="AA94" s="2034"/>
      <c r="AB94" s="2035"/>
      <c r="AC94" s="2035"/>
      <c r="AD94" s="2035"/>
      <c r="AE94" s="2035"/>
      <c r="AF94" s="2035"/>
      <c r="AG94" s="2035"/>
      <c r="AH94" s="2036"/>
      <c r="AN94" s="727"/>
      <c r="AO94" s="727"/>
      <c r="AP94" s="727"/>
      <c r="AQ94" s="746"/>
      <c r="AR94" s="746"/>
      <c r="AS94" s="746"/>
      <c r="AT94" s="747"/>
      <c r="AU94" s="748"/>
      <c r="AV94" s="748"/>
      <c r="AW94" s="749"/>
      <c r="AY94" s="734"/>
      <c r="AZ94" s="735"/>
      <c r="BA94" s="735"/>
      <c r="BB94" s="735"/>
      <c r="BC94" s="735"/>
      <c r="BD94" s="735"/>
      <c r="BE94" s="735"/>
      <c r="BF94" s="735"/>
      <c r="BG94" s="735"/>
      <c r="BH94" s="736"/>
      <c r="BI94" s="57"/>
      <c r="BJ94" s="57"/>
      <c r="BK94" s="57"/>
      <c r="BL94" s="57"/>
      <c r="BM94" s="57"/>
      <c r="BN94" s="57"/>
      <c r="BO94" s="57"/>
      <c r="BP94" s="57"/>
      <c r="BQ94" s="57"/>
      <c r="BR94" s="57"/>
    </row>
    <row r="95" spans="15:70" ht="15" customHeight="1" x14ac:dyDescent="0.25">
      <c r="AA95" s="2037">
        <f ca="1">(((54*3.1415/57)*(AO79))+((54*3.1415/35.5)*(AO83)))</f>
        <v>33104.013851742035</v>
      </c>
      <c r="AB95" s="2038"/>
      <c r="AC95" s="2038"/>
      <c r="AD95" s="2038"/>
      <c r="AE95" s="2038"/>
      <c r="AF95" s="2038"/>
      <c r="AG95" s="2038"/>
      <c r="AH95" s="2039"/>
      <c r="AQ95" s="1254">
        <f ca="1">AQ92+AQ89+AQ86</f>
        <v>18</v>
      </c>
      <c r="AR95" s="1254"/>
      <c r="AS95" s="1254"/>
      <c r="AT95" s="747">
        <f ca="1">AT89+AT92+AT86</f>
        <v>2952</v>
      </c>
      <c r="AU95" s="748"/>
      <c r="AV95" s="748"/>
      <c r="AW95" s="749"/>
    </row>
    <row r="96" spans="15:70" ht="15" customHeight="1" x14ac:dyDescent="0.25">
      <c r="AA96" s="2037"/>
      <c r="AB96" s="2038"/>
      <c r="AC96" s="2038"/>
      <c r="AD96" s="2038"/>
      <c r="AE96" s="2038"/>
      <c r="AF96" s="2038"/>
      <c r="AG96" s="2038"/>
      <c r="AH96" s="2039"/>
      <c r="AQ96" s="1254"/>
      <c r="AR96" s="1254"/>
      <c r="AS96" s="1254"/>
      <c r="AT96" s="747"/>
      <c r="AU96" s="748"/>
      <c r="AV96" s="748"/>
      <c r="AW96" s="749"/>
    </row>
    <row r="97" spans="27:49" ht="15" customHeight="1" x14ac:dyDescent="0.25">
      <c r="AA97" s="2037"/>
      <c r="AB97" s="2038"/>
      <c r="AC97" s="2038"/>
      <c r="AD97" s="2038"/>
      <c r="AE97" s="2038"/>
      <c r="AF97" s="2038"/>
      <c r="AG97" s="2038"/>
      <c r="AH97" s="2039"/>
      <c r="AQ97" s="1254"/>
      <c r="AR97" s="1254"/>
      <c r="AS97" s="1254"/>
      <c r="AT97" s="747"/>
      <c r="AU97" s="748"/>
      <c r="AV97" s="748"/>
      <c r="AW97" s="749"/>
    </row>
    <row r="98" spans="27:49" x14ac:dyDescent="0.25">
      <c r="AA98" s="2037"/>
      <c r="AB98" s="2038"/>
      <c r="AC98" s="2038"/>
      <c r="AD98" s="2038"/>
      <c r="AE98" s="2038"/>
      <c r="AF98" s="2038"/>
      <c r="AG98" s="2038"/>
      <c r="AH98" s="2039"/>
      <c r="AN98" s="1255">
        <v>164</v>
      </c>
      <c r="AO98" s="1255"/>
      <c r="AP98" s="1255"/>
      <c r="AQ98" s="746" cm="1">
        <f t="array" aca="1" ref="AQ98" ca="1">SUM(COUNTIF(INDIRECT({"V14","AA14","AF14","AK14","AP14","AU14","AZ14","BE14","BJ14","BO14","B20","G20","L20","Q20"}),"&gt;0"))</f>
        <v>14</v>
      </c>
      <c r="AR98" s="746"/>
      <c r="AS98" s="746"/>
      <c r="AT98" s="747">
        <f ca="1">AQ98*AN98</f>
        <v>2296</v>
      </c>
      <c r="AU98" s="748"/>
      <c r="AV98" s="748"/>
      <c r="AW98" s="749"/>
    </row>
    <row r="99" spans="27:49" ht="15" customHeight="1" x14ac:dyDescent="0.25">
      <c r="AA99" s="2037"/>
      <c r="AB99" s="2038"/>
      <c r="AC99" s="2038"/>
      <c r="AD99" s="2038"/>
      <c r="AE99" s="2038"/>
      <c r="AF99" s="2038"/>
      <c r="AG99" s="2038"/>
      <c r="AH99" s="2039"/>
      <c r="AN99" s="1255"/>
      <c r="AO99" s="1255"/>
      <c r="AP99" s="1255"/>
      <c r="AQ99" s="746"/>
      <c r="AR99" s="746"/>
      <c r="AS99" s="746"/>
      <c r="AT99" s="747"/>
      <c r="AU99" s="748"/>
      <c r="AV99" s="748"/>
      <c r="AW99" s="749"/>
    </row>
    <row r="100" spans="27:49" ht="15" customHeight="1" x14ac:dyDescent="0.25">
      <c r="AA100" s="2037"/>
      <c r="AB100" s="2038"/>
      <c r="AC100" s="2038"/>
      <c r="AD100" s="2038"/>
      <c r="AE100" s="2038"/>
      <c r="AF100" s="2038"/>
      <c r="AG100" s="2038"/>
      <c r="AH100" s="2039"/>
      <c r="AN100" s="1255"/>
      <c r="AO100" s="1255"/>
      <c r="AP100" s="1255"/>
      <c r="AQ100" s="746"/>
      <c r="AR100" s="746"/>
      <c r="AS100" s="746"/>
      <c r="AT100" s="747"/>
      <c r="AU100" s="748"/>
      <c r="AV100" s="748"/>
      <c r="AW100" s="749"/>
    </row>
    <row r="101" spans="27:49" ht="15" customHeight="1" x14ac:dyDescent="0.25">
      <c r="AA101" s="2037"/>
      <c r="AB101" s="2038"/>
      <c r="AC101" s="2038"/>
      <c r="AD101" s="2038"/>
      <c r="AE101" s="2038"/>
      <c r="AF101" s="2038"/>
      <c r="AG101" s="2038"/>
      <c r="AH101" s="2039"/>
      <c r="AN101" s="727">
        <v>186.2</v>
      </c>
      <c r="AO101" s="727"/>
      <c r="AP101" s="727"/>
      <c r="AQ101" s="746">
        <v>13</v>
      </c>
      <c r="AR101" s="746"/>
      <c r="AS101" s="746"/>
      <c r="AT101" s="747">
        <f t="shared" ref="AT101" si="42">AQ101*AN101</f>
        <v>2420.6</v>
      </c>
      <c r="AU101" s="748"/>
      <c r="AV101" s="748"/>
      <c r="AW101" s="749"/>
    </row>
    <row r="102" spans="27:49" ht="15" customHeight="1" x14ac:dyDescent="0.25">
      <c r="AN102" s="727"/>
      <c r="AO102" s="727"/>
      <c r="AP102" s="727"/>
      <c r="AQ102" s="746"/>
      <c r="AR102" s="746"/>
      <c r="AS102" s="746"/>
      <c r="AT102" s="747"/>
      <c r="AU102" s="748"/>
      <c r="AV102" s="748"/>
      <c r="AW102" s="749"/>
    </row>
    <row r="103" spans="27:49" ht="15" customHeight="1" x14ac:dyDescent="0.25">
      <c r="AB103" s="2040"/>
      <c r="AC103" s="2040"/>
      <c r="AD103" s="2040"/>
      <c r="AE103" s="2040"/>
      <c r="AF103" s="2040"/>
      <c r="AG103" s="2040"/>
      <c r="AH103" s="2040"/>
      <c r="AN103" s="727"/>
      <c r="AO103" s="727"/>
      <c r="AP103" s="727"/>
      <c r="AQ103" s="746"/>
      <c r="AR103" s="746"/>
      <c r="AS103" s="746"/>
      <c r="AT103" s="747"/>
      <c r="AU103" s="748"/>
      <c r="AV103" s="748"/>
      <c r="AW103" s="749"/>
    </row>
    <row r="104" spans="27:49" ht="15" customHeight="1" x14ac:dyDescent="0.25">
      <c r="AB104" s="2040"/>
      <c r="AC104" s="2040"/>
      <c r="AD104" s="2040"/>
      <c r="AE104" s="2040"/>
      <c r="AF104" s="2040"/>
      <c r="AG104" s="2040"/>
      <c r="AH104" s="2040"/>
      <c r="AN104" s="727">
        <v>92</v>
      </c>
      <c r="AO104" s="727"/>
      <c r="AP104" s="727"/>
      <c r="AQ104" s="746">
        <v>2</v>
      </c>
      <c r="AR104" s="746"/>
      <c r="AS104" s="746"/>
      <c r="AT104" s="747">
        <f t="shared" ref="AT104" si="43">AQ104*AN104</f>
        <v>184</v>
      </c>
      <c r="AU104" s="748"/>
      <c r="AV104" s="748"/>
      <c r="AW104" s="749"/>
    </row>
    <row r="105" spans="27:49" ht="15" customHeight="1" x14ac:dyDescent="0.25">
      <c r="AB105" s="2040"/>
      <c r="AC105" s="2040"/>
      <c r="AD105" s="2040"/>
      <c r="AE105" s="2040"/>
      <c r="AF105" s="2040"/>
      <c r="AG105" s="2040"/>
      <c r="AH105" s="2040"/>
      <c r="AN105" s="727"/>
      <c r="AO105" s="727"/>
      <c r="AP105" s="727"/>
      <c r="AQ105" s="746"/>
      <c r="AR105" s="746"/>
      <c r="AS105" s="746"/>
      <c r="AT105" s="747"/>
      <c r="AU105" s="748"/>
      <c r="AV105" s="748"/>
      <c r="AW105" s="749"/>
    </row>
    <row r="106" spans="27:49" ht="15" customHeight="1" x14ac:dyDescent="0.25">
      <c r="AB106" s="2040"/>
      <c r="AC106" s="2040"/>
      <c r="AD106" s="2040"/>
      <c r="AE106" s="2040"/>
      <c r="AF106" s="2040"/>
      <c r="AG106" s="2040"/>
      <c r="AH106" s="2040"/>
      <c r="AN106" s="727"/>
      <c r="AO106" s="727"/>
      <c r="AP106" s="727"/>
      <c r="AQ106" s="746"/>
      <c r="AR106" s="746"/>
      <c r="AS106" s="746"/>
      <c r="AT106" s="747"/>
      <c r="AU106" s="748"/>
      <c r="AV106" s="748"/>
      <c r="AW106" s="749"/>
    </row>
    <row r="107" spans="27:49" ht="15" customHeight="1" x14ac:dyDescent="0.25">
      <c r="AB107" s="2040"/>
      <c r="AC107" s="2040"/>
      <c r="AD107" s="2040"/>
      <c r="AE107" s="2040"/>
      <c r="AF107" s="2040"/>
      <c r="AG107" s="2040"/>
      <c r="AH107" s="2040"/>
      <c r="AN107" s="727">
        <v>94.2</v>
      </c>
      <c r="AO107" s="727"/>
      <c r="AP107" s="727"/>
      <c r="AQ107" s="746">
        <v>2</v>
      </c>
      <c r="AR107" s="746"/>
      <c r="AS107" s="746"/>
      <c r="AT107" s="747">
        <f t="shared" ref="AT107" si="44">AQ107*AN107</f>
        <v>188.4</v>
      </c>
      <c r="AU107" s="748"/>
      <c r="AV107" s="748"/>
      <c r="AW107" s="749"/>
    </row>
    <row r="108" spans="27:49" ht="15" customHeight="1" x14ac:dyDescent="0.25">
      <c r="AN108" s="727"/>
      <c r="AO108" s="727"/>
      <c r="AP108" s="727"/>
      <c r="AQ108" s="746"/>
      <c r="AR108" s="746"/>
      <c r="AS108" s="746"/>
      <c r="AT108" s="747"/>
      <c r="AU108" s="748"/>
      <c r="AV108" s="748"/>
      <c r="AW108" s="749"/>
    </row>
    <row r="109" spans="27:49" ht="15" customHeight="1" x14ac:dyDescent="0.25">
      <c r="AN109" s="727"/>
      <c r="AO109" s="727"/>
      <c r="AP109" s="727"/>
      <c r="AQ109" s="746"/>
      <c r="AR109" s="746"/>
      <c r="AS109" s="746"/>
      <c r="AT109" s="747"/>
      <c r="AU109" s="748"/>
      <c r="AV109" s="748"/>
      <c r="AW109" s="749"/>
    </row>
    <row r="110" spans="27:49" x14ac:dyDescent="0.25">
      <c r="AQ110" s="1254">
        <f ca="1">AQ98+AQ107+AQ104+AQ101</f>
        <v>31</v>
      </c>
      <c r="AR110" s="1254"/>
      <c r="AS110" s="1254"/>
      <c r="AT110" s="747">
        <f ca="1">AT98+AT104+AT107+AT101</f>
        <v>5089</v>
      </c>
      <c r="AU110" s="748"/>
      <c r="AV110" s="748"/>
      <c r="AW110" s="749"/>
    </row>
    <row r="111" spans="27:49" x14ac:dyDescent="0.25">
      <c r="AQ111" s="1254"/>
      <c r="AR111" s="1254"/>
      <c r="AS111" s="1254"/>
      <c r="AT111" s="747"/>
      <c r="AU111" s="748"/>
      <c r="AV111" s="748"/>
      <c r="AW111" s="749"/>
    </row>
    <row r="112" spans="27:49" x14ac:dyDescent="0.25">
      <c r="AQ112" s="1254"/>
      <c r="AR112" s="1254"/>
      <c r="AS112" s="1254"/>
      <c r="AT112" s="747"/>
      <c r="AU112" s="748"/>
      <c r="AV112" s="748"/>
      <c r="AW112" s="749"/>
    </row>
  </sheetData>
  <mergeCells count="439">
    <mergeCell ref="F25:F26"/>
    <mergeCell ref="G25:J25"/>
    <mergeCell ref="A21:B23"/>
    <mergeCell ref="C21:E23"/>
    <mergeCell ref="A24:B24"/>
    <mergeCell ref="C24:E24"/>
    <mergeCell ref="A25:A26"/>
    <mergeCell ref="B25:E25"/>
    <mergeCell ref="U25:U26"/>
    <mergeCell ref="K25:K26"/>
    <mergeCell ref="L25:O25"/>
    <mergeCell ref="P21:Q23"/>
    <mergeCell ref="R21:T23"/>
    <mergeCell ref="P24:Q24"/>
    <mergeCell ref="R24:T24"/>
    <mergeCell ref="P25:P26"/>
    <mergeCell ref="Q25:T25"/>
    <mergeCell ref="BO19:BR19"/>
    <mergeCell ref="BD18:BE18"/>
    <mergeCell ref="BF18:BH18"/>
    <mergeCell ref="BI18:BJ18"/>
    <mergeCell ref="BK18:BM18"/>
    <mergeCell ref="BN18:BO18"/>
    <mergeCell ref="BP18:BR18"/>
    <mergeCell ref="F21:G23"/>
    <mergeCell ref="H21:J23"/>
    <mergeCell ref="U18:V18"/>
    <mergeCell ref="W18:Y18"/>
    <mergeCell ref="Z18:AA18"/>
    <mergeCell ref="AB18:AD18"/>
    <mergeCell ref="AE18:AF18"/>
    <mergeCell ref="AG18:AI18"/>
    <mergeCell ref="Z21:AA23"/>
    <mergeCell ref="AB21:AD23"/>
    <mergeCell ref="U21:V24"/>
    <mergeCell ref="W21:Y24"/>
    <mergeCell ref="F24:G24"/>
    <mergeCell ref="H24:J24"/>
    <mergeCell ref="BN15:BO17"/>
    <mergeCell ref="BP15:BR17"/>
    <mergeCell ref="AQ92:AS94"/>
    <mergeCell ref="AT92:AW94"/>
    <mergeCell ref="AQ95:AS97"/>
    <mergeCell ref="AT95:AW97"/>
    <mergeCell ref="AY15:AZ17"/>
    <mergeCell ref="BA15:BC17"/>
    <mergeCell ref="AY18:AZ18"/>
    <mergeCell ref="BA18:BC18"/>
    <mergeCell ref="AY19:AY20"/>
    <mergeCell ref="AZ19:BC19"/>
    <mergeCell ref="AY84:BH85"/>
    <mergeCell ref="AY76:BH78"/>
    <mergeCell ref="BN57:BP57"/>
    <mergeCell ref="BQ57:BR57"/>
    <mergeCell ref="BN55:BN56"/>
    <mergeCell ref="BO55:BR55"/>
    <mergeCell ref="BF32:BJ35"/>
    <mergeCell ref="AT19:AT20"/>
    <mergeCell ref="BD19:BD20"/>
    <mergeCell ref="BE19:BH19"/>
    <mergeCell ref="BI19:BI20"/>
    <mergeCell ref="BN19:BN20"/>
    <mergeCell ref="AY86:BH89"/>
    <mergeCell ref="AN89:AP91"/>
    <mergeCell ref="AQ89:AS91"/>
    <mergeCell ref="AT89:AW91"/>
    <mergeCell ref="AY90:BH94"/>
    <mergeCell ref="AN92:AP94"/>
    <mergeCell ref="BD15:BE17"/>
    <mergeCell ref="BF15:BH17"/>
    <mergeCell ref="BI15:BJ17"/>
    <mergeCell ref="BJ19:BM19"/>
    <mergeCell ref="AL79:AN82"/>
    <mergeCell ref="AO79:AQ82"/>
    <mergeCell ref="AR79:AS82"/>
    <mergeCell ref="AT79:AU82"/>
    <mergeCell ref="AY79:BH80"/>
    <mergeCell ref="AY81:BH83"/>
    <mergeCell ref="BJ61:BM61"/>
    <mergeCell ref="AV18:AX18"/>
    <mergeCell ref="AU19:AX19"/>
    <mergeCell ref="AT15:AU17"/>
    <mergeCell ref="AV15:AX17"/>
    <mergeCell ref="AQ18:AS18"/>
    <mergeCell ref="AT18:AU18"/>
    <mergeCell ref="BK15:BM17"/>
    <mergeCell ref="A65:C67"/>
    <mergeCell ref="AD76:AH82"/>
    <mergeCell ref="AL76:AN78"/>
    <mergeCell ref="AO76:AQ78"/>
    <mergeCell ref="AR76:AS78"/>
    <mergeCell ref="AT76:AU78"/>
    <mergeCell ref="AO83:AQ85"/>
    <mergeCell ref="V61:Y61"/>
    <mergeCell ref="BI61:BI62"/>
    <mergeCell ref="BN61:BN62"/>
    <mergeCell ref="BO61:BR61"/>
    <mergeCell ref="A64:C64"/>
    <mergeCell ref="BQ60:BR60"/>
    <mergeCell ref="A61:A62"/>
    <mergeCell ref="B61:E61"/>
    <mergeCell ref="F61:F62"/>
    <mergeCell ref="G61:J61"/>
    <mergeCell ref="K61:K62"/>
    <mergeCell ref="L61:O61"/>
    <mergeCell ref="P61:P62"/>
    <mergeCell ref="Q61:T61"/>
    <mergeCell ref="U61:U62"/>
    <mergeCell ref="BN58:BP60"/>
    <mergeCell ref="D60:E60"/>
    <mergeCell ref="I60:J60"/>
    <mergeCell ref="N60:O60"/>
    <mergeCell ref="S60:T60"/>
    <mergeCell ref="X60:Y60"/>
    <mergeCell ref="BL60:BM60"/>
    <mergeCell ref="A58:C60"/>
    <mergeCell ref="F58:H60"/>
    <mergeCell ref="K58:M60"/>
    <mergeCell ref="P58:R60"/>
    <mergeCell ref="U58:W60"/>
    <mergeCell ref="BI58:BK60"/>
    <mergeCell ref="U57:W57"/>
    <mergeCell ref="X57:Y57"/>
    <mergeCell ref="BI57:BK57"/>
    <mergeCell ref="BL57:BM57"/>
    <mergeCell ref="A57:C57"/>
    <mergeCell ref="D57:E57"/>
    <mergeCell ref="F57:H57"/>
    <mergeCell ref="I57:J57"/>
    <mergeCell ref="K57:M57"/>
    <mergeCell ref="N57:O57"/>
    <mergeCell ref="P57:R57"/>
    <mergeCell ref="S57:T57"/>
    <mergeCell ref="P55:P56"/>
    <mergeCell ref="Q55:T55"/>
    <mergeCell ref="U55:U56"/>
    <mergeCell ref="V55:Y55"/>
    <mergeCell ref="BI55:BI56"/>
    <mergeCell ref="BJ55:BM55"/>
    <mergeCell ref="A55:A56"/>
    <mergeCell ref="B55:E55"/>
    <mergeCell ref="F55:F56"/>
    <mergeCell ref="G55:J55"/>
    <mergeCell ref="K55:K56"/>
    <mergeCell ref="L55:O55"/>
    <mergeCell ref="I54:J54"/>
    <mergeCell ref="N54:O54"/>
    <mergeCell ref="S54:T54"/>
    <mergeCell ref="X54:Y54"/>
    <mergeCell ref="BL54:BM54"/>
    <mergeCell ref="BQ54:BR54"/>
    <mergeCell ref="BN51:BP51"/>
    <mergeCell ref="BQ51:BR51"/>
    <mergeCell ref="A52:C54"/>
    <mergeCell ref="F52:H54"/>
    <mergeCell ref="K52:M54"/>
    <mergeCell ref="P52:R54"/>
    <mergeCell ref="U52:W54"/>
    <mergeCell ref="BI52:BK54"/>
    <mergeCell ref="BN52:BP54"/>
    <mergeCell ref="D54:E54"/>
    <mergeCell ref="P51:R51"/>
    <mergeCell ref="S51:T51"/>
    <mergeCell ref="U51:W51"/>
    <mergeCell ref="X51:Y51"/>
    <mergeCell ref="BI51:BK51"/>
    <mergeCell ref="BL51:BM51"/>
    <mergeCell ref="A51:C51"/>
    <mergeCell ref="D51:E51"/>
    <mergeCell ref="F51:H51"/>
    <mergeCell ref="I51:J51"/>
    <mergeCell ref="K51:M51"/>
    <mergeCell ref="N51:O51"/>
    <mergeCell ref="BN36:BP41"/>
    <mergeCell ref="V40:AG47"/>
    <mergeCell ref="AH40:AR47"/>
    <mergeCell ref="AS40:BD47"/>
    <mergeCell ref="BJ42:BP45"/>
    <mergeCell ref="F43:G43"/>
    <mergeCell ref="F44:G47"/>
    <mergeCell ref="BJ46:BP48"/>
    <mergeCell ref="V36:AG39"/>
    <mergeCell ref="AH36:AR39"/>
    <mergeCell ref="AS36:BD39"/>
    <mergeCell ref="BE36:BI47"/>
    <mergeCell ref="BJ36:BM41"/>
    <mergeCell ref="J31:M31"/>
    <mergeCell ref="J32:M35"/>
    <mergeCell ref="Y32:AB35"/>
    <mergeCell ref="AP32:AS35"/>
    <mergeCell ref="K21:L23"/>
    <mergeCell ref="M21:O23"/>
    <mergeCell ref="K24:L24"/>
    <mergeCell ref="M24:O24"/>
    <mergeCell ref="AE19:AE20"/>
    <mergeCell ref="AF19:AI19"/>
    <mergeCell ref="AJ19:AJ20"/>
    <mergeCell ref="AK19:AN19"/>
    <mergeCell ref="AO19:AO20"/>
    <mergeCell ref="AP19:AS19"/>
    <mergeCell ref="P19:P20"/>
    <mergeCell ref="Q19:T19"/>
    <mergeCell ref="U19:U20"/>
    <mergeCell ref="V19:Y19"/>
    <mergeCell ref="Z19:Z20"/>
    <mergeCell ref="AA19:AD19"/>
    <mergeCell ref="V25:Y25"/>
    <mergeCell ref="A19:A20"/>
    <mergeCell ref="B19:E19"/>
    <mergeCell ref="F19:F20"/>
    <mergeCell ref="G19:J19"/>
    <mergeCell ref="K19:K20"/>
    <mergeCell ref="L19:O19"/>
    <mergeCell ref="AJ18:AK18"/>
    <mergeCell ref="AL18:AN18"/>
    <mergeCell ref="AO18:AP18"/>
    <mergeCell ref="A18:B18"/>
    <mergeCell ref="C18:E18"/>
    <mergeCell ref="F18:G18"/>
    <mergeCell ref="H18:J18"/>
    <mergeCell ref="K18:L18"/>
    <mergeCell ref="M18:O18"/>
    <mergeCell ref="P18:Q18"/>
    <mergeCell ref="R18:T18"/>
    <mergeCell ref="AE15:AF17"/>
    <mergeCell ref="AG15:AI17"/>
    <mergeCell ref="AJ15:AK17"/>
    <mergeCell ref="AL15:AN17"/>
    <mergeCell ref="AO15:AP17"/>
    <mergeCell ref="AQ15:AS17"/>
    <mergeCell ref="P15:Q17"/>
    <mergeCell ref="R15:T17"/>
    <mergeCell ref="U15:V17"/>
    <mergeCell ref="W15:Y17"/>
    <mergeCell ref="Z15:AA17"/>
    <mergeCell ref="AB15:AD17"/>
    <mergeCell ref="BI13:BI14"/>
    <mergeCell ref="BJ13:BM13"/>
    <mergeCell ref="BN13:BN14"/>
    <mergeCell ref="BO13:BR13"/>
    <mergeCell ref="A15:B17"/>
    <mergeCell ref="C15:E17"/>
    <mergeCell ref="F15:G17"/>
    <mergeCell ref="H15:J17"/>
    <mergeCell ref="K15:L17"/>
    <mergeCell ref="M15:O17"/>
    <mergeCell ref="AT13:AT14"/>
    <mergeCell ref="AU13:AX13"/>
    <mergeCell ref="AY13:AY14"/>
    <mergeCell ref="AZ13:BC13"/>
    <mergeCell ref="BD13:BD14"/>
    <mergeCell ref="BE13:BH13"/>
    <mergeCell ref="AE13:AE14"/>
    <mergeCell ref="AF13:AI13"/>
    <mergeCell ref="AJ13:AJ14"/>
    <mergeCell ref="AK13:AN13"/>
    <mergeCell ref="AO13:AO14"/>
    <mergeCell ref="AP13:AS13"/>
    <mergeCell ref="P13:P14"/>
    <mergeCell ref="Q13:T13"/>
    <mergeCell ref="U13:U14"/>
    <mergeCell ref="V13:Y13"/>
    <mergeCell ref="Z13:Z14"/>
    <mergeCell ref="AA13:AD13"/>
    <mergeCell ref="BI12:BJ12"/>
    <mergeCell ref="BK12:BM12"/>
    <mergeCell ref="BN12:BO12"/>
    <mergeCell ref="BP12:BR12"/>
    <mergeCell ref="A13:A14"/>
    <mergeCell ref="B13:E13"/>
    <mergeCell ref="F13:F14"/>
    <mergeCell ref="G13:J13"/>
    <mergeCell ref="K13:K14"/>
    <mergeCell ref="L13:O13"/>
    <mergeCell ref="AT12:AU12"/>
    <mergeCell ref="AV12:AX12"/>
    <mergeCell ref="AY12:AZ12"/>
    <mergeCell ref="BA12:BC12"/>
    <mergeCell ref="BD12:BE12"/>
    <mergeCell ref="BF12:BH12"/>
    <mergeCell ref="AE12:AF12"/>
    <mergeCell ref="AG12:AI12"/>
    <mergeCell ref="AJ12:AK12"/>
    <mergeCell ref="AL12:AN12"/>
    <mergeCell ref="AO12:AP12"/>
    <mergeCell ref="AQ12:AS12"/>
    <mergeCell ref="P12:Q12"/>
    <mergeCell ref="R12:T12"/>
    <mergeCell ref="U12:V12"/>
    <mergeCell ref="W12:Y12"/>
    <mergeCell ref="Z12:AA12"/>
    <mergeCell ref="AB12:AD12"/>
    <mergeCell ref="BI9:BJ11"/>
    <mergeCell ref="W9:Y11"/>
    <mergeCell ref="Z9:AA11"/>
    <mergeCell ref="AB9:AD11"/>
    <mergeCell ref="BK9:BM11"/>
    <mergeCell ref="BN9:BO11"/>
    <mergeCell ref="BP9:BR11"/>
    <mergeCell ref="A12:B12"/>
    <mergeCell ref="C12:E12"/>
    <mergeCell ref="F12:G12"/>
    <mergeCell ref="H12:J12"/>
    <mergeCell ref="K12:L12"/>
    <mergeCell ref="M12:O12"/>
    <mergeCell ref="AT9:AU11"/>
    <mergeCell ref="AV9:AX11"/>
    <mergeCell ref="AY9:AZ11"/>
    <mergeCell ref="BA9:BC11"/>
    <mergeCell ref="BD9:BE11"/>
    <mergeCell ref="BF9:BH11"/>
    <mergeCell ref="AE9:AF11"/>
    <mergeCell ref="AG9:AI11"/>
    <mergeCell ref="AJ9:AK11"/>
    <mergeCell ref="AL9:AN11"/>
    <mergeCell ref="AO9:AP11"/>
    <mergeCell ref="AQ9:AS11"/>
    <mergeCell ref="P9:Q11"/>
    <mergeCell ref="R9:T11"/>
    <mergeCell ref="U9:V11"/>
    <mergeCell ref="M9:O11"/>
    <mergeCell ref="AT7:AT8"/>
    <mergeCell ref="AU7:AX7"/>
    <mergeCell ref="AY7:AY8"/>
    <mergeCell ref="AE7:AE8"/>
    <mergeCell ref="AF7:AI7"/>
    <mergeCell ref="AJ7:AJ8"/>
    <mergeCell ref="AK7:AN7"/>
    <mergeCell ref="AO7:AO8"/>
    <mergeCell ref="AP7:AS7"/>
    <mergeCell ref="P7:P8"/>
    <mergeCell ref="Q7:T7"/>
    <mergeCell ref="BK6:BM6"/>
    <mergeCell ref="BN6:BO6"/>
    <mergeCell ref="BP6:BR6"/>
    <mergeCell ref="A7:A8"/>
    <mergeCell ref="B7:E7"/>
    <mergeCell ref="F7:F8"/>
    <mergeCell ref="G7:J7"/>
    <mergeCell ref="K7:K8"/>
    <mergeCell ref="L7:O7"/>
    <mergeCell ref="AT6:AU6"/>
    <mergeCell ref="AV6:AX6"/>
    <mergeCell ref="AY6:AZ6"/>
    <mergeCell ref="BA6:BC6"/>
    <mergeCell ref="BD6:BE6"/>
    <mergeCell ref="BF6:BH6"/>
    <mergeCell ref="AE6:AF6"/>
    <mergeCell ref="AG6:AI6"/>
    <mergeCell ref="AJ6:AK6"/>
    <mergeCell ref="AL6:AN6"/>
    <mergeCell ref="BI7:BI8"/>
    <mergeCell ref="BJ7:BM7"/>
    <mergeCell ref="BN7:BN8"/>
    <mergeCell ref="BO7:BR7"/>
    <mergeCell ref="AZ7:BC7"/>
    <mergeCell ref="BI3:BJ5"/>
    <mergeCell ref="W3:Y5"/>
    <mergeCell ref="Z3:AA5"/>
    <mergeCell ref="AB3:AD5"/>
    <mergeCell ref="U7:U8"/>
    <mergeCell ref="V7:Y7"/>
    <mergeCell ref="Z7:Z8"/>
    <mergeCell ref="AA7:AD7"/>
    <mergeCell ref="BI6:BJ6"/>
    <mergeCell ref="BD7:BD8"/>
    <mergeCell ref="BE7:BH7"/>
    <mergeCell ref="BK3:BM5"/>
    <mergeCell ref="BN3:BO5"/>
    <mergeCell ref="BP3:BR5"/>
    <mergeCell ref="BA3:BC5"/>
    <mergeCell ref="BD3:BE5"/>
    <mergeCell ref="BF3:BH5"/>
    <mergeCell ref="A6:B6"/>
    <mergeCell ref="C6:E6"/>
    <mergeCell ref="F6:G6"/>
    <mergeCell ref="H6:J6"/>
    <mergeCell ref="K6:L6"/>
    <mergeCell ref="M6:O6"/>
    <mergeCell ref="AT3:AU5"/>
    <mergeCell ref="AV3:AX5"/>
    <mergeCell ref="AY3:AZ5"/>
    <mergeCell ref="AE3:AF5"/>
    <mergeCell ref="AG3:AI5"/>
    <mergeCell ref="AJ3:AK5"/>
    <mergeCell ref="AL3:AN5"/>
    <mergeCell ref="AO3:AP5"/>
    <mergeCell ref="AQ3:AS5"/>
    <mergeCell ref="P3:Q5"/>
    <mergeCell ref="R3:T5"/>
    <mergeCell ref="U3:V5"/>
    <mergeCell ref="AT104:AW106"/>
    <mergeCell ref="AN86:AP88"/>
    <mergeCell ref="AQ86:AS88"/>
    <mergeCell ref="AT86:AW88"/>
    <mergeCell ref="AB103:AH107"/>
    <mergeCell ref="A3:B5"/>
    <mergeCell ref="C3:E5"/>
    <mergeCell ref="F3:G5"/>
    <mergeCell ref="H3:J5"/>
    <mergeCell ref="K3:L5"/>
    <mergeCell ref="M3:O5"/>
    <mergeCell ref="AO6:AP6"/>
    <mergeCell ref="AQ6:AS6"/>
    <mergeCell ref="P6:Q6"/>
    <mergeCell ref="R6:T6"/>
    <mergeCell ref="U6:V6"/>
    <mergeCell ref="W6:Y6"/>
    <mergeCell ref="Z6:AA6"/>
    <mergeCell ref="AB6:AD6"/>
    <mergeCell ref="A9:B11"/>
    <mergeCell ref="C9:E11"/>
    <mergeCell ref="F9:G11"/>
    <mergeCell ref="H9:J11"/>
    <mergeCell ref="K9:L11"/>
    <mergeCell ref="AQ110:AS112"/>
    <mergeCell ref="AT110:AW112"/>
    <mergeCell ref="AN107:AP109"/>
    <mergeCell ref="Z24:AA24"/>
    <mergeCell ref="AB24:AD24"/>
    <mergeCell ref="Z25:Z26"/>
    <mergeCell ref="AA25:AD25"/>
    <mergeCell ref="AE25:AE26"/>
    <mergeCell ref="AF25:AI25"/>
    <mergeCell ref="AE21:AF24"/>
    <mergeCell ref="AG21:AI24"/>
    <mergeCell ref="AQ107:AS109"/>
    <mergeCell ref="AT107:AW109"/>
    <mergeCell ref="AT83:AU85"/>
    <mergeCell ref="AA88:AH94"/>
    <mergeCell ref="AA95:AH101"/>
    <mergeCell ref="AN98:AP100"/>
    <mergeCell ref="AQ98:AS100"/>
    <mergeCell ref="AT98:AW100"/>
    <mergeCell ref="AN101:AP103"/>
    <mergeCell ref="AQ101:AS103"/>
    <mergeCell ref="AT101:AW103"/>
    <mergeCell ref="AN104:AP106"/>
    <mergeCell ref="AQ104:AS106"/>
  </mergeCells>
  <pageMargins left="0.25" right="0" top="0.7" bottom="0" header="0.3" footer="0.3"/>
  <pageSetup paperSize="8" scale="48" orientation="landscape" r:id="rId1"/>
  <headerFooter>
    <oddFooter>&amp;C&amp;"-,Bold Italic"&amp;16Prepared by Emir Cebecioglu&amp;RQuality Control Department</oddFooter>
  </headerFooter>
  <colBreaks count="1" manualBreakCount="1">
    <brk id="70" max="50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8C21B-C78D-48FF-9211-CDDC7705271C}">
  <sheetPr>
    <pageSetUpPr fitToPage="1"/>
  </sheetPr>
  <dimension ref="A1:CB77"/>
  <sheetViews>
    <sheetView view="pageBreakPreview" topLeftCell="A30" zoomScale="55" zoomScaleNormal="70" zoomScaleSheetLayoutView="55" zoomScalePageLayoutView="55" workbookViewId="0">
      <selection activeCell="M7" sqref="K6:Y14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9.140625" customWidth="1"/>
    <col min="47" max="47" width="6.570312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1" customWidth="1"/>
    <col min="62" max="62" width="56.7109375" customWidth="1"/>
    <col min="63" max="63" width="13" customWidth="1"/>
    <col min="64" max="64" width="7" customWidth="1"/>
  </cols>
  <sheetData>
    <row r="1" spans="1:80" ht="283.5" customHeight="1" thickBot="1" x14ac:dyDescent="0.3"/>
    <row r="2" spans="1:80" ht="36" customHeight="1" thickTop="1" x14ac:dyDescent="0.25">
      <c r="A2" s="1371"/>
      <c r="B2" s="1371"/>
      <c r="C2" s="1371"/>
      <c r="D2" s="1371"/>
      <c r="E2" s="1370"/>
      <c r="F2" s="2069" t="s">
        <v>250</v>
      </c>
      <c r="G2" s="2070"/>
      <c r="H2" s="2070"/>
      <c r="I2" s="2071">
        <f>G7/((36*3.1415/59)*(116/3.281))</f>
        <v>2.6235687218993289E-2</v>
      </c>
      <c r="J2" s="2072"/>
      <c r="K2" s="2069" t="s">
        <v>250</v>
      </c>
      <c r="L2" s="2070"/>
      <c r="M2" s="2070"/>
      <c r="N2" s="2071">
        <f t="shared" ref="N2" si="0">L7/((36*3.1415/59)*(116/3.281))</f>
        <v>2.1363345306894536E-2</v>
      </c>
      <c r="O2" s="2072"/>
      <c r="P2" s="2069" t="s">
        <v>250</v>
      </c>
      <c r="Q2" s="2070"/>
      <c r="R2" s="2070"/>
      <c r="S2" s="2071">
        <f t="shared" ref="S2" si="1">Q7/((36*3.1415/59)*(116/3.281))</f>
        <v>1.4755729594484414E-13</v>
      </c>
      <c r="T2" s="2072"/>
      <c r="U2" s="2069" t="s">
        <v>250</v>
      </c>
      <c r="V2" s="2070"/>
      <c r="W2" s="2070"/>
      <c r="X2" s="2071">
        <f t="shared" ref="X2" si="2">V7/((36*3.1415/59)*(116/3.281))</f>
        <v>2.8109664877492811E-2</v>
      </c>
      <c r="Y2" s="2072"/>
      <c r="Z2" s="2069" t="s">
        <v>250</v>
      </c>
      <c r="AA2" s="2070"/>
      <c r="AB2" s="2070"/>
      <c r="AC2" s="2071">
        <f t="shared" ref="AC2" si="3">AA7/((36*3.1415/59)*(116/3.281))</f>
        <v>2.6235687218993291E-3</v>
      </c>
      <c r="AD2" s="2072"/>
      <c r="AE2" s="2069" t="s">
        <v>250</v>
      </c>
      <c r="AF2" s="2070"/>
      <c r="AG2" s="2070"/>
      <c r="AH2" s="2071">
        <f t="shared" ref="AH2" si="4">AF7/((36*3.1415/59)*(116/3.281))</f>
        <v>1.5360714507858276E-2</v>
      </c>
      <c r="AI2" s="2072"/>
      <c r="AJ2" s="2069" t="s">
        <v>250</v>
      </c>
      <c r="AK2" s="2070"/>
      <c r="AL2" s="2070"/>
      <c r="AM2" s="2071">
        <f t="shared" ref="AM2" si="5">AK7/((36*3.1415/59)*(116/3.281))</f>
        <v>5.9217694008584856E-2</v>
      </c>
      <c r="AN2" s="2072"/>
      <c r="AO2" s="2069" t="s">
        <v>250</v>
      </c>
      <c r="AP2" s="2070"/>
      <c r="AQ2" s="2070"/>
      <c r="AR2" s="2071">
        <f t="shared" ref="AR2" si="6">AP7/((36*3.1415/59)*(116/3.281))</f>
        <v>5.2846169969686482E-2</v>
      </c>
      <c r="AS2" s="2072"/>
      <c r="AT2" s="32"/>
      <c r="AU2" s="32"/>
      <c r="AV2" s="32"/>
      <c r="AW2" s="32"/>
      <c r="AX2" s="1370"/>
      <c r="AY2" s="674"/>
      <c r="AZ2" s="674"/>
      <c r="BA2" s="674"/>
      <c r="BB2" s="1300"/>
      <c r="BC2" s="1300"/>
      <c r="BD2" s="674"/>
      <c r="BE2" s="674"/>
      <c r="BF2" s="674"/>
      <c r="BG2" s="1300"/>
      <c r="BH2" s="1300"/>
      <c r="BM2" s="27"/>
      <c r="BN2" s="27"/>
      <c r="BO2" s="27"/>
      <c r="BP2" s="27"/>
      <c r="BQ2" s="27"/>
      <c r="BR2" s="27"/>
      <c r="BW2" s="27"/>
      <c r="BX2" s="27"/>
      <c r="BY2" s="27"/>
      <c r="BZ2" s="27"/>
      <c r="CA2" s="27"/>
      <c r="CB2" s="27"/>
    </row>
    <row r="3" spans="1:80" ht="9.9499999999999993" hidden="1" customHeight="1" x14ac:dyDescent="0.25">
      <c r="A3" s="32"/>
      <c r="B3" s="33"/>
      <c r="C3" s="34"/>
      <c r="D3" s="35"/>
      <c r="E3" s="1370"/>
      <c r="F3" s="1680" t="s">
        <v>566</v>
      </c>
      <c r="G3" s="1681"/>
      <c r="H3" s="412"/>
      <c r="I3" s="412"/>
      <c r="J3" s="413"/>
      <c r="K3" s="1680" t="s">
        <v>566</v>
      </c>
      <c r="L3" s="1681"/>
      <c r="M3" s="412"/>
      <c r="N3" s="412"/>
      <c r="O3" s="413"/>
      <c r="P3" s="1680" t="s">
        <v>566</v>
      </c>
      <c r="Q3" s="1681"/>
      <c r="R3" s="412"/>
      <c r="S3" s="412"/>
      <c r="T3" s="413"/>
      <c r="U3" s="1680" t="s">
        <v>566</v>
      </c>
      <c r="V3" s="1681"/>
      <c r="W3" s="412"/>
      <c r="X3" s="412"/>
      <c r="Y3" s="413"/>
      <c r="Z3" s="1680" t="s">
        <v>566</v>
      </c>
      <c r="AA3" s="1681"/>
      <c r="AB3" s="412"/>
      <c r="AC3" s="412"/>
      <c r="AD3" s="413"/>
      <c r="AE3" s="1680" t="s">
        <v>566</v>
      </c>
      <c r="AF3" s="1681"/>
      <c r="AG3" s="412"/>
      <c r="AH3" s="412"/>
      <c r="AI3" s="413"/>
      <c r="AJ3" s="1680" t="s">
        <v>566</v>
      </c>
      <c r="AK3" s="1681"/>
      <c r="AL3" s="412"/>
      <c r="AM3" s="412"/>
      <c r="AN3" s="413"/>
      <c r="AO3" s="1680" t="s">
        <v>566</v>
      </c>
      <c r="AP3" s="1681"/>
      <c r="AQ3" s="412"/>
      <c r="AR3" s="412"/>
      <c r="AS3" s="413"/>
      <c r="AT3" s="32"/>
      <c r="AU3" s="32"/>
      <c r="AV3" s="32"/>
      <c r="AW3" s="32"/>
      <c r="AX3" s="1370"/>
      <c r="AY3" s="676"/>
      <c r="AZ3" s="676"/>
      <c r="BA3" s="676"/>
      <c r="BB3" s="36"/>
      <c r="BC3" s="36"/>
      <c r="BD3" s="676"/>
      <c r="BE3" s="676"/>
      <c r="BF3" s="676"/>
      <c r="BG3" s="36"/>
      <c r="BH3" s="36"/>
    </row>
    <row r="4" spans="1:80" ht="24.95" hidden="1" customHeight="1" x14ac:dyDescent="0.25">
      <c r="A4" s="1371"/>
      <c r="B4" s="1371"/>
      <c r="C4" s="1371"/>
      <c r="D4" s="1371"/>
      <c r="E4" s="1370"/>
      <c r="F4" s="1683"/>
      <c r="G4" s="1684"/>
      <c r="H4" s="414"/>
      <c r="I4" s="414"/>
      <c r="J4" s="415"/>
      <c r="K4" s="1683"/>
      <c r="L4" s="1684"/>
      <c r="M4" s="414"/>
      <c r="N4" s="414"/>
      <c r="O4" s="415"/>
      <c r="P4" s="1683"/>
      <c r="Q4" s="1684"/>
      <c r="R4" s="414"/>
      <c r="S4" s="414"/>
      <c r="T4" s="415"/>
      <c r="U4" s="1683"/>
      <c r="V4" s="1684"/>
      <c r="W4" s="414"/>
      <c r="X4" s="414"/>
      <c r="Y4" s="415"/>
      <c r="Z4" s="1683"/>
      <c r="AA4" s="1684"/>
      <c r="AB4" s="414"/>
      <c r="AC4" s="414"/>
      <c r="AD4" s="415"/>
      <c r="AE4" s="1683"/>
      <c r="AF4" s="1684"/>
      <c r="AG4" s="414"/>
      <c r="AH4" s="414"/>
      <c r="AI4" s="415"/>
      <c r="AJ4" s="1683"/>
      <c r="AK4" s="1684"/>
      <c r="AL4" s="414"/>
      <c r="AM4" s="414"/>
      <c r="AN4" s="415"/>
      <c r="AO4" s="1683"/>
      <c r="AP4" s="1684"/>
      <c r="AQ4" s="414"/>
      <c r="AR4" s="414"/>
      <c r="AS4" s="415"/>
      <c r="AT4" s="32"/>
      <c r="AU4" s="32"/>
      <c r="AV4" s="32"/>
      <c r="AW4" s="32"/>
      <c r="AX4" s="1370"/>
      <c r="AY4" s="676"/>
      <c r="AZ4" s="676"/>
      <c r="BA4" s="676"/>
      <c r="BB4" s="36"/>
      <c r="BC4" s="36"/>
      <c r="BD4" s="676"/>
      <c r="BE4" s="676"/>
      <c r="BF4" s="676"/>
      <c r="BG4" s="36"/>
      <c r="BH4" s="36"/>
    </row>
    <row r="5" spans="1:80" ht="25.5" customHeight="1" x14ac:dyDescent="0.25">
      <c r="A5" s="32"/>
      <c r="B5" s="33"/>
      <c r="C5" s="34"/>
      <c r="D5" s="35"/>
      <c r="E5" s="1370"/>
      <c r="F5" s="1686"/>
      <c r="G5" s="1687"/>
      <c r="H5" s="2077">
        <v>251</v>
      </c>
      <c r="I5" s="2078"/>
      <c r="J5" s="2079"/>
      <c r="K5" s="1686"/>
      <c r="L5" s="1687"/>
      <c r="M5" s="2077">
        <v>251</v>
      </c>
      <c r="N5" s="2078"/>
      <c r="O5" s="2079"/>
      <c r="P5" s="1686"/>
      <c r="Q5" s="1687"/>
      <c r="R5" s="2073" t="s">
        <v>567</v>
      </c>
      <c r="S5" s="2074"/>
      <c r="T5" s="2075"/>
      <c r="U5" s="1686"/>
      <c r="V5" s="1687"/>
      <c r="W5" s="2077">
        <v>251</v>
      </c>
      <c r="X5" s="2078"/>
      <c r="Y5" s="2079"/>
      <c r="Z5" s="1686"/>
      <c r="AA5" s="1687"/>
      <c r="AB5" s="2073" t="s">
        <v>567</v>
      </c>
      <c r="AC5" s="2074"/>
      <c r="AD5" s="2075"/>
      <c r="AE5" s="1686"/>
      <c r="AF5" s="1687"/>
      <c r="AG5" s="2077">
        <v>251</v>
      </c>
      <c r="AH5" s="2078"/>
      <c r="AI5" s="2079"/>
      <c r="AJ5" s="1686"/>
      <c r="AK5" s="1687"/>
      <c r="AL5" s="2077">
        <v>251</v>
      </c>
      <c r="AM5" s="2078"/>
      <c r="AN5" s="2079"/>
      <c r="AO5" s="1686"/>
      <c r="AP5" s="1687"/>
      <c r="AQ5" s="2073" t="s">
        <v>567</v>
      </c>
      <c r="AR5" s="2074"/>
      <c r="AS5" s="2075"/>
      <c r="AT5" s="32"/>
      <c r="AU5" s="32"/>
      <c r="AV5" s="32"/>
      <c r="AW5" s="32"/>
      <c r="AX5" s="1370"/>
      <c r="AY5" s="676"/>
      <c r="AZ5" s="676"/>
      <c r="BA5" s="676"/>
      <c r="BB5" s="36"/>
      <c r="BC5" s="36"/>
      <c r="BD5" s="676"/>
      <c r="BE5" s="676"/>
      <c r="BF5" s="676"/>
      <c r="BG5" s="36"/>
      <c r="BH5" s="36"/>
    </row>
    <row r="6" spans="1:80" ht="72" customHeight="1" x14ac:dyDescent="0.25">
      <c r="A6" s="1371"/>
      <c r="B6" s="1371"/>
      <c r="C6" s="1371"/>
      <c r="D6" s="1371"/>
      <c r="E6" s="1370"/>
      <c r="F6" s="1985" t="s">
        <v>565</v>
      </c>
      <c r="G6" s="1714">
        <v>1</v>
      </c>
      <c r="H6" s="1715"/>
      <c r="I6" s="1715"/>
      <c r="J6" s="1716"/>
      <c r="K6" s="1985" t="s">
        <v>565</v>
      </c>
      <c r="L6" s="1714">
        <v>2</v>
      </c>
      <c r="M6" s="1715"/>
      <c r="N6" s="1715"/>
      <c r="O6" s="1716"/>
      <c r="P6" s="1985" t="s">
        <v>565</v>
      </c>
      <c r="Q6" s="1714">
        <v>3</v>
      </c>
      <c r="R6" s="1715"/>
      <c r="S6" s="1715"/>
      <c r="T6" s="1716"/>
      <c r="U6" s="1985" t="s">
        <v>565</v>
      </c>
      <c r="V6" s="1714">
        <v>4</v>
      </c>
      <c r="W6" s="1715"/>
      <c r="X6" s="1715"/>
      <c r="Y6" s="1716"/>
      <c r="Z6" s="1985" t="s">
        <v>565</v>
      </c>
      <c r="AA6" s="1714">
        <v>5</v>
      </c>
      <c r="AB6" s="1715"/>
      <c r="AC6" s="1715"/>
      <c r="AD6" s="1716"/>
      <c r="AE6" s="1985" t="s">
        <v>565</v>
      </c>
      <c r="AF6" s="1714">
        <v>6</v>
      </c>
      <c r="AG6" s="1715"/>
      <c r="AH6" s="1715"/>
      <c r="AI6" s="1716"/>
      <c r="AJ6" s="1985" t="s">
        <v>565</v>
      </c>
      <c r="AK6" s="1714">
        <v>7</v>
      </c>
      <c r="AL6" s="1715"/>
      <c r="AM6" s="1715"/>
      <c r="AN6" s="1716"/>
      <c r="AO6" s="1985" t="s">
        <v>565</v>
      </c>
      <c r="AP6" s="1714">
        <v>8</v>
      </c>
      <c r="AQ6" s="1715"/>
      <c r="AR6" s="1715"/>
      <c r="AS6" s="1716"/>
      <c r="AT6" s="32"/>
      <c r="AU6" s="32"/>
      <c r="AV6" s="32"/>
      <c r="AW6" s="32"/>
      <c r="AX6" s="1370"/>
      <c r="AY6" s="677"/>
      <c r="AZ6" s="1332"/>
      <c r="BA6" s="1332"/>
      <c r="BB6" s="1332"/>
      <c r="BC6" s="1332"/>
      <c r="BD6" s="677"/>
      <c r="BE6" s="1332"/>
      <c r="BF6" s="1332"/>
      <c r="BG6" s="1332"/>
      <c r="BH6" s="1332"/>
      <c r="BM6" s="27"/>
      <c r="BN6" s="27"/>
      <c r="BO6" s="27"/>
      <c r="BP6" s="27"/>
      <c r="BQ6" s="27"/>
      <c r="BR6" s="27"/>
      <c r="BW6" s="27"/>
      <c r="BX6" s="27"/>
      <c r="BY6" s="27"/>
      <c r="BZ6" s="27"/>
      <c r="CA6" s="27"/>
      <c r="CB6" s="27"/>
    </row>
    <row r="7" spans="1:80" ht="35.1" customHeight="1" thickBot="1" x14ac:dyDescent="0.3">
      <c r="A7" s="32"/>
      <c r="B7" s="33"/>
      <c r="C7" s="34"/>
      <c r="D7" s="35"/>
      <c r="E7" s="1370"/>
      <c r="F7" s="1986"/>
      <c r="G7" s="241">
        <v>1.778</v>
      </c>
      <c r="H7" s="242" t="s">
        <v>113</v>
      </c>
      <c r="I7" s="243"/>
      <c r="J7" s="244" t="s">
        <v>114</v>
      </c>
      <c r="K7" s="1986"/>
      <c r="L7" s="241">
        <v>1.4478</v>
      </c>
      <c r="M7" s="242" t="s">
        <v>113</v>
      </c>
      <c r="N7" s="243">
        <v>1</v>
      </c>
      <c r="O7" s="244" t="s">
        <v>114</v>
      </c>
      <c r="P7" s="1986"/>
      <c r="Q7" s="241">
        <v>9.9999999999999994E-12</v>
      </c>
      <c r="R7" s="242" t="s">
        <v>113</v>
      </c>
      <c r="S7" s="243"/>
      <c r="T7" s="244" t="s">
        <v>114</v>
      </c>
      <c r="U7" s="1986"/>
      <c r="V7" s="241">
        <v>1.905</v>
      </c>
      <c r="W7" s="242" t="s">
        <v>113</v>
      </c>
      <c r="X7" s="243">
        <v>1</v>
      </c>
      <c r="Y7" s="244" t="s">
        <v>114</v>
      </c>
      <c r="Z7" s="1986"/>
      <c r="AA7" s="241">
        <v>0.17780000000000001</v>
      </c>
      <c r="AB7" s="242" t="s">
        <v>113</v>
      </c>
      <c r="AC7" s="243"/>
      <c r="AD7" s="244" t="s">
        <v>114</v>
      </c>
      <c r="AE7" s="1986"/>
      <c r="AF7" s="241">
        <v>1.0409999999999999</v>
      </c>
      <c r="AG7" s="242" t="s">
        <v>113</v>
      </c>
      <c r="AH7" s="243">
        <v>1</v>
      </c>
      <c r="AI7" s="244" t="s">
        <v>114</v>
      </c>
      <c r="AJ7" s="1986"/>
      <c r="AK7" s="241">
        <v>4.0132000000000003</v>
      </c>
      <c r="AL7" s="242" t="s">
        <v>113</v>
      </c>
      <c r="AM7" s="243">
        <v>1</v>
      </c>
      <c r="AN7" s="244" t="s">
        <v>114</v>
      </c>
      <c r="AO7" s="1986"/>
      <c r="AP7" s="241">
        <v>3.5813999999999999</v>
      </c>
      <c r="AQ7" s="242" t="s">
        <v>113</v>
      </c>
      <c r="AR7" s="243"/>
      <c r="AS7" s="244" t="s">
        <v>114</v>
      </c>
      <c r="AT7" s="32"/>
      <c r="AU7" s="32"/>
      <c r="AV7" s="32"/>
      <c r="AW7" s="32"/>
      <c r="AX7" s="1370"/>
      <c r="AY7" s="677"/>
      <c r="AZ7" s="137"/>
      <c r="BA7" s="33"/>
      <c r="BB7" s="138"/>
      <c r="BC7" s="35"/>
      <c r="BD7" s="677"/>
      <c r="BE7" s="137"/>
      <c r="BF7" s="33"/>
      <c r="BG7" s="138"/>
      <c r="BH7" s="35"/>
      <c r="BM7" s="27"/>
      <c r="BN7" s="27"/>
      <c r="BO7" s="27"/>
      <c r="BP7" s="27"/>
      <c r="BQ7" s="27"/>
      <c r="BR7" s="27"/>
      <c r="BW7" s="27"/>
      <c r="BX7" s="27"/>
      <c r="BY7" s="27"/>
      <c r="BZ7" s="27"/>
      <c r="CA7" s="27"/>
      <c r="CB7" s="27"/>
    </row>
    <row r="8" spans="1:80" ht="30" customHeight="1" thickTop="1" x14ac:dyDescent="0.25">
      <c r="A8" s="1371"/>
      <c r="B8" s="1371"/>
      <c r="C8" s="1371"/>
      <c r="D8" s="1371"/>
      <c r="E8" s="1370"/>
      <c r="K8" s="2069" t="s">
        <v>250</v>
      </c>
      <c r="L8" s="2070"/>
      <c r="M8" s="2070"/>
      <c r="N8" s="2071">
        <f t="shared" ref="N8" si="7">L13/((36*3.1415/59)*(116/3.281))</f>
        <v>4.8339770151530938E-2</v>
      </c>
      <c r="O8" s="2072"/>
      <c r="P8" s="2069" t="s">
        <v>250</v>
      </c>
      <c r="Q8" s="2070"/>
      <c r="R8" s="2070"/>
      <c r="S8" s="2071">
        <f t="shared" ref="S8" si="8">Q13/((36*3.1415/59)*(116/3.281))</f>
        <v>3.3731597852991371E-3</v>
      </c>
      <c r="T8" s="2072"/>
      <c r="U8" s="2069" t="s">
        <v>250</v>
      </c>
      <c r="V8" s="2070"/>
      <c r="W8" s="2070"/>
      <c r="X8" s="2071">
        <f t="shared" ref="X8" si="9">V13/((36*3.1415/59)*(116/3.281))</f>
        <v>2.6235687218993291E-3</v>
      </c>
      <c r="Y8" s="2072"/>
      <c r="Z8" s="2069" t="s">
        <v>250</v>
      </c>
      <c r="AA8" s="2070"/>
      <c r="AB8" s="2070"/>
      <c r="AC8" s="2071">
        <f t="shared" ref="AC8" si="10">AA13/((36*3.1415/59)*(116/3.281))</f>
        <v>7.4959106339980829E-3</v>
      </c>
      <c r="AD8" s="2072"/>
      <c r="AE8" s="2069" t="s">
        <v>250</v>
      </c>
      <c r="AF8" s="2070"/>
      <c r="AG8" s="2070"/>
      <c r="AH8" s="2071">
        <f t="shared" ref="AH8" si="11">AF13/((36*3.1415/59)*(116/3.281))</f>
        <v>3.1857620194491849E-2</v>
      </c>
      <c r="AI8" s="2072"/>
      <c r="AJ8" s="2069" t="s">
        <v>250</v>
      </c>
      <c r="AK8" s="2070"/>
      <c r="AL8" s="2070"/>
      <c r="AM8" s="2071">
        <f t="shared" ref="AM8" si="12">AK13/((36*3.1415/59)*(116/3.281))</f>
        <v>5.9967285071984662E-3</v>
      </c>
      <c r="AN8" s="2072"/>
      <c r="AO8" s="165"/>
      <c r="AP8" s="165"/>
      <c r="AQ8" s="165"/>
      <c r="AR8" s="165"/>
      <c r="AS8" s="165"/>
      <c r="AT8" s="165"/>
      <c r="AU8" s="165"/>
      <c r="AV8" s="165"/>
      <c r="AW8" s="165"/>
      <c r="AX8" s="165"/>
      <c r="AY8" s="674"/>
      <c r="AZ8" s="674"/>
      <c r="BA8" s="674"/>
      <c r="BB8" s="1300"/>
      <c r="BC8" s="1300"/>
      <c r="BD8" s="674"/>
      <c r="BE8" s="674"/>
      <c r="BF8" s="674"/>
      <c r="BG8" s="1300"/>
      <c r="BH8" s="1300"/>
      <c r="BM8" s="27"/>
      <c r="BN8" s="27"/>
      <c r="BO8" s="27"/>
      <c r="BP8" s="27"/>
      <c r="BQ8" s="27"/>
      <c r="BR8" s="27"/>
      <c r="BW8" s="27"/>
      <c r="BX8" s="27"/>
      <c r="BY8" s="27"/>
      <c r="BZ8" s="27"/>
      <c r="CA8" s="27"/>
      <c r="CB8" s="27"/>
    </row>
    <row r="9" spans="1:80" ht="30" customHeight="1" x14ac:dyDescent="0.25">
      <c r="A9" s="32"/>
      <c r="B9" s="33"/>
      <c r="C9" s="34"/>
      <c r="D9" s="35"/>
      <c r="E9" s="1370"/>
      <c r="K9" s="1680" t="s">
        <v>566</v>
      </c>
      <c r="L9" s="1681"/>
      <c r="M9" s="2077">
        <v>251</v>
      </c>
      <c r="N9" s="2078"/>
      <c r="O9" s="2079"/>
      <c r="P9" s="1680" t="s">
        <v>566</v>
      </c>
      <c r="Q9" s="1681"/>
      <c r="R9" s="2080" t="s">
        <v>567</v>
      </c>
      <c r="S9" s="2081"/>
      <c r="T9" s="2082"/>
      <c r="U9" s="1680" t="s">
        <v>566</v>
      </c>
      <c r="V9" s="1681"/>
      <c r="W9" s="2077">
        <v>251</v>
      </c>
      <c r="X9" s="2078"/>
      <c r="Y9" s="2079"/>
      <c r="Z9" s="1680" t="s">
        <v>566</v>
      </c>
      <c r="AA9" s="1681"/>
      <c r="AB9" s="2080" t="s">
        <v>567</v>
      </c>
      <c r="AC9" s="2081"/>
      <c r="AD9" s="2082"/>
      <c r="AE9" s="1680" t="s">
        <v>566</v>
      </c>
      <c r="AF9" s="1681"/>
      <c r="AG9" s="2077">
        <v>251</v>
      </c>
      <c r="AH9" s="2078"/>
      <c r="AI9" s="2079"/>
      <c r="AJ9" s="1680" t="s">
        <v>566</v>
      </c>
      <c r="AK9" s="1681"/>
      <c r="AL9" s="2077">
        <v>251</v>
      </c>
      <c r="AM9" s="2078"/>
      <c r="AN9" s="2079"/>
      <c r="AO9" s="165"/>
      <c r="AP9" s="165"/>
      <c r="AQ9" s="165"/>
      <c r="AR9" s="165"/>
      <c r="AS9" s="165"/>
      <c r="AT9" s="165"/>
      <c r="AU9" s="165"/>
      <c r="AV9" s="165"/>
      <c r="AW9" s="165"/>
      <c r="AX9" s="165"/>
      <c r="AY9" s="676"/>
      <c r="AZ9" s="676"/>
      <c r="BA9" s="676"/>
      <c r="BB9" s="36"/>
      <c r="BC9" s="36"/>
      <c r="BD9" s="676"/>
      <c r="BE9" s="676"/>
      <c r="BF9" s="676"/>
      <c r="BG9" s="36"/>
      <c r="BH9" s="36"/>
    </row>
    <row r="10" spans="1:80" ht="15.75" hidden="1" customHeight="1" x14ac:dyDescent="0.25">
      <c r="A10" s="1371"/>
      <c r="B10" s="1371"/>
      <c r="C10" s="1371"/>
      <c r="D10" s="1371"/>
      <c r="E10" s="1370"/>
      <c r="K10" s="1683"/>
      <c r="L10" s="1684"/>
      <c r="M10" s="414"/>
      <c r="N10" s="414"/>
      <c r="O10" s="415"/>
      <c r="P10" s="1683"/>
      <c r="Q10" s="1684"/>
      <c r="R10" s="414"/>
      <c r="S10" s="414"/>
      <c r="T10" s="415"/>
      <c r="U10" s="1683"/>
      <c r="V10" s="1684"/>
      <c r="W10" s="414"/>
      <c r="X10" s="414"/>
      <c r="Y10" s="415"/>
      <c r="Z10" s="1683"/>
      <c r="AA10" s="1684"/>
      <c r="AB10" s="414"/>
      <c r="AC10" s="414"/>
      <c r="AD10" s="415"/>
      <c r="AE10" s="1683"/>
      <c r="AF10" s="1684"/>
      <c r="AG10" s="414"/>
      <c r="AH10" s="414"/>
      <c r="AI10" s="415"/>
      <c r="AJ10" s="1683"/>
      <c r="AK10" s="1684"/>
      <c r="AL10" s="414"/>
      <c r="AM10" s="414"/>
      <c r="AN10" s="415"/>
      <c r="AO10" s="165"/>
      <c r="AP10" s="165"/>
      <c r="AQ10" s="165"/>
      <c r="AR10" s="165"/>
      <c r="AS10" s="165"/>
      <c r="AT10" s="165"/>
      <c r="AU10" s="165"/>
      <c r="AV10" s="165"/>
      <c r="AW10" s="165"/>
      <c r="AX10" s="165"/>
      <c r="AY10" s="676"/>
      <c r="AZ10" s="676"/>
      <c r="BA10" s="676"/>
      <c r="BB10" s="36"/>
      <c r="BC10" s="36"/>
      <c r="BD10" s="676"/>
      <c r="BE10" s="676"/>
      <c r="BF10" s="676"/>
      <c r="BG10" s="36"/>
      <c r="BH10" s="36"/>
    </row>
    <row r="11" spans="1:80" ht="15.75" hidden="1" customHeight="1" x14ac:dyDescent="0.25">
      <c r="A11" s="32"/>
      <c r="B11" s="33"/>
      <c r="C11" s="34"/>
      <c r="D11" s="35"/>
      <c r="E11" s="1370"/>
      <c r="K11" s="1686"/>
      <c r="L11" s="1687"/>
      <c r="M11" s="2073" t="s">
        <v>567</v>
      </c>
      <c r="N11" s="2074"/>
      <c r="O11" s="2075"/>
      <c r="P11" s="1686"/>
      <c r="Q11" s="1687"/>
      <c r="R11" s="2073" t="s">
        <v>567</v>
      </c>
      <c r="S11" s="2074"/>
      <c r="T11" s="2075"/>
      <c r="U11" s="1686"/>
      <c r="V11" s="1687"/>
      <c r="W11" s="2073" t="s">
        <v>567</v>
      </c>
      <c r="X11" s="2074"/>
      <c r="Y11" s="2075"/>
      <c r="Z11" s="1686"/>
      <c r="AA11" s="1687"/>
      <c r="AB11" s="2073" t="s">
        <v>567</v>
      </c>
      <c r="AC11" s="2074"/>
      <c r="AD11" s="2075"/>
      <c r="AE11" s="1686"/>
      <c r="AF11" s="1687"/>
      <c r="AG11" s="2073" t="s">
        <v>567</v>
      </c>
      <c r="AH11" s="2074"/>
      <c r="AI11" s="2075"/>
      <c r="AJ11" s="1686"/>
      <c r="AK11" s="1687"/>
      <c r="AL11" s="2073" t="s">
        <v>567</v>
      </c>
      <c r="AM11" s="2074"/>
      <c r="AN11" s="2075"/>
      <c r="AO11" s="165"/>
      <c r="AP11" s="165"/>
      <c r="AQ11" s="165"/>
      <c r="AR11" s="165"/>
      <c r="AS11" s="165"/>
      <c r="AT11" s="165"/>
      <c r="AU11" s="165"/>
      <c r="AV11" s="165"/>
      <c r="AW11" s="165"/>
      <c r="AX11" s="165"/>
      <c r="AY11" s="676"/>
      <c r="AZ11" s="676"/>
      <c r="BA11" s="676"/>
      <c r="BB11" s="36"/>
      <c r="BC11" s="36"/>
      <c r="BD11" s="676"/>
      <c r="BE11" s="676"/>
      <c r="BF11" s="676"/>
      <c r="BG11" s="36"/>
      <c r="BH11" s="36"/>
    </row>
    <row r="12" spans="1:80" ht="77.25" customHeight="1" x14ac:dyDescent="0.25">
      <c r="A12" s="1371"/>
      <c r="B12" s="1371"/>
      <c r="C12" s="1371"/>
      <c r="D12" s="1371"/>
      <c r="E12" s="1370"/>
      <c r="K12" s="1985" t="s">
        <v>565</v>
      </c>
      <c r="L12" s="1714">
        <v>9</v>
      </c>
      <c r="M12" s="1715"/>
      <c r="N12" s="1715"/>
      <c r="O12" s="1716"/>
      <c r="P12" s="1985" t="s">
        <v>565</v>
      </c>
      <c r="Q12" s="1714">
        <v>10</v>
      </c>
      <c r="R12" s="1715"/>
      <c r="S12" s="1715"/>
      <c r="T12" s="1716"/>
      <c r="U12" s="1985" t="s">
        <v>565</v>
      </c>
      <c r="V12" s="1714">
        <v>11</v>
      </c>
      <c r="W12" s="1715"/>
      <c r="X12" s="1715"/>
      <c r="Y12" s="1716"/>
      <c r="Z12" s="1985" t="s">
        <v>565</v>
      </c>
      <c r="AA12" s="1714">
        <v>12</v>
      </c>
      <c r="AB12" s="1715"/>
      <c r="AC12" s="1715"/>
      <c r="AD12" s="1716"/>
      <c r="AE12" s="1985" t="s">
        <v>565</v>
      </c>
      <c r="AF12" s="1714">
        <v>13</v>
      </c>
      <c r="AG12" s="1715"/>
      <c r="AH12" s="1715"/>
      <c r="AI12" s="1716"/>
      <c r="AJ12" s="1985" t="s">
        <v>565</v>
      </c>
      <c r="AK12" s="1714">
        <v>14</v>
      </c>
      <c r="AL12" s="1715"/>
      <c r="AM12" s="1715"/>
      <c r="AN12" s="1716"/>
      <c r="AO12" s="165"/>
      <c r="AP12" s="165"/>
      <c r="AQ12" s="165"/>
      <c r="AR12" s="165"/>
      <c r="AS12" s="165"/>
      <c r="AT12" s="165"/>
      <c r="AU12" s="165"/>
      <c r="AV12" s="165"/>
      <c r="AW12" s="165"/>
      <c r="AX12" s="165"/>
      <c r="AY12" s="677"/>
      <c r="AZ12" s="1332"/>
      <c r="BA12" s="1332"/>
      <c r="BB12" s="1332"/>
      <c r="BC12" s="1332"/>
      <c r="BD12" s="677"/>
      <c r="BE12" s="1332"/>
      <c r="BF12" s="1332"/>
      <c r="BG12" s="1332"/>
      <c r="BH12" s="1332"/>
      <c r="BM12" s="51"/>
      <c r="BN12" s="51"/>
      <c r="BO12" s="51"/>
      <c r="BP12" s="51"/>
      <c r="BQ12" s="51"/>
      <c r="BR12" s="51"/>
      <c r="BW12" s="27"/>
      <c r="BX12" s="27"/>
      <c r="BY12" s="27"/>
      <c r="BZ12" s="27"/>
      <c r="CA12" s="27"/>
      <c r="CB12" s="27"/>
    </row>
    <row r="13" spans="1:80" ht="30" customHeight="1" thickBot="1" x14ac:dyDescent="0.3">
      <c r="A13" s="32"/>
      <c r="B13" s="33"/>
      <c r="C13" s="34"/>
      <c r="D13" s="35"/>
      <c r="E13" s="1370"/>
      <c r="K13" s="1986"/>
      <c r="L13" s="241">
        <v>3.2759999999999998</v>
      </c>
      <c r="M13" s="242" t="s">
        <v>113</v>
      </c>
      <c r="N13" s="243">
        <v>1</v>
      </c>
      <c r="O13" s="244" t="s">
        <v>114</v>
      </c>
      <c r="P13" s="1986"/>
      <c r="Q13" s="241">
        <v>0.2286</v>
      </c>
      <c r="R13" s="242" t="s">
        <v>113</v>
      </c>
      <c r="S13" s="243"/>
      <c r="T13" s="244" t="s">
        <v>114</v>
      </c>
      <c r="U13" s="1986"/>
      <c r="V13" s="241">
        <v>0.17780000000000001</v>
      </c>
      <c r="W13" s="242" t="s">
        <v>113</v>
      </c>
      <c r="X13" s="243">
        <v>1</v>
      </c>
      <c r="Y13" s="244" t="s">
        <v>114</v>
      </c>
      <c r="Z13" s="1986"/>
      <c r="AA13" s="241">
        <v>0.50800000000000001</v>
      </c>
      <c r="AB13" s="242" t="s">
        <v>113</v>
      </c>
      <c r="AC13" s="243"/>
      <c r="AD13" s="244" t="s">
        <v>114</v>
      </c>
      <c r="AE13" s="1986"/>
      <c r="AF13" s="241">
        <v>2.1589999999999998</v>
      </c>
      <c r="AG13" s="242" t="s">
        <v>113</v>
      </c>
      <c r="AH13" s="243">
        <v>1</v>
      </c>
      <c r="AI13" s="244" t="s">
        <v>114</v>
      </c>
      <c r="AJ13" s="1986"/>
      <c r="AK13" s="241">
        <v>0.40639999999999998</v>
      </c>
      <c r="AL13" s="242" t="s">
        <v>113</v>
      </c>
      <c r="AM13" s="243"/>
      <c r="AN13" s="244" t="s">
        <v>114</v>
      </c>
      <c r="AO13" s="165"/>
      <c r="AP13" s="165"/>
      <c r="AQ13" s="165"/>
      <c r="AR13" s="165"/>
      <c r="AS13" s="165"/>
      <c r="AT13" s="165"/>
      <c r="AU13" s="165"/>
      <c r="AV13" s="165"/>
      <c r="AW13" s="165"/>
      <c r="AX13" s="165"/>
      <c r="AY13" s="677"/>
      <c r="AZ13" s="137"/>
      <c r="BA13" s="33"/>
      <c r="BB13" s="138"/>
      <c r="BC13" s="35"/>
      <c r="BD13" s="677"/>
      <c r="BE13" s="137"/>
      <c r="BF13" s="33"/>
      <c r="BG13" s="138"/>
      <c r="BH13" s="35"/>
      <c r="BM13" s="51"/>
      <c r="BN13" s="51"/>
      <c r="BO13" s="51"/>
      <c r="BP13" s="51"/>
      <c r="BQ13" s="51"/>
      <c r="BR13" s="51"/>
      <c r="BW13" s="27"/>
      <c r="BX13" s="27"/>
      <c r="BY13" s="27"/>
      <c r="BZ13" s="27"/>
      <c r="CA13" s="27"/>
      <c r="CB13" s="27"/>
    </row>
    <row r="14" spans="1:80" ht="39.950000000000003" hidden="1" customHeight="1" thickTop="1" x14ac:dyDescent="0.25">
      <c r="A14" s="1695" t="s">
        <v>250</v>
      </c>
      <c r="B14" s="1696"/>
      <c r="C14" s="1696"/>
      <c r="D14" s="1697">
        <f>B19/((42*3.1415/59)*(30/3.281))</f>
        <v>0</v>
      </c>
      <c r="E14" s="1698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Z14" s="44"/>
      <c r="AA14" s="44"/>
      <c r="AB14" s="44"/>
      <c r="AC14" s="44"/>
      <c r="AD14" s="44"/>
      <c r="AE14" s="44"/>
      <c r="AF14" s="44"/>
      <c r="AG14" s="44"/>
      <c r="AH14" s="69"/>
      <c r="AI14" s="69"/>
      <c r="AJ14" s="44"/>
      <c r="AK14" s="44"/>
      <c r="AL14" s="44"/>
      <c r="AM14" s="69"/>
      <c r="AN14" s="69"/>
      <c r="AO14" s="674"/>
      <c r="AP14" s="674"/>
      <c r="AQ14" s="674"/>
      <c r="AR14" s="1300"/>
      <c r="AS14" s="1300"/>
      <c r="AT14" s="1389"/>
      <c r="AU14" s="1389"/>
      <c r="AV14" s="1389"/>
      <c r="AW14" s="1390"/>
      <c r="AX14" s="1390"/>
      <c r="AY14" s="674"/>
      <c r="AZ14" s="674"/>
      <c r="BA14" s="674"/>
      <c r="BB14" s="1300"/>
      <c r="BC14" s="1300"/>
      <c r="BD14" s="674"/>
      <c r="BE14" s="674"/>
      <c r="BF14" s="674"/>
      <c r="BG14" s="1300"/>
      <c r="BH14" s="1300"/>
      <c r="BM14" s="51"/>
      <c r="BN14" s="51"/>
      <c r="BO14" s="51"/>
      <c r="BP14" s="51"/>
      <c r="BQ14" s="51"/>
      <c r="BR14" s="51"/>
      <c r="BW14" s="27"/>
      <c r="BX14" s="27"/>
      <c r="BY14" s="27"/>
      <c r="BZ14" s="27"/>
      <c r="CA14" s="27"/>
      <c r="CB14" s="27"/>
    </row>
    <row r="15" spans="1:80" ht="9.9499999999999993" hidden="1" customHeight="1" x14ac:dyDescent="0.25">
      <c r="A15" s="1379" t="s">
        <v>252</v>
      </c>
      <c r="B15" s="1380"/>
      <c r="C15" s="1380"/>
      <c r="D15" s="1380"/>
      <c r="E15" s="1381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Z15" s="47"/>
      <c r="AA15" s="47"/>
      <c r="AB15" s="47"/>
      <c r="AC15" s="47"/>
      <c r="AD15" s="47"/>
      <c r="AE15" s="47"/>
      <c r="AF15" s="47"/>
      <c r="AG15" s="47"/>
      <c r="AH15" s="36"/>
      <c r="AI15" s="36"/>
      <c r="AJ15" s="47"/>
      <c r="AK15" s="47"/>
      <c r="AL15" s="47"/>
      <c r="AM15" s="36"/>
      <c r="AN15" s="36"/>
      <c r="AO15" s="676"/>
      <c r="AP15" s="676"/>
      <c r="AQ15" s="676"/>
      <c r="AR15" s="36"/>
      <c r="AS15" s="36"/>
      <c r="AT15" s="1388"/>
      <c r="AU15" s="1388"/>
      <c r="AV15" s="1388"/>
      <c r="AW15" s="139"/>
      <c r="AX15" s="139"/>
      <c r="AY15" s="676"/>
      <c r="AZ15" s="676"/>
      <c r="BA15" s="676"/>
      <c r="BB15" s="36"/>
      <c r="BC15" s="36"/>
      <c r="BD15" s="676"/>
      <c r="BE15" s="676"/>
      <c r="BF15" s="676"/>
      <c r="BG15" s="36"/>
      <c r="BH15" s="36"/>
    </row>
    <row r="16" spans="1:80" ht="24.95" hidden="1" customHeight="1" x14ac:dyDescent="0.25">
      <c r="A16" s="1382"/>
      <c r="B16" s="1383"/>
      <c r="C16" s="1383"/>
      <c r="D16" s="1383"/>
      <c r="E16" s="1384"/>
      <c r="F16" s="47"/>
      <c r="G16" s="47"/>
      <c r="H16" s="47"/>
      <c r="I16" s="47"/>
      <c r="J16" s="47"/>
      <c r="K16" s="47"/>
      <c r="L16" s="47"/>
      <c r="M16" s="285"/>
      <c r="N16" s="285"/>
      <c r="O16" s="285"/>
      <c r="P16" s="285"/>
      <c r="Q16" s="285"/>
      <c r="R16" s="47"/>
      <c r="S16" s="47"/>
      <c r="T16" s="47"/>
      <c r="Z16" s="47"/>
      <c r="AA16" s="47"/>
      <c r="AB16" s="47"/>
      <c r="AC16" s="47"/>
      <c r="AD16" s="47"/>
      <c r="AE16" s="47"/>
      <c r="AF16" s="47"/>
      <c r="AG16" s="47"/>
      <c r="AH16" s="140"/>
      <c r="AI16" s="36"/>
      <c r="AJ16" s="47"/>
      <c r="AK16" s="47"/>
      <c r="AL16" s="47"/>
      <c r="AM16" s="140"/>
      <c r="AN16" s="36"/>
      <c r="AO16" s="676"/>
      <c r="AP16" s="676"/>
      <c r="AQ16" s="676"/>
      <c r="AR16" s="140"/>
      <c r="AS16" s="36"/>
      <c r="AT16" s="1388"/>
      <c r="AU16" s="1388"/>
      <c r="AV16" s="1388"/>
      <c r="AW16" s="141"/>
      <c r="AX16" s="139"/>
      <c r="AY16" s="676"/>
      <c r="AZ16" s="676"/>
      <c r="BA16" s="676"/>
      <c r="BB16" s="36"/>
      <c r="BC16" s="36"/>
      <c r="BD16" s="676"/>
      <c r="BE16" s="676"/>
      <c r="BF16" s="676"/>
      <c r="BG16" s="36"/>
      <c r="BH16" s="36"/>
    </row>
    <row r="17" spans="1:80" ht="9.9499999999999993" hidden="1" customHeight="1" x14ac:dyDescent="0.25">
      <c r="A17" s="1385"/>
      <c r="B17" s="1386"/>
      <c r="C17" s="1386"/>
      <c r="D17" s="1386"/>
      <c r="E17" s="138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Z17" s="47"/>
      <c r="AA17" s="47"/>
      <c r="AB17" s="47"/>
      <c r="AC17" s="47"/>
      <c r="AD17" s="47"/>
      <c r="AE17" s="47"/>
      <c r="AF17" s="47"/>
      <c r="AG17" s="47"/>
      <c r="AH17" s="36"/>
      <c r="AI17" s="36"/>
      <c r="AJ17" s="47"/>
      <c r="AK17" s="47"/>
      <c r="AL17" s="47"/>
      <c r="AM17" s="36"/>
      <c r="AN17" s="36"/>
      <c r="AO17" s="676"/>
      <c r="AP17" s="676"/>
      <c r="AQ17" s="676"/>
      <c r="AR17" s="36"/>
      <c r="AS17" s="36"/>
      <c r="AT17" s="1388"/>
      <c r="AU17" s="1388"/>
      <c r="AV17" s="1388"/>
      <c r="AW17" s="139"/>
      <c r="AX17" s="139"/>
      <c r="AY17" s="676"/>
      <c r="AZ17" s="676"/>
      <c r="BA17" s="676"/>
      <c r="BB17" s="36"/>
      <c r="BC17" s="36"/>
      <c r="BD17" s="676"/>
      <c r="BE17" s="676"/>
      <c r="BF17" s="676"/>
      <c r="BG17" s="36"/>
      <c r="BH17" s="36"/>
    </row>
    <row r="18" spans="1:80" ht="72" hidden="1" customHeight="1" x14ac:dyDescent="0.25">
      <c r="A18" s="1374" t="s">
        <v>253</v>
      </c>
      <c r="B18" s="1376"/>
      <c r="C18" s="1377"/>
      <c r="D18" s="1377"/>
      <c r="E18" s="1378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3"/>
      <c r="AU18" s="143"/>
      <c r="AV18" s="143"/>
      <c r="AW18" s="143"/>
      <c r="AX18" s="143"/>
      <c r="AY18" s="677"/>
      <c r="AZ18" s="1332"/>
      <c r="BA18" s="1332"/>
      <c r="BB18" s="1332"/>
      <c r="BC18" s="1332"/>
      <c r="BD18" s="677"/>
      <c r="BE18" s="1332" t="s">
        <v>16</v>
      </c>
      <c r="BF18" s="1332"/>
      <c r="BG18" s="1332"/>
      <c r="BH18" s="1332"/>
      <c r="BM18" s="51"/>
      <c r="BN18" s="51"/>
      <c r="BO18" s="51"/>
      <c r="BP18" s="51"/>
      <c r="BQ18" s="51"/>
      <c r="BR18" s="51"/>
      <c r="BW18" s="27"/>
      <c r="BX18" s="27"/>
      <c r="BY18" s="27"/>
      <c r="BZ18" s="27"/>
      <c r="CA18" s="27"/>
      <c r="CB18" s="27"/>
    </row>
    <row r="19" spans="1:80" ht="35.1" hidden="1" customHeight="1" thickBot="1" x14ac:dyDescent="0.3">
      <c r="A19" s="1375"/>
      <c r="B19" s="144"/>
      <c r="C19" s="145" t="s">
        <v>113</v>
      </c>
      <c r="D19" s="146"/>
      <c r="E19" s="147" t="s">
        <v>114</v>
      </c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148"/>
      <c r="AU19" s="148"/>
      <c r="AV19" s="148"/>
      <c r="AW19" s="148"/>
      <c r="AX19" s="148"/>
      <c r="AY19" s="677"/>
      <c r="AZ19" s="137"/>
      <c r="BA19" s="33"/>
      <c r="BB19" s="138"/>
      <c r="BC19" s="35"/>
      <c r="BD19" s="677"/>
      <c r="BE19" s="137"/>
      <c r="BF19" s="33"/>
      <c r="BG19" s="138"/>
      <c r="BH19" s="35"/>
      <c r="BM19" s="51"/>
      <c r="BN19" s="51"/>
      <c r="BO19" s="51"/>
      <c r="BP19" s="51"/>
      <c r="BQ19" s="51"/>
      <c r="BR19" s="51"/>
      <c r="BW19" s="27"/>
      <c r="BX19" s="27"/>
      <c r="BY19" s="27"/>
      <c r="BZ19" s="27"/>
      <c r="CA19" s="27"/>
      <c r="CB19" s="27"/>
    </row>
    <row r="20" spans="1:80" ht="26.25" hidden="1" customHeight="1" x14ac:dyDescent="0.25">
      <c r="A20" s="1396"/>
      <c r="B20" s="1396"/>
      <c r="C20" s="1396"/>
      <c r="D20" s="1397"/>
      <c r="E20" s="1397"/>
      <c r="F20" s="674"/>
      <c r="G20" s="674"/>
      <c r="H20" s="674"/>
      <c r="I20" s="1300"/>
      <c r="J20" s="1300"/>
      <c r="K20" s="44"/>
      <c r="L20" s="44"/>
      <c r="M20" s="44"/>
      <c r="N20" s="69"/>
      <c r="O20" s="69"/>
      <c r="P20" s="44"/>
      <c r="Q20" s="44"/>
      <c r="R20" s="44"/>
      <c r="S20" s="69"/>
      <c r="T20" s="69"/>
      <c r="U20" s="44"/>
      <c r="V20" s="44"/>
      <c r="W20" s="44"/>
      <c r="X20" s="69"/>
      <c r="Y20" s="69"/>
      <c r="Z20" s="44"/>
      <c r="AA20" s="44"/>
      <c r="AB20" s="44"/>
      <c r="AC20" s="69"/>
      <c r="AD20" s="69"/>
      <c r="AE20" s="44"/>
      <c r="AF20" s="44"/>
      <c r="AG20" s="44"/>
      <c r="AH20" s="69"/>
      <c r="AI20" s="69"/>
      <c r="AJ20" s="44"/>
      <c r="AK20" s="44"/>
      <c r="AL20" s="44"/>
      <c r="AM20" s="69"/>
      <c r="AN20" s="69"/>
      <c r="AO20" s="674"/>
      <c r="AP20" s="674"/>
      <c r="AQ20" s="674"/>
      <c r="AR20" s="1300"/>
      <c r="AS20" s="1300"/>
      <c r="AT20" s="1389"/>
      <c r="AU20" s="1389"/>
      <c r="AV20" s="1389"/>
      <c r="AW20" s="1390"/>
      <c r="AX20" s="1390"/>
      <c r="AY20" s="674"/>
      <c r="AZ20" s="674"/>
      <c r="BA20" s="674"/>
      <c r="BB20" s="1300"/>
      <c r="BC20" s="1300"/>
      <c r="BD20" s="674"/>
      <c r="BE20" s="674"/>
      <c r="BF20" s="674"/>
      <c r="BG20" s="1300"/>
      <c r="BH20" s="1300"/>
      <c r="BM20" s="51"/>
      <c r="BN20" s="51"/>
      <c r="BO20" s="51"/>
      <c r="BP20" s="51"/>
      <c r="BQ20" s="51"/>
      <c r="BR20" s="51"/>
      <c r="BW20" s="27"/>
      <c r="BX20" s="27"/>
      <c r="BY20" s="27"/>
      <c r="BZ20" s="27"/>
      <c r="CA20" s="27"/>
      <c r="CB20" s="27"/>
    </row>
    <row r="21" spans="1:80" ht="18.75" hidden="1" customHeight="1" x14ac:dyDescent="0.25">
      <c r="A21" s="1395"/>
      <c r="B21" s="1395"/>
      <c r="C21" s="1395"/>
      <c r="D21" s="149"/>
      <c r="E21" s="149"/>
      <c r="F21" s="676"/>
      <c r="G21" s="676"/>
      <c r="H21" s="676"/>
      <c r="I21" s="36"/>
      <c r="J21" s="36"/>
      <c r="K21" s="47"/>
      <c r="L21" s="47"/>
      <c r="M21" s="47"/>
      <c r="N21" s="36"/>
      <c r="O21" s="36"/>
      <c r="P21" s="47"/>
      <c r="Q21" s="47"/>
      <c r="R21" s="47"/>
      <c r="S21" s="36"/>
      <c r="T21" s="36"/>
      <c r="U21" s="47"/>
      <c r="V21" s="47"/>
      <c r="W21" s="47"/>
      <c r="X21" s="36"/>
      <c r="Y21" s="36"/>
      <c r="Z21" s="47"/>
      <c r="AA21" s="47"/>
      <c r="AB21" s="47"/>
      <c r="AC21" s="36"/>
      <c r="AD21" s="36"/>
      <c r="AE21" s="47"/>
      <c r="AF21" s="47"/>
      <c r="AG21" s="47"/>
      <c r="AH21" s="36"/>
      <c r="AI21" s="36"/>
      <c r="AJ21" s="47"/>
      <c r="AK21" s="47"/>
      <c r="AL21" s="47"/>
      <c r="AM21" s="36"/>
      <c r="AN21" s="36"/>
      <c r="AO21" s="676"/>
      <c r="AP21" s="676"/>
      <c r="AQ21" s="676"/>
      <c r="AR21" s="36"/>
      <c r="AS21" s="36"/>
      <c r="AT21" s="1388"/>
      <c r="AU21" s="1388"/>
      <c r="AV21" s="1388"/>
      <c r="AW21" s="139"/>
      <c r="AX21" s="139"/>
      <c r="AY21" s="676"/>
      <c r="AZ21" s="676"/>
      <c r="BA21" s="676"/>
      <c r="BB21" s="36"/>
      <c r="BC21" s="36"/>
      <c r="BD21" s="676"/>
      <c r="BE21" s="676"/>
      <c r="BF21" s="676"/>
      <c r="BG21" s="36"/>
      <c r="BH21" s="36"/>
    </row>
    <row r="22" spans="1:80" ht="36" hidden="1" customHeight="1" x14ac:dyDescent="0.25">
      <c r="A22" s="1395"/>
      <c r="B22" s="1395"/>
      <c r="C22" s="1395"/>
      <c r="D22" s="150"/>
      <c r="E22" s="149"/>
      <c r="F22" s="676"/>
      <c r="G22" s="676"/>
      <c r="H22" s="676"/>
      <c r="I22" s="140"/>
      <c r="J22" s="36"/>
      <c r="K22" s="47"/>
      <c r="L22" s="47"/>
      <c r="M22" s="47"/>
      <c r="N22" s="140"/>
      <c r="O22" s="36"/>
      <c r="P22" s="47"/>
      <c r="Q22" s="47"/>
      <c r="R22" s="47"/>
      <c r="S22" s="140"/>
      <c r="T22" s="36"/>
      <c r="U22" s="47"/>
      <c r="V22" s="47"/>
      <c r="W22" s="47"/>
      <c r="X22" s="140"/>
      <c r="Y22" s="36"/>
      <c r="Z22" s="47"/>
      <c r="AA22" s="47"/>
      <c r="AB22" s="47"/>
      <c r="AC22" s="140"/>
      <c r="AD22" s="36"/>
      <c r="AE22" s="47"/>
      <c r="AF22" s="47"/>
      <c r="AG22" s="47"/>
      <c r="AH22" s="140"/>
      <c r="AI22" s="36"/>
      <c r="AJ22" s="47"/>
      <c r="AK22" s="47"/>
      <c r="AL22" s="47"/>
      <c r="AM22" s="140"/>
      <c r="AN22" s="36"/>
      <c r="AO22" s="676"/>
      <c r="AP22" s="676"/>
      <c r="AQ22" s="676"/>
      <c r="AR22" s="140"/>
      <c r="AS22" s="36"/>
      <c r="AT22" s="1388"/>
      <c r="AU22" s="1388"/>
      <c r="AV22" s="1388"/>
      <c r="AW22" s="141"/>
      <c r="AX22" s="139"/>
      <c r="AY22" s="676"/>
      <c r="AZ22" s="676"/>
      <c r="BA22" s="676"/>
      <c r="BB22" s="36"/>
      <c r="BC22" s="36"/>
      <c r="BD22" s="676"/>
      <c r="BE22" s="676"/>
      <c r="BF22" s="676"/>
      <c r="BG22" s="36"/>
      <c r="BH22" s="36"/>
    </row>
    <row r="23" spans="1:80" ht="18.75" hidden="1" customHeight="1" x14ac:dyDescent="0.25">
      <c r="A23" s="1395"/>
      <c r="B23" s="1395"/>
      <c r="C23" s="1395"/>
      <c r="D23" s="149"/>
      <c r="E23" s="149"/>
      <c r="F23" s="676"/>
      <c r="G23" s="676"/>
      <c r="H23" s="676"/>
      <c r="I23" s="36"/>
      <c r="J23" s="36"/>
      <c r="K23" s="47"/>
      <c r="L23" s="47"/>
      <c r="M23" s="47"/>
      <c r="N23" s="36"/>
      <c r="O23" s="36"/>
      <c r="P23" s="47"/>
      <c r="Q23" s="47"/>
      <c r="R23" s="47"/>
      <c r="S23" s="36"/>
      <c r="T23" s="36"/>
      <c r="U23" s="47"/>
      <c r="V23" s="47"/>
      <c r="W23" s="47"/>
      <c r="X23" s="36"/>
      <c r="Y23" s="36"/>
      <c r="Z23" s="47"/>
      <c r="AA23" s="47"/>
      <c r="AB23" s="47"/>
      <c r="AC23" s="36"/>
      <c r="AD23" s="36"/>
      <c r="AE23" s="47"/>
      <c r="AF23" s="47"/>
      <c r="AG23" s="47"/>
      <c r="AH23" s="36"/>
      <c r="AI23" s="36"/>
      <c r="AJ23" s="47"/>
      <c r="AK23" s="47"/>
      <c r="AL23" s="47"/>
      <c r="AM23" s="36"/>
      <c r="AN23" s="36"/>
      <c r="AO23" s="676"/>
      <c r="AP23" s="676"/>
      <c r="AQ23" s="676"/>
      <c r="AR23" s="36"/>
      <c r="AS23" s="36"/>
      <c r="AT23" s="1388"/>
      <c r="AU23" s="1388"/>
      <c r="AV23" s="1388"/>
      <c r="AW23" s="139"/>
      <c r="AX23" s="139"/>
      <c r="AY23" s="676"/>
      <c r="AZ23" s="676"/>
      <c r="BA23" s="676"/>
      <c r="BB23" s="36"/>
      <c r="BC23" s="36"/>
      <c r="BD23" s="676"/>
      <c r="BE23" s="676"/>
      <c r="BF23" s="676"/>
      <c r="BG23" s="36"/>
      <c r="BH23" s="36"/>
    </row>
    <row r="24" spans="1:80" ht="77.25" hidden="1" customHeight="1" x14ac:dyDescent="0.25">
      <c r="A24" s="1398"/>
      <c r="B24" s="1399"/>
      <c r="C24" s="1399"/>
      <c r="D24" s="1399"/>
      <c r="E24" s="1399"/>
      <c r="F24" s="1370"/>
      <c r="G24" s="1371"/>
      <c r="H24" s="1371"/>
      <c r="I24" s="1371"/>
      <c r="J24" s="1371"/>
      <c r="K24" s="230"/>
      <c r="L24" s="142"/>
      <c r="M24" s="142"/>
      <c r="N24" s="142"/>
      <c r="O24" s="142"/>
      <c r="P24" s="230"/>
      <c r="Q24" s="142"/>
      <c r="R24" s="142"/>
      <c r="S24" s="142"/>
      <c r="T24" s="142"/>
      <c r="U24" s="230"/>
      <c r="V24" s="142"/>
      <c r="W24" s="142"/>
      <c r="X24" s="142"/>
      <c r="Y24" s="142"/>
      <c r="Z24" s="230"/>
      <c r="AA24" s="142"/>
      <c r="AB24" s="142"/>
      <c r="AC24" s="142"/>
      <c r="AD24" s="142"/>
      <c r="AE24" s="230"/>
      <c r="AF24" s="142"/>
      <c r="AG24" s="142"/>
      <c r="AH24" s="142"/>
      <c r="AI24" s="142"/>
      <c r="AJ24" s="230"/>
      <c r="AK24" s="142"/>
      <c r="AL24" s="142"/>
      <c r="AM24" s="142"/>
      <c r="AN24" s="142"/>
      <c r="AO24" s="1370"/>
      <c r="AP24" s="1371"/>
      <c r="AQ24" s="1371"/>
      <c r="AR24" s="1371"/>
      <c r="AS24" s="1371"/>
      <c r="AT24" s="1439"/>
      <c r="AU24" s="1440"/>
      <c r="AV24" s="1440"/>
      <c r="AW24" s="1440"/>
      <c r="AX24" s="1440"/>
      <c r="AY24" s="677"/>
      <c r="AZ24" s="1332"/>
      <c r="BA24" s="1332"/>
      <c r="BB24" s="1332"/>
      <c r="BC24" s="1332"/>
      <c r="BD24" s="677"/>
      <c r="BE24" s="1332"/>
      <c r="BF24" s="1332"/>
      <c r="BG24" s="1332"/>
      <c r="BH24" s="1332"/>
      <c r="BM24" s="51"/>
      <c r="BN24" s="51"/>
      <c r="BO24" s="51"/>
      <c r="BP24" s="51"/>
      <c r="BQ24" s="51"/>
      <c r="BR24" s="51"/>
      <c r="BW24" s="27"/>
      <c r="BX24" s="27"/>
      <c r="BY24" s="27"/>
      <c r="BZ24" s="27"/>
      <c r="CA24" s="27"/>
      <c r="CB24" s="27"/>
    </row>
    <row r="25" spans="1:80" ht="26.25" hidden="1" customHeight="1" x14ac:dyDescent="0.25">
      <c r="A25" s="1398"/>
      <c r="B25" s="151"/>
      <c r="C25" s="152"/>
      <c r="D25" s="153"/>
      <c r="E25" s="154"/>
      <c r="F25" s="1370"/>
      <c r="G25" s="32"/>
      <c r="H25" s="33"/>
      <c r="I25" s="34"/>
      <c r="J25" s="35"/>
      <c r="K25" s="230"/>
      <c r="L25" s="32"/>
      <c r="M25" s="33"/>
      <c r="N25" s="34"/>
      <c r="O25" s="35"/>
      <c r="P25" s="230"/>
      <c r="Q25" s="32"/>
      <c r="R25" s="33"/>
      <c r="S25" s="34"/>
      <c r="T25" s="35"/>
      <c r="U25" s="230"/>
      <c r="V25" s="32"/>
      <c r="W25" s="33"/>
      <c r="X25" s="34"/>
      <c r="Y25" s="35"/>
      <c r="Z25" s="230"/>
      <c r="AA25" s="32"/>
      <c r="AB25" s="33"/>
      <c r="AC25" s="34"/>
      <c r="AD25" s="35"/>
      <c r="AE25" s="230"/>
      <c r="AF25" s="32"/>
      <c r="AG25" s="33"/>
      <c r="AH25" s="34"/>
      <c r="AI25" s="35"/>
      <c r="AJ25" s="230"/>
      <c r="AK25" s="32"/>
      <c r="AL25" s="33"/>
      <c r="AM25" s="34"/>
      <c r="AN25" s="35"/>
      <c r="AO25" s="1370"/>
      <c r="AP25" s="32"/>
      <c r="AQ25" s="33"/>
      <c r="AR25" s="34"/>
      <c r="AS25" s="35"/>
      <c r="AT25" s="1439"/>
      <c r="AU25" s="155"/>
      <c r="AV25" s="148"/>
      <c r="AW25" s="156"/>
      <c r="AX25" s="157"/>
      <c r="AY25" s="677"/>
      <c r="AZ25" s="137"/>
      <c r="BA25" s="33"/>
      <c r="BB25" s="138"/>
      <c r="BC25" s="35"/>
      <c r="BD25" s="677"/>
      <c r="BE25" s="137"/>
      <c r="BF25" s="33"/>
      <c r="BG25" s="138"/>
      <c r="BH25" s="35"/>
      <c r="BM25" s="51"/>
      <c r="BN25" s="51"/>
      <c r="BO25" s="51"/>
      <c r="BP25" s="51"/>
      <c r="BQ25" s="51"/>
      <c r="BR25" s="51"/>
      <c r="BW25" s="27"/>
      <c r="BX25" s="27"/>
      <c r="BY25" s="27"/>
      <c r="BZ25" s="27"/>
      <c r="CA25" s="27"/>
      <c r="CB25" s="27"/>
    </row>
    <row r="26" spans="1:80" ht="26.25" hidden="1" customHeight="1" x14ac:dyDescent="0.25">
      <c r="A26" s="1396"/>
      <c r="B26" s="1396"/>
      <c r="C26" s="1396"/>
      <c r="D26" s="1397"/>
      <c r="E26" s="1397"/>
      <c r="F26" s="674"/>
      <c r="G26" s="674"/>
      <c r="H26" s="674"/>
      <c r="I26" s="1300"/>
      <c r="J26" s="1300"/>
      <c r="K26" s="44"/>
      <c r="L26" s="44"/>
      <c r="M26" s="44"/>
      <c r="N26" s="69"/>
      <c r="O26" s="69"/>
      <c r="P26" s="44"/>
      <c r="Q26" s="44"/>
      <c r="R26" s="44"/>
      <c r="S26" s="69"/>
      <c r="T26" s="69"/>
      <c r="U26" s="44"/>
      <c r="V26" s="44"/>
      <c r="W26" s="44"/>
      <c r="X26" s="69"/>
      <c r="Y26" s="69"/>
      <c r="Z26" s="44"/>
      <c r="AA26" s="44"/>
      <c r="AB26" s="44"/>
      <c r="AC26" s="69"/>
      <c r="AD26" s="69"/>
      <c r="AE26" s="44"/>
      <c r="AF26" s="44"/>
      <c r="AG26" s="44"/>
      <c r="AH26" s="69"/>
      <c r="AI26" s="69"/>
      <c r="AJ26" s="44"/>
      <c r="AK26" s="44"/>
      <c r="AP26" s="44"/>
      <c r="AQ26" s="44"/>
      <c r="AT26" s="1389"/>
      <c r="AU26" s="1389"/>
      <c r="AV26" s="1389"/>
      <c r="AW26" s="1390"/>
      <c r="AX26" s="1390"/>
      <c r="AY26" s="674"/>
      <c r="AZ26" s="674"/>
      <c r="BA26" s="674"/>
      <c r="BB26" s="1300"/>
      <c r="BC26" s="1300"/>
      <c r="BD26" s="674"/>
      <c r="BE26" s="674"/>
      <c r="BF26" s="674"/>
      <c r="BG26" s="1300"/>
      <c r="BH26" s="1300"/>
      <c r="BM26" s="51"/>
      <c r="BN26" s="51"/>
      <c r="BO26" s="51"/>
      <c r="BP26" s="51"/>
      <c r="BQ26" s="51"/>
      <c r="BR26" s="51"/>
      <c r="BW26" s="27"/>
      <c r="BX26" s="27"/>
      <c r="BY26" s="27"/>
      <c r="BZ26" s="27"/>
      <c r="CA26" s="27"/>
      <c r="CB26" s="27"/>
    </row>
    <row r="27" spans="1:80" ht="21" hidden="1" customHeight="1" x14ac:dyDescent="0.25">
      <c r="A27" s="1395"/>
      <c r="B27" s="1395"/>
      <c r="C27" s="1395"/>
      <c r="D27" s="149"/>
      <c r="E27" s="149"/>
      <c r="F27" s="676"/>
      <c r="G27" s="676"/>
      <c r="H27" s="676"/>
      <c r="I27" s="36"/>
      <c r="J27" s="36"/>
      <c r="K27" s="47"/>
      <c r="L27" s="47"/>
      <c r="M27" s="47"/>
      <c r="N27" s="36"/>
      <c r="O27" s="36"/>
      <c r="P27" s="47"/>
      <c r="Q27" s="47"/>
      <c r="R27" s="47"/>
      <c r="S27" s="36"/>
      <c r="T27" s="36"/>
      <c r="U27" s="47"/>
      <c r="V27" s="47"/>
      <c r="W27" s="47"/>
      <c r="X27" s="36"/>
      <c r="Y27" s="36"/>
      <c r="Z27" s="47"/>
      <c r="AA27" s="47"/>
      <c r="AB27" s="47"/>
      <c r="AC27" s="36"/>
      <c r="AD27" s="36"/>
      <c r="AE27" s="47"/>
      <c r="AF27" s="47"/>
      <c r="AG27" s="47"/>
      <c r="AH27" s="36"/>
      <c r="AI27" s="36"/>
      <c r="AJ27" s="47"/>
      <c r="AK27" s="47"/>
      <c r="AP27" s="47"/>
      <c r="AQ27" s="47"/>
      <c r="AT27" s="1388"/>
      <c r="AU27" s="1388"/>
      <c r="AV27" s="1388"/>
      <c r="AW27" s="139"/>
      <c r="AX27" s="139"/>
      <c r="AY27" s="676"/>
      <c r="AZ27" s="676"/>
      <c r="BA27" s="676"/>
      <c r="BB27" s="36"/>
      <c r="BC27" s="36"/>
      <c r="BD27" s="676"/>
      <c r="BE27" s="676"/>
      <c r="BF27" s="676"/>
      <c r="BG27" s="36"/>
      <c r="BH27" s="36"/>
    </row>
    <row r="28" spans="1:80" ht="36" hidden="1" customHeight="1" x14ac:dyDescent="0.25">
      <c r="A28" s="1395"/>
      <c r="B28" s="1395"/>
      <c r="C28" s="1395"/>
      <c r="D28" s="150"/>
      <c r="E28" s="149"/>
      <c r="F28" s="676"/>
      <c r="G28" s="676"/>
      <c r="H28" s="676"/>
      <c r="I28" s="140"/>
      <c r="J28" s="36"/>
      <c r="K28" s="47"/>
      <c r="L28" s="47"/>
      <c r="M28" s="47"/>
      <c r="N28" s="140"/>
      <c r="O28" s="36"/>
      <c r="P28" s="47"/>
      <c r="Q28" s="47"/>
      <c r="R28" s="47"/>
      <c r="S28" s="140"/>
      <c r="T28" s="36"/>
      <c r="U28" s="47"/>
      <c r="V28" s="47"/>
      <c r="W28" s="47"/>
      <c r="X28" s="140"/>
      <c r="Y28" s="36"/>
      <c r="Z28" s="47"/>
      <c r="AA28" s="47"/>
      <c r="AB28" s="47"/>
      <c r="AC28" s="140"/>
      <c r="AD28" s="36"/>
      <c r="AE28" s="47"/>
      <c r="AF28" s="47"/>
      <c r="AG28" s="47"/>
      <c r="AH28" s="36"/>
      <c r="AI28" s="36"/>
      <c r="AJ28" s="47"/>
      <c r="AK28" s="47"/>
      <c r="AP28" s="47"/>
      <c r="AQ28" s="47"/>
      <c r="AT28" s="1388"/>
      <c r="AU28" s="1388"/>
      <c r="AV28" s="1388"/>
      <c r="AW28" s="139"/>
      <c r="AX28" s="139"/>
      <c r="AY28" s="676"/>
      <c r="AZ28" s="676"/>
      <c r="BA28" s="676"/>
      <c r="BB28" s="36"/>
      <c r="BC28" s="36"/>
      <c r="BD28" s="676"/>
      <c r="BE28" s="676"/>
      <c r="BF28" s="676"/>
      <c r="BG28" s="36"/>
      <c r="BH28" s="36"/>
    </row>
    <row r="29" spans="1:80" ht="21" hidden="1" customHeight="1" x14ac:dyDescent="0.25">
      <c r="A29" s="1395"/>
      <c r="B29" s="1395"/>
      <c r="C29" s="1395"/>
      <c r="D29" s="149"/>
      <c r="E29" s="149"/>
      <c r="F29" s="676"/>
      <c r="G29" s="676"/>
      <c r="H29" s="676"/>
      <c r="I29" s="36"/>
      <c r="J29" s="36"/>
      <c r="K29" s="47"/>
      <c r="L29" s="47"/>
      <c r="M29" s="47"/>
      <c r="N29" s="36"/>
      <c r="O29" s="36"/>
      <c r="P29" s="47"/>
      <c r="Q29" s="47"/>
      <c r="R29" s="47"/>
      <c r="S29" s="36"/>
      <c r="T29" s="36"/>
      <c r="U29" s="47"/>
      <c r="V29" s="47"/>
      <c r="W29" s="47"/>
      <c r="X29" s="36"/>
      <c r="Y29" s="36"/>
      <c r="Z29" s="47"/>
      <c r="AA29" s="47"/>
      <c r="AB29" s="47"/>
      <c r="AC29" s="36"/>
      <c r="AD29" s="36"/>
      <c r="AE29" s="47"/>
      <c r="AF29" s="47"/>
      <c r="AG29" s="47"/>
      <c r="AH29" s="36"/>
      <c r="AI29" s="36"/>
      <c r="AJ29" s="47"/>
      <c r="AK29" s="47"/>
      <c r="AP29" s="47"/>
      <c r="AQ29" s="47"/>
      <c r="AR29" s="36"/>
      <c r="AS29" s="36"/>
      <c r="AT29" s="1388"/>
      <c r="AU29" s="1388"/>
      <c r="AV29" s="1388"/>
      <c r="AW29" s="139"/>
      <c r="AX29" s="139"/>
      <c r="AY29" s="676"/>
      <c r="AZ29" s="676"/>
      <c r="BA29" s="676"/>
      <c r="BB29" s="36"/>
      <c r="BC29" s="36"/>
      <c r="BD29" s="676"/>
      <c r="BE29" s="676"/>
      <c r="BF29" s="676"/>
      <c r="BG29" s="36"/>
      <c r="BH29" s="36"/>
    </row>
    <row r="30" spans="1:80" ht="60.75" customHeight="1" thickTop="1" x14ac:dyDescent="0.25">
      <c r="A30" s="1400"/>
      <c r="B30" s="1401"/>
      <c r="C30" s="1401"/>
      <c r="D30" s="1401"/>
      <c r="E30" s="1401"/>
      <c r="F30" s="1370"/>
      <c r="G30" s="1371"/>
      <c r="H30" s="1371"/>
      <c r="I30" s="1371"/>
      <c r="J30" s="1371"/>
      <c r="K30" s="230"/>
      <c r="L30" s="142"/>
      <c r="M30" s="142"/>
      <c r="N30" s="142"/>
      <c r="O30" s="142"/>
      <c r="P30" s="230"/>
      <c r="Q30" s="142"/>
      <c r="R30" s="142"/>
      <c r="S30" s="142"/>
      <c r="T30" s="142"/>
      <c r="U30" s="230"/>
      <c r="V30" s="142"/>
      <c r="W30" s="142"/>
      <c r="X30" s="142"/>
      <c r="Y30" s="142"/>
      <c r="Z30" s="230"/>
      <c r="AA30" s="142"/>
      <c r="AB30" s="142"/>
      <c r="AC30" s="142"/>
      <c r="AD30" s="142"/>
      <c r="AE30" s="70"/>
      <c r="AF30" s="231"/>
      <c r="AG30" s="231"/>
      <c r="AH30" s="231"/>
      <c r="AI30" s="231"/>
      <c r="AJ30" s="70"/>
      <c r="AR30" s="132"/>
      <c r="AS30" s="132"/>
      <c r="AT30" s="677"/>
      <c r="AU30" s="1332"/>
      <c r="AV30" s="1332"/>
      <c r="AW30" s="1332"/>
      <c r="AX30" s="1332"/>
      <c r="AY30" s="677"/>
      <c r="AZ30" s="1332"/>
      <c r="BA30" s="1332"/>
      <c r="BB30" s="1332"/>
      <c r="BC30" s="1332"/>
      <c r="BD30" s="677" t="s">
        <v>254</v>
      </c>
      <c r="BE30" s="1332"/>
      <c r="BF30" s="1332"/>
      <c r="BG30" s="1332"/>
      <c r="BH30" s="1332"/>
      <c r="BM30" s="51"/>
      <c r="BN30" s="51"/>
      <c r="BO30" s="51"/>
      <c r="BP30" s="51"/>
      <c r="BQ30" s="51"/>
      <c r="BR30" s="51"/>
      <c r="BW30" s="27"/>
      <c r="BX30" s="27"/>
      <c r="BY30" s="27"/>
      <c r="BZ30" s="27"/>
      <c r="CA30" s="27"/>
      <c r="CB30" s="27"/>
    </row>
    <row r="31" spans="1:80" ht="54.75" customHeight="1" x14ac:dyDescent="0.25">
      <c r="A31" s="1400"/>
      <c r="B31" s="158"/>
      <c r="C31" s="159"/>
      <c r="D31" s="160"/>
      <c r="E31" s="161"/>
      <c r="F31" s="1370"/>
      <c r="G31" s="32"/>
      <c r="H31" s="33"/>
      <c r="I31" s="34"/>
      <c r="J31" s="35"/>
      <c r="K31" s="230"/>
      <c r="L31" s="32"/>
      <c r="M31" s="33"/>
      <c r="N31" s="34"/>
      <c r="O31" s="35"/>
      <c r="P31" s="230"/>
      <c r="Q31" s="32"/>
      <c r="R31" s="33"/>
      <c r="S31" s="34"/>
      <c r="T31" s="35"/>
      <c r="U31" s="230"/>
      <c r="V31" s="32"/>
      <c r="W31" s="33"/>
      <c r="X31" s="34"/>
      <c r="Y31" s="35"/>
      <c r="Z31" s="230"/>
      <c r="AA31" s="32"/>
      <c r="AB31" s="33"/>
      <c r="AC31" s="34"/>
      <c r="AD31" s="35"/>
      <c r="AE31" s="70"/>
      <c r="AF31" s="137"/>
      <c r="AG31" s="33"/>
      <c r="AH31" s="138"/>
      <c r="AI31" s="35"/>
      <c r="AJ31" s="70"/>
      <c r="AK31" s="137"/>
      <c r="AL31" s="33"/>
      <c r="AM31" s="138"/>
      <c r="AN31" s="35"/>
      <c r="AO31" s="70"/>
      <c r="AP31" s="137"/>
      <c r="AQ31" s="33"/>
      <c r="AR31" s="138"/>
      <c r="AS31" s="35"/>
      <c r="AT31" s="677"/>
      <c r="AU31" s="137"/>
      <c r="AV31" s="33"/>
      <c r="AW31" s="138"/>
      <c r="AX31" s="35"/>
      <c r="AY31" s="677"/>
      <c r="AZ31" s="137" t="s">
        <v>16</v>
      </c>
      <c r="BA31" s="33"/>
      <c r="BB31" s="138"/>
      <c r="BC31" s="35"/>
      <c r="BD31" s="677"/>
      <c r="BE31" s="137" t="s">
        <v>15</v>
      </c>
      <c r="BF31" s="33"/>
      <c r="BG31" s="138"/>
      <c r="BH31" s="35"/>
      <c r="BM31" s="51"/>
      <c r="BN31" s="51"/>
      <c r="BO31" s="51"/>
      <c r="BP31" s="51"/>
      <c r="BQ31" s="51"/>
      <c r="BR31" s="51"/>
      <c r="BW31" s="27"/>
      <c r="BX31" s="27"/>
      <c r="BY31" s="27"/>
      <c r="BZ31" s="27"/>
      <c r="CA31" s="27"/>
      <c r="CB31" s="27"/>
    </row>
    <row r="32" spans="1:80" ht="59.25" customHeight="1" x14ac:dyDescent="0.25">
      <c r="A32" s="31"/>
      <c r="B32" s="162"/>
      <c r="C32" s="162"/>
      <c r="D32" s="162"/>
      <c r="F32" s="163"/>
      <c r="G32" s="163"/>
      <c r="H32" s="1413">
        <v>14</v>
      </c>
      <c r="I32" s="1413"/>
      <c r="J32" s="1413"/>
      <c r="K32" s="164"/>
      <c r="L32" s="160"/>
      <c r="M32" s="160"/>
      <c r="N32" s="160"/>
      <c r="O32" s="160"/>
      <c r="P32" s="160"/>
      <c r="Q32" s="1414" t="s">
        <v>255</v>
      </c>
      <c r="R32" s="1414"/>
      <c r="S32" s="1414"/>
      <c r="T32" s="1414"/>
      <c r="U32" s="1414"/>
      <c r="V32" s="1414"/>
      <c r="W32" s="165"/>
      <c r="X32" s="1690" t="s">
        <v>256</v>
      </c>
      <c r="Y32" s="1690"/>
      <c r="Z32" s="1690"/>
      <c r="AA32" s="1690"/>
      <c r="AB32" s="1690"/>
      <c r="AC32" s="1415">
        <f>L7+Q7+V7+AA7+AF7+AK7+AP7+G7+L13+Q13+V13+AA13+AF13+AK13</f>
        <v>20.700000000010004</v>
      </c>
      <c r="AD32" s="1415"/>
      <c r="AE32" s="1415"/>
      <c r="AF32" s="1415"/>
      <c r="AG32" s="1415"/>
      <c r="AH32" s="1415"/>
      <c r="AI32" s="166"/>
      <c r="AJ32" s="1416" t="s">
        <v>119</v>
      </c>
      <c r="AK32" s="1416"/>
      <c r="AL32" s="1416"/>
      <c r="AM32" s="1416"/>
      <c r="AN32" s="1416"/>
      <c r="AO32" s="1417">
        <f>N7+S7+X7+AC7+AH7+AM7</f>
        <v>4</v>
      </c>
      <c r="AP32" s="1417"/>
      <c r="AQ32" s="1417"/>
      <c r="AR32" s="1417"/>
      <c r="AS32" s="1417"/>
      <c r="AT32" s="1402" t="s">
        <v>120</v>
      </c>
      <c r="AU32" s="1402"/>
      <c r="AV32" s="1402"/>
      <c r="AW32" s="1402"/>
      <c r="AX32" s="127"/>
      <c r="AY32" s="72"/>
      <c r="AZ32" s="72"/>
      <c r="BA32" s="72"/>
      <c r="BB32" s="72"/>
      <c r="BC32" s="72"/>
      <c r="BD32" s="72"/>
      <c r="BE32" t="s">
        <v>16</v>
      </c>
      <c r="BF32" s="167"/>
      <c r="BG32" s="167"/>
      <c r="BH32" s="167"/>
      <c r="BM32" s="51"/>
      <c r="BN32" s="51"/>
      <c r="BO32" s="51"/>
      <c r="BP32" s="51"/>
      <c r="BQ32" s="51"/>
      <c r="BR32" s="51"/>
      <c r="BW32" s="27"/>
      <c r="BX32" s="27"/>
      <c r="BY32" s="27"/>
      <c r="BZ32" s="27"/>
      <c r="CA32" s="27"/>
      <c r="CB32" s="27"/>
    </row>
    <row r="33" spans="1:80" ht="19.5" customHeight="1" x14ac:dyDescent="0.25">
      <c r="B33" s="162"/>
      <c r="C33" s="162"/>
      <c r="D33" s="162"/>
      <c r="E33" s="163"/>
      <c r="F33" s="163"/>
      <c r="G33" s="163"/>
      <c r="H33" s="1413"/>
      <c r="I33" s="1413"/>
      <c r="J33" s="1413"/>
      <c r="K33" s="168"/>
      <c r="L33" s="160"/>
      <c r="M33" s="160"/>
      <c r="N33" s="160"/>
      <c r="O33" s="160"/>
      <c r="P33" s="160"/>
      <c r="Q33" s="1414"/>
      <c r="R33" s="1414"/>
      <c r="S33" s="1414"/>
      <c r="T33" s="1414"/>
      <c r="U33" s="1414"/>
      <c r="V33" s="1414"/>
      <c r="W33" s="169"/>
      <c r="X33" s="1690"/>
      <c r="Y33" s="1690"/>
      <c r="Z33" s="1690"/>
      <c r="AA33" s="1690"/>
      <c r="AB33" s="1690"/>
      <c r="AC33" s="1415"/>
      <c r="AD33" s="1415"/>
      <c r="AE33" s="1415"/>
      <c r="AF33" s="1415"/>
      <c r="AG33" s="1415"/>
      <c r="AH33" s="1415"/>
      <c r="AI33" s="166"/>
      <c r="AJ33" s="1416"/>
      <c r="AK33" s="1416"/>
      <c r="AL33" s="1416"/>
      <c r="AM33" s="1416"/>
      <c r="AN33" s="1416"/>
      <c r="AO33" s="1417"/>
      <c r="AP33" s="1417"/>
      <c r="AQ33" s="1417"/>
      <c r="AR33" s="1417"/>
      <c r="AS33" s="1417"/>
      <c r="AT33" s="1402"/>
      <c r="AU33" s="1402"/>
      <c r="AV33" s="1402"/>
      <c r="AW33" s="1402"/>
      <c r="BI33" s="50"/>
      <c r="BJ33" s="50"/>
      <c r="BM33" s="51"/>
      <c r="BN33" s="51"/>
      <c r="BO33" s="51"/>
      <c r="BP33" s="51"/>
      <c r="BQ33" s="51"/>
      <c r="BR33" s="51"/>
      <c r="BS33" s="27"/>
      <c r="BT33" s="27"/>
      <c r="BU33" s="27"/>
      <c r="BW33" s="27"/>
      <c r="BX33" s="27"/>
      <c r="BY33" s="27"/>
      <c r="BZ33" s="27"/>
      <c r="CA33" s="27"/>
      <c r="CB33" s="27"/>
    </row>
    <row r="34" spans="1:80" ht="2.25" hidden="1" customHeight="1" x14ac:dyDescent="0.25">
      <c r="B34" s="162"/>
      <c r="C34" s="162"/>
      <c r="D34" s="162"/>
      <c r="E34" s="163"/>
      <c r="F34" s="163"/>
      <c r="G34" s="163"/>
      <c r="H34" s="168"/>
      <c r="I34" s="168"/>
      <c r="J34" s="168"/>
      <c r="K34" s="168"/>
      <c r="L34" s="160"/>
      <c r="M34" s="160"/>
      <c r="N34" s="160"/>
      <c r="O34" s="160"/>
      <c r="P34" s="160"/>
      <c r="Q34" s="1414"/>
      <c r="R34" s="1414"/>
      <c r="S34" s="1414"/>
      <c r="T34" s="1414"/>
      <c r="U34" s="1414"/>
      <c r="V34" s="1414"/>
      <c r="W34" s="169"/>
      <c r="X34" s="1690"/>
      <c r="Y34" s="1690"/>
      <c r="Z34" s="1690"/>
      <c r="AA34" s="1690"/>
      <c r="AB34" s="1690"/>
      <c r="AC34" s="1415"/>
      <c r="AD34" s="1415"/>
      <c r="AE34" s="1415"/>
      <c r="AF34" s="1415"/>
      <c r="AG34" s="1415"/>
      <c r="AH34" s="1415"/>
      <c r="AI34" s="166"/>
      <c r="AJ34" s="1416"/>
      <c r="AK34" s="1416"/>
      <c r="AL34" s="1416"/>
      <c r="AM34" s="1416"/>
      <c r="AN34" s="1416"/>
      <c r="AO34" s="1403">
        <f>AO32*1.5</f>
        <v>6</v>
      </c>
      <c r="AP34" s="1403"/>
      <c r="AQ34" s="1403"/>
      <c r="AR34" s="1403"/>
      <c r="AS34" s="1403"/>
      <c r="AT34" s="1403"/>
      <c r="AU34" s="1403"/>
      <c r="AV34" s="1404" t="s">
        <v>121</v>
      </c>
      <c r="AW34" s="1404"/>
      <c r="BI34" s="50"/>
      <c r="BJ34" s="50"/>
      <c r="BM34" s="27"/>
      <c r="BN34" s="27"/>
      <c r="BO34" s="27"/>
      <c r="BP34" s="27"/>
      <c r="BQ34" s="27"/>
      <c r="BR34" s="27"/>
      <c r="BS34" s="27"/>
      <c r="BT34" s="27"/>
      <c r="BU34" s="27"/>
      <c r="BW34" s="27"/>
      <c r="BX34" s="27"/>
      <c r="BY34" s="27"/>
      <c r="BZ34" s="27"/>
      <c r="CA34" s="27"/>
      <c r="CB34" s="27"/>
    </row>
    <row r="35" spans="1:80" ht="54.75" customHeight="1" x14ac:dyDescent="0.25">
      <c r="B35" s="162"/>
      <c r="C35" s="162"/>
      <c r="D35" s="162"/>
      <c r="E35" s="163"/>
      <c r="F35" s="163"/>
      <c r="G35" s="163"/>
      <c r="H35" s="1405">
        <v>14</v>
      </c>
      <c r="I35" s="1405"/>
      <c r="J35" s="1405"/>
      <c r="K35" s="168"/>
      <c r="L35" s="160"/>
      <c r="M35" s="160"/>
      <c r="N35" s="160"/>
      <c r="O35" s="160"/>
      <c r="P35" s="160"/>
      <c r="Q35" s="2076" t="s">
        <v>13</v>
      </c>
      <c r="R35" s="1402"/>
      <c r="S35" s="1402"/>
      <c r="T35" s="1402"/>
      <c r="U35" s="1402"/>
      <c r="V35" s="1402"/>
      <c r="W35" s="169"/>
      <c r="X35" s="1690"/>
      <c r="Y35" s="1690"/>
      <c r="Z35" s="1690"/>
      <c r="AA35" s="1690"/>
      <c r="AB35" s="1690"/>
      <c r="AC35" s="1415"/>
      <c r="AD35" s="1415"/>
      <c r="AE35" s="1415"/>
      <c r="AF35" s="1415"/>
      <c r="AG35" s="1415"/>
      <c r="AH35" s="1415"/>
      <c r="AI35" s="166"/>
      <c r="AJ35" s="1416"/>
      <c r="AK35" s="1416"/>
      <c r="AL35" s="1416"/>
      <c r="AM35" s="1416"/>
      <c r="AN35" s="1416"/>
      <c r="AO35" s="1403"/>
      <c r="AP35" s="1403"/>
      <c r="AQ35" s="1403"/>
      <c r="AR35" s="1403"/>
      <c r="AS35" s="1403"/>
      <c r="AT35" s="1403"/>
      <c r="AU35" s="1403"/>
      <c r="AV35" s="1404"/>
      <c r="AW35" s="1404"/>
      <c r="BI35" s="50"/>
      <c r="BJ35" s="50"/>
      <c r="BM35" s="27"/>
      <c r="BN35" s="27"/>
      <c r="BO35" s="27"/>
      <c r="BP35" s="27"/>
      <c r="BQ35" s="27"/>
      <c r="BR35" s="27"/>
      <c r="BS35" s="27"/>
      <c r="BT35" s="27"/>
      <c r="BU35" s="27"/>
      <c r="BW35" s="27"/>
      <c r="BX35" s="27"/>
      <c r="BY35" s="27"/>
      <c r="BZ35" s="27"/>
      <c r="CA35" s="27"/>
      <c r="CB35" s="27"/>
    </row>
    <row r="36" spans="1:80" ht="93" customHeight="1" x14ac:dyDescent="0.25">
      <c r="B36" s="162"/>
      <c r="C36" s="162"/>
      <c r="D36" s="162"/>
      <c r="E36" s="162"/>
      <c r="F36" s="162"/>
      <c r="G36" s="164"/>
      <c r="H36" s="1408"/>
      <c r="I36" s="1408"/>
      <c r="J36" s="1408"/>
      <c r="K36" s="168"/>
      <c r="L36" s="160"/>
      <c r="M36" s="160"/>
      <c r="N36" s="160"/>
      <c r="O36" s="160"/>
      <c r="P36" s="160"/>
      <c r="Q36" s="1402"/>
      <c r="R36" s="1402"/>
      <c r="S36" s="1402"/>
      <c r="T36" s="1402"/>
      <c r="U36" s="1402"/>
      <c r="V36" s="1402"/>
      <c r="W36" s="169"/>
      <c r="X36" s="1690"/>
      <c r="Y36" s="1690"/>
      <c r="Z36" s="1690"/>
      <c r="AA36" s="1690"/>
      <c r="AB36" s="1690"/>
      <c r="AC36" s="1415"/>
      <c r="AD36" s="1415"/>
      <c r="AE36" s="1415"/>
      <c r="AF36" s="1415"/>
      <c r="AG36" s="1415"/>
      <c r="AH36" s="1415"/>
      <c r="AI36" s="166"/>
      <c r="AJ36" s="1416"/>
      <c r="AK36" s="1416"/>
      <c r="AL36" s="1416"/>
      <c r="AM36" s="1416"/>
      <c r="AN36" s="1416"/>
      <c r="AO36" s="1403"/>
      <c r="AP36" s="1403"/>
      <c r="AQ36" s="1403"/>
      <c r="AR36" s="1403"/>
      <c r="AS36" s="1403"/>
      <c r="AT36" s="1403"/>
      <c r="AU36" s="1403"/>
      <c r="AV36" s="1404"/>
      <c r="AW36" s="1404"/>
      <c r="BI36" s="50"/>
      <c r="BJ36" s="50"/>
      <c r="BM36" s="27"/>
      <c r="BN36" s="27"/>
      <c r="BO36" s="27"/>
      <c r="BP36" s="27"/>
      <c r="BQ36" s="27"/>
      <c r="BR36" s="27"/>
      <c r="BS36" s="27"/>
      <c r="BT36" s="27"/>
      <c r="BU36" s="27"/>
      <c r="BW36" s="27"/>
      <c r="BX36" s="27"/>
      <c r="BY36" s="27"/>
      <c r="BZ36" s="27"/>
      <c r="CA36" s="27"/>
      <c r="CB36" s="27"/>
    </row>
    <row r="37" spans="1:80" ht="15" customHeight="1" x14ac:dyDescent="0.25">
      <c r="B37" s="162"/>
      <c r="C37" s="162"/>
      <c r="D37" s="162"/>
      <c r="E37" s="162"/>
      <c r="F37" s="162"/>
      <c r="G37" s="164"/>
      <c r="H37" s="1408"/>
      <c r="I37" s="1408"/>
      <c r="J37" s="1408"/>
      <c r="K37" s="164"/>
      <c r="L37" s="165"/>
      <c r="M37" s="165"/>
      <c r="N37" s="165"/>
      <c r="O37" s="165"/>
      <c r="P37" s="165"/>
      <c r="Q37" s="1402"/>
      <c r="R37" s="1402"/>
      <c r="S37" s="1402"/>
      <c r="T37" s="1402"/>
      <c r="U37" s="1402"/>
      <c r="V37" s="1402"/>
      <c r="W37" s="165"/>
      <c r="X37" s="1409" t="s">
        <v>257</v>
      </c>
      <c r="Y37" s="1409"/>
      <c r="Z37" s="1409"/>
      <c r="AA37" s="1409"/>
      <c r="AB37" s="1409"/>
      <c r="AC37" s="1415">
        <f>AC32-AD45</f>
        <v>1.0004441719502211E-11</v>
      </c>
      <c r="AD37" s="1415"/>
      <c r="AE37" s="1415"/>
      <c r="AF37" s="1415"/>
      <c r="AG37" s="1415"/>
      <c r="AH37" s="1415"/>
      <c r="AI37" s="166"/>
      <c r="AJ37" s="1416"/>
      <c r="AK37" s="1416"/>
      <c r="AL37" s="1416"/>
      <c r="AM37" s="1416"/>
      <c r="AN37" s="1416"/>
      <c r="AO37" s="1403"/>
      <c r="AP37" s="1403"/>
      <c r="AQ37" s="1403"/>
      <c r="AR37" s="1403"/>
      <c r="AS37" s="1403"/>
      <c r="AT37" s="1403"/>
      <c r="AU37" s="1403"/>
      <c r="AV37" s="1404"/>
      <c r="AW37" s="1404"/>
      <c r="BI37" s="53"/>
      <c r="BJ37" s="53"/>
    </row>
    <row r="38" spans="1:80" ht="28.5" customHeight="1" x14ac:dyDescent="0.25">
      <c r="B38" s="162"/>
      <c r="C38" s="162"/>
      <c r="D38" s="162"/>
      <c r="E38" s="162"/>
      <c r="F38" s="162"/>
      <c r="G38" s="164"/>
      <c r="H38" s="1411"/>
      <c r="I38" s="1411"/>
      <c r="J38" s="1411"/>
      <c r="K38" s="168"/>
      <c r="L38" s="165"/>
      <c r="M38" s="165"/>
      <c r="N38" s="165"/>
      <c r="O38" s="165"/>
      <c r="P38" s="165"/>
      <c r="Q38" s="1402"/>
      <c r="R38" s="1402"/>
      <c r="S38" s="1402"/>
      <c r="T38" s="1402"/>
      <c r="U38" s="1402"/>
      <c r="V38" s="1402"/>
      <c r="W38" s="165"/>
      <c r="X38" s="1409"/>
      <c r="Y38" s="1409"/>
      <c r="Z38" s="1409"/>
      <c r="AA38" s="1409"/>
      <c r="AB38" s="1409"/>
      <c r="AC38" s="1415"/>
      <c r="AD38" s="1415"/>
      <c r="AE38" s="1415"/>
      <c r="AF38" s="1415"/>
      <c r="AG38" s="1415"/>
      <c r="AH38" s="1415"/>
      <c r="AI38" s="166"/>
      <c r="AJ38" s="1416"/>
      <c r="AK38" s="1416"/>
      <c r="AL38" s="1416"/>
      <c r="AM38" s="1416"/>
      <c r="AN38" s="1416"/>
      <c r="AO38" s="1403"/>
      <c r="AP38" s="1403"/>
      <c r="AQ38" s="1403"/>
      <c r="AR38" s="1403"/>
      <c r="AS38" s="1403"/>
      <c r="AT38" s="1403"/>
      <c r="AU38" s="1403"/>
      <c r="AV38" s="1404"/>
      <c r="AW38" s="1404"/>
      <c r="BI38" s="53"/>
      <c r="BJ38" s="53"/>
    </row>
    <row r="39" spans="1:80" ht="15" customHeight="1" x14ac:dyDescent="0.25">
      <c r="B39" s="162"/>
      <c r="C39" s="162"/>
      <c r="D39" s="162"/>
      <c r="E39" s="162"/>
      <c r="F39" s="162"/>
      <c r="G39" s="164"/>
      <c r="H39" s="1411"/>
      <c r="I39" s="1411"/>
      <c r="J39" s="1411"/>
      <c r="K39" s="168"/>
      <c r="L39" s="165"/>
      <c r="M39" s="165"/>
      <c r="N39" s="165"/>
      <c r="O39" s="165"/>
      <c r="P39" s="165"/>
      <c r="Q39" s="1402"/>
      <c r="R39" s="1402"/>
      <c r="S39" s="1402"/>
      <c r="T39" s="1402"/>
      <c r="U39" s="1402"/>
      <c r="V39" s="1402"/>
      <c r="W39" s="165"/>
      <c r="X39" s="1409"/>
      <c r="Y39" s="1409"/>
      <c r="Z39" s="1409"/>
      <c r="AA39" s="1409"/>
      <c r="AB39" s="1409"/>
      <c r="AC39" s="1415"/>
      <c r="AD39" s="1415"/>
      <c r="AE39" s="1415"/>
      <c r="AF39" s="1415"/>
      <c r="AG39" s="1415"/>
      <c r="AH39" s="1415"/>
      <c r="AI39" s="166"/>
      <c r="AJ39" s="1416"/>
      <c r="AK39" s="1416"/>
      <c r="AL39" s="1416"/>
      <c r="AM39" s="1416"/>
      <c r="AN39" s="1416"/>
      <c r="AO39" s="1403"/>
      <c r="AP39" s="1403"/>
      <c r="AQ39" s="1403"/>
      <c r="AR39" s="1403"/>
      <c r="AS39" s="1403"/>
      <c r="AT39" s="1403"/>
      <c r="AU39" s="1403"/>
      <c r="AV39" s="1404"/>
      <c r="AW39" s="1404"/>
      <c r="BI39" s="53"/>
      <c r="BJ39" s="53"/>
    </row>
    <row r="40" spans="1:80" ht="42.75" customHeight="1" x14ac:dyDescent="0.35">
      <c r="A40" s="54"/>
      <c r="B40" s="162"/>
      <c r="C40" s="162"/>
      <c r="D40" s="162"/>
      <c r="E40" s="162"/>
      <c r="F40" s="162"/>
      <c r="G40" s="164"/>
      <c r="H40" s="1411"/>
      <c r="I40" s="1411"/>
      <c r="J40" s="1411"/>
      <c r="K40" s="168"/>
      <c r="L40" s="165"/>
      <c r="M40" s="165"/>
      <c r="N40" s="165"/>
      <c r="O40" s="165"/>
      <c r="P40" s="165"/>
      <c r="Q40" s="1402"/>
      <c r="R40" s="1402"/>
      <c r="S40" s="1402"/>
      <c r="T40" s="1402"/>
      <c r="U40" s="1402"/>
      <c r="V40" s="1402"/>
      <c r="W40" s="165"/>
      <c r="X40" s="1409"/>
      <c r="Y40" s="1409"/>
      <c r="Z40" s="1409"/>
      <c r="AA40" s="1409"/>
      <c r="AB40" s="1409"/>
      <c r="AC40" s="1415"/>
      <c r="AD40" s="1415"/>
      <c r="AE40" s="1415"/>
      <c r="AF40" s="1415"/>
      <c r="AG40" s="1415"/>
      <c r="AH40" s="1415"/>
      <c r="AI40" s="166"/>
      <c r="AJ40" s="1416"/>
      <c r="AK40" s="1416"/>
      <c r="AL40" s="1416"/>
      <c r="AM40" s="1416"/>
      <c r="AN40" s="1416"/>
      <c r="AO40" s="1403"/>
      <c r="AP40" s="1403"/>
      <c r="AQ40" s="1403"/>
      <c r="AR40" s="1403"/>
      <c r="AS40" s="1403"/>
      <c r="AT40" s="1403"/>
      <c r="AU40" s="1403"/>
      <c r="AV40" s="1404"/>
      <c r="AW40" s="1404"/>
      <c r="BI40" s="53"/>
      <c r="BJ40" s="53"/>
    </row>
    <row r="41" spans="1:80" ht="38.25" customHeight="1" x14ac:dyDescent="0.35">
      <c r="A41" s="54"/>
      <c r="B41" s="162"/>
      <c r="C41" s="162"/>
      <c r="D41" s="162"/>
      <c r="E41" s="162"/>
      <c r="F41" s="162"/>
      <c r="G41" s="164"/>
      <c r="H41" s="1412"/>
      <c r="I41" s="1412"/>
      <c r="J41" s="1412"/>
      <c r="K41" s="168"/>
      <c r="L41" s="175"/>
      <c r="M41" s="175"/>
      <c r="N41" s="175"/>
      <c r="O41" s="175"/>
      <c r="P41" s="175"/>
      <c r="Q41" s="1402"/>
      <c r="R41" s="1402"/>
      <c r="S41" s="1402"/>
      <c r="T41" s="1402"/>
      <c r="U41" s="1402"/>
      <c r="V41" s="1402"/>
      <c r="W41" s="176"/>
      <c r="X41" s="1409"/>
      <c r="Y41" s="1409"/>
      <c r="Z41" s="1409"/>
      <c r="AA41" s="1409"/>
      <c r="AB41" s="1409"/>
      <c r="AC41" s="1415"/>
      <c r="AD41" s="1415"/>
      <c r="AE41" s="1415"/>
      <c r="AF41" s="1415"/>
      <c r="AG41" s="1415"/>
      <c r="AH41" s="1415"/>
      <c r="AI41" s="166"/>
      <c r="AJ41" s="1416"/>
      <c r="AK41" s="1416"/>
      <c r="AL41" s="1416"/>
      <c r="AM41" s="1416"/>
      <c r="AN41" s="1416"/>
      <c r="AO41" s="1418"/>
      <c r="AP41" s="1418"/>
      <c r="AQ41" s="1418"/>
      <c r="AR41" s="1418"/>
      <c r="AS41" s="1418"/>
      <c r="AT41" s="1418"/>
      <c r="AU41" s="1418"/>
      <c r="AV41" s="1418"/>
      <c r="AW41" s="1418"/>
      <c r="AX41" s="54"/>
      <c r="AY41" s="54"/>
      <c r="BI41" s="170"/>
      <c r="BJ41" s="170"/>
    </row>
    <row r="42" spans="1:80" ht="60" customHeight="1" x14ac:dyDescent="0.35">
      <c r="H42" s="1412"/>
      <c r="I42" s="1412"/>
      <c r="J42" s="1412"/>
      <c r="L42" s="175"/>
      <c r="M42" s="175"/>
      <c r="N42" s="175"/>
      <c r="O42" s="175"/>
      <c r="P42" s="175"/>
      <c r="Q42" s="1402"/>
      <c r="R42" s="1402"/>
      <c r="S42" s="1402"/>
      <c r="T42" s="1402"/>
      <c r="U42" s="1402"/>
      <c r="V42" s="1402"/>
      <c r="W42" s="176"/>
      <c r="X42" s="1409"/>
      <c r="Y42" s="1409"/>
      <c r="Z42" s="1409"/>
      <c r="AA42" s="1409"/>
      <c r="AB42" s="1409"/>
      <c r="AC42" s="1415"/>
      <c r="AD42" s="1415"/>
      <c r="AE42" s="1415"/>
      <c r="AF42" s="1415"/>
      <c r="AG42" s="1415"/>
      <c r="AH42" s="1415"/>
      <c r="AI42" s="166"/>
      <c r="AJ42" s="1416"/>
      <c r="AK42" s="1416"/>
      <c r="AL42" s="1416"/>
      <c r="AM42" s="1416"/>
      <c r="AN42" s="1416"/>
      <c r="AO42" s="1418"/>
      <c r="AP42" s="1418"/>
      <c r="AQ42" s="1418"/>
      <c r="AR42" s="1418"/>
      <c r="AS42" s="1418"/>
      <c r="AT42" s="1418"/>
      <c r="AU42" s="1418"/>
      <c r="AV42" s="1418"/>
      <c r="AW42" s="1418"/>
      <c r="AX42" s="54"/>
      <c r="AY42" s="54"/>
      <c r="BI42" s="170"/>
      <c r="BJ42" s="170"/>
    </row>
    <row r="43" spans="1:80" ht="15" customHeight="1" x14ac:dyDescent="0.35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1"/>
      <c r="AI43" s="171"/>
      <c r="AJ43" s="171"/>
      <c r="AK43" s="171"/>
      <c r="AL43" s="171"/>
      <c r="AM43" s="171"/>
      <c r="AN43" s="171"/>
      <c r="AO43" s="172"/>
      <c r="AP43" s="172"/>
      <c r="AQ43" s="172"/>
      <c r="AR43" s="172"/>
      <c r="AS43" s="172"/>
      <c r="AT43" s="172"/>
      <c r="AU43" s="172"/>
      <c r="AV43" s="172"/>
      <c r="AW43" s="172"/>
    </row>
    <row r="44" spans="1:80" ht="15.75" customHeight="1" thickBot="1" x14ac:dyDescent="0.4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3"/>
      <c r="Y44" s="171"/>
      <c r="Z44" s="171"/>
      <c r="AA44" s="171"/>
      <c r="AB44" s="171"/>
      <c r="AC44" s="171"/>
      <c r="AD44" s="171"/>
      <c r="AE44" s="171"/>
      <c r="AF44" s="171"/>
      <c r="AG44" s="171"/>
      <c r="AH44" s="171"/>
      <c r="AI44" s="171"/>
      <c r="AJ44" s="171"/>
      <c r="AK44" s="171"/>
      <c r="AL44" s="171"/>
      <c r="AM44" s="171"/>
      <c r="AN44" s="171"/>
      <c r="AO44" s="172"/>
      <c r="AP44" s="172"/>
      <c r="AQ44" s="172"/>
      <c r="AR44" s="172"/>
      <c r="AS44" s="172"/>
      <c r="AT44" s="172"/>
      <c r="AU44" s="172"/>
      <c r="AV44" s="172"/>
      <c r="AW44" s="172"/>
    </row>
    <row r="45" spans="1:80" ht="15.75" thickTop="1" x14ac:dyDescent="0.25">
      <c r="J45" t="s">
        <v>16</v>
      </c>
      <c r="AD45" s="775">
        <v>20.7</v>
      </c>
      <c r="AE45" s="776"/>
      <c r="AF45" s="776"/>
      <c r="AG45" s="776"/>
      <c r="AH45" s="777"/>
      <c r="AL45" s="727" t="s">
        <v>122</v>
      </c>
      <c r="AM45" s="727"/>
      <c r="AN45" s="727"/>
      <c r="AO45" s="727" t="s">
        <v>123</v>
      </c>
      <c r="AP45" s="727"/>
      <c r="AQ45" s="727"/>
      <c r="AR45" s="727" t="s">
        <v>124</v>
      </c>
      <c r="AS45" s="727"/>
      <c r="AT45" s="727" t="s">
        <v>125</v>
      </c>
      <c r="AU45" s="727"/>
      <c r="AY45" s="739" t="s">
        <v>126</v>
      </c>
      <c r="AZ45" s="740"/>
      <c r="BA45" s="740"/>
      <c r="BB45" s="740"/>
      <c r="BC45" s="740"/>
      <c r="BD45" s="740"/>
      <c r="BE45" s="740"/>
      <c r="BF45" s="740"/>
      <c r="BG45" s="740"/>
      <c r="BH45" s="741"/>
    </row>
    <row r="46" spans="1:80" x14ac:dyDescent="0.25">
      <c r="AD46" s="778"/>
      <c r="AE46" s="779"/>
      <c r="AF46" s="779"/>
      <c r="AG46" s="779"/>
      <c r="AH46" s="780"/>
      <c r="AL46" s="727"/>
      <c r="AM46" s="727"/>
      <c r="AN46" s="727"/>
      <c r="AO46" s="727"/>
      <c r="AP46" s="727"/>
      <c r="AQ46" s="727"/>
      <c r="AR46" s="727"/>
      <c r="AS46" s="727"/>
      <c r="AT46" s="727"/>
      <c r="AU46" s="727"/>
      <c r="AY46" s="750"/>
      <c r="AZ46" s="751"/>
      <c r="BA46" s="751"/>
      <c r="BB46" s="751"/>
      <c r="BC46" s="751"/>
      <c r="BD46" s="751"/>
      <c r="BE46" s="751"/>
      <c r="BF46" s="751"/>
      <c r="BG46" s="751"/>
      <c r="BH46" s="752"/>
    </row>
    <row r="47" spans="1:80" x14ac:dyDescent="0.25">
      <c r="AA47" s="56"/>
      <c r="AD47" s="778"/>
      <c r="AE47" s="779"/>
      <c r="AF47" s="779"/>
      <c r="AG47" s="779"/>
      <c r="AH47" s="780"/>
      <c r="AL47" s="727"/>
      <c r="AM47" s="727"/>
      <c r="AN47" s="727"/>
      <c r="AO47" s="727"/>
      <c r="AP47" s="727"/>
      <c r="AQ47" s="727"/>
      <c r="AR47" s="727"/>
      <c r="AS47" s="727"/>
      <c r="AT47" s="727"/>
      <c r="AU47" s="727"/>
      <c r="AY47" s="742"/>
      <c r="AZ47" s="743"/>
      <c r="BA47" s="743"/>
      <c r="BB47" s="743"/>
      <c r="BC47" s="743"/>
      <c r="BD47" s="743"/>
      <c r="BE47" s="743"/>
      <c r="BF47" s="743"/>
      <c r="BG47" s="743"/>
      <c r="BH47" s="744"/>
    </row>
    <row r="48" spans="1:80" x14ac:dyDescent="0.25">
      <c r="K48" t="s">
        <v>258</v>
      </c>
      <c r="AD48" s="778"/>
      <c r="AE48" s="779"/>
      <c r="AF48" s="779"/>
      <c r="AG48" s="779"/>
      <c r="AH48" s="780"/>
      <c r="AL48" s="727">
        <v>1624</v>
      </c>
      <c r="AM48" s="727"/>
      <c r="AN48" s="727"/>
      <c r="AO48" s="727">
        <f>AT70</f>
        <v>1624</v>
      </c>
      <c r="AP48" s="727"/>
      <c r="AQ48" s="727"/>
      <c r="AR48" s="1689">
        <f>AC32</f>
        <v>20.700000000010004</v>
      </c>
      <c r="AS48" s="1689"/>
      <c r="AT48" s="1689">
        <f>AC32+AO34</f>
        <v>26.700000000010004</v>
      </c>
      <c r="AU48" s="1689"/>
      <c r="AY48" s="727" t="s">
        <v>128</v>
      </c>
      <c r="AZ48" s="727"/>
      <c r="BA48" s="727"/>
      <c r="BB48" s="727"/>
      <c r="BC48" s="727"/>
      <c r="BD48" s="727"/>
      <c r="BE48" s="727"/>
      <c r="BF48" s="727"/>
      <c r="BG48" s="727"/>
      <c r="BH48" s="727"/>
    </row>
    <row r="49" spans="7:60" x14ac:dyDescent="0.25">
      <c r="G49" t="s">
        <v>16</v>
      </c>
      <c r="AD49" s="778"/>
      <c r="AE49" s="779"/>
      <c r="AF49" s="779"/>
      <c r="AG49" s="779"/>
      <c r="AH49" s="780"/>
      <c r="AL49" s="727"/>
      <c r="AM49" s="727"/>
      <c r="AN49" s="727"/>
      <c r="AO49" s="727"/>
      <c r="AP49" s="727"/>
      <c r="AQ49" s="727"/>
      <c r="AR49" s="1689"/>
      <c r="AS49" s="1689"/>
      <c r="AT49" s="1689"/>
      <c r="AU49" s="1689"/>
      <c r="AY49" s="727"/>
      <c r="AZ49" s="727"/>
      <c r="BA49" s="727"/>
      <c r="BB49" s="727"/>
      <c r="BC49" s="727"/>
      <c r="BD49" s="727"/>
      <c r="BE49" s="727"/>
      <c r="BF49" s="727"/>
      <c r="BG49" s="727"/>
      <c r="BH49" s="727"/>
    </row>
    <row r="50" spans="7:60" ht="15" customHeight="1" x14ac:dyDescent="0.25">
      <c r="AD50" s="778"/>
      <c r="AE50" s="779"/>
      <c r="AF50" s="779"/>
      <c r="AG50" s="779"/>
      <c r="AH50" s="780"/>
      <c r="AL50" s="727"/>
      <c r="AM50" s="727"/>
      <c r="AN50" s="727"/>
      <c r="AO50" s="727"/>
      <c r="AP50" s="727"/>
      <c r="AQ50" s="727"/>
      <c r="AR50" s="1689"/>
      <c r="AS50" s="1689"/>
      <c r="AT50" s="1689"/>
      <c r="AU50" s="1689"/>
      <c r="AY50" s="728">
        <f>AR48/((36*3.1415/59)*(AO48/3.281))</f>
        <v>2.1817400186141075E-2</v>
      </c>
      <c r="AZ50" s="729"/>
      <c r="BA50" s="729"/>
      <c r="BB50" s="729"/>
      <c r="BC50" s="729"/>
      <c r="BD50" s="729"/>
      <c r="BE50" s="729"/>
      <c r="BF50" s="729"/>
      <c r="BG50" s="729"/>
      <c r="BH50" s="730"/>
    </row>
    <row r="51" spans="7:60" ht="15.75" customHeight="1" thickBot="1" x14ac:dyDescent="0.3">
      <c r="AD51" s="781"/>
      <c r="AE51" s="782"/>
      <c r="AF51" s="782"/>
      <c r="AG51" s="782"/>
      <c r="AH51" s="783"/>
      <c r="AL51" s="727"/>
      <c r="AM51" s="727"/>
      <c r="AN51" s="727"/>
      <c r="AO51" s="727"/>
      <c r="AP51" s="727"/>
      <c r="AQ51" s="727"/>
      <c r="AR51" s="1689"/>
      <c r="AS51" s="1689"/>
      <c r="AT51" s="1689"/>
      <c r="AU51" s="1689"/>
      <c r="AY51" s="731"/>
      <c r="AZ51" s="732"/>
      <c r="BA51" s="732"/>
      <c r="BB51" s="732"/>
      <c r="BC51" s="732"/>
      <c r="BD51" s="732"/>
      <c r="BE51" s="732"/>
      <c r="BF51" s="732"/>
      <c r="BG51" s="732"/>
      <c r="BH51" s="733"/>
    </row>
    <row r="52" spans="7:60" ht="15.75" customHeight="1" thickTop="1" x14ac:dyDescent="0.25">
      <c r="AY52" s="734"/>
      <c r="AZ52" s="735"/>
      <c r="BA52" s="735"/>
      <c r="BB52" s="735"/>
      <c r="BC52" s="735"/>
      <c r="BD52" s="735"/>
      <c r="BE52" s="735"/>
      <c r="BF52" s="735"/>
      <c r="BG52" s="735"/>
      <c r="BH52" s="736"/>
    </row>
    <row r="53" spans="7:60" x14ac:dyDescent="0.25">
      <c r="AY53" s="739" t="s">
        <v>129</v>
      </c>
      <c r="AZ53" s="740"/>
      <c r="BA53" s="740"/>
      <c r="BB53" s="740"/>
      <c r="BC53" s="740"/>
      <c r="BD53" s="740"/>
      <c r="BE53" s="740"/>
      <c r="BF53" s="740"/>
      <c r="BG53" s="740"/>
      <c r="BH53" s="741"/>
    </row>
    <row r="54" spans="7:60" x14ac:dyDescent="0.25">
      <c r="AY54" s="742"/>
      <c r="AZ54" s="743"/>
      <c r="BA54" s="743"/>
      <c r="BB54" s="743"/>
      <c r="BC54" s="743"/>
      <c r="BD54" s="743"/>
      <c r="BE54" s="743"/>
      <c r="BF54" s="743"/>
      <c r="BG54" s="743"/>
      <c r="BH54" s="744"/>
    </row>
    <row r="55" spans="7:60" x14ac:dyDescent="0.25">
      <c r="AN55" s="727">
        <v>116</v>
      </c>
      <c r="AO55" s="727"/>
      <c r="AP55" s="727"/>
      <c r="AQ55" s="746">
        <v>14</v>
      </c>
      <c r="AR55" s="746"/>
      <c r="AS55" s="746"/>
      <c r="AT55" s="747">
        <f>AQ55*AN55</f>
        <v>1624</v>
      </c>
      <c r="AU55" s="748"/>
      <c r="AV55" s="748"/>
      <c r="AW55" s="749"/>
      <c r="AY55" s="739" t="s">
        <v>130</v>
      </c>
      <c r="AZ55" s="740"/>
      <c r="BA55" s="740"/>
      <c r="BB55" s="740"/>
      <c r="BC55" s="740"/>
      <c r="BD55" s="740"/>
      <c r="BE55" s="740"/>
      <c r="BF55" s="740"/>
      <c r="BG55" s="740"/>
      <c r="BH55" s="741"/>
    </row>
    <row r="56" spans="7:60" x14ac:dyDescent="0.25">
      <c r="AN56" s="727"/>
      <c r="AO56" s="727"/>
      <c r="AP56" s="727"/>
      <c r="AQ56" s="746"/>
      <c r="AR56" s="746"/>
      <c r="AS56" s="746"/>
      <c r="AT56" s="747"/>
      <c r="AU56" s="748"/>
      <c r="AV56" s="748"/>
      <c r="AW56" s="749"/>
      <c r="AY56" s="750"/>
      <c r="AZ56" s="751"/>
      <c r="BA56" s="751"/>
      <c r="BB56" s="751"/>
      <c r="BC56" s="751"/>
      <c r="BD56" s="751"/>
      <c r="BE56" s="751"/>
      <c r="BF56" s="751"/>
      <c r="BG56" s="751"/>
      <c r="BH56" s="752"/>
    </row>
    <row r="57" spans="7:60" ht="15" customHeight="1" x14ac:dyDescent="0.25">
      <c r="AN57" s="727"/>
      <c r="AO57" s="727"/>
      <c r="AP57" s="727"/>
      <c r="AQ57" s="746"/>
      <c r="AR57" s="746"/>
      <c r="AS57" s="746"/>
      <c r="AT57" s="747"/>
      <c r="AU57" s="748"/>
      <c r="AV57" s="748"/>
      <c r="AW57" s="749"/>
      <c r="AY57" s="750"/>
      <c r="AZ57" s="751"/>
      <c r="BA57" s="751"/>
      <c r="BB57" s="751"/>
      <c r="BC57" s="751"/>
      <c r="BD57" s="751"/>
      <c r="BE57" s="751"/>
      <c r="BF57" s="751"/>
      <c r="BG57" s="751"/>
      <c r="BH57" s="752"/>
    </row>
    <row r="58" spans="7:60" ht="15" customHeight="1" x14ac:dyDescent="0.25">
      <c r="AN58" s="727"/>
      <c r="AO58" s="727"/>
      <c r="AP58" s="727"/>
      <c r="AQ58" s="746"/>
      <c r="AR58" s="746"/>
      <c r="AS58" s="746"/>
      <c r="AT58" s="747"/>
      <c r="AU58" s="748"/>
      <c r="AV58" s="748"/>
      <c r="AW58" s="749"/>
      <c r="AY58" s="742"/>
      <c r="AZ58" s="743"/>
      <c r="BA58" s="743"/>
      <c r="BB58" s="743"/>
      <c r="BC58" s="743"/>
      <c r="BD58" s="743"/>
      <c r="BE58" s="743"/>
      <c r="BF58" s="743"/>
      <c r="BG58" s="743"/>
      <c r="BH58" s="744"/>
    </row>
    <row r="59" spans="7:60" ht="15" customHeight="1" x14ac:dyDescent="0.25">
      <c r="AN59" s="727"/>
      <c r="AO59" s="727"/>
      <c r="AP59" s="727"/>
      <c r="AQ59" s="746"/>
      <c r="AR59" s="746"/>
      <c r="AS59" s="746"/>
      <c r="AT59" s="747"/>
      <c r="AU59" s="748"/>
      <c r="AV59" s="748"/>
      <c r="AW59" s="749"/>
      <c r="AY59" s="728">
        <f>AT48/((36*3.1415/59)*(AO48/3.281))</f>
        <v>2.8141284298062966E-2</v>
      </c>
      <c r="AZ59" s="729"/>
      <c r="BA59" s="729"/>
      <c r="BB59" s="729"/>
      <c r="BC59" s="729"/>
      <c r="BD59" s="729"/>
      <c r="BE59" s="729"/>
      <c r="BF59" s="729"/>
      <c r="BG59" s="729"/>
      <c r="BH59" s="730"/>
    </row>
    <row r="60" spans="7:60" ht="15" customHeight="1" x14ac:dyDescent="0.25">
      <c r="AN60" s="727"/>
      <c r="AO60" s="727"/>
      <c r="AP60" s="727"/>
      <c r="AQ60" s="746"/>
      <c r="AR60" s="746"/>
      <c r="AS60" s="746"/>
      <c r="AT60" s="747"/>
      <c r="AU60" s="748"/>
      <c r="AV60" s="748"/>
      <c r="AW60" s="749"/>
      <c r="AY60" s="731"/>
      <c r="AZ60" s="732"/>
      <c r="BA60" s="732"/>
      <c r="BB60" s="732"/>
      <c r="BC60" s="732"/>
      <c r="BD60" s="732"/>
      <c r="BE60" s="732"/>
      <c r="BF60" s="732"/>
      <c r="BG60" s="732"/>
      <c r="BH60" s="733"/>
    </row>
    <row r="61" spans="7:60" ht="15" customHeight="1" x14ac:dyDescent="0.25">
      <c r="AN61" s="727"/>
      <c r="AO61" s="727"/>
      <c r="AP61" s="727"/>
      <c r="AQ61" s="746"/>
      <c r="AR61" s="746"/>
      <c r="AS61" s="746"/>
      <c r="AT61" s="747"/>
      <c r="AU61" s="748"/>
      <c r="AV61" s="748"/>
      <c r="AW61" s="749"/>
      <c r="AY61" s="731"/>
      <c r="AZ61" s="732"/>
      <c r="BA61" s="732"/>
      <c r="BB61" s="732"/>
      <c r="BC61" s="732"/>
      <c r="BD61" s="732"/>
      <c r="BE61" s="732"/>
      <c r="BF61" s="732"/>
      <c r="BG61" s="732"/>
      <c r="BH61" s="733"/>
    </row>
    <row r="62" spans="7:60" ht="15" customHeight="1" x14ac:dyDescent="0.25">
      <c r="AN62" s="727"/>
      <c r="AO62" s="727"/>
      <c r="AP62" s="727"/>
      <c r="AQ62" s="746"/>
      <c r="AR62" s="746"/>
      <c r="AS62" s="746"/>
      <c r="AT62" s="747"/>
      <c r="AU62" s="748"/>
      <c r="AV62" s="748"/>
      <c r="AW62" s="749"/>
      <c r="AY62" s="731"/>
      <c r="AZ62" s="732"/>
      <c r="BA62" s="732"/>
      <c r="BB62" s="732"/>
      <c r="BC62" s="732"/>
      <c r="BD62" s="732"/>
      <c r="BE62" s="732"/>
      <c r="BF62" s="732"/>
      <c r="BG62" s="732"/>
      <c r="BH62" s="733"/>
    </row>
    <row r="63" spans="7:60" ht="15" customHeight="1" x14ac:dyDescent="0.25">
      <c r="AN63" s="727"/>
      <c r="AO63" s="727"/>
      <c r="AP63" s="727"/>
      <c r="AQ63" s="746"/>
      <c r="AR63" s="746"/>
      <c r="AS63" s="746"/>
      <c r="AT63" s="747"/>
      <c r="AU63" s="748"/>
      <c r="AV63" s="748"/>
      <c r="AW63" s="749"/>
      <c r="AY63" s="734"/>
      <c r="AZ63" s="735"/>
      <c r="BA63" s="735"/>
      <c r="BB63" s="735"/>
      <c r="BC63" s="735"/>
      <c r="BD63" s="735"/>
      <c r="BE63" s="735"/>
      <c r="BF63" s="735"/>
      <c r="BG63" s="735"/>
      <c r="BH63" s="736"/>
    </row>
    <row r="64" spans="7:60" ht="15" customHeight="1" x14ac:dyDescent="0.25">
      <c r="AN64" s="727"/>
      <c r="AO64" s="727"/>
      <c r="AP64" s="727"/>
      <c r="AQ64" s="746"/>
      <c r="AR64" s="746"/>
      <c r="AS64" s="746"/>
      <c r="AT64" s="747"/>
      <c r="AU64" s="748"/>
      <c r="AV64" s="748"/>
      <c r="AW64" s="749"/>
    </row>
    <row r="65" spans="40:49" ht="15" customHeight="1" x14ac:dyDescent="0.25">
      <c r="AN65" s="727"/>
      <c r="AO65" s="727"/>
      <c r="AP65" s="727"/>
      <c r="AQ65" s="746"/>
      <c r="AR65" s="746"/>
      <c r="AS65" s="746"/>
      <c r="AT65" s="747"/>
      <c r="AU65" s="748"/>
      <c r="AV65" s="748"/>
      <c r="AW65" s="749"/>
    </row>
    <row r="66" spans="40:49" ht="15" customHeight="1" x14ac:dyDescent="0.25">
      <c r="AN66" s="727"/>
      <c r="AO66" s="727"/>
      <c r="AP66" s="727"/>
      <c r="AQ66" s="746"/>
      <c r="AR66" s="746"/>
      <c r="AS66" s="746"/>
      <c r="AT66" s="747"/>
      <c r="AU66" s="748"/>
      <c r="AV66" s="748"/>
      <c r="AW66" s="749"/>
    </row>
    <row r="67" spans="40:49" ht="15" customHeight="1" x14ac:dyDescent="0.25">
      <c r="AN67" s="727"/>
      <c r="AO67" s="727"/>
      <c r="AP67" s="727"/>
      <c r="AQ67" s="746"/>
      <c r="AR67" s="746"/>
      <c r="AS67" s="746"/>
      <c r="AT67" s="747"/>
      <c r="AU67" s="748"/>
      <c r="AV67" s="748"/>
      <c r="AW67" s="749"/>
    </row>
    <row r="68" spans="40:49" ht="15" customHeight="1" x14ac:dyDescent="0.25">
      <c r="AN68" s="727"/>
      <c r="AO68" s="727"/>
      <c r="AP68" s="727"/>
      <c r="AQ68" s="746"/>
      <c r="AR68" s="746"/>
      <c r="AS68" s="746"/>
      <c r="AT68" s="747"/>
      <c r="AU68" s="748"/>
      <c r="AV68" s="748"/>
      <c r="AW68" s="749"/>
    </row>
    <row r="69" spans="40:49" ht="15" customHeight="1" x14ac:dyDescent="0.25">
      <c r="AN69" s="727"/>
      <c r="AO69" s="727"/>
      <c r="AP69" s="727"/>
      <c r="AQ69" s="746"/>
      <c r="AR69" s="746"/>
      <c r="AS69" s="746"/>
      <c r="AT69" s="747"/>
      <c r="AU69" s="748"/>
      <c r="AV69" s="748"/>
      <c r="AW69" s="749"/>
    </row>
    <row r="70" spans="40:49" ht="15" customHeight="1" x14ac:dyDescent="0.25">
      <c r="AQ70" s="1254">
        <f>AQ55+AQ58+AQ61+AQ64+AQ67</f>
        <v>14</v>
      </c>
      <c r="AR70" s="1254"/>
      <c r="AS70" s="1254"/>
      <c r="AT70" s="747">
        <f>AT55+AT58+AT61+AT64+AT67</f>
        <v>1624</v>
      </c>
      <c r="AU70" s="748"/>
      <c r="AV70" s="748"/>
      <c r="AW70" s="749"/>
    </row>
    <row r="71" spans="40:49" ht="15" customHeight="1" x14ac:dyDescent="0.25">
      <c r="AQ71" s="1254"/>
      <c r="AR71" s="1254"/>
      <c r="AS71" s="1254"/>
      <c r="AT71" s="747"/>
      <c r="AU71" s="748"/>
      <c r="AV71" s="748"/>
      <c r="AW71" s="749"/>
    </row>
    <row r="72" spans="40:49" ht="15" customHeight="1" x14ac:dyDescent="0.25">
      <c r="AQ72" s="1254"/>
      <c r="AR72" s="1254"/>
      <c r="AS72" s="1254"/>
      <c r="AT72" s="747"/>
      <c r="AU72" s="748"/>
      <c r="AV72" s="748"/>
      <c r="AW72" s="749"/>
    </row>
    <row r="73" spans="40:49" ht="15" customHeight="1" x14ac:dyDescent="0.25"/>
    <row r="74" spans="40:49" ht="15" customHeight="1" x14ac:dyDescent="0.25"/>
    <row r="75" spans="40:49" ht="15" customHeight="1" x14ac:dyDescent="0.25"/>
    <row r="76" spans="40:49" ht="15" customHeight="1" x14ac:dyDescent="0.25"/>
    <row r="77" spans="40:49" ht="15" customHeight="1" x14ac:dyDescent="0.25">
      <c r="AS77" s="27"/>
      <c r="AT77" s="27"/>
      <c r="AU77" s="27"/>
    </row>
  </sheetData>
  <mergeCells count="250">
    <mergeCell ref="M9:O9"/>
    <mergeCell ref="R9:T9"/>
    <mergeCell ref="W9:Y9"/>
    <mergeCell ref="AB9:AD9"/>
    <mergeCell ref="AG9:AI9"/>
    <mergeCell ref="AL9:AN9"/>
    <mergeCell ref="M5:O5"/>
    <mergeCell ref="R5:T5"/>
    <mergeCell ref="W5:Y5"/>
    <mergeCell ref="P6:P7"/>
    <mergeCell ref="Q6:T6"/>
    <mergeCell ref="U6:U7"/>
    <mergeCell ref="V6:Y6"/>
    <mergeCell ref="Z6:Z7"/>
    <mergeCell ref="AA6:AD6"/>
    <mergeCell ref="BG2:BH2"/>
    <mergeCell ref="AE2:AG2"/>
    <mergeCell ref="AH2:AI2"/>
    <mergeCell ref="AJ2:AL2"/>
    <mergeCell ref="AM2:AN2"/>
    <mergeCell ref="AO2:AQ2"/>
    <mergeCell ref="AR2:AS2"/>
    <mergeCell ref="P2:R2"/>
    <mergeCell ref="S2:T2"/>
    <mergeCell ref="U2:W2"/>
    <mergeCell ref="X2:Y2"/>
    <mergeCell ref="Z2:AB2"/>
    <mergeCell ref="AC2:AD2"/>
    <mergeCell ref="F2:H2"/>
    <mergeCell ref="I2:J2"/>
    <mergeCell ref="K2:M2"/>
    <mergeCell ref="N2:O2"/>
    <mergeCell ref="AY3:BA5"/>
    <mergeCell ref="BD3:BF5"/>
    <mergeCell ref="A4:D4"/>
    <mergeCell ref="E4:E5"/>
    <mergeCell ref="AX4:AX5"/>
    <mergeCell ref="AX2:AX3"/>
    <mergeCell ref="AY2:BA2"/>
    <mergeCell ref="BB2:BC2"/>
    <mergeCell ref="BD2:BF2"/>
    <mergeCell ref="A2:D2"/>
    <mergeCell ref="E2:E3"/>
    <mergeCell ref="F3:G5"/>
    <mergeCell ref="H5:J5"/>
    <mergeCell ref="K3:L5"/>
    <mergeCell ref="P3:Q5"/>
    <mergeCell ref="U3:V5"/>
    <mergeCell ref="Z3:AA5"/>
    <mergeCell ref="AE3:AF5"/>
    <mergeCell ref="AJ3:AK5"/>
    <mergeCell ref="AO3:AP5"/>
    <mergeCell ref="A6:D6"/>
    <mergeCell ref="E6:E7"/>
    <mergeCell ref="F6:F7"/>
    <mergeCell ref="G6:J6"/>
    <mergeCell ref="K6:K7"/>
    <mergeCell ref="L6:O6"/>
    <mergeCell ref="AB5:AD5"/>
    <mergeCell ref="BB8:BC8"/>
    <mergeCell ref="BD8:BF8"/>
    <mergeCell ref="AG5:AI5"/>
    <mergeCell ref="AL5:AN5"/>
    <mergeCell ref="AQ5:AS5"/>
    <mergeCell ref="BG8:BH8"/>
    <mergeCell ref="AY9:BA11"/>
    <mergeCell ref="BD9:BF11"/>
    <mergeCell ref="Z8:AB8"/>
    <mergeCell ref="AC8:AD8"/>
    <mergeCell ref="AX6:AX7"/>
    <mergeCell ref="AY6:AY7"/>
    <mergeCell ref="AZ6:BC6"/>
    <mergeCell ref="BD6:BD7"/>
    <mergeCell ref="BE6:BH6"/>
    <mergeCell ref="AE6:AE7"/>
    <mergeCell ref="AF6:AI6"/>
    <mergeCell ref="AJ6:AJ7"/>
    <mergeCell ref="AK6:AN6"/>
    <mergeCell ref="AO6:AO7"/>
    <mergeCell ref="AP6:AS6"/>
    <mergeCell ref="Z9:AA11"/>
    <mergeCell ref="AE9:AF11"/>
    <mergeCell ref="AL11:AN11"/>
    <mergeCell ref="A12:D12"/>
    <mergeCell ref="E12:E13"/>
    <mergeCell ref="A10:D10"/>
    <mergeCell ref="E10:E11"/>
    <mergeCell ref="AY8:BA8"/>
    <mergeCell ref="A8:D8"/>
    <mergeCell ref="E8:E9"/>
    <mergeCell ref="AE8:AG8"/>
    <mergeCell ref="AH8:AI8"/>
    <mergeCell ref="AJ12:AJ13"/>
    <mergeCell ref="AK12:AN12"/>
    <mergeCell ref="K12:K13"/>
    <mergeCell ref="L12:O12"/>
    <mergeCell ref="P12:P13"/>
    <mergeCell ref="Q12:T12"/>
    <mergeCell ref="U12:U13"/>
    <mergeCell ref="K9:L11"/>
    <mergeCell ref="P9:Q11"/>
    <mergeCell ref="U9:V11"/>
    <mergeCell ref="AJ9:AK11"/>
    <mergeCell ref="M11:O11"/>
    <mergeCell ref="R11:T11"/>
    <mergeCell ref="W11:Y11"/>
    <mergeCell ref="AB11:AD11"/>
    <mergeCell ref="BD14:BF14"/>
    <mergeCell ref="BG14:BH14"/>
    <mergeCell ref="A15:E17"/>
    <mergeCell ref="AO15:AQ17"/>
    <mergeCell ref="AT15:AV17"/>
    <mergeCell ref="AY15:BA17"/>
    <mergeCell ref="BD15:BF17"/>
    <mergeCell ref="BD12:BD13"/>
    <mergeCell ref="BE12:BH12"/>
    <mergeCell ref="A14:C14"/>
    <mergeCell ref="D14:E14"/>
    <mergeCell ref="AO14:AQ14"/>
    <mergeCell ref="AR14:AS14"/>
    <mergeCell ref="AT14:AV14"/>
    <mergeCell ref="AW14:AX14"/>
    <mergeCell ref="AY14:BA14"/>
    <mergeCell ref="BB14:BC14"/>
    <mergeCell ref="AY12:AY13"/>
    <mergeCell ref="AZ12:BC12"/>
    <mergeCell ref="AE12:AE13"/>
    <mergeCell ref="AF12:AI12"/>
    <mergeCell ref="V12:Y12"/>
    <mergeCell ref="Z12:Z13"/>
    <mergeCell ref="AA12:AD12"/>
    <mergeCell ref="BG20:BH20"/>
    <mergeCell ref="A20:C20"/>
    <mergeCell ref="D20:E20"/>
    <mergeCell ref="F20:H20"/>
    <mergeCell ref="I20:J20"/>
    <mergeCell ref="AO20:AQ20"/>
    <mergeCell ref="AR20:AS20"/>
    <mergeCell ref="A18:A19"/>
    <mergeCell ref="B18:E18"/>
    <mergeCell ref="AY18:AY19"/>
    <mergeCell ref="AZ18:BC18"/>
    <mergeCell ref="BD18:BD19"/>
    <mergeCell ref="BE18:BH18"/>
    <mergeCell ref="A21:C23"/>
    <mergeCell ref="F21:H23"/>
    <mergeCell ref="AO21:AQ23"/>
    <mergeCell ref="AT21:AV23"/>
    <mergeCell ref="AY21:BA23"/>
    <mergeCell ref="BD21:BF23"/>
    <mergeCell ref="AT20:AV20"/>
    <mergeCell ref="AW20:AX20"/>
    <mergeCell ref="AY20:BA20"/>
    <mergeCell ref="BB20:BC20"/>
    <mergeCell ref="BD20:BF20"/>
    <mergeCell ref="AY24:AY25"/>
    <mergeCell ref="AZ24:BC24"/>
    <mergeCell ref="BD24:BD25"/>
    <mergeCell ref="BE24:BH24"/>
    <mergeCell ref="A24:A25"/>
    <mergeCell ref="B24:E24"/>
    <mergeCell ref="F24:F25"/>
    <mergeCell ref="G24:J24"/>
    <mergeCell ref="AO24:AO25"/>
    <mergeCell ref="AP24:AS24"/>
    <mergeCell ref="AY26:BA26"/>
    <mergeCell ref="BB26:BC26"/>
    <mergeCell ref="BD26:BF26"/>
    <mergeCell ref="BG26:BH26"/>
    <mergeCell ref="A27:C29"/>
    <mergeCell ref="F27:H29"/>
    <mergeCell ref="AT27:AV29"/>
    <mergeCell ref="AY27:BA29"/>
    <mergeCell ref="BD27:BF29"/>
    <mergeCell ref="A26:C26"/>
    <mergeCell ref="D26:E26"/>
    <mergeCell ref="F26:H26"/>
    <mergeCell ref="I26:J26"/>
    <mergeCell ref="AT26:AV26"/>
    <mergeCell ref="AW26:AX26"/>
    <mergeCell ref="BD30:BD31"/>
    <mergeCell ref="BE30:BH30"/>
    <mergeCell ref="H32:J33"/>
    <mergeCell ref="Q32:V34"/>
    <mergeCell ref="X32:AB36"/>
    <mergeCell ref="AC32:AH36"/>
    <mergeCell ref="AJ32:AN42"/>
    <mergeCell ref="AO32:AS33"/>
    <mergeCell ref="A30:A31"/>
    <mergeCell ref="B30:E30"/>
    <mergeCell ref="F30:F31"/>
    <mergeCell ref="G30:J30"/>
    <mergeCell ref="AT30:AT31"/>
    <mergeCell ref="AU30:AX30"/>
    <mergeCell ref="H35:J35"/>
    <mergeCell ref="Q35:V42"/>
    <mergeCell ref="H36:J37"/>
    <mergeCell ref="X37:AB42"/>
    <mergeCell ref="AC37:AH42"/>
    <mergeCell ref="H38:J40"/>
    <mergeCell ref="H41:J42"/>
    <mergeCell ref="AY30:AY31"/>
    <mergeCell ref="AZ30:BC30"/>
    <mergeCell ref="AY45:BH47"/>
    <mergeCell ref="AL48:AN51"/>
    <mergeCell ref="AO48:AQ51"/>
    <mergeCell ref="AR48:AS51"/>
    <mergeCell ref="AT48:AU51"/>
    <mergeCell ref="AY48:BH49"/>
    <mergeCell ref="AY50:BH52"/>
    <mergeCell ref="AO41:AW42"/>
    <mergeCell ref="AD45:AH51"/>
    <mergeCell ref="AL45:AN47"/>
    <mergeCell ref="AO45:AQ47"/>
    <mergeCell ref="AR45:AS47"/>
    <mergeCell ref="AT45:AU47"/>
    <mergeCell ref="AY53:BH54"/>
    <mergeCell ref="AN55:AP57"/>
    <mergeCell ref="AQ55:AS57"/>
    <mergeCell ref="AT55:AW57"/>
    <mergeCell ref="AY55:BH58"/>
    <mergeCell ref="AN58:AP60"/>
    <mergeCell ref="AQ58:AS60"/>
    <mergeCell ref="AT58:AW60"/>
    <mergeCell ref="AY59:BH63"/>
    <mergeCell ref="AN61:AP63"/>
    <mergeCell ref="AQ70:AS72"/>
    <mergeCell ref="AT70:AW72"/>
    <mergeCell ref="AJ8:AL8"/>
    <mergeCell ref="AM8:AN8"/>
    <mergeCell ref="K8:M8"/>
    <mergeCell ref="N8:O8"/>
    <mergeCell ref="P8:R8"/>
    <mergeCell ref="S8:T8"/>
    <mergeCell ref="U8:W8"/>
    <mergeCell ref="X8:Y8"/>
    <mergeCell ref="AQ61:AS63"/>
    <mergeCell ref="AT61:AW63"/>
    <mergeCell ref="AN64:AP66"/>
    <mergeCell ref="AQ64:AS66"/>
    <mergeCell ref="AT64:AW66"/>
    <mergeCell ref="AN67:AP69"/>
    <mergeCell ref="AQ67:AS69"/>
    <mergeCell ref="AT67:AW69"/>
    <mergeCell ref="AT32:AW33"/>
    <mergeCell ref="AO34:AU40"/>
    <mergeCell ref="AV34:AW40"/>
    <mergeCell ref="AT24:AT25"/>
    <mergeCell ref="AU24:AX24"/>
    <mergeCell ref="AG11:AI11"/>
  </mergeCells>
  <pageMargins left="0.75" right="0.5" top="1" bottom="0.5" header="0.3" footer="0.3"/>
  <pageSetup paperSize="8" scale="64" orientation="landscape" r:id="rId1"/>
  <headerFooter>
    <oddFooter>&amp;C&amp;"-,Bold Italic"&amp;16Prepared by Emir Cebecioglu&amp;RQuality Control Department</oddFooter>
  </headerFooter>
  <colBreaks count="1" manualBreakCount="1">
    <brk id="60" max="50" man="1"/>
  </col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37EFE-9241-4DE2-9070-B5034683DC6B}">
  <sheetPr>
    <tabColor rgb="FFFFC000"/>
    <pageSetUpPr fitToPage="1"/>
  </sheetPr>
  <dimension ref="A1:FP175"/>
  <sheetViews>
    <sheetView view="pageBreakPreview" topLeftCell="A12" zoomScale="40" zoomScaleNormal="55" zoomScaleSheetLayoutView="40" zoomScalePageLayoutView="25" workbookViewId="0">
      <selection activeCell="F16" sqref="F16:H17"/>
    </sheetView>
  </sheetViews>
  <sheetFormatPr defaultRowHeight="15" x14ac:dyDescent="0.25"/>
  <cols>
    <col min="1" max="1" width="5.5703125" customWidth="1"/>
    <col min="2" max="2" width="10.7109375" customWidth="1"/>
    <col min="3" max="3" width="4.28515625" customWidth="1"/>
    <col min="4" max="4" width="10" customWidth="1"/>
    <col min="5" max="5" width="10.28515625" customWidth="1"/>
    <col min="6" max="6" width="5.5703125" customWidth="1"/>
    <col min="7" max="7" width="10.7109375" customWidth="1"/>
    <col min="8" max="8" width="4.28515625" customWidth="1"/>
    <col min="9" max="9" width="10" customWidth="1"/>
    <col min="10" max="10" width="10.85546875" customWidth="1"/>
    <col min="11" max="11" width="5.5703125" customWidth="1"/>
    <col min="12" max="12" width="10.7109375" customWidth="1"/>
    <col min="13" max="13" width="4.28515625" customWidth="1"/>
    <col min="14" max="14" width="10" customWidth="1"/>
    <col min="15" max="15" width="9.85546875" customWidth="1"/>
    <col min="16" max="16" width="5.5703125" customWidth="1"/>
    <col min="17" max="17" width="10.7109375" customWidth="1"/>
    <col min="18" max="18" width="5" customWidth="1"/>
    <col min="19" max="19" width="10" customWidth="1"/>
    <col min="20" max="20" width="7.42578125" customWidth="1"/>
    <col min="21" max="21" width="5.5703125" customWidth="1"/>
    <col min="22" max="22" width="10.7109375" customWidth="1"/>
    <col min="23" max="23" width="4.28515625" customWidth="1"/>
    <col min="24" max="25" width="10" customWidth="1"/>
    <col min="26" max="26" width="5.5703125" customWidth="1"/>
    <col min="27" max="27" width="10.7109375" customWidth="1"/>
    <col min="28" max="28" width="2.7109375" customWidth="1"/>
    <col min="29" max="29" width="12.5703125" customWidth="1"/>
    <col min="30" max="31" width="5.5703125" customWidth="1"/>
    <col min="32" max="32" width="10.7109375" customWidth="1"/>
    <col min="33" max="33" width="4.28515625" customWidth="1"/>
    <col min="34" max="34" width="10" customWidth="1"/>
    <col min="35" max="36" width="5.5703125" customWidth="1"/>
    <col min="37" max="37" width="10.7109375" customWidth="1"/>
    <col min="38" max="38" width="8.5703125" customWidth="1"/>
    <col min="39" max="39" width="10" customWidth="1"/>
    <col min="40" max="41" width="5.5703125" customWidth="1"/>
    <col min="42" max="42" width="10.7109375" customWidth="1"/>
    <col min="43" max="43" width="5.7109375" customWidth="1"/>
    <col min="44" max="44" width="10" customWidth="1"/>
    <col min="45" max="45" width="8.7109375" customWidth="1"/>
    <col min="46" max="46" width="5.5703125" customWidth="1"/>
    <col min="47" max="47" width="10.7109375" customWidth="1"/>
    <col min="48" max="48" width="4.28515625" customWidth="1"/>
    <col min="49" max="49" width="10" customWidth="1"/>
    <col min="50" max="50" width="9.140625" customWidth="1"/>
    <col min="51" max="51" width="5.5703125" customWidth="1"/>
    <col min="52" max="52" width="10.7109375" customWidth="1"/>
    <col min="53" max="53" width="5.42578125" customWidth="1"/>
    <col min="54" max="54" width="10" customWidth="1"/>
    <col min="55" max="56" width="5.5703125" customWidth="1"/>
    <col min="57" max="57" width="10.7109375" customWidth="1"/>
    <col min="58" max="58" width="4.28515625" customWidth="1"/>
    <col min="59" max="59" width="10" customWidth="1"/>
    <col min="60" max="60" width="9.85546875" customWidth="1"/>
    <col min="61" max="61" width="5.5703125" customWidth="1"/>
    <col min="62" max="62" width="10.7109375" customWidth="1"/>
    <col min="63" max="63" width="4.28515625" customWidth="1"/>
    <col min="64" max="64" width="10" customWidth="1"/>
    <col min="65" max="65" width="10.28515625" customWidth="1"/>
    <col min="66" max="66" width="5.5703125" customWidth="1"/>
    <col min="67" max="67" width="14" customWidth="1"/>
    <col min="68" max="68" width="4.28515625" customWidth="1"/>
    <col min="69" max="69" width="10" customWidth="1"/>
    <col min="70" max="70" width="5.5703125" customWidth="1"/>
    <col min="71" max="71" width="1" customWidth="1"/>
    <col min="72" max="72" width="56.7109375" customWidth="1"/>
    <col min="73" max="73" width="13" customWidth="1"/>
    <col min="74" max="74" width="7" customWidth="1"/>
  </cols>
  <sheetData>
    <row r="1" spans="1:83" ht="114.75" customHeight="1" thickBot="1" x14ac:dyDescent="0.3"/>
    <row r="2" spans="1:83" ht="44.25" customHeight="1" thickTop="1" x14ac:dyDescent="0.25">
      <c r="A2" s="2098" t="s">
        <v>110</v>
      </c>
      <c r="B2" s="2099"/>
      <c r="C2" s="2100">
        <f>B7/((36*3.1415/59)*(114/3.281))</f>
        <v>5.3301837254462131E-3</v>
      </c>
      <c r="D2" s="2100"/>
      <c r="E2" s="2101"/>
      <c r="F2" s="2098" t="s">
        <v>110</v>
      </c>
      <c r="G2" s="2099"/>
      <c r="H2" s="2100">
        <f>G7/((36*3.1415/59)*(114/3.281))</f>
        <v>0.13041683334993184</v>
      </c>
      <c r="I2" s="2100"/>
      <c r="J2" s="2101"/>
      <c r="K2" s="2098" t="s">
        <v>110</v>
      </c>
      <c r="L2" s="2099"/>
      <c r="M2" s="2100">
        <f>L7/((36*3.1415/59)*(114/3.281))</f>
        <v>1.3347981216680798E-2</v>
      </c>
      <c r="N2" s="2100"/>
      <c r="O2" s="2101"/>
      <c r="P2" s="2098" t="s">
        <v>110</v>
      </c>
      <c r="Q2" s="2099"/>
      <c r="R2" s="2100">
        <f>Q7/((36*3.1415/59)*(114/3.281))</f>
        <v>3.3557635567245878E-2</v>
      </c>
      <c r="S2" s="2100"/>
      <c r="T2" s="2101"/>
      <c r="U2" s="2098" t="s">
        <v>110</v>
      </c>
      <c r="V2" s="2099"/>
      <c r="W2" s="2100">
        <f t="shared" ref="W2" si="0">V7/((36*3.1415/59)*(114/3.281))</f>
        <v>1.22038685409653E-2</v>
      </c>
      <c r="X2" s="2100"/>
      <c r="Y2" s="2101"/>
      <c r="Z2" s="2098" t="s">
        <v>110</v>
      </c>
      <c r="AA2" s="2099"/>
      <c r="AB2" s="2100">
        <f t="shared" ref="AB2" si="1">AA7/((36*3.1415/59)*(114/3.281))</f>
        <v>6.0959284296652465E-3</v>
      </c>
      <c r="AC2" s="2100"/>
      <c r="AD2" s="2101"/>
      <c r="AE2" s="2094" t="s">
        <v>110</v>
      </c>
      <c r="AF2" s="2095"/>
      <c r="AG2" s="2096">
        <f t="shared" ref="AG2" si="2">AF7/((36*3.1415/59)*(77/3.281))</f>
        <v>2.2229410817664837E-28</v>
      </c>
      <c r="AH2" s="2096"/>
      <c r="AI2" s="2097"/>
      <c r="AJ2" s="2094" t="s">
        <v>110</v>
      </c>
      <c r="AK2" s="2095"/>
      <c r="AL2" s="2096">
        <f t="shared" ref="AL2" si="3">AK7/((36*3.1415/59)*(77/3.281))</f>
        <v>2.8795978773203029E-2</v>
      </c>
      <c r="AM2" s="2096"/>
      <c r="AN2" s="2097"/>
      <c r="AO2" s="2094" t="s">
        <v>110</v>
      </c>
      <c r="AP2" s="2095"/>
      <c r="AQ2" s="2096">
        <f t="shared" ref="AQ2" si="4">AP7/((36*3.1415/59)*(77/3.281))</f>
        <v>2.2229410817664837E-17</v>
      </c>
      <c r="AR2" s="2096"/>
      <c r="AS2" s="2097"/>
      <c r="AT2" s="2094" t="s">
        <v>110</v>
      </c>
      <c r="AU2" s="2095"/>
      <c r="AV2" s="2096">
        <f t="shared" ref="AV2" si="5">AU7/((36*3.1415/59)*(77/3.281))</f>
        <v>2.2229410817664832E-38</v>
      </c>
      <c r="AW2" s="2096"/>
      <c r="AX2" s="2097"/>
      <c r="AY2" s="2094" t="s">
        <v>110</v>
      </c>
      <c r="AZ2" s="2095"/>
      <c r="BA2" s="2096">
        <f t="shared" ref="BA2" si="6">AZ7/((36*3.1415/59)*(77/3.281))</f>
        <v>1.3551048834448484E-2</v>
      </c>
      <c r="BB2" s="2096"/>
      <c r="BC2" s="2097"/>
      <c r="BD2" s="2094" t="s">
        <v>110</v>
      </c>
      <c r="BE2" s="2095"/>
      <c r="BF2" s="2096">
        <f t="shared" ref="BF2" si="7">BE7/((36*3.1415/59)*(77/3.281))</f>
        <v>1.6374184008291919E-2</v>
      </c>
      <c r="BG2" s="2096"/>
      <c r="BH2" s="2097"/>
      <c r="BI2" s="1900" t="s">
        <v>110</v>
      </c>
      <c r="BJ2" s="2083"/>
      <c r="BK2" s="2084">
        <f>BJ7/((36*3.1415/59)*(61/3.281))</f>
        <v>1.4967244511819123E-2</v>
      </c>
      <c r="BL2" s="2084"/>
      <c r="BM2" s="2085"/>
      <c r="BN2" s="1900" t="s">
        <v>110</v>
      </c>
      <c r="BO2" s="2083"/>
      <c r="BP2" s="2084">
        <f>BO7/((36*3.1415/59)*(61/3.281))</f>
        <v>1.0690888937013658E-2</v>
      </c>
      <c r="BQ2" s="2084"/>
      <c r="BR2" s="2085"/>
    </row>
    <row r="3" spans="1:83" ht="35.25" customHeight="1" x14ac:dyDescent="0.25">
      <c r="A3" s="2086" t="s">
        <v>504</v>
      </c>
      <c r="B3" s="2087"/>
      <c r="C3" s="2087"/>
      <c r="D3" s="2087" t="s">
        <v>489</v>
      </c>
      <c r="E3" s="2088"/>
      <c r="F3" s="2089"/>
      <c r="G3" s="2090"/>
      <c r="H3" s="2090"/>
      <c r="I3" s="2090"/>
      <c r="J3" s="2091"/>
      <c r="K3" s="2086" t="s">
        <v>504</v>
      </c>
      <c r="L3" s="2087"/>
      <c r="M3" s="2087"/>
      <c r="N3" s="2087" t="s">
        <v>489</v>
      </c>
      <c r="O3" s="2088"/>
      <c r="P3" s="2086" t="s">
        <v>504</v>
      </c>
      <c r="Q3" s="2087"/>
      <c r="R3" s="2087"/>
      <c r="S3" s="2087" t="s">
        <v>489</v>
      </c>
      <c r="T3" s="2088"/>
      <c r="U3" s="2089"/>
      <c r="V3" s="2090"/>
      <c r="W3" s="2090"/>
      <c r="X3" s="2090"/>
      <c r="Y3" s="2091"/>
      <c r="Z3" s="2086" t="s">
        <v>504</v>
      </c>
      <c r="AA3" s="2087"/>
      <c r="AB3" s="2087"/>
      <c r="AC3" s="2087" t="s">
        <v>489</v>
      </c>
      <c r="AD3" s="2088"/>
      <c r="AE3" s="2104" t="s">
        <v>504</v>
      </c>
      <c r="AF3" s="2105"/>
      <c r="AG3" s="2105"/>
      <c r="AH3" s="2105" t="s">
        <v>489</v>
      </c>
      <c r="AI3" s="2106"/>
      <c r="AJ3" s="2104" t="s">
        <v>504</v>
      </c>
      <c r="AK3" s="2105"/>
      <c r="AL3" s="2105"/>
      <c r="AM3" s="2105" t="s">
        <v>489</v>
      </c>
      <c r="AN3" s="2106"/>
      <c r="AO3" s="2104" t="s">
        <v>504</v>
      </c>
      <c r="AP3" s="2105"/>
      <c r="AQ3" s="2105"/>
      <c r="AR3" s="2105" t="s">
        <v>489</v>
      </c>
      <c r="AS3" s="2106"/>
      <c r="AT3" s="2104" t="s">
        <v>504</v>
      </c>
      <c r="AU3" s="2105"/>
      <c r="AV3" s="2105"/>
      <c r="AW3" s="2105" t="s">
        <v>489</v>
      </c>
      <c r="AX3" s="2106"/>
      <c r="AY3" s="2104" t="s">
        <v>504</v>
      </c>
      <c r="AZ3" s="2105"/>
      <c r="BA3" s="2105"/>
      <c r="BB3" s="2105" t="s">
        <v>489</v>
      </c>
      <c r="BC3" s="2106"/>
      <c r="BD3" s="2104" t="s">
        <v>504</v>
      </c>
      <c r="BE3" s="2105"/>
      <c r="BF3" s="2105"/>
      <c r="BG3" s="2105" t="s">
        <v>489</v>
      </c>
      <c r="BH3" s="2106"/>
      <c r="BI3" s="2086" t="s">
        <v>504</v>
      </c>
      <c r="BJ3" s="2087"/>
      <c r="BK3" s="2087"/>
      <c r="BL3" s="2087" t="s">
        <v>489</v>
      </c>
      <c r="BM3" s="2088"/>
      <c r="BN3" s="2086" t="s">
        <v>504</v>
      </c>
      <c r="BO3" s="2087"/>
      <c r="BP3" s="2087"/>
      <c r="BQ3" s="2087" t="s">
        <v>489</v>
      </c>
      <c r="BR3" s="2088"/>
    </row>
    <row r="4" spans="1:83" ht="35.25" customHeight="1" x14ac:dyDescent="0.25">
      <c r="A4" s="2089"/>
      <c r="B4" s="2090"/>
      <c r="C4" s="2090"/>
      <c r="D4" s="2090"/>
      <c r="E4" s="2091"/>
      <c r="F4" s="2086" t="s">
        <v>570</v>
      </c>
      <c r="G4" s="2087"/>
      <c r="H4" s="2087"/>
      <c r="I4" s="2090"/>
      <c r="J4" s="2091"/>
      <c r="K4" s="2089"/>
      <c r="L4" s="2090"/>
      <c r="M4" s="2090"/>
      <c r="N4" s="2087" t="s">
        <v>571</v>
      </c>
      <c r="O4" s="2088"/>
      <c r="P4" s="2089"/>
      <c r="Q4" s="2090"/>
      <c r="R4" s="2090"/>
      <c r="S4" s="2120" t="s">
        <v>571</v>
      </c>
      <c r="T4" s="2121"/>
      <c r="U4" s="2122" t="s">
        <v>570</v>
      </c>
      <c r="V4" s="2120"/>
      <c r="W4" s="2120"/>
      <c r="X4" s="2090"/>
      <c r="Y4" s="2091"/>
      <c r="Z4" s="2089"/>
      <c r="AA4" s="2090"/>
      <c r="AB4" s="2090"/>
      <c r="AC4" s="2090"/>
      <c r="AD4" s="2091"/>
      <c r="AE4" s="2123" t="s">
        <v>570</v>
      </c>
      <c r="AF4" s="2124"/>
      <c r="AG4" s="2124"/>
      <c r="AH4" s="2124" t="s">
        <v>571</v>
      </c>
      <c r="AI4" s="2125"/>
      <c r="AJ4" s="2123" t="s">
        <v>570</v>
      </c>
      <c r="AK4" s="2124"/>
      <c r="AL4" s="2124"/>
      <c r="AM4" s="2124" t="s">
        <v>571</v>
      </c>
      <c r="AN4" s="2125"/>
      <c r="AO4" s="2123" t="s">
        <v>570</v>
      </c>
      <c r="AP4" s="2124"/>
      <c r="AQ4" s="2124"/>
      <c r="AR4" s="2124" t="s">
        <v>571</v>
      </c>
      <c r="AS4" s="2125"/>
      <c r="AT4" s="2123" t="s">
        <v>570</v>
      </c>
      <c r="AU4" s="2124"/>
      <c r="AV4" s="2124"/>
      <c r="AW4" s="2124" t="s">
        <v>571</v>
      </c>
      <c r="AX4" s="2125"/>
      <c r="AY4" s="2123" t="s">
        <v>570</v>
      </c>
      <c r="AZ4" s="2124"/>
      <c r="BA4" s="2124"/>
      <c r="BB4" s="2124" t="s">
        <v>571</v>
      </c>
      <c r="BC4" s="2125"/>
      <c r="BD4" s="2123" t="s">
        <v>570</v>
      </c>
      <c r="BE4" s="2124"/>
      <c r="BF4" s="2124"/>
      <c r="BG4" s="2124" t="s">
        <v>571</v>
      </c>
      <c r="BH4" s="2125"/>
      <c r="BI4" s="2107" t="s">
        <v>570</v>
      </c>
      <c r="BJ4" s="2108"/>
      <c r="BK4" s="2108"/>
      <c r="BL4" s="2108" t="s">
        <v>571</v>
      </c>
      <c r="BM4" s="2109"/>
      <c r="BN4" s="2107" t="s">
        <v>570</v>
      </c>
      <c r="BO4" s="2108"/>
      <c r="BP4" s="2108"/>
      <c r="BQ4" s="2108" t="s">
        <v>571</v>
      </c>
      <c r="BR4" s="2109"/>
    </row>
    <row r="5" spans="1:83" ht="6" customHeight="1" x14ac:dyDescent="0.25">
      <c r="A5" s="2089"/>
      <c r="B5" s="2090"/>
      <c r="C5" s="2090"/>
      <c r="D5" s="2090"/>
      <c r="E5" s="2091"/>
      <c r="F5" s="2086"/>
      <c r="G5" s="2087"/>
      <c r="H5" s="2087"/>
      <c r="I5" s="2090"/>
      <c r="J5" s="2091"/>
      <c r="K5" s="2089"/>
      <c r="L5" s="2090"/>
      <c r="M5" s="2090"/>
      <c r="N5" s="2087"/>
      <c r="O5" s="2088"/>
      <c r="P5" s="2089"/>
      <c r="Q5" s="2090"/>
      <c r="R5" s="2090"/>
      <c r="S5" s="2120"/>
      <c r="T5" s="2121"/>
      <c r="U5" s="2122"/>
      <c r="V5" s="2120"/>
      <c r="W5" s="2120"/>
      <c r="X5" s="2090"/>
      <c r="Y5" s="2091"/>
      <c r="Z5" s="2089"/>
      <c r="AA5" s="2090"/>
      <c r="AB5" s="2090"/>
      <c r="AC5" s="2090"/>
      <c r="AD5" s="2091"/>
      <c r="AE5" s="2123"/>
      <c r="AF5" s="2124"/>
      <c r="AG5" s="2124"/>
      <c r="AH5" s="2124"/>
      <c r="AI5" s="2125"/>
      <c r="AJ5" s="2123"/>
      <c r="AK5" s="2124"/>
      <c r="AL5" s="2124"/>
      <c r="AM5" s="2124"/>
      <c r="AN5" s="2125"/>
      <c r="AO5" s="2123"/>
      <c r="AP5" s="2124"/>
      <c r="AQ5" s="2124"/>
      <c r="AR5" s="2124"/>
      <c r="AS5" s="2125"/>
      <c r="AT5" s="2123"/>
      <c r="AU5" s="2124"/>
      <c r="AV5" s="2124"/>
      <c r="AW5" s="2124"/>
      <c r="AX5" s="2125"/>
      <c r="AY5" s="2123"/>
      <c r="AZ5" s="2124"/>
      <c r="BA5" s="2124"/>
      <c r="BB5" s="2124"/>
      <c r="BC5" s="2125"/>
      <c r="BD5" s="2123"/>
      <c r="BE5" s="2124"/>
      <c r="BF5" s="2124"/>
      <c r="BG5" s="2124"/>
      <c r="BH5" s="2125"/>
      <c r="BI5" s="2107"/>
      <c r="BJ5" s="2108"/>
      <c r="BK5" s="2108"/>
      <c r="BL5" s="2108"/>
      <c r="BM5" s="2109"/>
      <c r="BN5" s="2107"/>
      <c r="BO5" s="2108"/>
      <c r="BP5" s="2108"/>
      <c r="BQ5" s="2108"/>
      <c r="BR5" s="2109"/>
    </row>
    <row r="6" spans="1:83" s="22" customFormat="1" ht="111.75" customHeight="1" x14ac:dyDescent="1.35">
      <c r="A6" s="2092" t="s">
        <v>508</v>
      </c>
      <c r="B6" s="588">
        <v>1</v>
      </c>
      <c r="C6" s="589"/>
      <c r="D6" s="589"/>
      <c r="E6" s="590"/>
      <c r="F6" s="2092" t="s">
        <v>508</v>
      </c>
      <c r="G6" s="588">
        <v>2</v>
      </c>
      <c r="H6" s="589"/>
      <c r="I6" s="589"/>
      <c r="J6" s="590"/>
      <c r="K6" s="2092" t="s">
        <v>508</v>
      </c>
      <c r="L6" s="588">
        <v>3</v>
      </c>
      <c r="M6" s="589"/>
      <c r="N6" s="589"/>
      <c r="O6" s="590"/>
      <c r="P6" s="2092" t="s">
        <v>508</v>
      </c>
      <c r="Q6" s="588">
        <v>4</v>
      </c>
      <c r="R6" s="589"/>
      <c r="S6" s="589"/>
      <c r="T6" s="590"/>
      <c r="U6" s="2092" t="s">
        <v>508</v>
      </c>
      <c r="V6" s="588">
        <v>5</v>
      </c>
      <c r="W6" s="589"/>
      <c r="X6" s="589"/>
      <c r="Y6" s="590"/>
      <c r="Z6" s="2092" t="s">
        <v>508</v>
      </c>
      <c r="AA6" s="588">
        <v>6</v>
      </c>
      <c r="AB6" s="589"/>
      <c r="AC6" s="589"/>
      <c r="AD6" s="590"/>
      <c r="AE6" s="2102" t="s">
        <v>330</v>
      </c>
      <c r="AF6" s="588">
        <v>84</v>
      </c>
      <c r="AG6" s="589"/>
      <c r="AH6" s="589"/>
      <c r="AI6" s="590"/>
      <c r="AJ6" s="2102" t="s">
        <v>330</v>
      </c>
      <c r="AK6" s="588">
        <v>85</v>
      </c>
      <c r="AL6" s="589"/>
      <c r="AM6" s="589"/>
      <c r="AN6" s="590"/>
      <c r="AO6" s="2102" t="s">
        <v>330</v>
      </c>
      <c r="AP6" s="588">
        <v>86</v>
      </c>
      <c r="AQ6" s="589"/>
      <c r="AR6" s="589"/>
      <c r="AS6" s="590"/>
      <c r="AT6" s="2102" t="s">
        <v>330</v>
      </c>
      <c r="AU6" s="588">
        <v>87</v>
      </c>
      <c r="AV6" s="589"/>
      <c r="AW6" s="589"/>
      <c r="AX6" s="590"/>
      <c r="AY6" s="2102" t="s">
        <v>330</v>
      </c>
      <c r="AZ6" s="588">
        <v>88</v>
      </c>
      <c r="BA6" s="589"/>
      <c r="BB6" s="589"/>
      <c r="BC6" s="590"/>
      <c r="BD6" s="2102" t="s">
        <v>330</v>
      </c>
      <c r="BE6" s="588">
        <v>89</v>
      </c>
      <c r="BF6" s="589"/>
      <c r="BG6" s="589"/>
      <c r="BH6" s="590"/>
      <c r="BI6" s="1898" t="s">
        <v>572</v>
      </c>
      <c r="BJ6" s="588">
        <v>7</v>
      </c>
      <c r="BK6" s="589"/>
      <c r="BL6" s="589"/>
      <c r="BM6" s="590"/>
      <c r="BN6" s="1898" t="s">
        <v>572</v>
      </c>
      <c r="BO6" s="588">
        <v>8</v>
      </c>
      <c r="BP6" s="589"/>
      <c r="BQ6" s="589"/>
      <c r="BR6" s="590"/>
    </row>
    <row r="7" spans="1:83" ht="50.25" customHeight="1" thickBot="1" x14ac:dyDescent="0.3">
      <c r="A7" s="2093"/>
      <c r="B7" s="61">
        <v>0.35499999999999998</v>
      </c>
      <c r="C7" s="62" t="s">
        <v>113</v>
      </c>
      <c r="D7" s="63"/>
      <c r="E7" s="64" t="s">
        <v>114</v>
      </c>
      <c r="F7" s="2093"/>
      <c r="G7" s="61">
        <v>8.6859999999999999</v>
      </c>
      <c r="H7" s="62" t="s">
        <v>113</v>
      </c>
      <c r="I7" s="63">
        <v>1</v>
      </c>
      <c r="J7" s="64" t="s">
        <v>114</v>
      </c>
      <c r="K7" s="2093"/>
      <c r="L7" s="61">
        <v>0.88900000000000001</v>
      </c>
      <c r="M7" s="62" t="s">
        <v>113</v>
      </c>
      <c r="N7" s="63"/>
      <c r="O7" s="64" t="s">
        <v>114</v>
      </c>
      <c r="P7" s="2093"/>
      <c r="Q7" s="61">
        <v>2.2349999999999999</v>
      </c>
      <c r="R7" s="62" t="s">
        <v>113</v>
      </c>
      <c r="S7" s="63">
        <v>1</v>
      </c>
      <c r="T7" s="64" t="s">
        <v>114</v>
      </c>
      <c r="U7" s="2093"/>
      <c r="V7" s="61">
        <v>0.81279999999999997</v>
      </c>
      <c r="W7" s="62" t="s">
        <v>113</v>
      </c>
      <c r="X7" s="63"/>
      <c r="Y7" s="64" t="s">
        <v>114</v>
      </c>
      <c r="Z7" s="2093"/>
      <c r="AA7" s="61">
        <v>0.40600000000000003</v>
      </c>
      <c r="AB7" s="62" t="s">
        <v>113</v>
      </c>
      <c r="AC7" s="63">
        <v>1</v>
      </c>
      <c r="AD7" s="64" t="s">
        <v>114</v>
      </c>
      <c r="AE7" s="2103"/>
      <c r="AF7" s="61">
        <v>1E-26</v>
      </c>
      <c r="AG7" s="62" t="s">
        <v>113</v>
      </c>
      <c r="AH7" s="63"/>
      <c r="AI7" s="64" t="s">
        <v>114</v>
      </c>
      <c r="AJ7" s="2103"/>
      <c r="AK7" s="61">
        <v>1.2954000000000001</v>
      </c>
      <c r="AL7" s="62" t="s">
        <v>113</v>
      </c>
      <c r="AM7" s="63">
        <v>1</v>
      </c>
      <c r="AN7" s="64" t="s">
        <v>114</v>
      </c>
      <c r="AO7" s="2103"/>
      <c r="AP7" s="61">
        <v>1.0000000000000001E-15</v>
      </c>
      <c r="AQ7" s="62" t="s">
        <v>113</v>
      </c>
      <c r="AR7" s="63"/>
      <c r="AS7" s="64" t="s">
        <v>114</v>
      </c>
      <c r="AT7" s="2103"/>
      <c r="AU7" s="61">
        <v>9.9999999999999994E-37</v>
      </c>
      <c r="AV7" s="62" t="s">
        <v>113</v>
      </c>
      <c r="AW7" s="63"/>
      <c r="AX7" s="64" t="s">
        <v>114</v>
      </c>
      <c r="AY7" s="2103"/>
      <c r="AZ7" s="61">
        <v>0.60960000000000003</v>
      </c>
      <c r="BA7" s="62" t="s">
        <v>113</v>
      </c>
      <c r="BB7" s="63">
        <v>1</v>
      </c>
      <c r="BC7" s="64" t="s">
        <v>114</v>
      </c>
      <c r="BD7" s="2103"/>
      <c r="BE7" s="61">
        <v>0.73660000000000003</v>
      </c>
      <c r="BF7" s="62" t="s">
        <v>113</v>
      </c>
      <c r="BG7" s="63"/>
      <c r="BH7" s="64" t="s">
        <v>114</v>
      </c>
      <c r="BI7" s="1899"/>
      <c r="BJ7" s="61">
        <v>0.53339999999999999</v>
      </c>
      <c r="BK7" s="62" t="s">
        <v>113</v>
      </c>
      <c r="BL7" s="63"/>
      <c r="BM7" s="64" t="s">
        <v>114</v>
      </c>
      <c r="BN7" s="1899"/>
      <c r="BO7" s="61">
        <v>0.38100000000000001</v>
      </c>
      <c r="BP7" s="62" t="s">
        <v>113</v>
      </c>
      <c r="BQ7" s="63"/>
      <c r="BR7" s="64" t="s">
        <v>114</v>
      </c>
      <c r="BW7" s="27"/>
      <c r="BX7" s="27"/>
      <c r="BY7" s="27"/>
      <c r="BZ7" s="27"/>
      <c r="CA7" s="27"/>
      <c r="CB7" s="27"/>
      <c r="CC7" s="27"/>
      <c r="CD7" s="27"/>
      <c r="CE7" s="27"/>
    </row>
    <row r="8" spans="1:83" ht="44.25" customHeight="1" thickTop="1" x14ac:dyDescent="0.25">
      <c r="A8" s="1900" t="s">
        <v>110</v>
      </c>
      <c r="B8" s="2083"/>
      <c r="C8" s="2084">
        <f t="shared" ref="C8" si="8">B13/((36*3.1415/59)*(61/3.281))</f>
        <v>9.335587268620589E-2</v>
      </c>
      <c r="D8" s="2084"/>
      <c r="E8" s="2085"/>
      <c r="F8" s="1900" t="s">
        <v>110</v>
      </c>
      <c r="G8" s="2083"/>
      <c r="H8" s="2084">
        <f t="shared" ref="H8" si="9">G13/((36*3.1415/59)*(61/3.281))</f>
        <v>0.10619616344100236</v>
      </c>
      <c r="I8" s="2084"/>
      <c r="J8" s="2085"/>
      <c r="K8" s="1900" t="s">
        <v>110</v>
      </c>
      <c r="L8" s="2083"/>
      <c r="M8" s="2084">
        <f t="shared" ref="M8" si="10">L13/((36*3.1415/59)*(61/3.281))</f>
        <v>0.12186490985157565</v>
      </c>
      <c r="N8" s="2084"/>
      <c r="O8" s="2085"/>
      <c r="P8" s="1900" t="s">
        <v>110</v>
      </c>
      <c r="Q8" s="2083"/>
      <c r="R8" s="2084">
        <f t="shared" ref="R8" si="11">Q13/((36*3.1415/59)*(61/3.281))</f>
        <v>2.8060075950167084E-13</v>
      </c>
      <c r="S8" s="2084"/>
      <c r="T8" s="2085"/>
      <c r="U8" s="1900" t="s">
        <v>110</v>
      </c>
      <c r="V8" s="2083"/>
      <c r="W8" s="2084">
        <f t="shared" ref="W8" si="12">V13/((36*3.1415/59)*(61/3.281))</f>
        <v>1.7088586253651755E-2</v>
      </c>
      <c r="X8" s="2084"/>
      <c r="Y8" s="2085"/>
      <c r="Z8" s="1900" t="s">
        <v>110</v>
      </c>
      <c r="AA8" s="2083"/>
      <c r="AB8" s="2084">
        <f t="shared" ref="AB8" si="13">AA13/((36*3.1415/59)*(61/3.281))</f>
        <v>1.4254518582684879E-2</v>
      </c>
      <c r="AC8" s="2084"/>
      <c r="AD8" s="2085"/>
      <c r="AE8" s="1900" t="s">
        <v>110</v>
      </c>
      <c r="AF8" s="2083"/>
      <c r="AG8" s="2084">
        <f t="shared" ref="AG8" si="14">AF13/((36*3.1415/59)*(61/3.281))</f>
        <v>8.5302630888507928E-3</v>
      </c>
      <c r="AH8" s="2084"/>
      <c r="AI8" s="2085"/>
      <c r="AJ8" s="1900" t="s">
        <v>110</v>
      </c>
      <c r="AK8" s="2083"/>
      <c r="AL8" s="2084">
        <f t="shared" ref="AL8" si="15">AK13/((36*3.1415/59)*(61/3.281))</f>
        <v>1.4254518582684879E-2</v>
      </c>
      <c r="AM8" s="2084"/>
      <c r="AN8" s="2085"/>
      <c r="AO8" s="1900" t="s">
        <v>110</v>
      </c>
      <c r="AP8" s="2083"/>
      <c r="AQ8" s="2084">
        <f t="shared" ref="AQ8" si="16">AP13/((36*3.1415/59)*(61/3.281))</f>
        <v>5.5587010457280997E-2</v>
      </c>
      <c r="AR8" s="2084"/>
      <c r="AS8" s="2085"/>
      <c r="AT8" s="1900" t="s">
        <v>110</v>
      </c>
      <c r="AU8" s="2083"/>
      <c r="AV8" s="2084">
        <f t="shared" ref="AV8" si="17">AU13/((36*3.1415/59)*(61/3.281))</f>
        <v>7.1974094812178563E-2</v>
      </c>
      <c r="AW8" s="2084"/>
      <c r="AX8" s="2085"/>
      <c r="AY8" s="1900" t="s">
        <v>110</v>
      </c>
      <c r="AZ8" s="2083"/>
      <c r="BA8" s="2084">
        <f t="shared" ref="BA8" si="18">AZ13/((36*3.1415/59)*(61/3.281))</f>
        <v>5.6961954178839187E-3</v>
      </c>
      <c r="BB8" s="2084"/>
      <c r="BC8" s="2085"/>
      <c r="BD8" s="1900" t="s">
        <v>110</v>
      </c>
      <c r="BE8" s="2083"/>
      <c r="BF8" s="2084">
        <f t="shared" ref="BF8" si="19">BE13/((36*3.1415/59)*(61/3.281))</f>
        <v>7.1272592913424393E-3</v>
      </c>
      <c r="BG8" s="2084"/>
      <c r="BH8" s="2085"/>
      <c r="BI8" s="1900" t="s">
        <v>110</v>
      </c>
      <c r="BJ8" s="2083"/>
      <c r="BK8" s="2084">
        <f t="shared" ref="BK8" si="20">BJ13/((36*3.1415/59)*(61/3.281))</f>
        <v>6.2719881763813462E-2</v>
      </c>
      <c r="BL8" s="2084"/>
      <c r="BM8" s="2085"/>
      <c r="BN8" s="1900" t="s">
        <v>110</v>
      </c>
      <c r="BO8" s="2083"/>
      <c r="BP8" s="2084">
        <f t="shared" ref="BP8" si="21">BO13/((36*3.1415/59)*(61/3.281))</f>
        <v>2.6370859377967026E-2</v>
      </c>
      <c r="BQ8" s="2084"/>
      <c r="BR8" s="2085"/>
    </row>
    <row r="9" spans="1:83" ht="35.25" customHeight="1" x14ac:dyDescent="0.25">
      <c r="A9" s="2104" t="s">
        <v>504</v>
      </c>
      <c r="B9" s="2105"/>
      <c r="C9" s="2105"/>
      <c r="D9" s="2105" t="s">
        <v>489</v>
      </c>
      <c r="E9" s="2106"/>
      <c r="F9" s="2086" t="s">
        <v>504</v>
      </c>
      <c r="G9" s="2087"/>
      <c r="H9" s="2087"/>
      <c r="I9" s="2105" t="s">
        <v>489</v>
      </c>
      <c r="J9" s="2106"/>
      <c r="K9" s="2104" t="s">
        <v>504</v>
      </c>
      <c r="L9" s="2105"/>
      <c r="M9" s="2105"/>
      <c r="N9" s="2105" t="s">
        <v>489</v>
      </c>
      <c r="O9" s="2106"/>
      <c r="P9" s="2086" t="s">
        <v>504</v>
      </c>
      <c r="Q9" s="2087"/>
      <c r="R9" s="2087"/>
      <c r="S9" s="2087" t="s">
        <v>489</v>
      </c>
      <c r="T9" s="2088"/>
      <c r="U9" s="2104" t="s">
        <v>504</v>
      </c>
      <c r="V9" s="2105"/>
      <c r="W9" s="2105"/>
      <c r="X9" s="2105" t="s">
        <v>489</v>
      </c>
      <c r="Y9" s="2106"/>
      <c r="Z9" s="2086" t="s">
        <v>504</v>
      </c>
      <c r="AA9" s="2087"/>
      <c r="AB9" s="2087"/>
      <c r="AC9" s="2087" t="s">
        <v>489</v>
      </c>
      <c r="AD9" s="2088"/>
      <c r="AE9" s="2104" t="s">
        <v>504</v>
      </c>
      <c r="AF9" s="2105"/>
      <c r="AG9" s="2105"/>
      <c r="AH9" s="2105" t="s">
        <v>489</v>
      </c>
      <c r="AI9" s="2106"/>
      <c r="AJ9" s="2086" t="s">
        <v>504</v>
      </c>
      <c r="AK9" s="2087"/>
      <c r="AL9" s="2087"/>
      <c r="AM9" s="2105" t="s">
        <v>489</v>
      </c>
      <c r="AN9" s="2106"/>
      <c r="AO9" s="2086" t="s">
        <v>504</v>
      </c>
      <c r="AP9" s="2087"/>
      <c r="AQ9" s="2087"/>
      <c r="AR9" s="2087" t="s">
        <v>489</v>
      </c>
      <c r="AS9" s="2088"/>
      <c r="AT9" s="2104" t="s">
        <v>504</v>
      </c>
      <c r="AU9" s="2105"/>
      <c r="AV9" s="2105"/>
      <c r="AW9" s="2105" t="s">
        <v>489</v>
      </c>
      <c r="AX9" s="2106"/>
      <c r="AY9" s="2104" t="s">
        <v>504</v>
      </c>
      <c r="AZ9" s="2105"/>
      <c r="BA9" s="2105"/>
      <c r="BB9" s="2105" t="s">
        <v>489</v>
      </c>
      <c r="BC9" s="2106"/>
      <c r="BD9" s="2104" t="s">
        <v>504</v>
      </c>
      <c r="BE9" s="2105"/>
      <c r="BF9" s="2105"/>
      <c r="BG9" s="2105" t="s">
        <v>489</v>
      </c>
      <c r="BH9" s="2106"/>
      <c r="BI9" s="2086" t="s">
        <v>504</v>
      </c>
      <c r="BJ9" s="2087"/>
      <c r="BK9" s="2087"/>
      <c r="BL9" s="2087" t="s">
        <v>489</v>
      </c>
      <c r="BM9" s="2088"/>
      <c r="BN9" s="2086" t="s">
        <v>504</v>
      </c>
      <c r="BO9" s="2087"/>
      <c r="BP9" s="2087"/>
      <c r="BQ9" s="2087" t="s">
        <v>489</v>
      </c>
      <c r="BR9" s="2088"/>
    </row>
    <row r="10" spans="1:83" ht="35.25" customHeight="1" x14ac:dyDescent="0.25">
      <c r="A10" s="2107" t="s">
        <v>570</v>
      </c>
      <c r="B10" s="2108"/>
      <c r="C10" s="2108"/>
      <c r="D10" s="2108" t="s">
        <v>571</v>
      </c>
      <c r="E10" s="2109"/>
      <c r="F10" s="2107" t="s">
        <v>570</v>
      </c>
      <c r="G10" s="2108"/>
      <c r="H10" s="2108"/>
      <c r="I10" s="2108" t="s">
        <v>571</v>
      </c>
      <c r="J10" s="2109"/>
      <c r="K10" s="2107" t="s">
        <v>570</v>
      </c>
      <c r="L10" s="2108"/>
      <c r="M10" s="2108"/>
      <c r="N10" s="2108" t="s">
        <v>571</v>
      </c>
      <c r="O10" s="2109"/>
      <c r="P10" s="2107" t="s">
        <v>570</v>
      </c>
      <c r="Q10" s="2108"/>
      <c r="R10" s="2108"/>
      <c r="S10" s="2108" t="s">
        <v>571</v>
      </c>
      <c r="T10" s="2109"/>
      <c r="U10" s="2107" t="s">
        <v>570</v>
      </c>
      <c r="V10" s="2108"/>
      <c r="W10" s="2108"/>
      <c r="X10" s="2108" t="s">
        <v>571</v>
      </c>
      <c r="Y10" s="2109"/>
      <c r="Z10" s="2107" t="s">
        <v>570</v>
      </c>
      <c r="AA10" s="2108"/>
      <c r="AB10" s="2108"/>
      <c r="AC10" s="2108" t="s">
        <v>571</v>
      </c>
      <c r="AD10" s="2109"/>
      <c r="AE10" s="2107" t="s">
        <v>570</v>
      </c>
      <c r="AF10" s="2108"/>
      <c r="AG10" s="2108"/>
      <c r="AH10" s="2108" t="s">
        <v>571</v>
      </c>
      <c r="AI10" s="2109"/>
      <c r="AJ10" s="2107" t="s">
        <v>570</v>
      </c>
      <c r="AK10" s="2108"/>
      <c r="AL10" s="2108"/>
      <c r="AM10" s="2108" t="s">
        <v>571</v>
      </c>
      <c r="AN10" s="2109"/>
      <c r="AO10" s="2107" t="s">
        <v>570</v>
      </c>
      <c r="AP10" s="2108"/>
      <c r="AQ10" s="2108"/>
      <c r="AR10" s="2108" t="s">
        <v>571</v>
      </c>
      <c r="AS10" s="2109"/>
      <c r="AT10" s="2107" t="s">
        <v>570</v>
      </c>
      <c r="AU10" s="2108"/>
      <c r="AV10" s="2108"/>
      <c r="AW10" s="2108" t="s">
        <v>571</v>
      </c>
      <c r="AX10" s="2109"/>
      <c r="AY10" s="2107" t="s">
        <v>570</v>
      </c>
      <c r="AZ10" s="2108"/>
      <c r="BA10" s="2108"/>
      <c r="BB10" s="2108" t="s">
        <v>571</v>
      </c>
      <c r="BC10" s="2109"/>
      <c r="BD10" s="2107" t="s">
        <v>570</v>
      </c>
      <c r="BE10" s="2108"/>
      <c r="BF10" s="2108"/>
      <c r="BG10" s="2108" t="s">
        <v>571</v>
      </c>
      <c r="BH10" s="2109"/>
      <c r="BI10" s="2107" t="s">
        <v>570</v>
      </c>
      <c r="BJ10" s="2108"/>
      <c r="BK10" s="2108"/>
      <c r="BL10" s="2108" t="s">
        <v>571</v>
      </c>
      <c r="BM10" s="2109"/>
      <c r="BN10" s="2107" t="s">
        <v>570</v>
      </c>
      <c r="BO10" s="2108"/>
      <c r="BP10" s="2108"/>
      <c r="BQ10" s="2108" t="s">
        <v>571</v>
      </c>
      <c r="BR10" s="2109"/>
    </row>
    <row r="11" spans="1:83" ht="6" customHeight="1" x14ac:dyDescent="0.25">
      <c r="A11" s="2107"/>
      <c r="B11" s="2108"/>
      <c r="C11" s="2108"/>
      <c r="D11" s="2108"/>
      <c r="E11" s="2109"/>
      <c r="F11" s="2107"/>
      <c r="G11" s="2108"/>
      <c r="H11" s="2108"/>
      <c r="I11" s="2108"/>
      <c r="J11" s="2109"/>
      <c r="K11" s="2107"/>
      <c r="L11" s="2108"/>
      <c r="M11" s="2108"/>
      <c r="N11" s="2108"/>
      <c r="O11" s="2109"/>
      <c r="P11" s="2107"/>
      <c r="Q11" s="2108"/>
      <c r="R11" s="2108"/>
      <c r="S11" s="2108"/>
      <c r="T11" s="2109"/>
      <c r="U11" s="2107"/>
      <c r="V11" s="2108"/>
      <c r="W11" s="2108"/>
      <c r="X11" s="2108"/>
      <c r="Y11" s="2109"/>
      <c r="Z11" s="2107"/>
      <c r="AA11" s="2108"/>
      <c r="AB11" s="2108"/>
      <c r="AC11" s="2108"/>
      <c r="AD11" s="2109"/>
      <c r="AE11" s="2107"/>
      <c r="AF11" s="2108"/>
      <c r="AG11" s="2108"/>
      <c r="AH11" s="2108"/>
      <c r="AI11" s="2109"/>
      <c r="AJ11" s="2107"/>
      <c r="AK11" s="2108"/>
      <c r="AL11" s="2108"/>
      <c r="AM11" s="2108"/>
      <c r="AN11" s="2109"/>
      <c r="AO11" s="2107"/>
      <c r="AP11" s="2108"/>
      <c r="AQ11" s="2108"/>
      <c r="AR11" s="2108"/>
      <c r="AS11" s="2109"/>
      <c r="AT11" s="2107"/>
      <c r="AU11" s="2108"/>
      <c r="AV11" s="2108"/>
      <c r="AW11" s="2108"/>
      <c r="AX11" s="2109"/>
      <c r="AY11" s="2107"/>
      <c r="AZ11" s="2108"/>
      <c r="BA11" s="2108"/>
      <c r="BB11" s="2108"/>
      <c r="BC11" s="2109"/>
      <c r="BD11" s="2107"/>
      <c r="BE11" s="2108"/>
      <c r="BF11" s="2108"/>
      <c r="BG11" s="2108"/>
      <c r="BH11" s="2109"/>
      <c r="BI11" s="2107"/>
      <c r="BJ11" s="2108"/>
      <c r="BK11" s="2108"/>
      <c r="BL11" s="2108"/>
      <c r="BM11" s="2109"/>
      <c r="BN11" s="2107"/>
      <c r="BO11" s="2108"/>
      <c r="BP11" s="2108"/>
      <c r="BQ11" s="2108"/>
      <c r="BR11" s="2109"/>
    </row>
    <row r="12" spans="1:83" s="22" customFormat="1" ht="111.75" customHeight="1" x14ac:dyDescent="1.35">
      <c r="A12" s="1898" t="s">
        <v>572</v>
      </c>
      <c r="B12" s="588">
        <v>9</v>
      </c>
      <c r="C12" s="589"/>
      <c r="D12" s="589"/>
      <c r="E12" s="590"/>
      <c r="F12" s="1898" t="s">
        <v>572</v>
      </c>
      <c r="G12" s="588">
        <v>10</v>
      </c>
      <c r="H12" s="589"/>
      <c r="I12" s="589"/>
      <c r="J12" s="590"/>
      <c r="K12" s="1898" t="s">
        <v>572</v>
      </c>
      <c r="L12" s="588">
        <v>11</v>
      </c>
      <c r="M12" s="589"/>
      <c r="N12" s="589"/>
      <c r="O12" s="590"/>
      <c r="P12" s="1898" t="s">
        <v>572</v>
      </c>
      <c r="Q12" s="588">
        <v>12</v>
      </c>
      <c r="R12" s="589"/>
      <c r="S12" s="589"/>
      <c r="T12" s="590"/>
      <c r="U12" s="1898" t="s">
        <v>572</v>
      </c>
      <c r="V12" s="588">
        <v>13</v>
      </c>
      <c r="W12" s="589"/>
      <c r="X12" s="589"/>
      <c r="Y12" s="590"/>
      <c r="Z12" s="1898" t="s">
        <v>572</v>
      </c>
      <c r="AA12" s="588">
        <v>14</v>
      </c>
      <c r="AB12" s="589"/>
      <c r="AC12" s="589"/>
      <c r="AD12" s="590"/>
      <c r="AE12" s="1898" t="s">
        <v>572</v>
      </c>
      <c r="AF12" s="588">
        <v>15</v>
      </c>
      <c r="AG12" s="589"/>
      <c r="AH12" s="589"/>
      <c r="AI12" s="590"/>
      <c r="AJ12" s="1898" t="s">
        <v>572</v>
      </c>
      <c r="AK12" s="588">
        <v>16</v>
      </c>
      <c r="AL12" s="589"/>
      <c r="AM12" s="589"/>
      <c r="AN12" s="590"/>
      <c r="AO12" s="1898" t="s">
        <v>572</v>
      </c>
      <c r="AP12" s="588">
        <v>17</v>
      </c>
      <c r="AQ12" s="589"/>
      <c r="AR12" s="589"/>
      <c r="AS12" s="590"/>
      <c r="AT12" s="1898" t="s">
        <v>572</v>
      </c>
      <c r="AU12" s="588">
        <v>18</v>
      </c>
      <c r="AV12" s="589"/>
      <c r="AW12" s="589"/>
      <c r="AX12" s="590"/>
      <c r="AY12" s="1898" t="s">
        <v>572</v>
      </c>
      <c r="AZ12" s="588">
        <v>19</v>
      </c>
      <c r="BA12" s="589"/>
      <c r="BB12" s="589"/>
      <c r="BC12" s="590"/>
      <c r="BD12" s="1898" t="s">
        <v>572</v>
      </c>
      <c r="BE12" s="588">
        <v>20</v>
      </c>
      <c r="BF12" s="589"/>
      <c r="BG12" s="589"/>
      <c r="BH12" s="590"/>
      <c r="BI12" s="1898" t="s">
        <v>572</v>
      </c>
      <c r="BJ12" s="588">
        <v>21</v>
      </c>
      <c r="BK12" s="589"/>
      <c r="BL12" s="589"/>
      <c r="BM12" s="590"/>
      <c r="BN12" s="1898" t="s">
        <v>572</v>
      </c>
      <c r="BO12" s="588">
        <v>22</v>
      </c>
      <c r="BP12" s="589"/>
      <c r="BQ12" s="589"/>
      <c r="BR12" s="590"/>
    </row>
    <row r="13" spans="1:83" ht="50.25" customHeight="1" thickBot="1" x14ac:dyDescent="0.3">
      <c r="A13" s="1899"/>
      <c r="B13" s="61">
        <v>3.327</v>
      </c>
      <c r="C13" s="62" t="s">
        <v>113</v>
      </c>
      <c r="D13" s="63"/>
      <c r="E13" s="64" t="s">
        <v>114</v>
      </c>
      <c r="F13" s="1899"/>
      <c r="G13" s="61">
        <v>3.7846000000000002</v>
      </c>
      <c r="H13" s="62" t="s">
        <v>113</v>
      </c>
      <c r="I13" s="63">
        <v>1</v>
      </c>
      <c r="J13" s="64" t="s">
        <v>114</v>
      </c>
      <c r="K13" s="1899"/>
      <c r="L13" s="61">
        <v>4.343</v>
      </c>
      <c r="M13" s="62" t="s">
        <v>113</v>
      </c>
      <c r="N13" s="63"/>
      <c r="O13" s="64" t="s">
        <v>114</v>
      </c>
      <c r="P13" s="1899"/>
      <c r="Q13" s="61">
        <v>9.9999999999999994E-12</v>
      </c>
      <c r="R13" s="62" t="s">
        <v>113</v>
      </c>
      <c r="S13" s="63"/>
      <c r="T13" s="64" t="s">
        <v>114</v>
      </c>
      <c r="U13" s="1899"/>
      <c r="V13" s="61">
        <v>0.60899999999999999</v>
      </c>
      <c r="W13" s="62" t="s">
        <v>113</v>
      </c>
      <c r="X13" s="63">
        <v>1</v>
      </c>
      <c r="Y13" s="64" t="s">
        <v>114</v>
      </c>
      <c r="Z13" s="1899"/>
      <c r="AA13" s="61">
        <v>0.50800000000000001</v>
      </c>
      <c r="AB13" s="62" t="s">
        <v>113</v>
      </c>
      <c r="AC13" s="63"/>
      <c r="AD13" s="64" t="s">
        <v>114</v>
      </c>
      <c r="AE13" s="1899"/>
      <c r="AF13" s="61">
        <v>0.30399999999999999</v>
      </c>
      <c r="AG13" s="62" t="s">
        <v>113</v>
      </c>
      <c r="AH13" s="63"/>
      <c r="AI13" s="64" t="s">
        <v>114</v>
      </c>
      <c r="AJ13" s="1899"/>
      <c r="AK13" s="61">
        <v>0.50800000000000001</v>
      </c>
      <c r="AL13" s="62" t="s">
        <v>113</v>
      </c>
      <c r="AM13" s="63"/>
      <c r="AN13" s="64" t="s">
        <v>114</v>
      </c>
      <c r="AO13" s="1899"/>
      <c r="AP13" s="61">
        <v>1.9810000000000001</v>
      </c>
      <c r="AQ13" s="62" t="s">
        <v>113</v>
      </c>
      <c r="AR13" s="63">
        <v>1</v>
      </c>
      <c r="AS13" s="64" t="s">
        <v>114</v>
      </c>
      <c r="AT13" s="1899"/>
      <c r="AU13" s="61">
        <v>2.5649999999999999</v>
      </c>
      <c r="AV13" s="62" t="s">
        <v>113</v>
      </c>
      <c r="AW13" s="63"/>
      <c r="AX13" s="64" t="s">
        <v>114</v>
      </c>
      <c r="AY13" s="1899"/>
      <c r="AZ13" s="61">
        <v>0.20300000000000001</v>
      </c>
      <c r="BA13" s="62" t="s">
        <v>113</v>
      </c>
      <c r="BB13" s="63"/>
      <c r="BC13" s="64" t="s">
        <v>114</v>
      </c>
      <c r="BD13" s="1899"/>
      <c r="BE13" s="61">
        <v>0.254</v>
      </c>
      <c r="BF13" s="62" t="s">
        <v>113</v>
      </c>
      <c r="BG13" s="63"/>
      <c r="BH13" s="64" t="s">
        <v>114</v>
      </c>
      <c r="BI13" s="1899"/>
      <c r="BJ13" s="61">
        <v>2.2351999999999999</v>
      </c>
      <c r="BK13" s="62" t="s">
        <v>113</v>
      </c>
      <c r="BL13" s="63">
        <v>1</v>
      </c>
      <c r="BM13" s="64" t="s">
        <v>114</v>
      </c>
      <c r="BN13" s="1899"/>
      <c r="BO13" s="61">
        <v>0.93979999999999997</v>
      </c>
      <c r="BP13" s="62" t="s">
        <v>113</v>
      </c>
      <c r="BQ13" s="63"/>
      <c r="BR13" s="64" t="s">
        <v>114</v>
      </c>
      <c r="BW13" s="27"/>
      <c r="BX13" s="27"/>
      <c r="BY13" s="27"/>
      <c r="BZ13" s="27"/>
      <c r="CA13" s="27"/>
      <c r="CB13" s="27"/>
      <c r="CC13" s="27"/>
      <c r="CD13" s="27"/>
      <c r="CE13" s="27"/>
    </row>
    <row r="14" spans="1:83" ht="42.75" customHeight="1" thickTop="1" x14ac:dyDescent="0.25">
      <c r="A14" s="1900" t="s">
        <v>110</v>
      </c>
      <c r="B14" s="2083"/>
      <c r="C14" s="2084">
        <f t="shared" ref="C14" si="22">B19/((36*3.1415/59)*(61/3.281))</f>
        <v>7.6261674417364103E-2</v>
      </c>
      <c r="D14" s="2084"/>
      <c r="E14" s="2085"/>
      <c r="F14" s="1900" t="s">
        <v>110</v>
      </c>
      <c r="G14" s="2083"/>
      <c r="H14" s="2084">
        <f t="shared" ref="H14" si="23">G19/((36*3.1415/59)*(61/3.281))</f>
        <v>2.2094503803161563E-2</v>
      </c>
      <c r="I14" s="2084"/>
      <c r="J14" s="2085"/>
      <c r="K14" s="1900" t="s">
        <v>110</v>
      </c>
      <c r="L14" s="2083"/>
      <c r="M14" s="2084">
        <f t="shared" ref="M14" si="24">L19/((36*3.1415/59)*(61/3.281))</f>
        <v>2.8060075950167085E-11</v>
      </c>
      <c r="N14" s="2084"/>
      <c r="O14" s="2085"/>
      <c r="P14" s="1900" t="s">
        <v>110</v>
      </c>
      <c r="Q14" s="2083"/>
      <c r="R14" s="2084">
        <f t="shared" ref="R14" si="25">Q19/((36*3.1415/59)*(61/3.281))</f>
        <v>4.2763555748054636E-3</v>
      </c>
      <c r="S14" s="2084"/>
      <c r="T14" s="2085"/>
      <c r="U14" s="1900" t="s">
        <v>110</v>
      </c>
      <c r="V14" s="2083"/>
      <c r="W14" s="2084">
        <f t="shared" ref="W14" si="26">V19/((36*3.1415/59)*(61/3.281))</f>
        <v>2.4945407519698537E-2</v>
      </c>
      <c r="X14" s="2084"/>
      <c r="Y14" s="2085"/>
      <c r="Z14" s="1900" t="s">
        <v>110</v>
      </c>
      <c r="AA14" s="2083"/>
      <c r="AB14" s="2084">
        <f t="shared" ref="AB14" si="27">AA19/((36*3.1415/59)*(61/3.281))</f>
        <v>4.1338103889786149E-2</v>
      </c>
      <c r="AC14" s="2084"/>
      <c r="AD14" s="2085"/>
      <c r="AE14" s="1900" t="s">
        <v>110</v>
      </c>
      <c r="AF14" s="2083"/>
      <c r="AG14" s="2084">
        <f t="shared" ref="AG14" si="28">AF19/((36*3.1415/59)*(61/3.281))</f>
        <v>0.12258885981108997</v>
      </c>
      <c r="AH14" s="2084"/>
      <c r="AI14" s="2085"/>
      <c r="AJ14" s="1900" t="s">
        <v>110</v>
      </c>
      <c r="AK14" s="2083"/>
      <c r="AL14" s="2084">
        <f t="shared" ref="AL14" si="29">AK19/((36*3.1415/59)*(61/3.281))</f>
        <v>7.1272592913424393E-3</v>
      </c>
      <c r="AM14" s="2084"/>
      <c r="AN14" s="2085"/>
      <c r="AO14" s="1900" t="s">
        <v>110</v>
      </c>
      <c r="AP14" s="2083"/>
      <c r="AQ14" s="2084">
        <f t="shared" ref="AQ14" si="30">AP19/((36*3.1415/59)*(61/3.281))</f>
        <v>7.1272592913424401E-2</v>
      </c>
      <c r="AR14" s="2084"/>
      <c r="AS14" s="2085"/>
      <c r="AT14" s="1900" t="s">
        <v>110</v>
      </c>
      <c r="AU14" s="2083"/>
      <c r="AV14" s="2084">
        <f t="shared" ref="AV14" si="31">AU19/((36*3.1415/59)*(61/3.281))</f>
        <v>5.2741718755934051E-2</v>
      </c>
      <c r="AW14" s="2084"/>
      <c r="AX14" s="2085"/>
      <c r="AY14" s="1900" t="s">
        <v>110</v>
      </c>
      <c r="AZ14" s="2083"/>
      <c r="BA14" s="2084">
        <f t="shared" ref="BA14" si="32">AZ19/((36*3.1415/59)*(61/3.281))</f>
        <v>4.2651315444253964E-3</v>
      </c>
      <c r="BB14" s="2084"/>
      <c r="BC14" s="2085"/>
      <c r="BD14" s="1900" t="s">
        <v>110</v>
      </c>
      <c r="BE14" s="2083"/>
      <c r="BF14" s="2084">
        <f t="shared" ref="BF14" si="33">BE19/((36*3.1415/59)*(61/3.281))</f>
        <v>8.5527111496109271E-3</v>
      </c>
      <c r="BG14" s="2084"/>
      <c r="BH14" s="2085"/>
      <c r="BI14" s="1900" t="s">
        <v>110</v>
      </c>
      <c r="BJ14" s="2083"/>
      <c r="BK14" s="2084">
        <f t="shared" ref="BK14" si="34">BJ19/((36*3.1415/59)*(61/3.281))</f>
        <v>4.2651315444253964E-3</v>
      </c>
      <c r="BL14" s="2084"/>
      <c r="BM14" s="2085"/>
      <c r="BN14" s="1900" t="s">
        <v>110</v>
      </c>
      <c r="BO14" s="2083"/>
      <c r="BP14" s="2084">
        <f t="shared" ref="BP14" si="35">BO19/((36*3.1415/59)*(61/3.281))</f>
        <v>2.8060075950167085E-11</v>
      </c>
      <c r="BQ14" s="2084"/>
      <c r="BR14" s="2085"/>
    </row>
    <row r="15" spans="1:83" ht="35.25" customHeight="1" x14ac:dyDescent="0.25">
      <c r="A15" s="2086" t="s">
        <v>504</v>
      </c>
      <c r="B15" s="2087"/>
      <c r="C15" s="2087"/>
      <c r="D15" s="2087" t="s">
        <v>489</v>
      </c>
      <c r="E15" s="2088"/>
      <c r="F15" s="2104" t="s">
        <v>504</v>
      </c>
      <c r="G15" s="2105"/>
      <c r="H15" s="2105"/>
      <c r="I15" s="2105" t="s">
        <v>489</v>
      </c>
      <c r="J15" s="2106"/>
      <c r="K15" s="2086" t="s">
        <v>504</v>
      </c>
      <c r="L15" s="2087"/>
      <c r="M15" s="2087"/>
      <c r="N15" s="2087" t="s">
        <v>489</v>
      </c>
      <c r="O15" s="2088"/>
      <c r="P15" s="2104" t="s">
        <v>504</v>
      </c>
      <c r="Q15" s="2105"/>
      <c r="R15" s="2105"/>
      <c r="S15" s="2105" t="s">
        <v>489</v>
      </c>
      <c r="T15" s="2106"/>
      <c r="U15" s="2104" t="s">
        <v>504</v>
      </c>
      <c r="V15" s="2105"/>
      <c r="W15" s="2105"/>
      <c r="X15" s="2105" t="s">
        <v>489</v>
      </c>
      <c r="Y15" s="2106"/>
      <c r="Z15" s="2104" t="s">
        <v>504</v>
      </c>
      <c r="AA15" s="2105"/>
      <c r="AB15" s="2105"/>
      <c r="AC15" s="2105" t="s">
        <v>489</v>
      </c>
      <c r="AD15" s="2106"/>
      <c r="AE15" s="2104" t="s">
        <v>504</v>
      </c>
      <c r="AF15" s="2105"/>
      <c r="AG15" s="2105"/>
      <c r="AH15" s="2105" t="s">
        <v>489</v>
      </c>
      <c r="AI15" s="2106"/>
      <c r="AJ15" s="2104" t="s">
        <v>504</v>
      </c>
      <c r="AK15" s="2105"/>
      <c r="AL15" s="2105"/>
      <c r="AM15" s="2105" t="s">
        <v>489</v>
      </c>
      <c r="AN15" s="2106"/>
      <c r="AO15" s="2122" t="s">
        <v>504</v>
      </c>
      <c r="AP15" s="2120"/>
      <c r="AQ15" s="2120"/>
      <c r="AR15" s="2087" t="s">
        <v>489</v>
      </c>
      <c r="AS15" s="2088"/>
      <c r="AT15" s="2086" t="s">
        <v>504</v>
      </c>
      <c r="AU15" s="2087"/>
      <c r="AV15" s="2087"/>
      <c r="AW15" s="2126" t="s">
        <v>489</v>
      </c>
      <c r="AX15" s="2127"/>
      <c r="AY15" s="2104" t="s">
        <v>504</v>
      </c>
      <c r="AZ15" s="2105"/>
      <c r="BA15" s="2105"/>
      <c r="BB15" s="2105" t="s">
        <v>489</v>
      </c>
      <c r="BC15" s="2106"/>
      <c r="BD15" s="2086" t="s">
        <v>504</v>
      </c>
      <c r="BE15" s="2087"/>
      <c r="BF15" s="2087"/>
      <c r="BG15" s="2087" t="s">
        <v>489</v>
      </c>
      <c r="BH15" s="2088"/>
      <c r="BI15" s="2086" t="s">
        <v>504</v>
      </c>
      <c r="BJ15" s="2087"/>
      <c r="BK15" s="2087"/>
      <c r="BL15" s="2087" t="s">
        <v>489</v>
      </c>
      <c r="BM15" s="2088"/>
      <c r="BN15" s="2086" t="s">
        <v>504</v>
      </c>
      <c r="BO15" s="2087"/>
      <c r="BP15" s="2087"/>
      <c r="BQ15" s="2087" t="s">
        <v>489</v>
      </c>
      <c r="BR15" s="2088"/>
    </row>
    <row r="16" spans="1:83" ht="35.25" customHeight="1" x14ac:dyDescent="0.25">
      <c r="A16" s="2107" t="s">
        <v>570</v>
      </c>
      <c r="B16" s="2108"/>
      <c r="C16" s="2108"/>
      <c r="D16" s="2108" t="s">
        <v>571</v>
      </c>
      <c r="E16" s="2109"/>
      <c r="F16" s="2107" t="s">
        <v>570</v>
      </c>
      <c r="G16" s="2108"/>
      <c r="H16" s="2108"/>
      <c r="I16" s="2108" t="s">
        <v>571</v>
      </c>
      <c r="J16" s="2109"/>
      <c r="K16" s="2107" t="s">
        <v>570</v>
      </c>
      <c r="L16" s="2108"/>
      <c r="M16" s="2108"/>
      <c r="N16" s="2108" t="s">
        <v>571</v>
      </c>
      <c r="O16" s="2109"/>
      <c r="P16" s="2107" t="s">
        <v>570</v>
      </c>
      <c r="Q16" s="2108"/>
      <c r="R16" s="2108"/>
      <c r="S16" s="2108" t="s">
        <v>571</v>
      </c>
      <c r="T16" s="2109"/>
      <c r="U16" s="2107" t="s">
        <v>570</v>
      </c>
      <c r="V16" s="2108"/>
      <c r="W16" s="2108"/>
      <c r="X16" s="2108" t="s">
        <v>571</v>
      </c>
      <c r="Y16" s="2109"/>
      <c r="Z16" s="2107" t="s">
        <v>570</v>
      </c>
      <c r="AA16" s="2108"/>
      <c r="AB16" s="2108"/>
      <c r="AC16" s="2108" t="s">
        <v>571</v>
      </c>
      <c r="AD16" s="2109"/>
      <c r="AE16" s="2107" t="s">
        <v>570</v>
      </c>
      <c r="AF16" s="2108"/>
      <c r="AG16" s="2108"/>
      <c r="AH16" s="2108" t="s">
        <v>571</v>
      </c>
      <c r="AI16" s="2109"/>
      <c r="AJ16" s="2107" t="s">
        <v>570</v>
      </c>
      <c r="AK16" s="2108"/>
      <c r="AL16" s="2108"/>
      <c r="AM16" s="2108" t="s">
        <v>571</v>
      </c>
      <c r="AN16" s="2109"/>
      <c r="AO16" s="2107" t="s">
        <v>570</v>
      </c>
      <c r="AP16" s="2108"/>
      <c r="AQ16" s="2108"/>
      <c r="AR16" s="2108" t="s">
        <v>571</v>
      </c>
      <c r="AS16" s="2109"/>
      <c r="AT16" s="2107" t="s">
        <v>570</v>
      </c>
      <c r="AU16" s="2108"/>
      <c r="AV16" s="2108"/>
      <c r="AW16" s="2108" t="s">
        <v>571</v>
      </c>
      <c r="AX16" s="2109"/>
      <c r="AY16" s="2107" t="s">
        <v>570</v>
      </c>
      <c r="AZ16" s="2108"/>
      <c r="BA16" s="2108"/>
      <c r="BB16" s="2108" t="s">
        <v>571</v>
      </c>
      <c r="BC16" s="2109"/>
      <c r="BD16" s="2107" t="s">
        <v>570</v>
      </c>
      <c r="BE16" s="2108"/>
      <c r="BF16" s="2108"/>
      <c r="BG16" s="2108" t="s">
        <v>571</v>
      </c>
      <c r="BH16" s="2109"/>
      <c r="BI16" s="2107" t="s">
        <v>570</v>
      </c>
      <c r="BJ16" s="2108"/>
      <c r="BK16" s="2108"/>
      <c r="BL16" s="2108" t="s">
        <v>571</v>
      </c>
      <c r="BM16" s="2109"/>
      <c r="BN16" s="2107" t="s">
        <v>570</v>
      </c>
      <c r="BO16" s="2108"/>
      <c r="BP16" s="2108"/>
      <c r="BQ16" s="2108" t="s">
        <v>571</v>
      </c>
      <c r="BR16" s="2109"/>
    </row>
    <row r="17" spans="1:138" ht="6" customHeight="1" x14ac:dyDescent="0.25">
      <c r="A17" s="2107"/>
      <c r="B17" s="2108"/>
      <c r="C17" s="2108"/>
      <c r="D17" s="2108"/>
      <c r="E17" s="2109"/>
      <c r="F17" s="2107"/>
      <c r="G17" s="2108"/>
      <c r="H17" s="2108"/>
      <c r="I17" s="2108"/>
      <c r="J17" s="2109"/>
      <c r="K17" s="2107"/>
      <c r="L17" s="2108"/>
      <c r="M17" s="2108"/>
      <c r="N17" s="2108"/>
      <c r="O17" s="2109"/>
      <c r="P17" s="2107"/>
      <c r="Q17" s="2108"/>
      <c r="R17" s="2108"/>
      <c r="S17" s="2108"/>
      <c r="T17" s="2109"/>
      <c r="U17" s="2107"/>
      <c r="V17" s="2108"/>
      <c r="W17" s="2108"/>
      <c r="X17" s="2108"/>
      <c r="Y17" s="2109"/>
      <c r="Z17" s="2107"/>
      <c r="AA17" s="2108"/>
      <c r="AB17" s="2108"/>
      <c r="AC17" s="2108"/>
      <c r="AD17" s="2109"/>
      <c r="AE17" s="2107"/>
      <c r="AF17" s="2108"/>
      <c r="AG17" s="2108"/>
      <c r="AH17" s="2108"/>
      <c r="AI17" s="2109"/>
      <c r="AJ17" s="2107"/>
      <c r="AK17" s="2108"/>
      <c r="AL17" s="2108"/>
      <c r="AM17" s="2108"/>
      <c r="AN17" s="2109"/>
      <c r="AO17" s="2107"/>
      <c r="AP17" s="2108"/>
      <c r="AQ17" s="2108"/>
      <c r="AR17" s="2108"/>
      <c r="AS17" s="2109"/>
      <c r="AT17" s="2107"/>
      <c r="AU17" s="2108"/>
      <c r="AV17" s="2108"/>
      <c r="AW17" s="2108"/>
      <c r="AX17" s="2109"/>
      <c r="AY17" s="2107"/>
      <c r="AZ17" s="2108"/>
      <c r="BA17" s="2108"/>
      <c r="BB17" s="2108"/>
      <c r="BC17" s="2109"/>
      <c r="BD17" s="2107"/>
      <c r="BE17" s="2108"/>
      <c r="BF17" s="2108"/>
      <c r="BG17" s="2108"/>
      <c r="BH17" s="2109"/>
      <c r="BI17" s="2107"/>
      <c r="BJ17" s="2108"/>
      <c r="BK17" s="2108"/>
      <c r="BL17" s="2108"/>
      <c r="BM17" s="2109"/>
      <c r="BN17" s="2107"/>
      <c r="BO17" s="2108"/>
      <c r="BP17" s="2108"/>
      <c r="BQ17" s="2108"/>
      <c r="BR17" s="2109"/>
    </row>
    <row r="18" spans="1:138" s="22" customFormat="1" ht="111.75" customHeight="1" x14ac:dyDescent="1.35">
      <c r="A18" s="1898" t="s">
        <v>572</v>
      </c>
      <c r="B18" s="588">
        <v>23</v>
      </c>
      <c r="C18" s="589"/>
      <c r="D18" s="589"/>
      <c r="E18" s="590"/>
      <c r="F18" s="1898" t="s">
        <v>572</v>
      </c>
      <c r="G18" s="588">
        <v>24</v>
      </c>
      <c r="H18" s="589"/>
      <c r="I18" s="589"/>
      <c r="J18" s="590"/>
      <c r="K18" s="1898" t="s">
        <v>572</v>
      </c>
      <c r="L18" s="588">
        <v>25</v>
      </c>
      <c r="M18" s="589"/>
      <c r="N18" s="589"/>
      <c r="O18" s="590"/>
      <c r="P18" s="1898" t="s">
        <v>572</v>
      </c>
      <c r="Q18" s="588">
        <v>26</v>
      </c>
      <c r="R18" s="589"/>
      <c r="S18" s="589"/>
      <c r="T18" s="590"/>
      <c r="U18" s="1898" t="s">
        <v>572</v>
      </c>
      <c r="V18" s="588">
        <v>27</v>
      </c>
      <c r="W18" s="589"/>
      <c r="X18" s="589"/>
      <c r="Y18" s="590"/>
      <c r="Z18" s="1898" t="s">
        <v>572</v>
      </c>
      <c r="AA18" s="588">
        <v>28</v>
      </c>
      <c r="AB18" s="589"/>
      <c r="AC18" s="589"/>
      <c r="AD18" s="590"/>
      <c r="AE18" s="1898" t="s">
        <v>572</v>
      </c>
      <c r="AF18" s="588">
        <v>29</v>
      </c>
      <c r="AG18" s="589"/>
      <c r="AH18" s="589"/>
      <c r="AI18" s="590"/>
      <c r="AJ18" s="1898" t="s">
        <v>572</v>
      </c>
      <c r="AK18" s="588">
        <v>30</v>
      </c>
      <c r="AL18" s="589"/>
      <c r="AM18" s="589"/>
      <c r="AN18" s="590"/>
      <c r="AO18" s="1898" t="s">
        <v>572</v>
      </c>
      <c r="AP18" s="588">
        <v>31</v>
      </c>
      <c r="AQ18" s="589"/>
      <c r="AR18" s="589"/>
      <c r="AS18" s="590"/>
      <c r="AT18" s="1898" t="s">
        <v>572</v>
      </c>
      <c r="AU18" s="588">
        <v>32</v>
      </c>
      <c r="AV18" s="589"/>
      <c r="AW18" s="589"/>
      <c r="AX18" s="590"/>
      <c r="AY18" s="1898" t="s">
        <v>572</v>
      </c>
      <c r="AZ18" s="588">
        <v>33</v>
      </c>
      <c r="BA18" s="589"/>
      <c r="BB18" s="589"/>
      <c r="BC18" s="590"/>
      <c r="BD18" s="1898" t="s">
        <v>572</v>
      </c>
      <c r="BE18" s="588">
        <v>34</v>
      </c>
      <c r="BF18" s="589"/>
      <c r="BG18" s="589"/>
      <c r="BH18" s="590"/>
      <c r="BI18" s="1898" t="s">
        <v>572</v>
      </c>
      <c r="BJ18" s="588">
        <v>35</v>
      </c>
      <c r="BK18" s="589"/>
      <c r="BL18" s="589"/>
      <c r="BM18" s="590"/>
      <c r="BN18" s="1898" t="s">
        <v>572</v>
      </c>
      <c r="BO18" s="588">
        <v>36</v>
      </c>
      <c r="BP18" s="589"/>
      <c r="BQ18" s="589"/>
      <c r="BR18" s="590"/>
    </row>
    <row r="19" spans="1:138" ht="50.25" customHeight="1" thickBot="1" x14ac:dyDescent="0.3">
      <c r="A19" s="1899"/>
      <c r="B19" s="61">
        <v>2.7178</v>
      </c>
      <c r="C19" s="62" t="s">
        <v>113</v>
      </c>
      <c r="D19" s="63"/>
      <c r="E19" s="64" t="s">
        <v>114</v>
      </c>
      <c r="F19" s="1899"/>
      <c r="G19" s="61">
        <v>0.78739999999999999</v>
      </c>
      <c r="H19" s="62" t="s">
        <v>113</v>
      </c>
      <c r="I19" s="63">
        <v>1</v>
      </c>
      <c r="J19" s="64" t="s">
        <v>114</v>
      </c>
      <c r="K19" s="1899"/>
      <c r="L19" s="61">
        <v>1.0000000000000001E-9</v>
      </c>
      <c r="M19" s="62" t="s">
        <v>113</v>
      </c>
      <c r="N19" s="63"/>
      <c r="O19" s="64" t="s">
        <v>114</v>
      </c>
      <c r="P19" s="1899"/>
      <c r="Q19" s="61">
        <v>0.15240000000000001</v>
      </c>
      <c r="R19" s="62" t="s">
        <v>113</v>
      </c>
      <c r="S19" s="63"/>
      <c r="T19" s="64" t="s">
        <v>114</v>
      </c>
      <c r="U19" s="1899"/>
      <c r="V19" s="61">
        <v>0.88900000000000001</v>
      </c>
      <c r="W19" s="62" t="s">
        <v>113</v>
      </c>
      <c r="X19" s="63"/>
      <c r="Y19" s="64" t="s">
        <v>114</v>
      </c>
      <c r="Z19" s="1899"/>
      <c r="AA19" s="61">
        <v>1.4732000000000001</v>
      </c>
      <c r="AB19" s="62" t="s">
        <v>113</v>
      </c>
      <c r="AC19" s="63">
        <v>1</v>
      </c>
      <c r="AD19" s="64" t="s">
        <v>114</v>
      </c>
      <c r="AE19" s="1899"/>
      <c r="AF19" s="61">
        <v>4.3688000000000002</v>
      </c>
      <c r="AG19" s="62" t="s">
        <v>113</v>
      </c>
      <c r="AH19" s="63"/>
      <c r="AI19" s="64" t="s">
        <v>114</v>
      </c>
      <c r="AJ19" s="1899"/>
      <c r="AK19" s="61">
        <v>0.254</v>
      </c>
      <c r="AL19" s="62" t="s">
        <v>113</v>
      </c>
      <c r="AM19" s="63"/>
      <c r="AN19" s="64" t="s">
        <v>114</v>
      </c>
      <c r="AO19" s="1899"/>
      <c r="AP19" s="61">
        <v>2.54</v>
      </c>
      <c r="AQ19" s="62" t="s">
        <v>113</v>
      </c>
      <c r="AR19" s="63"/>
      <c r="AS19" s="64" t="s">
        <v>114</v>
      </c>
      <c r="AT19" s="1899"/>
      <c r="AU19" s="61">
        <v>1.8795999999999999</v>
      </c>
      <c r="AV19" s="62" t="s">
        <v>113</v>
      </c>
      <c r="AW19" s="63">
        <v>1</v>
      </c>
      <c r="AX19" s="64" t="s">
        <v>114</v>
      </c>
      <c r="AY19" s="1899"/>
      <c r="AZ19" s="61">
        <v>0.152</v>
      </c>
      <c r="BA19" s="62" t="s">
        <v>113</v>
      </c>
      <c r="BB19" s="63"/>
      <c r="BC19" s="64" t="s">
        <v>114</v>
      </c>
      <c r="BD19" s="1899"/>
      <c r="BE19" s="61">
        <v>0.30480000000000002</v>
      </c>
      <c r="BF19" s="62" t="s">
        <v>113</v>
      </c>
      <c r="BG19" s="63"/>
      <c r="BH19" s="64" t="s">
        <v>114</v>
      </c>
      <c r="BI19" s="1899"/>
      <c r="BJ19" s="61">
        <v>0.152</v>
      </c>
      <c r="BK19" s="62" t="s">
        <v>113</v>
      </c>
      <c r="BL19" s="63">
        <v>1</v>
      </c>
      <c r="BM19" s="64" t="s">
        <v>114</v>
      </c>
      <c r="BN19" s="1899"/>
      <c r="BO19" s="61">
        <v>1.0000000000000001E-9</v>
      </c>
      <c r="BP19" s="62" t="s">
        <v>113</v>
      </c>
      <c r="BQ19" s="63"/>
      <c r="BR19" s="64" t="s">
        <v>114</v>
      </c>
      <c r="BW19" s="27"/>
      <c r="BX19" s="27"/>
      <c r="BY19" s="27"/>
      <c r="BZ19" s="27"/>
      <c r="CA19" s="27"/>
      <c r="CB19" s="27"/>
      <c r="CC19" s="27"/>
      <c r="CD19" s="27"/>
      <c r="CE19" s="27"/>
    </row>
    <row r="20" spans="1:138" ht="42.75" customHeight="1" thickTop="1" x14ac:dyDescent="0.25">
      <c r="A20" s="1900" t="s">
        <v>110</v>
      </c>
      <c r="B20" s="2083"/>
      <c r="C20" s="2084">
        <f t="shared" ref="C20" si="36">B25/((36*3.1415/59)*(61/3.281))</f>
        <v>2.8060075950167084E-20</v>
      </c>
      <c r="D20" s="2084"/>
      <c r="E20" s="2085"/>
      <c r="F20" s="1900" t="s">
        <v>110</v>
      </c>
      <c r="G20" s="2083"/>
      <c r="H20" s="2084">
        <f t="shared" ref="H20" si="37">G25/((36*3.1415/59)*(61/3.281))</f>
        <v>4.2651315444253964E-3</v>
      </c>
      <c r="I20" s="2084"/>
      <c r="J20" s="2085"/>
      <c r="K20" s="1900" t="s">
        <v>110</v>
      </c>
      <c r="L20" s="2083"/>
      <c r="M20" s="2084">
        <f t="shared" ref="M20" si="38">L25/((36*3.1415/59)*(61/3.281))</f>
        <v>1.2823454709226358E-2</v>
      </c>
      <c r="N20" s="2084"/>
      <c r="O20" s="2085"/>
      <c r="P20" s="1900" t="s">
        <v>110</v>
      </c>
      <c r="Q20" s="2083"/>
      <c r="R20" s="2084">
        <f t="shared" ref="R20" si="39">Q25/((36*3.1415/59)*(61/3.281))</f>
        <v>2.8060075950167082E-16</v>
      </c>
      <c r="S20" s="2084"/>
      <c r="T20" s="2085"/>
      <c r="U20" s="1900" t="s">
        <v>110</v>
      </c>
      <c r="V20" s="2083"/>
      <c r="W20" s="2084">
        <f t="shared" ref="W20" si="40">V25/((36*3.1415/59)*(61/3.281))</f>
        <v>2.8060075950167085E-10</v>
      </c>
      <c r="X20" s="2084"/>
      <c r="Y20" s="2085"/>
      <c r="Z20" s="1900" t="s">
        <v>110</v>
      </c>
      <c r="AA20" s="2083"/>
      <c r="AB20" s="2084">
        <f t="shared" ref="AB20" si="41">AA25/((36*3.1415/59)*(61/3.281))</f>
        <v>1.0690888937013658E-2</v>
      </c>
      <c r="AC20" s="2084"/>
      <c r="AD20" s="2085"/>
      <c r="AE20" s="1900" t="s">
        <v>110</v>
      </c>
      <c r="AF20" s="2083"/>
      <c r="AG20" s="2084">
        <f t="shared" ref="AG20" si="42">AF25/((36*3.1415/59)*(61/3.281))</f>
        <v>2.8060075950167085E-12</v>
      </c>
      <c r="AH20" s="2084"/>
      <c r="AI20" s="2085"/>
      <c r="AJ20" s="1900" t="s">
        <v>110</v>
      </c>
      <c r="AK20" s="2083"/>
      <c r="AL20" s="2084">
        <f t="shared" ref="AL20" si="43">AK25/((36*3.1415/59)*(61/3.281))</f>
        <v>6.397697316638095E-3</v>
      </c>
      <c r="AM20" s="2084"/>
      <c r="AN20" s="2085"/>
      <c r="AO20" s="1900" t="s">
        <v>110</v>
      </c>
      <c r="AP20" s="2083"/>
      <c r="AQ20" s="2084">
        <f t="shared" ref="AQ20" si="44">AP25/((36*3.1415/59)*(61/3.281))</f>
        <v>4.9666334431795736E-3</v>
      </c>
      <c r="AR20" s="2084"/>
      <c r="AS20" s="2085"/>
      <c r="AT20" s="1900" t="s">
        <v>110</v>
      </c>
      <c r="AU20" s="2083"/>
      <c r="AV20" s="2084">
        <f t="shared" ref="AV20" si="45">AU25/((36*3.1415/59)*(61/3.281))</f>
        <v>8.5527111496109271E-3</v>
      </c>
      <c r="AW20" s="2084"/>
      <c r="AX20" s="2085"/>
      <c r="AY20" s="1900" t="s">
        <v>110</v>
      </c>
      <c r="AZ20" s="2083"/>
      <c r="BA20" s="2084">
        <f t="shared" ref="BA20" si="46">AZ25/((36*3.1415/59)*(61/3.281))</f>
        <v>3.5636296456712196E-3</v>
      </c>
      <c r="BB20" s="2084"/>
      <c r="BC20" s="2085"/>
      <c r="BD20" s="1900" t="s">
        <v>110</v>
      </c>
      <c r="BE20" s="2083"/>
      <c r="BF20" s="2084">
        <f t="shared" ref="BF20" si="47">BE25/((36*3.1415/59)*(61/3.281))</f>
        <v>1.2823454709226358E-2</v>
      </c>
      <c r="BG20" s="2084"/>
      <c r="BH20" s="2085"/>
      <c r="BI20" s="1900" t="s">
        <v>110</v>
      </c>
      <c r="BJ20" s="2083"/>
      <c r="BK20" s="2084">
        <f t="shared" ref="BK20" si="48">BJ25/((36*3.1415/59)*(61/3.281))</f>
        <v>4.2763555748054636E-3</v>
      </c>
      <c r="BL20" s="2084"/>
      <c r="BM20" s="2085"/>
      <c r="BN20" s="1900" t="s">
        <v>110</v>
      </c>
      <c r="BO20" s="2083"/>
      <c r="BP20" s="2084">
        <f t="shared" ref="BP20" si="49">BO25/((36*3.1415/59)*(61/3.281))</f>
        <v>9.9781630078794158E-3</v>
      </c>
      <c r="BQ20" s="2084"/>
      <c r="BR20" s="2085"/>
    </row>
    <row r="21" spans="1:138" ht="35.25" customHeight="1" x14ac:dyDescent="0.25">
      <c r="A21" s="2086" t="s">
        <v>504</v>
      </c>
      <c r="B21" s="2087"/>
      <c r="C21" s="2087"/>
      <c r="D21" s="2087" t="s">
        <v>489</v>
      </c>
      <c r="E21" s="2088"/>
      <c r="F21" s="2104" t="s">
        <v>504</v>
      </c>
      <c r="G21" s="2105"/>
      <c r="H21" s="2105"/>
      <c r="I21" s="2105" t="s">
        <v>489</v>
      </c>
      <c r="J21" s="2106"/>
      <c r="K21" s="2086" t="s">
        <v>504</v>
      </c>
      <c r="L21" s="2087"/>
      <c r="M21" s="2087"/>
      <c r="N21" s="2087" t="s">
        <v>489</v>
      </c>
      <c r="O21" s="2088"/>
      <c r="P21" s="2104" t="s">
        <v>504</v>
      </c>
      <c r="Q21" s="2105"/>
      <c r="R21" s="2105"/>
      <c r="S21" s="2105" t="s">
        <v>489</v>
      </c>
      <c r="T21" s="2106"/>
      <c r="U21" s="2104" t="s">
        <v>504</v>
      </c>
      <c r="V21" s="2105"/>
      <c r="W21" s="2105"/>
      <c r="X21" s="2105" t="s">
        <v>489</v>
      </c>
      <c r="Y21" s="2106"/>
      <c r="Z21" s="2104" t="s">
        <v>504</v>
      </c>
      <c r="AA21" s="2105"/>
      <c r="AB21" s="2105"/>
      <c r="AC21" s="2105" t="s">
        <v>489</v>
      </c>
      <c r="AD21" s="2106"/>
      <c r="AE21" s="2086" t="s">
        <v>504</v>
      </c>
      <c r="AF21" s="2087"/>
      <c r="AG21" s="2087"/>
      <c r="AH21" s="2087" t="s">
        <v>489</v>
      </c>
      <c r="AI21" s="2088"/>
      <c r="AJ21" s="2122" t="s">
        <v>504</v>
      </c>
      <c r="AK21" s="2120"/>
      <c r="AL21" s="2120"/>
      <c r="AM21" s="2105" t="s">
        <v>489</v>
      </c>
      <c r="AN21" s="2106"/>
      <c r="AO21" s="2104" t="s">
        <v>504</v>
      </c>
      <c r="AP21" s="2105"/>
      <c r="AQ21" s="2105"/>
      <c r="AR21" s="2105" t="s">
        <v>489</v>
      </c>
      <c r="AS21" s="2106"/>
      <c r="AT21" s="2086" t="s">
        <v>504</v>
      </c>
      <c r="AU21" s="2087"/>
      <c r="AV21" s="2087"/>
      <c r="AW21" s="2087" t="s">
        <v>489</v>
      </c>
      <c r="AX21" s="2088"/>
      <c r="AY21" s="2086" t="s">
        <v>504</v>
      </c>
      <c r="AZ21" s="2087"/>
      <c r="BA21" s="2087"/>
      <c r="BB21" s="2087" t="s">
        <v>489</v>
      </c>
      <c r="BC21" s="2088"/>
      <c r="BD21" s="2104" t="s">
        <v>504</v>
      </c>
      <c r="BE21" s="2105"/>
      <c r="BF21" s="2105"/>
      <c r="BG21" s="2105" t="s">
        <v>489</v>
      </c>
      <c r="BH21" s="2106"/>
      <c r="BI21" s="2086" t="s">
        <v>504</v>
      </c>
      <c r="BJ21" s="2087"/>
      <c r="BK21" s="2087"/>
      <c r="BL21" s="2087" t="s">
        <v>489</v>
      </c>
      <c r="BM21" s="2088"/>
      <c r="BN21" s="2086" t="s">
        <v>504</v>
      </c>
      <c r="BO21" s="2087"/>
      <c r="BP21" s="2087"/>
      <c r="BQ21" s="2087" t="s">
        <v>489</v>
      </c>
      <c r="BR21" s="2088"/>
    </row>
    <row r="22" spans="1:138" ht="35.25" customHeight="1" x14ac:dyDescent="0.25">
      <c r="A22" s="2107" t="s">
        <v>570</v>
      </c>
      <c r="B22" s="2108"/>
      <c r="C22" s="2108"/>
      <c r="D22" s="2108" t="s">
        <v>571</v>
      </c>
      <c r="E22" s="2109"/>
      <c r="F22" s="2107" t="s">
        <v>570</v>
      </c>
      <c r="G22" s="2108"/>
      <c r="H22" s="2108"/>
      <c r="I22" s="2108" t="s">
        <v>571</v>
      </c>
      <c r="J22" s="2109"/>
      <c r="K22" s="2107" t="s">
        <v>570</v>
      </c>
      <c r="L22" s="2108"/>
      <c r="M22" s="2108"/>
      <c r="N22" s="2108" t="s">
        <v>571</v>
      </c>
      <c r="O22" s="2109"/>
      <c r="P22" s="2107" t="s">
        <v>570</v>
      </c>
      <c r="Q22" s="2108"/>
      <c r="R22" s="2108"/>
      <c r="S22" s="2108" t="s">
        <v>571</v>
      </c>
      <c r="T22" s="2109"/>
      <c r="U22" s="2107" t="s">
        <v>570</v>
      </c>
      <c r="V22" s="2108"/>
      <c r="W22" s="2108"/>
      <c r="X22" s="2108" t="s">
        <v>571</v>
      </c>
      <c r="Y22" s="2109"/>
      <c r="Z22" s="2107" t="s">
        <v>570</v>
      </c>
      <c r="AA22" s="2108"/>
      <c r="AB22" s="2108"/>
      <c r="AC22" s="2108" t="s">
        <v>571</v>
      </c>
      <c r="AD22" s="2109"/>
      <c r="AE22" s="2107" t="s">
        <v>570</v>
      </c>
      <c r="AF22" s="2108"/>
      <c r="AG22" s="2108"/>
      <c r="AH22" s="2108" t="s">
        <v>571</v>
      </c>
      <c r="AI22" s="2109"/>
      <c r="AJ22" s="2107" t="s">
        <v>570</v>
      </c>
      <c r="AK22" s="2108"/>
      <c r="AL22" s="2108"/>
      <c r="AM22" s="2108" t="s">
        <v>571</v>
      </c>
      <c r="AN22" s="2109"/>
      <c r="AO22" s="2107" t="s">
        <v>570</v>
      </c>
      <c r="AP22" s="2108"/>
      <c r="AQ22" s="2108"/>
      <c r="AR22" s="2108" t="s">
        <v>571</v>
      </c>
      <c r="AS22" s="2109"/>
      <c r="AT22" s="2107" t="s">
        <v>570</v>
      </c>
      <c r="AU22" s="2108"/>
      <c r="AV22" s="2108"/>
      <c r="AW22" s="2108" t="s">
        <v>571</v>
      </c>
      <c r="AX22" s="2109"/>
      <c r="AY22" s="2107" t="s">
        <v>570</v>
      </c>
      <c r="AZ22" s="2108"/>
      <c r="BA22" s="2108"/>
      <c r="BB22" s="2108" t="s">
        <v>571</v>
      </c>
      <c r="BC22" s="2109"/>
      <c r="BD22" s="2107" t="s">
        <v>570</v>
      </c>
      <c r="BE22" s="2108"/>
      <c r="BF22" s="2108"/>
      <c r="BG22" s="2108" t="s">
        <v>571</v>
      </c>
      <c r="BH22" s="2109"/>
      <c r="BI22" s="2107" t="s">
        <v>570</v>
      </c>
      <c r="BJ22" s="2108"/>
      <c r="BK22" s="2108"/>
      <c r="BL22" s="2108" t="s">
        <v>571</v>
      </c>
      <c r="BM22" s="2109"/>
      <c r="BN22" s="2107" t="s">
        <v>570</v>
      </c>
      <c r="BO22" s="2108"/>
      <c r="BP22" s="2108"/>
      <c r="BQ22" s="2108" t="s">
        <v>571</v>
      </c>
      <c r="BR22" s="2109"/>
    </row>
    <row r="23" spans="1:138" ht="6" customHeight="1" x14ac:dyDescent="0.25">
      <c r="A23" s="2107"/>
      <c r="B23" s="2108"/>
      <c r="C23" s="2108"/>
      <c r="D23" s="2108"/>
      <c r="E23" s="2109"/>
      <c r="F23" s="2107"/>
      <c r="G23" s="2108"/>
      <c r="H23" s="2108"/>
      <c r="I23" s="2108"/>
      <c r="J23" s="2109"/>
      <c r="K23" s="2107"/>
      <c r="L23" s="2108"/>
      <c r="M23" s="2108"/>
      <c r="N23" s="2108"/>
      <c r="O23" s="2109"/>
      <c r="P23" s="2107"/>
      <c r="Q23" s="2108"/>
      <c r="R23" s="2108"/>
      <c r="S23" s="2108"/>
      <c r="T23" s="2109"/>
      <c r="U23" s="2107"/>
      <c r="V23" s="2108"/>
      <c r="W23" s="2108"/>
      <c r="X23" s="2108"/>
      <c r="Y23" s="2109"/>
      <c r="Z23" s="2107"/>
      <c r="AA23" s="2108"/>
      <c r="AB23" s="2108"/>
      <c r="AC23" s="2108"/>
      <c r="AD23" s="2109"/>
      <c r="AE23" s="2107"/>
      <c r="AF23" s="2108"/>
      <c r="AG23" s="2108"/>
      <c r="AH23" s="2108"/>
      <c r="AI23" s="2109"/>
      <c r="AJ23" s="2107"/>
      <c r="AK23" s="2108"/>
      <c r="AL23" s="2108"/>
      <c r="AM23" s="2108"/>
      <c r="AN23" s="2109"/>
      <c r="AO23" s="2107"/>
      <c r="AP23" s="2108"/>
      <c r="AQ23" s="2108"/>
      <c r="AR23" s="2108"/>
      <c r="AS23" s="2109"/>
      <c r="AT23" s="2107"/>
      <c r="AU23" s="2108"/>
      <c r="AV23" s="2108"/>
      <c r="AW23" s="2108"/>
      <c r="AX23" s="2109"/>
      <c r="AY23" s="2107"/>
      <c r="AZ23" s="2108"/>
      <c r="BA23" s="2108"/>
      <c r="BB23" s="2108"/>
      <c r="BC23" s="2109"/>
      <c r="BD23" s="2107"/>
      <c r="BE23" s="2108"/>
      <c r="BF23" s="2108"/>
      <c r="BG23" s="2108"/>
      <c r="BH23" s="2109"/>
      <c r="BI23" s="2107"/>
      <c r="BJ23" s="2108"/>
      <c r="BK23" s="2108"/>
      <c r="BL23" s="2108"/>
      <c r="BM23" s="2109"/>
      <c r="BN23" s="2107"/>
      <c r="BO23" s="2108"/>
      <c r="BP23" s="2108"/>
      <c r="BQ23" s="2108"/>
      <c r="BR23" s="2109"/>
    </row>
    <row r="24" spans="1:138" s="22" customFormat="1" ht="111.75" customHeight="1" x14ac:dyDescent="1.35">
      <c r="A24" s="1898" t="s">
        <v>572</v>
      </c>
      <c r="B24" s="588">
        <v>37</v>
      </c>
      <c r="C24" s="589"/>
      <c r="D24" s="589"/>
      <c r="E24" s="590"/>
      <c r="F24" s="1898" t="s">
        <v>572</v>
      </c>
      <c r="G24" s="588">
        <v>38</v>
      </c>
      <c r="H24" s="589"/>
      <c r="I24" s="589"/>
      <c r="J24" s="590"/>
      <c r="K24" s="1898" t="s">
        <v>572</v>
      </c>
      <c r="L24" s="588">
        <v>39</v>
      </c>
      <c r="M24" s="589"/>
      <c r="N24" s="589"/>
      <c r="O24" s="590"/>
      <c r="P24" s="1898" t="s">
        <v>572</v>
      </c>
      <c r="Q24" s="588">
        <v>40</v>
      </c>
      <c r="R24" s="589"/>
      <c r="S24" s="589"/>
      <c r="T24" s="590"/>
      <c r="U24" s="1898" t="s">
        <v>572</v>
      </c>
      <c r="V24" s="588">
        <v>41</v>
      </c>
      <c r="W24" s="589"/>
      <c r="X24" s="589"/>
      <c r="Y24" s="590"/>
      <c r="Z24" s="1898" t="s">
        <v>572</v>
      </c>
      <c r="AA24" s="588">
        <v>42</v>
      </c>
      <c r="AB24" s="589"/>
      <c r="AC24" s="589"/>
      <c r="AD24" s="590"/>
      <c r="AE24" s="1898" t="s">
        <v>572</v>
      </c>
      <c r="AF24" s="588">
        <v>43</v>
      </c>
      <c r="AG24" s="589"/>
      <c r="AH24" s="589"/>
      <c r="AI24" s="590"/>
      <c r="AJ24" s="1898" t="s">
        <v>572</v>
      </c>
      <c r="AK24" s="588">
        <v>44</v>
      </c>
      <c r="AL24" s="589"/>
      <c r="AM24" s="589"/>
      <c r="AN24" s="590"/>
      <c r="AO24" s="1898" t="s">
        <v>572</v>
      </c>
      <c r="AP24" s="588">
        <v>45</v>
      </c>
      <c r="AQ24" s="589"/>
      <c r="AR24" s="589"/>
      <c r="AS24" s="590"/>
      <c r="AT24" s="1898" t="s">
        <v>572</v>
      </c>
      <c r="AU24" s="588">
        <v>46</v>
      </c>
      <c r="AV24" s="589"/>
      <c r="AW24" s="589"/>
      <c r="AX24" s="590"/>
      <c r="AY24" s="1898" t="s">
        <v>572</v>
      </c>
      <c r="AZ24" s="588">
        <v>47</v>
      </c>
      <c r="BA24" s="589"/>
      <c r="BB24" s="589"/>
      <c r="BC24" s="590"/>
      <c r="BD24" s="1898" t="s">
        <v>572</v>
      </c>
      <c r="BE24" s="588">
        <v>48</v>
      </c>
      <c r="BF24" s="589"/>
      <c r="BG24" s="589"/>
      <c r="BH24" s="590"/>
      <c r="BI24" s="1898" t="s">
        <v>572</v>
      </c>
      <c r="BJ24" s="588">
        <v>49</v>
      </c>
      <c r="BK24" s="589"/>
      <c r="BL24" s="589"/>
      <c r="BM24" s="590"/>
      <c r="BN24" s="1898" t="s">
        <v>572</v>
      </c>
      <c r="BO24" s="588">
        <v>50</v>
      </c>
      <c r="BP24" s="589"/>
      <c r="BQ24" s="589"/>
      <c r="BR24" s="590"/>
    </row>
    <row r="25" spans="1:138" ht="50.25" customHeight="1" thickBot="1" x14ac:dyDescent="0.3">
      <c r="A25" s="1899"/>
      <c r="B25" s="61">
        <v>1.0000000000000001E-18</v>
      </c>
      <c r="C25" s="62" t="s">
        <v>113</v>
      </c>
      <c r="D25" s="63"/>
      <c r="E25" s="64" t="s">
        <v>114</v>
      </c>
      <c r="F25" s="1899"/>
      <c r="G25" s="61">
        <v>0.152</v>
      </c>
      <c r="H25" s="62" t="s">
        <v>113</v>
      </c>
      <c r="I25" s="63"/>
      <c r="J25" s="64" t="s">
        <v>114</v>
      </c>
      <c r="K25" s="1899"/>
      <c r="L25" s="61">
        <v>0.45700000000000002</v>
      </c>
      <c r="M25" s="62" t="s">
        <v>113</v>
      </c>
      <c r="N25" s="63">
        <v>1</v>
      </c>
      <c r="O25" s="64" t="s">
        <v>114</v>
      </c>
      <c r="P25" s="1899"/>
      <c r="Q25" s="61">
        <v>1E-14</v>
      </c>
      <c r="R25" s="62" t="s">
        <v>113</v>
      </c>
      <c r="S25" s="63"/>
      <c r="T25" s="64" t="s">
        <v>114</v>
      </c>
      <c r="U25" s="1899"/>
      <c r="V25" s="61">
        <v>1E-8</v>
      </c>
      <c r="W25" s="62" t="s">
        <v>113</v>
      </c>
      <c r="X25" s="63"/>
      <c r="Y25" s="64" t="s">
        <v>114</v>
      </c>
      <c r="Z25" s="1899"/>
      <c r="AA25" s="61">
        <v>0.38100000000000001</v>
      </c>
      <c r="AB25" s="62" t="s">
        <v>113</v>
      </c>
      <c r="AC25" s="63"/>
      <c r="AD25" s="64" t="s">
        <v>114</v>
      </c>
      <c r="AE25" s="1899"/>
      <c r="AF25" s="61">
        <v>1E-10</v>
      </c>
      <c r="AG25" s="62" t="s">
        <v>113</v>
      </c>
      <c r="AH25" s="63">
        <v>1</v>
      </c>
      <c r="AI25" s="64" t="s">
        <v>114</v>
      </c>
      <c r="AJ25" s="1899"/>
      <c r="AK25" s="61">
        <v>0.22800000000000001</v>
      </c>
      <c r="AL25" s="62" t="s">
        <v>113</v>
      </c>
      <c r="AM25" s="63"/>
      <c r="AN25" s="64" t="s">
        <v>114</v>
      </c>
      <c r="AO25" s="1899"/>
      <c r="AP25" s="61">
        <v>0.17699999999999999</v>
      </c>
      <c r="AQ25" s="62" t="s">
        <v>113</v>
      </c>
      <c r="AR25" s="63"/>
      <c r="AS25" s="64" t="s">
        <v>114</v>
      </c>
      <c r="AT25" s="1899"/>
      <c r="AU25" s="61">
        <v>0.30480000000000002</v>
      </c>
      <c r="AV25" s="62" t="s">
        <v>113</v>
      </c>
      <c r="AW25" s="63">
        <v>1</v>
      </c>
      <c r="AX25" s="64" t="s">
        <v>114</v>
      </c>
      <c r="AY25" s="1899"/>
      <c r="AZ25" s="61">
        <v>0.127</v>
      </c>
      <c r="BA25" s="62" t="s">
        <v>113</v>
      </c>
      <c r="BB25" s="63"/>
      <c r="BC25" s="64" t="s">
        <v>114</v>
      </c>
      <c r="BD25" s="1899"/>
      <c r="BE25" s="61">
        <v>0.45700000000000002</v>
      </c>
      <c r="BF25" s="62" t="s">
        <v>113</v>
      </c>
      <c r="BG25" s="63"/>
      <c r="BH25" s="64" t="s">
        <v>114</v>
      </c>
      <c r="BI25" s="1899"/>
      <c r="BJ25" s="61">
        <v>0.15240000000000001</v>
      </c>
      <c r="BK25" s="62" t="s">
        <v>113</v>
      </c>
      <c r="BL25" s="63"/>
      <c r="BM25" s="64" t="s">
        <v>114</v>
      </c>
      <c r="BN25" s="1899"/>
      <c r="BO25" s="61">
        <v>0.35560000000000003</v>
      </c>
      <c r="BP25" s="62" t="s">
        <v>113</v>
      </c>
      <c r="BQ25" s="63">
        <v>1</v>
      </c>
      <c r="BR25" s="64" t="s">
        <v>114</v>
      </c>
      <c r="BW25" s="27"/>
      <c r="BX25" s="27"/>
      <c r="BY25" s="27"/>
      <c r="BZ25" s="27"/>
      <c r="CA25" s="27"/>
      <c r="CB25" s="27"/>
      <c r="CC25" s="27"/>
      <c r="CD25" s="27"/>
      <c r="CE25" s="27"/>
    </row>
    <row r="26" spans="1:138" ht="42.75" customHeight="1" thickTop="1" x14ac:dyDescent="0.25">
      <c r="A26" s="1900" t="s">
        <v>110</v>
      </c>
      <c r="B26" s="2083"/>
      <c r="C26" s="2084">
        <f t="shared" ref="C26" si="50">B31/((36*3.1415/59)*(61/3.281))</f>
        <v>1.2093892734522013E-2</v>
      </c>
      <c r="D26" s="2084"/>
      <c r="E26" s="2085"/>
      <c r="F26" s="1900" t="s">
        <v>110</v>
      </c>
      <c r="G26" s="2083"/>
      <c r="H26" s="2084">
        <f t="shared" ref="H26" si="51">G31/((36*3.1415/59)*(61/3.281))</f>
        <v>2.8060075950167084E-13</v>
      </c>
      <c r="I26" s="2084"/>
      <c r="J26" s="2085"/>
      <c r="K26" s="1900" t="s">
        <v>110</v>
      </c>
      <c r="L26" s="2083"/>
      <c r="M26" s="2084">
        <f t="shared" ref="M26" si="52">L31/((36*3.1415/59)*(61/3.281))</f>
        <v>1.0690888937013658E-2</v>
      </c>
      <c r="N26" s="2084"/>
      <c r="O26" s="2085"/>
      <c r="P26" s="1900" t="s">
        <v>110</v>
      </c>
      <c r="Q26" s="2083"/>
      <c r="R26" s="2084">
        <f t="shared" ref="R26" si="53">Q31/((36*3.1415/59)*(61/3.281))</f>
        <v>2.8060075950167084E-13</v>
      </c>
      <c r="S26" s="2084"/>
      <c r="T26" s="2085"/>
      <c r="U26" s="1900" t="s">
        <v>110</v>
      </c>
      <c r="V26" s="2083"/>
      <c r="W26" s="2084">
        <f t="shared" ref="W26" si="54">V31/((36*3.1415/59)*(61/3.281))</f>
        <v>4.9217373216593066E-3</v>
      </c>
      <c r="X26" s="2084"/>
      <c r="Y26" s="2085"/>
      <c r="Z26" s="1900" t="s">
        <v>110</v>
      </c>
      <c r="AA26" s="2083"/>
      <c r="AB26" s="2084">
        <f t="shared" ref="AB26" si="55">AA31/((36*3.1415/59)*(61/3.281))</f>
        <v>4.9666334431795736E-3</v>
      </c>
      <c r="AC26" s="2084"/>
      <c r="AD26" s="2085"/>
      <c r="AE26" s="1900" t="s">
        <v>110</v>
      </c>
      <c r="AF26" s="2083"/>
      <c r="AG26" s="2084">
        <f t="shared" ref="AG26" si="56">AF31/((36*3.1415/59)*(61/3.281))</f>
        <v>1.7105422299221854E-2</v>
      </c>
      <c r="AH26" s="2084"/>
      <c r="AI26" s="2085"/>
      <c r="AJ26" s="1900" t="s">
        <v>110</v>
      </c>
      <c r="AK26" s="2083"/>
      <c r="AL26" s="2084">
        <f t="shared" ref="AL26" si="57">AK31/((36*3.1415/59)*(61/3.281))</f>
        <v>4.9666334431795736E-3</v>
      </c>
      <c r="AM26" s="2084"/>
      <c r="AN26" s="2085"/>
      <c r="AO26" s="1900" t="s">
        <v>110</v>
      </c>
      <c r="AP26" s="2083"/>
      <c r="AQ26" s="2084">
        <f t="shared" ref="AQ26" si="58">AP31/((36*3.1415/59)*(61/3.281))</f>
        <v>2.8060075950167085E-10</v>
      </c>
      <c r="AR26" s="2084"/>
      <c r="AS26" s="2085"/>
      <c r="AT26" s="1900" t="s">
        <v>110</v>
      </c>
      <c r="AU26" s="2083"/>
      <c r="AV26" s="2084">
        <f t="shared" ref="AV26" si="59">AU31/((36*3.1415/59)*(61/3.281))</f>
        <v>4.9666334431795736E-3</v>
      </c>
      <c r="AW26" s="2084"/>
      <c r="AX26" s="2085"/>
      <c r="AY26" s="1900" t="s">
        <v>110</v>
      </c>
      <c r="AZ26" s="2083"/>
      <c r="BA26" s="2084">
        <f t="shared" ref="BA26" si="60">AZ31/((36*3.1415/59)*(61/3.281))</f>
        <v>2.8060075950167084E-13</v>
      </c>
      <c r="BB26" s="2084"/>
      <c r="BC26" s="2085"/>
      <c r="BD26" s="1900" t="s">
        <v>110</v>
      </c>
      <c r="BE26" s="2083"/>
      <c r="BF26" s="2084">
        <f t="shared" ref="BF26" si="61">BE31/((36*3.1415/59)*(61/3.281))</f>
        <v>2.8060075950167085E-12</v>
      </c>
      <c r="BG26" s="2084"/>
      <c r="BH26" s="2085"/>
      <c r="BI26" s="1900" t="s">
        <v>110</v>
      </c>
      <c r="BJ26" s="2083"/>
      <c r="BK26" s="2084">
        <f t="shared" ref="BK26" si="62">BJ31/((36*3.1415/59)*(61/3.281))</f>
        <v>2.8060075950167083E-17</v>
      </c>
      <c r="BL26" s="2084"/>
      <c r="BM26" s="2085"/>
      <c r="BN26" s="1900" t="s">
        <v>110</v>
      </c>
      <c r="BO26" s="2083"/>
      <c r="BP26" s="2084">
        <f t="shared" ref="BP26" si="63">BO31/((36*3.1415/59)*(61/3.281))</f>
        <v>6.7708963267753164E-2</v>
      </c>
      <c r="BQ26" s="2084"/>
      <c r="BR26" s="2085"/>
    </row>
    <row r="27" spans="1:138" ht="35.25" customHeight="1" x14ac:dyDescent="0.25">
      <c r="A27" s="2104" t="s">
        <v>504</v>
      </c>
      <c r="B27" s="2105"/>
      <c r="C27" s="2105"/>
      <c r="D27" s="2105" t="s">
        <v>489</v>
      </c>
      <c r="E27" s="2106"/>
      <c r="F27" s="2086" t="s">
        <v>504</v>
      </c>
      <c r="G27" s="2087"/>
      <c r="H27" s="2087"/>
      <c r="I27" s="2087" t="s">
        <v>489</v>
      </c>
      <c r="J27" s="2088"/>
      <c r="K27" s="2104" t="s">
        <v>504</v>
      </c>
      <c r="L27" s="2105"/>
      <c r="M27" s="2105"/>
      <c r="N27" s="2105" t="s">
        <v>489</v>
      </c>
      <c r="O27" s="2106"/>
      <c r="P27" s="2086" t="s">
        <v>504</v>
      </c>
      <c r="Q27" s="2087"/>
      <c r="R27" s="2087"/>
      <c r="S27" s="2087" t="s">
        <v>489</v>
      </c>
      <c r="T27" s="2088"/>
      <c r="U27" s="2086" t="s">
        <v>504</v>
      </c>
      <c r="V27" s="2087"/>
      <c r="W27" s="2087"/>
      <c r="X27" s="2087" t="s">
        <v>489</v>
      </c>
      <c r="Y27" s="2088"/>
      <c r="Z27" s="2104" t="s">
        <v>504</v>
      </c>
      <c r="AA27" s="2105"/>
      <c r="AB27" s="2105"/>
      <c r="AC27" s="2105" t="s">
        <v>489</v>
      </c>
      <c r="AD27" s="2106"/>
      <c r="AE27" s="2086" t="s">
        <v>504</v>
      </c>
      <c r="AF27" s="2087"/>
      <c r="AG27" s="2087"/>
      <c r="AH27" s="2105" t="s">
        <v>489</v>
      </c>
      <c r="AI27" s="2106"/>
      <c r="AJ27" s="2104" t="s">
        <v>504</v>
      </c>
      <c r="AK27" s="2105"/>
      <c r="AL27" s="2105"/>
      <c r="AM27" s="2105" t="s">
        <v>489</v>
      </c>
      <c r="AN27" s="2106"/>
      <c r="AO27" s="2086" t="s">
        <v>504</v>
      </c>
      <c r="AP27" s="2087"/>
      <c r="AQ27" s="2087"/>
      <c r="AR27" s="2087" t="s">
        <v>489</v>
      </c>
      <c r="AS27" s="2088"/>
      <c r="AT27" s="2104" t="s">
        <v>504</v>
      </c>
      <c r="AU27" s="2105"/>
      <c r="AV27" s="2105"/>
      <c r="AW27" s="2105" t="s">
        <v>489</v>
      </c>
      <c r="AX27" s="2106"/>
      <c r="AY27" s="2086" t="s">
        <v>504</v>
      </c>
      <c r="AZ27" s="2087"/>
      <c r="BA27" s="2087"/>
      <c r="BB27" s="2105" t="s">
        <v>489</v>
      </c>
      <c r="BC27" s="2106"/>
      <c r="BD27" s="2104" t="s">
        <v>504</v>
      </c>
      <c r="BE27" s="2105"/>
      <c r="BF27" s="2105"/>
      <c r="BG27" s="2105" t="s">
        <v>489</v>
      </c>
      <c r="BH27" s="2106"/>
      <c r="BI27" s="2086" t="s">
        <v>504</v>
      </c>
      <c r="BJ27" s="2087"/>
      <c r="BK27" s="2087"/>
      <c r="BL27" s="2087" t="s">
        <v>489</v>
      </c>
      <c r="BM27" s="2088"/>
      <c r="BN27" s="2104" t="s">
        <v>504</v>
      </c>
      <c r="BO27" s="2105"/>
      <c r="BP27" s="2105"/>
      <c r="BQ27" s="2105" t="s">
        <v>489</v>
      </c>
      <c r="BR27" s="2106"/>
    </row>
    <row r="28" spans="1:138" ht="35.25" customHeight="1" x14ac:dyDescent="0.25">
      <c r="A28" s="2107" t="s">
        <v>570</v>
      </c>
      <c r="B28" s="2108"/>
      <c r="C28" s="2108"/>
      <c r="D28" s="2108" t="s">
        <v>571</v>
      </c>
      <c r="E28" s="2109"/>
      <c r="F28" s="2107" t="s">
        <v>570</v>
      </c>
      <c r="G28" s="2108"/>
      <c r="H28" s="2108"/>
      <c r="I28" s="2108" t="s">
        <v>571</v>
      </c>
      <c r="J28" s="2109"/>
      <c r="K28" s="2107" t="s">
        <v>570</v>
      </c>
      <c r="L28" s="2108"/>
      <c r="M28" s="2108"/>
      <c r="N28" s="2108" t="s">
        <v>571</v>
      </c>
      <c r="O28" s="2109"/>
      <c r="P28" s="2107" t="s">
        <v>570</v>
      </c>
      <c r="Q28" s="2108"/>
      <c r="R28" s="2108"/>
      <c r="S28" s="2108" t="s">
        <v>571</v>
      </c>
      <c r="T28" s="2109"/>
      <c r="U28" s="2107" t="s">
        <v>570</v>
      </c>
      <c r="V28" s="2108"/>
      <c r="W28" s="2108"/>
      <c r="X28" s="2108" t="s">
        <v>571</v>
      </c>
      <c r="Y28" s="2109"/>
      <c r="Z28" s="2107" t="s">
        <v>570</v>
      </c>
      <c r="AA28" s="2108"/>
      <c r="AB28" s="2108"/>
      <c r="AC28" s="2108" t="s">
        <v>571</v>
      </c>
      <c r="AD28" s="2109"/>
      <c r="AE28" s="2107" t="s">
        <v>570</v>
      </c>
      <c r="AF28" s="2108"/>
      <c r="AG28" s="2108"/>
      <c r="AH28" s="2108" t="s">
        <v>571</v>
      </c>
      <c r="AI28" s="2109"/>
      <c r="AJ28" s="2107" t="s">
        <v>570</v>
      </c>
      <c r="AK28" s="2108"/>
      <c r="AL28" s="2108"/>
      <c r="AM28" s="2108" t="s">
        <v>571</v>
      </c>
      <c r="AN28" s="2109"/>
      <c r="AO28" s="2107" t="s">
        <v>570</v>
      </c>
      <c r="AP28" s="2108"/>
      <c r="AQ28" s="2108"/>
      <c r="AR28" s="2108" t="s">
        <v>571</v>
      </c>
      <c r="AS28" s="2109"/>
      <c r="AT28" s="2107" t="s">
        <v>570</v>
      </c>
      <c r="AU28" s="2108"/>
      <c r="AV28" s="2108"/>
      <c r="AW28" s="2108" t="s">
        <v>571</v>
      </c>
      <c r="AX28" s="2109"/>
      <c r="AY28" s="2107" t="s">
        <v>570</v>
      </c>
      <c r="AZ28" s="2108"/>
      <c r="BA28" s="2108"/>
      <c r="BB28" s="2108" t="s">
        <v>571</v>
      </c>
      <c r="BC28" s="2109"/>
      <c r="BD28" s="2107" t="s">
        <v>570</v>
      </c>
      <c r="BE28" s="2108"/>
      <c r="BF28" s="2108"/>
      <c r="BG28" s="2108" t="s">
        <v>571</v>
      </c>
      <c r="BH28" s="2109"/>
      <c r="BI28" s="2107" t="s">
        <v>570</v>
      </c>
      <c r="BJ28" s="2108"/>
      <c r="BK28" s="2108"/>
      <c r="BL28" s="2108" t="s">
        <v>571</v>
      </c>
      <c r="BM28" s="2109"/>
      <c r="BN28" s="2107" t="s">
        <v>570</v>
      </c>
      <c r="BO28" s="2108"/>
      <c r="BP28" s="2108"/>
      <c r="BQ28" s="2108" t="s">
        <v>571</v>
      </c>
      <c r="BR28" s="2109"/>
      <c r="ED28" s="13"/>
      <c r="EE28" s="13"/>
      <c r="EF28" s="13"/>
      <c r="EG28" s="13"/>
      <c r="EH28" s="13"/>
    </row>
    <row r="29" spans="1:138" ht="6" customHeight="1" x14ac:dyDescent="0.25">
      <c r="A29" s="2107"/>
      <c r="B29" s="2108"/>
      <c r="C29" s="2108"/>
      <c r="D29" s="2108"/>
      <c r="E29" s="2109"/>
      <c r="F29" s="2107"/>
      <c r="G29" s="2108"/>
      <c r="H29" s="2108"/>
      <c r="I29" s="2108"/>
      <c r="J29" s="2109"/>
      <c r="K29" s="2107"/>
      <c r="L29" s="2108"/>
      <c r="M29" s="2108"/>
      <c r="N29" s="2108"/>
      <c r="O29" s="2109"/>
      <c r="P29" s="2107"/>
      <c r="Q29" s="2108"/>
      <c r="R29" s="2108"/>
      <c r="S29" s="2108"/>
      <c r="T29" s="2109"/>
      <c r="U29" s="2107"/>
      <c r="V29" s="2108"/>
      <c r="W29" s="2108"/>
      <c r="X29" s="2108"/>
      <c r="Y29" s="2109"/>
      <c r="Z29" s="2107"/>
      <c r="AA29" s="2108"/>
      <c r="AB29" s="2108"/>
      <c r="AC29" s="2108"/>
      <c r="AD29" s="2109"/>
      <c r="AE29" s="2107"/>
      <c r="AF29" s="2108"/>
      <c r="AG29" s="2108"/>
      <c r="AH29" s="2108"/>
      <c r="AI29" s="2109"/>
      <c r="AJ29" s="2107"/>
      <c r="AK29" s="2108"/>
      <c r="AL29" s="2108"/>
      <c r="AM29" s="2108"/>
      <c r="AN29" s="2109"/>
      <c r="AO29" s="2107"/>
      <c r="AP29" s="2108"/>
      <c r="AQ29" s="2108"/>
      <c r="AR29" s="2108"/>
      <c r="AS29" s="2109"/>
      <c r="AT29" s="2107"/>
      <c r="AU29" s="2108"/>
      <c r="AV29" s="2108"/>
      <c r="AW29" s="2108"/>
      <c r="AX29" s="2109"/>
      <c r="AY29" s="2107"/>
      <c r="AZ29" s="2108"/>
      <c r="BA29" s="2108"/>
      <c r="BB29" s="2108"/>
      <c r="BC29" s="2109"/>
      <c r="BD29" s="2107"/>
      <c r="BE29" s="2108"/>
      <c r="BF29" s="2108"/>
      <c r="BG29" s="2108"/>
      <c r="BH29" s="2109"/>
      <c r="BI29" s="2107"/>
      <c r="BJ29" s="2108"/>
      <c r="BK29" s="2108"/>
      <c r="BL29" s="2108"/>
      <c r="BM29" s="2109"/>
      <c r="BN29" s="2107"/>
      <c r="BO29" s="2108"/>
      <c r="BP29" s="2108"/>
      <c r="BQ29" s="2108"/>
      <c r="BR29" s="2109"/>
      <c r="ED29" s="13"/>
      <c r="EE29" s="13"/>
      <c r="EF29" s="13"/>
      <c r="EG29" s="13"/>
      <c r="EH29" s="13"/>
    </row>
    <row r="30" spans="1:138" s="22" customFormat="1" ht="111.75" customHeight="1" x14ac:dyDescent="1.35">
      <c r="A30" s="1898" t="s">
        <v>572</v>
      </c>
      <c r="B30" s="588">
        <v>51</v>
      </c>
      <c r="C30" s="589"/>
      <c r="D30" s="589"/>
      <c r="E30" s="590"/>
      <c r="F30" s="1898" t="s">
        <v>572</v>
      </c>
      <c r="G30" s="588">
        <v>52</v>
      </c>
      <c r="H30" s="589"/>
      <c r="I30" s="589"/>
      <c r="J30" s="590"/>
      <c r="K30" s="1898" t="s">
        <v>572</v>
      </c>
      <c r="L30" s="588">
        <v>53</v>
      </c>
      <c r="M30" s="589"/>
      <c r="N30" s="589"/>
      <c r="O30" s="590"/>
      <c r="P30" s="1898" t="s">
        <v>572</v>
      </c>
      <c r="Q30" s="588">
        <v>54</v>
      </c>
      <c r="R30" s="589"/>
      <c r="S30" s="589"/>
      <c r="T30" s="590"/>
      <c r="U30" s="1898" t="s">
        <v>572</v>
      </c>
      <c r="V30" s="588">
        <v>55</v>
      </c>
      <c r="W30" s="589"/>
      <c r="X30" s="589"/>
      <c r="Y30" s="590"/>
      <c r="Z30" s="1898" t="s">
        <v>572</v>
      </c>
      <c r="AA30" s="588">
        <v>56</v>
      </c>
      <c r="AB30" s="589"/>
      <c r="AC30" s="589"/>
      <c r="AD30" s="590"/>
      <c r="AE30" s="1898" t="s">
        <v>572</v>
      </c>
      <c r="AF30" s="588">
        <v>57</v>
      </c>
      <c r="AG30" s="589"/>
      <c r="AH30" s="589"/>
      <c r="AI30" s="590"/>
      <c r="AJ30" s="1898" t="s">
        <v>572</v>
      </c>
      <c r="AK30" s="588">
        <v>58</v>
      </c>
      <c r="AL30" s="589"/>
      <c r="AM30" s="589"/>
      <c r="AN30" s="590"/>
      <c r="AO30" s="1898" t="s">
        <v>572</v>
      </c>
      <c r="AP30" s="588">
        <v>59</v>
      </c>
      <c r="AQ30" s="589"/>
      <c r="AR30" s="589"/>
      <c r="AS30" s="590"/>
      <c r="AT30" s="1898" t="s">
        <v>572</v>
      </c>
      <c r="AU30" s="588">
        <v>60</v>
      </c>
      <c r="AV30" s="589"/>
      <c r="AW30" s="589"/>
      <c r="AX30" s="590"/>
      <c r="AY30" s="1898" t="s">
        <v>572</v>
      </c>
      <c r="AZ30" s="588">
        <v>61</v>
      </c>
      <c r="BA30" s="589"/>
      <c r="BB30" s="589"/>
      <c r="BC30" s="590"/>
      <c r="BD30" s="1898" t="s">
        <v>572</v>
      </c>
      <c r="BE30" s="588">
        <v>62</v>
      </c>
      <c r="BF30" s="589"/>
      <c r="BG30" s="589"/>
      <c r="BH30" s="590"/>
      <c r="BI30" s="1898" t="s">
        <v>572</v>
      </c>
      <c r="BJ30" s="588">
        <v>63</v>
      </c>
      <c r="BK30" s="589"/>
      <c r="BL30" s="589"/>
      <c r="BM30" s="590"/>
      <c r="BN30" s="1898" t="s">
        <v>572</v>
      </c>
      <c r="BO30" s="588">
        <v>64</v>
      </c>
      <c r="BP30" s="589"/>
      <c r="BQ30" s="589"/>
      <c r="BR30" s="590"/>
      <c r="CU30" s="378"/>
      <c r="ED30" s="317"/>
      <c r="EE30" s="317"/>
      <c r="EF30" s="317"/>
      <c r="EG30" s="317"/>
      <c r="EH30" s="317"/>
    </row>
    <row r="31" spans="1:138" ht="50.25" customHeight="1" thickBot="1" x14ac:dyDescent="0.3">
      <c r="A31" s="1899"/>
      <c r="B31" s="61">
        <v>0.43099999999999999</v>
      </c>
      <c r="C31" s="62" t="s">
        <v>113</v>
      </c>
      <c r="D31" s="63"/>
      <c r="E31" s="64" t="s">
        <v>114</v>
      </c>
      <c r="F31" s="1899"/>
      <c r="G31" s="61">
        <v>9.9999999999999994E-12</v>
      </c>
      <c r="H31" s="62" t="s">
        <v>113</v>
      </c>
      <c r="I31" s="63"/>
      <c r="J31" s="64" t="s">
        <v>114</v>
      </c>
      <c r="K31" s="1899"/>
      <c r="L31" s="61">
        <v>0.38100000000000001</v>
      </c>
      <c r="M31" s="62" t="s">
        <v>113</v>
      </c>
      <c r="N31" s="63"/>
      <c r="O31" s="64" t="s">
        <v>114</v>
      </c>
      <c r="P31" s="1899"/>
      <c r="Q31" s="61">
        <v>9.9999999999999994E-12</v>
      </c>
      <c r="R31" s="62" t="s">
        <v>113</v>
      </c>
      <c r="S31" s="63">
        <v>1</v>
      </c>
      <c r="T31" s="64" t="s">
        <v>114</v>
      </c>
      <c r="U31" s="1899"/>
      <c r="V31" s="61">
        <v>0.1754</v>
      </c>
      <c r="W31" s="62" t="s">
        <v>113</v>
      </c>
      <c r="X31" s="63"/>
      <c r="Y31" s="64" t="s">
        <v>114</v>
      </c>
      <c r="Z31" s="1899"/>
      <c r="AA31" s="61">
        <v>0.17699999999999999</v>
      </c>
      <c r="AB31" s="62" t="s">
        <v>113</v>
      </c>
      <c r="AC31" s="63"/>
      <c r="AD31" s="64" t="s">
        <v>114</v>
      </c>
      <c r="AE31" s="1899"/>
      <c r="AF31" s="61">
        <v>0.60960000000000003</v>
      </c>
      <c r="AG31" s="62" t="s">
        <v>113</v>
      </c>
      <c r="AH31" s="63">
        <v>1</v>
      </c>
      <c r="AI31" s="64" t="s">
        <v>114</v>
      </c>
      <c r="AJ31" s="1899"/>
      <c r="AK31" s="61">
        <v>0.17699999999999999</v>
      </c>
      <c r="AL31" s="62" t="s">
        <v>113</v>
      </c>
      <c r="AM31" s="63"/>
      <c r="AN31" s="64" t="s">
        <v>114</v>
      </c>
      <c r="AO31" s="1899"/>
      <c r="AP31" s="61">
        <v>1E-8</v>
      </c>
      <c r="AQ31" s="62" t="s">
        <v>113</v>
      </c>
      <c r="AR31" s="63"/>
      <c r="AS31" s="64" t="s">
        <v>114</v>
      </c>
      <c r="AT31" s="1899"/>
      <c r="AU31" s="61">
        <v>0.17699999999999999</v>
      </c>
      <c r="AV31" s="62" t="s">
        <v>113</v>
      </c>
      <c r="AW31" s="63"/>
      <c r="AX31" s="64" t="s">
        <v>114</v>
      </c>
      <c r="AY31" s="1899"/>
      <c r="AZ31" s="61">
        <v>9.9999999999999994E-12</v>
      </c>
      <c r="BA31" s="62" t="s">
        <v>113</v>
      </c>
      <c r="BB31" s="63">
        <v>1</v>
      </c>
      <c r="BC31" s="64" t="s">
        <v>114</v>
      </c>
      <c r="BD31" s="1899"/>
      <c r="BE31" s="61">
        <v>1E-10</v>
      </c>
      <c r="BF31" s="62" t="s">
        <v>113</v>
      </c>
      <c r="BG31" s="63"/>
      <c r="BH31" s="64" t="s">
        <v>114</v>
      </c>
      <c r="BI31" s="1899"/>
      <c r="BJ31" s="61">
        <v>1.0000000000000001E-15</v>
      </c>
      <c r="BK31" s="62" t="s">
        <v>113</v>
      </c>
      <c r="BL31" s="63"/>
      <c r="BM31" s="64" t="s">
        <v>114</v>
      </c>
      <c r="BN31" s="1899"/>
      <c r="BO31" s="61">
        <v>2.4129999999999998</v>
      </c>
      <c r="BP31" s="62" t="s">
        <v>113</v>
      </c>
      <c r="BQ31" s="63">
        <v>1</v>
      </c>
      <c r="BR31" s="64" t="s">
        <v>114</v>
      </c>
      <c r="BW31" s="27"/>
      <c r="BX31" s="27"/>
      <c r="BY31" s="27"/>
      <c r="BZ31" s="27"/>
      <c r="CA31" s="27"/>
      <c r="CB31" s="27"/>
      <c r="CC31" s="27"/>
      <c r="CD31" s="27"/>
      <c r="CE31" s="27"/>
      <c r="ED31" s="13"/>
      <c r="EE31" s="13"/>
      <c r="EF31" s="13"/>
      <c r="EG31" s="13"/>
      <c r="EH31" s="13"/>
    </row>
    <row r="32" spans="1:138" ht="42.75" customHeight="1" thickTop="1" x14ac:dyDescent="0.25">
      <c r="A32" s="1900" t="s">
        <v>110</v>
      </c>
      <c r="B32" s="2083"/>
      <c r="C32" s="2084">
        <f t="shared" ref="C32" si="64">B37/((36*3.1415/59)*(61/3.281))</f>
        <v>1.1392390835767837E-2</v>
      </c>
      <c r="D32" s="2084"/>
      <c r="E32" s="2085"/>
      <c r="F32" s="1900" t="s">
        <v>110</v>
      </c>
      <c r="G32" s="2083"/>
      <c r="H32" s="2084">
        <f t="shared" ref="H32" si="65">G37/((36*3.1415/59)*(61/3.281))</f>
        <v>2.8060075950167085E-15</v>
      </c>
      <c r="I32" s="2084"/>
      <c r="J32" s="2085"/>
      <c r="K32" s="1900" t="s">
        <v>110</v>
      </c>
      <c r="L32" s="2083"/>
      <c r="M32" s="2084">
        <f t="shared" ref="M32" si="66">L37/((36*3.1415/59)*(61/3.281))</f>
        <v>4.4189007606323126E-2</v>
      </c>
      <c r="N32" s="2084"/>
      <c r="O32" s="2085"/>
      <c r="P32" s="1900" t="s">
        <v>110</v>
      </c>
      <c r="Q32" s="2083"/>
      <c r="R32" s="2084">
        <f t="shared" ref="R32" si="67">Q37/((36*3.1415/59)*(61/3.281))</f>
        <v>4.9666334431795736E-3</v>
      </c>
      <c r="S32" s="2084"/>
      <c r="T32" s="2085"/>
      <c r="U32" s="1900" t="s">
        <v>110</v>
      </c>
      <c r="V32" s="2083"/>
      <c r="W32" s="2084">
        <f t="shared" ref="W32" si="68">V37/((36*3.1415/59)*(61/3.281))</f>
        <v>2.8060075950167082E-16</v>
      </c>
      <c r="X32" s="2084"/>
      <c r="Y32" s="2085"/>
      <c r="Z32" s="1900" t="s">
        <v>110</v>
      </c>
      <c r="AA32" s="2083"/>
      <c r="AB32" s="2084">
        <f t="shared" ref="AB32" si="69">AA37/((36*3.1415/59)*(61/3.281))</f>
        <v>1.2116340795282147E-2</v>
      </c>
      <c r="AC32" s="2084"/>
      <c r="AD32" s="2085"/>
      <c r="AE32" s="1900" t="s">
        <v>110</v>
      </c>
      <c r="AF32" s="2083"/>
      <c r="AG32" s="2084">
        <f t="shared" ref="AG32" si="70">AF37/((36*3.1415/59)*(61/3.281))</f>
        <v>0.13684337839377483</v>
      </c>
      <c r="AH32" s="2084"/>
      <c r="AI32" s="2085"/>
      <c r="AJ32" s="1900" t="s">
        <v>110</v>
      </c>
      <c r="AK32" s="2083"/>
      <c r="AL32" s="2084">
        <f t="shared" ref="AL32" si="71">AK37/((36*3.1415/59)*(61/3.281))</f>
        <v>1.2829066724416392E-2</v>
      </c>
      <c r="AM32" s="2084"/>
      <c r="AN32" s="2085"/>
      <c r="AO32" s="1900" t="s">
        <v>110</v>
      </c>
      <c r="AP32" s="2083"/>
      <c r="AQ32" s="2084">
        <f t="shared" ref="AQ32" si="72">AP37/((36*3.1415/59)*(61/3.281))</f>
        <v>2.8060075950167085E-10</v>
      </c>
      <c r="AR32" s="2084"/>
      <c r="AS32" s="2085"/>
      <c r="AT32" s="1900" t="s">
        <v>110</v>
      </c>
      <c r="AU32" s="2083"/>
      <c r="AV32" s="2084">
        <f t="shared" ref="AV32" si="73">AU37/((36*3.1415/59)*(61/3.281))</f>
        <v>9.2654370787451715E-3</v>
      </c>
      <c r="AW32" s="2084"/>
      <c r="AX32" s="2085"/>
      <c r="AY32" s="1900" t="s">
        <v>110</v>
      </c>
      <c r="AZ32" s="2083"/>
      <c r="BA32" s="2084">
        <f t="shared" ref="BA32" si="74">AZ37/((36*3.1415/59)*(61/3.281))</f>
        <v>2.8060075950167084E-13</v>
      </c>
      <c r="BB32" s="2084"/>
      <c r="BC32" s="2085"/>
      <c r="BD32" s="1900" t="s">
        <v>110</v>
      </c>
      <c r="BE32" s="2083"/>
      <c r="BF32" s="2084">
        <f t="shared" ref="BF32" si="75">BE37/((36*3.1415/59)*(61/3.281))</f>
        <v>4.2763555748054636E-3</v>
      </c>
      <c r="BG32" s="2084"/>
      <c r="BH32" s="2085"/>
      <c r="BI32" s="1900" t="s">
        <v>110</v>
      </c>
      <c r="BJ32" s="2083"/>
      <c r="BK32" s="2084">
        <f t="shared" ref="BK32" si="76">BJ37/((36*3.1415/59)*(61/3.281))</f>
        <v>2.8060075950167087E-39</v>
      </c>
      <c r="BL32" s="2084"/>
      <c r="BM32" s="2085"/>
      <c r="BN32" s="1900" t="s">
        <v>110</v>
      </c>
      <c r="BO32" s="2083"/>
      <c r="BP32" s="2084">
        <f t="shared" ref="BP32" si="77">BO37/((36*3.1415/59)*(61/3.281))</f>
        <v>2.5658133448832783E-2</v>
      </c>
      <c r="BQ32" s="2084"/>
      <c r="BR32" s="2085"/>
      <c r="ED32" s="13"/>
      <c r="EE32" s="13"/>
      <c r="EF32" s="13"/>
      <c r="EG32" s="13"/>
      <c r="EH32" s="13"/>
    </row>
    <row r="33" spans="1:138" ht="35.25" customHeight="1" x14ac:dyDescent="0.25">
      <c r="A33" s="2104" t="s">
        <v>504</v>
      </c>
      <c r="B33" s="2105"/>
      <c r="C33" s="2105"/>
      <c r="D33" s="2105" t="s">
        <v>489</v>
      </c>
      <c r="E33" s="2106"/>
      <c r="F33" s="2086" t="s">
        <v>504</v>
      </c>
      <c r="G33" s="2087"/>
      <c r="H33" s="2087"/>
      <c r="I33" s="2087" t="s">
        <v>489</v>
      </c>
      <c r="J33" s="2088"/>
      <c r="K33" s="2086" t="s">
        <v>504</v>
      </c>
      <c r="L33" s="2087"/>
      <c r="M33" s="2087"/>
      <c r="N33" s="2087" t="s">
        <v>489</v>
      </c>
      <c r="O33" s="2088"/>
      <c r="P33" s="2104" t="s">
        <v>504</v>
      </c>
      <c r="Q33" s="2105"/>
      <c r="R33" s="2105"/>
      <c r="S33" s="2105" t="s">
        <v>489</v>
      </c>
      <c r="T33" s="2106"/>
      <c r="U33" s="2086" t="s">
        <v>504</v>
      </c>
      <c r="V33" s="2087"/>
      <c r="W33" s="2087"/>
      <c r="X33" s="2087" t="s">
        <v>489</v>
      </c>
      <c r="Y33" s="2088"/>
      <c r="Z33" s="2122" t="s">
        <v>504</v>
      </c>
      <c r="AA33" s="2120"/>
      <c r="AB33" s="2120"/>
      <c r="AC33" s="2105" t="s">
        <v>489</v>
      </c>
      <c r="AD33" s="2106"/>
      <c r="AE33" s="2086" t="s">
        <v>504</v>
      </c>
      <c r="AF33" s="2087"/>
      <c r="AG33" s="2087"/>
      <c r="AH33" s="2128" t="s">
        <v>489</v>
      </c>
      <c r="AI33" s="2129"/>
      <c r="AJ33" s="2086" t="s">
        <v>504</v>
      </c>
      <c r="AK33" s="2087"/>
      <c r="AL33" s="2087"/>
      <c r="AM33" s="2087" t="s">
        <v>489</v>
      </c>
      <c r="AN33" s="2088"/>
      <c r="AO33" s="2104" t="s">
        <v>504</v>
      </c>
      <c r="AP33" s="2105"/>
      <c r="AQ33" s="2105"/>
      <c r="AR33" s="2105" t="s">
        <v>489</v>
      </c>
      <c r="AS33" s="2106"/>
      <c r="AT33" s="2122" t="s">
        <v>504</v>
      </c>
      <c r="AU33" s="2120"/>
      <c r="AV33" s="2120"/>
      <c r="AW33" s="2087" t="s">
        <v>489</v>
      </c>
      <c r="AX33" s="2088"/>
      <c r="AY33" s="2086" t="s">
        <v>504</v>
      </c>
      <c r="AZ33" s="2087"/>
      <c r="BA33" s="2087"/>
      <c r="BB33" s="2087" t="s">
        <v>489</v>
      </c>
      <c r="BC33" s="2088"/>
      <c r="BD33" s="2122" t="s">
        <v>504</v>
      </c>
      <c r="BE33" s="2120"/>
      <c r="BF33" s="2120"/>
      <c r="BG33" s="2087" t="s">
        <v>489</v>
      </c>
      <c r="BH33" s="2088"/>
      <c r="BI33" s="2086" t="s">
        <v>504</v>
      </c>
      <c r="BJ33" s="2087"/>
      <c r="BK33" s="2087"/>
      <c r="BL33" s="2105" t="s">
        <v>489</v>
      </c>
      <c r="BM33" s="2106"/>
      <c r="BN33" s="2086" t="s">
        <v>504</v>
      </c>
      <c r="BO33" s="2087"/>
      <c r="BP33" s="2087"/>
      <c r="BQ33" s="2087" t="s">
        <v>489</v>
      </c>
      <c r="BR33" s="2088"/>
      <c r="ED33" s="57"/>
      <c r="EE33" s="57"/>
      <c r="EF33" s="57"/>
      <c r="EG33" s="57"/>
      <c r="EH33" s="57"/>
    </row>
    <row r="34" spans="1:138" ht="35.25" customHeight="1" x14ac:dyDescent="0.25">
      <c r="A34" s="2107" t="s">
        <v>570</v>
      </c>
      <c r="B34" s="2108"/>
      <c r="C34" s="2108"/>
      <c r="D34" s="2108" t="s">
        <v>571</v>
      </c>
      <c r="E34" s="2109"/>
      <c r="F34" s="2107" t="s">
        <v>570</v>
      </c>
      <c r="G34" s="2108"/>
      <c r="H34" s="2108"/>
      <c r="I34" s="2108" t="s">
        <v>571</v>
      </c>
      <c r="J34" s="2109"/>
      <c r="K34" s="2107" t="s">
        <v>570</v>
      </c>
      <c r="L34" s="2108"/>
      <c r="M34" s="2108"/>
      <c r="N34" s="2108" t="s">
        <v>571</v>
      </c>
      <c r="O34" s="2109"/>
      <c r="P34" s="2107" t="s">
        <v>570</v>
      </c>
      <c r="Q34" s="2108"/>
      <c r="R34" s="2108"/>
      <c r="S34" s="2108" t="s">
        <v>571</v>
      </c>
      <c r="T34" s="2109"/>
      <c r="U34" s="2107" t="s">
        <v>570</v>
      </c>
      <c r="V34" s="2108"/>
      <c r="W34" s="2108"/>
      <c r="X34" s="2108" t="s">
        <v>571</v>
      </c>
      <c r="Y34" s="2109"/>
      <c r="Z34" s="2107" t="s">
        <v>570</v>
      </c>
      <c r="AA34" s="2108"/>
      <c r="AB34" s="2108"/>
      <c r="AC34" s="2108" t="s">
        <v>571</v>
      </c>
      <c r="AD34" s="2109"/>
      <c r="AE34" s="2107" t="s">
        <v>570</v>
      </c>
      <c r="AF34" s="2108"/>
      <c r="AG34" s="2108"/>
      <c r="AH34" s="2108" t="s">
        <v>571</v>
      </c>
      <c r="AI34" s="2109"/>
      <c r="AJ34" s="2107" t="s">
        <v>570</v>
      </c>
      <c r="AK34" s="2108"/>
      <c r="AL34" s="2108"/>
      <c r="AM34" s="2108" t="s">
        <v>571</v>
      </c>
      <c r="AN34" s="2109"/>
      <c r="AO34" s="2107" t="s">
        <v>570</v>
      </c>
      <c r="AP34" s="2108"/>
      <c r="AQ34" s="2108"/>
      <c r="AR34" s="2108" t="s">
        <v>571</v>
      </c>
      <c r="AS34" s="2109"/>
      <c r="AT34" s="2107" t="s">
        <v>570</v>
      </c>
      <c r="AU34" s="2108"/>
      <c r="AV34" s="2108"/>
      <c r="AW34" s="2108" t="s">
        <v>571</v>
      </c>
      <c r="AX34" s="2109"/>
      <c r="AY34" s="2107" t="s">
        <v>570</v>
      </c>
      <c r="AZ34" s="2108"/>
      <c r="BA34" s="2108"/>
      <c r="BB34" s="2108" t="s">
        <v>571</v>
      </c>
      <c r="BC34" s="2109"/>
      <c r="BD34" s="2107" t="s">
        <v>570</v>
      </c>
      <c r="BE34" s="2108"/>
      <c r="BF34" s="2108"/>
      <c r="BG34" s="2108" t="s">
        <v>571</v>
      </c>
      <c r="BH34" s="2109"/>
      <c r="BI34" s="2107" t="s">
        <v>570</v>
      </c>
      <c r="BJ34" s="2108"/>
      <c r="BK34" s="2108"/>
      <c r="BL34" s="2108" t="s">
        <v>571</v>
      </c>
      <c r="BM34" s="2109"/>
      <c r="BN34" s="2107" t="s">
        <v>570</v>
      </c>
      <c r="BO34" s="2108"/>
      <c r="BP34" s="2108"/>
      <c r="BQ34" s="2108" t="s">
        <v>571</v>
      </c>
      <c r="BR34" s="2109"/>
      <c r="ED34" s="57"/>
      <c r="EE34" s="57"/>
      <c r="EF34" s="57"/>
      <c r="EG34" s="57"/>
      <c r="EH34" s="57"/>
    </row>
    <row r="35" spans="1:138" ht="6" hidden="1" customHeight="1" x14ac:dyDescent="0.25">
      <c r="A35" s="2107"/>
      <c r="B35" s="2108"/>
      <c r="C35" s="2108"/>
      <c r="D35" s="2108"/>
      <c r="E35" s="2109"/>
      <c r="F35" s="2107"/>
      <c r="G35" s="2108"/>
      <c r="H35" s="2108"/>
      <c r="I35" s="2108"/>
      <c r="J35" s="2109"/>
      <c r="K35" s="2107"/>
      <c r="L35" s="2108"/>
      <c r="M35" s="2108"/>
      <c r="N35" s="2108"/>
      <c r="O35" s="2109"/>
      <c r="P35" s="2107"/>
      <c r="Q35" s="2108"/>
      <c r="R35" s="2108"/>
      <c r="S35" s="2108"/>
      <c r="T35" s="2109"/>
      <c r="U35" s="2107"/>
      <c r="V35" s="2108"/>
      <c r="W35" s="2108"/>
      <c r="X35" s="2108"/>
      <c r="Y35" s="2109"/>
      <c r="Z35" s="2107"/>
      <c r="AA35" s="2108"/>
      <c r="AB35" s="2108"/>
      <c r="AC35" s="2108"/>
      <c r="AD35" s="2109"/>
      <c r="AE35" s="2107"/>
      <c r="AF35" s="2108"/>
      <c r="AG35" s="2108"/>
      <c r="AH35" s="2108"/>
      <c r="AI35" s="2109"/>
      <c r="AJ35" s="2107"/>
      <c r="AK35" s="2108"/>
      <c r="AL35" s="2108"/>
      <c r="AM35" s="2108"/>
      <c r="AN35" s="2109"/>
      <c r="AO35" s="2107"/>
      <c r="AP35" s="2108"/>
      <c r="AQ35" s="2108"/>
      <c r="AR35" s="2108"/>
      <c r="AS35" s="2109"/>
      <c r="AT35" s="2107"/>
      <c r="AU35" s="2108"/>
      <c r="AV35" s="2108"/>
      <c r="AW35" s="2108"/>
      <c r="AX35" s="2109"/>
      <c r="AY35" s="2107"/>
      <c r="AZ35" s="2108"/>
      <c r="BA35" s="2108"/>
      <c r="BB35" s="2108"/>
      <c r="BC35" s="2109"/>
      <c r="BD35" s="2107"/>
      <c r="BE35" s="2108"/>
      <c r="BF35" s="2108"/>
      <c r="BG35" s="2108"/>
      <c r="BH35" s="2109"/>
      <c r="BI35" s="2107"/>
      <c r="BJ35" s="2108"/>
      <c r="BK35" s="2108"/>
      <c r="BL35" s="2108"/>
      <c r="BM35" s="2109"/>
      <c r="BN35" s="2107"/>
      <c r="BO35" s="2108"/>
      <c r="BP35" s="2108"/>
      <c r="BQ35" s="2108"/>
      <c r="BR35" s="2109"/>
      <c r="ED35" s="57"/>
      <c r="EE35" s="57"/>
      <c r="EF35" s="57"/>
      <c r="EG35" s="57"/>
      <c r="EH35" s="57"/>
    </row>
    <row r="36" spans="1:138" s="22" customFormat="1" ht="111.75" customHeight="1" x14ac:dyDescent="1.35">
      <c r="A36" s="1898" t="s">
        <v>572</v>
      </c>
      <c r="B36" s="588">
        <v>65</v>
      </c>
      <c r="C36" s="589"/>
      <c r="D36" s="589"/>
      <c r="E36" s="590"/>
      <c r="F36" s="1898" t="s">
        <v>572</v>
      </c>
      <c r="G36" s="588">
        <v>66</v>
      </c>
      <c r="H36" s="589"/>
      <c r="I36" s="589"/>
      <c r="J36" s="590"/>
      <c r="K36" s="1898" t="s">
        <v>572</v>
      </c>
      <c r="L36" s="588">
        <v>67</v>
      </c>
      <c r="M36" s="589"/>
      <c r="N36" s="589"/>
      <c r="O36" s="590"/>
      <c r="P36" s="1898" t="s">
        <v>572</v>
      </c>
      <c r="Q36" s="588">
        <v>68</v>
      </c>
      <c r="R36" s="589"/>
      <c r="S36" s="589"/>
      <c r="T36" s="590"/>
      <c r="U36" s="1898" t="s">
        <v>572</v>
      </c>
      <c r="V36" s="588">
        <v>69</v>
      </c>
      <c r="W36" s="589"/>
      <c r="X36" s="589"/>
      <c r="Y36" s="590"/>
      <c r="Z36" s="1898" t="s">
        <v>572</v>
      </c>
      <c r="AA36" s="588">
        <v>70</v>
      </c>
      <c r="AB36" s="589"/>
      <c r="AC36" s="589"/>
      <c r="AD36" s="590"/>
      <c r="AE36" s="1898" t="s">
        <v>572</v>
      </c>
      <c r="AF36" s="588">
        <v>71</v>
      </c>
      <c r="AG36" s="589"/>
      <c r="AH36" s="589"/>
      <c r="AI36" s="590"/>
      <c r="AJ36" s="1898" t="s">
        <v>572</v>
      </c>
      <c r="AK36" s="588">
        <v>72</v>
      </c>
      <c r="AL36" s="589"/>
      <c r="AM36" s="589"/>
      <c r="AN36" s="590"/>
      <c r="AO36" s="1898" t="s">
        <v>572</v>
      </c>
      <c r="AP36" s="588">
        <v>73</v>
      </c>
      <c r="AQ36" s="589"/>
      <c r="AR36" s="589"/>
      <c r="AS36" s="590"/>
      <c r="AT36" s="1898" t="s">
        <v>572</v>
      </c>
      <c r="AU36" s="588">
        <v>74</v>
      </c>
      <c r="AV36" s="589"/>
      <c r="AW36" s="589"/>
      <c r="AX36" s="590"/>
      <c r="AY36" s="1898" t="s">
        <v>572</v>
      </c>
      <c r="AZ36" s="588">
        <v>75</v>
      </c>
      <c r="BA36" s="589"/>
      <c r="BB36" s="589"/>
      <c r="BC36" s="590"/>
      <c r="BD36" s="1898" t="s">
        <v>572</v>
      </c>
      <c r="BE36" s="588">
        <v>76</v>
      </c>
      <c r="BF36" s="589"/>
      <c r="BG36" s="589"/>
      <c r="BH36" s="590"/>
      <c r="BI36" s="1898" t="s">
        <v>572</v>
      </c>
      <c r="BJ36" s="588">
        <v>77</v>
      </c>
      <c r="BK36" s="589"/>
      <c r="BL36" s="589"/>
      <c r="BM36" s="590"/>
      <c r="BN36" s="1898" t="s">
        <v>572</v>
      </c>
      <c r="BO36" s="588">
        <v>78</v>
      </c>
      <c r="BP36" s="589"/>
      <c r="BQ36" s="589"/>
      <c r="BR36" s="590"/>
      <c r="ED36" s="317"/>
      <c r="EE36" s="317"/>
      <c r="EF36" s="317"/>
      <c r="EG36" s="317"/>
      <c r="EH36" s="317"/>
    </row>
    <row r="37" spans="1:138" ht="50.25" customHeight="1" thickBot="1" x14ac:dyDescent="0.3">
      <c r="A37" s="1899"/>
      <c r="B37" s="61">
        <v>0.40600000000000003</v>
      </c>
      <c r="C37" s="62" t="s">
        <v>113</v>
      </c>
      <c r="D37" s="63"/>
      <c r="E37" s="64" t="s">
        <v>114</v>
      </c>
      <c r="F37" s="1899"/>
      <c r="G37" s="61">
        <v>1E-13</v>
      </c>
      <c r="H37" s="62" t="s">
        <v>113</v>
      </c>
      <c r="I37" s="63"/>
      <c r="J37" s="64" t="s">
        <v>114</v>
      </c>
      <c r="K37" s="1899"/>
      <c r="L37" s="61">
        <v>1.5748</v>
      </c>
      <c r="M37" s="62" t="s">
        <v>113</v>
      </c>
      <c r="N37" s="63"/>
      <c r="O37" s="64" t="s">
        <v>114</v>
      </c>
      <c r="P37" s="1899"/>
      <c r="Q37" s="61">
        <v>0.17699999999999999</v>
      </c>
      <c r="R37" s="62" t="s">
        <v>113</v>
      </c>
      <c r="S37" s="63"/>
      <c r="T37" s="64" t="s">
        <v>114</v>
      </c>
      <c r="U37" s="1899"/>
      <c r="V37" s="61">
        <v>1E-14</v>
      </c>
      <c r="W37" s="62" t="s">
        <v>113</v>
      </c>
      <c r="X37" s="63"/>
      <c r="Y37" s="64" t="s">
        <v>114</v>
      </c>
      <c r="Z37" s="1899"/>
      <c r="AA37" s="61">
        <v>0.43180000000000002</v>
      </c>
      <c r="AB37" s="62" t="s">
        <v>113</v>
      </c>
      <c r="AC37" s="63"/>
      <c r="AD37" s="64" t="s">
        <v>114</v>
      </c>
      <c r="AE37" s="1899"/>
      <c r="AF37" s="61">
        <v>4.8768000000000002</v>
      </c>
      <c r="AG37" s="62" t="s">
        <v>113</v>
      </c>
      <c r="AH37" s="63">
        <v>1</v>
      </c>
      <c r="AI37" s="64" t="s">
        <v>114</v>
      </c>
      <c r="AJ37" s="1899"/>
      <c r="AK37" s="61">
        <v>0.4572</v>
      </c>
      <c r="AL37" s="62" t="s">
        <v>113</v>
      </c>
      <c r="AM37" s="63"/>
      <c r="AN37" s="64" t="s">
        <v>114</v>
      </c>
      <c r="AO37" s="1899"/>
      <c r="AP37" s="61">
        <v>1E-8</v>
      </c>
      <c r="AQ37" s="62" t="s">
        <v>113</v>
      </c>
      <c r="AR37" s="63"/>
      <c r="AS37" s="64" t="s">
        <v>114</v>
      </c>
      <c r="AT37" s="1899"/>
      <c r="AU37" s="61">
        <v>0.33019999999999999</v>
      </c>
      <c r="AV37" s="62" t="s">
        <v>113</v>
      </c>
      <c r="AW37" s="63"/>
      <c r="AX37" s="64" t="s">
        <v>114</v>
      </c>
      <c r="AY37" s="1899"/>
      <c r="AZ37" s="61">
        <v>9.9999999999999994E-12</v>
      </c>
      <c r="BA37" s="62" t="s">
        <v>113</v>
      </c>
      <c r="BB37" s="63">
        <v>1</v>
      </c>
      <c r="BC37" s="64" t="s">
        <v>114</v>
      </c>
      <c r="BD37" s="1899"/>
      <c r="BE37" s="61">
        <v>0.15240000000000001</v>
      </c>
      <c r="BF37" s="62" t="s">
        <v>113</v>
      </c>
      <c r="BG37" s="63"/>
      <c r="BH37" s="64" t="s">
        <v>114</v>
      </c>
      <c r="BI37" s="1899"/>
      <c r="BJ37" s="61">
        <v>1.0000000000000001E-37</v>
      </c>
      <c r="BK37" s="62" t="s">
        <v>113</v>
      </c>
      <c r="BL37" s="63"/>
      <c r="BM37" s="64" t="s">
        <v>114</v>
      </c>
      <c r="BN37" s="1899"/>
      <c r="BO37" s="61">
        <v>0.91439999999999999</v>
      </c>
      <c r="BP37" s="62" t="s">
        <v>113</v>
      </c>
      <c r="BQ37" s="63">
        <v>1</v>
      </c>
      <c r="BR37" s="64" t="s">
        <v>114</v>
      </c>
      <c r="BW37" s="27"/>
      <c r="BX37" s="27"/>
      <c r="BY37" s="27"/>
      <c r="BZ37" s="27"/>
      <c r="CA37" s="27"/>
      <c r="CB37" s="27"/>
      <c r="CC37" s="27"/>
      <c r="CD37" s="27"/>
      <c r="CE37" s="27"/>
      <c r="ED37" s="13"/>
      <c r="EE37" s="13"/>
      <c r="EF37" s="13"/>
      <c r="EG37" s="13"/>
      <c r="EH37" s="13"/>
    </row>
    <row r="38" spans="1:138" ht="36" customHeight="1" thickTop="1" x14ac:dyDescent="0.25">
      <c r="A38" s="1900" t="s">
        <v>110</v>
      </c>
      <c r="B38" s="2083"/>
      <c r="C38" s="2084">
        <f t="shared" ref="C38" si="78">B43/((36*3.1415/59)*(61/3.281))</f>
        <v>6.4145333622081958E-3</v>
      </c>
      <c r="D38" s="2084"/>
      <c r="E38" s="2085"/>
      <c r="F38" s="1900" t="s">
        <v>110</v>
      </c>
      <c r="G38" s="2083"/>
      <c r="H38" s="2084">
        <f t="shared" ref="H38" si="79">G43/((36*3.1415/59)*(61/3.281))</f>
        <v>2.8060075950167084E-14</v>
      </c>
      <c r="I38" s="2084"/>
      <c r="J38" s="2085"/>
      <c r="K38" s="1900" t="s">
        <v>110</v>
      </c>
      <c r="L38" s="2083"/>
      <c r="M38" s="2084">
        <f t="shared" ref="M38" si="80">L43/((36*3.1415/59)*(61/3.281))</f>
        <v>2.8060075950167085E-11</v>
      </c>
      <c r="N38" s="2084"/>
      <c r="O38" s="2085"/>
      <c r="P38" s="1900" t="s">
        <v>110</v>
      </c>
      <c r="Q38" s="2083"/>
      <c r="R38" s="2084">
        <f t="shared" ref="R38" si="81">Q43/((36*3.1415/59)*(61/3.281))</f>
        <v>3.0641602937582457E-2</v>
      </c>
      <c r="S38" s="2084"/>
      <c r="T38" s="2085"/>
      <c r="U38" s="1900" t="s">
        <v>110</v>
      </c>
      <c r="V38" s="2083"/>
      <c r="W38" s="2084">
        <f t="shared" ref="W38" si="82">V43/((36*3.1415/59)*(61/3.281))</f>
        <v>6.4145333622081958E-3</v>
      </c>
      <c r="X38" s="2084"/>
      <c r="Y38" s="2085"/>
      <c r="Z38" s="712"/>
      <c r="AA38" s="710"/>
      <c r="AB38" s="711"/>
      <c r="AC38" s="711"/>
      <c r="AD38" s="711"/>
      <c r="AE38" s="710"/>
      <c r="AF38" s="710"/>
      <c r="AG38" s="711"/>
      <c r="AH38" s="711"/>
      <c r="AI38" s="711"/>
      <c r="AJ38" s="710"/>
      <c r="AK38" s="710"/>
      <c r="AL38" s="711"/>
      <c r="AM38" s="711"/>
      <c r="AN38" s="711"/>
      <c r="AO38" s="710"/>
      <c r="AP38" s="710"/>
      <c r="AQ38" s="711"/>
      <c r="AR38" s="711"/>
      <c r="AS38" s="711"/>
      <c r="AT38" s="710"/>
      <c r="AU38" s="710"/>
      <c r="AV38" s="711"/>
      <c r="AW38" s="711"/>
      <c r="AX38" s="711"/>
      <c r="AY38" s="710"/>
      <c r="AZ38" s="710"/>
      <c r="BA38" s="711"/>
      <c r="BB38" s="711"/>
      <c r="BC38" s="711"/>
      <c r="BD38" s="710"/>
      <c r="BE38" s="710"/>
      <c r="BF38" s="711"/>
      <c r="BG38" s="711"/>
      <c r="BH38" s="711"/>
      <c r="BI38" s="710"/>
      <c r="BJ38" s="710"/>
      <c r="BK38" s="711"/>
      <c r="BL38" s="711"/>
      <c r="BM38" s="711"/>
      <c r="BN38" s="710"/>
      <c r="BO38" s="710"/>
      <c r="BP38" s="711"/>
      <c r="BQ38" s="711"/>
      <c r="BR38" s="711"/>
      <c r="ED38" s="13"/>
      <c r="EE38" s="13"/>
      <c r="EF38" s="13"/>
      <c r="EG38" s="13"/>
      <c r="EH38" s="13"/>
    </row>
    <row r="39" spans="1:138" ht="35.25" customHeight="1" x14ac:dyDescent="0.25">
      <c r="A39" s="2086" t="s">
        <v>504</v>
      </c>
      <c r="B39" s="2087"/>
      <c r="C39" s="2087"/>
      <c r="D39" s="2087" t="s">
        <v>489</v>
      </c>
      <c r="E39" s="2088"/>
      <c r="F39" s="2086" t="s">
        <v>504</v>
      </c>
      <c r="G39" s="2087"/>
      <c r="H39" s="2087"/>
      <c r="I39" s="2087" t="s">
        <v>489</v>
      </c>
      <c r="J39" s="2088"/>
      <c r="K39" s="2086" t="s">
        <v>504</v>
      </c>
      <c r="L39" s="2087"/>
      <c r="M39" s="2087"/>
      <c r="N39" s="2087" t="s">
        <v>489</v>
      </c>
      <c r="O39" s="2088"/>
      <c r="P39" s="2086" t="s">
        <v>504</v>
      </c>
      <c r="Q39" s="2087"/>
      <c r="R39" s="2087"/>
      <c r="S39" s="2087" t="s">
        <v>489</v>
      </c>
      <c r="T39" s="2088"/>
      <c r="U39" s="2086" t="s">
        <v>504</v>
      </c>
      <c r="V39" s="2087"/>
      <c r="W39" s="2087"/>
      <c r="X39" s="2087" t="s">
        <v>489</v>
      </c>
      <c r="Y39" s="2088"/>
      <c r="Z39" s="416"/>
      <c r="AA39" s="417"/>
      <c r="AB39" s="417"/>
      <c r="AC39" s="417"/>
      <c r="AD39" s="417"/>
      <c r="AE39" s="417"/>
      <c r="AF39" s="417"/>
      <c r="AG39" s="417"/>
      <c r="AH39" s="417"/>
      <c r="AI39" s="417"/>
      <c r="AJ39" s="417"/>
      <c r="AK39" s="417"/>
      <c r="AL39" s="417"/>
      <c r="AM39" s="417"/>
      <c r="AN39" s="417"/>
      <c r="AO39" s="417"/>
      <c r="AP39" s="417"/>
      <c r="AQ39" s="417"/>
      <c r="AR39" s="417"/>
      <c r="AS39" s="417"/>
      <c r="AT39" s="417"/>
      <c r="AU39" s="417"/>
      <c r="AV39" s="417"/>
      <c r="AW39" s="417"/>
      <c r="AX39" s="417"/>
      <c r="AY39" s="417"/>
      <c r="AZ39" s="417"/>
      <c r="BA39" s="417"/>
      <c r="BB39" s="417"/>
      <c r="BC39" s="417"/>
      <c r="BD39" s="417"/>
      <c r="BE39" s="417"/>
      <c r="BF39" s="417"/>
      <c r="BG39" s="417"/>
      <c r="BH39" s="417"/>
      <c r="BI39" s="417"/>
      <c r="BJ39" s="417"/>
      <c r="BK39" s="417"/>
      <c r="BL39" s="417"/>
      <c r="BM39" s="417"/>
      <c r="BN39" s="417"/>
      <c r="BO39" s="417"/>
      <c r="BP39" s="417"/>
      <c r="BQ39" s="417"/>
      <c r="BR39" s="417"/>
      <c r="ED39" s="13"/>
      <c r="EE39" s="13"/>
      <c r="EF39" s="13"/>
      <c r="EG39" s="13"/>
      <c r="EH39" s="13"/>
    </row>
    <row r="40" spans="1:138" ht="35.25" customHeight="1" x14ac:dyDescent="0.25">
      <c r="A40" s="2107" t="s">
        <v>570</v>
      </c>
      <c r="B40" s="2108"/>
      <c r="C40" s="2108"/>
      <c r="D40" s="2108" t="s">
        <v>571</v>
      </c>
      <c r="E40" s="2109"/>
      <c r="F40" s="2107" t="s">
        <v>570</v>
      </c>
      <c r="G40" s="2108"/>
      <c r="H40" s="2108"/>
      <c r="I40" s="2108" t="s">
        <v>571</v>
      </c>
      <c r="J40" s="2109"/>
      <c r="K40" s="2107" t="s">
        <v>570</v>
      </c>
      <c r="L40" s="2108"/>
      <c r="M40" s="2108"/>
      <c r="N40" s="2108" t="s">
        <v>571</v>
      </c>
      <c r="O40" s="2109"/>
      <c r="P40" s="2107" t="s">
        <v>570</v>
      </c>
      <c r="Q40" s="2108"/>
      <c r="R40" s="2108"/>
      <c r="S40" s="2108" t="s">
        <v>571</v>
      </c>
      <c r="T40" s="2109"/>
      <c r="U40" s="2107" t="s">
        <v>570</v>
      </c>
      <c r="V40" s="2108"/>
      <c r="W40" s="2108"/>
      <c r="X40" s="2108" t="s">
        <v>571</v>
      </c>
      <c r="Y40" s="2109"/>
      <c r="Z40" s="416"/>
      <c r="AA40" s="417"/>
      <c r="AB40" s="417"/>
      <c r="AC40" s="417"/>
      <c r="AD40" s="417"/>
      <c r="AE40" s="417"/>
      <c r="AF40" s="417"/>
      <c r="AG40" s="417"/>
      <c r="AH40" s="417"/>
      <c r="AI40" s="417"/>
      <c r="AJ40" s="417"/>
      <c r="AK40" s="417"/>
      <c r="AL40" s="417"/>
      <c r="AM40" s="417"/>
      <c r="AN40" s="417"/>
      <c r="AO40" s="417"/>
      <c r="AP40" s="417"/>
      <c r="AQ40" s="417"/>
      <c r="AR40" s="417"/>
      <c r="AS40" s="417"/>
      <c r="AT40" s="417"/>
      <c r="AU40" s="417"/>
      <c r="AV40" s="417"/>
      <c r="AW40" s="417"/>
      <c r="AX40" s="417"/>
      <c r="AY40" s="417"/>
      <c r="AZ40" s="417"/>
      <c r="BA40" s="417"/>
      <c r="BB40" s="417"/>
      <c r="BC40" s="417"/>
      <c r="BD40" s="417"/>
      <c r="BE40" s="417"/>
      <c r="BF40" s="417"/>
      <c r="BG40" s="417"/>
      <c r="BH40" s="417"/>
      <c r="BI40" s="417"/>
      <c r="BJ40" s="417"/>
      <c r="BK40" s="417"/>
      <c r="BL40" s="417"/>
      <c r="BM40" s="417"/>
      <c r="BN40" s="417"/>
      <c r="BO40" s="417"/>
      <c r="BP40" s="417"/>
      <c r="BQ40" s="417"/>
      <c r="BR40" s="417"/>
      <c r="ED40" s="13"/>
      <c r="EE40" s="13"/>
      <c r="EF40" s="13"/>
      <c r="EG40" s="13"/>
      <c r="EH40" s="13"/>
    </row>
    <row r="41" spans="1:138" ht="6" customHeight="1" x14ac:dyDescent="0.25">
      <c r="A41" s="2107"/>
      <c r="B41" s="2108"/>
      <c r="C41" s="2108"/>
      <c r="D41" s="2108"/>
      <c r="E41" s="2109"/>
      <c r="F41" s="2107"/>
      <c r="G41" s="2108"/>
      <c r="H41" s="2108"/>
      <c r="I41" s="2108"/>
      <c r="J41" s="2109"/>
      <c r="K41" s="2107"/>
      <c r="L41" s="2108"/>
      <c r="M41" s="2108"/>
      <c r="N41" s="2108"/>
      <c r="O41" s="2109"/>
      <c r="P41" s="2107"/>
      <c r="Q41" s="2108"/>
      <c r="R41" s="2108"/>
      <c r="S41" s="2108"/>
      <c r="T41" s="2109"/>
      <c r="U41" s="2107"/>
      <c r="V41" s="2108"/>
      <c r="W41" s="2108"/>
      <c r="X41" s="2108"/>
      <c r="Y41" s="2109"/>
      <c r="Z41" s="416"/>
      <c r="AA41" s="417"/>
      <c r="AB41" s="417"/>
      <c r="AC41" s="417"/>
      <c r="AD41" s="417"/>
      <c r="AE41" s="417"/>
      <c r="AF41" s="417"/>
      <c r="AG41" s="417"/>
      <c r="AH41" s="417"/>
      <c r="AI41" s="417"/>
      <c r="AJ41" s="417"/>
      <c r="AK41" s="417"/>
      <c r="AL41" s="417"/>
      <c r="AM41" s="417"/>
      <c r="AN41" s="417"/>
      <c r="AO41" s="417"/>
      <c r="AP41" s="417"/>
      <c r="AQ41" s="417"/>
      <c r="AR41" s="417"/>
      <c r="AS41" s="417"/>
      <c r="AT41" s="417"/>
      <c r="AU41" s="417"/>
      <c r="AV41" s="417"/>
      <c r="AW41" s="417"/>
      <c r="AX41" s="417"/>
      <c r="AY41" s="417"/>
      <c r="AZ41" s="417"/>
      <c r="BA41" s="417"/>
      <c r="BB41" s="417"/>
      <c r="BC41" s="417"/>
      <c r="BD41" s="417"/>
      <c r="BE41" s="417"/>
      <c r="BF41" s="417"/>
      <c r="BG41" s="417"/>
      <c r="BH41" s="417"/>
      <c r="BI41" s="417"/>
      <c r="BJ41" s="417"/>
      <c r="BK41" s="417"/>
      <c r="BL41" s="417"/>
      <c r="BM41" s="417"/>
      <c r="BN41" s="417"/>
      <c r="BO41" s="417"/>
      <c r="BP41" s="417"/>
      <c r="BQ41" s="417"/>
      <c r="BR41" s="417"/>
      <c r="ED41" s="13"/>
      <c r="EE41" s="13"/>
      <c r="EF41" s="13"/>
      <c r="EG41" s="13"/>
      <c r="EH41" s="13"/>
    </row>
    <row r="42" spans="1:138" s="22" customFormat="1" ht="111.75" customHeight="1" x14ac:dyDescent="1.35">
      <c r="A42" s="1898" t="s">
        <v>572</v>
      </c>
      <c r="B42" s="588">
        <v>79</v>
      </c>
      <c r="C42" s="589"/>
      <c r="D42" s="589"/>
      <c r="E42" s="590"/>
      <c r="F42" s="1898" t="s">
        <v>572</v>
      </c>
      <c r="G42" s="588">
        <v>80</v>
      </c>
      <c r="H42" s="589"/>
      <c r="I42" s="589"/>
      <c r="J42" s="590"/>
      <c r="K42" s="1898" t="s">
        <v>572</v>
      </c>
      <c r="L42" s="588">
        <v>81</v>
      </c>
      <c r="M42" s="589"/>
      <c r="N42" s="589"/>
      <c r="O42" s="590"/>
      <c r="P42" s="1898" t="s">
        <v>572</v>
      </c>
      <c r="Q42" s="588">
        <v>82</v>
      </c>
      <c r="R42" s="589"/>
      <c r="S42" s="589"/>
      <c r="T42" s="590"/>
      <c r="U42" s="1898" t="s">
        <v>572</v>
      </c>
      <c r="V42" s="588">
        <v>83</v>
      </c>
      <c r="W42" s="589"/>
      <c r="X42" s="589"/>
      <c r="Y42" s="590"/>
      <c r="Z42" s="718"/>
      <c r="AA42" s="1923"/>
      <c r="AB42" s="1923"/>
      <c r="AC42" s="1923"/>
      <c r="AD42" s="1923"/>
      <c r="AE42" s="716"/>
      <c r="AF42" s="1923"/>
      <c r="AG42" s="1923"/>
      <c r="AH42" s="1923"/>
      <c r="AI42" s="1923"/>
      <c r="AJ42" s="716"/>
      <c r="AK42" s="1923"/>
      <c r="AL42" s="1923"/>
      <c r="AM42" s="1923"/>
      <c r="AN42" s="1923"/>
      <c r="AO42" s="716"/>
      <c r="AP42" s="1923"/>
      <c r="AQ42" s="1923"/>
      <c r="AR42" s="1923"/>
      <c r="AS42" s="1923"/>
      <c r="AT42" s="716"/>
      <c r="AU42" s="1923"/>
      <c r="AV42" s="1923"/>
      <c r="AW42" s="1923"/>
      <c r="AX42" s="1923"/>
      <c r="AY42" s="716"/>
      <c r="AZ42" s="1923"/>
      <c r="BA42" s="1923"/>
      <c r="BB42" s="1923"/>
      <c r="BC42" s="1923"/>
      <c r="BD42" s="716"/>
      <c r="BE42" s="1923"/>
      <c r="BF42" s="1923"/>
      <c r="BG42" s="1923"/>
      <c r="BH42" s="1923"/>
      <c r="BI42" s="716"/>
      <c r="BJ42" s="1923"/>
      <c r="BK42" s="1923"/>
      <c r="BL42" s="1923"/>
      <c r="BM42" s="1923"/>
      <c r="BN42" s="716"/>
      <c r="BO42" s="1923"/>
      <c r="BP42" s="1923"/>
      <c r="BQ42" s="1923"/>
      <c r="BR42" s="1923"/>
      <c r="ED42" s="379"/>
      <c r="EE42" s="379"/>
      <c r="EF42" s="379"/>
      <c r="EG42" s="379"/>
      <c r="EH42" s="379"/>
    </row>
    <row r="43" spans="1:138" ht="50.25" customHeight="1" thickBot="1" x14ac:dyDescent="0.3">
      <c r="A43" s="1899"/>
      <c r="B43" s="61">
        <v>0.2286</v>
      </c>
      <c r="C43" s="62" t="s">
        <v>113</v>
      </c>
      <c r="D43" s="63"/>
      <c r="E43" s="64" t="s">
        <v>114</v>
      </c>
      <c r="F43" s="1899"/>
      <c r="G43" s="61">
        <v>9.9999999999999998E-13</v>
      </c>
      <c r="H43" s="62" t="s">
        <v>113</v>
      </c>
      <c r="I43" s="63"/>
      <c r="J43" s="64" t="s">
        <v>114</v>
      </c>
      <c r="K43" s="1899"/>
      <c r="L43" s="61">
        <v>1.0000000000000001E-9</v>
      </c>
      <c r="M43" s="62" t="s">
        <v>113</v>
      </c>
      <c r="N43" s="63"/>
      <c r="O43" s="64" t="s">
        <v>114</v>
      </c>
      <c r="P43" s="1899"/>
      <c r="Q43" s="61">
        <v>1.0920000000000001</v>
      </c>
      <c r="R43" s="62" t="s">
        <v>113</v>
      </c>
      <c r="S43" s="63">
        <v>1</v>
      </c>
      <c r="T43" s="64" t="s">
        <v>114</v>
      </c>
      <c r="U43" s="1899"/>
      <c r="V43" s="61">
        <v>0.2286</v>
      </c>
      <c r="W43" s="62" t="s">
        <v>113</v>
      </c>
      <c r="X43" s="63"/>
      <c r="Y43" s="64" t="s">
        <v>114</v>
      </c>
      <c r="Z43" s="718"/>
      <c r="AA43" s="32"/>
      <c r="AB43" s="33"/>
      <c r="AC43" s="34"/>
      <c r="AD43" s="35"/>
      <c r="AE43" s="716"/>
      <c r="AF43" s="32"/>
      <c r="AG43" s="33"/>
      <c r="AH43" s="34"/>
      <c r="AI43" s="35"/>
      <c r="AJ43" s="716"/>
      <c r="AK43" s="32"/>
      <c r="AL43" s="33"/>
      <c r="AM43" s="34"/>
      <c r="AN43" s="35"/>
      <c r="AO43" s="716"/>
      <c r="AP43" s="32"/>
      <c r="AQ43" s="33"/>
      <c r="AR43" s="34"/>
      <c r="AS43" s="35"/>
      <c r="AT43" s="716"/>
      <c r="AU43" s="32"/>
      <c r="AV43" s="33"/>
      <c r="AW43" s="34"/>
      <c r="AX43" s="35"/>
      <c r="AY43" s="716"/>
      <c r="AZ43" s="32"/>
      <c r="BA43" s="33"/>
      <c r="BB43" s="34"/>
      <c r="BC43" s="35"/>
      <c r="BD43" s="716"/>
      <c r="BE43" s="32"/>
      <c r="BF43" s="33"/>
      <c r="BG43" s="34"/>
      <c r="BH43" s="35"/>
      <c r="BI43" s="716"/>
      <c r="BJ43" s="32"/>
      <c r="BK43" s="33"/>
      <c r="BL43" s="34"/>
      <c r="BM43" s="35"/>
      <c r="BN43" s="716"/>
      <c r="BO43" s="32"/>
      <c r="BP43" s="33"/>
      <c r="BQ43" s="34"/>
      <c r="BR43" s="35"/>
      <c r="BW43" s="27"/>
      <c r="BX43" s="27"/>
      <c r="BY43" s="27"/>
      <c r="BZ43" s="27"/>
      <c r="CA43" s="27"/>
      <c r="CB43" s="27"/>
      <c r="CC43" s="27"/>
      <c r="CD43" s="27"/>
      <c r="CE43" s="27"/>
      <c r="ED43" s="57"/>
      <c r="EE43" s="57"/>
      <c r="EF43" s="57"/>
      <c r="EG43" s="57"/>
      <c r="EH43" s="57"/>
    </row>
    <row r="44" spans="1:138" ht="36" customHeight="1" thickTop="1" x14ac:dyDescent="0.25">
      <c r="A44" s="710"/>
      <c r="B44" s="710"/>
      <c r="C44" s="711"/>
      <c r="D44" s="711"/>
      <c r="E44" s="711"/>
      <c r="F44" s="710"/>
      <c r="G44" s="710"/>
      <c r="H44" s="711"/>
      <c r="I44" s="711"/>
      <c r="J44" s="711"/>
      <c r="K44" s="710"/>
      <c r="L44" s="710"/>
      <c r="M44" s="711"/>
      <c r="N44" s="711"/>
      <c r="O44" s="711"/>
      <c r="P44" s="710"/>
      <c r="Q44" s="710"/>
      <c r="R44" s="711"/>
      <c r="S44" s="711"/>
      <c r="T44" s="711"/>
      <c r="U44" s="710"/>
      <c r="V44" s="710"/>
      <c r="W44" s="711"/>
      <c r="X44" s="711"/>
      <c r="Y44" s="711"/>
      <c r="Z44" s="719"/>
      <c r="AA44" s="719"/>
      <c r="AB44" s="720"/>
      <c r="AC44" s="720"/>
      <c r="AD44" s="720"/>
      <c r="AE44" s="719"/>
      <c r="AF44" s="719"/>
      <c r="AG44" s="720"/>
      <c r="AH44" s="720"/>
      <c r="AI44" s="720"/>
      <c r="AJ44" s="719"/>
      <c r="AK44" s="719"/>
      <c r="AL44" s="720"/>
      <c r="AM44" s="720"/>
      <c r="AN44" s="720"/>
      <c r="AO44" s="719"/>
      <c r="AP44" s="719"/>
      <c r="AQ44" s="720"/>
      <c r="AR44" s="720"/>
      <c r="AS44" s="720"/>
      <c r="AT44" s="719"/>
      <c r="AU44" s="719"/>
      <c r="AV44" s="720"/>
      <c r="AW44" s="720"/>
      <c r="AX44" s="720"/>
      <c r="AY44" s="719"/>
      <c r="AZ44" s="719"/>
      <c r="BA44" s="720"/>
      <c r="BB44" s="720"/>
      <c r="BC44" s="720"/>
      <c r="BD44" s="719"/>
      <c r="BE44" s="719"/>
      <c r="BF44" s="720"/>
      <c r="BG44" s="720"/>
      <c r="BH44" s="720"/>
      <c r="BI44" s="719"/>
      <c r="BJ44" s="719"/>
      <c r="BK44" s="720"/>
      <c r="BL44" s="720"/>
      <c r="BM44" s="720"/>
      <c r="BN44" s="719"/>
      <c r="BO44" s="719"/>
      <c r="BP44" s="720"/>
      <c r="BQ44" s="720"/>
      <c r="BR44" s="720"/>
      <c r="ED44" s="57"/>
      <c r="EE44" s="57"/>
      <c r="EF44" s="57"/>
      <c r="EG44" s="57"/>
      <c r="EH44" s="57"/>
    </row>
    <row r="45" spans="1:138" ht="35.25" customHeight="1" thickBot="1" x14ac:dyDescent="0.3">
      <c r="A45" s="417"/>
      <c r="B45" s="417"/>
      <c r="C45" s="417"/>
      <c r="D45" s="417"/>
      <c r="E45" s="417"/>
      <c r="F45" s="417"/>
      <c r="G45" s="417"/>
      <c r="H45" s="417"/>
      <c r="I45" s="417"/>
      <c r="J45" s="417"/>
      <c r="K45" s="417"/>
      <c r="L45" s="417"/>
      <c r="M45" s="417"/>
      <c r="N45" s="417"/>
      <c r="O45" s="417"/>
      <c r="P45" s="417"/>
      <c r="Q45" s="417"/>
      <c r="R45" s="417"/>
      <c r="S45" s="417"/>
      <c r="T45" s="417"/>
      <c r="U45" s="417"/>
      <c r="V45" s="417"/>
      <c r="W45" s="417"/>
      <c r="X45" s="417"/>
      <c r="Y45" s="417"/>
      <c r="Z45" s="417"/>
      <c r="AA45" s="417"/>
      <c r="AB45" s="417"/>
      <c r="AC45" s="417"/>
      <c r="AD45" s="417"/>
      <c r="AE45" s="417"/>
      <c r="AF45" s="417"/>
      <c r="AG45" s="417"/>
      <c r="AH45" s="417"/>
      <c r="AI45" s="417"/>
      <c r="AJ45" s="417"/>
      <c r="AK45" s="417"/>
      <c r="AL45" s="417"/>
      <c r="AM45" s="417"/>
      <c r="AN45" s="417"/>
      <c r="AO45" s="417"/>
      <c r="AP45" s="417"/>
      <c r="AQ45" s="417"/>
      <c r="AR45" s="417"/>
      <c r="AS45" s="417"/>
      <c r="AT45" s="417"/>
      <c r="AU45" s="417"/>
      <c r="AV45" s="417"/>
      <c r="AW45" s="417"/>
      <c r="AX45" s="417"/>
      <c r="AY45" s="417"/>
      <c r="AZ45" s="417"/>
      <c r="BA45" s="417"/>
      <c r="BB45" s="417"/>
      <c r="BC45" s="417"/>
      <c r="BD45" s="417"/>
      <c r="BE45" s="417"/>
      <c r="BF45" s="417"/>
      <c r="BG45" s="417"/>
      <c r="BH45" s="417"/>
      <c r="BI45" s="417"/>
      <c r="BJ45" s="417"/>
      <c r="BK45" s="417"/>
      <c r="BL45" s="417"/>
      <c r="BM45" s="417"/>
      <c r="BN45" s="417"/>
      <c r="BO45" s="417"/>
      <c r="BP45" s="417"/>
      <c r="BQ45" s="417"/>
      <c r="BR45" s="417"/>
      <c r="ED45" s="57"/>
      <c r="EE45" s="57"/>
      <c r="EF45" s="57"/>
      <c r="EG45" s="57"/>
      <c r="EH45" s="57"/>
    </row>
    <row r="46" spans="1:138" ht="35.25" hidden="1" customHeight="1" x14ac:dyDescent="0.25">
      <c r="A46" s="417"/>
      <c r="B46" s="417"/>
      <c r="C46" s="417"/>
      <c r="D46" s="417"/>
      <c r="E46" s="417"/>
      <c r="F46" s="417"/>
      <c r="G46" s="417"/>
      <c r="H46" s="417"/>
      <c r="I46" s="417"/>
      <c r="J46" s="417"/>
      <c r="K46" s="417"/>
      <c r="L46" s="417"/>
      <c r="M46" s="417"/>
      <c r="N46" s="417"/>
      <c r="O46" s="417"/>
      <c r="P46" s="417"/>
      <c r="Q46" s="417"/>
      <c r="R46" s="417"/>
      <c r="S46" s="417"/>
      <c r="T46" s="417"/>
      <c r="U46" s="417"/>
      <c r="V46" s="417"/>
      <c r="W46" s="417"/>
      <c r="X46" s="417"/>
      <c r="Y46" s="417"/>
      <c r="Z46" s="417"/>
      <c r="AA46" s="417"/>
      <c r="AB46" s="417"/>
      <c r="AC46" s="417"/>
      <c r="AD46" s="417"/>
      <c r="AE46" s="417"/>
      <c r="AF46" s="417"/>
      <c r="AG46" s="417"/>
      <c r="AH46" s="417"/>
      <c r="AI46" s="417"/>
      <c r="AJ46" s="417"/>
      <c r="AK46" s="417"/>
      <c r="AL46" s="417"/>
      <c r="AM46" s="417"/>
      <c r="AN46" s="417"/>
      <c r="AO46" s="417"/>
      <c r="AP46" s="417"/>
      <c r="AQ46" s="417"/>
      <c r="AR46" s="417"/>
      <c r="AS46" s="417"/>
      <c r="AT46" s="417"/>
      <c r="AU46" s="417"/>
      <c r="AV46" s="417"/>
      <c r="AW46" s="417"/>
      <c r="AX46" s="417"/>
      <c r="AY46" s="417"/>
      <c r="AZ46" s="417"/>
      <c r="BA46" s="417"/>
      <c r="BB46" s="417"/>
      <c r="BC46" s="417"/>
      <c r="BD46" s="417"/>
      <c r="BE46" s="417"/>
      <c r="BF46" s="417"/>
      <c r="BG46" s="417"/>
      <c r="BH46" s="417"/>
      <c r="BI46" s="417"/>
      <c r="BJ46" s="417"/>
      <c r="BK46" s="417"/>
      <c r="BL46" s="417"/>
      <c r="BM46" s="417"/>
      <c r="BN46" s="417"/>
      <c r="BO46" s="417"/>
      <c r="BP46" s="417"/>
      <c r="BQ46" s="417"/>
      <c r="BR46" s="417"/>
      <c r="ED46" s="57"/>
      <c r="EE46" s="57"/>
      <c r="EF46" s="57"/>
      <c r="EG46" s="57"/>
      <c r="EH46" s="57"/>
    </row>
    <row r="47" spans="1:138" ht="6" hidden="1" customHeight="1" x14ac:dyDescent="0.25">
      <c r="A47" s="417"/>
      <c r="B47" s="417"/>
      <c r="C47" s="417"/>
      <c r="D47" s="417"/>
      <c r="E47" s="417"/>
      <c r="F47" s="417"/>
      <c r="G47" s="417"/>
      <c r="H47" s="417"/>
      <c r="I47" s="417"/>
      <c r="J47" s="417"/>
      <c r="K47" s="417"/>
      <c r="L47" s="417"/>
      <c r="M47" s="417"/>
      <c r="N47" s="417"/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Y47" s="417"/>
      <c r="Z47" s="417"/>
      <c r="AA47" s="417"/>
      <c r="AB47" s="417"/>
      <c r="AC47" s="417"/>
      <c r="AD47" s="417"/>
      <c r="AE47" s="417"/>
      <c r="AF47" s="417"/>
      <c r="AG47" s="417"/>
      <c r="AH47" s="417"/>
      <c r="AI47" s="417"/>
      <c r="AJ47" s="417"/>
      <c r="AK47" s="417"/>
      <c r="AL47" s="417"/>
      <c r="AM47" s="417"/>
      <c r="AN47" s="417"/>
      <c r="AO47" s="417"/>
      <c r="AP47" s="417"/>
      <c r="AQ47" s="417"/>
      <c r="AR47" s="417"/>
      <c r="AS47" s="417"/>
      <c r="AT47" s="417"/>
      <c r="AU47" s="417"/>
      <c r="AV47" s="417"/>
      <c r="AW47" s="417"/>
      <c r="AX47" s="417"/>
      <c r="AY47" s="417"/>
      <c r="AZ47" s="417"/>
      <c r="BA47" s="417"/>
      <c r="BB47" s="417"/>
      <c r="BC47" s="417"/>
      <c r="BD47" s="417"/>
      <c r="BE47" s="417"/>
      <c r="BF47" s="417"/>
      <c r="BG47" s="417"/>
      <c r="BH47" s="417"/>
      <c r="BI47" s="417"/>
      <c r="BJ47" s="417"/>
      <c r="BK47" s="417"/>
      <c r="BL47" s="417"/>
      <c r="BM47" s="417"/>
      <c r="BN47" s="417"/>
      <c r="BO47" s="417"/>
      <c r="BP47" s="417"/>
      <c r="BQ47" s="417"/>
      <c r="BR47" s="417"/>
    </row>
    <row r="48" spans="1:138" s="22" customFormat="1" ht="111.75" hidden="1" customHeight="1" x14ac:dyDescent="1.35">
      <c r="A48" s="716"/>
      <c r="B48" s="1923"/>
      <c r="C48" s="1923"/>
      <c r="D48" s="1923"/>
      <c r="E48" s="1923"/>
      <c r="F48" s="716"/>
      <c r="G48" s="1923"/>
      <c r="H48" s="1923"/>
      <c r="I48" s="1923"/>
      <c r="J48" s="1923"/>
      <c r="K48" s="716"/>
      <c r="L48" s="1923"/>
      <c r="M48" s="1923"/>
      <c r="N48" s="1923"/>
      <c r="O48" s="1923"/>
      <c r="P48" s="716"/>
      <c r="Q48" s="1923"/>
      <c r="R48" s="1923"/>
      <c r="S48" s="1923"/>
      <c r="T48" s="1923"/>
      <c r="U48" s="716"/>
      <c r="V48" s="1923"/>
      <c r="W48" s="1923"/>
      <c r="X48" s="1923"/>
      <c r="Y48" s="1923"/>
      <c r="Z48" s="716"/>
      <c r="AA48" s="1923"/>
      <c r="AB48" s="1923"/>
      <c r="AC48" s="1923"/>
      <c r="AD48" s="1923"/>
      <c r="AE48" s="716"/>
      <c r="AF48" s="1923"/>
      <c r="AG48" s="1923"/>
      <c r="AH48" s="1923"/>
      <c r="AI48" s="1923"/>
      <c r="AJ48" s="716"/>
      <c r="AK48" s="1923"/>
      <c r="AL48" s="1923"/>
      <c r="AM48" s="1923"/>
      <c r="AN48" s="1923"/>
      <c r="AO48" s="716"/>
      <c r="AP48" s="1923"/>
      <c r="AQ48" s="1923"/>
      <c r="AR48" s="1923"/>
      <c r="AS48" s="1923"/>
      <c r="AT48" s="716"/>
      <c r="AU48" s="1923"/>
      <c r="AV48" s="1923"/>
      <c r="AW48" s="1923"/>
      <c r="AX48" s="1923"/>
      <c r="AY48" s="716"/>
      <c r="AZ48" s="1923"/>
      <c r="BA48" s="1923"/>
      <c r="BB48" s="1923"/>
      <c r="BC48" s="1923"/>
      <c r="BD48" s="716"/>
      <c r="BE48" s="1923"/>
      <c r="BF48" s="1923"/>
      <c r="BG48" s="1923"/>
      <c r="BH48" s="1923"/>
      <c r="BI48" s="716"/>
      <c r="BJ48" s="1923"/>
      <c r="BK48" s="1923"/>
      <c r="BL48" s="1923"/>
      <c r="BM48" s="1923"/>
      <c r="BN48" s="716"/>
      <c r="BO48" s="1923"/>
      <c r="BP48" s="1923"/>
      <c r="BQ48" s="1923"/>
      <c r="BR48" s="1923"/>
    </row>
    <row r="49" spans="1:83" ht="50.25" hidden="1" customHeight="1" thickBot="1" x14ac:dyDescent="0.3">
      <c r="A49" s="716"/>
      <c r="B49" s="32"/>
      <c r="C49" s="33"/>
      <c r="D49" s="34"/>
      <c r="E49" s="35"/>
      <c r="F49" s="716"/>
      <c r="G49" s="32"/>
      <c r="H49" s="33"/>
      <c r="I49" s="34"/>
      <c r="J49" s="35"/>
      <c r="K49" s="716"/>
      <c r="L49" s="32"/>
      <c r="M49" s="33"/>
      <c r="N49" s="34"/>
      <c r="O49" s="35"/>
      <c r="P49" s="716"/>
      <c r="Q49" s="32"/>
      <c r="R49" s="33"/>
      <c r="S49" s="34"/>
      <c r="T49" s="35"/>
      <c r="U49" s="716"/>
      <c r="V49" s="32"/>
      <c r="W49" s="33"/>
      <c r="X49" s="34"/>
      <c r="Y49" s="35"/>
      <c r="Z49" s="716"/>
      <c r="AA49" s="32"/>
      <c r="AB49" s="33"/>
      <c r="AC49" s="34"/>
      <c r="AD49" s="35"/>
      <c r="AE49" s="716"/>
      <c r="AF49" s="32"/>
      <c r="AG49" s="33"/>
      <c r="AH49" s="34"/>
      <c r="AI49" s="35"/>
      <c r="AJ49" s="716"/>
      <c r="AK49" s="32"/>
      <c r="AL49" s="33"/>
      <c r="AM49" s="34"/>
      <c r="AN49" s="35"/>
      <c r="AO49" s="716"/>
      <c r="AP49" s="32"/>
      <c r="AQ49" s="33"/>
      <c r="AR49" s="34"/>
      <c r="AS49" s="35"/>
      <c r="AT49" s="716"/>
      <c r="AU49" s="32"/>
      <c r="AV49" s="33"/>
      <c r="AW49" s="34"/>
      <c r="AX49" s="35"/>
      <c r="AY49" s="716"/>
      <c r="AZ49" s="32"/>
      <c r="BA49" s="33"/>
      <c r="BB49" s="34"/>
      <c r="BC49" s="35"/>
      <c r="BD49" s="716"/>
      <c r="BE49" s="32"/>
      <c r="BF49" s="33"/>
      <c r="BG49" s="34"/>
      <c r="BH49" s="35"/>
      <c r="BI49" s="716"/>
      <c r="BJ49" s="32"/>
      <c r="BK49" s="33"/>
      <c r="BL49" s="34"/>
      <c r="BM49" s="35"/>
      <c r="BN49" s="716"/>
      <c r="BO49" s="32"/>
      <c r="BP49" s="33"/>
      <c r="BQ49" s="34"/>
      <c r="BR49" s="35"/>
      <c r="BW49" s="27"/>
      <c r="BX49" s="27"/>
      <c r="BY49" s="27"/>
      <c r="BZ49" s="27"/>
      <c r="CA49" s="27"/>
      <c r="CB49" s="27"/>
      <c r="CC49" s="27"/>
      <c r="CD49" s="27"/>
      <c r="CE49" s="27"/>
    </row>
    <row r="50" spans="1:83" ht="26.1" hidden="1" customHeight="1" thickTop="1" x14ac:dyDescent="0.25">
      <c r="A50" s="674"/>
      <c r="B50" s="674"/>
      <c r="C50" s="674"/>
      <c r="D50" s="675"/>
      <c r="E50" s="675"/>
      <c r="F50" s="674"/>
      <c r="G50" s="674"/>
      <c r="H50" s="674"/>
      <c r="I50" s="675"/>
      <c r="J50" s="675"/>
      <c r="K50" s="674"/>
      <c r="L50" s="674"/>
      <c r="M50" s="674"/>
      <c r="N50" s="675"/>
      <c r="O50" s="675"/>
      <c r="P50" s="674"/>
      <c r="Q50" s="674"/>
      <c r="R50" s="674"/>
      <c r="S50" s="675"/>
      <c r="T50" s="675"/>
      <c r="U50" s="674"/>
      <c r="V50" s="674"/>
      <c r="W50" s="674"/>
      <c r="X50" s="675"/>
      <c r="Y50" s="675"/>
      <c r="Z50" s="674"/>
      <c r="AA50" s="674"/>
      <c r="AB50" s="674"/>
      <c r="AC50" s="675"/>
      <c r="AD50" s="675"/>
      <c r="AE50" s="674"/>
      <c r="AF50" s="674"/>
      <c r="AG50" s="674"/>
      <c r="AH50" s="675"/>
      <c r="AI50" s="675"/>
      <c r="AJ50" s="674"/>
      <c r="AK50" s="674"/>
      <c r="AL50" s="674"/>
      <c r="AM50" s="675"/>
      <c r="AN50" s="675"/>
      <c r="AO50" s="674"/>
      <c r="AP50" s="674"/>
      <c r="AQ50" s="674"/>
      <c r="AR50" s="675"/>
      <c r="AS50" s="675"/>
      <c r="AT50" s="674"/>
      <c r="AU50" s="674"/>
      <c r="AV50" s="674"/>
      <c r="AW50" s="675"/>
      <c r="AX50" s="675"/>
      <c r="AY50" s="674"/>
      <c r="AZ50" s="674"/>
      <c r="BA50" s="674"/>
      <c r="BB50" s="675"/>
      <c r="BC50" s="675"/>
      <c r="BD50" s="674"/>
      <c r="BE50" s="674"/>
      <c r="BF50" s="674"/>
      <c r="BG50" s="675"/>
      <c r="BH50" s="675"/>
      <c r="BI50" s="674"/>
      <c r="BJ50" s="674"/>
      <c r="BK50" s="674"/>
      <c r="BL50" s="675"/>
      <c r="BM50" s="675"/>
      <c r="BN50" s="674"/>
      <c r="BO50" s="674"/>
      <c r="BP50" s="674"/>
      <c r="BQ50" s="675"/>
      <c r="BR50" s="675"/>
    </row>
    <row r="51" spans="1:83" ht="6.75" hidden="1" customHeight="1" x14ac:dyDescent="0.25">
      <c r="A51" s="676"/>
      <c r="B51" s="676"/>
      <c r="C51" s="676"/>
      <c r="D51" s="29"/>
      <c r="E51" s="29"/>
      <c r="F51" s="676"/>
      <c r="G51" s="676"/>
      <c r="H51" s="676"/>
      <c r="I51" s="29"/>
      <c r="J51" s="29"/>
      <c r="K51" s="676"/>
      <c r="L51" s="676"/>
      <c r="M51" s="676"/>
      <c r="N51" s="29"/>
      <c r="O51" s="29"/>
      <c r="P51" s="676"/>
      <c r="Q51" s="676"/>
      <c r="R51" s="676"/>
      <c r="S51" s="29"/>
      <c r="T51" s="29"/>
      <c r="U51" s="676"/>
      <c r="V51" s="676"/>
      <c r="W51" s="676"/>
      <c r="X51" s="29"/>
      <c r="Y51" s="29"/>
      <c r="Z51" s="676"/>
      <c r="AA51" s="676"/>
      <c r="AB51" s="676"/>
      <c r="AC51" s="29"/>
      <c r="AD51" s="29"/>
      <c r="AE51" s="676"/>
      <c r="AF51" s="676"/>
      <c r="AG51" s="676"/>
      <c r="AH51" s="29"/>
      <c r="AI51" s="29"/>
      <c r="AJ51" s="676"/>
      <c r="AK51" s="676"/>
      <c r="AL51" s="676"/>
      <c r="AM51" s="29"/>
      <c r="AN51" s="29"/>
      <c r="AO51" s="676"/>
      <c r="AP51" s="676"/>
      <c r="AQ51" s="676"/>
      <c r="AR51" s="29"/>
      <c r="AS51" s="29"/>
      <c r="AT51" s="676"/>
      <c r="AU51" s="676"/>
      <c r="AV51" s="676"/>
      <c r="AW51" s="29"/>
      <c r="AX51" s="29"/>
      <c r="AY51" s="676"/>
      <c r="AZ51" s="676"/>
      <c r="BA51" s="676"/>
      <c r="BB51" s="29"/>
      <c r="BC51" s="29"/>
      <c r="BD51" s="676"/>
      <c r="BE51" s="676"/>
      <c r="BF51" s="676"/>
      <c r="BG51" s="29"/>
      <c r="BH51" s="29"/>
      <c r="BI51" s="676"/>
      <c r="BJ51" s="676"/>
      <c r="BK51" s="676"/>
      <c r="BL51" s="29"/>
      <c r="BM51" s="29"/>
      <c r="BN51" s="676"/>
      <c r="BO51" s="676"/>
      <c r="BP51" s="676"/>
      <c r="BQ51" s="29"/>
      <c r="BR51" s="29"/>
    </row>
    <row r="52" spans="1:83" ht="21.95" hidden="1" customHeight="1" x14ac:dyDescent="0.25">
      <c r="A52" s="676"/>
      <c r="B52" s="676"/>
      <c r="C52" s="676"/>
      <c r="D52" s="30"/>
      <c r="E52" s="29"/>
      <c r="F52" s="676"/>
      <c r="G52" s="676"/>
      <c r="H52" s="676"/>
      <c r="I52" s="30"/>
      <c r="J52" s="29"/>
      <c r="K52" s="676"/>
      <c r="L52" s="676"/>
      <c r="M52" s="676"/>
      <c r="N52" s="30"/>
      <c r="O52" s="29"/>
      <c r="P52" s="676"/>
      <c r="Q52" s="676"/>
      <c r="R52" s="676"/>
      <c r="S52" s="30"/>
      <c r="T52" s="29"/>
      <c r="U52" s="676"/>
      <c r="V52" s="676"/>
      <c r="W52" s="676"/>
      <c r="X52" s="30"/>
      <c r="Y52" s="29"/>
      <c r="Z52" s="676"/>
      <c r="AA52" s="676"/>
      <c r="AB52" s="676"/>
      <c r="AC52" s="30"/>
      <c r="AD52" s="29"/>
      <c r="AE52" s="676"/>
      <c r="AF52" s="676"/>
      <c r="AG52" s="676"/>
      <c r="AH52" s="30"/>
      <c r="AI52" s="29"/>
      <c r="AJ52" s="676"/>
      <c r="AK52" s="676"/>
      <c r="AL52" s="676"/>
      <c r="AM52" s="30"/>
      <c r="AN52" s="29"/>
      <c r="AO52" s="676"/>
      <c r="AP52" s="676"/>
      <c r="AQ52" s="676"/>
      <c r="AR52" s="30"/>
      <c r="AS52" s="29"/>
      <c r="AT52" s="676"/>
      <c r="AU52" s="676"/>
      <c r="AV52" s="676"/>
      <c r="AW52" s="30"/>
      <c r="AX52" s="29"/>
      <c r="AY52" s="676"/>
      <c r="AZ52" s="676"/>
      <c r="BA52" s="676"/>
      <c r="BB52" s="30"/>
      <c r="BC52" s="29"/>
      <c r="BD52" s="676"/>
      <c r="BE52" s="676"/>
      <c r="BF52" s="676"/>
      <c r="BG52" s="30"/>
      <c r="BH52" s="29"/>
      <c r="BI52" s="676"/>
      <c r="BJ52" s="676"/>
      <c r="BK52" s="676"/>
      <c r="BL52" s="30"/>
      <c r="BM52" s="29"/>
      <c r="BN52" s="676"/>
      <c r="BO52" s="676"/>
      <c r="BP52" s="676"/>
      <c r="BQ52" s="30"/>
      <c r="BR52" s="29"/>
    </row>
    <row r="53" spans="1:83" ht="6" hidden="1" customHeight="1" x14ac:dyDescent="0.25">
      <c r="A53" s="676"/>
      <c r="B53" s="676"/>
      <c r="C53" s="676"/>
      <c r="D53" s="675"/>
      <c r="E53" s="675"/>
      <c r="F53" s="676"/>
      <c r="G53" s="676"/>
      <c r="H53" s="676"/>
      <c r="I53" s="675"/>
      <c r="J53" s="675"/>
      <c r="K53" s="676"/>
      <c r="L53" s="676"/>
      <c r="M53" s="676"/>
      <c r="N53" s="675"/>
      <c r="O53" s="675"/>
      <c r="P53" s="676"/>
      <c r="Q53" s="676"/>
      <c r="R53" s="676"/>
      <c r="S53" s="675"/>
      <c r="T53" s="675"/>
      <c r="U53" s="676"/>
      <c r="V53" s="676"/>
      <c r="W53" s="676"/>
      <c r="X53" s="675"/>
      <c r="Y53" s="675"/>
      <c r="Z53" s="676"/>
      <c r="AA53" s="676"/>
      <c r="AB53" s="676"/>
      <c r="AC53" s="675"/>
      <c r="AD53" s="675"/>
      <c r="AE53" s="676"/>
      <c r="AF53" s="676"/>
      <c r="AG53" s="676"/>
      <c r="AH53" s="675"/>
      <c r="AI53" s="675"/>
      <c r="AJ53" s="676"/>
      <c r="AK53" s="676"/>
      <c r="AL53" s="676"/>
      <c r="AM53" s="675"/>
      <c r="AN53" s="675"/>
      <c r="AO53" s="676"/>
      <c r="AP53" s="676"/>
      <c r="AQ53" s="676"/>
      <c r="AR53" s="675"/>
      <c r="AS53" s="675"/>
      <c r="AT53" s="676"/>
      <c r="AU53" s="676"/>
      <c r="AV53" s="676"/>
      <c r="AW53" s="675"/>
      <c r="AX53" s="675"/>
      <c r="AY53" s="676"/>
      <c r="AZ53" s="676"/>
      <c r="BA53" s="676"/>
      <c r="BB53" s="675"/>
      <c r="BC53" s="675"/>
      <c r="BD53" s="676"/>
      <c r="BE53" s="676"/>
      <c r="BF53" s="676"/>
      <c r="BG53" s="675"/>
      <c r="BH53" s="675"/>
      <c r="BI53" s="676"/>
      <c r="BJ53" s="676"/>
      <c r="BK53" s="676"/>
      <c r="BL53" s="675"/>
      <c r="BM53" s="675"/>
      <c r="BN53" s="676"/>
      <c r="BO53" s="676"/>
      <c r="BP53" s="676"/>
      <c r="BQ53" s="675"/>
      <c r="BR53" s="675"/>
    </row>
    <row r="54" spans="1:83" ht="60" hidden="1" thickTop="1" thickBot="1" x14ac:dyDescent="0.3">
      <c r="A54" s="677"/>
      <c r="B54" s="678"/>
      <c r="C54" s="678"/>
      <c r="D54" s="678"/>
      <c r="E54" s="678"/>
      <c r="F54" s="677"/>
      <c r="G54" s="678"/>
      <c r="H54" s="678"/>
      <c r="I54" s="678"/>
      <c r="J54" s="678"/>
      <c r="K54" s="677"/>
      <c r="L54" s="678"/>
      <c r="M54" s="678"/>
      <c r="N54" s="678"/>
      <c r="O54" s="678"/>
      <c r="P54" s="677"/>
      <c r="Q54" s="678"/>
      <c r="R54" s="678"/>
      <c r="S54" s="678"/>
      <c r="T54" s="678"/>
      <c r="U54" s="677"/>
      <c r="V54" s="678"/>
      <c r="W54" s="678"/>
      <c r="X54" s="678"/>
      <c r="Y54" s="678"/>
      <c r="Z54" s="677"/>
      <c r="AA54" s="678"/>
      <c r="AB54" s="678"/>
      <c r="AC54" s="678"/>
      <c r="AD54" s="678"/>
      <c r="AE54" s="677"/>
      <c r="AF54" s="678"/>
      <c r="AG54" s="678"/>
      <c r="AH54" s="678"/>
      <c r="AI54" s="678"/>
      <c r="AJ54" s="677"/>
      <c r="AK54" s="678"/>
      <c r="AL54" s="678"/>
      <c r="AM54" s="678"/>
      <c r="AN54" s="678"/>
      <c r="AO54" s="677"/>
      <c r="AP54" s="678"/>
      <c r="AQ54" s="678"/>
      <c r="AR54" s="678"/>
      <c r="AS54" s="678"/>
      <c r="AT54" s="677"/>
      <c r="AU54" s="678"/>
      <c r="AV54" s="678"/>
      <c r="AW54" s="678"/>
      <c r="AX54" s="678"/>
      <c r="AY54" s="677"/>
      <c r="AZ54" s="678"/>
      <c r="BA54" s="678"/>
      <c r="BB54" s="678"/>
      <c r="BC54" s="678"/>
      <c r="BD54" s="677"/>
      <c r="BE54" s="678"/>
      <c r="BF54" s="678"/>
      <c r="BG54" s="678"/>
      <c r="BH54" s="678"/>
      <c r="BI54" s="677"/>
      <c r="BJ54" s="678"/>
      <c r="BK54" s="678"/>
      <c r="BL54" s="678"/>
      <c r="BM54" s="678"/>
      <c r="BN54" s="677"/>
      <c r="BO54" s="678"/>
      <c r="BP54" s="678"/>
      <c r="BQ54" s="678"/>
      <c r="BR54" s="678"/>
    </row>
    <row r="55" spans="1:83" ht="27.75" hidden="1" thickTop="1" thickBot="1" x14ac:dyDescent="0.3">
      <c r="A55" s="677"/>
      <c r="B55" s="32"/>
      <c r="C55" s="33"/>
      <c r="D55" s="34"/>
      <c r="E55" s="35"/>
      <c r="F55" s="677"/>
      <c r="G55" s="32"/>
      <c r="H55" s="33"/>
      <c r="I55" s="34"/>
      <c r="J55" s="35"/>
      <c r="K55" s="677"/>
      <c r="L55" s="32"/>
      <c r="M55" s="33"/>
      <c r="N55" s="34"/>
      <c r="O55" s="35"/>
      <c r="P55" s="677"/>
      <c r="Q55" s="32"/>
      <c r="R55" s="33"/>
      <c r="S55" s="34"/>
      <c r="T55" s="35"/>
      <c r="U55" s="677"/>
      <c r="V55" s="32"/>
      <c r="W55" s="33"/>
      <c r="X55" s="34"/>
      <c r="Y55" s="35"/>
      <c r="Z55" s="677"/>
      <c r="AA55" s="32"/>
      <c r="AB55" s="33"/>
      <c r="AC55" s="34"/>
      <c r="AD55" s="35"/>
      <c r="AE55" s="677"/>
      <c r="AF55" s="32"/>
      <c r="AG55" s="33"/>
      <c r="AH55" s="34"/>
      <c r="AI55" s="35"/>
      <c r="AJ55" s="677"/>
      <c r="AK55" s="32"/>
      <c r="AL55" s="33"/>
      <c r="AM55" s="34"/>
      <c r="AN55" s="35"/>
      <c r="AO55" s="677"/>
      <c r="AP55" s="32"/>
      <c r="AQ55" s="33"/>
      <c r="AR55" s="34"/>
      <c r="AS55" s="35"/>
      <c r="AT55" s="677"/>
      <c r="AU55" s="32"/>
      <c r="AV55" s="33"/>
      <c r="AW55" s="34"/>
      <c r="AX55" s="35"/>
      <c r="AY55" s="677"/>
      <c r="AZ55" s="32"/>
      <c r="BA55" s="33"/>
      <c r="BB55" s="34"/>
      <c r="BC55" s="35"/>
      <c r="BD55" s="677"/>
      <c r="BE55" s="32"/>
      <c r="BF55" s="33"/>
      <c r="BG55" s="34"/>
      <c r="BH55" s="35"/>
      <c r="BI55" s="677"/>
      <c r="BJ55" s="32"/>
      <c r="BK55" s="33"/>
      <c r="BL55" s="34"/>
      <c r="BM55" s="35"/>
      <c r="BN55" s="677"/>
      <c r="BO55" s="32"/>
      <c r="BP55" s="33"/>
      <c r="BQ55" s="34"/>
      <c r="BR55" s="35"/>
      <c r="BW55" s="27"/>
      <c r="BX55" s="27"/>
      <c r="BY55" s="27"/>
      <c r="BZ55" s="27"/>
      <c r="CA55" s="27"/>
      <c r="CB55" s="27"/>
      <c r="CC55" s="27"/>
      <c r="CD55" s="27"/>
      <c r="CE55" s="27"/>
    </row>
    <row r="56" spans="1:83" ht="26.1" hidden="1" customHeight="1" x14ac:dyDescent="0.25">
      <c r="A56" s="674"/>
      <c r="B56" s="674"/>
      <c r="C56" s="674"/>
      <c r="D56" s="675"/>
      <c r="E56" s="675"/>
      <c r="F56" s="674"/>
      <c r="G56" s="674"/>
      <c r="H56" s="674"/>
      <c r="I56" s="675"/>
      <c r="J56" s="675"/>
      <c r="K56" s="674"/>
      <c r="L56" s="674"/>
      <c r="M56" s="674"/>
      <c r="N56" s="675"/>
      <c r="O56" s="675"/>
      <c r="P56" s="674"/>
      <c r="Q56" s="674"/>
      <c r="R56" s="674"/>
      <c r="S56" s="675"/>
      <c r="T56" s="675"/>
      <c r="U56" s="674"/>
      <c r="V56" s="674"/>
      <c r="W56" s="674"/>
      <c r="X56" s="675"/>
      <c r="Y56" s="675"/>
      <c r="Z56" s="674"/>
      <c r="AA56" s="674"/>
      <c r="AB56" s="674"/>
      <c r="AC56" s="675"/>
      <c r="AD56" s="675"/>
      <c r="AE56" s="674"/>
      <c r="AF56" s="674"/>
      <c r="AG56" s="674"/>
      <c r="AH56" s="675"/>
      <c r="AI56" s="675"/>
      <c r="AJ56" s="674"/>
      <c r="AK56" s="674"/>
      <c r="AL56" s="674"/>
      <c r="AM56" s="675"/>
      <c r="AN56" s="675"/>
      <c r="AO56" s="674"/>
      <c r="AP56" s="674"/>
      <c r="AQ56" s="674"/>
      <c r="AR56" s="675"/>
      <c r="AS56" s="675"/>
      <c r="AT56" s="674"/>
      <c r="AU56" s="674"/>
      <c r="AV56" s="674"/>
      <c r="AW56" s="675"/>
      <c r="AX56" s="675"/>
      <c r="AY56" s="674"/>
      <c r="AZ56" s="674"/>
      <c r="BA56" s="674"/>
      <c r="BB56" s="675"/>
      <c r="BC56" s="675"/>
      <c r="BD56" s="674"/>
      <c r="BE56" s="674"/>
      <c r="BF56" s="674"/>
      <c r="BG56" s="675"/>
      <c r="BH56" s="675"/>
      <c r="BI56" s="674"/>
      <c r="BJ56" s="674"/>
      <c r="BK56" s="674"/>
      <c r="BL56" s="675"/>
      <c r="BM56" s="675"/>
      <c r="BN56" s="674"/>
      <c r="BO56" s="674"/>
      <c r="BP56" s="674"/>
      <c r="BQ56" s="675"/>
      <c r="BR56" s="675"/>
    </row>
    <row r="57" spans="1:83" ht="6.75" hidden="1" customHeight="1" x14ac:dyDescent="0.25">
      <c r="A57" s="676"/>
      <c r="B57" s="676"/>
      <c r="C57" s="676"/>
      <c r="D57" s="29"/>
      <c r="E57" s="29"/>
      <c r="F57" s="676"/>
      <c r="G57" s="676"/>
      <c r="H57" s="676"/>
      <c r="I57" s="29"/>
      <c r="J57" s="29"/>
      <c r="K57" s="676"/>
      <c r="L57" s="676"/>
      <c r="M57" s="676"/>
      <c r="N57" s="29"/>
      <c r="O57" s="29"/>
      <c r="P57" s="676"/>
      <c r="Q57" s="676"/>
      <c r="R57" s="676"/>
      <c r="S57" s="29"/>
      <c r="T57" s="29"/>
      <c r="U57" s="676"/>
      <c r="V57" s="676"/>
      <c r="W57" s="676"/>
      <c r="X57" s="29"/>
      <c r="Y57" s="29"/>
      <c r="Z57" s="676"/>
      <c r="AA57" s="676"/>
      <c r="AB57" s="676"/>
      <c r="AC57" s="29"/>
      <c r="AD57" s="29"/>
      <c r="AE57" s="676"/>
      <c r="AF57" s="676"/>
      <c r="AG57" s="676"/>
      <c r="AH57" s="29"/>
      <c r="AI57" s="29"/>
      <c r="AJ57" s="676"/>
      <c r="AK57" s="676"/>
      <c r="AL57" s="676"/>
      <c r="AM57" s="29"/>
      <c r="AN57" s="29"/>
      <c r="AO57" s="676"/>
      <c r="AP57" s="676"/>
      <c r="AQ57" s="676"/>
      <c r="AR57" s="29"/>
      <c r="AS57" s="29"/>
      <c r="AT57" s="676"/>
      <c r="AU57" s="676"/>
      <c r="AV57" s="676"/>
      <c r="AW57" s="29"/>
      <c r="AX57" s="29"/>
      <c r="AY57" s="676"/>
      <c r="AZ57" s="676"/>
      <c r="BA57" s="676"/>
      <c r="BB57" s="29"/>
      <c r="BC57" s="29"/>
      <c r="BD57" s="676"/>
      <c r="BE57" s="676"/>
      <c r="BF57" s="676"/>
      <c r="BG57" s="29"/>
      <c r="BH57" s="29"/>
      <c r="BI57" s="676"/>
      <c r="BJ57" s="676"/>
      <c r="BK57" s="676"/>
      <c r="BL57" s="29"/>
      <c r="BM57" s="29"/>
      <c r="BN57" s="676"/>
      <c r="BO57" s="676"/>
      <c r="BP57" s="676"/>
      <c r="BQ57" s="29"/>
      <c r="BR57" s="29"/>
    </row>
    <row r="58" spans="1:83" ht="21.95" hidden="1" customHeight="1" x14ac:dyDescent="0.25">
      <c r="A58" s="676"/>
      <c r="B58" s="676"/>
      <c r="C58" s="676"/>
      <c r="D58" s="30"/>
      <c r="E58" s="29"/>
      <c r="F58" s="676"/>
      <c r="G58" s="676"/>
      <c r="H58" s="676"/>
      <c r="I58" s="30"/>
      <c r="J58" s="29"/>
      <c r="K58" s="676"/>
      <c r="L58" s="676"/>
      <c r="M58" s="676"/>
      <c r="N58" s="30"/>
      <c r="O58" s="29"/>
      <c r="P58" s="676"/>
      <c r="Q58" s="676"/>
      <c r="R58" s="676"/>
      <c r="S58" s="30"/>
      <c r="T58" s="29"/>
      <c r="U58" s="676"/>
      <c r="V58" s="676"/>
      <c r="W58" s="676"/>
      <c r="X58" s="30"/>
      <c r="Y58" s="29"/>
      <c r="Z58" s="676"/>
      <c r="AA58" s="676"/>
      <c r="AB58" s="676"/>
      <c r="AC58" s="30"/>
      <c r="AD58" s="29"/>
      <c r="AE58" s="676"/>
      <c r="AF58" s="676"/>
      <c r="AG58" s="676"/>
      <c r="AH58" s="30"/>
      <c r="AI58" s="29"/>
      <c r="AJ58" s="676"/>
      <c r="AK58" s="676"/>
      <c r="AL58" s="676"/>
      <c r="AM58" s="30"/>
      <c r="AN58" s="29"/>
      <c r="AO58" s="676"/>
      <c r="AP58" s="676"/>
      <c r="AQ58" s="676"/>
      <c r="AR58" s="30"/>
      <c r="AS58" s="29"/>
      <c r="AT58" s="676"/>
      <c r="AU58" s="676"/>
      <c r="AV58" s="676"/>
      <c r="AW58" s="30"/>
      <c r="AX58" s="29"/>
      <c r="AY58" s="676"/>
      <c r="AZ58" s="676"/>
      <c r="BA58" s="676"/>
      <c r="BB58" s="30"/>
      <c r="BC58" s="29"/>
      <c r="BD58" s="676"/>
      <c r="BE58" s="676"/>
      <c r="BF58" s="676"/>
      <c r="BG58" s="30"/>
      <c r="BH58" s="29"/>
      <c r="BI58" s="676"/>
      <c r="BJ58" s="676"/>
      <c r="BK58" s="676"/>
      <c r="BL58" s="30"/>
      <c r="BM58" s="29"/>
      <c r="BN58" s="676"/>
      <c r="BO58" s="676"/>
      <c r="BP58" s="676"/>
      <c r="BQ58" s="30"/>
      <c r="BR58" s="29"/>
    </row>
    <row r="59" spans="1:83" ht="6" hidden="1" customHeight="1" x14ac:dyDescent="0.25">
      <c r="A59" s="676"/>
      <c r="B59" s="676"/>
      <c r="C59" s="676"/>
      <c r="D59" s="675"/>
      <c r="E59" s="675"/>
      <c r="F59" s="676"/>
      <c r="G59" s="676"/>
      <c r="H59" s="676"/>
      <c r="I59" s="675"/>
      <c r="J59" s="675"/>
      <c r="K59" s="676"/>
      <c r="L59" s="676"/>
      <c r="M59" s="676"/>
      <c r="N59" s="675"/>
      <c r="O59" s="675"/>
      <c r="P59" s="676"/>
      <c r="Q59" s="676"/>
      <c r="R59" s="676"/>
      <c r="S59" s="675"/>
      <c r="T59" s="675"/>
      <c r="U59" s="676"/>
      <c r="V59" s="676"/>
      <c r="W59" s="676"/>
      <c r="X59" s="675"/>
      <c r="Y59" s="675"/>
      <c r="Z59" s="676"/>
      <c r="AA59" s="676"/>
      <c r="AB59" s="676"/>
      <c r="AC59" s="675"/>
      <c r="AD59" s="675"/>
      <c r="AE59" s="676"/>
      <c r="AF59" s="676"/>
      <c r="AG59" s="676"/>
      <c r="AH59" s="675"/>
      <c r="AI59" s="675"/>
      <c r="AJ59" s="676"/>
      <c r="AK59" s="676"/>
      <c r="AL59" s="676"/>
      <c r="AM59" s="675"/>
      <c r="AN59" s="675"/>
      <c r="AO59" s="676"/>
      <c r="AP59" s="676"/>
      <c r="AQ59" s="676"/>
      <c r="AR59" s="675"/>
      <c r="AS59" s="675"/>
      <c r="AT59" s="676"/>
      <c r="AU59" s="676"/>
      <c r="AV59" s="676"/>
      <c r="AW59" s="675"/>
      <c r="AX59" s="675"/>
      <c r="AY59" s="676"/>
      <c r="AZ59" s="676"/>
      <c r="BA59" s="676"/>
      <c r="BB59" s="675"/>
      <c r="BC59" s="675"/>
      <c r="BD59" s="676"/>
      <c r="BE59" s="676"/>
      <c r="BF59" s="676"/>
      <c r="BG59" s="675"/>
      <c r="BH59" s="675"/>
      <c r="BI59" s="676"/>
      <c r="BJ59" s="676"/>
      <c r="BK59" s="676"/>
      <c r="BL59" s="675"/>
      <c r="BM59" s="675"/>
      <c r="BN59" s="676"/>
      <c r="BO59" s="676"/>
      <c r="BP59" s="676"/>
      <c r="BQ59" s="675"/>
      <c r="BR59" s="675"/>
    </row>
    <row r="60" spans="1:83" ht="60" hidden="1" thickTop="1" thickBot="1" x14ac:dyDescent="0.3">
      <c r="A60" s="677"/>
      <c r="B60" s="678"/>
      <c r="C60" s="678"/>
      <c r="D60" s="678"/>
      <c r="E60" s="678"/>
      <c r="F60" s="677"/>
      <c r="G60" s="678"/>
      <c r="H60" s="678"/>
      <c r="I60" s="678"/>
      <c r="J60" s="678"/>
      <c r="K60" s="677"/>
      <c r="L60" s="678"/>
      <c r="M60" s="678"/>
      <c r="N60" s="678"/>
      <c r="O60" s="678"/>
      <c r="P60" s="677"/>
      <c r="Q60" s="678"/>
      <c r="R60" s="678"/>
      <c r="S60" s="678"/>
      <c r="T60" s="678"/>
      <c r="U60" s="677"/>
      <c r="V60" s="678"/>
      <c r="W60" s="678"/>
      <c r="X60" s="678"/>
      <c r="Y60" s="678"/>
      <c r="Z60" s="677"/>
      <c r="AA60" s="678"/>
      <c r="AB60" s="678"/>
      <c r="AC60" s="678"/>
      <c r="AD60" s="678"/>
      <c r="AE60" s="677"/>
      <c r="AF60" s="678"/>
      <c r="AG60" s="678"/>
      <c r="AH60" s="678"/>
      <c r="AI60" s="678"/>
      <c r="AJ60" s="677"/>
      <c r="AK60" s="678"/>
      <c r="AL60" s="678"/>
      <c r="AM60" s="678"/>
      <c r="AN60" s="678"/>
      <c r="AO60" s="677"/>
      <c r="AP60" s="678"/>
      <c r="AQ60" s="678"/>
      <c r="AR60" s="678"/>
      <c r="AS60" s="678"/>
      <c r="AT60" s="677"/>
      <c r="AU60" s="678"/>
      <c r="AV60" s="678"/>
      <c r="AW60" s="678"/>
      <c r="AX60" s="678"/>
      <c r="AY60" s="677"/>
      <c r="AZ60" s="678"/>
      <c r="BA60" s="678"/>
      <c r="BB60" s="678"/>
      <c r="BC60" s="678"/>
      <c r="BD60" s="677"/>
      <c r="BE60" s="678"/>
      <c r="BF60" s="678"/>
      <c r="BG60" s="678"/>
      <c r="BH60" s="678"/>
      <c r="BI60" s="677"/>
      <c r="BJ60" s="678"/>
      <c r="BK60" s="678"/>
      <c r="BL60" s="678"/>
      <c r="BM60" s="678"/>
      <c r="BN60" s="677"/>
      <c r="BO60" s="678"/>
      <c r="BP60" s="678"/>
      <c r="BQ60" s="678"/>
      <c r="BR60" s="678"/>
    </row>
    <row r="61" spans="1:83" ht="27.75" hidden="1" thickTop="1" thickBot="1" x14ac:dyDescent="0.3">
      <c r="A61" s="677"/>
      <c r="B61" s="32"/>
      <c r="C61" s="33"/>
      <c r="D61" s="34"/>
      <c r="E61" s="35"/>
      <c r="F61" s="677"/>
      <c r="G61" s="32"/>
      <c r="H61" s="33"/>
      <c r="I61" s="34"/>
      <c r="J61" s="35"/>
      <c r="K61" s="677"/>
      <c r="L61" s="32"/>
      <c r="M61" s="33"/>
      <c r="N61" s="34"/>
      <c r="O61" s="35"/>
      <c r="P61" s="677"/>
      <c r="Q61" s="32"/>
      <c r="R61" s="33"/>
      <c r="S61" s="34"/>
      <c r="T61" s="35"/>
      <c r="U61" s="677"/>
      <c r="V61" s="32"/>
      <c r="W61" s="33"/>
      <c r="X61" s="34"/>
      <c r="Y61" s="35"/>
      <c r="Z61" s="677"/>
      <c r="AA61" s="32"/>
      <c r="AB61" s="33"/>
      <c r="AC61" s="34"/>
      <c r="AD61" s="35"/>
      <c r="AE61" s="677"/>
      <c r="AF61" s="32"/>
      <c r="AG61" s="33"/>
      <c r="AH61" s="34"/>
      <c r="AI61" s="35"/>
      <c r="AJ61" s="677"/>
      <c r="AK61" s="32"/>
      <c r="AL61" s="33"/>
      <c r="AM61" s="34"/>
      <c r="AN61" s="35"/>
      <c r="AO61" s="677"/>
      <c r="AP61" s="32"/>
      <c r="AQ61" s="33"/>
      <c r="AR61" s="34"/>
      <c r="AS61" s="35"/>
      <c r="AT61" s="677"/>
      <c r="AU61" s="32"/>
      <c r="AV61" s="33"/>
      <c r="AW61" s="34"/>
      <c r="AX61" s="35"/>
      <c r="AY61" s="677"/>
      <c r="AZ61" s="32"/>
      <c r="BA61" s="33"/>
      <c r="BB61" s="34"/>
      <c r="BC61" s="35"/>
      <c r="BD61" s="677"/>
      <c r="BE61" s="32"/>
      <c r="BF61" s="33"/>
      <c r="BG61" s="34"/>
      <c r="BH61" s="35"/>
      <c r="BI61" s="677"/>
      <c r="BJ61" s="32"/>
      <c r="BK61" s="33"/>
      <c r="BL61" s="34"/>
      <c r="BM61" s="35"/>
      <c r="BN61" s="677"/>
      <c r="BO61" s="32"/>
      <c r="BP61" s="33"/>
      <c r="BQ61" s="34"/>
      <c r="BR61" s="35"/>
      <c r="BW61" s="27"/>
      <c r="BX61" s="27"/>
      <c r="BY61" s="27"/>
      <c r="BZ61" s="27"/>
      <c r="CA61" s="27"/>
      <c r="CB61" s="27"/>
      <c r="CC61" s="27"/>
      <c r="CD61" s="27"/>
      <c r="CE61" s="27"/>
    </row>
    <row r="62" spans="1:83" s="42" customFormat="1" ht="3" customHeight="1" thickTop="1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W62" s="43"/>
      <c r="BX62" s="43"/>
      <c r="BY62" s="43"/>
      <c r="BZ62" s="43"/>
      <c r="CA62" s="43"/>
      <c r="CB62" s="43"/>
      <c r="CC62" s="43"/>
      <c r="CD62" s="43"/>
      <c r="CE62" s="43"/>
    </row>
    <row r="63" spans="1:83" ht="36" hidden="1" customHeight="1" x14ac:dyDescent="0.25">
      <c r="A63" s="719"/>
      <c r="B63" s="719"/>
      <c r="C63" s="720"/>
      <c r="D63" s="720"/>
      <c r="E63" s="720"/>
      <c r="F63" s="719"/>
      <c r="G63" s="719"/>
      <c r="H63" s="720"/>
      <c r="I63" s="720"/>
      <c r="J63" s="720"/>
      <c r="K63" s="719"/>
      <c r="L63" s="719"/>
      <c r="M63" s="720"/>
      <c r="N63" s="720"/>
      <c r="O63" s="720"/>
      <c r="P63" s="719"/>
      <c r="Q63" s="719"/>
      <c r="R63" s="720"/>
      <c r="S63" s="720"/>
      <c r="T63" s="720"/>
      <c r="U63" s="719"/>
      <c r="V63" s="719"/>
      <c r="W63" s="720"/>
      <c r="X63" s="720"/>
      <c r="Y63" s="720"/>
      <c r="Z63" s="719"/>
      <c r="AA63" s="719"/>
      <c r="AB63" s="720"/>
      <c r="AC63" s="720"/>
      <c r="AD63" s="720"/>
      <c r="AE63" s="719"/>
      <c r="AF63" s="719"/>
      <c r="AG63" s="720"/>
      <c r="AH63" s="720"/>
      <c r="AI63" s="720"/>
      <c r="AJ63" s="719"/>
      <c r="AK63" s="719"/>
      <c r="AL63" s="720"/>
      <c r="AM63" s="720"/>
      <c r="AN63" s="720"/>
      <c r="AO63" s="719"/>
      <c r="AP63" s="719"/>
      <c r="AQ63" s="720"/>
      <c r="AR63" s="720"/>
      <c r="AS63" s="720"/>
      <c r="AT63" s="719"/>
      <c r="AU63" s="719"/>
      <c r="AV63" s="720"/>
      <c r="AW63" s="720"/>
      <c r="AX63" s="720"/>
      <c r="AY63" s="719"/>
      <c r="AZ63" s="719"/>
      <c r="BA63" s="720"/>
      <c r="BB63" s="720"/>
      <c r="BC63" s="720"/>
      <c r="BD63" s="719"/>
      <c r="BE63" s="719"/>
      <c r="BF63" s="720"/>
      <c r="BG63" s="720"/>
      <c r="BH63" s="720"/>
      <c r="BI63" s="719"/>
      <c r="BJ63" s="719"/>
      <c r="BK63" s="720"/>
      <c r="BL63" s="720"/>
      <c r="BM63" s="720"/>
      <c r="BN63" s="719"/>
      <c r="BO63" s="719"/>
      <c r="BP63" s="720"/>
      <c r="BQ63" s="720"/>
      <c r="BR63" s="720"/>
    </row>
    <row r="64" spans="1:83" ht="6.75" hidden="1" customHeight="1" x14ac:dyDescent="0.25">
      <c r="A64" s="714"/>
      <c r="B64" s="714"/>
      <c r="C64" s="714"/>
      <c r="D64" s="714"/>
      <c r="E64" s="714"/>
      <c r="F64" s="714"/>
      <c r="G64" s="714"/>
      <c r="H64" s="714"/>
      <c r="I64" s="714"/>
      <c r="J64" s="714"/>
      <c r="K64" s="714"/>
      <c r="L64" s="714"/>
      <c r="M64" s="714"/>
      <c r="N64" s="714"/>
      <c r="O64" s="714"/>
      <c r="P64" s="714"/>
      <c r="Q64" s="714"/>
      <c r="R64" s="714"/>
      <c r="S64" s="714"/>
      <c r="T64" s="714"/>
      <c r="U64" s="714"/>
      <c r="V64" s="714"/>
      <c r="W64" s="714"/>
      <c r="X64" s="714"/>
      <c r="Y64" s="714"/>
      <c r="Z64" s="714"/>
      <c r="AA64" s="714"/>
      <c r="AB64" s="714"/>
      <c r="AC64" s="714"/>
      <c r="AD64" s="714"/>
      <c r="AE64" s="714"/>
      <c r="AF64" s="714"/>
      <c r="AG64" s="714"/>
      <c r="AH64" s="714"/>
      <c r="AI64" s="714"/>
      <c r="AJ64" s="714"/>
      <c r="AK64" s="714"/>
      <c r="AL64" s="714"/>
      <c r="AM64" s="714"/>
      <c r="AN64" s="714"/>
      <c r="AO64" s="714"/>
      <c r="AP64" s="714"/>
      <c r="AQ64" s="714"/>
      <c r="AR64" s="714"/>
      <c r="AS64" s="714"/>
      <c r="AT64" s="714"/>
      <c r="AU64" s="714"/>
      <c r="AV64" s="714"/>
      <c r="AW64" s="714"/>
      <c r="AX64" s="714"/>
      <c r="AY64" s="714"/>
      <c r="AZ64" s="714"/>
      <c r="BA64" s="714"/>
      <c r="BB64" s="714"/>
      <c r="BC64" s="714"/>
      <c r="BD64" s="714"/>
      <c r="BE64" s="714"/>
      <c r="BF64" s="714"/>
      <c r="BG64" s="714"/>
      <c r="BH64" s="714"/>
      <c r="BI64" s="714"/>
      <c r="BJ64" s="714"/>
      <c r="BK64" s="714"/>
      <c r="BL64" s="714"/>
      <c r="BM64" s="714"/>
      <c r="BN64" s="714"/>
      <c r="BO64" s="714"/>
      <c r="BP64" s="714"/>
      <c r="BQ64" s="714"/>
      <c r="BR64" s="714"/>
    </row>
    <row r="65" spans="1:172" ht="9.75" hidden="1" customHeight="1" x14ac:dyDescent="0.25">
      <c r="A65" s="714"/>
      <c r="B65" s="714"/>
      <c r="C65" s="714"/>
      <c r="D65" s="714"/>
      <c r="E65" s="714"/>
      <c r="F65" s="714"/>
      <c r="G65" s="714"/>
      <c r="H65" s="714"/>
      <c r="I65" s="714"/>
      <c r="J65" s="714"/>
      <c r="K65" s="714"/>
      <c r="L65" s="714"/>
      <c r="M65" s="714"/>
      <c r="N65" s="714"/>
      <c r="O65" s="714"/>
      <c r="P65" s="714"/>
      <c r="Q65" s="714"/>
      <c r="R65" s="714"/>
      <c r="S65" s="714"/>
      <c r="T65" s="714"/>
      <c r="U65" s="714"/>
      <c r="V65" s="714"/>
      <c r="W65" s="714"/>
      <c r="X65" s="714"/>
      <c r="Y65" s="714"/>
      <c r="Z65" s="714"/>
      <c r="AA65" s="714"/>
      <c r="AB65" s="714"/>
      <c r="AC65" s="714"/>
      <c r="AD65" s="714"/>
      <c r="AE65" s="714"/>
      <c r="AF65" s="714"/>
      <c r="AG65" s="714"/>
      <c r="AH65" s="714"/>
      <c r="AI65" s="714"/>
      <c r="AJ65" s="714"/>
      <c r="AK65" s="714"/>
      <c r="AL65" s="714"/>
      <c r="AM65" s="714"/>
      <c r="AN65" s="714"/>
      <c r="AO65" s="714"/>
      <c r="AP65" s="714"/>
      <c r="AQ65" s="714"/>
      <c r="AR65" s="714"/>
      <c r="AS65" s="714"/>
      <c r="AT65" s="714"/>
      <c r="AU65" s="714"/>
      <c r="AV65" s="714"/>
      <c r="AW65" s="714"/>
      <c r="AX65" s="714"/>
      <c r="AY65" s="714"/>
      <c r="AZ65" s="714"/>
      <c r="BA65" s="714"/>
      <c r="BB65" s="714"/>
      <c r="BC65" s="714"/>
      <c r="BD65" s="714"/>
      <c r="BE65" s="714"/>
      <c r="BF65" s="714"/>
      <c r="BG65" s="714"/>
      <c r="BH65" s="714"/>
      <c r="BI65" s="714"/>
      <c r="BJ65" s="714"/>
      <c r="BK65" s="714"/>
      <c r="BL65" s="714"/>
      <c r="BM65" s="714"/>
      <c r="BN65" s="714"/>
      <c r="BO65" s="714"/>
      <c r="BP65" s="714"/>
      <c r="BQ65" s="714"/>
      <c r="BR65" s="714"/>
      <c r="CY65" s="37"/>
      <c r="CZ65" s="38"/>
      <c r="DA65" s="39"/>
      <c r="DB65" s="40"/>
      <c r="DC65" s="41"/>
      <c r="DD65" s="37"/>
      <c r="DE65" s="38"/>
      <c r="DF65" s="39"/>
      <c r="DG65" s="40"/>
      <c r="DH65" s="41"/>
      <c r="DI65" s="37"/>
      <c r="DJ65" s="38"/>
      <c r="DK65" s="39"/>
      <c r="DL65" s="40"/>
      <c r="DM65" s="41"/>
      <c r="DN65" s="37"/>
      <c r="DO65" s="38"/>
      <c r="DP65" s="39"/>
      <c r="DQ65" s="40"/>
      <c r="DR65" s="41"/>
      <c r="DS65" s="37"/>
      <c r="DT65" s="38"/>
      <c r="DU65" s="39"/>
      <c r="DV65" s="697"/>
      <c r="DW65" s="697"/>
      <c r="DX65" s="697"/>
      <c r="DY65" s="697"/>
      <c r="DZ65" s="697"/>
      <c r="EA65" s="697"/>
      <c r="EB65" s="697"/>
      <c r="EC65" s="697"/>
      <c r="ED65" s="697"/>
      <c r="EE65" s="697"/>
      <c r="EF65" s="697"/>
      <c r="EG65" s="697"/>
      <c r="EH65" s="37"/>
      <c r="EI65" s="38"/>
      <c r="EJ65" s="39"/>
      <c r="EK65" s="40"/>
      <c r="EL65" s="41"/>
      <c r="EM65" s="37"/>
      <c r="EN65" s="38"/>
      <c r="EO65" s="39"/>
      <c r="EP65" s="40"/>
      <c r="EQ65" s="41"/>
      <c r="ER65" s="37"/>
      <c r="ES65" s="38"/>
      <c r="ET65" s="39"/>
      <c r="EU65" s="40"/>
      <c r="EV65" s="41"/>
      <c r="EW65" s="37"/>
      <c r="EX65" s="38"/>
      <c r="EY65" s="39"/>
      <c r="EZ65" s="40"/>
      <c r="FA65" s="41"/>
      <c r="FB65" s="37"/>
      <c r="FC65" s="38"/>
      <c r="FD65" s="39"/>
      <c r="FE65" s="40"/>
      <c r="FF65" s="41"/>
      <c r="FG65" s="37"/>
      <c r="FH65" s="38"/>
      <c r="FI65" s="39"/>
      <c r="FJ65" s="40"/>
      <c r="FK65" s="41"/>
      <c r="FL65" s="37"/>
      <c r="FM65" s="38"/>
      <c r="FN65" s="39"/>
      <c r="FO65" s="40"/>
      <c r="FP65" s="41"/>
    </row>
    <row r="66" spans="1:172" ht="6" hidden="1" customHeight="1" x14ac:dyDescent="0.25">
      <c r="A66" s="714"/>
      <c r="B66" s="714"/>
      <c r="C66" s="714"/>
      <c r="D66" s="714"/>
      <c r="E66" s="714"/>
      <c r="F66" s="714"/>
      <c r="G66" s="714"/>
      <c r="H66" s="714"/>
      <c r="I66" s="714"/>
      <c r="J66" s="714"/>
      <c r="K66" s="714"/>
      <c r="L66" s="714"/>
      <c r="M66" s="714"/>
      <c r="N66" s="714"/>
      <c r="O66" s="714"/>
      <c r="P66" s="714"/>
      <c r="Q66" s="714"/>
      <c r="R66" s="714"/>
      <c r="S66" s="714"/>
      <c r="T66" s="714"/>
      <c r="U66" s="714"/>
      <c r="V66" s="714"/>
      <c r="W66" s="714"/>
      <c r="X66" s="714"/>
      <c r="Y66" s="714"/>
      <c r="Z66" s="714"/>
      <c r="AA66" s="714"/>
      <c r="AB66" s="714"/>
      <c r="AC66" s="714"/>
      <c r="AD66" s="714"/>
      <c r="AE66" s="714"/>
      <c r="AF66" s="714"/>
      <c r="AG66" s="714"/>
      <c r="AH66" s="714"/>
      <c r="AI66" s="714"/>
      <c r="AJ66" s="714"/>
      <c r="AK66" s="714"/>
      <c r="AL66" s="714"/>
      <c r="AM66" s="714"/>
      <c r="AN66" s="714"/>
      <c r="AO66" s="714"/>
      <c r="AP66" s="714"/>
      <c r="AQ66" s="714"/>
      <c r="AR66" s="714"/>
      <c r="AS66" s="714"/>
      <c r="AT66" s="714"/>
      <c r="AU66" s="714"/>
      <c r="AV66" s="714"/>
      <c r="AW66" s="714"/>
      <c r="AX66" s="714"/>
      <c r="AY66" s="714"/>
      <c r="AZ66" s="714"/>
      <c r="BA66" s="714"/>
      <c r="BB66" s="714"/>
      <c r="BC66" s="714"/>
      <c r="BD66" s="714"/>
      <c r="BE66" s="714"/>
      <c r="BF66" s="714"/>
      <c r="BG66" s="714"/>
      <c r="BH66" s="714"/>
      <c r="BI66" s="714"/>
      <c r="BJ66" s="714"/>
      <c r="BK66" s="714"/>
      <c r="BL66" s="714"/>
      <c r="BM66" s="714"/>
      <c r="BN66" s="714"/>
      <c r="BO66" s="714"/>
      <c r="BP66" s="714"/>
      <c r="BQ66" s="714"/>
      <c r="BR66" s="714"/>
      <c r="CY66" s="674"/>
      <c r="CZ66" s="674"/>
      <c r="DA66" s="674"/>
      <c r="DB66" s="675"/>
      <c r="DC66" s="675"/>
      <c r="DD66" s="44"/>
      <c r="DE66" s="702"/>
      <c r="DF66" s="702"/>
      <c r="DG66" s="702"/>
      <c r="DI66" s="45"/>
      <c r="DJ66" s="45"/>
      <c r="DK66" s="45"/>
      <c r="DL66" s="45"/>
      <c r="DM66" s="45"/>
      <c r="DN66" s="45"/>
      <c r="DO66" s="45"/>
      <c r="DP66" s="45"/>
      <c r="DQ66" s="45"/>
      <c r="DR66" s="45"/>
      <c r="DS66" s="45"/>
      <c r="DT66" s="45"/>
      <c r="DU66" s="45"/>
      <c r="DV66" s="697"/>
      <c r="DW66" s="697"/>
      <c r="DX66" s="697"/>
      <c r="DY66" s="697"/>
      <c r="DZ66" s="697"/>
      <c r="EA66" s="697"/>
      <c r="EB66" s="697"/>
      <c r="EC66" s="697"/>
      <c r="ED66" s="697"/>
      <c r="EE66" s="697"/>
      <c r="EF66" s="697"/>
      <c r="EG66" s="697"/>
      <c r="EH66" s="697"/>
      <c r="EI66" s="697"/>
      <c r="EJ66" s="697"/>
      <c r="EK66" s="697"/>
      <c r="EL66" s="697"/>
      <c r="EM66" s="697"/>
      <c r="EN66" s="697"/>
      <c r="EO66" s="697"/>
      <c r="EP66" s="697"/>
      <c r="EQ66" s="697"/>
      <c r="ER66" s="46"/>
      <c r="ES66" s="698"/>
      <c r="ET66" s="698"/>
      <c r="EU66" s="698"/>
      <c r="EV66" s="698"/>
      <c r="EW66" s="698"/>
      <c r="EX66" s="698"/>
      <c r="EY66" s="698"/>
      <c r="EZ66" s="698"/>
      <c r="FA66" s="698"/>
      <c r="FB66" s="698"/>
      <c r="FC66" s="698"/>
      <c r="FD66" s="698"/>
      <c r="FE66" s="699"/>
      <c r="FF66" s="699"/>
      <c r="FG66" s="699"/>
      <c r="FH66" s="699"/>
      <c r="FI66" s="699"/>
      <c r="FJ66" s="700"/>
      <c r="FK66" s="700"/>
      <c r="FL66" s="700"/>
      <c r="FM66" s="700"/>
      <c r="FN66" s="701"/>
      <c r="FO66" s="701"/>
      <c r="FP66" s="701"/>
    </row>
    <row r="67" spans="1:172" s="22" customFormat="1" ht="111.75" hidden="1" customHeight="1" x14ac:dyDescent="1.35">
      <c r="A67" s="716"/>
      <c r="B67" s="1923"/>
      <c r="C67" s="1923"/>
      <c r="D67" s="1923"/>
      <c r="E67" s="1923"/>
      <c r="F67" s="716"/>
      <c r="G67" s="1923"/>
      <c r="H67" s="1923"/>
      <c r="I67" s="1923"/>
      <c r="J67" s="1923"/>
      <c r="K67" s="716"/>
      <c r="L67" s="1923"/>
      <c r="M67" s="1923"/>
      <c r="N67" s="1923"/>
      <c r="O67" s="1923"/>
      <c r="P67" s="716"/>
      <c r="Q67" s="1923"/>
      <c r="R67" s="1923"/>
      <c r="S67" s="1923"/>
      <c r="T67" s="1923"/>
      <c r="U67" s="716"/>
      <c r="V67" s="1923"/>
      <c r="W67" s="1923"/>
      <c r="X67" s="1923"/>
      <c r="Y67" s="1923"/>
      <c r="Z67" s="716"/>
      <c r="AA67" s="1923"/>
      <c r="AB67" s="1923"/>
      <c r="AC67" s="1923"/>
      <c r="AD67" s="1923"/>
      <c r="AE67" s="716"/>
      <c r="AF67" s="1923"/>
      <c r="AG67" s="1923"/>
      <c r="AH67" s="1923"/>
      <c r="AI67" s="1923"/>
      <c r="AJ67" s="716"/>
      <c r="AK67" s="1923"/>
      <c r="AL67" s="1923"/>
      <c r="AM67" s="1923"/>
      <c r="AN67" s="1923"/>
      <c r="AO67" s="716"/>
      <c r="AP67" s="1923"/>
      <c r="AQ67" s="1923"/>
      <c r="AR67" s="1923"/>
      <c r="AS67" s="1923"/>
      <c r="AT67" s="716"/>
      <c r="AU67" s="1923"/>
      <c r="AV67" s="1923"/>
      <c r="AW67" s="1923"/>
      <c r="AX67" s="1923"/>
      <c r="AY67" s="716"/>
      <c r="AZ67" s="1923"/>
      <c r="BA67" s="1923"/>
      <c r="BB67" s="1923"/>
      <c r="BC67" s="1923"/>
      <c r="BD67" s="716"/>
      <c r="BE67" s="1923"/>
      <c r="BF67" s="1923"/>
      <c r="BG67" s="1923"/>
      <c r="BH67" s="1923"/>
      <c r="BI67" s="716"/>
      <c r="BJ67" s="1923"/>
      <c r="BK67" s="1923"/>
      <c r="BL67" s="1923"/>
      <c r="BM67" s="1923"/>
      <c r="BN67" s="716"/>
      <c r="BO67" s="1923"/>
      <c r="BP67" s="1923"/>
      <c r="BQ67" s="1923"/>
      <c r="BR67" s="1923"/>
      <c r="BS67" s="367"/>
      <c r="BT67" s="367"/>
      <c r="BW67" s="368"/>
      <c r="BX67" s="368"/>
      <c r="BY67" s="368"/>
      <c r="BZ67" s="368"/>
      <c r="CA67" s="368"/>
      <c r="CB67" s="368"/>
      <c r="CC67" s="369"/>
      <c r="CD67" s="369"/>
      <c r="CE67" s="369"/>
      <c r="CG67" s="369"/>
      <c r="CH67" s="369"/>
      <c r="CI67" s="369"/>
      <c r="CJ67" s="369"/>
      <c r="CK67" s="369"/>
      <c r="CL67" s="369"/>
      <c r="CY67" s="676"/>
      <c r="CZ67" s="676"/>
      <c r="DA67" s="676"/>
      <c r="DB67" s="370"/>
      <c r="DC67" s="370"/>
      <c r="DD67" s="371"/>
      <c r="DE67" s="702"/>
      <c r="DF67" s="702"/>
      <c r="DG67" s="702"/>
      <c r="DH67" s="372"/>
      <c r="DI67" s="373"/>
      <c r="DJ67" s="373"/>
      <c r="DK67" s="373"/>
      <c r="DL67" s="373"/>
      <c r="DM67" s="373"/>
      <c r="DN67" s="373"/>
      <c r="DO67" s="373"/>
      <c r="DP67" s="373"/>
      <c r="DQ67" s="373"/>
      <c r="DR67" s="373"/>
      <c r="DS67" s="373"/>
      <c r="DT67" s="373"/>
      <c r="DU67" s="373"/>
      <c r="DV67" s="697"/>
      <c r="DW67" s="697"/>
      <c r="DX67" s="697"/>
      <c r="DY67" s="697"/>
      <c r="DZ67" s="697"/>
      <c r="EA67" s="697"/>
      <c r="EB67" s="697"/>
      <c r="EC67" s="697"/>
      <c r="ED67" s="697"/>
      <c r="EE67" s="697"/>
      <c r="EF67" s="697"/>
      <c r="EG67" s="697"/>
      <c r="EH67" s="697"/>
      <c r="EI67" s="697"/>
      <c r="EJ67" s="697"/>
      <c r="EK67" s="697"/>
      <c r="EL67" s="697"/>
      <c r="EM67" s="697"/>
      <c r="EN67" s="697"/>
      <c r="EO67" s="697"/>
      <c r="EP67" s="697"/>
      <c r="EQ67" s="697"/>
      <c r="ER67" s="374"/>
      <c r="ES67" s="698"/>
      <c r="ET67" s="698"/>
      <c r="EU67" s="698"/>
      <c r="EV67" s="698"/>
      <c r="EW67" s="698"/>
      <c r="EX67" s="698"/>
      <c r="EY67" s="698"/>
      <c r="EZ67" s="698"/>
      <c r="FA67" s="698"/>
      <c r="FB67" s="698"/>
      <c r="FC67" s="698"/>
      <c r="FD67" s="698"/>
      <c r="FE67" s="699"/>
      <c r="FF67" s="699"/>
      <c r="FG67" s="699"/>
      <c r="FH67" s="699"/>
      <c r="FI67" s="699"/>
      <c r="FJ67" s="700"/>
      <c r="FK67" s="700"/>
      <c r="FL67" s="700"/>
      <c r="FM67" s="700"/>
      <c r="FN67" s="701"/>
      <c r="FO67" s="701"/>
      <c r="FP67" s="701"/>
    </row>
    <row r="68" spans="1:172" ht="50.25" hidden="1" customHeight="1" x14ac:dyDescent="0.25">
      <c r="A68" s="716"/>
      <c r="B68" s="32"/>
      <c r="C68" s="33"/>
      <c r="D68" s="34"/>
      <c r="E68" s="35"/>
      <c r="F68" s="716"/>
      <c r="G68" s="32"/>
      <c r="H68" s="33"/>
      <c r="I68" s="34"/>
      <c r="J68" s="35"/>
      <c r="K68" s="716"/>
      <c r="L68" s="32"/>
      <c r="M68" s="33"/>
      <c r="N68" s="34"/>
      <c r="O68" s="35"/>
      <c r="P68" s="716"/>
      <c r="Q68" s="32"/>
      <c r="R68" s="33"/>
      <c r="S68" s="34"/>
      <c r="T68" s="35"/>
      <c r="U68" s="716"/>
      <c r="V68" s="32"/>
      <c r="W68" s="33"/>
      <c r="X68" s="34"/>
      <c r="Y68" s="35"/>
      <c r="Z68" s="716"/>
      <c r="AA68" s="32"/>
      <c r="AB68" s="33"/>
      <c r="AC68" s="34"/>
      <c r="AD68" s="35"/>
      <c r="AE68" s="716"/>
      <c r="AF68" s="32"/>
      <c r="AG68" s="33"/>
      <c r="AH68" s="34"/>
      <c r="AI68" s="35"/>
      <c r="AJ68" s="716"/>
      <c r="AK68" s="32"/>
      <c r="AL68" s="33"/>
      <c r="AM68" s="34"/>
      <c r="AN68" s="35"/>
      <c r="AO68" s="716"/>
      <c r="AP68" s="32"/>
      <c r="AQ68" s="33"/>
      <c r="AR68" s="34"/>
      <c r="AS68" s="35"/>
      <c r="AT68" s="716"/>
      <c r="AU68" s="32"/>
      <c r="AV68" s="33"/>
      <c r="AW68" s="34"/>
      <c r="AX68" s="35"/>
      <c r="AY68" s="716"/>
      <c r="AZ68" s="32"/>
      <c r="BA68" s="33"/>
      <c r="BB68" s="34"/>
      <c r="BC68" s="35"/>
      <c r="BD68" s="716"/>
      <c r="BE68" s="32"/>
      <c r="BF68" s="33"/>
      <c r="BG68" s="34"/>
      <c r="BH68" s="35"/>
      <c r="BI68" s="716"/>
      <c r="BJ68" s="32"/>
      <c r="BK68" s="33"/>
      <c r="BL68" s="34"/>
      <c r="BM68" s="35"/>
      <c r="BN68" s="716"/>
      <c r="BO68" s="32"/>
      <c r="BP68" s="33"/>
      <c r="BQ68" s="34"/>
      <c r="BR68" s="35"/>
      <c r="BS68" s="50"/>
      <c r="BT68" s="50"/>
      <c r="BW68" s="27"/>
      <c r="BX68" s="27"/>
      <c r="BY68" s="27"/>
      <c r="BZ68" s="27"/>
      <c r="CA68" s="27"/>
      <c r="CB68" s="27"/>
      <c r="CC68" s="27"/>
      <c r="CD68" s="27"/>
      <c r="CE68" s="27"/>
      <c r="CG68" s="27"/>
      <c r="CH68" s="27"/>
      <c r="CI68" s="27"/>
      <c r="CJ68" s="27"/>
      <c r="CK68" s="27"/>
      <c r="CL68" s="27"/>
      <c r="CY68" s="676"/>
      <c r="CZ68" s="676"/>
      <c r="DA68" s="676"/>
      <c r="DB68" s="29"/>
      <c r="DC68" s="29"/>
      <c r="DD68" s="47"/>
      <c r="DE68" s="702"/>
      <c r="DF68" s="702"/>
      <c r="DG68" s="702"/>
      <c r="DH68" s="48"/>
      <c r="DI68" s="45"/>
      <c r="DJ68" s="45"/>
      <c r="DK68" s="45"/>
      <c r="DL68" s="45"/>
      <c r="DM68" s="45"/>
      <c r="DN68" s="45"/>
      <c r="DO68" s="45"/>
      <c r="DP68" s="45"/>
      <c r="DQ68" s="45"/>
      <c r="DR68" s="45"/>
      <c r="DS68" s="45"/>
      <c r="DT68" s="45"/>
      <c r="DU68" s="45"/>
      <c r="DV68" s="697"/>
      <c r="DW68" s="697"/>
      <c r="DX68" s="697"/>
      <c r="DY68" s="697"/>
      <c r="DZ68" s="697"/>
      <c r="EA68" s="697"/>
      <c r="EB68" s="697"/>
      <c r="EC68" s="697"/>
      <c r="ED68" s="697"/>
      <c r="EE68" s="697"/>
      <c r="EF68" s="697"/>
      <c r="EG68" s="697"/>
      <c r="EH68" s="697"/>
      <c r="EI68" s="697"/>
      <c r="EJ68" s="697"/>
      <c r="EK68" s="697"/>
      <c r="EL68" s="697"/>
      <c r="EM68" s="697"/>
      <c r="EN68" s="697"/>
      <c r="EO68" s="697"/>
      <c r="EP68" s="697"/>
      <c r="EQ68" s="697"/>
      <c r="ER68" s="46"/>
      <c r="ES68" s="698"/>
      <c r="ET68" s="698"/>
      <c r="EU68" s="698"/>
      <c r="EV68" s="698"/>
      <c r="EW68" s="698"/>
      <c r="EX68" s="698"/>
      <c r="EY68" s="698"/>
      <c r="EZ68" s="698"/>
      <c r="FA68" s="698"/>
      <c r="FB68" s="698"/>
      <c r="FC68" s="698"/>
      <c r="FD68" s="698"/>
      <c r="FE68" s="699"/>
      <c r="FF68" s="699"/>
      <c r="FG68" s="699"/>
      <c r="FH68" s="699"/>
      <c r="FI68" s="699"/>
      <c r="FJ68" s="700"/>
      <c r="FK68" s="700"/>
      <c r="FL68" s="700"/>
      <c r="FM68" s="700"/>
      <c r="FN68" s="701"/>
      <c r="FO68" s="701"/>
      <c r="FP68" s="701"/>
    </row>
    <row r="69" spans="1:172" ht="53.25" hidden="1" customHeight="1" x14ac:dyDescent="0.25">
      <c r="A69" s="719"/>
      <c r="B69" s="719"/>
      <c r="C69" s="720"/>
      <c r="D69" s="720"/>
      <c r="E69" s="720"/>
      <c r="F69" s="719"/>
      <c r="G69" s="719"/>
      <c r="H69" s="720"/>
      <c r="I69" s="720"/>
      <c r="J69" s="720"/>
      <c r="K69" s="719"/>
      <c r="L69" s="719"/>
      <c r="M69" s="720"/>
      <c r="N69" s="720"/>
      <c r="O69" s="720"/>
      <c r="P69" s="719"/>
      <c r="Q69" s="719"/>
      <c r="R69" s="720"/>
      <c r="S69" s="720"/>
      <c r="T69" s="720"/>
      <c r="U69" s="719"/>
      <c r="V69" s="719"/>
      <c r="W69" s="720"/>
      <c r="X69" s="720"/>
      <c r="Y69" s="720"/>
      <c r="Z69" s="719"/>
      <c r="AA69" s="719"/>
      <c r="AB69" s="720"/>
      <c r="AC69" s="720"/>
      <c r="AD69" s="720"/>
      <c r="AE69" s="719"/>
      <c r="AF69" s="719"/>
      <c r="AG69" s="720"/>
      <c r="AH69" s="720"/>
      <c r="AI69" s="720"/>
      <c r="AJ69" s="719"/>
      <c r="AK69" s="719"/>
      <c r="AL69" s="720"/>
      <c r="AM69" s="720"/>
      <c r="AN69" s="720"/>
      <c r="AO69" s="719"/>
      <c r="AP69" s="719"/>
      <c r="AQ69" s="720"/>
      <c r="AR69" s="720"/>
      <c r="AS69" s="720"/>
      <c r="AT69" s="719"/>
      <c r="AU69" s="719"/>
      <c r="AV69" s="720"/>
      <c r="AW69" s="720"/>
      <c r="AX69" s="720"/>
      <c r="AY69" s="719"/>
      <c r="AZ69" s="719"/>
      <c r="BA69" s="720"/>
      <c r="BB69" s="720"/>
      <c r="BC69" s="720"/>
      <c r="BD69" s="719"/>
      <c r="BE69" s="719"/>
      <c r="BF69" s="720"/>
      <c r="BG69" s="720"/>
      <c r="BH69" s="720"/>
      <c r="BI69" s="719"/>
      <c r="BJ69" s="719"/>
      <c r="BK69" s="720"/>
      <c r="BL69" s="720"/>
      <c r="BM69" s="720"/>
      <c r="BN69" s="719"/>
      <c r="BO69" s="719"/>
      <c r="BP69" s="720"/>
      <c r="BQ69" s="720"/>
      <c r="BR69" s="720"/>
      <c r="BS69" s="50"/>
      <c r="BT69" s="50"/>
      <c r="BW69" s="27"/>
      <c r="BX69" s="27"/>
      <c r="BY69" s="27"/>
      <c r="BZ69" s="27"/>
      <c r="CA69" s="27"/>
      <c r="CB69" s="27"/>
      <c r="CC69" s="27"/>
      <c r="CD69" s="27"/>
      <c r="CE69" s="27"/>
      <c r="CG69" s="27"/>
      <c r="CH69" s="27"/>
      <c r="CI69" s="27"/>
      <c r="CJ69" s="27"/>
      <c r="CK69" s="27"/>
      <c r="CL69" s="27"/>
      <c r="CY69" s="676"/>
      <c r="CZ69" s="676"/>
      <c r="DA69" s="676"/>
      <c r="DB69" s="675"/>
      <c r="DC69" s="675"/>
      <c r="DD69" s="47"/>
      <c r="DE69" s="703"/>
      <c r="DF69" s="703"/>
      <c r="DG69" s="703"/>
      <c r="DH69" s="48"/>
      <c r="DI69" s="45"/>
      <c r="DJ69" s="45"/>
      <c r="DK69" s="45"/>
      <c r="DL69" s="45"/>
      <c r="DM69" s="45"/>
      <c r="DN69" s="45"/>
      <c r="DO69" s="45"/>
      <c r="DP69" s="45"/>
      <c r="DQ69" s="45"/>
      <c r="DR69" s="45"/>
      <c r="DS69" s="45"/>
      <c r="DT69" s="45"/>
      <c r="DU69" s="45"/>
      <c r="DV69" s="697"/>
      <c r="DW69" s="697"/>
      <c r="DX69" s="697"/>
      <c r="DY69" s="697"/>
      <c r="DZ69" s="697"/>
      <c r="EA69" s="697"/>
      <c r="EB69" s="697"/>
      <c r="EC69" s="697"/>
      <c r="ED69" s="697"/>
      <c r="EE69" s="697"/>
      <c r="EF69" s="697"/>
      <c r="EG69" s="697"/>
      <c r="EH69" s="697"/>
      <c r="EI69" s="697"/>
      <c r="EJ69" s="697"/>
      <c r="EK69" s="697"/>
      <c r="EL69" s="697"/>
      <c r="EM69" s="697"/>
      <c r="EN69" s="697"/>
      <c r="EO69" s="697"/>
      <c r="EP69" s="697"/>
      <c r="EQ69" s="697"/>
      <c r="ER69" s="46"/>
      <c r="ES69" s="698"/>
      <c r="ET69" s="698"/>
      <c r="EU69" s="698"/>
      <c r="EV69" s="698"/>
      <c r="EW69" s="698"/>
      <c r="EX69" s="698"/>
      <c r="EY69" s="698"/>
      <c r="EZ69" s="698"/>
      <c r="FA69" s="698"/>
      <c r="FB69" s="698"/>
      <c r="FC69" s="698"/>
      <c r="FD69" s="698"/>
      <c r="FE69" s="699"/>
      <c r="FF69" s="699"/>
      <c r="FG69" s="699"/>
      <c r="FH69" s="699"/>
      <c r="FI69" s="699"/>
      <c r="FJ69" s="700"/>
      <c r="FK69" s="700"/>
      <c r="FL69" s="700"/>
      <c r="FM69" s="700"/>
      <c r="FN69" s="701"/>
      <c r="FO69" s="701"/>
      <c r="FP69" s="701"/>
    </row>
    <row r="70" spans="1:172" ht="15" hidden="1" customHeight="1" x14ac:dyDescent="0.25">
      <c r="A70" s="714"/>
      <c r="B70" s="714"/>
      <c r="C70" s="714"/>
      <c r="D70" s="714"/>
      <c r="E70" s="714"/>
      <c r="F70" s="714"/>
      <c r="G70" s="714"/>
      <c r="H70" s="714"/>
      <c r="I70" s="714"/>
      <c r="J70" s="714"/>
      <c r="K70" s="714"/>
      <c r="L70" s="714"/>
      <c r="M70" s="714"/>
      <c r="N70" s="714"/>
      <c r="O70" s="714"/>
      <c r="P70" s="714"/>
      <c r="Q70" s="714"/>
      <c r="R70" s="714"/>
      <c r="S70" s="714"/>
      <c r="T70" s="714"/>
      <c r="U70" s="714"/>
      <c r="V70" s="714"/>
      <c r="W70" s="714"/>
      <c r="X70" s="714"/>
      <c r="Y70" s="714"/>
      <c r="Z70" s="714"/>
      <c r="AA70" s="714"/>
      <c r="AB70" s="714"/>
      <c r="AC70" s="714"/>
      <c r="AD70" s="714"/>
      <c r="AE70" s="714"/>
      <c r="AF70" s="714"/>
      <c r="AG70" s="714"/>
      <c r="AH70" s="714"/>
      <c r="AI70" s="714"/>
      <c r="AJ70" s="714"/>
      <c r="AK70" s="714"/>
      <c r="AL70" s="714"/>
      <c r="AM70" s="714"/>
      <c r="AN70" s="714"/>
      <c r="AO70" s="714"/>
      <c r="AP70" s="714"/>
      <c r="AQ70" s="714"/>
      <c r="AR70" s="714"/>
      <c r="AS70" s="714"/>
      <c r="AT70" s="714"/>
      <c r="AU70" s="714"/>
      <c r="AV70" s="714"/>
      <c r="AW70" s="714"/>
      <c r="AX70" s="714"/>
      <c r="AY70" s="714"/>
      <c r="AZ70" s="714"/>
      <c r="BA70" s="714"/>
      <c r="BB70" s="714"/>
      <c r="BC70" s="714"/>
      <c r="BD70" s="714"/>
      <c r="BE70" s="714"/>
      <c r="BF70" s="714"/>
      <c r="BG70" s="714"/>
      <c r="BH70" s="714"/>
      <c r="BI70" s="714"/>
      <c r="BJ70" s="714"/>
      <c r="BK70" s="714"/>
      <c r="BL70" s="714"/>
      <c r="BM70" s="714"/>
      <c r="BN70" s="714"/>
      <c r="BO70" s="714"/>
      <c r="BP70" s="714"/>
      <c r="BQ70" s="714"/>
      <c r="BR70" s="714"/>
      <c r="BS70" s="50"/>
      <c r="BT70" s="50"/>
      <c r="BW70" s="27"/>
      <c r="BX70" s="27"/>
      <c r="BY70" s="27"/>
      <c r="BZ70" s="27"/>
      <c r="CA70" s="27"/>
      <c r="CB70" s="27"/>
      <c r="CC70" s="27"/>
      <c r="CD70" s="27"/>
      <c r="CE70" s="27"/>
      <c r="CG70" s="27"/>
      <c r="CH70" s="27"/>
      <c r="CI70" s="27"/>
      <c r="CJ70" s="27"/>
      <c r="CK70" s="27"/>
      <c r="CL70" s="27"/>
      <c r="CZ70" s="17"/>
      <c r="DE70" s="703"/>
      <c r="DF70" s="703"/>
      <c r="DG70" s="703"/>
      <c r="DH70" s="48"/>
      <c r="DI70" s="49"/>
      <c r="DJ70" s="49"/>
      <c r="DK70" s="49"/>
      <c r="DL70" s="49"/>
      <c r="DM70" s="49"/>
      <c r="DN70" s="49"/>
      <c r="DO70" s="49"/>
      <c r="DP70" s="49"/>
      <c r="DQ70" s="49"/>
      <c r="DR70" s="49"/>
      <c r="DS70" s="49"/>
      <c r="DT70" s="49"/>
      <c r="DU70" s="49"/>
      <c r="DV70" s="704"/>
      <c r="DW70" s="705"/>
      <c r="DX70" s="705"/>
      <c r="DY70" s="705"/>
      <c r="DZ70" s="705"/>
      <c r="EA70" s="705"/>
      <c r="EB70" s="705"/>
      <c r="EC70" s="705"/>
      <c r="ED70" s="705"/>
      <c r="EE70" s="705"/>
      <c r="EF70" s="705"/>
      <c r="EG70" s="705"/>
      <c r="EH70" s="706"/>
      <c r="EI70" s="706"/>
      <c r="EJ70" s="706"/>
      <c r="EK70" s="706"/>
      <c r="EL70" s="706"/>
      <c r="EM70" s="706"/>
      <c r="EN70" s="706"/>
      <c r="EO70" s="706"/>
      <c r="EP70" s="706"/>
      <c r="EQ70" s="706"/>
      <c r="ER70" s="706"/>
      <c r="ES70" s="707"/>
      <c r="ET70" s="707"/>
      <c r="EU70" s="707"/>
      <c r="EV70" s="707"/>
      <c r="EW70" s="707"/>
      <c r="EX70" s="707"/>
      <c r="EY70" s="707"/>
      <c r="EZ70" s="707"/>
      <c r="FA70" s="707"/>
      <c r="FB70" s="707"/>
      <c r="FC70" s="707"/>
      <c r="FD70" s="707"/>
      <c r="FE70" s="699"/>
      <c r="FF70" s="699"/>
      <c r="FG70" s="699"/>
      <c r="FH70" s="699"/>
      <c r="FI70" s="699"/>
      <c r="FJ70" s="708"/>
      <c r="FK70" s="708"/>
      <c r="FL70" s="708"/>
      <c r="FM70" s="708"/>
      <c r="FN70" s="708"/>
      <c r="FO70" s="708"/>
      <c r="FP70" s="708"/>
    </row>
    <row r="71" spans="1:172" ht="9" hidden="1" customHeight="1" x14ac:dyDescent="0.25">
      <c r="A71" s="714"/>
      <c r="B71" s="714"/>
      <c r="C71" s="714"/>
      <c r="D71" s="714"/>
      <c r="E71" s="714"/>
      <c r="F71" s="714"/>
      <c r="G71" s="714"/>
      <c r="H71" s="714"/>
      <c r="I71" s="714"/>
      <c r="J71" s="714"/>
      <c r="K71" s="714"/>
      <c r="L71" s="714"/>
      <c r="M71" s="714"/>
      <c r="N71" s="714"/>
      <c r="O71" s="714"/>
      <c r="P71" s="714"/>
      <c r="Q71" s="714"/>
      <c r="R71" s="714"/>
      <c r="S71" s="714"/>
      <c r="T71" s="714"/>
      <c r="U71" s="714"/>
      <c r="V71" s="714"/>
      <c r="W71" s="714"/>
      <c r="X71" s="714"/>
      <c r="Y71" s="714"/>
      <c r="Z71" s="714"/>
      <c r="AA71" s="714"/>
      <c r="AB71" s="714"/>
      <c r="AC71" s="714"/>
      <c r="AD71" s="714"/>
      <c r="AE71" s="714"/>
      <c r="AF71" s="714"/>
      <c r="AG71" s="714"/>
      <c r="AH71" s="714"/>
      <c r="AI71" s="714"/>
      <c r="AJ71" s="714"/>
      <c r="AK71" s="714"/>
      <c r="AL71" s="714"/>
      <c r="AM71" s="714"/>
      <c r="AN71" s="714"/>
      <c r="AO71" s="714"/>
      <c r="AP71" s="714"/>
      <c r="AQ71" s="714"/>
      <c r="AR71" s="714"/>
      <c r="AS71" s="714"/>
      <c r="AT71" s="714"/>
      <c r="AU71" s="714"/>
      <c r="AV71" s="714"/>
      <c r="AW71" s="714"/>
      <c r="AX71" s="714"/>
      <c r="AY71" s="714"/>
      <c r="AZ71" s="714"/>
      <c r="BA71" s="714"/>
      <c r="BB71" s="714"/>
      <c r="BC71" s="714"/>
      <c r="BD71" s="714"/>
      <c r="BE71" s="714"/>
      <c r="BF71" s="714"/>
      <c r="BG71" s="714"/>
      <c r="BH71" s="714"/>
      <c r="BI71" s="714"/>
      <c r="BJ71" s="714"/>
      <c r="BK71" s="714"/>
      <c r="BL71" s="714"/>
      <c r="BM71" s="714"/>
      <c r="BN71" s="714"/>
      <c r="BO71" s="714"/>
      <c r="BP71" s="714"/>
      <c r="BQ71" s="714"/>
      <c r="BR71" s="714"/>
      <c r="BS71" s="53"/>
      <c r="BT71" s="53"/>
      <c r="DE71" s="703"/>
      <c r="DF71" s="703"/>
      <c r="DG71" s="703"/>
      <c r="DH71" s="52"/>
      <c r="DI71" s="45"/>
      <c r="DJ71" s="45"/>
      <c r="DK71" s="45"/>
      <c r="DL71" s="45"/>
      <c r="DM71" s="45"/>
      <c r="DN71" s="45"/>
      <c r="DO71" s="45"/>
      <c r="DP71" s="45"/>
      <c r="DQ71" s="45"/>
      <c r="DR71" s="45"/>
      <c r="DS71" s="45"/>
      <c r="DT71" s="45"/>
      <c r="DU71" s="45"/>
      <c r="DV71" s="705"/>
      <c r="DW71" s="705"/>
      <c r="DX71" s="705"/>
      <c r="DY71" s="705"/>
      <c r="DZ71" s="705"/>
      <c r="EA71" s="705"/>
      <c r="EB71" s="705"/>
      <c r="EC71" s="705"/>
      <c r="ED71" s="705"/>
      <c r="EE71" s="705"/>
      <c r="EF71" s="705"/>
      <c r="EG71" s="705"/>
      <c r="EH71" s="706"/>
      <c r="EI71" s="706"/>
      <c r="EJ71" s="706"/>
      <c r="EK71" s="706"/>
      <c r="EL71" s="706"/>
      <c r="EM71" s="706"/>
      <c r="EN71" s="706"/>
      <c r="EO71" s="706"/>
      <c r="EP71" s="706"/>
      <c r="EQ71" s="706"/>
      <c r="ER71" s="706"/>
      <c r="ES71" s="707"/>
      <c r="ET71" s="707"/>
      <c r="EU71" s="707"/>
      <c r="EV71" s="707"/>
      <c r="EW71" s="707"/>
      <c r="EX71" s="707"/>
      <c r="EY71" s="707"/>
      <c r="EZ71" s="707"/>
      <c r="FA71" s="707"/>
      <c r="FB71" s="707"/>
      <c r="FC71" s="707"/>
      <c r="FD71" s="707"/>
      <c r="FE71" s="699"/>
      <c r="FF71" s="699"/>
      <c r="FG71" s="699"/>
      <c r="FH71" s="699"/>
      <c r="FI71" s="699"/>
      <c r="FJ71" s="708"/>
      <c r="FK71" s="708"/>
      <c r="FL71" s="708"/>
      <c r="FM71" s="708"/>
      <c r="FN71" s="708"/>
      <c r="FO71" s="708"/>
      <c r="FP71" s="708"/>
    </row>
    <row r="72" spans="1:172" ht="3.75" hidden="1" customHeight="1" x14ac:dyDescent="0.25">
      <c r="A72" s="714"/>
      <c r="B72" s="714"/>
      <c r="C72" s="714"/>
      <c r="D72" s="714"/>
      <c r="E72" s="714"/>
      <c r="F72" s="714"/>
      <c r="G72" s="714"/>
      <c r="H72" s="714"/>
      <c r="I72" s="714"/>
      <c r="J72" s="714"/>
      <c r="K72" s="714"/>
      <c r="L72" s="714"/>
      <c r="M72" s="714"/>
      <c r="N72" s="714"/>
      <c r="O72" s="714"/>
      <c r="P72" s="714"/>
      <c r="Q72" s="714"/>
      <c r="R72" s="714"/>
      <c r="S72" s="714"/>
      <c r="T72" s="714"/>
      <c r="U72" s="714"/>
      <c r="V72" s="714"/>
      <c r="W72" s="714"/>
      <c r="X72" s="714"/>
      <c r="Y72" s="714"/>
      <c r="Z72" s="714"/>
      <c r="AA72" s="714"/>
      <c r="AB72" s="714"/>
      <c r="AC72" s="714"/>
      <c r="AD72" s="714"/>
      <c r="AE72" s="714"/>
      <c r="AF72" s="714"/>
      <c r="AG72" s="714"/>
      <c r="AH72" s="714"/>
      <c r="AI72" s="714"/>
      <c r="AJ72" s="714"/>
      <c r="AK72" s="714"/>
      <c r="AL72" s="714"/>
      <c r="AM72" s="714"/>
      <c r="AN72" s="714"/>
      <c r="AO72" s="714"/>
      <c r="AP72" s="714"/>
      <c r="AQ72" s="714"/>
      <c r="AR72" s="714"/>
      <c r="AS72" s="714"/>
      <c r="AT72" s="714"/>
      <c r="AU72" s="714"/>
      <c r="AV72" s="714"/>
      <c r="AW72" s="714"/>
      <c r="AX72" s="714"/>
      <c r="AY72" s="714"/>
      <c r="AZ72" s="714"/>
      <c r="BA72" s="714"/>
      <c r="BB72" s="714"/>
      <c r="BC72" s="714"/>
      <c r="BD72" s="714"/>
      <c r="BE72" s="714"/>
      <c r="BF72" s="714"/>
      <c r="BG72" s="714"/>
      <c r="BH72" s="714"/>
      <c r="BI72" s="714"/>
      <c r="BJ72" s="714"/>
      <c r="BK72" s="714"/>
      <c r="BL72" s="714"/>
      <c r="BM72" s="714"/>
      <c r="BN72" s="714"/>
      <c r="BO72" s="714"/>
      <c r="BP72" s="714"/>
      <c r="BQ72" s="714"/>
      <c r="BR72" s="714"/>
      <c r="BS72" s="53"/>
      <c r="BT72" s="53"/>
      <c r="DE72" s="709"/>
      <c r="DF72" s="709"/>
      <c r="DG72" s="709"/>
      <c r="DH72" s="52"/>
      <c r="DI72" s="45"/>
      <c r="DJ72" s="45"/>
      <c r="DK72" s="45"/>
      <c r="DL72" s="45"/>
      <c r="DM72" s="45"/>
      <c r="DN72" s="45"/>
      <c r="DO72" s="45"/>
      <c r="DP72" s="45"/>
      <c r="DQ72" s="45"/>
      <c r="DR72" s="45"/>
      <c r="DS72" s="45"/>
      <c r="DT72" s="45"/>
      <c r="DU72" s="45"/>
      <c r="DV72" s="705"/>
      <c r="DW72" s="705"/>
      <c r="DX72" s="705"/>
      <c r="DY72" s="705"/>
      <c r="DZ72" s="705"/>
      <c r="EA72" s="705"/>
      <c r="EB72" s="705"/>
      <c r="EC72" s="705"/>
      <c r="ED72" s="705"/>
      <c r="EE72" s="705"/>
      <c r="EF72" s="705"/>
      <c r="EG72" s="705"/>
      <c r="EH72" s="706"/>
      <c r="EI72" s="706"/>
      <c r="EJ72" s="706"/>
      <c r="EK72" s="706"/>
      <c r="EL72" s="706"/>
      <c r="EM72" s="706"/>
      <c r="EN72" s="706"/>
      <c r="EO72" s="706"/>
      <c r="EP72" s="706"/>
      <c r="EQ72" s="706"/>
      <c r="ER72" s="706"/>
      <c r="ES72" s="707"/>
      <c r="ET72" s="707"/>
      <c r="EU72" s="707"/>
      <c r="EV72" s="707"/>
      <c r="EW72" s="707"/>
      <c r="EX72" s="707"/>
      <c r="EY72" s="707"/>
      <c r="EZ72" s="707"/>
      <c r="FA72" s="707"/>
      <c r="FB72" s="707"/>
      <c r="FC72" s="707"/>
      <c r="FD72" s="707"/>
      <c r="FE72" s="699"/>
      <c r="FF72" s="699"/>
      <c r="FG72" s="699"/>
      <c r="FH72" s="699"/>
      <c r="FI72" s="699"/>
      <c r="FJ72" s="708"/>
      <c r="FK72" s="708"/>
      <c r="FL72" s="708"/>
      <c r="FM72" s="708"/>
      <c r="FN72" s="708"/>
      <c r="FO72" s="708"/>
      <c r="FP72" s="708"/>
    </row>
    <row r="73" spans="1:172" s="22" customFormat="1" ht="111.75" hidden="1" customHeight="1" x14ac:dyDescent="1.35">
      <c r="A73" s="716"/>
      <c r="B73" s="1923"/>
      <c r="C73" s="1923"/>
      <c r="D73" s="1923"/>
      <c r="E73" s="1923"/>
      <c r="F73" s="716"/>
      <c r="G73" s="1923"/>
      <c r="H73" s="1923"/>
      <c r="I73" s="1923"/>
      <c r="J73" s="1923"/>
      <c r="K73" s="716"/>
      <c r="L73" s="1923"/>
      <c r="M73" s="1923"/>
      <c r="N73" s="1923"/>
      <c r="O73" s="1923"/>
      <c r="P73" s="716"/>
      <c r="Q73" s="1923"/>
      <c r="R73" s="1923"/>
      <c r="S73" s="1923"/>
      <c r="T73" s="1923"/>
      <c r="U73" s="716"/>
      <c r="V73" s="1923"/>
      <c r="W73" s="1923"/>
      <c r="X73" s="1923"/>
      <c r="Y73" s="1923"/>
      <c r="Z73" s="716"/>
      <c r="AA73" s="1923"/>
      <c r="AB73" s="1923"/>
      <c r="AC73" s="1923"/>
      <c r="AD73" s="1923"/>
      <c r="AE73" s="716"/>
      <c r="AF73" s="1923"/>
      <c r="AG73" s="1923"/>
      <c r="AH73" s="1923"/>
      <c r="AI73" s="1923"/>
      <c r="AJ73" s="716"/>
      <c r="AK73" s="1923"/>
      <c r="AL73" s="1923"/>
      <c r="AM73" s="1923"/>
      <c r="AN73" s="1923"/>
      <c r="AO73" s="716"/>
      <c r="AP73" s="1923"/>
      <c r="AQ73" s="1923"/>
      <c r="AR73" s="1923"/>
      <c r="AS73" s="1923"/>
      <c r="AT73" s="716"/>
      <c r="AU73" s="1923"/>
      <c r="AV73" s="1923"/>
      <c r="AW73" s="1923"/>
      <c r="AX73" s="1923"/>
      <c r="AY73" s="716"/>
      <c r="AZ73" s="1923"/>
      <c r="BA73" s="1923"/>
      <c r="BB73" s="1923"/>
      <c r="BC73" s="1923"/>
      <c r="BD73" s="716"/>
      <c r="BE73" s="1923"/>
      <c r="BF73" s="1923"/>
      <c r="BG73" s="1923"/>
      <c r="BH73" s="1923"/>
      <c r="BI73" s="716"/>
      <c r="BJ73" s="1923"/>
      <c r="BK73" s="1923"/>
      <c r="BL73" s="1923"/>
      <c r="BM73" s="1923"/>
      <c r="BN73" s="716"/>
      <c r="BO73" s="1923"/>
      <c r="BP73" s="1923"/>
      <c r="BQ73" s="1923"/>
      <c r="BR73" s="1923"/>
      <c r="DE73" s="709"/>
      <c r="DF73" s="709"/>
      <c r="DG73" s="709"/>
      <c r="DH73" s="375"/>
      <c r="DI73" s="373"/>
      <c r="DJ73" s="373"/>
      <c r="DK73" s="373"/>
      <c r="DL73" s="373"/>
      <c r="DM73" s="373"/>
      <c r="DN73" s="373"/>
      <c r="DO73" s="373"/>
      <c r="DP73" s="373"/>
      <c r="DQ73" s="373"/>
      <c r="DR73" s="373"/>
      <c r="DS73" s="373"/>
      <c r="DT73" s="373"/>
      <c r="DU73" s="373"/>
      <c r="DV73" s="705"/>
      <c r="DW73" s="705"/>
      <c r="DX73" s="705"/>
      <c r="DY73" s="705"/>
      <c r="DZ73" s="705"/>
      <c r="EA73" s="705"/>
      <c r="EB73" s="705"/>
      <c r="EC73" s="705"/>
      <c r="ED73" s="705"/>
      <c r="EE73" s="705"/>
      <c r="EF73" s="705"/>
      <c r="EG73" s="705"/>
      <c r="EH73" s="706"/>
      <c r="EI73" s="706"/>
      <c r="EJ73" s="706"/>
      <c r="EK73" s="706"/>
      <c r="EL73" s="706"/>
      <c r="EM73" s="706"/>
      <c r="EN73" s="706"/>
      <c r="EO73" s="706"/>
      <c r="EP73" s="706"/>
      <c r="EQ73" s="706"/>
      <c r="ER73" s="706"/>
      <c r="ES73" s="707"/>
      <c r="ET73" s="707"/>
      <c r="EU73" s="707"/>
      <c r="EV73" s="707"/>
      <c r="EW73" s="707"/>
      <c r="EX73" s="707"/>
      <c r="EY73" s="707"/>
      <c r="EZ73" s="707"/>
      <c r="FA73" s="707"/>
      <c r="FB73" s="707"/>
      <c r="FC73" s="707"/>
      <c r="FD73" s="707"/>
      <c r="FE73" s="699"/>
      <c r="FF73" s="699"/>
      <c r="FG73" s="699"/>
      <c r="FH73" s="699"/>
      <c r="FI73" s="699"/>
      <c r="FJ73" s="708"/>
      <c r="FK73" s="708"/>
      <c r="FL73" s="708"/>
      <c r="FM73" s="708"/>
      <c r="FN73" s="708"/>
      <c r="FO73" s="708"/>
      <c r="FP73" s="708"/>
    </row>
    <row r="74" spans="1:172" ht="50.25" hidden="1" customHeight="1" x14ac:dyDescent="0.25">
      <c r="A74" s="716"/>
      <c r="B74" s="32"/>
      <c r="C74" s="33"/>
      <c r="D74" s="34"/>
      <c r="E74" s="35"/>
      <c r="F74" s="716"/>
      <c r="G74" s="32"/>
      <c r="H74" s="33"/>
      <c r="I74" s="34"/>
      <c r="J74" s="35"/>
      <c r="K74" s="716"/>
      <c r="L74" s="32"/>
      <c r="M74" s="33"/>
      <c r="N74" s="34"/>
      <c r="O74" s="35"/>
      <c r="P74" s="716"/>
      <c r="Q74" s="32"/>
      <c r="R74" s="33"/>
      <c r="S74" s="34"/>
      <c r="T74" s="35"/>
      <c r="U74" s="716"/>
      <c r="V74" s="32"/>
      <c r="W74" s="33"/>
      <c r="X74" s="34"/>
      <c r="Y74" s="35"/>
      <c r="Z74" s="716"/>
      <c r="AA74" s="32"/>
      <c r="AB74" s="33"/>
      <c r="AC74" s="34"/>
      <c r="AD74" s="35"/>
      <c r="AE74" s="716"/>
      <c r="AF74" s="32"/>
      <c r="AG74" s="33"/>
      <c r="AH74" s="34"/>
      <c r="AI74" s="35"/>
      <c r="AJ74" s="716"/>
      <c r="AK74" s="32"/>
      <c r="AL74" s="33"/>
      <c r="AM74" s="34"/>
      <c r="AN74" s="35"/>
      <c r="AO74" s="716"/>
      <c r="AP74" s="32"/>
      <c r="AQ74" s="33"/>
      <c r="AR74" s="34"/>
      <c r="AS74" s="35"/>
      <c r="AT74" s="716"/>
      <c r="AU74" s="32"/>
      <c r="AV74" s="33"/>
      <c r="AW74" s="34"/>
      <c r="AX74" s="35"/>
      <c r="AY74" s="716"/>
      <c r="AZ74" s="32"/>
      <c r="BA74" s="33"/>
      <c r="BB74" s="34"/>
      <c r="BC74" s="35"/>
      <c r="BD74" s="716"/>
      <c r="BE74" s="32"/>
      <c r="BF74" s="33"/>
      <c r="BG74" s="34"/>
      <c r="BH74" s="35"/>
      <c r="BI74" s="716"/>
      <c r="BJ74" s="32"/>
      <c r="BK74" s="33"/>
      <c r="BL74" s="34"/>
      <c r="BM74" s="35"/>
      <c r="BN74" s="716"/>
      <c r="BO74" s="32"/>
      <c r="BP74" s="33"/>
      <c r="BQ74" s="34"/>
      <c r="BR74" s="35"/>
      <c r="DE74" s="709"/>
      <c r="DF74" s="709"/>
      <c r="DG74" s="709"/>
      <c r="DH74" s="52"/>
      <c r="DI74" s="45"/>
      <c r="DJ74" s="45"/>
      <c r="DK74" s="45"/>
      <c r="DL74" s="45"/>
      <c r="DM74" s="45"/>
      <c r="DN74" s="45"/>
      <c r="DO74" s="45"/>
      <c r="DP74" s="45"/>
      <c r="DQ74" s="45"/>
      <c r="DR74" s="45"/>
      <c r="DS74" s="45"/>
      <c r="DT74" s="45"/>
      <c r="DU74" s="45"/>
      <c r="DV74" s="705"/>
      <c r="DW74" s="705"/>
      <c r="DX74" s="705"/>
      <c r="DY74" s="705"/>
      <c r="DZ74" s="705"/>
      <c r="EA74" s="705"/>
      <c r="EB74" s="705"/>
      <c r="EC74" s="705"/>
      <c r="ED74" s="705"/>
      <c r="EE74" s="705"/>
      <c r="EF74" s="705"/>
      <c r="EG74" s="705"/>
      <c r="EH74" s="706"/>
      <c r="EI74" s="706"/>
      <c r="EJ74" s="706"/>
      <c r="EK74" s="706"/>
      <c r="EL74" s="706"/>
      <c r="EM74" s="706"/>
      <c r="EN74" s="706"/>
      <c r="EO74" s="706"/>
      <c r="EP74" s="706"/>
      <c r="EQ74" s="706"/>
      <c r="ER74" s="706"/>
      <c r="ES74" s="707"/>
      <c r="ET74" s="707"/>
      <c r="EU74" s="707"/>
      <c r="EV74" s="707"/>
      <c r="EW74" s="707"/>
      <c r="EX74" s="707"/>
      <c r="EY74" s="707"/>
      <c r="EZ74" s="707"/>
      <c r="FA74" s="707"/>
      <c r="FB74" s="707"/>
      <c r="FC74" s="707"/>
      <c r="FD74" s="707"/>
      <c r="FE74" s="699"/>
      <c r="FF74" s="699"/>
      <c r="FG74" s="699"/>
      <c r="FH74" s="699"/>
      <c r="FI74" s="699"/>
      <c r="FJ74" s="699"/>
      <c r="FK74" s="699"/>
      <c r="FL74" s="699"/>
      <c r="FM74" s="699"/>
      <c r="FN74" s="699"/>
      <c r="FO74" s="699"/>
      <c r="FP74" s="699"/>
    </row>
    <row r="75" spans="1:172" ht="45.75" hidden="1" customHeight="1" x14ac:dyDescent="0.25">
      <c r="A75" s="719"/>
      <c r="B75" s="719"/>
      <c r="C75" s="720"/>
      <c r="D75" s="720"/>
      <c r="E75" s="720"/>
      <c r="F75" s="719"/>
      <c r="G75" s="719"/>
      <c r="H75" s="720"/>
      <c r="I75" s="720"/>
      <c r="J75" s="720"/>
      <c r="K75" s="719"/>
      <c r="L75" s="719"/>
      <c r="M75" s="720"/>
      <c r="N75" s="720"/>
      <c r="O75" s="720"/>
      <c r="P75" s="719"/>
      <c r="Q75" s="719"/>
      <c r="R75" s="720"/>
      <c r="S75" s="720"/>
      <c r="T75" s="720"/>
      <c r="U75" s="719"/>
      <c r="V75" s="719"/>
      <c r="W75" s="720"/>
      <c r="X75" s="720"/>
      <c r="Y75" s="720"/>
      <c r="Z75" s="719"/>
      <c r="AA75" s="719"/>
      <c r="AB75" s="720"/>
      <c r="AC75" s="720"/>
      <c r="AD75" s="720"/>
      <c r="AE75" s="719"/>
      <c r="AF75" s="719"/>
      <c r="AG75" s="720"/>
      <c r="AH75" s="720"/>
      <c r="AI75" s="720"/>
      <c r="AJ75" s="719"/>
      <c r="AK75" s="719"/>
      <c r="AL75" s="720"/>
      <c r="AM75" s="720"/>
      <c r="AN75" s="720"/>
      <c r="AO75" s="719"/>
      <c r="AP75" s="719"/>
      <c r="AQ75" s="720"/>
      <c r="AR75" s="720"/>
      <c r="AS75" s="720"/>
      <c r="AT75" s="719"/>
      <c r="AU75" s="719"/>
      <c r="AV75" s="720"/>
      <c r="AW75" s="720"/>
      <c r="AX75" s="720"/>
      <c r="AY75" s="719"/>
      <c r="AZ75" s="719"/>
      <c r="BA75" s="720"/>
      <c r="BB75" s="720"/>
      <c r="BC75" s="720"/>
      <c r="BD75" s="719"/>
      <c r="BE75" s="719"/>
      <c r="BF75" s="720"/>
      <c r="BG75" s="720"/>
      <c r="BH75" s="720"/>
      <c r="BI75" s="719"/>
      <c r="BJ75" s="719"/>
      <c r="BK75" s="720"/>
      <c r="BL75" s="720"/>
      <c r="BM75" s="720"/>
      <c r="BN75" s="719"/>
      <c r="BO75" s="719"/>
      <c r="BP75" s="720"/>
      <c r="BQ75" s="720"/>
      <c r="BR75" s="720"/>
      <c r="DE75" s="709"/>
      <c r="DF75" s="709"/>
      <c r="DG75" s="709"/>
      <c r="DH75" s="52"/>
      <c r="DI75" s="49"/>
      <c r="DJ75" s="49"/>
      <c r="DK75" s="49"/>
      <c r="DL75" s="49"/>
      <c r="DM75" s="49"/>
      <c r="DN75" s="49"/>
      <c r="DO75" s="49"/>
      <c r="DP75" s="49"/>
      <c r="DQ75" s="49"/>
      <c r="DR75" s="49"/>
      <c r="DS75" s="49"/>
      <c r="DT75" s="49"/>
      <c r="DU75" s="49"/>
      <c r="DV75" s="705"/>
      <c r="DW75" s="705"/>
      <c r="DX75" s="705"/>
      <c r="DY75" s="705"/>
      <c r="DZ75" s="705"/>
      <c r="EA75" s="705"/>
      <c r="EB75" s="705"/>
      <c r="EC75" s="705"/>
      <c r="ED75" s="705"/>
      <c r="EE75" s="705"/>
      <c r="EF75" s="705"/>
      <c r="EG75" s="705"/>
      <c r="EH75" s="706"/>
      <c r="EI75" s="706"/>
      <c r="EJ75" s="706"/>
      <c r="EK75" s="706"/>
      <c r="EL75" s="706"/>
      <c r="EM75" s="706"/>
      <c r="EN75" s="706"/>
      <c r="EO75" s="706"/>
      <c r="EP75" s="706"/>
      <c r="EQ75" s="706"/>
      <c r="ER75" s="706"/>
      <c r="ES75" s="707"/>
      <c r="ET75" s="707"/>
      <c r="EU75" s="707"/>
      <c r="EV75" s="707"/>
      <c r="EW75" s="707"/>
      <c r="EX75" s="707"/>
      <c r="EY75" s="707"/>
      <c r="EZ75" s="707"/>
      <c r="FA75" s="707"/>
      <c r="FB75" s="707"/>
      <c r="FC75" s="707"/>
      <c r="FD75" s="707"/>
      <c r="FE75" s="699"/>
      <c r="FF75" s="699"/>
      <c r="FG75" s="699"/>
      <c r="FH75" s="699"/>
      <c r="FI75" s="699"/>
      <c r="FJ75" s="699"/>
      <c r="FK75" s="699"/>
      <c r="FL75" s="699"/>
      <c r="FM75" s="699"/>
      <c r="FN75" s="699"/>
      <c r="FO75" s="699"/>
      <c r="FP75" s="699"/>
    </row>
    <row r="76" spans="1:172" ht="9.75" hidden="1" customHeight="1" x14ac:dyDescent="0.25">
      <c r="A76" s="714"/>
      <c r="B76" s="714"/>
      <c r="C76" s="714"/>
      <c r="D76" s="714"/>
      <c r="E76" s="714"/>
      <c r="F76" s="714"/>
      <c r="G76" s="714"/>
      <c r="H76" s="714"/>
      <c r="I76" s="714"/>
      <c r="J76" s="714"/>
      <c r="K76" s="714"/>
      <c r="L76" s="714"/>
      <c r="M76" s="714"/>
      <c r="N76" s="714"/>
      <c r="O76" s="714"/>
      <c r="P76" s="714"/>
      <c r="Q76" s="714"/>
      <c r="R76" s="714"/>
      <c r="S76" s="714"/>
      <c r="T76" s="714"/>
      <c r="U76" s="714"/>
      <c r="V76" s="714"/>
      <c r="W76" s="714"/>
      <c r="X76" s="714"/>
      <c r="Y76" s="714"/>
      <c r="Z76" s="714"/>
      <c r="AA76" s="714"/>
      <c r="AB76" s="714"/>
      <c r="AC76" s="714"/>
      <c r="AD76" s="714"/>
      <c r="AE76" s="714"/>
      <c r="AF76" s="714"/>
      <c r="AG76" s="714"/>
      <c r="AH76" s="714"/>
      <c r="AI76" s="714"/>
      <c r="AJ76" s="714"/>
      <c r="AK76" s="714"/>
      <c r="AL76" s="714"/>
      <c r="AM76" s="714"/>
      <c r="AN76" s="714"/>
      <c r="AO76" s="714"/>
      <c r="AP76" s="714"/>
      <c r="AQ76" s="714"/>
      <c r="AR76" s="714"/>
      <c r="AS76" s="714"/>
      <c r="AT76" s="714"/>
      <c r="AU76" s="714"/>
      <c r="AV76" s="714"/>
      <c r="AW76" s="714"/>
      <c r="AX76" s="714"/>
      <c r="AY76" s="714"/>
      <c r="AZ76" s="714"/>
      <c r="BA76" s="714"/>
      <c r="BB76" s="714"/>
      <c r="BC76" s="714"/>
      <c r="BD76" s="714"/>
      <c r="BE76" s="714"/>
      <c r="BF76" s="714"/>
      <c r="BG76" s="714"/>
      <c r="BH76" s="714"/>
      <c r="BI76" s="714"/>
      <c r="BJ76" s="714"/>
      <c r="BK76" s="714"/>
      <c r="BL76" s="714"/>
      <c r="BM76" s="714"/>
      <c r="BN76" s="714"/>
      <c r="BO76" s="714"/>
      <c r="BP76" s="714"/>
      <c r="BQ76" s="714"/>
      <c r="BR76" s="714"/>
    </row>
    <row r="77" spans="1:172" ht="9.75" hidden="1" customHeight="1" x14ac:dyDescent="0.25">
      <c r="A77" s="714"/>
      <c r="B77" s="714"/>
      <c r="C77" s="714"/>
      <c r="D77" s="714"/>
      <c r="E77" s="714"/>
      <c r="F77" s="714"/>
      <c r="G77" s="714"/>
      <c r="H77" s="714"/>
      <c r="I77" s="714"/>
      <c r="J77" s="714"/>
      <c r="K77" s="714"/>
      <c r="L77" s="714"/>
      <c r="M77" s="714"/>
      <c r="N77" s="714"/>
      <c r="O77" s="714"/>
      <c r="P77" s="714"/>
      <c r="Q77" s="714"/>
      <c r="R77" s="714"/>
      <c r="S77" s="714"/>
      <c r="T77" s="714"/>
      <c r="U77" s="714"/>
      <c r="V77" s="714"/>
      <c r="W77" s="714"/>
      <c r="X77" s="714"/>
      <c r="Y77" s="714"/>
      <c r="Z77" s="714"/>
      <c r="AA77" s="714"/>
      <c r="AB77" s="714"/>
      <c r="AC77" s="714"/>
      <c r="AD77" s="714"/>
      <c r="AE77" s="714"/>
      <c r="AF77" s="714"/>
      <c r="AG77" s="714"/>
      <c r="AH77" s="714"/>
      <c r="AI77" s="714"/>
      <c r="AJ77" s="714"/>
      <c r="AK77" s="714"/>
      <c r="AL77" s="714"/>
      <c r="AM77" s="714"/>
      <c r="AN77" s="714"/>
      <c r="AO77" s="714"/>
      <c r="AP77" s="714"/>
      <c r="AQ77" s="714"/>
      <c r="AR77" s="714"/>
      <c r="AS77" s="714"/>
      <c r="AT77" s="714"/>
      <c r="AU77" s="714"/>
      <c r="AV77" s="714"/>
      <c r="AW77" s="714"/>
      <c r="AX77" s="714"/>
      <c r="AY77" s="714"/>
      <c r="AZ77" s="714"/>
      <c r="BA77" s="714"/>
      <c r="BB77" s="714"/>
      <c r="BC77" s="714"/>
      <c r="BD77" s="714"/>
      <c r="BE77" s="714"/>
      <c r="BF77" s="714"/>
      <c r="BG77" s="714"/>
      <c r="BH77" s="714"/>
      <c r="BI77" s="714"/>
      <c r="BJ77" s="714"/>
      <c r="BK77" s="714"/>
      <c r="BL77" s="714"/>
      <c r="BM77" s="714"/>
      <c r="BN77" s="714"/>
      <c r="BO77" s="714"/>
      <c r="BP77" s="714"/>
      <c r="BQ77" s="714"/>
      <c r="BR77" s="714"/>
    </row>
    <row r="78" spans="1:172" ht="9.75" hidden="1" customHeight="1" x14ac:dyDescent="0.25">
      <c r="A78" s="714"/>
      <c r="B78" s="714"/>
      <c r="C78" s="714"/>
      <c r="D78" s="714"/>
      <c r="E78" s="714"/>
      <c r="F78" s="714"/>
      <c r="G78" s="714"/>
      <c r="H78" s="714"/>
      <c r="I78" s="714"/>
      <c r="J78" s="714"/>
      <c r="K78" s="714"/>
      <c r="L78" s="714"/>
      <c r="M78" s="714"/>
      <c r="N78" s="714"/>
      <c r="O78" s="714"/>
      <c r="P78" s="714"/>
      <c r="Q78" s="714"/>
      <c r="R78" s="714"/>
      <c r="S78" s="714"/>
      <c r="T78" s="714"/>
      <c r="U78" s="714"/>
      <c r="V78" s="714"/>
      <c r="W78" s="714"/>
      <c r="X78" s="714"/>
      <c r="Y78" s="714"/>
      <c r="Z78" s="714"/>
      <c r="AA78" s="714"/>
      <c r="AB78" s="714"/>
      <c r="AC78" s="714"/>
      <c r="AD78" s="714"/>
      <c r="AE78" s="714"/>
      <c r="AF78" s="714"/>
      <c r="AG78" s="714"/>
      <c r="AH78" s="714"/>
      <c r="AI78" s="714"/>
      <c r="AJ78" s="714"/>
      <c r="AK78" s="714"/>
      <c r="AL78" s="714"/>
      <c r="AM78" s="714"/>
      <c r="AN78" s="714"/>
      <c r="AO78" s="714"/>
      <c r="AP78" s="714"/>
      <c r="AQ78" s="714"/>
      <c r="AR78" s="714"/>
      <c r="AS78" s="714"/>
      <c r="AT78" s="714"/>
      <c r="AU78" s="714"/>
      <c r="AV78" s="714"/>
      <c r="AW78" s="714"/>
      <c r="AX78" s="714"/>
      <c r="AY78" s="714"/>
      <c r="AZ78" s="714"/>
      <c r="BA78" s="714"/>
      <c r="BB78" s="714"/>
      <c r="BC78" s="714"/>
      <c r="BD78" s="714"/>
      <c r="BE78" s="714"/>
      <c r="BF78" s="714"/>
      <c r="BG78" s="714"/>
      <c r="BH78" s="714"/>
      <c r="BI78" s="714"/>
      <c r="BJ78" s="714"/>
      <c r="BK78" s="714"/>
      <c r="BL78" s="714"/>
      <c r="BM78" s="714"/>
      <c r="BN78" s="714"/>
      <c r="BO78" s="714"/>
      <c r="BP78" s="714"/>
      <c r="BQ78" s="714"/>
      <c r="BR78" s="714"/>
    </row>
    <row r="79" spans="1:172" s="22" customFormat="1" ht="111.75" hidden="1" customHeight="1" x14ac:dyDescent="1.35">
      <c r="A79" s="716"/>
      <c r="B79" s="1923"/>
      <c r="C79" s="1923"/>
      <c r="D79" s="1923"/>
      <c r="E79" s="1923"/>
      <c r="F79" s="716"/>
      <c r="G79" s="1923"/>
      <c r="H79" s="1923"/>
      <c r="I79" s="1923"/>
      <c r="J79" s="1923"/>
      <c r="K79" s="716"/>
      <c r="L79" s="1923"/>
      <c r="M79" s="1923"/>
      <c r="N79" s="1923"/>
      <c r="O79" s="1923"/>
      <c r="P79" s="716"/>
      <c r="Q79" s="1923"/>
      <c r="R79" s="1923"/>
      <c r="S79" s="1923"/>
      <c r="T79" s="1923"/>
      <c r="U79" s="716"/>
      <c r="V79" s="1923"/>
      <c r="W79" s="1923"/>
      <c r="X79" s="1923"/>
      <c r="Y79" s="1923"/>
      <c r="Z79" s="716"/>
      <c r="AA79" s="1923"/>
      <c r="AB79" s="1923"/>
      <c r="AC79" s="1923"/>
      <c r="AD79" s="1923"/>
      <c r="AE79" s="716"/>
      <c r="AF79" s="1923"/>
      <c r="AG79" s="1923"/>
      <c r="AH79" s="1923"/>
      <c r="AI79" s="1923"/>
      <c r="AJ79" s="716"/>
      <c r="AK79" s="1923"/>
      <c r="AL79" s="1923"/>
      <c r="AM79" s="1923"/>
      <c r="AN79" s="1923"/>
      <c r="AO79" s="716"/>
      <c r="AP79" s="1923"/>
      <c r="AQ79" s="1923"/>
      <c r="AR79" s="1923"/>
      <c r="AS79" s="1923"/>
      <c r="AT79" s="716"/>
      <c r="AU79" s="1923"/>
      <c r="AV79" s="1923"/>
      <c r="AW79" s="1923"/>
      <c r="AX79" s="1923"/>
      <c r="AY79" s="716"/>
      <c r="AZ79" s="1923"/>
      <c r="BA79" s="1923"/>
      <c r="BB79" s="1923"/>
      <c r="BC79" s="1923"/>
      <c r="BD79" s="716"/>
      <c r="BE79" s="1923"/>
      <c r="BF79" s="1923"/>
      <c r="BG79" s="1923"/>
      <c r="BH79" s="1923"/>
      <c r="BI79" s="716"/>
      <c r="BJ79" s="1923"/>
      <c r="BK79" s="1923"/>
      <c r="BL79" s="1923"/>
      <c r="BM79" s="1923"/>
      <c r="BN79" s="716"/>
      <c r="BO79" s="1923"/>
      <c r="BP79" s="1923"/>
      <c r="BQ79" s="1923"/>
      <c r="BR79" s="1923"/>
    </row>
    <row r="80" spans="1:172" ht="50.25" hidden="1" customHeight="1" x14ac:dyDescent="0.25">
      <c r="A80" s="716"/>
      <c r="B80" s="32"/>
      <c r="C80" s="33"/>
      <c r="D80" s="34"/>
      <c r="E80" s="35"/>
      <c r="F80" s="716"/>
      <c r="G80" s="32"/>
      <c r="H80" s="33"/>
      <c r="I80" s="34"/>
      <c r="J80" s="35"/>
      <c r="K80" s="716"/>
      <c r="L80" s="32"/>
      <c r="M80" s="33"/>
      <c r="N80" s="34"/>
      <c r="O80" s="35"/>
      <c r="P80" s="716"/>
      <c r="Q80" s="32"/>
      <c r="R80" s="33"/>
      <c r="S80" s="34"/>
      <c r="T80" s="35"/>
      <c r="U80" s="716"/>
      <c r="V80" s="32"/>
      <c r="W80" s="33"/>
      <c r="X80" s="34"/>
      <c r="Y80" s="35"/>
      <c r="Z80" s="716"/>
      <c r="AA80" s="32"/>
      <c r="AB80" s="33"/>
      <c r="AC80" s="34"/>
      <c r="AD80" s="35"/>
      <c r="AE80" s="716"/>
      <c r="AF80" s="32"/>
      <c r="AG80" s="33"/>
      <c r="AH80" s="34"/>
      <c r="AI80" s="35"/>
      <c r="AJ80" s="716"/>
      <c r="AK80" s="32"/>
      <c r="AL80" s="33"/>
      <c r="AM80" s="34"/>
      <c r="AN80" s="35"/>
      <c r="AO80" s="716"/>
      <c r="AP80" s="32"/>
      <c r="AQ80" s="33"/>
      <c r="AR80" s="34"/>
      <c r="AS80" s="35"/>
      <c r="AT80" s="716"/>
      <c r="AU80" s="32"/>
      <c r="AV80" s="33"/>
      <c r="AW80" s="34"/>
      <c r="AX80" s="35"/>
      <c r="AY80" s="716"/>
      <c r="AZ80" s="32"/>
      <c r="BA80" s="33"/>
      <c r="BB80" s="34"/>
      <c r="BC80" s="35"/>
      <c r="BD80" s="716"/>
      <c r="BE80" s="32"/>
      <c r="BF80" s="33"/>
      <c r="BG80" s="34"/>
      <c r="BH80" s="35"/>
      <c r="BI80" s="716"/>
      <c r="BJ80" s="32"/>
      <c r="BK80" s="33"/>
      <c r="BL80" s="34"/>
      <c r="BM80" s="35"/>
      <c r="BN80" s="716"/>
      <c r="BO80" s="32"/>
      <c r="BP80" s="33"/>
      <c r="BQ80" s="34"/>
      <c r="BR80" s="35"/>
    </row>
    <row r="81" spans="1:70" ht="53.25" hidden="1" customHeight="1" x14ac:dyDescent="0.25">
      <c r="A81" s="719"/>
      <c r="B81" s="719"/>
      <c r="C81" s="720"/>
      <c r="D81" s="720"/>
      <c r="E81" s="720"/>
      <c r="F81" s="719"/>
      <c r="G81" s="719"/>
      <c r="H81" s="720"/>
      <c r="I81" s="720"/>
      <c r="J81" s="720"/>
      <c r="K81" s="719"/>
      <c r="L81" s="719"/>
      <c r="M81" s="720"/>
      <c r="N81" s="720"/>
      <c r="O81" s="720"/>
      <c r="P81" s="719"/>
      <c r="Q81" s="719"/>
      <c r="R81" s="720"/>
      <c r="S81" s="720"/>
      <c r="T81" s="720"/>
      <c r="U81" s="719"/>
      <c r="V81" s="719"/>
      <c r="W81" s="720"/>
      <c r="X81" s="720"/>
      <c r="Y81" s="720"/>
      <c r="Z81" s="719"/>
      <c r="AA81" s="719"/>
      <c r="AB81" s="720"/>
      <c r="AC81" s="720"/>
      <c r="AD81" s="720"/>
      <c r="AE81" s="719"/>
      <c r="AF81" s="719"/>
      <c r="AG81" s="720"/>
      <c r="AH81" s="720"/>
      <c r="AI81" s="720"/>
      <c r="AJ81" s="719"/>
      <c r="AK81" s="719"/>
      <c r="AL81" s="720"/>
      <c r="AM81" s="720"/>
      <c r="AN81" s="720"/>
      <c r="AO81" s="719"/>
      <c r="AP81" s="719"/>
      <c r="AQ81" s="720"/>
      <c r="AR81" s="720"/>
      <c r="AS81" s="720"/>
      <c r="AT81" s="719"/>
      <c r="AU81" s="719"/>
      <c r="AV81" s="720"/>
      <c r="AW81" s="720"/>
      <c r="AX81" s="720"/>
      <c r="AY81" s="719"/>
      <c r="AZ81" s="719"/>
      <c r="BA81" s="720"/>
      <c r="BB81" s="720"/>
      <c r="BC81" s="720"/>
      <c r="BD81" s="719"/>
      <c r="BE81" s="719"/>
      <c r="BF81" s="720"/>
      <c r="BG81" s="720"/>
      <c r="BH81" s="720"/>
      <c r="BI81" s="719"/>
      <c r="BJ81" s="719"/>
      <c r="BK81" s="720"/>
      <c r="BL81" s="720"/>
      <c r="BM81" s="720"/>
      <c r="BN81" s="719"/>
      <c r="BO81" s="719"/>
      <c r="BP81" s="720"/>
      <c r="BQ81" s="720"/>
      <c r="BR81" s="720"/>
    </row>
    <row r="82" spans="1:70" ht="15.75" hidden="1" customHeight="1" x14ac:dyDescent="0.25">
      <c r="A82" s="714"/>
      <c r="B82" s="714"/>
      <c r="C82" s="714"/>
      <c r="D82" s="714"/>
      <c r="E82" s="714"/>
      <c r="F82" s="714"/>
      <c r="G82" s="714"/>
      <c r="H82" s="714"/>
      <c r="I82" s="714"/>
      <c r="J82" s="714"/>
      <c r="K82" s="714"/>
      <c r="L82" s="714"/>
      <c r="M82" s="714"/>
      <c r="N82" s="714"/>
      <c r="O82" s="714"/>
      <c r="P82" s="714"/>
      <c r="Q82" s="714"/>
      <c r="R82" s="714"/>
      <c r="S82" s="714"/>
      <c r="T82" s="714"/>
      <c r="U82" s="714"/>
      <c r="V82" s="714"/>
      <c r="W82" s="714"/>
      <c r="X82" s="714"/>
      <c r="Y82" s="714"/>
      <c r="Z82" s="714"/>
      <c r="AA82" s="714"/>
      <c r="AB82" s="714"/>
      <c r="AC82" s="714"/>
      <c r="AD82" s="714"/>
      <c r="AE82" s="714"/>
      <c r="AF82" s="714"/>
      <c r="AG82" s="714"/>
      <c r="AH82" s="714"/>
      <c r="AI82" s="714"/>
      <c r="AJ82" s="714"/>
      <c r="AK82" s="714"/>
      <c r="AL82" s="714"/>
      <c r="AM82" s="714"/>
      <c r="AN82" s="714"/>
      <c r="AO82" s="714"/>
      <c r="AP82" s="714"/>
      <c r="AQ82" s="714"/>
      <c r="AR82" s="714"/>
      <c r="AS82" s="714"/>
      <c r="AT82" s="714"/>
      <c r="AU82" s="714"/>
      <c r="AV82" s="714"/>
      <c r="AW82" s="714"/>
      <c r="AX82" s="714"/>
      <c r="AY82" s="714"/>
      <c r="AZ82" s="714"/>
      <c r="BA82" s="714"/>
      <c r="BB82" s="714"/>
      <c r="BC82" s="714"/>
      <c r="BD82" s="714"/>
      <c r="BE82" s="714"/>
      <c r="BF82" s="714"/>
      <c r="BG82" s="714"/>
      <c r="BH82" s="714"/>
      <c r="BI82" s="714"/>
      <c r="BJ82" s="714"/>
      <c r="BK82" s="714"/>
      <c r="BL82" s="714"/>
      <c r="BM82" s="714"/>
      <c r="BN82" s="714"/>
      <c r="BO82" s="714"/>
      <c r="BP82" s="714"/>
      <c r="BQ82" s="714"/>
      <c r="BR82" s="714"/>
    </row>
    <row r="83" spans="1:70" ht="12" hidden="1" customHeight="1" x14ac:dyDescent="0.25">
      <c r="A83" s="714"/>
      <c r="B83" s="714"/>
      <c r="C83" s="714"/>
      <c r="D83" s="714"/>
      <c r="E83" s="714"/>
      <c r="F83" s="714"/>
      <c r="G83" s="714"/>
      <c r="H83" s="714"/>
      <c r="I83" s="714"/>
      <c r="J83" s="714"/>
      <c r="K83" s="714"/>
      <c r="L83" s="714"/>
      <c r="M83" s="714"/>
      <c r="N83" s="714"/>
      <c r="O83" s="714"/>
      <c r="P83" s="714"/>
      <c r="Q83" s="714"/>
      <c r="R83" s="714"/>
      <c r="S83" s="714"/>
      <c r="T83" s="714"/>
      <c r="U83" s="714"/>
      <c r="V83" s="714"/>
      <c r="W83" s="714"/>
      <c r="X83" s="714"/>
      <c r="Y83" s="714"/>
      <c r="Z83" s="714"/>
      <c r="AA83" s="714"/>
      <c r="AB83" s="714"/>
      <c r="AC83" s="714"/>
      <c r="AD83" s="714"/>
      <c r="AE83" s="714"/>
      <c r="AF83" s="714"/>
      <c r="AG83" s="714"/>
      <c r="AH83" s="714"/>
      <c r="AI83" s="714"/>
      <c r="AJ83" s="714"/>
      <c r="AK83" s="714"/>
      <c r="AL83" s="714"/>
      <c r="AM83" s="714"/>
      <c r="AN83" s="714"/>
      <c r="AO83" s="714"/>
      <c r="AP83" s="714"/>
      <c r="AQ83" s="714"/>
      <c r="AR83" s="714"/>
      <c r="AS83" s="714"/>
      <c r="AT83" s="714"/>
      <c r="AU83" s="714"/>
      <c r="AV83" s="714"/>
      <c r="AW83" s="714"/>
      <c r="AX83" s="714"/>
      <c r="AY83" s="714"/>
      <c r="AZ83" s="714"/>
      <c r="BA83" s="714"/>
      <c r="BB83" s="714"/>
      <c r="BC83" s="714"/>
      <c r="BD83" s="714"/>
      <c r="BE83" s="714"/>
      <c r="BF83" s="714"/>
      <c r="BG83" s="714"/>
      <c r="BH83" s="714"/>
      <c r="BI83" s="714"/>
      <c r="BJ83" s="714"/>
      <c r="BK83" s="714"/>
      <c r="BL83" s="714"/>
      <c r="BM83" s="714"/>
      <c r="BN83" s="714"/>
      <c r="BO83" s="714"/>
      <c r="BP83" s="714"/>
      <c r="BQ83" s="714"/>
      <c r="BR83" s="714"/>
    </row>
    <row r="84" spans="1:70" ht="15" hidden="1" customHeight="1" x14ac:dyDescent="0.25">
      <c r="A84" s="714"/>
      <c r="B84" s="714"/>
      <c r="C84" s="714"/>
      <c r="D84" s="714"/>
      <c r="E84" s="714"/>
      <c r="F84" s="714"/>
      <c r="G84" s="714"/>
      <c r="H84" s="714"/>
      <c r="I84" s="714"/>
      <c r="J84" s="714"/>
      <c r="K84" s="714"/>
      <c r="L84" s="714"/>
      <c r="M84" s="714"/>
      <c r="N84" s="714"/>
      <c r="O84" s="714"/>
      <c r="P84" s="714"/>
      <c r="Q84" s="714"/>
      <c r="R84" s="714"/>
      <c r="S84" s="714"/>
      <c r="T84" s="714"/>
      <c r="U84" s="714"/>
      <c r="V84" s="714"/>
      <c r="W84" s="714"/>
      <c r="X84" s="714"/>
      <c r="Y84" s="714"/>
      <c r="Z84" s="714"/>
      <c r="AA84" s="714"/>
      <c r="AB84" s="714"/>
      <c r="AC84" s="714"/>
      <c r="AD84" s="714"/>
      <c r="AE84" s="714"/>
      <c r="AF84" s="714"/>
      <c r="AG84" s="714"/>
      <c r="AH84" s="714"/>
      <c r="AI84" s="714"/>
      <c r="AJ84" s="714"/>
      <c r="AK84" s="714"/>
      <c r="AL84" s="714"/>
      <c r="AM84" s="714"/>
      <c r="AN84" s="714"/>
      <c r="AO84" s="714"/>
      <c r="AP84" s="714"/>
      <c r="AQ84" s="714"/>
      <c r="AR84" s="714"/>
      <c r="AS84" s="714"/>
      <c r="AT84" s="714"/>
      <c r="AU84" s="714"/>
      <c r="AV84" s="714"/>
      <c r="AW84" s="714"/>
      <c r="AX84" s="714"/>
      <c r="AY84" s="714"/>
      <c r="AZ84" s="714"/>
      <c r="BA84" s="714"/>
      <c r="BB84" s="714"/>
      <c r="BC84" s="714"/>
      <c r="BD84" s="714"/>
      <c r="BE84" s="714"/>
      <c r="BF84" s="714"/>
      <c r="BG84" s="714"/>
      <c r="BH84" s="714"/>
      <c r="BI84" s="714"/>
      <c r="BJ84" s="714"/>
      <c r="BK84" s="714"/>
      <c r="BL84" s="714"/>
      <c r="BM84" s="714"/>
      <c r="BN84" s="714"/>
      <c r="BO84" s="714"/>
      <c r="BP84" s="714"/>
      <c r="BQ84" s="714"/>
      <c r="BR84" s="714"/>
    </row>
    <row r="85" spans="1:70" s="22" customFormat="1" ht="111.75" hidden="1" customHeight="1" x14ac:dyDescent="1.35">
      <c r="A85" s="716"/>
      <c r="B85" s="1923"/>
      <c r="C85" s="1923"/>
      <c r="D85" s="1923"/>
      <c r="E85" s="1923"/>
      <c r="F85" s="716"/>
      <c r="G85" s="1923"/>
      <c r="H85" s="1923"/>
      <c r="I85" s="1923"/>
      <c r="J85" s="1923"/>
      <c r="K85" s="716"/>
      <c r="L85" s="1923"/>
      <c r="M85" s="1923"/>
      <c r="N85" s="1923"/>
      <c r="O85" s="1923"/>
      <c r="P85" s="716"/>
      <c r="Q85" s="1923"/>
      <c r="R85" s="1923"/>
      <c r="S85" s="1923"/>
      <c r="T85" s="1923"/>
      <c r="U85" s="716"/>
      <c r="V85" s="1923"/>
      <c r="W85" s="1923"/>
      <c r="X85" s="1923"/>
      <c r="Y85" s="1923"/>
      <c r="Z85" s="716"/>
      <c r="AA85" s="1923"/>
      <c r="AB85" s="1923"/>
      <c r="AC85" s="1923"/>
      <c r="AD85" s="1923"/>
      <c r="AE85" s="716"/>
      <c r="AF85" s="1923"/>
      <c r="AG85" s="1923"/>
      <c r="AH85" s="1923"/>
      <c r="AI85" s="1923"/>
      <c r="AJ85" s="716"/>
      <c r="AK85" s="1923"/>
      <c r="AL85" s="1923"/>
      <c r="AM85" s="1923"/>
      <c r="AN85" s="1923"/>
      <c r="AO85" s="716"/>
      <c r="AP85" s="1923"/>
      <c r="AQ85" s="1923"/>
      <c r="AR85" s="1923"/>
      <c r="AS85" s="1923"/>
      <c r="AT85" s="716"/>
      <c r="AU85" s="1923"/>
      <c r="AV85" s="1923"/>
      <c r="AW85" s="1923"/>
      <c r="AX85" s="1923"/>
      <c r="AY85" s="716"/>
      <c r="AZ85" s="1923"/>
      <c r="BA85" s="1923"/>
      <c r="BB85" s="1923"/>
      <c r="BC85" s="1923"/>
      <c r="BD85" s="716"/>
      <c r="BE85" s="1923"/>
      <c r="BF85" s="1923"/>
      <c r="BG85" s="1923"/>
      <c r="BH85" s="1923"/>
      <c r="BI85" s="716"/>
      <c r="BJ85" s="1923"/>
      <c r="BK85" s="1923"/>
      <c r="BL85" s="1923"/>
      <c r="BM85" s="1923"/>
      <c r="BN85" s="716"/>
      <c r="BO85" s="1923"/>
      <c r="BP85" s="1923"/>
      <c r="BQ85" s="1923"/>
      <c r="BR85" s="1923"/>
    </row>
    <row r="86" spans="1:70" ht="50.25" hidden="1" customHeight="1" x14ac:dyDescent="0.25">
      <c r="A86" s="716"/>
      <c r="B86" s="32"/>
      <c r="C86" s="33"/>
      <c r="D86" s="34"/>
      <c r="E86" s="35"/>
      <c r="F86" s="716"/>
      <c r="G86" s="32"/>
      <c r="H86" s="33"/>
      <c r="I86" s="34"/>
      <c r="J86" s="35"/>
      <c r="K86" s="716"/>
      <c r="L86" s="32"/>
      <c r="M86" s="33"/>
      <c r="N86" s="34"/>
      <c r="O86" s="35"/>
      <c r="P86" s="716"/>
      <c r="Q86" s="32"/>
      <c r="R86" s="33"/>
      <c r="S86" s="34"/>
      <c r="T86" s="35"/>
      <c r="U86" s="716"/>
      <c r="V86" s="32"/>
      <c r="W86" s="33"/>
      <c r="X86" s="34"/>
      <c r="Y86" s="35"/>
      <c r="Z86" s="716"/>
      <c r="AA86" s="32"/>
      <c r="AB86" s="33"/>
      <c r="AC86" s="34"/>
      <c r="AD86" s="35"/>
      <c r="AE86" s="716"/>
      <c r="AF86" s="32"/>
      <c r="AG86" s="33"/>
      <c r="AH86" s="34"/>
      <c r="AI86" s="35"/>
      <c r="AJ86" s="716"/>
      <c r="AK86" s="32"/>
      <c r="AL86" s="33"/>
      <c r="AM86" s="34"/>
      <c r="AN86" s="35"/>
      <c r="AO86" s="716"/>
      <c r="AP86" s="32"/>
      <c r="AQ86" s="33"/>
      <c r="AR86" s="34"/>
      <c r="AS86" s="35"/>
      <c r="AT86" s="716"/>
      <c r="AU86" s="32"/>
      <c r="AV86" s="33"/>
      <c r="AW86" s="34"/>
      <c r="AX86" s="35"/>
      <c r="AY86" s="716"/>
      <c r="AZ86" s="32"/>
      <c r="BA86" s="33"/>
      <c r="BB86" s="34"/>
      <c r="BC86" s="35"/>
      <c r="BD86" s="716"/>
      <c r="BE86" s="32"/>
      <c r="BF86" s="33"/>
      <c r="BG86" s="34"/>
      <c r="BH86" s="35"/>
      <c r="BI86" s="716"/>
      <c r="BJ86" s="32"/>
      <c r="BK86" s="33"/>
      <c r="BL86" s="34"/>
      <c r="BM86" s="35"/>
      <c r="BN86" s="716"/>
      <c r="BO86" s="32"/>
      <c r="BP86" s="33"/>
      <c r="BQ86" s="34"/>
      <c r="BR86" s="35"/>
    </row>
    <row r="87" spans="1:70" ht="53.25" hidden="1" customHeight="1" x14ac:dyDescent="0.25">
      <c r="A87" s="719"/>
      <c r="B87" s="719"/>
      <c r="C87" s="720"/>
      <c r="D87" s="720"/>
      <c r="E87" s="720"/>
      <c r="F87" s="719"/>
      <c r="G87" s="719"/>
      <c r="H87" s="720"/>
      <c r="I87" s="720"/>
      <c r="J87" s="720"/>
      <c r="K87" s="719"/>
      <c r="L87" s="719"/>
      <c r="M87" s="720"/>
      <c r="N87" s="720"/>
      <c r="O87" s="720"/>
      <c r="P87" s="719"/>
      <c r="Q87" s="719"/>
      <c r="R87" s="720"/>
      <c r="S87" s="720"/>
      <c r="T87" s="720"/>
      <c r="U87" s="719"/>
      <c r="V87" s="719"/>
      <c r="W87" s="720"/>
      <c r="X87" s="720"/>
      <c r="Y87" s="720"/>
      <c r="Z87" s="719"/>
      <c r="AA87" s="719"/>
      <c r="AB87" s="720"/>
      <c r="AC87" s="720"/>
      <c r="AD87" s="720"/>
      <c r="AE87" s="719"/>
      <c r="AF87" s="719"/>
      <c r="AG87" s="720"/>
      <c r="AH87" s="720"/>
      <c r="AI87" s="720"/>
      <c r="AJ87" s="719"/>
      <c r="AK87" s="719"/>
      <c r="AL87" s="720"/>
      <c r="AM87" s="720"/>
      <c r="AN87" s="720"/>
      <c r="AO87" s="719"/>
      <c r="AP87" s="719"/>
      <c r="AQ87" s="720"/>
      <c r="AR87" s="720"/>
      <c r="AS87" s="720"/>
      <c r="AT87" s="719"/>
      <c r="AU87" s="719"/>
      <c r="AV87" s="720"/>
      <c r="AW87" s="720"/>
      <c r="AX87" s="720"/>
      <c r="AY87" s="719"/>
      <c r="AZ87" s="719"/>
      <c r="BA87" s="720"/>
      <c r="BB87" s="720"/>
      <c r="BC87" s="720"/>
      <c r="BD87" s="719"/>
      <c r="BE87" s="719"/>
      <c r="BF87" s="720"/>
      <c r="BG87" s="720"/>
      <c r="BH87" s="720"/>
      <c r="BI87" s="719"/>
      <c r="BJ87" s="719"/>
      <c r="BK87" s="720"/>
      <c r="BL87" s="720"/>
      <c r="BM87" s="720"/>
      <c r="BN87" s="719"/>
      <c r="BO87" s="719"/>
      <c r="BP87" s="720"/>
      <c r="BQ87" s="720"/>
      <c r="BR87" s="720"/>
    </row>
    <row r="88" spans="1:70" ht="15" hidden="1" customHeight="1" x14ac:dyDescent="0.25">
      <c r="A88" s="714"/>
      <c r="B88" s="714"/>
      <c r="C88" s="714"/>
      <c r="D88" s="714"/>
      <c r="E88" s="714"/>
      <c r="F88" s="714"/>
      <c r="G88" s="714"/>
      <c r="H88" s="714"/>
      <c r="I88" s="714"/>
      <c r="J88" s="714"/>
      <c r="K88" s="714"/>
      <c r="L88" s="714"/>
      <c r="M88" s="714"/>
      <c r="N88" s="714"/>
      <c r="O88" s="714"/>
      <c r="P88" s="714"/>
      <c r="Q88" s="714"/>
      <c r="R88" s="714"/>
      <c r="S88" s="714"/>
      <c r="T88" s="714"/>
      <c r="U88" s="714"/>
      <c r="V88" s="714"/>
      <c r="W88" s="714"/>
      <c r="X88" s="714"/>
      <c r="Y88" s="714"/>
      <c r="Z88" s="714"/>
      <c r="AA88" s="714"/>
      <c r="AB88" s="714"/>
      <c r="AC88" s="714"/>
      <c r="AD88" s="714"/>
      <c r="AE88" s="714"/>
      <c r="AF88" s="714"/>
      <c r="AG88" s="714"/>
      <c r="AH88" s="714"/>
      <c r="AI88" s="714"/>
      <c r="AJ88" s="714"/>
      <c r="AK88" s="714"/>
      <c r="AL88" s="714"/>
      <c r="AM88" s="714"/>
      <c r="AN88" s="714"/>
      <c r="AO88" s="714"/>
      <c r="AP88" s="714"/>
      <c r="AQ88" s="714"/>
      <c r="AR88" s="714"/>
      <c r="AS88" s="714"/>
      <c r="AT88" s="714"/>
      <c r="AU88" s="714"/>
      <c r="AV88" s="714"/>
      <c r="AW88" s="714"/>
      <c r="AX88" s="714"/>
      <c r="AY88" s="714"/>
      <c r="AZ88" s="714"/>
      <c r="BA88" s="714"/>
      <c r="BB88" s="714"/>
      <c r="BC88" s="714"/>
      <c r="BD88" s="714"/>
      <c r="BE88" s="714"/>
      <c r="BF88" s="714"/>
      <c r="BG88" s="714"/>
      <c r="BH88" s="714"/>
      <c r="BI88" s="714"/>
      <c r="BJ88" s="714"/>
      <c r="BK88" s="714"/>
      <c r="BL88" s="714"/>
      <c r="BM88" s="714"/>
      <c r="BN88" s="714"/>
      <c r="BO88" s="714"/>
      <c r="BP88" s="714"/>
      <c r="BQ88" s="714"/>
      <c r="BR88" s="714"/>
    </row>
    <row r="89" spans="1:70" ht="6" hidden="1" customHeight="1" x14ac:dyDescent="0.25">
      <c r="A89" s="714"/>
      <c r="B89" s="714"/>
      <c r="C89" s="714"/>
      <c r="D89" s="714"/>
      <c r="E89" s="714"/>
      <c r="F89" s="714"/>
      <c r="G89" s="714"/>
      <c r="H89" s="714"/>
      <c r="I89" s="714"/>
      <c r="J89" s="714"/>
      <c r="K89" s="714"/>
      <c r="L89" s="714"/>
      <c r="M89" s="714"/>
      <c r="N89" s="714"/>
      <c r="O89" s="714"/>
      <c r="P89" s="714"/>
      <c r="Q89" s="714"/>
      <c r="R89" s="714"/>
      <c r="S89" s="714"/>
      <c r="T89" s="714"/>
      <c r="U89" s="714"/>
      <c r="V89" s="714"/>
      <c r="W89" s="714"/>
      <c r="X89" s="714"/>
      <c r="Y89" s="714"/>
      <c r="Z89" s="714"/>
      <c r="AA89" s="714"/>
      <c r="AB89" s="714"/>
      <c r="AC89" s="714"/>
      <c r="AD89" s="714"/>
      <c r="AE89" s="714"/>
      <c r="AF89" s="714"/>
      <c r="AG89" s="714"/>
      <c r="AH89" s="714"/>
      <c r="AI89" s="714"/>
      <c r="AJ89" s="714"/>
      <c r="AK89" s="714"/>
      <c r="AL89" s="714"/>
      <c r="AM89" s="714"/>
      <c r="AN89" s="714"/>
      <c r="AO89" s="714"/>
      <c r="AP89" s="714"/>
      <c r="AQ89" s="714"/>
      <c r="AR89" s="714"/>
      <c r="AS89" s="714"/>
      <c r="AT89" s="714"/>
      <c r="AU89" s="714"/>
      <c r="AV89" s="714"/>
      <c r="AW89" s="714"/>
      <c r="AX89" s="714"/>
      <c r="AY89" s="714"/>
      <c r="AZ89" s="714"/>
      <c r="BA89" s="714"/>
      <c r="BB89" s="714"/>
      <c r="BC89" s="714"/>
      <c r="BD89" s="714"/>
      <c r="BE89" s="714"/>
      <c r="BF89" s="714"/>
      <c r="BG89" s="714"/>
      <c r="BH89" s="714"/>
      <c r="BI89" s="714"/>
      <c r="BJ89" s="714"/>
      <c r="BK89" s="714"/>
      <c r="BL89" s="714"/>
      <c r="BM89" s="714"/>
      <c r="BN89" s="714"/>
      <c r="BO89" s="714"/>
      <c r="BP89" s="714"/>
      <c r="BQ89" s="714"/>
      <c r="BR89" s="714"/>
    </row>
    <row r="90" spans="1:70" ht="15" hidden="1" customHeight="1" x14ac:dyDescent="0.25">
      <c r="A90" s="714"/>
      <c r="B90" s="714"/>
      <c r="C90" s="714"/>
      <c r="D90" s="714"/>
      <c r="E90" s="714"/>
      <c r="F90" s="714"/>
      <c r="G90" s="714"/>
      <c r="H90" s="714"/>
      <c r="I90" s="714"/>
      <c r="J90" s="714"/>
      <c r="K90" s="714"/>
      <c r="L90" s="714"/>
      <c r="M90" s="714"/>
      <c r="N90" s="714"/>
      <c r="O90" s="714"/>
      <c r="P90" s="714"/>
      <c r="Q90" s="714"/>
      <c r="R90" s="714"/>
      <c r="S90" s="714"/>
      <c r="T90" s="714"/>
      <c r="U90" s="714"/>
      <c r="V90" s="714"/>
      <c r="W90" s="714"/>
      <c r="X90" s="714"/>
      <c r="Y90" s="714"/>
      <c r="Z90" s="714"/>
      <c r="AA90" s="714"/>
      <c r="AB90" s="714"/>
      <c r="AC90" s="714"/>
      <c r="AD90" s="714"/>
      <c r="AE90" s="714"/>
      <c r="AF90" s="714"/>
      <c r="AG90" s="714"/>
      <c r="AH90" s="714"/>
      <c r="AI90" s="714"/>
      <c r="AJ90" s="714"/>
      <c r="AK90" s="714"/>
      <c r="AL90" s="714"/>
      <c r="AM90" s="714"/>
      <c r="AN90" s="714"/>
      <c r="AO90" s="714"/>
      <c r="AP90" s="714"/>
      <c r="AQ90" s="714"/>
      <c r="AR90" s="714"/>
      <c r="AS90" s="714"/>
      <c r="AT90" s="714"/>
      <c r="AU90" s="714"/>
      <c r="AV90" s="714"/>
      <c r="AW90" s="714"/>
      <c r="AX90" s="714"/>
      <c r="AY90" s="714"/>
      <c r="AZ90" s="714"/>
      <c r="BA90" s="714"/>
      <c r="BB90" s="714"/>
      <c r="BC90" s="714"/>
      <c r="BD90" s="714"/>
      <c r="BE90" s="714"/>
      <c r="BF90" s="714"/>
      <c r="BG90" s="714"/>
      <c r="BH90" s="714"/>
      <c r="BI90" s="714"/>
      <c r="BJ90" s="714"/>
      <c r="BK90" s="714"/>
      <c r="BL90" s="714"/>
      <c r="BM90" s="714"/>
      <c r="BN90" s="714"/>
      <c r="BO90" s="714"/>
      <c r="BP90" s="714"/>
      <c r="BQ90" s="714"/>
      <c r="BR90" s="714"/>
    </row>
    <row r="91" spans="1:70" s="22" customFormat="1" ht="111.75" hidden="1" customHeight="1" x14ac:dyDescent="1.35">
      <c r="A91" s="716"/>
      <c r="B91" s="1923"/>
      <c r="C91" s="1923"/>
      <c r="D91" s="1923"/>
      <c r="E91" s="1923"/>
      <c r="F91" s="716"/>
      <c r="G91" s="1923"/>
      <c r="H91" s="1923"/>
      <c r="I91" s="1923"/>
      <c r="J91" s="1923"/>
      <c r="K91" s="716"/>
      <c r="L91" s="1923"/>
      <c r="M91" s="1923"/>
      <c r="N91" s="1923"/>
      <c r="O91" s="1923"/>
      <c r="P91" s="716"/>
      <c r="Q91" s="1923"/>
      <c r="R91" s="1923"/>
      <c r="S91" s="1923"/>
      <c r="T91" s="1923"/>
      <c r="U91" s="716"/>
      <c r="V91" s="1923"/>
      <c r="W91" s="1923"/>
      <c r="X91" s="1923"/>
      <c r="Y91" s="1923"/>
      <c r="Z91" s="716"/>
      <c r="AA91" s="1923"/>
      <c r="AB91" s="1923"/>
      <c r="AC91" s="1923"/>
      <c r="AD91" s="1923"/>
      <c r="AE91" s="716"/>
      <c r="AF91" s="1923"/>
      <c r="AG91" s="1923"/>
      <c r="AH91" s="1923"/>
      <c r="AI91" s="1923"/>
      <c r="AJ91" s="716"/>
      <c r="AK91" s="1923"/>
      <c r="AL91" s="1923"/>
      <c r="AM91" s="1923"/>
      <c r="AN91" s="1923"/>
      <c r="AO91" s="716"/>
      <c r="AP91" s="1923"/>
      <c r="AQ91" s="1923"/>
      <c r="AR91" s="1923"/>
      <c r="AS91" s="1923"/>
      <c r="AT91" s="716"/>
      <c r="AU91" s="1923"/>
      <c r="AV91" s="1923"/>
      <c r="AW91" s="1923"/>
      <c r="AX91" s="1923"/>
      <c r="AY91" s="716"/>
      <c r="AZ91" s="1923"/>
      <c r="BA91" s="1923"/>
      <c r="BB91" s="1923"/>
      <c r="BC91" s="1923"/>
      <c r="BD91" s="716"/>
      <c r="BE91" s="1923"/>
      <c r="BF91" s="1923"/>
      <c r="BG91" s="1923"/>
      <c r="BH91" s="1923"/>
      <c r="BI91" s="716"/>
      <c r="BJ91" s="1923"/>
      <c r="BK91" s="1923"/>
      <c r="BL91" s="1923"/>
      <c r="BM91" s="1923"/>
      <c r="BN91" s="716"/>
      <c r="BO91" s="1923"/>
      <c r="BP91" s="1923"/>
      <c r="BQ91" s="1923"/>
      <c r="BR91" s="1923"/>
    </row>
    <row r="92" spans="1:70" ht="50.25" hidden="1" customHeight="1" x14ac:dyDescent="0.25">
      <c r="A92" s="716"/>
      <c r="B92" s="32"/>
      <c r="C92" s="33"/>
      <c r="D92" s="34"/>
      <c r="E92" s="35"/>
      <c r="F92" s="716"/>
      <c r="G92" s="32"/>
      <c r="H92" s="33"/>
      <c r="I92" s="34"/>
      <c r="J92" s="35"/>
      <c r="K92" s="716"/>
      <c r="L92" s="32"/>
      <c r="M92" s="33"/>
      <c r="N92" s="34"/>
      <c r="O92" s="35"/>
      <c r="P92" s="716"/>
      <c r="Q92" s="32"/>
      <c r="R92" s="33"/>
      <c r="S92" s="34"/>
      <c r="T92" s="35"/>
      <c r="U92" s="716"/>
      <c r="V92" s="32"/>
      <c r="W92" s="33"/>
      <c r="X92" s="34"/>
      <c r="Y92" s="35"/>
      <c r="Z92" s="716"/>
      <c r="AA92" s="32"/>
      <c r="AB92" s="33"/>
      <c r="AC92" s="34"/>
      <c r="AD92" s="35"/>
      <c r="AE92" s="716"/>
      <c r="AF92" s="32"/>
      <c r="AG92" s="33"/>
      <c r="AH92" s="34"/>
      <c r="AI92" s="35"/>
      <c r="AJ92" s="716"/>
      <c r="AK92" s="32"/>
      <c r="AL92" s="33"/>
      <c r="AM92" s="34"/>
      <c r="AN92" s="35"/>
      <c r="AO92" s="716"/>
      <c r="AP92" s="32"/>
      <c r="AQ92" s="33"/>
      <c r="AR92" s="34"/>
      <c r="AS92" s="35"/>
      <c r="AT92" s="716"/>
      <c r="AU92" s="32"/>
      <c r="AV92" s="33"/>
      <c r="AW92" s="34"/>
      <c r="AX92" s="35"/>
      <c r="AY92" s="716"/>
      <c r="AZ92" s="32"/>
      <c r="BA92" s="33"/>
      <c r="BB92" s="34"/>
      <c r="BC92" s="35"/>
      <c r="BD92" s="716"/>
      <c r="BE92" s="32"/>
      <c r="BF92" s="33"/>
      <c r="BG92" s="34"/>
      <c r="BH92" s="35"/>
      <c r="BI92" s="716"/>
      <c r="BJ92" s="32"/>
      <c r="BK92" s="33"/>
      <c r="BL92" s="34"/>
      <c r="BM92" s="35"/>
      <c r="BN92" s="716"/>
      <c r="BO92" s="32"/>
      <c r="BP92" s="33"/>
      <c r="BQ92" s="34"/>
      <c r="BR92" s="35"/>
    </row>
    <row r="93" spans="1:70" ht="47.25" hidden="1" customHeight="1" x14ac:dyDescent="0.25">
      <c r="A93" s="719"/>
      <c r="B93" s="719"/>
      <c r="C93" s="720"/>
      <c r="D93" s="720"/>
      <c r="E93" s="720"/>
      <c r="F93" s="719"/>
      <c r="G93" s="719"/>
      <c r="H93" s="720"/>
      <c r="I93" s="720"/>
      <c r="J93" s="720"/>
      <c r="K93" s="719"/>
      <c r="L93" s="719"/>
      <c r="M93" s="720"/>
      <c r="N93" s="720"/>
      <c r="O93" s="720"/>
      <c r="P93" s="719"/>
      <c r="Q93" s="719"/>
      <c r="R93" s="720"/>
      <c r="S93" s="720"/>
      <c r="T93" s="720"/>
      <c r="U93" s="719"/>
      <c r="V93" s="719"/>
      <c r="W93" s="720"/>
      <c r="X93" s="720"/>
      <c r="Y93" s="720"/>
      <c r="Z93" s="719"/>
      <c r="AA93" s="719"/>
      <c r="AB93" s="720"/>
      <c r="AC93" s="720"/>
      <c r="AD93" s="720"/>
      <c r="AE93" s="719"/>
      <c r="AF93" s="719"/>
      <c r="AG93" s="720"/>
      <c r="AH93" s="720"/>
      <c r="AI93" s="720"/>
      <c r="AJ93" s="719"/>
      <c r="AK93" s="719"/>
      <c r="AL93" s="720"/>
      <c r="AM93" s="720"/>
      <c r="AN93" s="720"/>
      <c r="AO93" s="719"/>
      <c r="AP93" s="719"/>
      <c r="AQ93" s="720"/>
      <c r="AR93" s="720"/>
      <c r="AS93" s="720"/>
      <c r="AT93" s="719"/>
      <c r="AU93" s="719"/>
      <c r="AV93" s="720"/>
      <c r="AW93" s="720"/>
      <c r="AX93" s="720"/>
      <c r="AY93" s="719"/>
      <c r="AZ93" s="719"/>
      <c r="BA93" s="720"/>
      <c r="BB93" s="720"/>
      <c r="BC93" s="720"/>
      <c r="BD93" s="719"/>
      <c r="BE93" s="719"/>
      <c r="BF93" s="720"/>
      <c r="BG93" s="720"/>
      <c r="BH93" s="720"/>
      <c r="BI93" s="719"/>
      <c r="BJ93" s="719"/>
      <c r="BK93" s="720"/>
      <c r="BL93" s="720"/>
      <c r="BM93" s="720"/>
      <c r="BN93" s="719"/>
      <c r="BO93" s="719"/>
      <c r="BP93" s="720"/>
      <c r="BQ93" s="720"/>
      <c r="BR93" s="720"/>
    </row>
    <row r="94" spans="1:70" ht="20.25" hidden="1" customHeight="1" x14ac:dyDescent="0.25">
      <c r="A94" s="714"/>
      <c r="B94" s="714"/>
      <c r="C94" s="714"/>
      <c r="D94" s="714"/>
      <c r="E94" s="714"/>
      <c r="F94" s="714"/>
      <c r="G94" s="714"/>
      <c r="H94" s="714"/>
      <c r="I94" s="714"/>
      <c r="J94" s="714"/>
      <c r="K94" s="714"/>
      <c r="L94" s="714"/>
      <c r="M94" s="714"/>
      <c r="N94" s="714"/>
      <c r="O94" s="714"/>
      <c r="P94" s="714"/>
      <c r="Q94" s="714"/>
      <c r="R94" s="714"/>
      <c r="S94" s="714"/>
      <c r="T94" s="714"/>
      <c r="U94" s="714"/>
      <c r="V94" s="714"/>
      <c r="W94" s="714"/>
      <c r="X94" s="714"/>
      <c r="Y94" s="714"/>
      <c r="Z94" s="714"/>
      <c r="AA94" s="714"/>
      <c r="AB94" s="714"/>
      <c r="AC94" s="714"/>
      <c r="AD94" s="714"/>
      <c r="AE94" s="714"/>
      <c r="AF94" s="714"/>
      <c r="AG94" s="714"/>
      <c r="AH94" s="714"/>
      <c r="AI94" s="714"/>
      <c r="AJ94" s="714"/>
      <c r="AK94" s="714"/>
      <c r="AL94" s="714"/>
      <c r="AM94" s="714"/>
      <c r="AN94" s="714"/>
      <c r="AO94" s="714"/>
      <c r="AP94" s="714"/>
      <c r="AQ94" s="714"/>
      <c r="AR94" s="714"/>
      <c r="AS94" s="714"/>
      <c r="AT94" s="714"/>
      <c r="AU94" s="714"/>
      <c r="AV94" s="714"/>
      <c r="AW94" s="714"/>
      <c r="AX94" s="714"/>
      <c r="AY94" s="714"/>
      <c r="AZ94" s="714"/>
      <c r="BA94" s="714"/>
      <c r="BB94" s="714"/>
      <c r="BC94" s="714"/>
      <c r="BD94" s="714"/>
      <c r="BE94" s="714"/>
      <c r="BF94" s="714"/>
      <c r="BG94" s="714"/>
      <c r="BH94" s="714"/>
      <c r="BI94" s="714"/>
      <c r="BJ94" s="714"/>
      <c r="BK94" s="714"/>
      <c r="BL94" s="714"/>
      <c r="BM94" s="714"/>
      <c r="BN94" s="714"/>
      <c r="BO94" s="714"/>
      <c r="BP94" s="714"/>
      <c r="BQ94" s="714"/>
      <c r="BR94" s="714"/>
    </row>
    <row r="95" spans="1:70" ht="3.75" hidden="1" customHeight="1" x14ac:dyDescent="0.25">
      <c r="A95" s="714"/>
      <c r="B95" s="714"/>
      <c r="C95" s="714"/>
      <c r="D95" s="714"/>
      <c r="E95" s="714"/>
      <c r="F95" s="714"/>
      <c r="G95" s="714"/>
      <c r="H95" s="714"/>
      <c r="I95" s="714"/>
      <c r="J95" s="714"/>
      <c r="K95" s="714"/>
      <c r="L95" s="714"/>
      <c r="M95" s="714"/>
      <c r="N95" s="714"/>
      <c r="O95" s="714"/>
      <c r="P95" s="714"/>
      <c r="Q95" s="714"/>
      <c r="R95" s="714"/>
      <c r="S95" s="714"/>
      <c r="T95" s="714"/>
      <c r="U95" s="714"/>
      <c r="V95" s="714"/>
      <c r="W95" s="714"/>
      <c r="X95" s="714"/>
      <c r="Y95" s="714"/>
      <c r="Z95" s="714"/>
      <c r="AA95" s="714"/>
      <c r="AB95" s="714"/>
      <c r="AC95" s="714"/>
      <c r="AD95" s="714"/>
      <c r="AE95" s="714"/>
      <c r="AF95" s="714"/>
      <c r="AG95" s="714"/>
      <c r="AH95" s="714"/>
      <c r="AI95" s="714"/>
      <c r="AJ95" s="714"/>
      <c r="AK95" s="714"/>
      <c r="AL95" s="714"/>
      <c r="AM95" s="714"/>
      <c r="AN95" s="714"/>
      <c r="AO95" s="714"/>
      <c r="AP95" s="714"/>
      <c r="AQ95" s="714"/>
      <c r="AR95" s="714"/>
      <c r="AS95" s="714"/>
      <c r="AT95" s="714"/>
      <c r="AU95" s="714"/>
      <c r="AV95" s="714"/>
      <c r="AW95" s="714"/>
      <c r="AX95" s="714"/>
      <c r="AY95" s="714"/>
      <c r="AZ95" s="714"/>
      <c r="BA95" s="714"/>
      <c r="BB95" s="714"/>
      <c r="BC95" s="714"/>
      <c r="BD95" s="714"/>
      <c r="BE95" s="714"/>
      <c r="BF95" s="714"/>
      <c r="BG95" s="714"/>
      <c r="BH95" s="714"/>
      <c r="BI95" s="714"/>
      <c r="BJ95" s="714"/>
      <c r="BK95" s="714"/>
      <c r="BL95" s="714"/>
      <c r="BM95" s="714"/>
      <c r="BN95" s="714"/>
      <c r="BO95" s="714"/>
      <c r="BP95" s="714"/>
      <c r="BQ95" s="714"/>
      <c r="BR95" s="714"/>
    </row>
    <row r="96" spans="1:70" ht="15" hidden="1" customHeight="1" x14ac:dyDescent="0.25">
      <c r="A96" s="714"/>
      <c r="B96" s="714"/>
      <c r="C96" s="714"/>
      <c r="D96" s="714"/>
      <c r="E96" s="714"/>
      <c r="F96" s="714"/>
      <c r="G96" s="714"/>
      <c r="H96" s="714"/>
      <c r="I96" s="714"/>
      <c r="J96" s="714"/>
      <c r="K96" s="714"/>
      <c r="L96" s="714"/>
      <c r="M96" s="714"/>
      <c r="N96" s="714"/>
      <c r="O96" s="714"/>
      <c r="P96" s="714"/>
      <c r="Q96" s="714"/>
      <c r="R96" s="714"/>
      <c r="S96" s="714"/>
      <c r="T96" s="714"/>
      <c r="U96" s="714"/>
      <c r="V96" s="714"/>
      <c r="W96" s="714"/>
      <c r="X96" s="714"/>
      <c r="Y96" s="714"/>
      <c r="Z96" s="714"/>
      <c r="AA96" s="714"/>
      <c r="AB96" s="714"/>
      <c r="AC96" s="714"/>
      <c r="AD96" s="714"/>
      <c r="AE96" s="714"/>
      <c r="AF96" s="714"/>
      <c r="AG96" s="714"/>
      <c r="AH96" s="714"/>
      <c r="AI96" s="714"/>
      <c r="AJ96" s="714"/>
      <c r="AK96" s="714"/>
      <c r="AL96" s="714"/>
      <c r="AM96" s="714"/>
      <c r="AN96" s="714"/>
      <c r="AO96" s="714"/>
      <c r="AP96" s="714"/>
      <c r="AQ96" s="714"/>
      <c r="AR96" s="714"/>
      <c r="AS96" s="714"/>
      <c r="AT96" s="714"/>
      <c r="AU96" s="714"/>
      <c r="AV96" s="714"/>
      <c r="AW96" s="714"/>
      <c r="AX96" s="714"/>
      <c r="AY96" s="714"/>
      <c r="AZ96" s="714"/>
      <c r="BA96" s="714"/>
      <c r="BB96" s="714"/>
      <c r="BC96" s="714"/>
      <c r="BD96" s="714"/>
      <c r="BE96" s="714"/>
      <c r="BF96" s="714"/>
      <c r="BG96" s="714"/>
      <c r="BH96" s="714"/>
      <c r="BI96" s="714"/>
      <c r="BJ96" s="714"/>
      <c r="BK96" s="714"/>
      <c r="BL96" s="714"/>
      <c r="BM96" s="714"/>
      <c r="BN96" s="714"/>
      <c r="BO96" s="714"/>
      <c r="BP96" s="714"/>
      <c r="BQ96" s="714"/>
      <c r="BR96" s="714"/>
    </row>
    <row r="97" spans="1:70" s="22" customFormat="1" ht="111.75" hidden="1" customHeight="1" x14ac:dyDescent="1.35">
      <c r="A97" s="716"/>
      <c r="B97" s="1923"/>
      <c r="C97" s="1923"/>
      <c r="D97" s="1923"/>
      <c r="E97" s="1923"/>
      <c r="F97" s="716"/>
      <c r="G97" s="1923"/>
      <c r="H97" s="1923"/>
      <c r="I97" s="1923"/>
      <c r="J97" s="1923"/>
      <c r="K97" s="716"/>
      <c r="L97" s="1923"/>
      <c r="M97" s="1923"/>
      <c r="N97" s="1923"/>
      <c r="O97" s="1923"/>
      <c r="P97" s="716"/>
      <c r="Q97" s="1923"/>
      <c r="R97" s="1923"/>
      <c r="S97" s="1923"/>
      <c r="T97" s="1923"/>
      <c r="U97" s="716"/>
      <c r="V97" s="1923"/>
      <c r="W97" s="1923"/>
      <c r="X97" s="1923"/>
      <c r="Y97" s="1923"/>
      <c r="Z97" s="716"/>
      <c r="AA97" s="1923"/>
      <c r="AB97" s="1923"/>
      <c r="AC97" s="1923"/>
      <c r="AD97" s="1923"/>
      <c r="AE97" s="716"/>
      <c r="AF97" s="1923"/>
      <c r="AG97" s="1923"/>
      <c r="AH97" s="1923"/>
      <c r="AI97" s="1923"/>
      <c r="AJ97" s="716"/>
      <c r="AK97" s="1923"/>
      <c r="AL97" s="1923"/>
      <c r="AM97" s="1923"/>
      <c r="AN97" s="1923"/>
      <c r="AO97" s="716"/>
      <c r="AP97" s="1923"/>
      <c r="AQ97" s="1923"/>
      <c r="AR97" s="1923"/>
      <c r="AS97" s="1923"/>
      <c r="AT97" s="716"/>
      <c r="AU97" s="1923"/>
      <c r="AV97" s="1923"/>
      <c r="AW97" s="1923"/>
      <c r="AX97" s="1923"/>
      <c r="AY97" s="716"/>
      <c r="AZ97" s="1923"/>
      <c r="BA97" s="1923"/>
      <c r="BB97" s="1923"/>
      <c r="BC97" s="1923"/>
      <c r="BD97" s="716"/>
      <c r="BE97" s="1923"/>
      <c r="BF97" s="1923"/>
      <c r="BG97" s="1923"/>
      <c r="BH97" s="1923"/>
      <c r="BI97" s="716"/>
      <c r="BJ97" s="1923"/>
      <c r="BK97" s="1923"/>
      <c r="BL97" s="1923"/>
      <c r="BM97" s="1923"/>
      <c r="BN97" s="716"/>
      <c r="BO97" s="1923"/>
      <c r="BP97" s="1923"/>
      <c r="BQ97" s="1923"/>
      <c r="BR97" s="1923"/>
    </row>
    <row r="98" spans="1:70" ht="50.25" hidden="1" customHeight="1" x14ac:dyDescent="0.25">
      <c r="A98" s="716"/>
      <c r="B98" s="32"/>
      <c r="C98" s="33"/>
      <c r="D98" s="34"/>
      <c r="E98" s="35"/>
      <c r="F98" s="716"/>
      <c r="G98" s="32"/>
      <c r="H98" s="33"/>
      <c r="I98" s="34"/>
      <c r="J98" s="35"/>
      <c r="K98" s="716"/>
      <c r="L98" s="32"/>
      <c r="M98" s="33"/>
      <c r="N98" s="34"/>
      <c r="O98" s="35"/>
      <c r="P98" s="716"/>
      <c r="Q98" s="32"/>
      <c r="R98" s="33"/>
      <c r="S98" s="34"/>
      <c r="T98" s="35"/>
      <c r="U98" s="716"/>
      <c r="V98" s="32"/>
      <c r="W98" s="33"/>
      <c r="X98" s="34"/>
      <c r="Y98" s="35"/>
      <c r="Z98" s="716"/>
      <c r="AA98" s="32"/>
      <c r="AB98" s="33"/>
      <c r="AC98" s="34"/>
      <c r="AD98" s="35"/>
      <c r="AE98" s="716"/>
      <c r="AF98" s="32"/>
      <c r="AG98" s="33"/>
      <c r="AH98" s="34"/>
      <c r="AI98" s="35"/>
      <c r="AJ98" s="716"/>
      <c r="AK98" s="32"/>
      <c r="AL98" s="33"/>
      <c r="AM98" s="34"/>
      <c r="AN98" s="35"/>
      <c r="AO98" s="716"/>
      <c r="AP98" s="32"/>
      <c r="AQ98" s="33"/>
      <c r="AR98" s="34"/>
      <c r="AS98" s="35"/>
      <c r="AT98" s="716"/>
      <c r="AU98" s="32"/>
      <c r="AV98" s="33"/>
      <c r="AW98" s="34"/>
      <c r="AX98" s="35"/>
      <c r="AY98" s="716"/>
      <c r="AZ98" s="32"/>
      <c r="BA98" s="33"/>
      <c r="BB98" s="34"/>
      <c r="BC98" s="35"/>
      <c r="BD98" s="716"/>
      <c r="BE98" s="32"/>
      <c r="BF98" s="33"/>
      <c r="BG98" s="34"/>
      <c r="BH98" s="35"/>
      <c r="BI98" s="716"/>
      <c r="BJ98" s="32"/>
      <c r="BK98" s="33"/>
      <c r="BL98" s="34"/>
      <c r="BM98" s="35"/>
      <c r="BN98" s="716"/>
      <c r="BO98" s="32"/>
      <c r="BP98" s="33"/>
      <c r="BQ98" s="34"/>
      <c r="BR98" s="35"/>
    </row>
    <row r="99" spans="1:70" ht="53.25" hidden="1" customHeight="1" x14ac:dyDescent="0.25">
      <c r="A99" s="719"/>
      <c r="B99" s="719"/>
      <c r="C99" s="720"/>
      <c r="D99" s="720"/>
      <c r="E99" s="720"/>
      <c r="F99" s="719"/>
      <c r="G99" s="719"/>
      <c r="H99" s="720"/>
      <c r="I99" s="720"/>
      <c r="J99" s="720"/>
      <c r="K99" s="719"/>
      <c r="L99" s="719"/>
      <c r="M99" s="720"/>
      <c r="N99" s="720"/>
      <c r="O99" s="720"/>
      <c r="P99" s="719"/>
      <c r="Q99" s="719"/>
      <c r="R99" s="720"/>
      <c r="S99" s="720"/>
      <c r="T99" s="720"/>
      <c r="U99" s="719"/>
      <c r="V99" s="719"/>
      <c r="W99" s="720"/>
      <c r="X99" s="720"/>
      <c r="Y99" s="720"/>
      <c r="Z99" s="719"/>
      <c r="AA99" s="719"/>
      <c r="AB99" s="720"/>
      <c r="AC99" s="720"/>
      <c r="AD99" s="720"/>
      <c r="AE99" s="719"/>
      <c r="AF99" s="719"/>
      <c r="AG99" s="720"/>
      <c r="AH99" s="720"/>
      <c r="AI99" s="720"/>
      <c r="AJ99" s="719"/>
      <c r="AK99" s="719"/>
      <c r="AL99" s="720"/>
      <c r="AM99" s="720"/>
      <c r="AN99" s="720"/>
      <c r="AO99" s="719"/>
      <c r="AP99" s="719"/>
      <c r="AQ99" s="720"/>
      <c r="AR99" s="720"/>
      <c r="AS99" s="720"/>
      <c r="AT99" s="719"/>
      <c r="AU99" s="719"/>
      <c r="AV99" s="720"/>
      <c r="AW99" s="720"/>
      <c r="AX99" s="720"/>
      <c r="AY99" s="719"/>
      <c r="AZ99" s="719"/>
      <c r="BA99" s="720"/>
      <c r="BB99" s="720"/>
      <c r="BC99" s="720"/>
      <c r="BD99" s="719"/>
      <c r="BE99" s="719"/>
      <c r="BF99" s="720"/>
      <c r="BG99" s="720"/>
      <c r="BH99" s="720"/>
      <c r="BI99" s="719"/>
      <c r="BJ99" s="719"/>
      <c r="BK99" s="720"/>
      <c r="BL99" s="720"/>
      <c r="BM99" s="720"/>
      <c r="BN99" s="719"/>
      <c r="BO99" s="719"/>
      <c r="BP99" s="720"/>
      <c r="BQ99" s="720"/>
      <c r="BR99" s="720"/>
    </row>
    <row r="100" spans="1:70" ht="15" hidden="1" customHeight="1" x14ac:dyDescent="0.25">
      <c r="A100" s="714"/>
      <c r="B100" s="714"/>
      <c r="C100" s="714"/>
      <c r="D100" s="714"/>
      <c r="E100" s="714"/>
      <c r="F100" s="714"/>
      <c r="G100" s="714"/>
      <c r="H100" s="714"/>
      <c r="I100" s="714"/>
      <c r="J100" s="714"/>
      <c r="K100" s="714"/>
      <c r="L100" s="714"/>
      <c r="M100" s="714"/>
      <c r="N100" s="714"/>
      <c r="O100" s="714"/>
      <c r="P100" s="714"/>
      <c r="Q100" s="714"/>
      <c r="R100" s="714"/>
      <c r="S100" s="714"/>
      <c r="T100" s="714"/>
      <c r="U100" s="714"/>
      <c r="V100" s="714"/>
      <c r="W100" s="714"/>
      <c r="X100" s="714"/>
      <c r="Y100" s="714"/>
      <c r="Z100" s="714"/>
      <c r="AA100" s="714"/>
      <c r="AB100" s="714"/>
      <c r="AC100" s="714"/>
      <c r="AD100" s="714"/>
      <c r="AE100" s="714"/>
      <c r="AF100" s="714"/>
      <c r="AG100" s="714"/>
      <c r="AH100" s="714"/>
      <c r="AI100" s="714"/>
      <c r="AJ100" s="714"/>
      <c r="AK100" s="714"/>
      <c r="AL100" s="714"/>
      <c r="AM100" s="714"/>
      <c r="AN100" s="714"/>
      <c r="AO100" s="714"/>
      <c r="AP100" s="714"/>
      <c r="AQ100" s="714"/>
      <c r="AR100" s="714"/>
      <c r="AS100" s="714"/>
      <c r="AT100" s="714"/>
      <c r="AU100" s="714"/>
      <c r="AV100" s="714"/>
      <c r="AW100" s="714"/>
      <c r="AX100" s="714"/>
      <c r="AY100" s="714"/>
      <c r="AZ100" s="714"/>
      <c r="BA100" s="714"/>
      <c r="BB100" s="714"/>
      <c r="BC100" s="714"/>
      <c r="BD100" s="714"/>
      <c r="BE100" s="714"/>
      <c r="BF100" s="714"/>
      <c r="BG100" s="714"/>
      <c r="BH100" s="714"/>
      <c r="BI100" s="714"/>
      <c r="BJ100" s="714"/>
      <c r="BK100" s="714"/>
      <c r="BL100" s="714"/>
      <c r="BM100" s="714"/>
      <c r="BN100" s="714"/>
      <c r="BO100" s="714"/>
      <c r="BP100" s="714"/>
      <c r="BQ100" s="714"/>
      <c r="BR100" s="714"/>
    </row>
    <row r="101" spans="1:70" ht="6" hidden="1" customHeight="1" x14ac:dyDescent="0.25">
      <c r="A101" s="714"/>
      <c r="B101" s="714"/>
      <c r="C101" s="714"/>
      <c r="D101" s="714"/>
      <c r="E101" s="714"/>
      <c r="F101" s="714"/>
      <c r="G101" s="714"/>
      <c r="H101" s="714"/>
      <c r="I101" s="714"/>
      <c r="J101" s="714"/>
      <c r="K101" s="714"/>
      <c r="L101" s="714"/>
      <c r="M101" s="714"/>
      <c r="N101" s="714"/>
      <c r="O101" s="714"/>
      <c r="P101" s="714"/>
      <c r="Q101" s="714"/>
      <c r="R101" s="714"/>
      <c r="S101" s="714"/>
      <c r="T101" s="714"/>
      <c r="U101" s="714"/>
      <c r="V101" s="714"/>
      <c r="W101" s="714"/>
      <c r="X101" s="714"/>
      <c r="Y101" s="714"/>
      <c r="Z101" s="714"/>
      <c r="AA101" s="714"/>
      <c r="AB101" s="714"/>
      <c r="AC101" s="714"/>
      <c r="AD101" s="714"/>
      <c r="AE101" s="714"/>
      <c r="AF101" s="714"/>
      <c r="AG101" s="714"/>
      <c r="AH101" s="714"/>
      <c r="AI101" s="714"/>
      <c r="AJ101" s="714"/>
      <c r="AK101" s="714"/>
      <c r="AL101" s="714"/>
      <c r="AM101" s="714"/>
      <c r="AN101" s="714"/>
      <c r="AO101" s="714"/>
      <c r="AP101" s="714"/>
      <c r="AQ101" s="714"/>
      <c r="AR101" s="714"/>
      <c r="AS101" s="714"/>
      <c r="AT101" s="714"/>
      <c r="AU101" s="714"/>
      <c r="AV101" s="714"/>
      <c r="AW101" s="714"/>
      <c r="AX101" s="714"/>
      <c r="AY101" s="714"/>
      <c r="AZ101" s="714"/>
      <c r="BA101" s="714"/>
      <c r="BB101" s="714"/>
      <c r="BC101" s="714"/>
      <c r="BD101" s="714"/>
      <c r="BE101" s="714"/>
      <c r="BF101" s="714"/>
      <c r="BG101" s="714"/>
      <c r="BH101" s="714"/>
      <c r="BI101" s="714"/>
      <c r="BJ101" s="714"/>
      <c r="BK101" s="714"/>
      <c r="BL101" s="714"/>
      <c r="BM101" s="714"/>
      <c r="BN101" s="714"/>
      <c r="BO101" s="714"/>
      <c r="BP101" s="714"/>
      <c r="BQ101" s="714"/>
      <c r="BR101" s="714"/>
    </row>
    <row r="102" spans="1:70" ht="15" hidden="1" customHeight="1" x14ac:dyDescent="0.25">
      <c r="A102" s="714"/>
      <c r="B102" s="714"/>
      <c r="C102" s="714"/>
      <c r="D102" s="714"/>
      <c r="E102" s="714"/>
      <c r="F102" s="714"/>
      <c r="G102" s="714"/>
      <c r="H102" s="714"/>
      <c r="I102" s="714"/>
      <c r="J102" s="714"/>
      <c r="K102" s="714"/>
      <c r="L102" s="714"/>
      <c r="M102" s="714"/>
      <c r="N102" s="714"/>
      <c r="O102" s="714"/>
      <c r="P102" s="714"/>
      <c r="Q102" s="714"/>
      <c r="R102" s="714"/>
      <c r="S102" s="714"/>
      <c r="T102" s="714"/>
      <c r="U102" s="714"/>
      <c r="V102" s="714"/>
      <c r="W102" s="714"/>
      <c r="X102" s="714"/>
      <c r="Y102" s="714"/>
      <c r="Z102" s="714"/>
      <c r="AA102" s="714"/>
      <c r="AB102" s="714"/>
      <c r="AC102" s="714"/>
      <c r="AD102" s="714"/>
      <c r="AE102" s="714"/>
      <c r="AF102" s="714"/>
      <c r="AG102" s="714"/>
      <c r="AH102" s="714"/>
      <c r="AI102" s="714"/>
      <c r="AJ102" s="714"/>
      <c r="AK102" s="714"/>
      <c r="AL102" s="714"/>
      <c r="AM102" s="714"/>
      <c r="AN102" s="714"/>
      <c r="AO102" s="714"/>
      <c r="AP102" s="714"/>
      <c r="AQ102" s="714"/>
      <c r="AR102" s="714"/>
      <c r="AS102" s="714"/>
      <c r="AT102" s="714"/>
      <c r="AU102" s="714"/>
      <c r="AV102" s="714"/>
      <c r="AW102" s="714"/>
      <c r="AX102" s="714"/>
      <c r="AY102" s="714"/>
      <c r="AZ102" s="714"/>
      <c r="BA102" s="714"/>
      <c r="BB102" s="714"/>
      <c r="BC102" s="714"/>
      <c r="BD102" s="714"/>
      <c r="BE102" s="714"/>
      <c r="BF102" s="714"/>
      <c r="BG102" s="714"/>
      <c r="BH102" s="714"/>
      <c r="BI102" s="714"/>
      <c r="BJ102" s="714"/>
      <c r="BK102" s="714"/>
      <c r="BL102" s="714"/>
      <c r="BM102" s="714"/>
      <c r="BN102" s="714"/>
      <c r="BO102" s="714"/>
      <c r="BP102" s="714"/>
      <c r="BQ102" s="714"/>
      <c r="BR102" s="714"/>
    </row>
    <row r="103" spans="1:70" ht="111.75" hidden="1" customHeight="1" x14ac:dyDescent="0.25">
      <c r="A103" s="716"/>
      <c r="B103" s="1923"/>
      <c r="C103" s="1923"/>
      <c r="D103" s="1923"/>
      <c r="E103" s="1923"/>
      <c r="F103" s="716"/>
      <c r="G103" s="1923"/>
      <c r="H103" s="1923"/>
      <c r="I103" s="1923"/>
      <c r="J103" s="1923"/>
      <c r="K103" s="716"/>
      <c r="L103" s="1923"/>
      <c r="M103" s="1923"/>
      <c r="N103" s="1923"/>
      <c r="O103" s="1923"/>
      <c r="P103" s="716"/>
      <c r="Q103" s="1923"/>
      <c r="R103" s="1923"/>
      <c r="S103" s="1923"/>
      <c r="T103" s="1923"/>
      <c r="U103" s="716"/>
      <c r="V103" s="1923"/>
      <c r="W103" s="1923"/>
      <c r="X103" s="1923"/>
      <c r="Y103" s="1923"/>
      <c r="Z103" s="716"/>
      <c r="AA103" s="1923"/>
      <c r="AB103" s="1923"/>
      <c r="AC103" s="1923"/>
      <c r="AD103" s="1923"/>
      <c r="AE103" s="716"/>
      <c r="AF103" s="1923"/>
      <c r="AG103" s="1923"/>
      <c r="AH103" s="1923"/>
      <c r="AI103" s="1923"/>
      <c r="AJ103" s="716"/>
      <c r="AK103" s="1923"/>
      <c r="AL103" s="1923"/>
      <c r="AM103" s="1923"/>
      <c r="AN103" s="1923"/>
      <c r="AO103" s="716"/>
      <c r="AP103" s="1923"/>
      <c r="AQ103" s="1923"/>
      <c r="AR103" s="1923"/>
      <c r="AS103" s="1923"/>
      <c r="AT103" s="716"/>
      <c r="AU103" s="1923"/>
      <c r="AV103" s="1923"/>
      <c r="AW103" s="1923"/>
      <c r="AX103" s="1923"/>
      <c r="AY103" s="716"/>
      <c r="AZ103" s="1923"/>
      <c r="BA103" s="1923"/>
      <c r="BB103" s="1923"/>
      <c r="BC103" s="1923"/>
      <c r="BD103" s="716"/>
      <c r="BE103" s="1923"/>
      <c r="BF103" s="1923"/>
      <c r="BG103" s="1923"/>
      <c r="BH103" s="1923"/>
      <c r="BI103" s="716"/>
      <c r="BJ103" s="1923"/>
      <c r="BK103" s="1923"/>
      <c r="BL103" s="1923"/>
      <c r="BM103" s="1923"/>
      <c r="BN103" s="716"/>
      <c r="BO103" s="1923"/>
      <c r="BP103" s="1923"/>
      <c r="BQ103" s="1923"/>
      <c r="BR103" s="1923"/>
    </row>
    <row r="104" spans="1:70" ht="50.25" hidden="1" customHeight="1" x14ac:dyDescent="0.25">
      <c r="A104" s="716"/>
      <c r="B104" s="32"/>
      <c r="C104" s="33"/>
      <c r="D104" s="34"/>
      <c r="E104" s="35"/>
      <c r="F104" s="716"/>
      <c r="G104" s="32"/>
      <c r="H104" s="33"/>
      <c r="I104" s="34"/>
      <c r="J104" s="35"/>
      <c r="K104" s="716"/>
      <c r="L104" s="32"/>
      <c r="M104" s="33"/>
      <c r="N104" s="34"/>
      <c r="O104" s="35"/>
      <c r="P104" s="716"/>
      <c r="Q104" s="32"/>
      <c r="R104" s="33"/>
      <c r="S104" s="34"/>
      <c r="T104" s="35"/>
      <c r="U104" s="716"/>
      <c r="V104" s="32"/>
      <c r="W104" s="33"/>
      <c r="X104" s="34"/>
      <c r="Y104" s="35"/>
      <c r="Z104" s="716"/>
      <c r="AA104" s="32"/>
      <c r="AB104" s="33"/>
      <c r="AC104" s="34"/>
      <c r="AD104" s="35"/>
      <c r="AE104" s="716"/>
      <c r="AF104" s="32"/>
      <c r="AG104" s="33"/>
      <c r="AH104" s="34"/>
      <c r="AI104" s="35"/>
      <c r="AJ104" s="716"/>
      <c r="AK104" s="32"/>
      <c r="AL104" s="33"/>
      <c r="AM104" s="34"/>
      <c r="AN104" s="35"/>
      <c r="AO104" s="716"/>
      <c r="AP104" s="32"/>
      <c r="AQ104" s="33"/>
      <c r="AR104" s="34"/>
      <c r="AS104" s="35"/>
      <c r="AT104" s="716"/>
      <c r="AU104" s="32"/>
      <c r="AV104" s="33"/>
      <c r="AW104" s="34"/>
      <c r="AX104" s="35"/>
      <c r="AY104" s="716"/>
      <c r="AZ104" s="32"/>
      <c r="BA104" s="33"/>
      <c r="BB104" s="34"/>
      <c r="BC104" s="35"/>
      <c r="BD104" s="716"/>
      <c r="BE104" s="32"/>
      <c r="BF104" s="33"/>
      <c r="BG104" s="34"/>
      <c r="BH104" s="35"/>
      <c r="BI104" s="716"/>
      <c r="BJ104" s="32"/>
      <c r="BK104" s="33"/>
      <c r="BL104" s="34"/>
      <c r="BM104" s="35"/>
      <c r="BN104" s="716"/>
      <c r="BO104" s="32"/>
      <c r="BP104" s="33"/>
      <c r="BQ104" s="34"/>
      <c r="BR104" s="35"/>
    </row>
    <row r="105" spans="1:70" ht="15" customHeight="1" x14ac:dyDescent="0.25"/>
    <row r="106" spans="1:70" ht="20.25" customHeight="1" x14ac:dyDescent="0.25"/>
    <row r="107" spans="1:70" ht="3.75" customHeight="1" x14ac:dyDescent="0.25"/>
    <row r="108" spans="1:70" ht="15" hidden="1" customHeight="1" x14ac:dyDescent="0.25"/>
    <row r="109" spans="1:70" ht="111.75" hidden="1" customHeight="1" x14ac:dyDescent="0.25"/>
    <row r="110" spans="1:70" ht="50.25" hidden="1" customHeight="1" x14ac:dyDescent="0.25"/>
    <row r="111" spans="1:70" ht="123" hidden="1" customHeight="1" x14ac:dyDescent="0.25">
      <c r="A111" s="37"/>
      <c r="B111" s="38"/>
      <c r="C111" s="39"/>
      <c r="D111" s="40"/>
      <c r="E111" s="41"/>
      <c r="F111" s="37"/>
      <c r="G111" s="38"/>
      <c r="H111" s="39"/>
      <c r="I111" s="40"/>
      <c r="J111" s="41"/>
      <c r="K111" s="37"/>
      <c r="L111" s="38"/>
      <c r="M111" s="39"/>
      <c r="N111" s="40"/>
      <c r="O111" s="41"/>
      <c r="P111" s="37"/>
      <c r="Q111" s="38"/>
      <c r="R111" s="39"/>
      <c r="S111" s="40"/>
      <c r="T111" s="41"/>
      <c r="U111" s="37"/>
      <c r="V111" s="38"/>
      <c r="W111" s="39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37"/>
      <c r="AK111" s="38"/>
      <c r="AL111" s="39"/>
      <c r="AM111" s="40"/>
      <c r="AN111" s="41"/>
      <c r="AO111" s="37"/>
      <c r="AP111" s="38"/>
      <c r="AQ111" s="39"/>
      <c r="AR111" s="40"/>
      <c r="AS111" s="41"/>
      <c r="AT111" s="37"/>
      <c r="AU111" s="38"/>
      <c r="AV111" s="39"/>
      <c r="AW111" s="40"/>
      <c r="AX111" s="41"/>
      <c r="AY111" s="37"/>
      <c r="AZ111" s="38"/>
      <c r="BA111" s="39"/>
      <c r="BB111" s="40"/>
      <c r="BC111" s="41"/>
      <c r="BD111" s="37"/>
      <c r="BE111" s="38"/>
      <c r="BF111" s="39"/>
      <c r="BG111" s="40"/>
      <c r="BH111" s="41"/>
      <c r="BI111" s="37"/>
      <c r="BJ111" s="38"/>
      <c r="BK111" s="39"/>
      <c r="BL111" s="40"/>
      <c r="BM111" s="41"/>
      <c r="BN111" s="37"/>
      <c r="BO111" s="38"/>
      <c r="BP111" s="39"/>
      <c r="BQ111" s="40"/>
      <c r="BR111" s="41"/>
    </row>
    <row r="112" spans="1:70" ht="33.75" x14ac:dyDescent="0.25">
      <c r="A112" s="674"/>
      <c r="B112" s="674"/>
      <c r="C112" s="674"/>
      <c r="D112" s="675"/>
      <c r="E112" s="675"/>
      <c r="F112" s="44"/>
      <c r="G112" s="702" cm="1">
        <f t="array" aca="1" ref="G112" ca="1">SUM(COUNTIF(INDIRECT({"B6","G6","L6","Q6","V6","AA6","AF6","AK6","AP6","AU6","AZ6","BE6","BJ6","BO6","B12","G12","L12","Q12","V12","AA12","AF12","AK12","AP12","AU12","AZ12","BE12","BJ12","BO12","B18","G18","L18","Q18","V18","AA18","AF18","AK18","AP18","AU18","AZ18","BE18","BJ18","BO18","B24","G24","L24","Q24","V24","AA24","AF24","AK24","AP24","AU24","AZ24","BE24","BJ24","BO24","B30","G30","L30","Q30","V30","AA30","AF30","AK30","AP30","AU30","AZ30","BE30","BJ30","BO30","B36","G36","L36","Q36","V36","AA36","AF36","AK36","AP36","AU36","AZ36","BE36","BJ36","BO36","B42","G42","L42","Q42","V42"}),"&gt;0"))</f>
        <v>89</v>
      </c>
      <c r="H112" s="702"/>
      <c r="I112" s="702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699" t="s">
        <v>521</v>
      </c>
      <c r="Y112" s="699"/>
      <c r="Z112" s="699"/>
      <c r="AA112" s="699"/>
      <c r="AB112" s="699"/>
      <c r="AC112" s="699"/>
      <c r="AD112" s="699"/>
      <c r="AE112" s="699"/>
      <c r="AF112" s="699"/>
      <c r="AG112" s="699"/>
      <c r="AH112" s="699"/>
      <c r="AI112" s="699"/>
      <c r="AJ112" s="697" t="s">
        <v>117</v>
      </c>
      <c r="AK112" s="697"/>
      <c r="AL112" s="697"/>
      <c r="AM112" s="697"/>
      <c r="AN112" s="697"/>
      <c r="AO112" s="697"/>
      <c r="AP112" s="697"/>
      <c r="AQ112" s="697"/>
      <c r="AR112" s="697"/>
      <c r="AS112" s="697"/>
      <c r="AT112" s="46"/>
      <c r="AU112" s="698" t="s">
        <v>118</v>
      </c>
      <c r="AV112" s="698"/>
      <c r="AW112" s="698"/>
      <c r="AX112" s="698"/>
      <c r="AY112" s="698"/>
      <c r="AZ112" s="698"/>
      <c r="BA112" s="698"/>
      <c r="BB112" s="698"/>
      <c r="BC112" s="698"/>
      <c r="BD112" s="698"/>
      <c r="BE112" s="698"/>
      <c r="BF112" s="698"/>
      <c r="BG112" s="699" t="s">
        <v>119</v>
      </c>
      <c r="BH112" s="699"/>
      <c r="BI112" s="699"/>
      <c r="BJ112" s="699"/>
      <c r="BK112" s="699"/>
      <c r="BL112" s="700">
        <f>D7+I7+N7+S7+X7+AH7+AM7+AR7+AW7+BB7+BG7+BL7+BQ7+D13+I13+N13+S13+X13+AC13+AH13+AM13+AR13+AW13+BB13+BG13+BL13+BQ13+D19+I19+N19+S19+X19+AC19+AH19+AM19+AR19+AW19+BB19+BG19+BL19+BQ19+D25+I25+N25+S25+X25+AC25+AH25+AM25+AR25+AW25+BB25+BG25+BL25+D31+I31+BQ25+N31+S31+X31+AC31+AH31+AM31+AR31+AW31+BB31+BG31+BL31+BQ31+BQ37+BL37+BG37+BB37+AW37+AR37+AM37+AH37+AC37+X37+S37+N37+I37+D37+D43+I43+N43+S43+X43+AC43+AH43+AM43+AR43+AW43+BB43+BG43+BL43+BQ43+BQ49+BL49+BG49+BB49+AW49+AR49+AM49+AH49+AC49+X49+S49+N49+I49+D49+D68+I68+N68+S68+X68+AC68+AH68+AM68+AR68+AW68+BB68+BG68+BL68+BQ68+BQ74+BL74+BG74+BB74+AW74+AR74+AM74+AH74+AC74+X74+S74+N74+I74+D74+D80+I80+N80+S80+X80+AC80+AH80+AM80+AR80+AW80+BB80+BG80+BL80+BQ80+BQ86+BL86+BG86+BB86+AW86+AR98+AW98+BB98+BG98+BL98+BQ98+D104+I104++AR86+AM86+AH86+AC86+X86+S86+N86+I86+D86+D92+I92+N92+S92+X92+AC92+AH92+AM92+AR92+AW92+BB92+BG92+BL92+BQ92+AM98+AH98+AC98+X98+S98+N98+I98+D98+N104+S104+X104+AC104+AH104+AM104</f>
        <v>24</v>
      </c>
      <c r="BM112" s="700"/>
      <c r="BN112" s="700"/>
      <c r="BO112" s="700"/>
      <c r="BP112" s="701" t="s">
        <v>120</v>
      </c>
      <c r="BQ112" s="701"/>
      <c r="BR112" s="701"/>
    </row>
    <row r="113" spans="1:70" ht="25.5" customHeight="1" x14ac:dyDescent="0.25">
      <c r="A113" s="676"/>
      <c r="B113" s="676"/>
      <c r="C113" s="676"/>
      <c r="D113" s="29"/>
      <c r="E113" s="29"/>
      <c r="F113" s="47"/>
      <c r="G113" s="702"/>
      <c r="H113" s="702"/>
      <c r="I113" s="702"/>
      <c r="J113" s="48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699"/>
      <c r="Y113" s="699"/>
      <c r="Z113" s="699"/>
      <c r="AA113" s="699"/>
      <c r="AB113" s="699"/>
      <c r="AC113" s="699"/>
      <c r="AD113" s="699"/>
      <c r="AE113" s="699"/>
      <c r="AF113" s="699"/>
      <c r="AG113" s="699"/>
      <c r="AH113" s="699"/>
      <c r="AI113" s="699"/>
      <c r="AJ113" s="697"/>
      <c r="AK113" s="697"/>
      <c r="AL113" s="697"/>
      <c r="AM113" s="697"/>
      <c r="AN113" s="697"/>
      <c r="AO113" s="697"/>
      <c r="AP113" s="697"/>
      <c r="AQ113" s="697"/>
      <c r="AR113" s="697"/>
      <c r="AS113" s="697"/>
      <c r="AT113" s="46"/>
      <c r="AU113" s="698"/>
      <c r="AV113" s="698"/>
      <c r="AW113" s="698"/>
      <c r="AX113" s="698"/>
      <c r="AY113" s="698"/>
      <c r="AZ113" s="698"/>
      <c r="BA113" s="698"/>
      <c r="BB113" s="698"/>
      <c r="BC113" s="698"/>
      <c r="BD113" s="698"/>
      <c r="BE113" s="698"/>
      <c r="BF113" s="698"/>
      <c r="BG113" s="699"/>
      <c r="BH113" s="699"/>
      <c r="BI113" s="699"/>
      <c r="BJ113" s="699"/>
      <c r="BK113" s="699"/>
      <c r="BL113" s="700"/>
      <c r="BM113" s="700"/>
      <c r="BN113" s="700"/>
      <c r="BO113" s="700"/>
      <c r="BP113" s="701"/>
      <c r="BQ113" s="701"/>
      <c r="BR113" s="701"/>
    </row>
    <row r="114" spans="1:70" ht="24" customHeight="1" x14ac:dyDescent="0.25">
      <c r="A114" s="676"/>
      <c r="B114" s="676"/>
      <c r="C114" s="676"/>
      <c r="D114" s="29"/>
      <c r="E114" s="29"/>
      <c r="F114" s="47"/>
      <c r="G114" s="702"/>
      <c r="H114" s="702"/>
      <c r="I114" s="702"/>
      <c r="J114" s="48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699"/>
      <c r="Y114" s="699"/>
      <c r="Z114" s="699"/>
      <c r="AA114" s="699"/>
      <c r="AB114" s="699"/>
      <c r="AC114" s="699"/>
      <c r="AD114" s="699"/>
      <c r="AE114" s="699"/>
      <c r="AF114" s="699"/>
      <c r="AG114" s="699"/>
      <c r="AH114" s="699"/>
      <c r="AI114" s="699"/>
      <c r="AJ114" s="697"/>
      <c r="AK114" s="697"/>
      <c r="AL114" s="697"/>
      <c r="AM114" s="697"/>
      <c r="AN114" s="697"/>
      <c r="AO114" s="697"/>
      <c r="AP114" s="697"/>
      <c r="AQ114" s="697"/>
      <c r="AR114" s="697"/>
      <c r="AS114" s="697"/>
      <c r="AT114" s="46"/>
      <c r="AU114" s="698"/>
      <c r="AV114" s="698"/>
      <c r="AW114" s="698"/>
      <c r="AX114" s="698"/>
      <c r="AY114" s="698"/>
      <c r="AZ114" s="698"/>
      <c r="BA114" s="698"/>
      <c r="BB114" s="698"/>
      <c r="BC114" s="698"/>
      <c r="BD114" s="698"/>
      <c r="BE114" s="698"/>
      <c r="BF114" s="698"/>
      <c r="BG114" s="699"/>
      <c r="BH114" s="699"/>
      <c r="BI114" s="699"/>
      <c r="BJ114" s="699"/>
      <c r="BK114" s="699"/>
      <c r="BL114" s="700"/>
      <c r="BM114" s="700"/>
      <c r="BN114" s="700"/>
      <c r="BO114" s="700"/>
      <c r="BP114" s="701"/>
      <c r="BQ114" s="701"/>
      <c r="BR114" s="701"/>
    </row>
    <row r="115" spans="1:70" ht="21.75" customHeight="1" x14ac:dyDescent="0.25">
      <c r="A115" s="676"/>
      <c r="B115" s="676"/>
      <c r="C115" s="676"/>
      <c r="D115" s="675"/>
      <c r="E115" s="675"/>
      <c r="F115" s="47"/>
      <c r="G115" s="703" cm="1">
        <f t="array" aca="1" ref="G115" ca="1">SUM(COUNTIF(INDIRECT({"B7","G7","L7","Q7","V7","AA7","AF7","AK7","AP7","AU7","AZ7","BE7","BJ7","BO7","B13","G13","L13","Q13","V13","AA13","AF13","AK13","AP13","AU13","AZ13","BE13","BJ13","BO13","B19","G19","L19","Q19","V19","AA19","AF19","AK19","AP19","AU19","AZ19","BE19","BJ19","BO19","B25","G25","L25","Q25","V25","AA25","AF25","AK25","AP25","AU25","AZ25","BE25","BJ25","BO25","B31","G31","L31","Q31","V31","AA31","AF31","AK31","AP31","AU31","AZ31","BE31","BJ31","BO31","B37","G37","L37","Q37","V37","AA37","AF37","AK37","AP37","AU37","AZ37","BE37","BJ37","BO37","B43","G43","L43","Q43","V43"}),"&gt;0"))</f>
        <v>89</v>
      </c>
      <c r="H115" s="703"/>
      <c r="I115" s="703"/>
      <c r="J115" s="48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699"/>
      <c r="Y115" s="699"/>
      <c r="Z115" s="699"/>
      <c r="AA115" s="699"/>
      <c r="AB115" s="699"/>
      <c r="AC115" s="699"/>
      <c r="AD115" s="699"/>
      <c r="AE115" s="699"/>
      <c r="AF115" s="699"/>
      <c r="AG115" s="699"/>
      <c r="AH115" s="699"/>
      <c r="AI115" s="699"/>
      <c r="AJ115" s="697"/>
      <c r="AK115" s="697"/>
      <c r="AL115" s="697"/>
      <c r="AM115" s="697"/>
      <c r="AN115" s="697"/>
      <c r="AO115" s="697"/>
      <c r="AP115" s="697"/>
      <c r="AQ115" s="697"/>
      <c r="AR115" s="697"/>
      <c r="AS115" s="697"/>
      <c r="AT115" s="46"/>
      <c r="AU115" s="698"/>
      <c r="AV115" s="698"/>
      <c r="AW115" s="698"/>
      <c r="AX115" s="698"/>
      <c r="AY115" s="698"/>
      <c r="AZ115" s="698"/>
      <c r="BA115" s="698"/>
      <c r="BB115" s="698"/>
      <c r="BC115" s="698"/>
      <c r="BD115" s="698"/>
      <c r="BE115" s="698"/>
      <c r="BF115" s="698"/>
      <c r="BG115" s="699"/>
      <c r="BH115" s="699"/>
      <c r="BI115" s="699"/>
      <c r="BJ115" s="699"/>
      <c r="BK115" s="699"/>
      <c r="BL115" s="700"/>
      <c r="BM115" s="700"/>
      <c r="BN115" s="700"/>
      <c r="BO115" s="700"/>
      <c r="BP115" s="701"/>
      <c r="BQ115" s="701"/>
      <c r="BR115" s="701"/>
    </row>
    <row r="116" spans="1:70" ht="21.75" customHeight="1" x14ac:dyDescent="0.25">
      <c r="B116" s="17"/>
      <c r="G116" s="703"/>
      <c r="H116" s="703"/>
      <c r="I116" s="703"/>
      <c r="J116" s="48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722" t="s">
        <v>13</v>
      </c>
      <c r="Y116" s="722"/>
      <c r="Z116" s="722"/>
      <c r="AA116" s="722"/>
      <c r="AB116" s="722"/>
      <c r="AC116" s="722"/>
      <c r="AD116" s="722"/>
      <c r="AE116" s="722"/>
      <c r="AF116" s="722"/>
      <c r="AG116" s="722"/>
      <c r="AH116" s="722"/>
      <c r="AI116" s="722"/>
      <c r="AJ116" s="723">
        <f>AU116-Z128</f>
        <v>-4.9999667488833666E-3</v>
      </c>
      <c r="AK116" s="723"/>
      <c r="AL116" s="723"/>
      <c r="AM116" s="723"/>
      <c r="AN116" s="723"/>
      <c r="AO116" s="723"/>
      <c r="AP116" s="723"/>
      <c r="AQ116" s="723"/>
      <c r="AR116" s="723"/>
      <c r="AS116" s="723"/>
      <c r="AT116" s="723"/>
      <c r="AU116" s="707">
        <f>B7+G7+L7+Q7+V7+AA7+AF7+AK7+AP7+AU7+AZ7+BE7+BJ7+BO7+BO13+BJ13+BE13+AZ13+AU13+AP13+AK13+AF13+AA13+V13+Q13+L13+G13+B13+B19+G19+L19+Q19+V19+AA19+AF19+AK19+AP19+AU19+AZ19+BE19+BJ19+BO19+BO25+BJ25+BE25+AZ25+AU25+AP25+AK25+AF25+AA25+V25+Q25+L25+G25+B31+B25+G31+L31+Q31+V31+AA31+AF31+AK31+AP31+AU31+AZ31+BE31+BJ31+BO31+BO37+BJ37+BE37+AZ37+AU37+AP37+AK37+AF37+AA37+V37+Q37+L37+G37+B37+B43+G43+L43+Q43+V43+AA43+AF43+AK43+AP43+AU43+AZ43+BE43+BJ43+BO43+BO49+BJ49+BE49+AZ49+AU49+AP49+AK49+AF49+AA49+V49+Q49+L49+G49+B49+B68+G68+L68+Q68+V68+AA68+AF68+AK68+AP68+AU68+AZ68+BE68+BJ68+BO68+BO74+BJ74+BE74+AZ74+AU74+AP74+AK74+AF74+AA74+V74+Q74+L74+G74+B74+B80+G80+L80+Q80+V80+AA80+AF80+AK80+AP80+AU80+AZ80+BE80+BJ80+BO80+BO86+BJ86+BE86+AZ86+AU86+AP86+AK86+AF86+AA86+V86+Q86+L86+G86+B86+B92+G92+L92+Q92+V92+AA92+AF92+AK92+AP92+AU92+AZ92+BE92+BJ92+BO92+B98+G98+L98+Q98+V98+AA98+AF98+AK98+AP98+AU98+AZ98+BE98+BJ98+BO98+B104+G104+L104+Q104+V104+AA104+AF104+AK104</f>
        <v>72.375000033251112</v>
      </c>
      <c r="AV116" s="707"/>
      <c r="AW116" s="707"/>
      <c r="AX116" s="707"/>
      <c r="AY116" s="707"/>
      <c r="AZ116" s="707"/>
      <c r="BA116" s="707"/>
      <c r="BB116" s="707"/>
      <c r="BC116" s="707"/>
      <c r="BD116" s="707"/>
      <c r="BE116" s="707"/>
      <c r="BF116" s="707"/>
      <c r="BG116" s="699"/>
      <c r="BH116" s="699"/>
      <c r="BI116" s="699"/>
      <c r="BJ116" s="699"/>
      <c r="BK116" s="699"/>
      <c r="BL116" s="708">
        <f>BL112*1.5</f>
        <v>36</v>
      </c>
      <c r="BM116" s="708"/>
      <c r="BN116" s="708"/>
      <c r="BO116" s="708"/>
      <c r="BP116" s="708"/>
      <c r="BQ116" s="708"/>
      <c r="BR116" s="708"/>
    </row>
    <row r="117" spans="1:70" ht="21.75" customHeight="1" x14ac:dyDescent="0.25">
      <c r="G117" s="703"/>
      <c r="H117" s="703"/>
      <c r="I117" s="703"/>
      <c r="J117" s="52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722"/>
      <c r="Y117" s="722"/>
      <c r="Z117" s="722"/>
      <c r="AA117" s="722"/>
      <c r="AB117" s="722"/>
      <c r="AC117" s="722"/>
      <c r="AD117" s="722"/>
      <c r="AE117" s="722"/>
      <c r="AF117" s="722"/>
      <c r="AG117" s="722"/>
      <c r="AH117" s="722"/>
      <c r="AI117" s="722"/>
      <c r="AJ117" s="723"/>
      <c r="AK117" s="723"/>
      <c r="AL117" s="723"/>
      <c r="AM117" s="723"/>
      <c r="AN117" s="723"/>
      <c r="AO117" s="723"/>
      <c r="AP117" s="723"/>
      <c r="AQ117" s="723"/>
      <c r="AR117" s="723"/>
      <c r="AS117" s="723"/>
      <c r="AT117" s="723"/>
      <c r="AU117" s="707"/>
      <c r="AV117" s="707"/>
      <c r="AW117" s="707"/>
      <c r="AX117" s="707"/>
      <c r="AY117" s="707"/>
      <c r="AZ117" s="707"/>
      <c r="BA117" s="707"/>
      <c r="BB117" s="707"/>
      <c r="BC117" s="707"/>
      <c r="BD117" s="707"/>
      <c r="BE117" s="707"/>
      <c r="BF117" s="707"/>
      <c r="BG117" s="699"/>
      <c r="BH117" s="699"/>
      <c r="BI117" s="699"/>
      <c r="BJ117" s="699"/>
      <c r="BK117" s="699"/>
      <c r="BL117" s="708"/>
      <c r="BM117" s="708"/>
      <c r="BN117" s="708"/>
      <c r="BO117" s="708"/>
      <c r="BP117" s="708"/>
      <c r="BQ117" s="708"/>
      <c r="BR117" s="708"/>
    </row>
    <row r="118" spans="1:70" ht="25.5" customHeight="1" x14ac:dyDescent="0.25">
      <c r="G118" s="2110">
        <v>87</v>
      </c>
      <c r="H118" s="2110"/>
      <c r="I118" s="2110"/>
      <c r="J118" s="52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722"/>
      <c r="Y118" s="722"/>
      <c r="Z118" s="722"/>
      <c r="AA118" s="722"/>
      <c r="AB118" s="722"/>
      <c r="AC118" s="722"/>
      <c r="AD118" s="722"/>
      <c r="AE118" s="722"/>
      <c r="AF118" s="722"/>
      <c r="AG118" s="722"/>
      <c r="AH118" s="722"/>
      <c r="AI118" s="722"/>
      <c r="AJ118" s="723"/>
      <c r="AK118" s="723"/>
      <c r="AL118" s="723"/>
      <c r="AM118" s="723"/>
      <c r="AN118" s="723"/>
      <c r="AO118" s="723"/>
      <c r="AP118" s="723"/>
      <c r="AQ118" s="723"/>
      <c r="AR118" s="723"/>
      <c r="AS118" s="723"/>
      <c r="AT118" s="723"/>
      <c r="AU118" s="707"/>
      <c r="AV118" s="707"/>
      <c r="AW118" s="707"/>
      <c r="AX118" s="707"/>
      <c r="AY118" s="707"/>
      <c r="AZ118" s="707"/>
      <c r="BA118" s="707"/>
      <c r="BB118" s="707"/>
      <c r="BC118" s="707"/>
      <c r="BD118" s="707"/>
      <c r="BE118" s="707"/>
      <c r="BF118" s="707"/>
      <c r="BG118" s="699"/>
      <c r="BH118" s="699"/>
      <c r="BI118" s="699"/>
      <c r="BJ118" s="699"/>
      <c r="BK118" s="699"/>
      <c r="BL118" s="708"/>
      <c r="BM118" s="708"/>
      <c r="BN118" s="708"/>
      <c r="BO118" s="708"/>
      <c r="BP118" s="708"/>
      <c r="BQ118" s="708"/>
      <c r="BR118" s="708"/>
    </row>
    <row r="119" spans="1:70" ht="41.25" customHeight="1" x14ac:dyDescent="0.25">
      <c r="G119" s="2110"/>
      <c r="H119" s="2110"/>
      <c r="I119" s="2110"/>
      <c r="J119" s="52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722"/>
      <c r="Y119" s="722"/>
      <c r="Z119" s="722"/>
      <c r="AA119" s="722"/>
      <c r="AB119" s="722"/>
      <c r="AC119" s="722"/>
      <c r="AD119" s="722"/>
      <c r="AE119" s="722"/>
      <c r="AF119" s="722"/>
      <c r="AG119" s="722"/>
      <c r="AH119" s="722"/>
      <c r="AI119" s="722"/>
      <c r="AJ119" s="723"/>
      <c r="AK119" s="723"/>
      <c r="AL119" s="723"/>
      <c r="AM119" s="723"/>
      <c r="AN119" s="723"/>
      <c r="AO119" s="723"/>
      <c r="AP119" s="723"/>
      <c r="AQ119" s="723"/>
      <c r="AR119" s="723"/>
      <c r="AS119" s="723"/>
      <c r="AT119" s="723"/>
      <c r="AU119" s="707"/>
      <c r="AV119" s="707"/>
      <c r="AW119" s="707"/>
      <c r="AX119" s="707"/>
      <c r="AY119" s="707"/>
      <c r="AZ119" s="707"/>
      <c r="BA119" s="707"/>
      <c r="BB119" s="707"/>
      <c r="BC119" s="707"/>
      <c r="BD119" s="707"/>
      <c r="BE119" s="707"/>
      <c r="BF119" s="707"/>
      <c r="BG119" s="699"/>
      <c r="BH119" s="699"/>
      <c r="BI119" s="699"/>
      <c r="BJ119" s="699"/>
      <c r="BK119" s="699"/>
      <c r="BL119" s="708"/>
      <c r="BM119" s="708"/>
      <c r="BN119" s="708"/>
      <c r="BO119" s="708"/>
      <c r="BP119" s="708"/>
      <c r="BQ119" s="708"/>
      <c r="BR119" s="708"/>
    </row>
    <row r="120" spans="1:70" ht="41.25" customHeight="1" x14ac:dyDescent="0.25">
      <c r="G120" s="703">
        <v>87</v>
      </c>
      <c r="H120" s="703"/>
      <c r="I120" s="703"/>
      <c r="J120" s="52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722"/>
      <c r="Y120" s="722"/>
      <c r="Z120" s="722"/>
      <c r="AA120" s="722"/>
      <c r="AB120" s="722"/>
      <c r="AC120" s="722"/>
      <c r="AD120" s="722"/>
      <c r="AE120" s="722"/>
      <c r="AF120" s="722"/>
      <c r="AG120" s="722"/>
      <c r="AH120" s="722"/>
      <c r="AI120" s="722"/>
      <c r="AJ120" s="723"/>
      <c r="AK120" s="723"/>
      <c r="AL120" s="723"/>
      <c r="AM120" s="723"/>
      <c r="AN120" s="723"/>
      <c r="AO120" s="723"/>
      <c r="AP120" s="723"/>
      <c r="AQ120" s="723"/>
      <c r="AR120" s="723"/>
      <c r="AS120" s="723"/>
      <c r="AT120" s="723"/>
      <c r="AU120" s="707"/>
      <c r="AV120" s="707"/>
      <c r="AW120" s="707"/>
      <c r="AX120" s="707"/>
      <c r="AY120" s="707"/>
      <c r="AZ120" s="707"/>
      <c r="BA120" s="707"/>
      <c r="BB120" s="707"/>
      <c r="BC120" s="707"/>
      <c r="BD120" s="707"/>
      <c r="BE120" s="707"/>
      <c r="BF120" s="707"/>
      <c r="BG120" s="699"/>
      <c r="BH120" s="699"/>
      <c r="BI120" s="699"/>
      <c r="BJ120" s="699"/>
      <c r="BK120" s="699"/>
      <c r="BL120" s="699" t="s">
        <v>121</v>
      </c>
      <c r="BM120" s="699"/>
      <c r="BN120" s="699"/>
      <c r="BO120" s="699"/>
      <c r="BP120" s="699"/>
      <c r="BQ120" s="699"/>
      <c r="BR120" s="699"/>
    </row>
    <row r="121" spans="1:70" ht="30" customHeight="1" x14ac:dyDescent="0.25">
      <c r="G121" s="703"/>
      <c r="H121" s="703"/>
      <c r="I121" s="703"/>
      <c r="J121" s="52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722"/>
      <c r="Y121" s="722"/>
      <c r="Z121" s="722"/>
      <c r="AA121" s="722"/>
      <c r="AB121" s="722"/>
      <c r="AC121" s="722"/>
      <c r="AD121" s="722"/>
      <c r="AE121" s="722"/>
      <c r="AF121" s="722"/>
      <c r="AG121" s="722"/>
      <c r="AH121" s="722"/>
      <c r="AI121" s="722"/>
      <c r="AJ121" s="723"/>
      <c r="AK121" s="723"/>
      <c r="AL121" s="723"/>
      <c r="AM121" s="723"/>
      <c r="AN121" s="723"/>
      <c r="AO121" s="723"/>
      <c r="AP121" s="723"/>
      <c r="AQ121" s="723"/>
      <c r="AR121" s="723"/>
      <c r="AS121" s="723"/>
      <c r="AT121" s="723"/>
      <c r="AU121" s="707"/>
      <c r="AV121" s="707"/>
      <c r="AW121" s="707"/>
      <c r="AX121" s="707"/>
      <c r="AY121" s="707"/>
      <c r="AZ121" s="707"/>
      <c r="BA121" s="707"/>
      <c r="BB121" s="707"/>
      <c r="BC121" s="707"/>
      <c r="BD121" s="707"/>
      <c r="BE121" s="707"/>
      <c r="BF121" s="707"/>
      <c r="BG121" s="699"/>
      <c r="BH121" s="699"/>
      <c r="BI121" s="699"/>
      <c r="BJ121" s="699"/>
      <c r="BK121" s="699"/>
      <c r="BL121" s="699"/>
      <c r="BM121" s="699"/>
      <c r="BN121" s="699"/>
      <c r="BO121" s="699"/>
      <c r="BP121" s="699"/>
      <c r="BQ121" s="699"/>
      <c r="BR121" s="699"/>
    </row>
    <row r="126" spans="1:70" x14ac:dyDescent="0.25">
      <c r="AJ126" s="1419">
        <v>114</v>
      </c>
      <c r="AK126" s="1419"/>
      <c r="AL126" s="1419"/>
      <c r="AM126" s="746" cm="1">
        <f t="array" aca="1" ref="AM126" ca="1">SUM(COUNTIF(INDIRECT({"B7","G7","L7","Q7","V7","AA7"}),"&gt;0"))</f>
        <v>6</v>
      </c>
      <c r="AN126" s="746"/>
      <c r="AO126" s="746"/>
      <c r="AP126" s="747">
        <f ca="1">AM126*AJ126</f>
        <v>684</v>
      </c>
      <c r="AQ126" s="748"/>
      <c r="AR126" s="748"/>
      <c r="AS126" s="749"/>
    </row>
    <row r="127" spans="1:70" ht="15.75" thickBot="1" x14ac:dyDescent="0.3">
      <c r="AJ127" s="1419"/>
      <c r="AK127" s="1419"/>
      <c r="AL127" s="1419"/>
      <c r="AM127" s="746"/>
      <c r="AN127" s="746"/>
      <c r="AO127" s="746"/>
      <c r="AP127" s="747"/>
      <c r="AQ127" s="748"/>
      <c r="AR127" s="748"/>
      <c r="AS127" s="749"/>
    </row>
    <row r="128" spans="1:70" ht="15.75" thickTop="1" x14ac:dyDescent="0.25">
      <c r="D128" s="581" t="s">
        <v>681</v>
      </c>
      <c r="E128" s="581"/>
      <c r="F128" s="581"/>
      <c r="G128" s="581"/>
      <c r="H128" s="581"/>
      <c r="I128" s="581"/>
      <c r="J128" s="581"/>
      <c r="K128" s="581"/>
      <c r="L128" s="581"/>
      <c r="M128" s="581"/>
      <c r="N128" s="581"/>
      <c r="O128" s="581"/>
      <c r="P128" s="581"/>
      <c r="Q128" s="581"/>
      <c r="R128" s="581"/>
      <c r="S128" s="581"/>
      <c r="Z128" s="775">
        <v>72.38</v>
      </c>
      <c r="AA128" s="776"/>
      <c r="AB128" s="776"/>
      <c r="AC128" s="776"/>
      <c r="AD128" s="777"/>
      <c r="AH128" s="348"/>
      <c r="AI128" s="348"/>
      <c r="AJ128" s="1419"/>
      <c r="AK128" s="1419"/>
      <c r="AL128" s="1419"/>
      <c r="AM128" s="746"/>
      <c r="AN128" s="746"/>
      <c r="AO128" s="746"/>
      <c r="AP128" s="747"/>
      <c r="AQ128" s="748"/>
      <c r="AR128" s="748"/>
      <c r="AS128" s="749"/>
      <c r="AU128" s="739"/>
      <c r="AV128" s="740"/>
      <c r="AW128" s="740"/>
      <c r="AX128" s="740"/>
      <c r="AY128" s="740"/>
      <c r="AZ128" s="740"/>
      <c r="BA128" s="740"/>
      <c r="BB128" s="740"/>
      <c r="BC128" s="740"/>
      <c r="BD128" s="741"/>
      <c r="BE128" s="13"/>
    </row>
    <row r="129" spans="4:84" ht="15" customHeight="1" x14ac:dyDescent="0.25">
      <c r="D129" s="581"/>
      <c r="E129" s="581"/>
      <c r="F129" s="581"/>
      <c r="G129" s="581"/>
      <c r="H129" s="581"/>
      <c r="I129" s="581"/>
      <c r="J129" s="581"/>
      <c r="K129" s="581"/>
      <c r="L129" s="581"/>
      <c r="M129" s="581"/>
      <c r="N129" s="581"/>
      <c r="O129" s="581"/>
      <c r="P129" s="581"/>
      <c r="Q129" s="581"/>
      <c r="R129" s="581"/>
      <c r="S129" s="581"/>
      <c r="Z129" s="778"/>
      <c r="AA129" s="779"/>
      <c r="AB129" s="779"/>
      <c r="AC129" s="779"/>
      <c r="AD129" s="780"/>
      <c r="AH129" s="348"/>
      <c r="AI129" s="348"/>
      <c r="AJ129" s="1419">
        <v>77</v>
      </c>
      <c r="AK129" s="1419"/>
      <c r="AL129" s="1419"/>
      <c r="AM129" s="746" cm="1">
        <f t="array" aca="1" ref="AM129" ca="1">SUM(COUNTIF(INDIRECT({"AF7","AK7","AP7","AU7","AZ7","BE7"}),"&gt;0"))</f>
        <v>6</v>
      </c>
      <c r="AN129" s="746"/>
      <c r="AO129" s="746"/>
      <c r="AP129" s="747">
        <f t="shared" ref="AP129" ca="1" si="83">AM129*AJ129</f>
        <v>462</v>
      </c>
      <c r="AQ129" s="748"/>
      <c r="AR129" s="748"/>
      <c r="AS129" s="749"/>
      <c r="AU129" s="750"/>
      <c r="AV129" s="751"/>
      <c r="AW129" s="751"/>
      <c r="AX129" s="751"/>
      <c r="AY129" s="751"/>
      <c r="AZ129" s="751"/>
      <c r="BA129" s="751"/>
      <c r="BB129" s="751"/>
      <c r="BC129" s="751"/>
      <c r="BD129" s="752"/>
      <c r="BE129" s="13"/>
    </row>
    <row r="130" spans="4:84" ht="15" customHeight="1" x14ac:dyDescent="0.25">
      <c r="D130" s="581"/>
      <c r="E130" s="581"/>
      <c r="F130" s="581"/>
      <c r="G130" s="581"/>
      <c r="H130" s="581"/>
      <c r="I130" s="581"/>
      <c r="J130" s="581"/>
      <c r="K130" s="581"/>
      <c r="L130" s="581"/>
      <c r="M130" s="581"/>
      <c r="N130" s="581"/>
      <c r="O130" s="581"/>
      <c r="P130" s="581"/>
      <c r="Q130" s="581"/>
      <c r="R130" s="581"/>
      <c r="S130" s="581"/>
      <c r="Z130" s="778"/>
      <c r="AA130" s="779"/>
      <c r="AB130" s="779"/>
      <c r="AC130" s="779"/>
      <c r="AD130" s="780"/>
      <c r="AH130" s="348"/>
      <c r="AI130" s="348"/>
      <c r="AJ130" s="1419"/>
      <c r="AK130" s="1419"/>
      <c r="AL130" s="1419"/>
      <c r="AM130" s="746"/>
      <c r="AN130" s="746"/>
      <c r="AO130" s="746"/>
      <c r="AP130" s="747"/>
      <c r="AQ130" s="748"/>
      <c r="AR130" s="748"/>
      <c r="AS130" s="749"/>
      <c r="AU130" s="742"/>
      <c r="AV130" s="743"/>
      <c r="AW130" s="743"/>
      <c r="AX130" s="743"/>
      <c r="AY130" s="743"/>
      <c r="AZ130" s="743"/>
      <c r="BA130" s="743"/>
      <c r="BB130" s="743"/>
      <c r="BC130" s="743"/>
      <c r="BD130" s="744"/>
      <c r="BE130" s="13"/>
    </row>
    <row r="131" spans="4:84" ht="15" customHeight="1" x14ac:dyDescent="0.25">
      <c r="D131" s="581"/>
      <c r="E131" s="581"/>
      <c r="F131" s="581"/>
      <c r="G131" s="581"/>
      <c r="H131" s="581"/>
      <c r="I131" s="581"/>
      <c r="J131" s="581"/>
      <c r="K131" s="581"/>
      <c r="L131" s="581"/>
      <c r="M131" s="581"/>
      <c r="N131" s="581"/>
      <c r="O131" s="581"/>
      <c r="P131" s="581"/>
      <c r="Q131" s="581"/>
      <c r="R131" s="581"/>
      <c r="S131" s="581"/>
      <c r="Z131" s="778"/>
      <c r="AA131" s="779"/>
      <c r="AB131" s="779"/>
      <c r="AC131" s="779"/>
      <c r="AD131" s="780"/>
      <c r="AH131" s="338"/>
      <c r="AI131" s="338"/>
      <c r="AJ131" s="1419"/>
      <c r="AK131" s="1419"/>
      <c r="AL131" s="1419"/>
      <c r="AM131" s="746"/>
      <c r="AN131" s="746"/>
      <c r="AO131" s="746"/>
      <c r="AP131" s="747"/>
      <c r="AQ131" s="748"/>
      <c r="AR131" s="748"/>
      <c r="AS131" s="749"/>
      <c r="AU131" s="727"/>
      <c r="AV131" s="727"/>
      <c r="AW131" s="727"/>
      <c r="AX131" s="727"/>
      <c r="AY131" s="727"/>
      <c r="AZ131" s="727"/>
      <c r="BA131" s="727"/>
      <c r="BB131" s="727"/>
      <c r="BC131" s="727"/>
      <c r="BD131" s="727"/>
      <c r="BE131" s="13"/>
    </row>
    <row r="132" spans="4:84" ht="15" customHeight="1" x14ac:dyDescent="0.25">
      <c r="D132" s="581"/>
      <c r="E132" s="581"/>
      <c r="F132" s="581"/>
      <c r="G132" s="581"/>
      <c r="H132" s="581"/>
      <c r="I132" s="581"/>
      <c r="J132" s="581"/>
      <c r="K132" s="581"/>
      <c r="L132" s="581"/>
      <c r="M132" s="581"/>
      <c r="N132" s="581"/>
      <c r="O132" s="581"/>
      <c r="P132" s="581"/>
      <c r="Q132" s="581"/>
      <c r="R132" s="581"/>
      <c r="S132" s="581"/>
      <c r="Z132" s="778"/>
      <c r="AA132" s="779"/>
      <c r="AB132" s="779"/>
      <c r="AC132" s="779"/>
      <c r="AD132" s="780"/>
      <c r="AH132" s="338"/>
      <c r="AI132" s="338"/>
      <c r="AJ132" s="1419">
        <v>61</v>
      </c>
      <c r="AK132" s="1419"/>
      <c r="AL132" s="1419"/>
      <c r="AM132" s="746" cm="1">
        <f t="array" aca="1" ref="AM132" ca="1">SUM(COUNTIF(INDIRECT({"BJ7","BO7","B13","G13","L13","Q13","V13","AA13","AF13","AK13","AP13","AU13","AZ13","BE13","BJ13","BO13","B19","G19","L19","Q19","V19","AA19","AF19","AK19","AP19","AU19","AZ19","BE19","BJ19","BO19","B25","G25","L25","Q25","V25","AA25","AF25","AK25","AP25","AU25","AZ25","BE25","BJ25","BO25","B31","G31","L31","Q31","V31","AA31","AF31","AK31","AP31","AU31","AZ31","BE31","BJ31","BO31","B37","G37","L37","Q37","V37","AA37","AF37","AK37","AP37","AU37","AZ37","BE37","BJ37","BO37","B43","G43","L43","Q43","V43"}),"&gt;0"))</f>
        <v>77</v>
      </c>
      <c r="AN132" s="746"/>
      <c r="AO132" s="746"/>
      <c r="AP132" s="747">
        <f t="shared" ref="AP132" ca="1" si="84">AM132*AJ132</f>
        <v>4697</v>
      </c>
      <c r="AQ132" s="748"/>
      <c r="AR132" s="748"/>
      <c r="AS132" s="749"/>
      <c r="AU132" s="727"/>
      <c r="AV132" s="727"/>
      <c r="AW132" s="727"/>
      <c r="AX132" s="727"/>
      <c r="AY132" s="727"/>
      <c r="AZ132" s="727"/>
      <c r="BA132" s="727"/>
      <c r="BB132" s="727"/>
      <c r="BC132" s="727"/>
      <c r="BD132" s="727"/>
      <c r="BE132" s="13"/>
    </row>
    <row r="133" spans="4:84" ht="26.25" x14ac:dyDescent="0.25">
      <c r="D133" s="581"/>
      <c r="E133" s="581"/>
      <c r="F133" s="581"/>
      <c r="G133" s="581"/>
      <c r="H133" s="581"/>
      <c r="I133" s="581"/>
      <c r="J133" s="581"/>
      <c r="K133" s="581"/>
      <c r="L133" s="581"/>
      <c r="M133" s="581"/>
      <c r="N133" s="581"/>
      <c r="O133" s="581"/>
      <c r="P133" s="581"/>
      <c r="Q133" s="581"/>
      <c r="R133" s="581"/>
      <c r="S133" s="581"/>
      <c r="Z133" s="778"/>
      <c r="AA133" s="779"/>
      <c r="AB133" s="779"/>
      <c r="AC133" s="779"/>
      <c r="AD133" s="780"/>
      <c r="AH133" s="338"/>
      <c r="AI133" s="338"/>
      <c r="AJ133" s="1419"/>
      <c r="AK133" s="1419"/>
      <c r="AL133" s="1419"/>
      <c r="AM133" s="746"/>
      <c r="AN133" s="746"/>
      <c r="AO133" s="746"/>
      <c r="AP133" s="747"/>
      <c r="AQ133" s="748"/>
      <c r="AR133" s="748"/>
      <c r="AS133" s="749"/>
      <c r="AU133" s="728"/>
      <c r="AV133" s="729"/>
      <c r="AW133" s="729"/>
      <c r="AX133" s="729"/>
      <c r="AY133" s="729"/>
      <c r="AZ133" s="729"/>
      <c r="BA133" s="729"/>
      <c r="BB133" s="729"/>
      <c r="BC133" s="729"/>
      <c r="BD133" s="730"/>
      <c r="BE133" s="57"/>
    </row>
    <row r="134" spans="4:84" ht="27" thickBot="1" x14ac:dyDescent="0.3">
      <c r="D134" s="581"/>
      <c r="E134" s="581"/>
      <c r="F134" s="581"/>
      <c r="G134" s="581"/>
      <c r="H134" s="581"/>
      <c r="I134" s="581"/>
      <c r="J134" s="581"/>
      <c r="K134" s="581"/>
      <c r="L134" s="581"/>
      <c r="M134" s="581"/>
      <c r="N134" s="581"/>
      <c r="O134" s="581"/>
      <c r="P134" s="581"/>
      <c r="Q134" s="581"/>
      <c r="R134" s="581"/>
      <c r="S134" s="581"/>
      <c r="Z134" s="781"/>
      <c r="AA134" s="782"/>
      <c r="AB134" s="782"/>
      <c r="AC134" s="782"/>
      <c r="AD134" s="783"/>
      <c r="AH134" s="338"/>
      <c r="AI134" s="338"/>
      <c r="AJ134" s="1419"/>
      <c r="AK134" s="1419"/>
      <c r="AL134" s="1419"/>
      <c r="AM134" s="746"/>
      <c r="AN134" s="746"/>
      <c r="AO134" s="746"/>
      <c r="AP134" s="747"/>
      <c r="AQ134" s="748"/>
      <c r="AR134" s="748"/>
      <c r="AS134" s="749"/>
      <c r="AU134" s="731"/>
      <c r="AV134" s="732"/>
      <c r="AW134" s="732"/>
      <c r="AX134" s="732"/>
      <c r="AY134" s="732"/>
      <c r="AZ134" s="732"/>
      <c r="BA134" s="732"/>
      <c r="BB134" s="732"/>
      <c r="BC134" s="732"/>
      <c r="BD134" s="733"/>
      <c r="BE134" s="57"/>
    </row>
    <row r="135" spans="4:84" ht="27" thickTop="1" x14ac:dyDescent="0.25">
      <c r="D135" s="581"/>
      <c r="E135" s="581"/>
      <c r="F135" s="581"/>
      <c r="G135" s="581"/>
      <c r="H135" s="581"/>
      <c r="I135" s="581"/>
      <c r="J135" s="581"/>
      <c r="K135" s="581"/>
      <c r="L135" s="581"/>
      <c r="M135" s="581"/>
      <c r="N135" s="581"/>
      <c r="O135" s="581"/>
      <c r="P135" s="581"/>
      <c r="Q135" s="581"/>
      <c r="R135" s="581"/>
      <c r="S135" s="581"/>
      <c r="AJ135" s="1419"/>
      <c r="AK135" s="1419"/>
      <c r="AL135" s="1419"/>
      <c r="AM135" s="746"/>
      <c r="AN135" s="746"/>
      <c r="AO135" s="746"/>
      <c r="AP135" s="747"/>
      <c r="AQ135" s="748"/>
      <c r="AR135" s="748"/>
      <c r="AS135" s="749"/>
      <c r="AU135" s="734"/>
      <c r="AV135" s="735"/>
      <c r="AW135" s="735"/>
      <c r="AX135" s="735"/>
      <c r="AY135" s="735"/>
      <c r="AZ135" s="735"/>
      <c r="BA135" s="735"/>
      <c r="BB135" s="735"/>
      <c r="BC135" s="735"/>
      <c r="BD135" s="736"/>
      <c r="BE135" s="57"/>
      <c r="BW135" s="737" t="s">
        <v>135</v>
      </c>
      <c r="BX135" s="737"/>
      <c r="BY135" s="737"/>
      <c r="BZ135" s="737"/>
      <c r="CA135" s="737"/>
      <c r="CB135" s="737"/>
      <c r="CC135" s="737"/>
      <c r="CD135" s="737"/>
      <c r="CE135" s="737"/>
      <c r="CF135" s="737"/>
    </row>
    <row r="136" spans="4:84" ht="15" customHeight="1" x14ac:dyDescent="0.25">
      <c r="D136" s="581"/>
      <c r="E136" s="581"/>
      <c r="F136" s="581"/>
      <c r="G136" s="581"/>
      <c r="H136" s="581"/>
      <c r="I136" s="581"/>
      <c r="J136" s="581"/>
      <c r="K136" s="581"/>
      <c r="L136" s="581"/>
      <c r="M136" s="581"/>
      <c r="N136" s="581"/>
      <c r="O136" s="581"/>
      <c r="P136" s="581"/>
      <c r="Q136" s="581"/>
      <c r="R136" s="581"/>
      <c r="S136" s="581"/>
      <c r="AJ136" s="1419"/>
      <c r="AK136" s="1419"/>
      <c r="AL136" s="1419"/>
      <c r="AM136" s="746"/>
      <c r="AN136" s="746"/>
      <c r="AO136" s="746"/>
      <c r="AP136" s="747"/>
      <c r="AQ136" s="748"/>
      <c r="AR136" s="748"/>
      <c r="AS136" s="749"/>
      <c r="AU136" s="739"/>
      <c r="AV136" s="740"/>
      <c r="AW136" s="740"/>
      <c r="AX136" s="740"/>
      <c r="AY136" s="740"/>
      <c r="AZ136" s="740"/>
      <c r="BA136" s="740"/>
      <c r="BB136" s="740"/>
      <c r="BC136" s="740"/>
      <c r="BD136" s="741"/>
      <c r="BE136" s="13"/>
      <c r="BW136" s="737"/>
      <c r="BX136" s="737"/>
      <c r="BY136" s="737"/>
      <c r="BZ136" s="737"/>
      <c r="CA136" s="737"/>
      <c r="CB136" s="737"/>
      <c r="CC136" s="737"/>
      <c r="CD136" s="737"/>
      <c r="CE136" s="737"/>
      <c r="CF136" s="737"/>
    </row>
    <row r="137" spans="4:84" ht="15" customHeight="1" x14ac:dyDescent="0.25">
      <c r="D137" s="581"/>
      <c r="E137" s="581"/>
      <c r="F137" s="581"/>
      <c r="G137" s="581"/>
      <c r="H137" s="581"/>
      <c r="I137" s="581"/>
      <c r="J137" s="581"/>
      <c r="K137" s="581"/>
      <c r="L137" s="581"/>
      <c r="M137" s="581"/>
      <c r="N137" s="581"/>
      <c r="O137" s="581"/>
      <c r="P137" s="581"/>
      <c r="Q137" s="581"/>
      <c r="R137" s="581"/>
      <c r="S137" s="581"/>
      <c r="AJ137" s="1419"/>
      <c r="AK137" s="1419"/>
      <c r="AL137" s="1419"/>
      <c r="AM137" s="746"/>
      <c r="AN137" s="746"/>
      <c r="AO137" s="746"/>
      <c r="AP137" s="747"/>
      <c r="AQ137" s="748"/>
      <c r="AR137" s="748"/>
      <c r="AS137" s="749"/>
      <c r="AU137" s="742"/>
      <c r="AV137" s="743"/>
      <c r="AW137" s="743"/>
      <c r="AX137" s="743"/>
      <c r="AY137" s="743"/>
      <c r="AZ137" s="743"/>
      <c r="BA137" s="743"/>
      <c r="BB137" s="743"/>
      <c r="BC137" s="743"/>
      <c r="BD137" s="744"/>
      <c r="BE137" s="13"/>
      <c r="BW137" s="738"/>
      <c r="BX137" s="738"/>
      <c r="BY137" s="738"/>
      <c r="BZ137" s="738"/>
      <c r="CA137" s="738"/>
      <c r="CB137" s="738"/>
      <c r="CC137" s="738"/>
      <c r="CD137" s="738"/>
      <c r="CE137" s="738"/>
      <c r="CF137" s="738"/>
    </row>
    <row r="138" spans="4:84" ht="15" customHeight="1" x14ac:dyDescent="0.25">
      <c r="D138" s="581"/>
      <c r="E138" s="581"/>
      <c r="F138" s="581"/>
      <c r="G138" s="581"/>
      <c r="H138" s="581"/>
      <c r="I138" s="581"/>
      <c r="J138" s="581"/>
      <c r="K138" s="581"/>
      <c r="L138" s="581"/>
      <c r="M138" s="581"/>
      <c r="N138" s="581"/>
      <c r="O138" s="581"/>
      <c r="P138" s="581"/>
      <c r="Q138" s="581"/>
      <c r="R138" s="581"/>
      <c r="S138" s="581"/>
      <c r="AJ138" s="1419"/>
      <c r="AK138" s="1419"/>
      <c r="AL138" s="1419"/>
      <c r="AM138" s="746"/>
      <c r="AN138" s="746"/>
      <c r="AO138" s="746"/>
      <c r="AP138" s="747"/>
      <c r="AQ138" s="748"/>
      <c r="AR138" s="748"/>
      <c r="AS138" s="749"/>
      <c r="AU138" s="2111">
        <f ca="1">AP126+AP129+AP132+AP135+AP138+AP141+AP144+AP147+AP150+AP153</f>
        <v>5843</v>
      </c>
      <c r="AV138" s="2112"/>
      <c r="AW138" s="2112"/>
      <c r="AX138" s="2112"/>
      <c r="AY138" s="2112"/>
      <c r="AZ138" s="2112"/>
      <c r="BA138" s="2112"/>
      <c r="BB138" s="2112"/>
      <c r="BC138" s="2112"/>
      <c r="BD138" s="2113"/>
      <c r="BE138" s="13"/>
      <c r="BK138" s="727" t="s">
        <v>122</v>
      </c>
      <c r="BL138" s="727"/>
      <c r="BM138" s="727"/>
      <c r="BN138" s="727" t="s">
        <v>123</v>
      </c>
      <c r="BO138" s="727"/>
      <c r="BP138" s="727"/>
      <c r="BQ138" s="727" t="s">
        <v>124</v>
      </c>
      <c r="BR138" s="727"/>
      <c r="BS138" s="727" t="s">
        <v>125</v>
      </c>
      <c r="BT138" s="727"/>
      <c r="BW138" s="739" t="s">
        <v>126</v>
      </c>
      <c r="BX138" s="740"/>
      <c r="BY138" s="740"/>
      <c r="BZ138" s="740"/>
      <c r="CA138" s="740"/>
      <c r="CB138" s="740"/>
      <c r="CC138" s="740"/>
      <c r="CD138" s="740"/>
      <c r="CE138" s="740"/>
      <c r="CF138" s="741"/>
    </row>
    <row r="139" spans="4:84" ht="15" customHeight="1" x14ac:dyDescent="0.25">
      <c r="D139" s="581"/>
      <c r="E139" s="581"/>
      <c r="F139" s="581"/>
      <c r="G139" s="581"/>
      <c r="H139" s="581"/>
      <c r="I139" s="581"/>
      <c r="J139" s="581"/>
      <c r="K139" s="581"/>
      <c r="L139" s="581"/>
      <c r="M139" s="581"/>
      <c r="N139" s="581"/>
      <c r="O139" s="581"/>
      <c r="P139" s="581"/>
      <c r="Q139" s="581"/>
      <c r="R139" s="581"/>
      <c r="S139" s="581"/>
      <c r="AJ139" s="1419"/>
      <c r="AK139" s="1419"/>
      <c r="AL139" s="1419"/>
      <c r="AM139" s="746"/>
      <c r="AN139" s="746"/>
      <c r="AO139" s="746"/>
      <c r="AP139" s="747"/>
      <c r="AQ139" s="748"/>
      <c r="AR139" s="748"/>
      <c r="AS139" s="749"/>
      <c r="AU139" s="2114"/>
      <c r="AV139" s="2115"/>
      <c r="AW139" s="2115"/>
      <c r="AX139" s="2115"/>
      <c r="AY139" s="2115"/>
      <c r="AZ139" s="2115"/>
      <c r="BA139" s="2115"/>
      <c r="BB139" s="2115"/>
      <c r="BC139" s="2115"/>
      <c r="BD139" s="2116"/>
      <c r="BE139" s="13"/>
      <c r="BK139" s="727"/>
      <c r="BL139" s="727"/>
      <c r="BM139" s="727"/>
      <c r="BN139" s="727"/>
      <c r="BO139" s="727"/>
      <c r="BP139" s="727"/>
      <c r="BQ139" s="727"/>
      <c r="BR139" s="727"/>
      <c r="BS139" s="727"/>
      <c r="BT139" s="727"/>
      <c r="BW139" s="750"/>
      <c r="BX139" s="751"/>
      <c r="BY139" s="751"/>
      <c r="BZ139" s="751"/>
      <c r="CA139" s="751"/>
      <c r="CB139" s="751"/>
      <c r="CC139" s="751"/>
      <c r="CD139" s="751"/>
      <c r="CE139" s="751"/>
      <c r="CF139" s="752"/>
    </row>
    <row r="140" spans="4:84" ht="15" customHeight="1" x14ac:dyDescent="0.25">
      <c r="D140" s="581"/>
      <c r="E140" s="581"/>
      <c r="F140" s="581"/>
      <c r="G140" s="581"/>
      <c r="H140" s="581"/>
      <c r="I140" s="581"/>
      <c r="J140" s="581"/>
      <c r="K140" s="581"/>
      <c r="L140" s="581"/>
      <c r="M140" s="581"/>
      <c r="N140" s="581"/>
      <c r="O140" s="581"/>
      <c r="P140" s="581"/>
      <c r="Q140" s="581"/>
      <c r="R140" s="581"/>
      <c r="S140" s="581"/>
      <c r="AJ140" s="1419"/>
      <c r="AK140" s="1419"/>
      <c r="AL140" s="1419"/>
      <c r="AM140" s="746"/>
      <c r="AN140" s="746"/>
      <c r="AO140" s="746"/>
      <c r="AP140" s="747"/>
      <c r="AQ140" s="748"/>
      <c r="AR140" s="748"/>
      <c r="AS140" s="749"/>
      <c r="AU140" s="2114"/>
      <c r="AV140" s="2115"/>
      <c r="AW140" s="2115"/>
      <c r="AX140" s="2115"/>
      <c r="AY140" s="2115"/>
      <c r="AZ140" s="2115"/>
      <c r="BA140" s="2115"/>
      <c r="BB140" s="2115"/>
      <c r="BC140" s="2115"/>
      <c r="BD140" s="2116"/>
      <c r="BE140" s="13"/>
      <c r="BK140" s="727"/>
      <c r="BL140" s="727"/>
      <c r="BM140" s="727"/>
      <c r="BN140" s="727"/>
      <c r="BO140" s="727"/>
      <c r="BP140" s="727"/>
      <c r="BQ140" s="727"/>
      <c r="BR140" s="727"/>
      <c r="BS140" s="727"/>
      <c r="BT140" s="727"/>
      <c r="BW140" s="742"/>
      <c r="BX140" s="743"/>
      <c r="BY140" s="743"/>
      <c r="BZ140" s="743"/>
      <c r="CA140" s="743"/>
      <c r="CB140" s="743"/>
      <c r="CC140" s="743"/>
      <c r="CD140" s="743"/>
      <c r="CE140" s="743"/>
      <c r="CF140" s="744"/>
    </row>
    <row r="141" spans="4:84" ht="15" customHeight="1" x14ac:dyDescent="0.25">
      <c r="AJ141" s="1419"/>
      <c r="AK141" s="1419"/>
      <c r="AL141" s="1419"/>
      <c r="AM141" s="746"/>
      <c r="AN141" s="746"/>
      <c r="AO141" s="746"/>
      <c r="AP141" s="747"/>
      <c r="AQ141" s="748"/>
      <c r="AR141" s="748"/>
      <c r="AS141" s="749"/>
      <c r="AU141" s="2117"/>
      <c r="AV141" s="2118"/>
      <c r="AW141" s="2118"/>
      <c r="AX141" s="2118"/>
      <c r="AY141" s="2118"/>
      <c r="AZ141" s="2118"/>
      <c r="BA141" s="2118"/>
      <c r="BB141" s="2118"/>
      <c r="BC141" s="2118"/>
      <c r="BD141" s="2119"/>
      <c r="BE141" s="13"/>
      <c r="BK141" s="774">
        <v>5843</v>
      </c>
      <c r="BL141" s="774"/>
      <c r="BM141" s="774"/>
      <c r="BN141" s="774">
        <f ca="1">AU138</f>
        <v>5843</v>
      </c>
      <c r="BO141" s="774"/>
      <c r="BP141" s="774"/>
      <c r="BQ141" s="726">
        <f>AU116</f>
        <v>72.375000033251112</v>
      </c>
      <c r="BR141" s="726"/>
      <c r="BS141" s="726">
        <f>BL116+BQ141</f>
        <v>108.37500003325111</v>
      </c>
      <c r="BT141" s="726"/>
      <c r="BW141" s="727" t="s">
        <v>128</v>
      </c>
      <c r="BX141" s="727"/>
      <c r="BY141" s="727"/>
      <c r="BZ141" s="727"/>
      <c r="CA141" s="727"/>
      <c r="CB141" s="727"/>
      <c r="CC141" s="727"/>
      <c r="CD141" s="727"/>
      <c r="CE141" s="727"/>
      <c r="CF141" s="727"/>
    </row>
    <row r="142" spans="4:84" ht="26.25" x14ac:dyDescent="0.25">
      <c r="AJ142" s="1419"/>
      <c r="AK142" s="1419"/>
      <c r="AL142" s="1419"/>
      <c r="AM142" s="746"/>
      <c r="AN142" s="746"/>
      <c r="AO142" s="746"/>
      <c r="AP142" s="747"/>
      <c r="AQ142" s="748"/>
      <c r="AR142" s="748"/>
      <c r="AS142" s="749"/>
      <c r="AU142" s="728"/>
      <c r="AV142" s="729"/>
      <c r="AW142" s="729"/>
      <c r="AX142" s="729"/>
      <c r="AY142" s="729"/>
      <c r="AZ142" s="729"/>
      <c r="BA142" s="729"/>
      <c r="BB142" s="729"/>
      <c r="BC142" s="729"/>
      <c r="BD142" s="730"/>
      <c r="BE142" s="57"/>
      <c r="BK142" s="774"/>
      <c r="BL142" s="774"/>
      <c r="BM142" s="774"/>
      <c r="BN142" s="774"/>
      <c r="BO142" s="774"/>
      <c r="BP142" s="774"/>
      <c r="BQ142" s="726"/>
      <c r="BR142" s="726"/>
      <c r="BS142" s="726"/>
      <c r="BT142" s="726"/>
      <c r="BW142" s="727"/>
      <c r="BX142" s="727"/>
      <c r="BY142" s="727"/>
      <c r="BZ142" s="727"/>
      <c r="CA142" s="727"/>
      <c r="CB142" s="727"/>
      <c r="CC142" s="727"/>
      <c r="CD142" s="727"/>
      <c r="CE142" s="727"/>
      <c r="CF142" s="727"/>
    </row>
    <row r="143" spans="4:84" ht="26.25" x14ac:dyDescent="0.25">
      <c r="AJ143" s="1419"/>
      <c r="AK143" s="1419"/>
      <c r="AL143" s="1419"/>
      <c r="AM143" s="746"/>
      <c r="AN143" s="746"/>
      <c r="AO143" s="746"/>
      <c r="AP143" s="747"/>
      <c r="AQ143" s="748"/>
      <c r="AR143" s="748"/>
      <c r="AS143" s="749"/>
      <c r="AU143" s="731"/>
      <c r="AV143" s="732"/>
      <c r="AW143" s="732"/>
      <c r="AX143" s="732"/>
      <c r="AY143" s="732"/>
      <c r="AZ143" s="732"/>
      <c r="BA143" s="732"/>
      <c r="BB143" s="732"/>
      <c r="BC143" s="732"/>
      <c r="BD143" s="733"/>
      <c r="BE143" s="57"/>
      <c r="BK143" s="774"/>
      <c r="BL143" s="774"/>
      <c r="BM143" s="774"/>
      <c r="BN143" s="774"/>
      <c r="BO143" s="774"/>
      <c r="BP143" s="774"/>
      <c r="BQ143" s="726"/>
      <c r="BR143" s="726"/>
      <c r="BS143" s="726"/>
      <c r="BT143" s="726"/>
      <c r="BW143" s="728">
        <f ca="1">BQ141/((36*3.1415/59)*(BN141/3.281))</f>
        <v>2.1201733333460326E-2</v>
      </c>
      <c r="BX143" s="729"/>
      <c r="BY143" s="729"/>
      <c r="BZ143" s="729"/>
      <c r="CA143" s="729"/>
      <c r="CB143" s="729"/>
      <c r="CC143" s="729"/>
      <c r="CD143" s="729"/>
      <c r="CE143" s="729"/>
      <c r="CF143" s="730"/>
    </row>
    <row r="144" spans="4:84" ht="26.25" x14ac:dyDescent="0.25">
      <c r="AJ144" s="1419"/>
      <c r="AK144" s="1419"/>
      <c r="AL144" s="1419"/>
      <c r="AM144" s="746"/>
      <c r="AN144" s="746"/>
      <c r="AO144" s="746"/>
      <c r="AP144" s="747"/>
      <c r="AQ144" s="748"/>
      <c r="AR144" s="748"/>
      <c r="AS144" s="749"/>
      <c r="AU144" s="731"/>
      <c r="AV144" s="732"/>
      <c r="AW144" s="732"/>
      <c r="AX144" s="732"/>
      <c r="AY144" s="732"/>
      <c r="AZ144" s="732"/>
      <c r="BA144" s="732"/>
      <c r="BB144" s="732"/>
      <c r="BC144" s="732"/>
      <c r="BD144" s="733"/>
      <c r="BE144" s="57"/>
      <c r="BK144" s="774"/>
      <c r="BL144" s="774"/>
      <c r="BM144" s="774"/>
      <c r="BN144" s="774"/>
      <c r="BO144" s="774"/>
      <c r="BP144" s="774"/>
      <c r="BQ144" s="726"/>
      <c r="BR144" s="726"/>
      <c r="BS144" s="726"/>
      <c r="BT144" s="726"/>
      <c r="BW144" s="731"/>
      <c r="BX144" s="732"/>
      <c r="BY144" s="732"/>
      <c r="BZ144" s="732"/>
      <c r="CA144" s="732"/>
      <c r="CB144" s="732"/>
      <c r="CC144" s="732"/>
      <c r="CD144" s="732"/>
      <c r="CE144" s="732"/>
      <c r="CF144" s="733"/>
    </row>
    <row r="145" spans="26:84" ht="26.25" x14ac:dyDescent="0.25">
      <c r="AJ145" s="1419"/>
      <c r="AK145" s="1419"/>
      <c r="AL145" s="1419"/>
      <c r="AM145" s="746"/>
      <c r="AN145" s="746"/>
      <c r="AO145" s="746"/>
      <c r="AP145" s="747"/>
      <c r="AQ145" s="748"/>
      <c r="AR145" s="748"/>
      <c r="AS145" s="749"/>
      <c r="AU145" s="731"/>
      <c r="AV145" s="732"/>
      <c r="AW145" s="732"/>
      <c r="AX145" s="732"/>
      <c r="AY145" s="732"/>
      <c r="AZ145" s="732"/>
      <c r="BA145" s="732"/>
      <c r="BB145" s="732"/>
      <c r="BC145" s="732"/>
      <c r="BD145" s="733"/>
      <c r="BE145" s="57"/>
      <c r="BW145" s="734"/>
      <c r="BX145" s="735"/>
      <c r="BY145" s="735"/>
      <c r="BZ145" s="735"/>
      <c r="CA145" s="735"/>
      <c r="CB145" s="735"/>
      <c r="CC145" s="735"/>
      <c r="CD145" s="735"/>
      <c r="CE145" s="735"/>
      <c r="CF145" s="736"/>
    </row>
    <row r="146" spans="26:84" ht="26.25" x14ac:dyDescent="0.25">
      <c r="AJ146" s="1419"/>
      <c r="AK146" s="1419"/>
      <c r="AL146" s="1419"/>
      <c r="AM146" s="746"/>
      <c r="AN146" s="746"/>
      <c r="AO146" s="746"/>
      <c r="AP146" s="747"/>
      <c r="AQ146" s="748"/>
      <c r="AR146" s="748"/>
      <c r="AS146" s="749"/>
      <c r="AU146" s="734"/>
      <c r="AV146" s="735"/>
      <c r="AW146" s="735"/>
      <c r="AX146" s="735"/>
      <c r="AY146" s="735"/>
      <c r="AZ146" s="735"/>
      <c r="BA146" s="735"/>
      <c r="BB146" s="735"/>
      <c r="BC146" s="735"/>
      <c r="BD146" s="736"/>
      <c r="BE146" s="57"/>
      <c r="BW146" s="739" t="s">
        <v>129</v>
      </c>
      <c r="BX146" s="740"/>
      <c r="BY146" s="740"/>
      <c r="BZ146" s="740"/>
      <c r="CA146" s="740"/>
      <c r="CB146" s="740"/>
      <c r="CC146" s="740"/>
      <c r="CD146" s="740"/>
      <c r="CE146" s="740"/>
      <c r="CF146" s="741"/>
    </row>
    <row r="147" spans="26:84" ht="15" customHeight="1" x14ac:dyDescent="0.25">
      <c r="AJ147" s="1419"/>
      <c r="AK147" s="1419"/>
      <c r="AL147" s="1419"/>
      <c r="AM147" s="746"/>
      <c r="AN147" s="746"/>
      <c r="AO147" s="746"/>
      <c r="AP147" s="747"/>
      <c r="AQ147" s="748"/>
      <c r="AR147" s="748"/>
      <c r="AS147" s="749"/>
      <c r="BW147" s="742"/>
      <c r="BX147" s="743"/>
      <c r="BY147" s="743"/>
      <c r="BZ147" s="743"/>
      <c r="CA147" s="743"/>
      <c r="CB147" s="743"/>
      <c r="CC147" s="743"/>
      <c r="CD147" s="743"/>
      <c r="CE147" s="743"/>
      <c r="CF147" s="744"/>
    </row>
    <row r="148" spans="26:84" ht="15" customHeight="1" x14ac:dyDescent="0.25">
      <c r="AJ148" s="1419"/>
      <c r="AK148" s="1419"/>
      <c r="AL148" s="1419"/>
      <c r="AM148" s="746"/>
      <c r="AN148" s="746"/>
      <c r="AO148" s="746"/>
      <c r="AP148" s="747"/>
      <c r="AQ148" s="748"/>
      <c r="AR148" s="748"/>
      <c r="AS148" s="749"/>
      <c r="BW148" s="739" t="s">
        <v>130</v>
      </c>
      <c r="BX148" s="740"/>
      <c r="BY148" s="740"/>
      <c r="BZ148" s="740"/>
      <c r="CA148" s="740"/>
      <c r="CB148" s="740"/>
      <c r="CC148" s="740"/>
      <c r="CD148" s="740"/>
      <c r="CE148" s="740"/>
      <c r="CF148" s="741"/>
    </row>
    <row r="149" spans="26:84" ht="15" customHeight="1" x14ac:dyDescent="0.25">
      <c r="AJ149" s="1419"/>
      <c r="AK149" s="1419"/>
      <c r="AL149" s="1419"/>
      <c r="AM149" s="746"/>
      <c r="AN149" s="746"/>
      <c r="AO149" s="746"/>
      <c r="AP149" s="747"/>
      <c r="AQ149" s="748"/>
      <c r="AR149" s="748"/>
      <c r="AS149" s="749"/>
      <c r="BW149" s="750"/>
      <c r="BX149" s="751"/>
      <c r="BY149" s="751"/>
      <c r="BZ149" s="751"/>
      <c r="CA149" s="751"/>
      <c r="CB149" s="751"/>
      <c r="CC149" s="751"/>
      <c r="CD149" s="751"/>
      <c r="CE149" s="751"/>
      <c r="CF149" s="752"/>
    </row>
    <row r="150" spans="26:84" ht="15.75" customHeight="1" thickBot="1" x14ac:dyDescent="0.3">
      <c r="AJ150" s="1419"/>
      <c r="AK150" s="1419"/>
      <c r="AL150" s="1419"/>
      <c r="AM150" s="746"/>
      <c r="AN150" s="746"/>
      <c r="AO150" s="746"/>
      <c r="AP150" s="747"/>
      <c r="AQ150" s="748"/>
      <c r="AR150" s="748"/>
      <c r="AS150" s="749"/>
      <c r="BW150" s="750"/>
      <c r="BX150" s="751"/>
      <c r="BY150" s="751"/>
      <c r="BZ150" s="751"/>
      <c r="CA150" s="751"/>
      <c r="CB150" s="751"/>
      <c r="CC150" s="751"/>
      <c r="CD150" s="751"/>
      <c r="CE150" s="751"/>
      <c r="CF150" s="752"/>
    </row>
    <row r="151" spans="26:84" ht="15.75" customHeight="1" thickBot="1" x14ac:dyDescent="0.3">
      <c r="Z151" s="81"/>
      <c r="AA151" s="82"/>
      <c r="AB151" s="82"/>
      <c r="AC151" s="82"/>
      <c r="AD151" s="82"/>
      <c r="AE151" s="82"/>
      <c r="AF151" s="82"/>
      <c r="AG151" s="82"/>
      <c r="AH151" s="82"/>
      <c r="AI151" s="82"/>
      <c r="AJ151" s="1419"/>
      <c r="AK151" s="1419"/>
      <c r="AL151" s="1419"/>
      <c r="AM151" s="746"/>
      <c r="AN151" s="746"/>
      <c r="AO151" s="746"/>
      <c r="AP151" s="747"/>
      <c r="AQ151" s="748"/>
      <c r="AR151" s="748"/>
      <c r="AS151" s="749"/>
      <c r="AT151" s="82"/>
      <c r="AU151" s="82"/>
      <c r="AV151" s="82"/>
      <c r="AW151" s="82"/>
      <c r="AX151" s="82"/>
      <c r="AY151" s="82"/>
      <c r="AZ151" s="82"/>
      <c r="BA151" s="82"/>
      <c r="BB151" s="82"/>
      <c r="BC151" s="82"/>
      <c r="BD151" s="82"/>
      <c r="BE151" s="82"/>
      <c r="BF151" s="82"/>
      <c r="BG151" s="82"/>
      <c r="BH151" s="83"/>
      <c r="BW151" s="742"/>
      <c r="BX151" s="743"/>
      <c r="BY151" s="743"/>
      <c r="BZ151" s="743"/>
      <c r="CA151" s="743"/>
      <c r="CB151" s="743"/>
      <c r="CC151" s="743"/>
      <c r="CD151" s="743"/>
      <c r="CE151" s="743"/>
      <c r="CF151" s="744"/>
    </row>
    <row r="152" spans="26:84" ht="15.75" customHeight="1" thickTop="1" x14ac:dyDescent="0.25">
      <c r="Z152" s="84"/>
      <c r="AA152" s="73"/>
      <c r="AB152" s="74"/>
      <c r="AC152" s="74"/>
      <c r="AD152" s="74"/>
      <c r="AE152" s="75"/>
      <c r="AI152" s="348"/>
      <c r="AJ152" s="1419"/>
      <c r="AK152" s="1419"/>
      <c r="AL152" s="1419"/>
      <c r="AM152" s="746"/>
      <c r="AN152" s="746"/>
      <c r="AO152" s="746"/>
      <c r="AP152" s="747"/>
      <c r="AQ152" s="748"/>
      <c r="AR152" s="748"/>
      <c r="AS152" s="749"/>
      <c r="AV152" s="354"/>
      <c r="AW152" s="355"/>
      <c r="AX152" s="355"/>
      <c r="AY152" s="355"/>
      <c r="AZ152" s="355"/>
      <c r="BA152" s="355"/>
      <c r="BB152" s="355"/>
      <c r="BC152" s="355"/>
      <c r="BD152" s="355"/>
      <c r="BE152" s="356"/>
      <c r="BF152" s="13"/>
      <c r="BG152" s="13"/>
      <c r="BH152" s="85"/>
      <c r="BW152" s="728">
        <f ca="1">BS141/((36*3.1415/59)*(BN141/3.281))</f>
        <v>3.1747673225051447E-2</v>
      </c>
      <c r="BX152" s="729"/>
      <c r="BY152" s="729"/>
      <c r="BZ152" s="729"/>
      <c r="CA152" s="729"/>
      <c r="CB152" s="729"/>
      <c r="CC152" s="729"/>
      <c r="CD152" s="729"/>
      <c r="CE152" s="729"/>
      <c r="CF152" s="730"/>
    </row>
    <row r="153" spans="26:84" ht="15" customHeight="1" x14ac:dyDescent="0.25">
      <c r="Z153" s="84"/>
      <c r="AA153" s="76"/>
      <c r="AB153" s="86"/>
      <c r="AC153" s="86"/>
      <c r="AD153" s="86"/>
      <c r="AE153" s="77"/>
      <c r="AI153" s="348"/>
      <c r="AJ153" s="1419"/>
      <c r="AK153" s="1419"/>
      <c r="AL153" s="1419"/>
      <c r="AM153" s="746"/>
      <c r="AN153" s="746"/>
      <c r="AO153" s="746"/>
      <c r="AP153" s="747"/>
      <c r="AQ153" s="748"/>
      <c r="AR153" s="748"/>
      <c r="AS153" s="749"/>
      <c r="AV153" s="361"/>
      <c r="AW153" s="27"/>
      <c r="AX153" s="27"/>
      <c r="AY153" s="27"/>
      <c r="AZ153" s="27"/>
      <c r="BA153" s="27"/>
      <c r="BB153" s="27"/>
      <c r="BC153" s="27"/>
      <c r="BD153" s="27"/>
      <c r="BE153" s="362"/>
      <c r="BF153" s="13"/>
      <c r="BG153" s="13"/>
      <c r="BH153" s="85"/>
      <c r="BW153" s="731"/>
      <c r="BX153" s="732"/>
      <c r="BY153" s="732"/>
      <c r="BZ153" s="732"/>
      <c r="CA153" s="732"/>
      <c r="CB153" s="732"/>
      <c r="CC153" s="732"/>
      <c r="CD153" s="732"/>
      <c r="CE153" s="732"/>
      <c r="CF153" s="733"/>
    </row>
    <row r="154" spans="26:84" ht="15" customHeight="1" x14ac:dyDescent="0.25">
      <c r="Z154" s="84"/>
      <c r="AA154" s="76"/>
      <c r="AB154" s="86"/>
      <c r="AC154" s="86"/>
      <c r="AD154" s="86"/>
      <c r="AE154" s="77"/>
      <c r="AI154" s="348"/>
      <c r="AJ154" s="1419"/>
      <c r="AK154" s="1419"/>
      <c r="AL154" s="1419"/>
      <c r="AM154" s="746"/>
      <c r="AN154" s="746"/>
      <c r="AO154" s="746"/>
      <c r="AP154" s="747"/>
      <c r="AQ154" s="748"/>
      <c r="AR154" s="748"/>
      <c r="AS154" s="749"/>
      <c r="AV154" s="357"/>
      <c r="AW154" s="358"/>
      <c r="AX154" s="358"/>
      <c r="AY154" s="358"/>
      <c r="AZ154" s="358"/>
      <c r="BA154" s="358"/>
      <c r="BB154" s="358"/>
      <c r="BC154" s="358"/>
      <c r="BD154" s="358"/>
      <c r="BE154" s="359"/>
      <c r="BF154" s="13"/>
      <c r="BG154" s="13"/>
      <c r="BH154" s="85"/>
      <c r="BW154" s="731"/>
      <c r="BX154" s="732"/>
      <c r="BY154" s="732"/>
      <c r="BZ154" s="732"/>
      <c r="CA154" s="732"/>
      <c r="CB154" s="732"/>
      <c r="CC154" s="732"/>
      <c r="CD154" s="732"/>
      <c r="CE154" s="732"/>
      <c r="CF154" s="733"/>
    </row>
    <row r="155" spans="26:84" ht="15" customHeight="1" x14ac:dyDescent="0.25">
      <c r="Z155" s="84"/>
      <c r="AA155" s="76"/>
      <c r="AB155" s="86"/>
      <c r="AC155" s="86"/>
      <c r="AD155" s="86"/>
      <c r="AE155" s="77"/>
      <c r="AI155" s="338"/>
      <c r="AJ155" s="1419"/>
      <c r="AK155" s="1419"/>
      <c r="AL155" s="1419"/>
      <c r="AM155" s="746"/>
      <c r="AN155" s="746"/>
      <c r="AO155" s="746"/>
      <c r="AP155" s="747"/>
      <c r="AQ155" s="748"/>
      <c r="AR155" s="748"/>
      <c r="AS155" s="749"/>
      <c r="AV155" s="348"/>
      <c r="AW155" s="348"/>
      <c r="AX155" s="348"/>
      <c r="AY155" s="348"/>
      <c r="AZ155" s="348"/>
      <c r="BA155" s="348"/>
      <c r="BB155" s="348"/>
      <c r="BC155" s="348"/>
      <c r="BD155" s="348"/>
      <c r="BE155" s="348"/>
      <c r="BF155" s="13"/>
      <c r="BG155" s="13"/>
      <c r="BH155" s="85"/>
      <c r="BW155" s="731"/>
      <c r="BX155" s="732"/>
      <c r="BY155" s="732"/>
      <c r="BZ155" s="732"/>
      <c r="CA155" s="732"/>
      <c r="CB155" s="732"/>
      <c r="CC155" s="732"/>
      <c r="CD155" s="732"/>
      <c r="CE155" s="732"/>
      <c r="CF155" s="733"/>
    </row>
    <row r="156" spans="26:84" ht="15" customHeight="1" x14ac:dyDescent="0.25">
      <c r="Z156" s="84"/>
      <c r="AA156" s="76"/>
      <c r="AB156" s="86"/>
      <c r="AC156" s="86"/>
      <c r="AD156" s="86"/>
      <c r="AE156" s="77"/>
      <c r="AI156" s="338"/>
      <c r="AJ156" s="338"/>
      <c r="AK156" s="338"/>
      <c r="AL156" s="338"/>
      <c r="AM156" s="338"/>
      <c r="AN156" s="338"/>
      <c r="AO156" s="339"/>
      <c r="AP156" s="339"/>
      <c r="AQ156" s="339"/>
      <c r="AR156" s="339"/>
      <c r="AV156" s="348"/>
      <c r="AW156" s="348"/>
      <c r="AX156" s="348"/>
      <c r="AY156" s="348"/>
      <c r="AZ156" s="348"/>
      <c r="BA156" s="348"/>
      <c r="BB156" s="348"/>
      <c r="BC156" s="348"/>
      <c r="BD156" s="348"/>
      <c r="BE156" s="348"/>
      <c r="BF156" s="13"/>
      <c r="BG156" s="13"/>
      <c r="BH156" s="85"/>
      <c r="BW156" s="734"/>
      <c r="BX156" s="735"/>
      <c r="BY156" s="735"/>
      <c r="BZ156" s="735"/>
      <c r="CA156" s="735"/>
      <c r="CB156" s="735"/>
      <c r="CC156" s="735"/>
      <c r="CD156" s="735"/>
      <c r="CE156" s="735"/>
      <c r="CF156" s="736"/>
    </row>
    <row r="157" spans="26:84" ht="26.25" customHeight="1" x14ac:dyDescent="0.25">
      <c r="Z157" s="84"/>
      <c r="AA157" s="76"/>
      <c r="AB157" s="86"/>
      <c r="AC157" s="86"/>
      <c r="AD157" s="86"/>
      <c r="AE157" s="77"/>
      <c r="AI157" s="338"/>
      <c r="AJ157" s="338"/>
      <c r="AK157" s="338"/>
      <c r="AL157" s="338"/>
      <c r="AM157" s="338"/>
      <c r="AN157" s="338"/>
      <c r="AO157" s="339"/>
      <c r="AP157" s="339"/>
      <c r="AQ157" s="339"/>
      <c r="AR157" s="339"/>
      <c r="AV157" s="340"/>
      <c r="AW157" s="341"/>
      <c r="AX157" s="341"/>
      <c r="AY157" s="341"/>
      <c r="AZ157" s="341"/>
      <c r="BA157" s="341"/>
      <c r="BB157" s="341"/>
      <c r="BC157" s="341"/>
      <c r="BD157" s="341"/>
      <c r="BE157" s="342"/>
      <c r="BF157" s="57"/>
      <c r="BG157" s="57"/>
      <c r="BH157" s="85"/>
    </row>
    <row r="158" spans="26:84" ht="27" customHeight="1" thickBot="1" x14ac:dyDescent="0.3">
      <c r="Z158" s="84"/>
      <c r="AA158" s="78"/>
      <c r="AB158" s="79"/>
      <c r="AC158" s="79"/>
      <c r="AD158" s="79"/>
      <c r="AE158" s="80"/>
      <c r="AI158" s="338"/>
      <c r="AJ158" s="338"/>
      <c r="AK158" s="338"/>
      <c r="AL158" s="338"/>
      <c r="AM158" s="338"/>
      <c r="AN158" s="338"/>
      <c r="AO158" s="339"/>
      <c r="AP158" s="339"/>
      <c r="AQ158" s="339"/>
      <c r="AR158" s="339"/>
      <c r="AV158" s="343"/>
      <c r="AW158" s="51"/>
      <c r="AX158" s="51"/>
      <c r="AY158" s="51"/>
      <c r="AZ158" s="51"/>
      <c r="BA158" s="51"/>
      <c r="BB158" s="51"/>
      <c r="BC158" s="51"/>
      <c r="BD158" s="51"/>
      <c r="BE158" s="344"/>
      <c r="BF158" s="57"/>
      <c r="BG158" s="57"/>
      <c r="BH158" s="85"/>
    </row>
    <row r="159" spans="26:84" ht="27" thickTop="1" x14ac:dyDescent="0.25">
      <c r="Z159" s="84"/>
      <c r="AV159" s="345"/>
      <c r="AW159" s="346"/>
      <c r="AX159" s="346"/>
      <c r="AY159" s="346"/>
      <c r="AZ159" s="346"/>
      <c r="BA159" s="346"/>
      <c r="BB159" s="346"/>
      <c r="BC159" s="346"/>
      <c r="BD159" s="346"/>
      <c r="BE159" s="347"/>
      <c r="BF159" s="57"/>
      <c r="BG159" s="57"/>
      <c r="BH159" s="85"/>
    </row>
    <row r="160" spans="26:84" x14ac:dyDescent="0.25">
      <c r="Z160" s="84"/>
      <c r="AV160" s="354"/>
      <c r="AW160" s="355"/>
      <c r="AX160" s="355"/>
      <c r="AY160" s="355"/>
      <c r="AZ160" s="355"/>
      <c r="BA160" s="355"/>
      <c r="BB160" s="355"/>
      <c r="BC160" s="355"/>
      <c r="BD160" s="355"/>
      <c r="BE160" s="356"/>
      <c r="BF160" s="13"/>
      <c r="BG160" s="13"/>
      <c r="BH160" s="85"/>
    </row>
    <row r="161" spans="26:60" x14ac:dyDescent="0.25">
      <c r="Z161" s="84"/>
      <c r="AV161" s="357"/>
      <c r="AW161" s="358"/>
      <c r="AX161" s="358"/>
      <c r="AY161" s="358"/>
      <c r="AZ161" s="358"/>
      <c r="BA161" s="358"/>
      <c r="BB161" s="358"/>
      <c r="BC161" s="358"/>
      <c r="BD161" s="358"/>
      <c r="BE161" s="359"/>
      <c r="BF161" s="13"/>
      <c r="BG161" s="13"/>
      <c r="BH161" s="85"/>
    </row>
    <row r="162" spans="26:60" ht="15" customHeight="1" x14ac:dyDescent="0.25">
      <c r="Z162" s="84"/>
      <c r="AK162" s="360"/>
      <c r="AL162" s="360"/>
      <c r="AM162" s="360"/>
      <c r="AN162" s="349"/>
      <c r="AO162" s="349"/>
      <c r="AP162" s="349"/>
      <c r="AQ162" s="350"/>
      <c r="AR162" s="351"/>
      <c r="AS162" s="351"/>
      <c r="AT162" s="352"/>
      <c r="AV162" s="354"/>
      <c r="AW162" s="355"/>
      <c r="AX162" s="355"/>
      <c r="AY162" s="355"/>
      <c r="AZ162" s="355"/>
      <c r="BA162" s="355"/>
      <c r="BB162" s="355"/>
      <c r="BC162" s="355"/>
      <c r="BD162" s="355"/>
      <c r="BE162" s="356"/>
      <c r="BF162" s="13"/>
      <c r="BG162" s="13"/>
      <c r="BH162" s="85"/>
    </row>
    <row r="163" spans="26:60" ht="15" customHeight="1" x14ac:dyDescent="0.25">
      <c r="Z163" s="84"/>
      <c r="AK163" s="360"/>
      <c r="AL163" s="360"/>
      <c r="AM163" s="360"/>
      <c r="AN163" s="349"/>
      <c r="AO163" s="349"/>
      <c r="AP163" s="349"/>
      <c r="AQ163" s="350"/>
      <c r="AR163" s="351"/>
      <c r="AS163" s="351"/>
      <c r="AT163" s="352"/>
      <c r="AV163" s="361"/>
      <c r="AW163" s="27"/>
      <c r="AX163" s="27"/>
      <c r="AY163" s="27"/>
      <c r="AZ163" s="27"/>
      <c r="BA163" s="27"/>
      <c r="BB163" s="27"/>
      <c r="BC163" s="27"/>
      <c r="BD163" s="27"/>
      <c r="BE163" s="362"/>
      <c r="BF163" s="13"/>
      <c r="BG163" s="13"/>
      <c r="BH163" s="85"/>
    </row>
    <row r="164" spans="26:60" ht="15" customHeight="1" x14ac:dyDescent="0.25">
      <c r="Z164" s="84"/>
      <c r="AK164" s="360"/>
      <c r="AL164" s="360"/>
      <c r="AM164" s="360"/>
      <c r="AN164" s="349"/>
      <c r="AO164" s="349"/>
      <c r="AP164" s="349"/>
      <c r="AQ164" s="350"/>
      <c r="AR164" s="351"/>
      <c r="AS164" s="351"/>
      <c r="AT164" s="352"/>
      <c r="AV164" s="361"/>
      <c r="AW164" s="27"/>
      <c r="AX164" s="27"/>
      <c r="AY164" s="27"/>
      <c r="AZ164" s="27"/>
      <c r="BA164" s="27"/>
      <c r="BB164" s="27"/>
      <c r="BC164" s="27"/>
      <c r="BD164" s="27"/>
      <c r="BE164" s="362"/>
      <c r="BF164" s="13"/>
      <c r="BG164" s="13"/>
      <c r="BH164" s="85"/>
    </row>
    <row r="165" spans="26:60" ht="15" customHeight="1" x14ac:dyDescent="0.25">
      <c r="Z165" s="84"/>
      <c r="AK165" s="348"/>
      <c r="AL165" s="348"/>
      <c r="AM165" s="348"/>
      <c r="AN165" s="349"/>
      <c r="AO165" s="349"/>
      <c r="AP165" s="349"/>
      <c r="AQ165" s="350"/>
      <c r="AR165" s="351"/>
      <c r="AS165" s="351"/>
      <c r="AT165" s="352"/>
      <c r="AV165" s="357"/>
      <c r="AW165" s="358"/>
      <c r="AX165" s="358"/>
      <c r="AY165" s="358"/>
      <c r="AZ165" s="358"/>
      <c r="BA165" s="358"/>
      <c r="BB165" s="358"/>
      <c r="BC165" s="358"/>
      <c r="BD165" s="358"/>
      <c r="BE165" s="359"/>
      <c r="BF165" s="13"/>
      <c r="BG165" s="13"/>
      <c r="BH165" s="85"/>
    </row>
    <row r="166" spans="26:60" ht="26.25" x14ac:dyDescent="0.25">
      <c r="Z166" s="84"/>
      <c r="AK166" s="348"/>
      <c r="AL166" s="348"/>
      <c r="AM166" s="348"/>
      <c r="AN166" s="349"/>
      <c r="AO166" s="349"/>
      <c r="AP166" s="349"/>
      <c r="AQ166" s="350"/>
      <c r="AR166" s="351"/>
      <c r="AS166" s="351"/>
      <c r="AT166" s="352"/>
      <c r="AV166" s="340"/>
      <c r="AW166" s="341"/>
      <c r="AX166" s="341"/>
      <c r="AY166" s="341"/>
      <c r="AZ166" s="341"/>
      <c r="BA166" s="341"/>
      <c r="BB166" s="341"/>
      <c r="BC166" s="341"/>
      <c r="BD166" s="341"/>
      <c r="BE166" s="342"/>
      <c r="BF166" s="57"/>
      <c r="BG166" s="57"/>
      <c r="BH166" s="85"/>
    </row>
    <row r="167" spans="26:60" ht="26.25" x14ac:dyDescent="0.25">
      <c r="Z167" s="84"/>
      <c r="AK167" s="348"/>
      <c r="AL167" s="348"/>
      <c r="AM167" s="348"/>
      <c r="AN167" s="349"/>
      <c r="AO167" s="349"/>
      <c r="AP167" s="349"/>
      <c r="AQ167" s="350"/>
      <c r="AR167" s="351"/>
      <c r="AS167" s="351"/>
      <c r="AT167" s="352"/>
      <c r="AV167" s="343"/>
      <c r="AW167" s="51"/>
      <c r="AX167" s="51"/>
      <c r="AY167" s="51"/>
      <c r="AZ167" s="51"/>
      <c r="BA167" s="51"/>
      <c r="BB167" s="51"/>
      <c r="BC167" s="51"/>
      <c r="BD167" s="51"/>
      <c r="BE167" s="344"/>
      <c r="BF167" s="57"/>
      <c r="BG167" s="57"/>
      <c r="BH167" s="85"/>
    </row>
    <row r="168" spans="26:60" ht="26.25" x14ac:dyDescent="0.25">
      <c r="Z168" s="84"/>
      <c r="AK168" s="348"/>
      <c r="AL168" s="348"/>
      <c r="AM168" s="348"/>
      <c r="AN168" s="349"/>
      <c r="AO168" s="349"/>
      <c r="AP168" s="349"/>
      <c r="AQ168" s="350"/>
      <c r="AR168" s="351"/>
      <c r="AS168" s="351"/>
      <c r="AT168" s="352"/>
      <c r="AV168" s="343"/>
      <c r="AW168" s="51"/>
      <c r="AX168" s="51"/>
      <c r="AY168" s="51"/>
      <c r="AZ168" s="51"/>
      <c r="BA168" s="51"/>
      <c r="BB168" s="51"/>
      <c r="BC168" s="51"/>
      <c r="BD168" s="51"/>
      <c r="BE168" s="344"/>
      <c r="BF168" s="57"/>
      <c r="BG168" s="57"/>
      <c r="BH168" s="85"/>
    </row>
    <row r="169" spans="26:60" ht="26.25" x14ac:dyDescent="0.25">
      <c r="Z169" s="84"/>
      <c r="AK169" s="348"/>
      <c r="AL169" s="348"/>
      <c r="AM169" s="348"/>
      <c r="AN169" s="349"/>
      <c r="AO169" s="349"/>
      <c r="AP169" s="349"/>
      <c r="AQ169" s="350"/>
      <c r="AR169" s="351"/>
      <c r="AS169" s="351"/>
      <c r="AT169" s="352"/>
      <c r="AV169" s="343"/>
      <c r="AW169" s="51"/>
      <c r="AX169" s="51"/>
      <c r="AY169" s="51"/>
      <c r="AZ169" s="51"/>
      <c r="BA169" s="51"/>
      <c r="BB169" s="51"/>
      <c r="BC169" s="51"/>
      <c r="BD169" s="51"/>
      <c r="BE169" s="344"/>
      <c r="BF169" s="57"/>
      <c r="BG169" s="57"/>
      <c r="BH169" s="85"/>
    </row>
    <row r="170" spans="26:60" ht="26.25" x14ac:dyDescent="0.25">
      <c r="Z170" s="84"/>
      <c r="AK170" s="348"/>
      <c r="AL170" s="348"/>
      <c r="AM170" s="348"/>
      <c r="AN170" s="349"/>
      <c r="AO170" s="349"/>
      <c r="AP170" s="349"/>
      <c r="AQ170" s="350"/>
      <c r="AR170" s="351"/>
      <c r="AS170" s="351"/>
      <c r="AT170" s="352"/>
      <c r="AV170" s="345"/>
      <c r="AW170" s="346"/>
      <c r="AX170" s="346"/>
      <c r="AY170" s="346"/>
      <c r="AZ170" s="346"/>
      <c r="BA170" s="346"/>
      <c r="BB170" s="346"/>
      <c r="BC170" s="346"/>
      <c r="BD170" s="346"/>
      <c r="BE170" s="347"/>
      <c r="BF170" s="57"/>
      <c r="BG170" s="57"/>
      <c r="BH170" s="85"/>
    </row>
    <row r="171" spans="26:60" ht="15" customHeight="1" x14ac:dyDescent="0.25">
      <c r="Z171" s="84"/>
      <c r="AN171" s="353"/>
      <c r="AO171" s="353"/>
      <c r="AP171" s="353"/>
      <c r="AQ171" s="350"/>
      <c r="AR171" s="351"/>
      <c r="AS171" s="351"/>
      <c r="AT171" s="352"/>
      <c r="BH171" s="85"/>
    </row>
    <row r="172" spans="26:60" ht="15" customHeight="1" x14ac:dyDescent="0.25">
      <c r="Z172" s="84"/>
      <c r="AN172" s="353"/>
      <c r="AO172" s="353"/>
      <c r="AP172" s="353"/>
      <c r="AQ172" s="350"/>
      <c r="AR172" s="351"/>
      <c r="AS172" s="351"/>
      <c r="AT172" s="352"/>
      <c r="BH172" s="85"/>
    </row>
    <row r="173" spans="26:60" ht="15" customHeight="1" x14ac:dyDescent="0.25">
      <c r="Z173" s="84"/>
      <c r="AN173" s="353"/>
      <c r="AO173" s="353"/>
      <c r="AP173" s="353"/>
      <c r="AQ173" s="350"/>
      <c r="AR173" s="351"/>
      <c r="AS173" s="351"/>
      <c r="AT173" s="352"/>
      <c r="BH173" s="85"/>
    </row>
    <row r="174" spans="26:60" x14ac:dyDescent="0.25">
      <c r="Z174" s="84"/>
      <c r="BH174" s="85"/>
    </row>
    <row r="175" spans="26:60" ht="15.75" thickBot="1" x14ac:dyDescent="0.3">
      <c r="Z175" s="87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  <c r="AQ175" s="88"/>
      <c r="AR175" s="88"/>
      <c r="AS175" s="88"/>
      <c r="AT175" s="88"/>
      <c r="AU175" s="88"/>
      <c r="AV175" s="88"/>
      <c r="AW175" s="88"/>
      <c r="AX175" s="88"/>
      <c r="AY175" s="88"/>
      <c r="AZ175" s="88"/>
      <c r="BA175" s="88"/>
      <c r="BB175" s="88"/>
      <c r="BC175" s="88"/>
      <c r="BD175" s="88"/>
      <c r="BE175" s="88"/>
      <c r="BF175" s="88"/>
      <c r="BG175" s="88"/>
      <c r="BH175" s="89"/>
    </row>
  </sheetData>
  <mergeCells count="1552">
    <mergeCell ref="BI34:BK35"/>
    <mergeCell ref="BL34:BM35"/>
    <mergeCell ref="BN34:BP35"/>
    <mergeCell ref="BJ36:BM36"/>
    <mergeCell ref="BN36:BN37"/>
    <mergeCell ref="BO36:BR36"/>
    <mergeCell ref="A38:B38"/>
    <mergeCell ref="C38:E38"/>
    <mergeCell ref="F38:G38"/>
    <mergeCell ref="H38:J38"/>
    <mergeCell ref="AT36:AT37"/>
    <mergeCell ref="AU36:AX36"/>
    <mergeCell ref="AY36:AY37"/>
    <mergeCell ref="AZ36:BC36"/>
    <mergeCell ref="BD36:BD37"/>
    <mergeCell ref="BE36:BH36"/>
    <mergeCell ref="AE36:AE37"/>
    <mergeCell ref="AF36:AI36"/>
    <mergeCell ref="BQ34:BR35"/>
    <mergeCell ref="AT34:AV35"/>
    <mergeCell ref="BG34:BH35"/>
    <mergeCell ref="AE34:AG35"/>
    <mergeCell ref="AH34:AI35"/>
    <mergeCell ref="AJ34:AL35"/>
    <mergeCell ref="AM34:AN35"/>
    <mergeCell ref="AO34:AQ35"/>
    <mergeCell ref="AR34:AS35"/>
    <mergeCell ref="P34:R35"/>
    <mergeCell ref="S34:T35"/>
    <mergeCell ref="U34:W35"/>
    <mergeCell ref="X34:Y35"/>
    <mergeCell ref="Z34:AB35"/>
    <mergeCell ref="AC34:AD35"/>
    <mergeCell ref="A40:C41"/>
    <mergeCell ref="D40:E41"/>
    <mergeCell ref="F40:H41"/>
    <mergeCell ref="I40:J41"/>
    <mergeCell ref="K40:M41"/>
    <mergeCell ref="N40:O41"/>
    <mergeCell ref="A39:C39"/>
    <mergeCell ref="D39:E39"/>
    <mergeCell ref="F39:H39"/>
    <mergeCell ref="I39:J39"/>
    <mergeCell ref="K39:M39"/>
    <mergeCell ref="N39:O39"/>
    <mergeCell ref="A34:C35"/>
    <mergeCell ref="D34:E35"/>
    <mergeCell ref="F34:H35"/>
    <mergeCell ref="I34:J35"/>
    <mergeCell ref="K34:M35"/>
    <mergeCell ref="N34:O35"/>
    <mergeCell ref="U36:U37"/>
    <mergeCell ref="V36:Y36"/>
    <mergeCell ref="Z36:Z37"/>
    <mergeCell ref="AA36:AD36"/>
    <mergeCell ref="A36:A37"/>
    <mergeCell ref="B36:E36"/>
    <mergeCell ref="F36:F37"/>
    <mergeCell ref="G36:J36"/>
    <mergeCell ref="K36:K37"/>
    <mergeCell ref="L36:O36"/>
    <mergeCell ref="BI36:BI37"/>
    <mergeCell ref="BL33:BM33"/>
    <mergeCell ref="BN33:BP33"/>
    <mergeCell ref="BQ33:BR33"/>
    <mergeCell ref="AE33:AG33"/>
    <mergeCell ref="AH33:AI33"/>
    <mergeCell ref="AJ33:AL33"/>
    <mergeCell ref="AM33:AN33"/>
    <mergeCell ref="AO33:AQ33"/>
    <mergeCell ref="AR33:AS33"/>
    <mergeCell ref="P33:R33"/>
    <mergeCell ref="S33:T33"/>
    <mergeCell ref="U33:W33"/>
    <mergeCell ref="X33:Y33"/>
    <mergeCell ref="Z33:AB33"/>
    <mergeCell ref="AC33:AD33"/>
    <mergeCell ref="AW33:AX33"/>
    <mergeCell ref="AY33:BA33"/>
    <mergeCell ref="BB33:BC33"/>
    <mergeCell ref="BD33:BF33"/>
    <mergeCell ref="BG33:BH33"/>
    <mergeCell ref="BI33:BK33"/>
    <mergeCell ref="AW34:AX35"/>
    <mergeCell ref="AY34:BA35"/>
    <mergeCell ref="BB34:BC35"/>
    <mergeCell ref="BD34:BF35"/>
    <mergeCell ref="AJ36:AJ37"/>
    <mergeCell ref="AK36:AN36"/>
    <mergeCell ref="AO36:AO37"/>
    <mergeCell ref="AP36:AS36"/>
    <mergeCell ref="P36:P37"/>
    <mergeCell ref="Q36:T36"/>
    <mergeCell ref="K28:M29"/>
    <mergeCell ref="N28:O29"/>
    <mergeCell ref="BI28:BK29"/>
    <mergeCell ref="AT33:AV33"/>
    <mergeCell ref="A33:C33"/>
    <mergeCell ref="D33:E33"/>
    <mergeCell ref="F33:H33"/>
    <mergeCell ref="I33:J33"/>
    <mergeCell ref="K33:M33"/>
    <mergeCell ref="N33:O33"/>
    <mergeCell ref="A32:B32"/>
    <mergeCell ref="C32:E32"/>
    <mergeCell ref="F32:G32"/>
    <mergeCell ref="H32:J32"/>
    <mergeCell ref="K32:L32"/>
    <mergeCell ref="X27:Y27"/>
    <mergeCell ref="Z27:AB27"/>
    <mergeCell ref="AC27:AD27"/>
    <mergeCell ref="AJ28:AL29"/>
    <mergeCell ref="AM28:AN29"/>
    <mergeCell ref="AO28:AQ29"/>
    <mergeCell ref="AR28:AS29"/>
    <mergeCell ref="P28:R29"/>
    <mergeCell ref="S28:T29"/>
    <mergeCell ref="U28:W29"/>
    <mergeCell ref="X28:Y29"/>
    <mergeCell ref="Z28:AB29"/>
    <mergeCell ref="AC28:AD29"/>
    <mergeCell ref="A28:C29"/>
    <mergeCell ref="D28:E29"/>
    <mergeCell ref="F28:H29"/>
    <mergeCell ref="I28:J29"/>
    <mergeCell ref="BL28:BM29"/>
    <mergeCell ref="BN28:BP29"/>
    <mergeCell ref="BQ28:BR29"/>
    <mergeCell ref="AT28:AV29"/>
    <mergeCell ref="AW28:AX29"/>
    <mergeCell ref="AY28:BA29"/>
    <mergeCell ref="BB28:BC29"/>
    <mergeCell ref="BD28:BF29"/>
    <mergeCell ref="BG28:BH29"/>
    <mergeCell ref="AE28:AG29"/>
    <mergeCell ref="AH28:AI29"/>
    <mergeCell ref="A27:C27"/>
    <mergeCell ref="D27:E27"/>
    <mergeCell ref="F27:H27"/>
    <mergeCell ref="I27:J27"/>
    <mergeCell ref="K27:M27"/>
    <mergeCell ref="N27:O27"/>
    <mergeCell ref="BD27:BF27"/>
    <mergeCell ref="BG27:BH27"/>
    <mergeCell ref="BI27:BK27"/>
    <mergeCell ref="BL27:BM27"/>
    <mergeCell ref="BN27:BP27"/>
    <mergeCell ref="BQ27:BR27"/>
    <mergeCell ref="AO27:AQ27"/>
    <mergeCell ref="AR27:AS27"/>
    <mergeCell ref="AT27:AV27"/>
    <mergeCell ref="AW27:AX27"/>
    <mergeCell ref="AY27:BA27"/>
    <mergeCell ref="BB27:BC27"/>
    <mergeCell ref="P27:R27"/>
    <mergeCell ref="S27:T27"/>
    <mergeCell ref="U27:W27"/>
    <mergeCell ref="K21:M21"/>
    <mergeCell ref="N21:O21"/>
    <mergeCell ref="AT22:AV23"/>
    <mergeCell ref="AW22:AX23"/>
    <mergeCell ref="AY22:BA23"/>
    <mergeCell ref="BB22:BC23"/>
    <mergeCell ref="BD22:BF23"/>
    <mergeCell ref="BG22:BH23"/>
    <mergeCell ref="AE22:AG23"/>
    <mergeCell ref="AH22:AI23"/>
    <mergeCell ref="AJ22:AL23"/>
    <mergeCell ref="AM22:AN23"/>
    <mergeCell ref="AO22:AQ23"/>
    <mergeCell ref="AR22:AS23"/>
    <mergeCell ref="P22:R23"/>
    <mergeCell ref="S22:T23"/>
    <mergeCell ref="U22:W23"/>
    <mergeCell ref="X22:Y23"/>
    <mergeCell ref="Z22:AB23"/>
    <mergeCell ref="AC22:AD23"/>
    <mergeCell ref="U16:W17"/>
    <mergeCell ref="X16:Y17"/>
    <mergeCell ref="Z16:AB17"/>
    <mergeCell ref="AC16:AD17"/>
    <mergeCell ref="A22:C23"/>
    <mergeCell ref="D22:E23"/>
    <mergeCell ref="F22:H23"/>
    <mergeCell ref="I22:J23"/>
    <mergeCell ref="BI21:BK21"/>
    <mergeCell ref="BL21:BM21"/>
    <mergeCell ref="BN21:BP21"/>
    <mergeCell ref="BQ21:BR21"/>
    <mergeCell ref="AE21:AG21"/>
    <mergeCell ref="AH21:AI21"/>
    <mergeCell ref="AJ21:AL21"/>
    <mergeCell ref="AM21:AN21"/>
    <mergeCell ref="AO21:AQ21"/>
    <mergeCell ref="AR21:AS21"/>
    <mergeCell ref="P21:R21"/>
    <mergeCell ref="S21:T21"/>
    <mergeCell ref="U21:W21"/>
    <mergeCell ref="X21:Y21"/>
    <mergeCell ref="Z21:AB21"/>
    <mergeCell ref="AC21:AD21"/>
    <mergeCell ref="BI22:BK23"/>
    <mergeCell ref="BL22:BM23"/>
    <mergeCell ref="BN22:BP23"/>
    <mergeCell ref="BQ22:BR23"/>
    <mergeCell ref="A21:C21"/>
    <mergeCell ref="D21:E21"/>
    <mergeCell ref="F21:H21"/>
    <mergeCell ref="I21:J21"/>
    <mergeCell ref="A16:C17"/>
    <mergeCell ref="D16:E17"/>
    <mergeCell ref="F16:H17"/>
    <mergeCell ref="I16:J17"/>
    <mergeCell ref="BD21:BF21"/>
    <mergeCell ref="BG21:BH21"/>
    <mergeCell ref="U10:W11"/>
    <mergeCell ref="X10:Y11"/>
    <mergeCell ref="Z10:AB11"/>
    <mergeCell ref="AC10:AD11"/>
    <mergeCell ref="A10:C11"/>
    <mergeCell ref="D10:E11"/>
    <mergeCell ref="F10:H11"/>
    <mergeCell ref="I10:J11"/>
    <mergeCell ref="K16:M17"/>
    <mergeCell ref="N16:O17"/>
    <mergeCell ref="BD15:BF15"/>
    <mergeCell ref="BG15:BH15"/>
    <mergeCell ref="A20:B20"/>
    <mergeCell ref="C20:E20"/>
    <mergeCell ref="F20:G20"/>
    <mergeCell ref="H20:J20"/>
    <mergeCell ref="K20:L20"/>
    <mergeCell ref="M20:O20"/>
    <mergeCell ref="P20:Q20"/>
    <mergeCell ref="R20:T20"/>
    <mergeCell ref="AY18:AY19"/>
    <mergeCell ref="AZ18:BC18"/>
    <mergeCell ref="BD18:BD19"/>
    <mergeCell ref="BE18:BH18"/>
    <mergeCell ref="AT16:AV17"/>
    <mergeCell ref="AW16:AX17"/>
    <mergeCell ref="AO15:AQ15"/>
    <mergeCell ref="AR15:AS15"/>
    <mergeCell ref="AT15:AV15"/>
    <mergeCell ref="AW15:AX15"/>
    <mergeCell ref="AY15:BA15"/>
    <mergeCell ref="BB15:BC15"/>
    <mergeCell ref="P15:R15"/>
    <mergeCell ref="S15:T15"/>
    <mergeCell ref="U15:W15"/>
    <mergeCell ref="X15:Y15"/>
    <mergeCell ref="Z15:AB15"/>
    <mergeCell ref="AC15:AD15"/>
    <mergeCell ref="BI16:BK17"/>
    <mergeCell ref="BL16:BM17"/>
    <mergeCell ref="BN16:BP17"/>
    <mergeCell ref="BQ16:BR17"/>
    <mergeCell ref="AE15:AG15"/>
    <mergeCell ref="AH15:AI15"/>
    <mergeCell ref="AJ15:AL15"/>
    <mergeCell ref="AM15:AN15"/>
    <mergeCell ref="AY16:BA17"/>
    <mergeCell ref="BB16:BC17"/>
    <mergeCell ref="BD16:BF17"/>
    <mergeCell ref="BG16:BH17"/>
    <mergeCell ref="AE16:AG17"/>
    <mergeCell ref="AH16:AI17"/>
    <mergeCell ref="AJ16:AL17"/>
    <mergeCell ref="AM16:AN17"/>
    <mergeCell ref="AO16:AQ17"/>
    <mergeCell ref="AR16:AS17"/>
    <mergeCell ref="P16:R17"/>
    <mergeCell ref="S16:T17"/>
    <mergeCell ref="U9:W9"/>
    <mergeCell ref="X9:Y9"/>
    <mergeCell ref="Z9:AB9"/>
    <mergeCell ref="AC9:AD9"/>
    <mergeCell ref="BI10:BK11"/>
    <mergeCell ref="BL10:BM11"/>
    <mergeCell ref="BN10:BP11"/>
    <mergeCell ref="BQ10:BR11"/>
    <mergeCell ref="A15:C15"/>
    <mergeCell ref="D15:E15"/>
    <mergeCell ref="F15:H15"/>
    <mergeCell ref="I15:J15"/>
    <mergeCell ref="K15:M15"/>
    <mergeCell ref="N15:O15"/>
    <mergeCell ref="AT10:AV11"/>
    <mergeCell ref="AW10:AX11"/>
    <mergeCell ref="AY10:BA11"/>
    <mergeCell ref="BB10:BC11"/>
    <mergeCell ref="BD10:BF11"/>
    <mergeCell ref="BG10:BH11"/>
    <mergeCell ref="AE10:AG11"/>
    <mergeCell ref="AH10:AI11"/>
    <mergeCell ref="AJ10:AL11"/>
    <mergeCell ref="AM10:AN11"/>
    <mergeCell ref="AO10:AQ11"/>
    <mergeCell ref="AR10:AS11"/>
    <mergeCell ref="P10:R11"/>
    <mergeCell ref="S10:T11"/>
    <mergeCell ref="BI15:BK15"/>
    <mergeCell ref="BL15:BM15"/>
    <mergeCell ref="BN15:BP15"/>
    <mergeCell ref="BQ15:BR15"/>
    <mergeCell ref="K10:M11"/>
    <mergeCell ref="N10:O11"/>
    <mergeCell ref="BD9:BF9"/>
    <mergeCell ref="BG9:BH9"/>
    <mergeCell ref="BI9:BK9"/>
    <mergeCell ref="BL9:BM9"/>
    <mergeCell ref="BN9:BP9"/>
    <mergeCell ref="BQ9:BR9"/>
    <mergeCell ref="AE9:AG9"/>
    <mergeCell ref="AH9:AI9"/>
    <mergeCell ref="A9:C9"/>
    <mergeCell ref="D9:E9"/>
    <mergeCell ref="F9:H9"/>
    <mergeCell ref="I9:J9"/>
    <mergeCell ref="K9:M9"/>
    <mergeCell ref="N9:O9"/>
    <mergeCell ref="BN3:BP3"/>
    <mergeCell ref="BQ3:BR3"/>
    <mergeCell ref="BI4:BK5"/>
    <mergeCell ref="BL4:BM5"/>
    <mergeCell ref="BN4:BP5"/>
    <mergeCell ref="BQ4:BR5"/>
    <mergeCell ref="BD3:BF3"/>
    <mergeCell ref="BG3:BH3"/>
    <mergeCell ref="BD4:BF5"/>
    <mergeCell ref="BG4:BH5"/>
    <mergeCell ref="BI3:BK3"/>
    <mergeCell ref="BL3:BM3"/>
    <mergeCell ref="AO4:AQ5"/>
    <mergeCell ref="AR4:AS5"/>
    <mergeCell ref="AT4:AV5"/>
    <mergeCell ref="AW4:AX5"/>
    <mergeCell ref="BS141:BT144"/>
    <mergeCell ref="BW141:CF142"/>
    <mergeCell ref="AU142:BD146"/>
    <mergeCell ref="BW135:CF137"/>
    <mergeCell ref="Z3:AB3"/>
    <mergeCell ref="AC3:AD3"/>
    <mergeCell ref="AE3:AG3"/>
    <mergeCell ref="AH3:AI3"/>
    <mergeCell ref="AJ3:AL3"/>
    <mergeCell ref="AM3:AN3"/>
    <mergeCell ref="P3:R3"/>
    <mergeCell ref="S3:T3"/>
    <mergeCell ref="P4:R5"/>
    <mergeCell ref="S4:T5"/>
    <mergeCell ref="U3:W3"/>
    <mergeCell ref="X3:Y3"/>
    <mergeCell ref="U4:W5"/>
    <mergeCell ref="X4:Y5"/>
    <mergeCell ref="AY3:BA3"/>
    <mergeCell ref="BB3:BC3"/>
    <mergeCell ref="AY4:BA5"/>
    <mergeCell ref="BB4:BC5"/>
    <mergeCell ref="Z4:AB5"/>
    <mergeCell ref="AC4:AD5"/>
    <mergeCell ref="AE4:AG5"/>
    <mergeCell ref="AH4:AI5"/>
    <mergeCell ref="AJ4:AL5"/>
    <mergeCell ref="AM4:AN5"/>
    <mergeCell ref="AO9:AQ9"/>
    <mergeCell ref="AR9:AS9"/>
    <mergeCell ref="P9:R9"/>
    <mergeCell ref="S9:T9"/>
    <mergeCell ref="BS138:BT140"/>
    <mergeCell ref="AM132:AO134"/>
    <mergeCell ref="AP132:AS134"/>
    <mergeCell ref="AU133:BD135"/>
    <mergeCell ref="AJ135:AL137"/>
    <mergeCell ref="AM135:AO137"/>
    <mergeCell ref="AP135:AS137"/>
    <mergeCell ref="AJ126:AL128"/>
    <mergeCell ref="AM126:AO128"/>
    <mergeCell ref="AP126:AS128"/>
    <mergeCell ref="AM150:AO152"/>
    <mergeCell ref="AP150:AS152"/>
    <mergeCell ref="BW152:CF156"/>
    <mergeCell ref="AJ153:AL155"/>
    <mergeCell ref="AM153:AO155"/>
    <mergeCell ref="AP153:AS155"/>
    <mergeCell ref="BW143:CF145"/>
    <mergeCell ref="AJ144:AL146"/>
    <mergeCell ref="AM144:AO146"/>
    <mergeCell ref="AP144:AS146"/>
    <mergeCell ref="BW146:CF147"/>
    <mergeCell ref="AJ147:AL149"/>
    <mergeCell ref="AM147:AO149"/>
    <mergeCell ref="AP147:AS149"/>
    <mergeCell ref="BW148:CF151"/>
    <mergeCell ref="AJ150:AL152"/>
    <mergeCell ref="BW138:CF140"/>
    <mergeCell ref="AJ141:AL143"/>
    <mergeCell ref="AM141:AO143"/>
    <mergeCell ref="AP141:AS143"/>
    <mergeCell ref="BK141:BM144"/>
    <mergeCell ref="BN141:BP144"/>
    <mergeCell ref="Z128:AD134"/>
    <mergeCell ref="AU128:BD130"/>
    <mergeCell ref="AJ129:AL131"/>
    <mergeCell ref="AM129:AO131"/>
    <mergeCell ref="AP129:AS131"/>
    <mergeCell ref="AU131:BD132"/>
    <mergeCell ref="AJ132:AL134"/>
    <mergeCell ref="BP112:BR115"/>
    <mergeCell ref="A113:C115"/>
    <mergeCell ref="D115:E115"/>
    <mergeCell ref="G115:I117"/>
    <mergeCell ref="X116:AI121"/>
    <mergeCell ref="AJ116:AT121"/>
    <mergeCell ref="AU116:BF121"/>
    <mergeCell ref="BL116:BR119"/>
    <mergeCell ref="BL120:BR121"/>
    <mergeCell ref="G118:I119"/>
    <mergeCell ref="D128:S140"/>
    <mergeCell ref="AU136:BD137"/>
    <mergeCell ref="AJ138:AL140"/>
    <mergeCell ref="AM138:AO140"/>
    <mergeCell ref="AP138:AS140"/>
    <mergeCell ref="AU138:BD141"/>
    <mergeCell ref="BK138:BM140"/>
    <mergeCell ref="BN138:BP140"/>
    <mergeCell ref="BQ138:BR140"/>
    <mergeCell ref="BQ141:BR144"/>
    <mergeCell ref="BN103:BN104"/>
    <mergeCell ref="BO103:BR103"/>
    <mergeCell ref="A112:C112"/>
    <mergeCell ref="D112:E112"/>
    <mergeCell ref="G112:I114"/>
    <mergeCell ref="X112:AI115"/>
    <mergeCell ref="AJ112:AS115"/>
    <mergeCell ref="AU112:BF115"/>
    <mergeCell ref="BG112:BK121"/>
    <mergeCell ref="BL112:BO115"/>
    <mergeCell ref="AY103:AY104"/>
    <mergeCell ref="AZ103:BC103"/>
    <mergeCell ref="BD103:BD104"/>
    <mergeCell ref="BE103:BH103"/>
    <mergeCell ref="BI103:BI104"/>
    <mergeCell ref="BJ103:BM103"/>
    <mergeCell ref="AJ103:AJ104"/>
    <mergeCell ref="AK103:AN103"/>
    <mergeCell ref="AO103:AO104"/>
    <mergeCell ref="AP103:AS103"/>
    <mergeCell ref="AT103:AT104"/>
    <mergeCell ref="AU103:AX103"/>
    <mergeCell ref="U103:U104"/>
    <mergeCell ref="V103:Y103"/>
    <mergeCell ref="Z103:Z104"/>
    <mergeCell ref="AA103:AD103"/>
    <mergeCell ref="AE103:AE104"/>
    <mergeCell ref="AF103:AI103"/>
    <mergeCell ref="G120:I121"/>
    <mergeCell ref="BI100:BM102"/>
    <mergeCell ref="BN100:BR102"/>
    <mergeCell ref="A103:A104"/>
    <mergeCell ref="B103:E103"/>
    <mergeCell ref="F103:F104"/>
    <mergeCell ref="G103:J103"/>
    <mergeCell ref="K103:K104"/>
    <mergeCell ref="L103:O103"/>
    <mergeCell ref="P103:P104"/>
    <mergeCell ref="Q103:T103"/>
    <mergeCell ref="AE100:AI102"/>
    <mergeCell ref="AJ100:AN102"/>
    <mergeCell ref="AO100:AS102"/>
    <mergeCell ref="AT100:AX102"/>
    <mergeCell ref="AY100:BC102"/>
    <mergeCell ref="BD100:BH102"/>
    <mergeCell ref="BI99:BJ99"/>
    <mergeCell ref="BK99:BM99"/>
    <mergeCell ref="BN99:BO99"/>
    <mergeCell ref="BP99:BR99"/>
    <mergeCell ref="A100:E102"/>
    <mergeCell ref="F100:J102"/>
    <mergeCell ref="K100:O102"/>
    <mergeCell ref="P100:T102"/>
    <mergeCell ref="U100:Y102"/>
    <mergeCell ref="Z100:AD102"/>
    <mergeCell ref="AT99:AU99"/>
    <mergeCell ref="AV99:AX99"/>
    <mergeCell ref="AY99:AZ99"/>
    <mergeCell ref="BA99:BC99"/>
    <mergeCell ref="BD99:BE99"/>
    <mergeCell ref="BF99:BH99"/>
    <mergeCell ref="AE99:AF99"/>
    <mergeCell ref="AG99:AI99"/>
    <mergeCell ref="AJ99:AK99"/>
    <mergeCell ref="AL99:AN99"/>
    <mergeCell ref="AO99:AP99"/>
    <mergeCell ref="AQ99:AS99"/>
    <mergeCell ref="P99:Q99"/>
    <mergeCell ref="R99:T99"/>
    <mergeCell ref="U99:V99"/>
    <mergeCell ref="W99:Y99"/>
    <mergeCell ref="Z99:AA99"/>
    <mergeCell ref="AB99:AD99"/>
    <mergeCell ref="BI97:BI98"/>
    <mergeCell ref="BJ97:BM97"/>
    <mergeCell ref="BN97:BN98"/>
    <mergeCell ref="BO97:BR97"/>
    <mergeCell ref="A99:B99"/>
    <mergeCell ref="C99:E99"/>
    <mergeCell ref="F99:G99"/>
    <mergeCell ref="H99:J99"/>
    <mergeCell ref="K99:L99"/>
    <mergeCell ref="M99:O99"/>
    <mergeCell ref="AT97:AT98"/>
    <mergeCell ref="AU97:AX97"/>
    <mergeCell ref="AY97:AY98"/>
    <mergeCell ref="AZ97:BC97"/>
    <mergeCell ref="BD97:BD98"/>
    <mergeCell ref="BE97:BH97"/>
    <mergeCell ref="AE97:AE98"/>
    <mergeCell ref="AF97:AI97"/>
    <mergeCell ref="AJ97:AJ98"/>
    <mergeCell ref="AK97:AN97"/>
    <mergeCell ref="AO97:AO98"/>
    <mergeCell ref="AP97:AS97"/>
    <mergeCell ref="P97:P98"/>
    <mergeCell ref="Q97:T97"/>
    <mergeCell ref="U97:U98"/>
    <mergeCell ref="V97:Y97"/>
    <mergeCell ref="Z97:Z98"/>
    <mergeCell ref="AA97:AD97"/>
    <mergeCell ref="A97:A98"/>
    <mergeCell ref="B97:E97"/>
    <mergeCell ref="F97:F98"/>
    <mergeCell ref="G97:J97"/>
    <mergeCell ref="K97:K98"/>
    <mergeCell ref="L97:O97"/>
    <mergeCell ref="AO94:AS96"/>
    <mergeCell ref="AT94:AX96"/>
    <mergeCell ref="AY94:BC96"/>
    <mergeCell ref="BD94:BH96"/>
    <mergeCell ref="BI94:BM96"/>
    <mergeCell ref="BN94:BR96"/>
    <mergeCell ref="BN93:BO93"/>
    <mergeCell ref="BP93:BR93"/>
    <mergeCell ref="A94:E96"/>
    <mergeCell ref="F94:J96"/>
    <mergeCell ref="K94:O96"/>
    <mergeCell ref="P94:T96"/>
    <mergeCell ref="U94:Y96"/>
    <mergeCell ref="Z94:AD96"/>
    <mergeCell ref="AE94:AI96"/>
    <mergeCell ref="AJ94:AN96"/>
    <mergeCell ref="AY93:AZ93"/>
    <mergeCell ref="BA93:BC93"/>
    <mergeCell ref="BD93:BE93"/>
    <mergeCell ref="BF93:BH93"/>
    <mergeCell ref="BI93:BJ93"/>
    <mergeCell ref="BK93:BM93"/>
    <mergeCell ref="AJ93:AK93"/>
    <mergeCell ref="AL93:AN93"/>
    <mergeCell ref="AO93:AP93"/>
    <mergeCell ref="AQ93:AS93"/>
    <mergeCell ref="AT93:AU93"/>
    <mergeCell ref="AV93:AX93"/>
    <mergeCell ref="U93:V93"/>
    <mergeCell ref="W93:Y93"/>
    <mergeCell ref="Z93:AA93"/>
    <mergeCell ref="AB93:AD93"/>
    <mergeCell ref="AE93:AF93"/>
    <mergeCell ref="AG93:AI93"/>
    <mergeCell ref="BN91:BN92"/>
    <mergeCell ref="BO91:BR91"/>
    <mergeCell ref="A93:B93"/>
    <mergeCell ref="C93:E93"/>
    <mergeCell ref="F93:G93"/>
    <mergeCell ref="H93:J93"/>
    <mergeCell ref="K93:L93"/>
    <mergeCell ref="M93:O93"/>
    <mergeCell ref="P93:Q93"/>
    <mergeCell ref="R93:T93"/>
    <mergeCell ref="AY91:AY92"/>
    <mergeCell ref="AZ91:BC91"/>
    <mergeCell ref="BD91:BD92"/>
    <mergeCell ref="BE91:BH91"/>
    <mergeCell ref="BI91:BI92"/>
    <mergeCell ref="BJ91:BM91"/>
    <mergeCell ref="AJ91:AJ92"/>
    <mergeCell ref="AK91:AN91"/>
    <mergeCell ref="AO91:AO92"/>
    <mergeCell ref="AP91:AS91"/>
    <mergeCell ref="AT91:AT92"/>
    <mergeCell ref="AU91:AX91"/>
    <mergeCell ref="U91:U92"/>
    <mergeCell ref="V91:Y91"/>
    <mergeCell ref="Z91:Z92"/>
    <mergeCell ref="AA91:AD91"/>
    <mergeCell ref="AE91:AE92"/>
    <mergeCell ref="AF91:AI91"/>
    <mergeCell ref="BI88:BM90"/>
    <mergeCell ref="BN88:BR90"/>
    <mergeCell ref="A91:A92"/>
    <mergeCell ref="B91:E91"/>
    <mergeCell ref="F91:F92"/>
    <mergeCell ref="G91:J91"/>
    <mergeCell ref="K91:K92"/>
    <mergeCell ref="L91:O91"/>
    <mergeCell ref="P91:P92"/>
    <mergeCell ref="Q91:T91"/>
    <mergeCell ref="AE88:AI90"/>
    <mergeCell ref="AJ88:AN90"/>
    <mergeCell ref="AO88:AS90"/>
    <mergeCell ref="AT88:AX90"/>
    <mergeCell ref="AY88:BC90"/>
    <mergeCell ref="BD88:BH90"/>
    <mergeCell ref="BI87:BJ87"/>
    <mergeCell ref="BK87:BM87"/>
    <mergeCell ref="BN87:BO87"/>
    <mergeCell ref="BP87:BR87"/>
    <mergeCell ref="A88:E90"/>
    <mergeCell ref="F88:J90"/>
    <mergeCell ref="K88:O90"/>
    <mergeCell ref="P88:T90"/>
    <mergeCell ref="U88:Y90"/>
    <mergeCell ref="Z88:AD90"/>
    <mergeCell ref="AT87:AU87"/>
    <mergeCell ref="AV87:AX87"/>
    <mergeCell ref="AY87:AZ87"/>
    <mergeCell ref="BA87:BC87"/>
    <mergeCell ref="BD87:BE87"/>
    <mergeCell ref="BF87:BH87"/>
    <mergeCell ref="AE87:AF87"/>
    <mergeCell ref="AG87:AI87"/>
    <mergeCell ref="AJ87:AK87"/>
    <mergeCell ref="AL87:AN87"/>
    <mergeCell ref="AO87:AP87"/>
    <mergeCell ref="AQ87:AS87"/>
    <mergeCell ref="P87:Q87"/>
    <mergeCell ref="R87:T87"/>
    <mergeCell ref="U87:V87"/>
    <mergeCell ref="W87:Y87"/>
    <mergeCell ref="Z87:AA87"/>
    <mergeCell ref="AB87:AD87"/>
    <mergeCell ref="BI85:BI86"/>
    <mergeCell ref="BJ85:BM85"/>
    <mergeCell ref="BN85:BN86"/>
    <mergeCell ref="BO85:BR85"/>
    <mergeCell ref="A87:B87"/>
    <mergeCell ref="C87:E87"/>
    <mergeCell ref="F87:G87"/>
    <mergeCell ref="H87:J87"/>
    <mergeCell ref="K87:L87"/>
    <mergeCell ref="M87:O87"/>
    <mergeCell ref="AT85:AT86"/>
    <mergeCell ref="AU85:AX85"/>
    <mergeCell ref="AY85:AY86"/>
    <mergeCell ref="AZ85:BC85"/>
    <mergeCell ref="BD85:BD86"/>
    <mergeCell ref="BE85:BH85"/>
    <mergeCell ref="AE85:AE86"/>
    <mergeCell ref="AF85:AI85"/>
    <mergeCell ref="AJ85:AJ86"/>
    <mergeCell ref="AK85:AN85"/>
    <mergeCell ref="AO85:AO86"/>
    <mergeCell ref="AP85:AS85"/>
    <mergeCell ref="P85:P86"/>
    <mergeCell ref="Q85:T85"/>
    <mergeCell ref="U85:U86"/>
    <mergeCell ref="V85:Y85"/>
    <mergeCell ref="Z85:Z86"/>
    <mergeCell ref="AA85:AD85"/>
    <mergeCell ref="A85:A86"/>
    <mergeCell ref="B85:E85"/>
    <mergeCell ref="F85:F86"/>
    <mergeCell ref="G85:J85"/>
    <mergeCell ref="K85:K86"/>
    <mergeCell ref="L85:O85"/>
    <mergeCell ref="AO82:AS84"/>
    <mergeCell ref="AT82:AX84"/>
    <mergeCell ref="AY82:BC84"/>
    <mergeCell ref="BD82:BH84"/>
    <mergeCell ref="BI82:BM84"/>
    <mergeCell ref="BN82:BR84"/>
    <mergeCell ref="BN81:BO81"/>
    <mergeCell ref="BP81:BR81"/>
    <mergeCell ref="A82:E84"/>
    <mergeCell ref="F82:J84"/>
    <mergeCell ref="K82:O84"/>
    <mergeCell ref="P82:T84"/>
    <mergeCell ref="U82:Y84"/>
    <mergeCell ref="Z82:AD84"/>
    <mergeCell ref="AE82:AI84"/>
    <mergeCell ref="AJ82:AN84"/>
    <mergeCell ref="AY81:AZ81"/>
    <mergeCell ref="BA81:BC81"/>
    <mergeCell ref="BD81:BE81"/>
    <mergeCell ref="BF81:BH81"/>
    <mergeCell ref="BI81:BJ81"/>
    <mergeCell ref="BK81:BM81"/>
    <mergeCell ref="AJ81:AK81"/>
    <mergeCell ref="AL81:AN81"/>
    <mergeCell ref="AO81:AP81"/>
    <mergeCell ref="AQ81:AS81"/>
    <mergeCell ref="AT81:AU81"/>
    <mergeCell ref="AV81:AX81"/>
    <mergeCell ref="U81:V81"/>
    <mergeCell ref="W81:Y81"/>
    <mergeCell ref="Z81:AA81"/>
    <mergeCell ref="AB81:AD81"/>
    <mergeCell ref="AE81:AF81"/>
    <mergeCell ref="AG81:AI81"/>
    <mergeCell ref="A81:B81"/>
    <mergeCell ref="C81:E81"/>
    <mergeCell ref="F81:G81"/>
    <mergeCell ref="H81:J81"/>
    <mergeCell ref="K81:L81"/>
    <mergeCell ref="M81:O81"/>
    <mergeCell ref="P81:Q81"/>
    <mergeCell ref="R81:T81"/>
    <mergeCell ref="AY79:AY80"/>
    <mergeCell ref="AZ79:BC79"/>
    <mergeCell ref="BD79:BD80"/>
    <mergeCell ref="BE79:BH79"/>
    <mergeCell ref="BI79:BI80"/>
    <mergeCell ref="BJ79:BM79"/>
    <mergeCell ref="AJ79:AJ80"/>
    <mergeCell ref="AK79:AN79"/>
    <mergeCell ref="AO79:AO80"/>
    <mergeCell ref="AP79:AS79"/>
    <mergeCell ref="AT79:AT80"/>
    <mergeCell ref="AU79:AX79"/>
    <mergeCell ref="U79:U80"/>
    <mergeCell ref="V79:Y79"/>
    <mergeCell ref="Z79:Z80"/>
    <mergeCell ref="AA79:AD79"/>
    <mergeCell ref="AE79:AE80"/>
    <mergeCell ref="AF79:AI79"/>
    <mergeCell ref="BI76:BM78"/>
    <mergeCell ref="BN76:BR78"/>
    <mergeCell ref="A79:A80"/>
    <mergeCell ref="B79:E79"/>
    <mergeCell ref="F79:F80"/>
    <mergeCell ref="G79:J79"/>
    <mergeCell ref="K79:K80"/>
    <mergeCell ref="L79:O79"/>
    <mergeCell ref="P79:P80"/>
    <mergeCell ref="Q79:T79"/>
    <mergeCell ref="AE76:AI78"/>
    <mergeCell ref="AJ76:AN78"/>
    <mergeCell ref="AO76:AS78"/>
    <mergeCell ref="AT76:AX78"/>
    <mergeCell ref="AY76:BC78"/>
    <mergeCell ref="BD76:BH78"/>
    <mergeCell ref="A76:E78"/>
    <mergeCell ref="F76:J78"/>
    <mergeCell ref="K76:O78"/>
    <mergeCell ref="P76:T78"/>
    <mergeCell ref="U76:Y78"/>
    <mergeCell ref="Z76:AD78"/>
    <mergeCell ref="BN79:BN80"/>
    <mergeCell ref="BO79:BR79"/>
    <mergeCell ref="EH70:ER75"/>
    <mergeCell ref="ES70:FD75"/>
    <mergeCell ref="FJ70:FP73"/>
    <mergeCell ref="DE72:DG75"/>
    <mergeCell ref="FE66:FI75"/>
    <mergeCell ref="FJ66:FM69"/>
    <mergeCell ref="FN66:FP69"/>
    <mergeCell ref="L73:O73"/>
    <mergeCell ref="P73:P74"/>
    <mergeCell ref="Q73:T73"/>
    <mergeCell ref="U73:U74"/>
    <mergeCell ref="AT75:AU75"/>
    <mergeCell ref="AV75:AX75"/>
    <mergeCell ref="AY75:AZ75"/>
    <mergeCell ref="BA75:BC75"/>
    <mergeCell ref="BD75:BE75"/>
    <mergeCell ref="BF75:BH75"/>
    <mergeCell ref="AE75:AF75"/>
    <mergeCell ref="AG75:AI75"/>
    <mergeCell ref="AJ75:AK75"/>
    <mergeCell ref="AL75:AN75"/>
    <mergeCell ref="AO75:AP75"/>
    <mergeCell ref="AQ75:AS75"/>
    <mergeCell ref="P75:Q75"/>
    <mergeCell ref="R75:T75"/>
    <mergeCell ref="U75:V75"/>
    <mergeCell ref="W75:Y75"/>
    <mergeCell ref="Z75:AA75"/>
    <mergeCell ref="AB75:AD75"/>
    <mergeCell ref="DV65:EG69"/>
    <mergeCell ref="CY66:DA66"/>
    <mergeCell ref="DB66:DC66"/>
    <mergeCell ref="G73:J73"/>
    <mergeCell ref="K73:K74"/>
    <mergeCell ref="AE70:AI72"/>
    <mergeCell ref="AJ70:AN72"/>
    <mergeCell ref="AO70:AS72"/>
    <mergeCell ref="AT70:AX72"/>
    <mergeCell ref="AY70:BC72"/>
    <mergeCell ref="BD70:BH72"/>
    <mergeCell ref="A70:E72"/>
    <mergeCell ref="F70:J72"/>
    <mergeCell ref="K70:O72"/>
    <mergeCell ref="P70:T72"/>
    <mergeCell ref="U70:Y72"/>
    <mergeCell ref="Z70:AD72"/>
    <mergeCell ref="FJ74:FP75"/>
    <mergeCell ref="BI75:BJ75"/>
    <mergeCell ref="BK75:BM75"/>
    <mergeCell ref="BN75:BO75"/>
    <mergeCell ref="BP75:BR75"/>
    <mergeCell ref="AP73:AS73"/>
    <mergeCell ref="AT73:AT74"/>
    <mergeCell ref="AU73:AX73"/>
    <mergeCell ref="AY73:AY74"/>
    <mergeCell ref="AZ73:BC73"/>
    <mergeCell ref="BD73:BD74"/>
    <mergeCell ref="AA73:AD73"/>
    <mergeCell ref="AE73:AE74"/>
    <mergeCell ref="AF73:AI73"/>
    <mergeCell ref="AJ73:AJ74"/>
    <mergeCell ref="AK73:AN73"/>
    <mergeCell ref="AO73:AO74"/>
    <mergeCell ref="DV70:EG75"/>
    <mergeCell ref="A75:B75"/>
    <mergeCell ref="C75:E75"/>
    <mergeCell ref="F75:G75"/>
    <mergeCell ref="H75:J75"/>
    <mergeCell ref="K75:L75"/>
    <mergeCell ref="M75:O75"/>
    <mergeCell ref="BE73:BH73"/>
    <mergeCell ref="BI73:BI74"/>
    <mergeCell ref="BJ73:BM73"/>
    <mergeCell ref="BN73:BN74"/>
    <mergeCell ref="DB69:DC69"/>
    <mergeCell ref="DE69:DG71"/>
    <mergeCell ref="BI70:BM72"/>
    <mergeCell ref="BN70:BR72"/>
    <mergeCell ref="AT69:AU69"/>
    <mergeCell ref="AV69:AX69"/>
    <mergeCell ref="AY69:AZ69"/>
    <mergeCell ref="BA69:BC69"/>
    <mergeCell ref="BD69:BE69"/>
    <mergeCell ref="BF69:BH69"/>
    <mergeCell ref="AE69:AF69"/>
    <mergeCell ref="AG69:AI69"/>
    <mergeCell ref="AJ69:AK69"/>
    <mergeCell ref="AL69:AN69"/>
    <mergeCell ref="AO69:AP69"/>
    <mergeCell ref="AQ69:AS69"/>
    <mergeCell ref="V73:Y73"/>
    <mergeCell ref="Z73:Z74"/>
    <mergeCell ref="BO73:BR73"/>
    <mergeCell ref="A73:A74"/>
    <mergeCell ref="B73:E73"/>
    <mergeCell ref="F73:F74"/>
    <mergeCell ref="A69:B69"/>
    <mergeCell ref="C69:E69"/>
    <mergeCell ref="F69:G69"/>
    <mergeCell ref="H69:J69"/>
    <mergeCell ref="K69:L69"/>
    <mergeCell ref="M69:O69"/>
    <mergeCell ref="AU67:AX67"/>
    <mergeCell ref="AY67:AY68"/>
    <mergeCell ref="AZ67:BC67"/>
    <mergeCell ref="BD67:BD68"/>
    <mergeCell ref="BE67:BH67"/>
    <mergeCell ref="BI67:BI68"/>
    <mergeCell ref="AF67:AI67"/>
    <mergeCell ref="AJ67:AJ68"/>
    <mergeCell ref="AK67:AN67"/>
    <mergeCell ref="AO67:AO68"/>
    <mergeCell ref="AP67:AS67"/>
    <mergeCell ref="AT67:AT68"/>
    <mergeCell ref="Q67:T67"/>
    <mergeCell ref="U67:U68"/>
    <mergeCell ref="V67:Y67"/>
    <mergeCell ref="Z67:Z68"/>
    <mergeCell ref="BI69:BJ69"/>
    <mergeCell ref="AA67:AD67"/>
    <mergeCell ref="AE67:AE68"/>
    <mergeCell ref="A67:A68"/>
    <mergeCell ref="B67:E67"/>
    <mergeCell ref="F67:F68"/>
    <mergeCell ref="G67:J67"/>
    <mergeCell ref="K67:K68"/>
    <mergeCell ref="L67:O67"/>
    <mergeCell ref="P67:P68"/>
    <mergeCell ref="DE66:DG68"/>
    <mergeCell ref="EH66:EQ69"/>
    <mergeCell ref="ES66:FD69"/>
    <mergeCell ref="AO64:AS66"/>
    <mergeCell ref="AT64:AX66"/>
    <mergeCell ref="AY64:BC66"/>
    <mergeCell ref="BD64:BH66"/>
    <mergeCell ref="BI64:BM66"/>
    <mergeCell ref="BN64:BR66"/>
    <mergeCell ref="P69:Q69"/>
    <mergeCell ref="R69:T69"/>
    <mergeCell ref="U69:V69"/>
    <mergeCell ref="W69:Y69"/>
    <mergeCell ref="Z69:AA69"/>
    <mergeCell ref="AB69:AD69"/>
    <mergeCell ref="BJ67:BM67"/>
    <mergeCell ref="BN67:BN68"/>
    <mergeCell ref="BO67:BR67"/>
    <mergeCell ref="CY67:DA69"/>
    <mergeCell ref="BK69:BM69"/>
    <mergeCell ref="BN69:BO69"/>
    <mergeCell ref="BP69:BR69"/>
    <mergeCell ref="BN63:BO63"/>
    <mergeCell ref="BP63:BR63"/>
    <mergeCell ref="A64:E66"/>
    <mergeCell ref="F64:J66"/>
    <mergeCell ref="K64:O66"/>
    <mergeCell ref="P64:T66"/>
    <mergeCell ref="U64:Y66"/>
    <mergeCell ref="Z64:AD66"/>
    <mergeCell ref="AE64:AI66"/>
    <mergeCell ref="AJ64:AN66"/>
    <mergeCell ref="AY63:AZ63"/>
    <mergeCell ref="BA63:BC63"/>
    <mergeCell ref="BD63:BE63"/>
    <mergeCell ref="BF63:BH63"/>
    <mergeCell ref="BI63:BJ63"/>
    <mergeCell ref="BK63:BM63"/>
    <mergeCell ref="AJ63:AK63"/>
    <mergeCell ref="AL63:AN63"/>
    <mergeCell ref="AO63:AP63"/>
    <mergeCell ref="AQ63:AS63"/>
    <mergeCell ref="AT63:AU63"/>
    <mergeCell ref="AV63:AX63"/>
    <mergeCell ref="U63:V63"/>
    <mergeCell ref="W63:Y63"/>
    <mergeCell ref="Z63:AA63"/>
    <mergeCell ref="AB63:AD63"/>
    <mergeCell ref="AE63:AF63"/>
    <mergeCell ref="AG63:AI63"/>
    <mergeCell ref="A63:B63"/>
    <mergeCell ref="C63:E63"/>
    <mergeCell ref="F63:G63"/>
    <mergeCell ref="H63:J63"/>
    <mergeCell ref="K63:L63"/>
    <mergeCell ref="M63:O63"/>
    <mergeCell ref="P63:Q63"/>
    <mergeCell ref="R63:T63"/>
    <mergeCell ref="AY60:AY61"/>
    <mergeCell ref="AZ60:BC60"/>
    <mergeCell ref="BD60:BD61"/>
    <mergeCell ref="BE60:BH60"/>
    <mergeCell ref="BI60:BI61"/>
    <mergeCell ref="BJ60:BM60"/>
    <mergeCell ref="AJ60:AJ61"/>
    <mergeCell ref="AK60:AN60"/>
    <mergeCell ref="AO60:AO61"/>
    <mergeCell ref="AP60:AS60"/>
    <mergeCell ref="AT60:AT61"/>
    <mergeCell ref="AU60:AX60"/>
    <mergeCell ref="U60:U61"/>
    <mergeCell ref="V60:Y60"/>
    <mergeCell ref="Z60:Z61"/>
    <mergeCell ref="AA60:AD60"/>
    <mergeCell ref="AE60:AE61"/>
    <mergeCell ref="AF60:AI60"/>
    <mergeCell ref="A60:A61"/>
    <mergeCell ref="B60:E60"/>
    <mergeCell ref="F60:F61"/>
    <mergeCell ref="G60:J60"/>
    <mergeCell ref="K60:K61"/>
    <mergeCell ref="L60:O60"/>
    <mergeCell ref="P60:P61"/>
    <mergeCell ref="Q60:T60"/>
    <mergeCell ref="BN57:BP59"/>
    <mergeCell ref="D59:E59"/>
    <mergeCell ref="I59:J59"/>
    <mergeCell ref="N59:O59"/>
    <mergeCell ref="S59:T59"/>
    <mergeCell ref="X59:Y59"/>
    <mergeCell ref="AC59:AD59"/>
    <mergeCell ref="AH59:AI59"/>
    <mergeCell ref="AM59:AN59"/>
    <mergeCell ref="AR59:AS59"/>
    <mergeCell ref="AJ57:AL59"/>
    <mergeCell ref="AO57:AQ59"/>
    <mergeCell ref="AT57:AV59"/>
    <mergeCell ref="AY57:BA59"/>
    <mergeCell ref="BD57:BF59"/>
    <mergeCell ref="BI57:BK59"/>
    <mergeCell ref="AW59:AX59"/>
    <mergeCell ref="BB59:BC59"/>
    <mergeCell ref="BG59:BH59"/>
    <mergeCell ref="BN60:BN61"/>
    <mergeCell ref="BO60:BR60"/>
    <mergeCell ref="BL56:BM56"/>
    <mergeCell ref="BN56:BP56"/>
    <mergeCell ref="BQ56:BR56"/>
    <mergeCell ref="A57:C59"/>
    <mergeCell ref="F57:H59"/>
    <mergeCell ref="K57:M59"/>
    <mergeCell ref="P57:R59"/>
    <mergeCell ref="U57:W59"/>
    <mergeCell ref="Z57:AB59"/>
    <mergeCell ref="AE57:AG59"/>
    <mergeCell ref="AW56:AX56"/>
    <mergeCell ref="AY56:BA56"/>
    <mergeCell ref="BB56:BC56"/>
    <mergeCell ref="BD56:BF56"/>
    <mergeCell ref="BG56:BH56"/>
    <mergeCell ref="BI56:BK56"/>
    <mergeCell ref="AH56:AI56"/>
    <mergeCell ref="AJ56:AL56"/>
    <mergeCell ref="AM56:AN56"/>
    <mergeCell ref="AO56:AQ56"/>
    <mergeCell ref="AR56:AS56"/>
    <mergeCell ref="AT56:AV56"/>
    <mergeCell ref="S56:T56"/>
    <mergeCell ref="U56:W56"/>
    <mergeCell ref="X56:Y56"/>
    <mergeCell ref="Z56:AB56"/>
    <mergeCell ref="AC56:AD56"/>
    <mergeCell ref="AE56:AG56"/>
    <mergeCell ref="BL59:BM59"/>
    <mergeCell ref="BQ59:BR59"/>
    <mergeCell ref="A56:C56"/>
    <mergeCell ref="D56:E56"/>
    <mergeCell ref="F56:H56"/>
    <mergeCell ref="I56:J56"/>
    <mergeCell ref="K56:M56"/>
    <mergeCell ref="N56:O56"/>
    <mergeCell ref="P56:R56"/>
    <mergeCell ref="AU54:AX54"/>
    <mergeCell ref="AY54:AY55"/>
    <mergeCell ref="AZ54:BC54"/>
    <mergeCell ref="BD54:BD55"/>
    <mergeCell ref="BE54:BH54"/>
    <mergeCell ref="BI54:BI55"/>
    <mergeCell ref="AF54:AI54"/>
    <mergeCell ref="AJ54:AJ55"/>
    <mergeCell ref="AK54:AN54"/>
    <mergeCell ref="AO54:AO55"/>
    <mergeCell ref="AP54:AS54"/>
    <mergeCell ref="AT54:AT55"/>
    <mergeCell ref="Q54:T54"/>
    <mergeCell ref="U54:U55"/>
    <mergeCell ref="V54:Y54"/>
    <mergeCell ref="Z54:Z55"/>
    <mergeCell ref="AA54:AD54"/>
    <mergeCell ref="AE54:AE55"/>
    <mergeCell ref="A54:A55"/>
    <mergeCell ref="B54:E54"/>
    <mergeCell ref="F54:F55"/>
    <mergeCell ref="G54:J54"/>
    <mergeCell ref="K54:K55"/>
    <mergeCell ref="L54:O54"/>
    <mergeCell ref="P54:P55"/>
    <mergeCell ref="BI51:BK53"/>
    <mergeCell ref="BN51:BP53"/>
    <mergeCell ref="D53:E53"/>
    <mergeCell ref="I53:J53"/>
    <mergeCell ref="N53:O53"/>
    <mergeCell ref="S53:T53"/>
    <mergeCell ref="X53:Y53"/>
    <mergeCell ref="AC53:AD53"/>
    <mergeCell ref="AH53:AI53"/>
    <mergeCell ref="AM53:AN53"/>
    <mergeCell ref="AE51:AG53"/>
    <mergeCell ref="AJ51:AL53"/>
    <mergeCell ref="AO51:AQ53"/>
    <mergeCell ref="AT51:AV53"/>
    <mergeCell ref="AY51:BA53"/>
    <mergeCell ref="BD51:BF53"/>
    <mergeCell ref="AR53:AS53"/>
    <mergeCell ref="AW53:AX53"/>
    <mergeCell ref="BB53:BC53"/>
    <mergeCell ref="BJ54:BM54"/>
    <mergeCell ref="BN54:BN55"/>
    <mergeCell ref="BO54:BR54"/>
    <mergeCell ref="BI50:BK50"/>
    <mergeCell ref="BL50:BM50"/>
    <mergeCell ref="BN50:BP50"/>
    <mergeCell ref="BQ50:BR50"/>
    <mergeCell ref="A51:C53"/>
    <mergeCell ref="F51:H53"/>
    <mergeCell ref="K51:M53"/>
    <mergeCell ref="P51:R53"/>
    <mergeCell ref="U51:W53"/>
    <mergeCell ref="Z51:AB53"/>
    <mergeCell ref="AT50:AV50"/>
    <mergeCell ref="AW50:AX50"/>
    <mergeCell ref="AY50:BA50"/>
    <mergeCell ref="BB50:BC50"/>
    <mergeCell ref="BD50:BF50"/>
    <mergeCell ref="BG50:BH50"/>
    <mergeCell ref="AE50:AG50"/>
    <mergeCell ref="AH50:AI50"/>
    <mergeCell ref="AJ50:AL50"/>
    <mergeCell ref="AM50:AN50"/>
    <mergeCell ref="AO50:AQ50"/>
    <mergeCell ref="AR50:AS50"/>
    <mergeCell ref="P50:R50"/>
    <mergeCell ref="S50:T50"/>
    <mergeCell ref="U50:W50"/>
    <mergeCell ref="X50:Y50"/>
    <mergeCell ref="Z50:AB50"/>
    <mergeCell ref="AC50:AD50"/>
    <mergeCell ref="BG53:BH53"/>
    <mergeCell ref="BL53:BM53"/>
    <mergeCell ref="BQ53:BR53"/>
    <mergeCell ref="A50:C50"/>
    <mergeCell ref="D50:E50"/>
    <mergeCell ref="F50:H50"/>
    <mergeCell ref="I50:J50"/>
    <mergeCell ref="K50:M50"/>
    <mergeCell ref="N50:O50"/>
    <mergeCell ref="AT48:AT49"/>
    <mergeCell ref="AU48:AX48"/>
    <mergeCell ref="AY48:AY49"/>
    <mergeCell ref="AZ48:BC48"/>
    <mergeCell ref="BD48:BD49"/>
    <mergeCell ref="BE48:BH48"/>
    <mergeCell ref="AE48:AE49"/>
    <mergeCell ref="AF48:AI48"/>
    <mergeCell ref="AJ48:AJ49"/>
    <mergeCell ref="AK48:AN48"/>
    <mergeCell ref="AO48:AO49"/>
    <mergeCell ref="AP48:AS48"/>
    <mergeCell ref="P48:P49"/>
    <mergeCell ref="Q48:T48"/>
    <mergeCell ref="U48:U49"/>
    <mergeCell ref="V48:Y48"/>
    <mergeCell ref="Z48:Z49"/>
    <mergeCell ref="AA48:AD48"/>
    <mergeCell ref="A48:A49"/>
    <mergeCell ref="B48:E48"/>
    <mergeCell ref="F48:F49"/>
    <mergeCell ref="G48:J48"/>
    <mergeCell ref="K48:K49"/>
    <mergeCell ref="L48:O48"/>
    <mergeCell ref="BN44:BO44"/>
    <mergeCell ref="BP44:BR44"/>
    <mergeCell ref="AY44:AZ44"/>
    <mergeCell ref="BA44:BC44"/>
    <mergeCell ref="BD44:BE44"/>
    <mergeCell ref="BF44:BH44"/>
    <mergeCell ref="BI44:BJ44"/>
    <mergeCell ref="BK44:BM44"/>
    <mergeCell ref="AJ44:AK44"/>
    <mergeCell ref="AL44:AN44"/>
    <mergeCell ref="AO44:AP44"/>
    <mergeCell ref="AQ44:AS44"/>
    <mergeCell ref="AT44:AU44"/>
    <mergeCell ref="AV44:AX44"/>
    <mergeCell ref="U44:V44"/>
    <mergeCell ref="W44:Y44"/>
    <mergeCell ref="Z44:AA44"/>
    <mergeCell ref="AB44:AD44"/>
    <mergeCell ref="AE44:AF44"/>
    <mergeCell ref="AG44:AI44"/>
    <mergeCell ref="BI48:BI49"/>
    <mergeCell ref="BJ48:BM48"/>
    <mergeCell ref="BN48:BN49"/>
    <mergeCell ref="BO48:BR48"/>
    <mergeCell ref="A44:B44"/>
    <mergeCell ref="C44:E44"/>
    <mergeCell ref="F44:G44"/>
    <mergeCell ref="H44:J44"/>
    <mergeCell ref="K44:L44"/>
    <mergeCell ref="M44:O44"/>
    <mergeCell ref="P44:Q44"/>
    <mergeCell ref="R44:T44"/>
    <mergeCell ref="AY42:AY43"/>
    <mergeCell ref="AZ42:BC42"/>
    <mergeCell ref="BD42:BD43"/>
    <mergeCell ref="BE42:BH42"/>
    <mergeCell ref="BI42:BI43"/>
    <mergeCell ref="BJ42:BM42"/>
    <mergeCell ref="AJ42:AJ43"/>
    <mergeCell ref="AK42:AN42"/>
    <mergeCell ref="AO42:AO43"/>
    <mergeCell ref="AP42:AS42"/>
    <mergeCell ref="AT42:AT43"/>
    <mergeCell ref="AU42:AX42"/>
    <mergeCell ref="U42:U43"/>
    <mergeCell ref="V42:Y42"/>
    <mergeCell ref="Z42:Z43"/>
    <mergeCell ref="AA42:AD42"/>
    <mergeCell ref="AE42:AE43"/>
    <mergeCell ref="AF42:AI42"/>
    <mergeCell ref="BD38:BE38"/>
    <mergeCell ref="BF38:BH38"/>
    <mergeCell ref="AE38:AF38"/>
    <mergeCell ref="AG38:AI38"/>
    <mergeCell ref="AJ38:AK38"/>
    <mergeCell ref="AL38:AN38"/>
    <mergeCell ref="AO38:AP38"/>
    <mergeCell ref="AQ38:AS38"/>
    <mergeCell ref="P38:Q38"/>
    <mergeCell ref="R38:T38"/>
    <mergeCell ref="U38:V38"/>
    <mergeCell ref="W38:Y38"/>
    <mergeCell ref="Z38:AA38"/>
    <mergeCell ref="AB38:AD38"/>
    <mergeCell ref="BN42:BN43"/>
    <mergeCell ref="BO42:BR42"/>
    <mergeCell ref="P40:R41"/>
    <mergeCell ref="S40:T41"/>
    <mergeCell ref="BI38:BJ38"/>
    <mergeCell ref="BK38:BM38"/>
    <mergeCell ref="BN38:BO38"/>
    <mergeCell ref="BP38:BR38"/>
    <mergeCell ref="U40:W41"/>
    <mergeCell ref="X40:Y41"/>
    <mergeCell ref="AT38:AU38"/>
    <mergeCell ref="AV38:AX38"/>
    <mergeCell ref="AY38:AZ38"/>
    <mergeCell ref="BA38:BC38"/>
    <mergeCell ref="P39:R39"/>
    <mergeCell ref="S39:T39"/>
    <mergeCell ref="U39:W39"/>
    <mergeCell ref="X39:Y39"/>
    <mergeCell ref="A42:A43"/>
    <mergeCell ref="B42:E42"/>
    <mergeCell ref="F42:F43"/>
    <mergeCell ref="G42:J42"/>
    <mergeCell ref="K42:K43"/>
    <mergeCell ref="L42:O42"/>
    <mergeCell ref="P42:P43"/>
    <mergeCell ref="Q42:T42"/>
    <mergeCell ref="K38:L38"/>
    <mergeCell ref="M38:O38"/>
    <mergeCell ref="BN32:BO32"/>
    <mergeCell ref="BP32:BR32"/>
    <mergeCell ref="AY32:AZ32"/>
    <mergeCell ref="BA32:BC32"/>
    <mergeCell ref="BD32:BE32"/>
    <mergeCell ref="BF32:BH32"/>
    <mergeCell ref="BI32:BJ32"/>
    <mergeCell ref="BK32:BM32"/>
    <mergeCell ref="AJ32:AK32"/>
    <mergeCell ref="AL32:AN32"/>
    <mergeCell ref="AO32:AP32"/>
    <mergeCell ref="AQ32:AS32"/>
    <mergeCell ref="AT32:AU32"/>
    <mergeCell ref="AV32:AX32"/>
    <mergeCell ref="U32:V32"/>
    <mergeCell ref="W32:Y32"/>
    <mergeCell ref="Z32:AA32"/>
    <mergeCell ref="AB32:AD32"/>
    <mergeCell ref="AE32:AF32"/>
    <mergeCell ref="AG32:AI32"/>
    <mergeCell ref="M32:O32"/>
    <mergeCell ref="P32:Q32"/>
    <mergeCell ref="R32:T32"/>
    <mergeCell ref="AY30:AY31"/>
    <mergeCell ref="AZ30:BC30"/>
    <mergeCell ref="BD30:BD31"/>
    <mergeCell ref="BE30:BH30"/>
    <mergeCell ref="BI30:BI31"/>
    <mergeCell ref="BJ30:BM30"/>
    <mergeCell ref="AJ30:AJ31"/>
    <mergeCell ref="AK30:AN30"/>
    <mergeCell ref="AO30:AO31"/>
    <mergeCell ref="AP30:AS30"/>
    <mergeCell ref="AT30:AT31"/>
    <mergeCell ref="AU30:AX30"/>
    <mergeCell ref="U30:U31"/>
    <mergeCell ref="V30:Y30"/>
    <mergeCell ref="Z30:Z31"/>
    <mergeCell ref="AA30:AD30"/>
    <mergeCell ref="AE30:AE31"/>
    <mergeCell ref="AF30:AI30"/>
    <mergeCell ref="A30:A31"/>
    <mergeCell ref="B30:E30"/>
    <mergeCell ref="F30:F31"/>
    <mergeCell ref="G30:J30"/>
    <mergeCell ref="K30:K31"/>
    <mergeCell ref="L30:O30"/>
    <mergeCell ref="P30:P31"/>
    <mergeCell ref="Q30:T30"/>
    <mergeCell ref="AE27:AG27"/>
    <mergeCell ref="AH27:AI27"/>
    <mergeCell ref="AJ27:AL27"/>
    <mergeCell ref="AM27:AN27"/>
    <mergeCell ref="BI26:BJ26"/>
    <mergeCell ref="BK26:BM26"/>
    <mergeCell ref="BN26:BO26"/>
    <mergeCell ref="BP26:BR26"/>
    <mergeCell ref="AT26:AU26"/>
    <mergeCell ref="AV26:AX26"/>
    <mergeCell ref="AY26:AZ26"/>
    <mergeCell ref="BA26:BC26"/>
    <mergeCell ref="BD26:BE26"/>
    <mergeCell ref="BF26:BH26"/>
    <mergeCell ref="AE26:AF26"/>
    <mergeCell ref="AG26:AI26"/>
    <mergeCell ref="AJ26:AK26"/>
    <mergeCell ref="AL26:AN26"/>
    <mergeCell ref="AO26:AP26"/>
    <mergeCell ref="AQ26:AS26"/>
    <mergeCell ref="P26:Q26"/>
    <mergeCell ref="R26:T26"/>
    <mergeCell ref="U26:V26"/>
    <mergeCell ref="W26:Y26"/>
    <mergeCell ref="Z26:AA26"/>
    <mergeCell ref="AB26:AD26"/>
    <mergeCell ref="BN30:BN31"/>
    <mergeCell ref="BO30:BR30"/>
    <mergeCell ref="A26:B26"/>
    <mergeCell ref="C26:E26"/>
    <mergeCell ref="F26:G26"/>
    <mergeCell ref="H26:J26"/>
    <mergeCell ref="K26:L26"/>
    <mergeCell ref="M26:O26"/>
    <mergeCell ref="AT24:AT25"/>
    <mergeCell ref="AU24:AX24"/>
    <mergeCell ref="AY24:AY25"/>
    <mergeCell ref="AZ24:BC24"/>
    <mergeCell ref="BD24:BD25"/>
    <mergeCell ref="BE24:BH24"/>
    <mergeCell ref="AE24:AE25"/>
    <mergeCell ref="AF24:AI24"/>
    <mergeCell ref="AJ24:AJ25"/>
    <mergeCell ref="AK24:AN24"/>
    <mergeCell ref="AO24:AO25"/>
    <mergeCell ref="AP24:AS24"/>
    <mergeCell ref="P24:P25"/>
    <mergeCell ref="Q24:T24"/>
    <mergeCell ref="U24:U25"/>
    <mergeCell ref="V24:Y24"/>
    <mergeCell ref="Z24:Z25"/>
    <mergeCell ref="AA24:AD24"/>
    <mergeCell ref="A24:A25"/>
    <mergeCell ref="B24:E24"/>
    <mergeCell ref="F24:F25"/>
    <mergeCell ref="G24:J24"/>
    <mergeCell ref="K24:K25"/>
    <mergeCell ref="L24:O24"/>
    <mergeCell ref="AT21:AV21"/>
    <mergeCell ref="AW21:AX21"/>
    <mergeCell ref="AY21:BA21"/>
    <mergeCell ref="BB21:BC21"/>
    <mergeCell ref="BN20:BO20"/>
    <mergeCell ref="BP20:BR20"/>
    <mergeCell ref="AY20:AZ20"/>
    <mergeCell ref="BA20:BC20"/>
    <mergeCell ref="BD20:BE20"/>
    <mergeCell ref="BF20:BH20"/>
    <mergeCell ref="BI20:BJ20"/>
    <mergeCell ref="BK20:BM20"/>
    <mergeCell ref="AJ20:AK20"/>
    <mergeCell ref="AL20:AN20"/>
    <mergeCell ref="AO20:AP20"/>
    <mergeCell ref="AQ20:AS20"/>
    <mergeCell ref="AT20:AU20"/>
    <mergeCell ref="AV20:AX20"/>
    <mergeCell ref="U20:V20"/>
    <mergeCell ref="W20:Y20"/>
    <mergeCell ref="Z20:AA20"/>
    <mergeCell ref="AB20:AD20"/>
    <mergeCell ref="AE20:AF20"/>
    <mergeCell ref="AG20:AI20"/>
    <mergeCell ref="BI24:BI25"/>
    <mergeCell ref="BJ24:BM24"/>
    <mergeCell ref="BN24:BN25"/>
    <mergeCell ref="BO24:BR24"/>
    <mergeCell ref="K22:M23"/>
    <mergeCell ref="N22:O23"/>
    <mergeCell ref="BI18:BI19"/>
    <mergeCell ref="BJ18:BM18"/>
    <mergeCell ref="AJ18:AJ19"/>
    <mergeCell ref="AK18:AN18"/>
    <mergeCell ref="AO18:AO19"/>
    <mergeCell ref="AP18:AS18"/>
    <mergeCell ref="AT18:AT19"/>
    <mergeCell ref="AU18:AX18"/>
    <mergeCell ref="U18:U19"/>
    <mergeCell ref="V18:Y18"/>
    <mergeCell ref="Z18:Z19"/>
    <mergeCell ref="AA18:AD18"/>
    <mergeCell ref="AE18:AE19"/>
    <mergeCell ref="AF18:AI18"/>
    <mergeCell ref="A18:A19"/>
    <mergeCell ref="B18:E18"/>
    <mergeCell ref="F18:F19"/>
    <mergeCell ref="G18:J18"/>
    <mergeCell ref="K18:K19"/>
    <mergeCell ref="L18:O18"/>
    <mergeCell ref="P18:P19"/>
    <mergeCell ref="Q18:T18"/>
    <mergeCell ref="BI14:BJ14"/>
    <mergeCell ref="BK14:BM14"/>
    <mergeCell ref="BN14:BO14"/>
    <mergeCell ref="BP14:BR14"/>
    <mergeCell ref="AT14:AU14"/>
    <mergeCell ref="AV14:AX14"/>
    <mergeCell ref="AY14:AZ14"/>
    <mergeCell ref="BA14:BC14"/>
    <mergeCell ref="BD14:BE14"/>
    <mergeCell ref="BF14:BH14"/>
    <mergeCell ref="AE14:AF14"/>
    <mergeCell ref="AG14:AI14"/>
    <mergeCell ref="AJ14:AK14"/>
    <mergeCell ref="AL14:AN14"/>
    <mergeCell ref="AO14:AP14"/>
    <mergeCell ref="AQ14:AS14"/>
    <mergeCell ref="P14:Q14"/>
    <mergeCell ref="R14:T14"/>
    <mergeCell ref="U14:V14"/>
    <mergeCell ref="W14:Y14"/>
    <mergeCell ref="Z14:AA14"/>
    <mergeCell ref="AB14:AD14"/>
    <mergeCell ref="BN18:BN19"/>
    <mergeCell ref="BO18:BR18"/>
    <mergeCell ref="A14:B14"/>
    <mergeCell ref="C14:E14"/>
    <mergeCell ref="F14:G14"/>
    <mergeCell ref="H14:J14"/>
    <mergeCell ref="K14:L14"/>
    <mergeCell ref="M14:O14"/>
    <mergeCell ref="AT12:AT13"/>
    <mergeCell ref="AU12:AX12"/>
    <mergeCell ref="AY12:AY13"/>
    <mergeCell ref="AZ12:BC12"/>
    <mergeCell ref="BD12:BD13"/>
    <mergeCell ref="BE12:BH12"/>
    <mergeCell ref="AE12:AE13"/>
    <mergeCell ref="AF12:AI12"/>
    <mergeCell ref="AJ12:AJ13"/>
    <mergeCell ref="AK12:AN12"/>
    <mergeCell ref="AO12:AO13"/>
    <mergeCell ref="AP12:AS12"/>
    <mergeCell ref="P12:P13"/>
    <mergeCell ref="Q12:T12"/>
    <mergeCell ref="U12:U13"/>
    <mergeCell ref="V12:Y12"/>
    <mergeCell ref="Z12:Z13"/>
    <mergeCell ref="AA12:AD12"/>
    <mergeCell ref="A12:A13"/>
    <mergeCell ref="B12:E12"/>
    <mergeCell ref="F12:F13"/>
    <mergeCell ref="G12:J12"/>
    <mergeCell ref="K12:K13"/>
    <mergeCell ref="L12:O12"/>
    <mergeCell ref="BI12:BI13"/>
    <mergeCell ref="BJ12:BM12"/>
    <mergeCell ref="BN12:BN13"/>
    <mergeCell ref="BO12:BR12"/>
    <mergeCell ref="AJ9:AL9"/>
    <mergeCell ref="AM9:AN9"/>
    <mergeCell ref="A8:B8"/>
    <mergeCell ref="C8:E8"/>
    <mergeCell ref="F8:G8"/>
    <mergeCell ref="H8:J8"/>
    <mergeCell ref="K8:L8"/>
    <mergeCell ref="M8:O8"/>
    <mergeCell ref="P8:Q8"/>
    <mergeCell ref="R8:T8"/>
    <mergeCell ref="AT9:AV9"/>
    <mergeCell ref="AW9:AX9"/>
    <mergeCell ref="AY9:BA9"/>
    <mergeCell ref="BB9:BC9"/>
    <mergeCell ref="BN8:BO8"/>
    <mergeCell ref="BP8:BR8"/>
    <mergeCell ref="AY8:AZ8"/>
    <mergeCell ref="BA8:BC8"/>
    <mergeCell ref="BD8:BE8"/>
    <mergeCell ref="BF8:BH8"/>
    <mergeCell ref="BI8:BJ8"/>
    <mergeCell ref="BK8:BM8"/>
    <mergeCell ref="AJ8:AK8"/>
    <mergeCell ref="AL8:AN8"/>
    <mergeCell ref="AO8:AP8"/>
    <mergeCell ref="AQ8:AS8"/>
    <mergeCell ref="AT8:AU8"/>
    <mergeCell ref="AV8:AX8"/>
    <mergeCell ref="BD6:BD7"/>
    <mergeCell ref="BE6:BH6"/>
    <mergeCell ref="BI6:BI7"/>
    <mergeCell ref="BJ6:BM6"/>
    <mergeCell ref="AJ6:AJ7"/>
    <mergeCell ref="AK6:AN6"/>
    <mergeCell ref="AO6:AO7"/>
    <mergeCell ref="AP6:AS6"/>
    <mergeCell ref="AT6:AT7"/>
    <mergeCell ref="AU6:AX6"/>
    <mergeCell ref="U6:U7"/>
    <mergeCell ref="V6:Y6"/>
    <mergeCell ref="Z6:Z7"/>
    <mergeCell ref="AA6:AD6"/>
    <mergeCell ref="AE6:AE7"/>
    <mergeCell ref="AF6:AI6"/>
    <mergeCell ref="U8:V8"/>
    <mergeCell ref="W8:Y8"/>
    <mergeCell ref="Z8:AA8"/>
    <mergeCell ref="AB8:AD8"/>
    <mergeCell ref="AE8:AF8"/>
    <mergeCell ref="AG8:AI8"/>
    <mergeCell ref="AB2:AD2"/>
    <mergeCell ref="A2:B2"/>
    <mergeCell ref="C2:E2"/>
    <mergeCell ref="F2:G2"/>
    <mergeCell ref="H2:J2"/>
    <mergeCell ref="K2:L2"/>
    <mergeCell ref="M2:O2"/>
    <mergeCell ref="K6:K7"/>
    <mergeCell ref="L6:O6"/>
    <mergeCell ref="P6:P7"/>
    <mergeCell ref="AY6:AY7"/>
    <mergeCell ref="AZ6:BC6"/>
    <mergeCell ref="Q6:T6"/>
    <mergeCell ref="AO3:AQ3"/>
    <mergeCell ref="AR3:AS3"/>
    <mergeCell ref="AT3:AV3"/>
    <mergeCell ref="AW3:AX3"/>
    <mergeCell ref="I3:J3"/>
    <mergeCell ref="F4:H5"/>
    <mergeCell ref="I4:J5"/>
    <mergeCell ref="K3:M3"/>
    <mergeCell ref="N3:O3"/>
    <mergeCell ref="K4:M5"/>
    <mergeCell ref="N4:O5"/>
    <mergeCell ref="BI2:BJ2"/>
    <mergeCell ref="BK2:BM2"/>
    <mergeCell ref="BN2:BO2"/>
    <mergeCell ref="BN6:BN7"/>
    <mergeCell ref="BO6:BR6"/>
    <mergeCell ref="A3:C3"/>
    <mergeCell ref="D3:E3"/>
    <mergeCell ref="A4:C5"/>
    <mergeCell ref="D4:E5"/>
    <mergeCell ref="F3:H3"/>
    <mergeCell ref="A6:A7"/>
    <mergeCell ref="B6:E6"/>
    <mergeCell ref="F6:F7"/>
    <mergeCell ref="G6:J6"/>
    <mergeCell ref="BP2:BR2"/>
    <mergeCell ref="AT2:AU2"/>
    <mergeCell ref="AV2:AX2"/>
    <mergeCell ref="AY2:AZ2"/>
    <mergeCell ref="BA2:BC2"/>
    <mergeCell ref="BD2:BE2"/>
    <mergeCell ref="BF2:BH2"/>
    <mergeCell ref="AE2:AF2"/>
    <mergeCell ref="AG2:AI2"/>
    <mergeCell ref="AJ2:AK2"/>
    <mergeCell ref="AL2:AN2"/>
    <mergeCell ref="AO2:AP2"/>
    <mergeCell ref="AQ2:AS2"/>
    <mergeCell ref="P2:Q2"/>
    <mergeCell ref="R2:T2"/>
    <mergeCell ref="U2:V2"/>
    <mergeCell ref="W2:Y2"/>
    <mergeCell ref="Z2:AA2"/>
  </mergeCells>
  <pageMargins left="1.25" right="0" top="0.75" bottom="0" header="0.3" footer="0.3"/>
  <pageSetup paperSize="8" scale="32" orientation="landscape" r:id="rId1"/>
  <headerFooter>
    <oddFooter>&amp;C&amp;"-,Bold Italic"&amp;16Prepared by Emir Cebecioglu&amp;RQuality Control Department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0C23D-926E-402A-81B7-5EA95B8892C6}">
  <sheetPr>
    <tabColor rgb="FFFFC000"/>
    <pageSetUpPr fitToPage="1"/>
  </sheetPr>
  <dimension ref="A1:CL108"/>
  <sheetViews>
    <sheetView view="pageBreakPreview" zoomScale="55" zoomScaleNormal="115" zoomScaleSheetLayoutView="55" workbookViewId="0">
      <selection activeCell="BB20" sqref="BB20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140625" customWidth="1"/>
    <col min="47" max="47" width="10.71093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4.140625" customWidth="1"/>
    <col min="62" max="62" width="10.7109375" customWidth="1"/>
    <col min="63" max="63" width="4.28515625" customWidth="1"/>
    <col min="64" max="65" width="5.5703125" customWidth="1"/>
    <col min="66" max="66" width="4.140625" customWidth="1"/>
    <col min="67" max="67" width="10.7109375" customWidth="1"/>
    <col min="68" max="68" width="4.28515625" customWidth="1"/>
    <col min="69" max="70" width="5.5703125" customWidth="1"/>
    <col min="71" max="71" width="1" customWidth="1"/>
    <col min="72" max="72" width="56.7109375" customWidth="1"/>
    <col min="73" max="73" width="13" customWidth="1"/>
    <col min="74" max="74" width="7" customWidth="1"/>
  </cols>
  <sheetData>
    <row r="1" spans="1:83" ht="75" customHeight="1" x14ac:dyDescent="0.25"/>
    <row r="2" spans="1:83" ht="75" customHeight="1" x14ac:dyDescent="0.25"/>
    <row r="3" spans="1:83" ht="15" customHeight="1" x14ac:dyDescent="0.25">
      <c r="A3" s="2137" t="s">
        <v>110</v>
      </c>
      <c r="B3" s="2137"/>
      <c r="C3" s="2136">
        <f>B8/((60*3.1415/59)*(98/3.281))</f>
        <v>0.24275945646442565</v>
      </c>
      <c r="D3" s="2136"/>
      <c r="E3" s="2136"/>
      <c r="F3" s="2137" t="s">
        <v>110</v>
      </c>
      <c r="G3" s="2137"/>
      <c r="H3" s="2136">
        <f t="shared" ref="H3" si="0">G8/((60*3.1415/59)*(98/3.281))</f>
        <v>8.8638378358187137E-2</v>
      </c>
      <c r="I3" s="2136"/>
      <c r="J3" s="2136"/>
      <c r="K3" s="2137" t="s">
        <v>110</v>
      </c>
      <c r="L3" s="2137"/>
      <c r="M3" s="2136">
        <f t="shared" ref="M3" si="1">L8/((60*3.1415/59)*(98/3.281))</f>
        <v>8.0919120182849524E-2</v>
      </c>
      <c r="N3" s="2136"/>
      <c r="O3" s="2136"/>
      <c r="P3" s="2137" t="s">
        <v>110</v>
      </c>
      <c r="Q3" s="2137"/>
      <c r="R3" s="2136">
        <f t="shared" ref="R3" si="2">Q8/((60*3.1415/59)*(98/3.281))</f>
        <v>0.19058582253592191</v>
      </c>
      <c r="S3" s="2136"/>
      <c r="T3" s="2136"/>
      <c r="U3" s="2137" t="s">
        <v>110</v>
      </c>
      <c r="V3" s="2137"/>
      <c r="W3" s="2136">
        <f t="shared" ref="W3" si="3">V8/((60*3.1415/59)*(98/3.281))</f>
        <v>2.7150494271877147E-2</v>
      </c>
      <c r="X3" s="2136"/>
      <c r="Y3" s="2136"/>
      <c r="Z3" s="2137" t="s">
        <v>110</v>
      </c>
      <c r="AA3" s="2137"/>
      <c r="AB3" s="2136">
        <f t="shared" ref="AB3" si="4">AA8/((60*3.1415/59)*(98/3.281))</f>
        <v>0.11951541105953763</v>
      </c>
      <c r="AC3" s="2136"/>
      <c r="AD3" s="2136"/>
      <c r="AE3" s="2137" t="s">
        <v>110</v>
      </c>
      <c r="AF3" s="2137"/>
      <c r="AG3" s="2136">
        <f t="shared" ref="AG3" si="5">AF8/((60*3.1415/59)*(98/3.281))</f>
        <v>0.10913433972029048</v>
      </c>
      <c r="AH3" s="2136"/>
      <c r="AI3" s="2136"/>
      <c r="AJ3" s="2137" t="s">
        <v>110</v>
      </c>
      <c r="AK3" s="2137"/>
      <c r="AL3" s="2136">
        <f t="shared" ref="AL3" si="6">AK8/((60*3.1415/59)*(98/3.281))</f>
        <v>0.16928712539289154</v>
      </c>
      <c r="AM3" s="2136"/>
      <c r="AN3" s="2136"/>
      <c r="AO3" s="2137" t="s">
        <v>110</v>
      </c>
      <c r="AP3" s="2137"/>
      <c r="AQ3" s="2136">
        <f t="shared" ref="AQ3" si="7">AP8/((60*3.1415/59)*(98/3.281))</f>
        <v>6.7341777131033856E-2</v>
      </c>
      <c r="AR3" s="2136"/>
      <c r="AS3" s="2136"/>
      <c r="AT3" s="2137" t="s">
        <v>110</v>
      </c>
      <c r="AU3" s="2137"/>
      <c r="AV3" s="2136">
        <f t="shared" ref="AV3" si="8">AU8/((60*3.1415/59)*(98/3.281))</f>
        <v>7.1062027812875905E-2</v>
      </c>
      <c r="AW3" s="2136"/>
      <c r="AX3" s="2136"/>
      <c r="AY3" s="2137" t="s">
        <v>110</v>
      </c>
      <c r="AZ3" s="2137"/>
      <c r="BA3" s="2136">
        <f t="shared" ref="BA3" si="9">AZ8/((60*3.1415/59)*(98/3.281))</f>
        <v>0.12350184305777062</v>
      </c>
      <c r="BB3" s="2136"/>
      <c r="BC3" s="2136"/>
      <c r="BD3" s="2137" t="s">
        <v>110</v>
      </c>
      <c r="BE3" s="2137"/>
      <c r="BF3" s="2136">
        <f t="shared" ref="BF3" si="10">BE8/((60*3.1415/59)*(98/3.281))</f>
        <v>6.7876235679692865E-2</v>
      </c>
      <c r="BG3" s="2136"/>
      <c r="BH3" s="2136"/>
      <c r="BI3" s="2137" t="s">
        <v>110</v>
      </c>
      <c r="BJ3" s="2137"/>
      <c r="BK3" s="2136">
        <f t="shared" ref="BK3" si="11">BJ8/((60*3.1415/59)*(98/3.281))</f>
        <v>0.10407689470886239</v>
      </c>
      <c r="BL3" s="2136"/>
      <c r="BM3" s="2136"/>
      <c r="BN3" s="2137" t="s">
        <v>110</v>
      </c>
      <c r="BO3" s="2137"/>
      <c r="BP3" s="2136">
        <f t="shared" ref="BP3" si="12">BO8/((60*3.1415/59)*(98/3.281))</f>
        <v>0.16023276880384496</v>
      </c>
      <c r="BQ3" s="2136"/>
      <c r="BR3" s="2136"/>
    </row>
    <row r="4" spans="1:83" ht="15" customHeight="1" x14ac:dyDescent="0.25">
      <c r="A4" s="2137"/>
      <c r="B4" s="2137"/>
      <c r="C4" s="2136"/>
      <c r="D4" s="2136"/>
      <c r="E4" s="2136"/>
      <c r="F4" s="2137"/>
      <c r="G4" s="2137"/>
      <c r="H4" s="2136"/>
      <c r="I4" s="2136"/>
      <c r="J4" s="2136"/>
      <c r="K4" s="2137"/>
      <c r="L4" s="2137"/>
      <c r="M4" s="2136"/>
      <c r="N4" s="2136"/>
      <c r="O4" s="2136"/>
      <c r="P4" s="2137"/>
      <c r="Q4" s="2137"/>
      <c r="R4" s="2136"/>
      <c r="S4" s="2136"/>
      <c r="T4" s="2136"/>
      <c r="U4" s="2137"/>
      <c r="V4" s="2137"/>
      <c r="W4" s="2136"/>
      <c r="X4" s="2136"/>
      <c r="Y4" s="2136"/>
      <c r="Z4" s="2137"/>
      <c r="AA4" s="2137"/>
      <c r="AB4" s="2136"/>
      <c r="AC4" s="2136"/>
      <c r="AD4" s="2136"/>
      <c r="AE4" s="2137"/>
      <c r="AF4" s="2137"/>
      <c r="AG4" s="2136"/>
      <c r="AH4" s="2136"/>
      <c r="AI4" s="2136"/>
      <c r="AJ4" s="2137"/>
      <c r="AK4" s="2137"/>
      <c r="AL4" s="2136"/>
      <c r="AM4" s="2136"/>
      <c r="AN4" s="2136"/>
      <c r="AO4" s="2137"/>
      <c r="AP4" s="2137"/>
      <c r="AQ4" s="2136"/>
      <c r="AR4" s="2136"/>
      <c r="AS4" s="2136"/>
      <c r="AT4" s="2137"/>
      <c r="AU4" s="2137"/>
      <c r="AV4" s="2136"/>
      <c r="AW4" s="2136"/>
      <c r="AX4" s="2136"/>
      <c r="AY4" s="2137"/>
      <c r="AZ4" s="2137"/>
      <c r="BA4" s="2136"/>
      <c r="BB4" s="2136"/>
      <c r="BC4" s="2136"/>
      <c r="BD4" s="2137"/>
      <c r="BE4" s="2137"/>
      <c r="BF4" s="2136"/>
      <c r="BG4" s="2136"/>
      <c r="BH4" s="2136"/>
      <c r="BI4" s="2137"/>
      <c r="BJ4" s="2137"/>
      <c r="BK4" s="2136"/>
      <c r="BL4" s="2136"/>
      <c r="BM4" s="2136"/>
      <c r="BN4" s="2137"/>
      <c r="BO4" s="2137"/>
      <c r="BP4" s="2136"/>
      <c r="BQ4" s="2136"/>
      <c r="BR4" s="2136"/>
    </row>
    <row r="5" spans="1:83" ht="15" customHeight="1" x14ac:dyDescent="0.25">
      <c r="A5" s="2137"/>
      <c r="B5" s="2137"/>
      <c r="C5" s="2136"/>
      <c r="D5" s="2136"/>
      <c r="E5" s="2136"/>
      <c r="F5" s="2137"/>
      <c r="G5" s="2137"/>
      <c r="H5" s="2136"/>
      <c r="I5" s="2136"/>
      <c r="J5" s="2136"/>
      <c r="K5" s="2137"/>
      <c r="L5" s="2137"/>
      <c r="M5" s="2136"/>
      <c r="N5" s="2136"/>
      <c r="O5" s="2136"/>
      <c r="P5" s="2137"/>
      <c r="Q5" s="2137"/>
      <c r="R5" s="2136"/>
      <c r="S5" s="2136"/>
      <c r="T5" s="2136"/>
      <c r="U5" s="2137"/>
      <c r="V5" s="2137"/>
      <c r="W5" s="2136"/>
      <c r="X5" s="2136"/>
      <c r="Y5" s="2136"/>
      <c r="Z5" s="2137"/>
      <c r="AA5" s="2137"/>
      <c r="AB5" s="2136"/>
      <c r="AC5" s="2136"/>
      <c r="AD5" s="2136"/>
      <c r="AE5" s="2137"/>
      <c r="AF5" s="2137"/>
      <c r="AG5" s="2136"/>
      <c r="AH5" s="2136"/>
      <c r="AI5" s="2136"/>
      <c r="AJ5" s="2137"/>
      <c r="AK5" s="2137"/>
      <c r="AL5" s="2136"/>
      <c r="AM5" s="2136"/>
      <c r="AN5" s="2136"/>
      <c r="AO5" s="2137"/>
      <c r="AP5" s="2137"/>
      <c r="AQ5" s="2136"/>
      <c r="AR5" s="2136"/>
      <c r="AS5" s="2136"/>
      <c r="AT5" s="2137"/>
      <c r="AU5" s="2137"/>
      <c r="AV5" s="2136"/>
      <c r="AW5" s="2136"/>
      <c r="AX5" s="2136"/>
      <c r="AY5" s="2137"/>
      <c r="AZ5" s="2137"/>
      <c r="BA5" s="2136"/>
      <c r="BB5" s="2136"/>
      <c r="BC5" s="2136"/>
      <c r="BD5" s="2137"/>
      <c r="BE5" s="2137"/>
      <c r="BF5" s="2136"/>
      <c r="BG5" s="2136"/>
      <c r="BH5" s="2136"/>
      <c r="BI5" s="2137"/>
      <c r="BJ5" s="2137"/>
      <c r="BK5" s="2136"/>
      <c r="BL5" s="2136"/>
      <c r="BM5" s="2136"/>
      <c r="BN5" s="2137"/>
      <c r="BO5" s="2137"/>
      <c r="BP5" s="2136"/>
      <c r="BQ5" s="2136"/>
      <c r="BR5" s="2136"/>
    </row>
    <row r="6" spans="1:83" ht="24.95" customHeight="1" x14ac:dyDescent="0.25">
      <c r="A6" s="1917" t="s">
        <v>111</v>
      </c>
      <c r="B6" s="1918"/>
      <c r="C6" s="1917" t="s">
        <v>25</v>
      </c>
      <c r="D6" s="1918"/>
      <c r="E6" s="1919"/>
      <c r="F6" s="1917" t="s">
        <v>111</v>
      </c>
      <c r="G6" s="1918"/>
      <c r="H6" s="1917" t="s">
        <v>25</v>
      </c>
      <c r="I6" s="1918"/>
      <c r="J6" s="1919"/>
      <c r="K6" s="1917" t="s">
        <v>111</v>
      </c>
      <c r="L6" s="1918"/>
      <c r="M6" s="1917" t="s">
        <v>25</v>
      </c>
      <c r="N6" s="1918"/>
      <c r="O6" s="1919"/>
      <c r="P6" s="1917" t="s">
        <v>111</v>
      </c>
      <c r="Q6" s="1918"/>
      <c r="R6" s="1917" t="s">
        <v>25</v>
      </c>
      <c r="S6" s="1918"/>
      <c r="T6" s="1919"/>
      <c r="U6" s="1917" t="s">
        <v>111</v>
      </c>
      <c r="V6" s="1918"/>
      <c r="W6" s="1917" t="s">
        <v>25</v>
      </c>
      <c r="X6" s="1918"/>
      <c r="Y6" s="1919"/>
      <c r="Z6" s="1917" t="s">
        <v>111</v>
      </c>
      <c r="AA6" s="1918"/>
      <c r="AB6" s="1917" t="s">
        <v>25</v>
      </c>
      <c r="AC6" s="1918"/>
      <c r="AD6" s="1919"/>
      <c r="AE6" s="1917" t="s">
        <v>111</v>
      </c>
      <c r="AF6" s="1918"/>
      <c r="AG6" s="1917" t="s">
        <v>25</v>
      </c>
      <c r="AH6" s="1918"/>
      <c r="AI6" s="1919"/>
      <c r="AJ6" s="1917" t="s">
        <v>111</v>
      </c>
      <c r="AK6" s="1918"/>
      <c r="AL6" s="1917" t="s">
        <v>25</v>
      </c>
      <c r="AM6" s="1918"/>
      <c r="AN6" s="1919"/>
      <c r="AO6" s="1917" t="s">
        <v>111</v>
      </c>
      <c r="AP6" s="1918"/>
      <c r="AQ6" s="1917" t="s">
        <v>25</v>
      </c>
      <c r="AR6" s="1918"/>
      <c r="AS6" s="1919"/>
      <c r="AT6" s="2130" t="s">
        <v>111</v>
      </c>
      <c r="AU6" s="2131"/>
      <c r="AV6" s="2130" t="s">
        <v>25</v>
      </c>
      <c r="AW6" s="2131"/>
      <c r="AX6" s="2132"/>
      <c r="AY6" s="2130" t="s">
        <v>111</v>
      </c>
      <c r="AZ6" s="2131"/>
      <c r="BA6" s="2130" t="s">
        <v>733</v>
      </c>
      <c r="BB6" s="2131"/>
      <c r="BC6" s="2132"/>
      <c r="BD6" s="2130" t="s">
        <v>111</v>
      </c>
      <c r="BE6" s="2131"/>
      <c r="BF6" s="2130" t="s">
        <v>25</v>
      </c>
      <c r="BG6" s="2131"/>
      <c r="BH6" s="2132"/>
      <c r="BI6" s="2130" t="s">
        <v>111</v>
      </c>
      <c r="BJ6" s="2131"/>
      <c r="BK6" s="2130" t="s">
        <v>25</v>
      </c>
      <c r="BL6" s="2131"/>
      <c r="BM6" s="2132"/>
      <c r="BN6" s="2130" t="s">
        <v>111</v>
      </c>
      <c r="BO6" s="2131"/>
      <c r="BP6" s="2130" t="s">
        <v>702</v>
      </c>
      <c r="BQ6" s="2131"/>
      <c r="BR6" s="2132"/>
    </row>
    <row r="7" spans="1:83" s="22" customFormat="1" ht="80.099999999999994" customHeight="1" x14ac:dyDescent="1.35">
      <c r="A7" s="2138" t="s">
        <v>522</v>
      </c>
      <c r="B7" s="1921">
        <v>1</v>
      </c>
      <c r="C7" s="1921"/>
      <c r="D7" s="1921"/>
      <c r="E7" s="1921"/>
      <c r="F7" s="2138" t="s">
        <v>522</v>
      </c>
      <c r="G7" s="1921">
        <v>2</v>
      </c>
      <c r="H7" s="1921"/>
      <c r="I7" s="1921"/>
      <c r="J7" s="1921"/>
      <c r="K7" s="2138" t="s">
        <v>522</v>
      </c>
      <c r="L7" s="1921">
        <v>3</v>
      </c>
      <c r="M7" s="1921"/>
      <c r="N7" s="1921"/>
      <c r="O7" s="1921"/>
      <c r="P7" s="2138" t="s">
        <v>522</v>
      </c>
      <c r="Q7" s="1921">
        <v>4</v>
      </c>
      <c r="R7" s="1921"/>
      <c r="S7" s="1921"/>
      <c r="T7" s="1921"/>
      <c r="U7" s="2138" t="s">
        <v>522</v>
      </c>
      <c r="V7" s="1921">
        <v>5</v>
      </c>
      <c r="W7" s="1921"/>
      <c r="X7" s="1921"/>
      <c r="Y7" s="1921"/>
      <c r="Z7" s="2138" t="s">
        <v>522</v>
      </c>
      <c r="AA7" s="1921">
        <v>6</v>
      </c>
      <c r="AB7" s="1921"/>
      <c r="AC7" s="1921"/>
      <c r="AD7" s="1921"/>
      <c r="AE7" s="2138" t="s">
        <v>522</v>
      </c>
      <c r="AF7" s="1921">
        <v>7</v>
      </c>
      <c r="AG7" s="1921"/>
      <c r="AH7" s="1921"/>
      <c r="AI7" s="1921"/>
      <c r="AJ7" s="2138" t="s">
        <v>522</v>
      </c>
      <c r="AK7" s="1921">
        <v>8</v>
      </c>
      <c r="AL7" s="1921"/>
      <c r="AM7" s="1921"/>
      <c r="AN7" s="1921"/>
      <c r="AO7" s="2138" t="s">
        <v>522</v>
      </c>
      <c r="AP7" s="1921">
        <v>9</v>
      </c>
      <c r="AQ7" s="1921"/>
      <c r="AR7" s="1921"/>
      <c r="AS7" s="1921"/>
      <c r="AT7" s="2138" t="s">
        <v>522</v>
      </c>
      <c r="AU7" s="1921">
        <v>10</v>
      </c>
      <c r="AV7" s="1921"/>
      <c r="AW7" s="1921"/>
      <c r="AX7" s="1921"/>
      <c r="AY7" s="2138" t="s">
        <v>522</v>
      </c>
      <c r="AZ7" s="1921">
        <v>11</v>
      </c>
      <c r="BA7" s="1921"/>
      <c r="BB7" s="1921"/>
      <c r="BC7" s="1921"/>
      <c r="BD7" s="2138" t="s">
        <v>522</v>
      </c>
      <c r="BE7" s="1921">
        <v>12</v>
      </c>
      <c r="BF7" s="1921"/>
      <c r="BG7" s="1921"/>
      <c r="BH7" s="1921"/>
      <c r="BI7" s="2138" t="s">
        <v>522</v>
      </c>
      <c r="BJ7" s="1921">
        <v>13</v>
      </c>
      <c r="BK7" s="1921"/>
      <c r="BL7" s="1921"/>
      <c r="BM7" s="1921"/>
      <c r="BN7" s="2138" t="s">
        <v>522</v>
      </c>
      <c r="BO7" s="1921">
        <v>14</v>
      </c>
      <c r="BP7" s="1921"/>
      <c r="BQ7" s="1921"/>
      <c r="BR7" s="1921"/>
    </row>
    <row r="8" spans="1:83" ht="27" customHeight="1" x14ac:dyDescent="0.25">
      <c r="A8" s="2138"/>
      <c r="B8" s="363">
        <v>23.164999999999999</v>
      </c>
      <c r="C8" s="364" t="s">
        <v>113</v>
      </c>
      <c r="D8" s="365">
        <v>1</v>
      </c>
      <c r="E8" s="366" t="s">
        <v>114</v>
      </c>
      <c r="F8" s="2138"/>
      <c r="G8" s="363">
        <v>8.4581999999999997</v>
      </c>
      <c r="H8" s="364" t="s">
        <v>113</v>
      </c>
      <c r="I8" s="365">
        <v>1</v>
      </c>
      <c r="J8" s="366" t="s">
        <v>114</v>
      </c>
      <c r="K8" s="2138"/>
      <c r="L8" s="363">
        <v>7.7215999999999996</v>
      </c>
      <c r="M8" s="364" t="s">
        <v>113</v>
      </c>
      <c r="N8" s="365">
        <v>1</v>
      </c>
      <c r="O8" s="366" t="s">
        <v>114</v>
      </c>
      <c r="P8" s="2138"/>
      <c r="Q8" s="363">
        <v>18.186399999999999</v>
      </c>
      <c r="R8" s="364" t="s">
        <v>113</v>
      </c>
      <c r="S8" s="365">
        <v>1</v>
      </c>
      <c r="T8" s="366" t="s">
        <v>114</v>
      </c>
      <c r="U8" s="2138"/>
      <c r="V8" s="363">
        <v>2.5908000000000002</v>
      </c>
      <c r="W8" s="364" t="s">
        <v>113</v>
      </c>
      <c r="X8" s="365">
        <v>1</v>
      </c>
      <c r="Y8" s="366" t="s">
        <v>114</v>
      </c>
      <c r="Z8" s="2138"/>
      <c r="AA8" s="363">
        <v>11.4046</v>
      </c>
      <c r="AB8" s="364" t="s">
        <v>113</v>
      </c>
      <c r="AC8" s="365">
        <v>1</v>
      </c>
      <c r="AD8" s="366" t="s">
        <v>114</v>
      </c>
      <c r="AE8" s="2138"/>
      <c r="AF8" s="363">
        <v>10.414</v>
      </c>
      <c r="AG8" s="364" t="s">
        <v>113</v>
      </c>
      <c r="AH8" s="365">
        <v>1</v>
      </c>
      <c r="AI8" s="366" t="s">
        <v>114</v>
      </c>
      <c r="AJ8" s="2138"/>
      <c r="AK8" s="363">
        <v>16.154</v>
      </c>
      <c r="AL8" s="364" t="s">
        <v>113</v>
      </c>
      <c r="AM8" s="365">
        <v>1</v>
      </c>
      <c r="AN8" s="366" t="s">
        <v>114</v>
      </c>
      <c r="AO8" s="2138"/>
      <c r="AP8" s="363">
        <v>6.4260000000000002</v>
      </c>
      <c r="AQ8" s="364" t="s">
        <v>113</v>
      </c>
      <c r="AR8" s="365">
        <v>1</v>
      </c>
      <c r="AS8" s="366" t="s">
        <v>114</v>
      </c>
      <c r="AT8" s="2138"/>
      <c r="AU8" s="363">
        <v>6.7809999999999997</v>
      </c>
      <c r="AV8" s="364" t="s">
        <v>113</v>
      </c>
      <c r="AW8" s="365">
        <v>1</v>
      </c>
      <c r="AX8" s="366" t="s">
        <v>114</v>
      </c>
      <c r="AY8" s="2138"/>
      <c r="AZ8" s="363">
        <v>11.785</v>
      </c>
      <c r="BA8" s="364" t="s">
        <v>113</v>
      </c>
      <c r="BB8" s="365">
        <v>1</v>
      </c>
      <c r="BC8" s="366" t="s">
        <v>114</v>
      </c>
      <c r="BD8" s="2138"/>
      <c r="BE8" s="363">
        <v>6.4770000000000003</v>
      </c>
      <c r="BF8" s="364" t="s">
        <v>113</v>
      </c>
      <c r="BG8" s="365">
        <v>1</v>
      </c>
      <c r="BH8" s="366" t="s">
        <v>114</v>
      </c>
      <c r="BI8" s="2138"/>
      <c r="BJ8" s="363">
        <v>9.9314</v>
      </c>
      <c r="BK8" s="364" t="s">
        <v>113</v>
      </c>
      <c r="BL8" s="365">
        <v>1</v>
      </c>
      <c r="BM8" s="366" t="s">
        <v>114</v>
      </c>
      <c r="BN8" s="2138"/>
      <c r="BO8" s="363">
        <v>15.29</v>
      </c>
      <c r="BP8" s="364" t="s">
        <v>113</v>
      </c>
      <c r="BQ8" s="365">
        <v>1</v>
      </c>
      <c r="BR8" s="366" t="s">
        <v>114</v>
      </c>
      <c r="BW8" s="27"/>
      <c r="BX8" s="27"/>
      <c r="BY8" s="27"/>
      <c r="BZ8" s="27"/>
      <c r="CA8" s="27"/>
      <c r="CB8" s="27"/>
      <c r="CC8" s="27"/>
      <c r="CD8" s="27"/>
      <c r="CE8" s="27"/>
    </row>
    <row r="9" spans="1:83" ht="15" customHeight="1" x14ac:dyDescent="0.25">
      <c r="A9" s="2137" t="s">
        <v>110</v>
      </c>
      <c r="B9" s="2137"/>
      <c r="C9" s="2136">
        <f t="shared" ref="C9" si="13">B14/((60*3.1415/59)*(98/3.281))</f>
        <v>9.5552804836720628E-2</v>
      </c>
      <c r="D9" s="2136"/>
      <c r="E9" s="2136"/>
      <c r="F9" s="2137" t="s">
        <v>110</v>
      </c>
      <c r="G9" s="2137"/>
      <c r="H9" s="2136">
        <f t="shared" ref="H9" si="14">G14/((60*3.1415/59)*(98/3.281))</f>
        <v>6.2818790668264762E-2</v>
      </c>
      <c r="I9" s="2136"/>
      <c r="J9" s="2136"/>
      <c r="K9" s="2137" t="s">
        <v>110</v>
      </c>
      <c r="L9" s="2137"/>
      <c r="M9" s="2136">
        <f t="shared" ref="M9" si="15">L14/((60*3.1415/59)*(98/3.281))</f>
        <v>3.9120269845961626E-2</v>
      </c>
      <c r="N9" s="2136"/>
      <c r="O9" s="2136"/>
      <c r="P9" s="2137" t="s">
        <v>110</v>
      </c>
      <c r="Q9" s="2137"/>
      <c r="R9" s="2136">
        <f t="shared" ref="R9" si="16">Q14/((60*3.1415/59)*(98/3.281))</f>
        <v>6.3349057385169577E-2</v>
      </c>
      <c r="S9" s="2136"/>
      <c r="T9" s="2136"/>
      <c r="U9" s="2137" t="s">
        <v>110</v>
      </c>
      <c r="V9" s="2137"/>
      <c r="W9" s="2136">
        <f t="shared" ref="W9" si="17">V14/((60*3.1415/59)*(98/3.281))</f>
        <v>6.2018150803214815E-2</v>
      </c>
      <c r="X9" s="2136"/>
      <c r="Y9" s="2136"/>
      <c r="Z9" s="2137" t="s">
        <v>110</v>
      </c>
      <c r="AA9" s="2137"/>
      <c r="AB9" s="2136">
        <f t="shared" ref="AB9" si="18">AA14/((60*3.1415/59)*(98/3.281))</f>
        <v>8.3580933346759048E-2</v>
      </c>
      <c r="AC9" s="2136"/>
      <c r="AD9" s="2136"/>
      <c r="AE9" s="2137" t="s">
        <v>110</v>
      </c>
      <c r="AF9" s="2137"/>
      <c r="AG9" s="2136">
        <f t="shared" ref="AG9" si="19">AF14/((60*3.1415/59)*(98/3.281))</f>
        <v>2.6618131639095238E-3</v>
      </c>
      <c r="AH9" s="2136"/>
      <c r="AI9" s="2136"/>
      <c r="AJ9" s="2137" t="s">
        <v>110</v>
      </c>
      <c r="AK9" s="2137"/>
      <c r="AL9" s="2136">
        <f t="shared" ref="AL9" si="20">AK14/((60*3.1415/59)*(98/3.281))</f>
        <v>2.2090953344571954E-2</v>
      </c>
      <c r="AM9" s="2136"/>
      <c r="AN9" s="2136"/>
      <c r="AO9" s="2137" t="s">
        <v>110</v>
      </c>
      <c r="AP9" s="2137"/>
      <c r="AQ9" s="2136">
        <f t="shared" ref="AQ9" si="21">AP14/((60*3.1415/59)*(98/3.281))</f>
        <v>7.3461851492148664E-2</v>
      </c>
      <c r="AR9" s="2136"/>
      <c r="AS9" s="2136"/>
      <c r="AT9" s="2137" t="s">
        <v>110</v>
      </c>
      <c r="AU9" s="2137"/>
      <c r="AV9" s="2136">
        <f t="shared" ref="AV9" si="22">AU14/((60*3.1415/59)*(98/3.281))</f>
        <v>3.2474120599696191E-2</v>
      </c>
      <c r="AW9" s="2136"/>
      <c r="AX9" s="2136"/>
      <c r="AY9" s="2137" t="s">
        <v>110</v>
      </c>
      <c r="AZ9" s="2137"/>
      <c r="BA9" s="2136">
        <f t="shared" ref="BA9" si="23">AZ14/((60*3.1415/59)*(98/3.281))</f>
        <v>4.471636523780291E-2</v>
      </c>
      <c r="BB9" s="2136"/>
      <c r="BC9" s="2136"/>
      <c r="BD9" s="2137" t="s">
        <v>110</v>
      </c>
      <c r="BE9" s="2137"/>
      <c r="BF9" s="2136">
        <f t="shared" ref="BF9" si="24">BE14/((60*3.1415/59)*(98/3.281))</f>
        <v>3.3932878050153693E-2</v>
      </c>
      <c r="BG9" s="2136"/>
      <c r="BH9" s="2136"/>
      <c r="BI9" s="2137" t="s">
        <v>110</v>
      </c>
      <c r="BJ9" s="2137"/>
      <c r="BK9" s="2136">
        <f t="shared" ref="BK9" si="25">BJ14/((60*3.1415/59)*(98/3.281))</f>
        <v>6.4948241199392381E-2</v>
      </c>
      <c r="BL9" s="2136"/>
      <c r="BM9" s="2136"/>
      <c r="BN9" s="2137" t="s">
        <v>110</v>
      </c>
      <c r="BO9" s="2137"/>
      <c r="BP9" s="2136">
        <f t="shared" ref="BP9" si="26">BO14/((60*3.1415/59)*(98/3.281))</f>
        <v>0.138676274007932</v>
      </c>
      <c r="BQ9" s="2136"/>
      <c r="BR9" s="2136"/>
    </row>
    <row r="10" spans="1:83" ht="15" customHeight="1" x14ac:dyDescent="0.25">
      <c r="A10" s="2137"/>
      <c r="B10" s="2137"/>
      <c r="C10" s="2136"/>
      <c r="D10" s="2136"/>
      <c r="E10" s="2136"/>
      <c r="F10" s="2137"/>
      <c r="G10" s="2137"/>
      <c r="H10" s="2136"/>
      <c r="I10" s="2136"/>
      <c r="J10" s="2136"/>
      <c r="K10" s="2137"/>
      <c r="L10" s="2137"/>
      <c r="M10" s="2136"/>
      <c r="N10" s="2136"/>
      <c r="O10" s="2136"/>
      <c r="P10" s="2137"/>
      <c r="Q10" s="2137"/>
      <c r="R10" s="2136"/>
      <c r="S10" s="2136"/>
      <c r="T10" s="2136"/>
      <c r="U10" s="2137"/>
      <c r="V10" s="2137"/>
      <c r="W10" s="2136"/>
      <c r="X10" s="2136"/>
      <c r="Y10" s="2136"/>
      <c r="Z10" s="2137"/>
      <c r="AA10" s="2137"/>
      <c r="AB10" s="2136"/>
      <c r="AC10" s="2136"/>
      <c r="AD10" s="2136"/>
      <c r="AE10" s="2137"/>
      <c r="AF10" s="2137"/>
      <c r="AG10" s="2136"/>
      <c r="AH10" s="2136"/>
      <c r="AI10" s="2136"/>
      <c r="AJ10" s="2137"/>
      <c r="AK10" s="2137"/>
      <c r="AL10" s="2136"/>
      <c r="AM10" s="2136"/>
      <c r="AN10" s="2136"/>
      <c r="AO10" s="2137"/>
      <c r="AP10" s="2137"/>
      <c r="AQ10" s="2136"/>
      <c r="AR10" s="2136"/>
      <c r="AS10" s="2136"/>
      <c r="AT10" s="2137"/>
      <c r="AU10" s="2137"/>
      <c r="AV10" s="2136"/>
      <c r="AW10" s="2136"/>
      <c r="AX10" s="2136"/>
      <c r="AY10" s="2137"/>
      <c r="AZ10" s="2137"/>
      <c r="BA10" s="2136"/>
      <c r="BB10" s="2136"/>
      <c r="BC10" s="2136"/>
      <c r="BD10" s="2137"/>
      <c r="BE10" s="2137"/>
      <c r="BF10" s="2136"/>
      <c r="BG10" s="2136"/>
      <c r="BH10" s="2136"/>
      <c r="BI10" s="2137"/>
      <c r="BJ10" s="2137"/>
      <c r="BK10" s="2136"/>
      <c r="BL10" s="2136"/>
      <c r="BM10" s="2136"/>
      <c r="BN10" s="2137"/>
      <c r="BO10" s="2137"/>
      <c r="BP10" s="2136"/>
      <c r="BQ10" s="2136"/>
      <c r="BR10" s="2136"/>
    </row>
    <row r="11" spans="1:83" ht="15" customHeight="1" x14ac:dyDescent="0.25">
      <c r="A11" s="2137"/>
      <c r="B11" s="2137"/>
      <c r="C11" s="2136"/>
      <c r="D11" s="2136"/>
      <c r="E11" s="2136"/>
      <c r="F11" s="2137"/>
      <c r="G11" s="2137"/>
      <c r="H11" s="2136"/>
      <c r="I11" s="2136"/>
      <c r="J11" s="2136"/>
      <c r="K11" s="2137"/>
      <c r="L11" s="2137"/>
      <c r="M11" s="2136"/>
      <c r="N11" s="2136"/>
      <c r="O11" s="2136"/>
      <c r="P11" s="2137"/>
      <c r="Q11" s="2137"/>
      <c r="R11" s="2136"/>
      <c r="S11" s="2136"/>
      <c r="T11" s="2136"/>
      <c r="U11" s="2137"/>
      <c r="V11" s="2137"/>
      <c r="W11" s="2136"/>
      <c r="X11" s="2136"/>
      <c r="Y11" s="2136"/>
      <c r="Z11" s="2137"/>
      <c r="AA11" s="2137"/>
      <c r="AB11" s="2136"/>
      <c r="AC11" s="2136"/>
      <c r="AD11" s="2136"/>
      <c r="AE11" s="2137"/>
      <c r="AF11" s="2137"/>
      <c r="AG11" s="2136"/>
      <c r="AH11" s="2136"/>
      <c r="AI11" s="2136"/>
      <c r="AJ11" s="2137"/>
      <c r="AK11" s="2137"/>
      <c r="AL11" s="2136"/>
      <c r="AM11" s="2136"/>
      <c r="AN11" s="2136"/>
      <c r="AO11" s="2137"/>
      <c r="AP11" s="2137"/>
      <c r="AQ11" s="2136"/>
      <c r="AR11" s="2136"/>
      <c r="AS11" s="2136"/>
      <c r="AT11" s="2137"/>
      <c r="AU11" s="2137"/>
      <c r="AV11" s="2136"/>
      <c r="AW11" s="2136"/>
      <c r="AX11" s="2136"/>
      <c r="AY11" s="2137"/>
      <c r="AZ11" s="2137"/>
      <c r="BA11" s="2136"/>
      <c r="BB11" s="2136"/>
      <c r="BC11" s="2136"/>
      <c r="BD11" s="2137"/>
      <c r="BE11" s="2137"/>
      <c r="BF11" s="2136"/>
      <c r="BG11" s="2136"/>
      <c r="BH11" s="2136"/>
      <c r="BI11" s="2137"/>
      <c r="BJ11" s="2137"/>
      <c r="BK11" s="2136"/>
      <c r="BL11" s="2136"/>
      <c r="BM11" s="2136"/>
      <c r="BN11" s="2137"/>
      <c r="BO11" s="2137"/>
      <c r="BP11" s="2136"/>
      <c r="BQ11" s="2136"/>
      <c r="BR11" s="2136"/>
    </row>
    <row r="12" spans="1:83" ht="24.95" customHeight="1" x14ac:dyDescent="0.25">
      <c r="A12" s="2130" t="s">
        <v>111</v>
      </c>
      <c r="B12" s="2131"/>
      <c r="C12" s="2130" t="s">
        <v>25</v>
      </c>
      <c r="D12" s="2131"/>
      <c r="E12" s="2132"/>
      <c r="F12" s="2130" t="s">
        <v>111</v>
      </c>
      <c r="G12" s="2131"/>
      <c r="H12" s="2130" t="s">
        <v>25</v>
      </c>
      <c r="I12" s="2131"/>
      <c r="J12" s="2132"/>
      <c r="K12" s="2130" t="s">
        <v>111</v>
      </c>
      <c r="L12" s="2131"/>
      <c r="M12" s="2130" t="s">
        <v>25</v>
      </c>
      <c r="N12" s="2131"/>
      <c r="O12" s="2132"/>
      <c r="P12" s="2130" t="s">
        <v>111</v>
      </c>
      <c r="Q12" s="2131"/>
      <c r="R12" s="2130" t="s">
        <v>25</v>
      </c>
      <c r="S12" s="2131"/>
      <c r="T12" s="2132"/>
      <c r="U12" s="2130" t="s">
        <v>111</v>
      </c>
      <c r="V12" s="2131"/>
      <c r="W12" s="2130" t="s">
        <v>25</v>
      </c>
      <c r="X12" s="2131"/>
      <c r="Y12" s="2132"/>
      <c r="Z12" s="2130" t="s">
        <v>111</v>
      </c>
      <c r="AA12" s="2131"/>
      <c r="AB12" s="2133" t="s">
        <v>25</v>
      </c>
      <c r="AC12" s="2134"/>
      <c r="AD12" s="2135"/>
      <c r="AE12" s="2130" t="s">
        <v>111</v>
      </c>
      <c r="AF12" s="2131"/>
      <c r="AG12" s="2130" t="s">
        <v>25</v>
      </c>
      <c r="AH12" s="2131"/>
      <c r="AI12" s="2132"/>
      <c r="AJ12" s="2130" t="s">
        <v>111</v>
      </c>
      <c r="AK12" s="2131"/>
      <c r="AL12" s="2130" t="s">
        <v>25</v>
      </c>
      <c r="AM12" s="2131"/>
      <c r="AN12" s="2132"/>
      <c r="AO12" s="2130" t="s">
        <v>111</v>
      </c>
      <c r="AP12" s="2131"/>
      <c r="AQ12" s="2130" t="s">
        <v>25</v>
      </c>
      <c r="AR12" s="2131"/>
      <c r="AS12" s="2132"/>
      <c r="AT12" s="2130" t="s">
        <v>111</v>
      </c>
      <c r="AU12" s="2131"/>
      <c r="AV12" s="2130" t="s">
        <v>25</v>
      </c>
      <c r="AW12" s="2131"/>
      <c r="AX12" s="2132"/>
      <c r="AY12" s="2130" t="s">
        <v>111</v>
      </c>
      <c r="AZ12" s="2131"/>
      <c r="BA12" s="2130" t="s">
        <v>25</v>
      </c>
      <c r="BB12" s="2131"/>
      <c r="BC12" s="2132"/>
      <c r="BD12" s="2130" t="s">
        <v>111</v>
      </c>
      <c r="BE12" s="2131"/>
      <c r="BF12" s="2130" t="s">
        <v>25</v>
      </c>
      <c r="BG12" s="2131"/>
      <c r="BH12" s="2132"/>
      <c r="BI12" s="2130" t="s">
        <v>111</v>
      </c>
      <c r="BJ12" s="2131"/>
      <c r="BK12" s="2130" t="s">
        <v>731</v>
      </c>
      <c r="BL12" s="2131"/>
      <c r="BM12" s="2132"/>
      <c r="BN12" s="2130" t="s">
        <v>111</v>
      </c>
      <c r="BO12" s="2131"/>
      <c r="BP12" s="2130" t="s">
        <v>732</v>
      </c>
      <c r="BQ12" s="2131"/>
      <c r="BR12" s="2132"/>
    </row>
    <row r="13" spans="1:83" s="22" customFormat="1" ht="80.099999999999994" customHeight="1" x14ac:dyDescent="1.35">
      <c r="A13" s="2138" t="s">
        <v>522</v>
      </c>
      <c r="B13" s="1921">
        <v>15</v>
      </c>
      <c r="C13" s="1921"/>
      <c r="D13" s="1921"/>
      <c r="E13" s="1921"/>
      <c r="F13" s="2138" t="s">
        <v>522</v>
      </c>
      <c r="G13" s="1921">
        <v>16</v>
      </c>
      <c r="H13" s="1921"/>
      <c r="I13" s="1921"/>
      <c r="J13" s="1921"/>
      <c r="K13" s="2138" t="s">
        <v>522</v>
      </c>
      <c r="L13" s="1921">
        <v>17</v>
      </c>
      <c r="M13" s="1921"/>
      <c r="N13" s="1921"/>
      <c r="O13" s="1921"/>
      <c r="P13" s="2138" t="s">
        <v>522</v>
      </c>
      <c r="Q13" s="1921">
        <v>18</v>
      </c>
      <c r="R13" s="1921"/>
      <c r="S13" s="1921"/>
      <c r="T13" s="1921"/>
      <c r="U13" s="2138" t="s">
        <v>522</v>
      </c>
      <c r="V13" s="1921">
        <v>19</v>
      </c>
      <c r="W13" s="1921"/>
      <c r="X13" s="1921"/>
      <c r="Y13" s="1921"/>
      <c r="Z13" s="2138" t="s">
        <v>522</v>
      </c>
      <c r="AA13" s="1921">
        <v>20</v>
      </c>
      <c r="AB13" s="1921"/>
      <c r="AC13" s="1921"/>
      <c r="AD13" s="1921"/>
      <c r="AE13" s="2138" t="s">
        <v>522</v>
      </c>
      <c r="AF13" s="1921">
        <v>21</v>
      </c>
      <c r="AG13" s="1921"/>
      <c r="AH13" s="1921"/>
      <c r="AI13" s="1921"/>
      <c r="AJ13" s="2138" t="s">
        <v>522</v>
      </c>
      <c r="AK13" s="1921">
        <v>22</v>
      </c>
      <c r="AL13" s="1921"/>
      <c r="AM13" s="1921"/>
      <c r="AN13" s="1921"/>
      <c r="AO13" s="2138" t="s">
        <v>522</v>
      </c>
      <c r="AP13" s="1921">
        <v>23</v>
      </c>
      <c r="AQ13" s="1921"/>
      <c r="AR13" s="1921"/>
      <c r="AS13" s="1921"/>
      <c r="AT13" s="2138" t="s">
        <v>522</v>
      </c>
      <c r="AU13" s="1921">
        <v>24</v>
      </c>
      <c r="AV13" s="1921"/>
      <c r="AW13" s="1921"/>
      <c r="AX13" s="1921"/>
      <c r="AY13" s="2138" t="s">
        <v>522</v>
      </c>
      <c r="AZ13" s="1921">
        <v>25</v>
      </c>
      <c r="BA13" s="1921"/>
      <c r="BB13" s="1921"/>
      <c r="BC13" s="1921"/>
      <c r="BD13" s="2138" t="s">
        <v>522</v>
      </c>
      <c r="BE13" s="1921">
        <v>26</v>
      </c>
      <c r="BF13" s="1921"/>
      <c r="BG13" s="1921"/>
      <c r="BH13" s="1921"/>
      <c r="BI13" s="2138" t="s">
        <v>522</v>
      </c>
      <c r="BJ13" s="1921">
        <v>27</v>
      </c>
      <c r="BK13" s="1921"/>
      <c r="BL13" s="1921"/>
      <c r="BM13" s="1921"/>
      <c r="BN13" s="2138" t="s">
        <v>522</v>
      </c>
      <c r="BO13" s="1921">
        <v>28</v>
      </c>
      <c r="BP13" s="1921"/>
      <c r="BQ13" s="1921"/>
      <c r="BR13" s="1921"/>
    </row>
    <row r="14" spans="1:83" ht="27" customHeight="1" x14ac:dyDescent="0.25">
      <c r="A14" s="2138"/>
      <c r="B14" s="363">
        <v>9.1180000000000003</v>
      </c>
      <c r="C14" s="364" t="s">
        <v>113</v>
      </c>
      <c r="D14" s="365">
        <v>1</v>
      </c>
      <c r="E14" s="366" t="s">
        <v>114</v>
      </c>
      <c r="F14" s="2138"/>
      <c r="G14" s="363">
        <v>5.9943999999999997</v>
      </c>
      <c r="H14" s="364" t="s">
        <v>113</v>
      </c>
      <c r="I14" s="365">
        <v>1</v>
      </c>
      <c r="J14" s="366" t="s">
        <v>114</v>
      </c>
      <c r="K14" s="2138"/>
      <c r="L14" s="363">
        <v>3.7330000000000001</v>
      </c>
      <c r="M14" s="364" t="s">
        <v>113</v>
      </c>
      <c r="N14" s="365">
        <v>1</v>
      </c>
      <c r="O14" s="366" t="s">
        <v>114</v>
      </c>
      <c r="P14" s="2138"/>
      <c r="Q14" s="363">
        <v>6.0449999999999999</v>
      </c>
      <c r="R14" s="364" t="s">
        <v>113</v>
      </c>
      <c r="S14" s="365">
        <v>1</v>
      </c>
      <c r="T14" s="366" t="s">
        <v>114</v>
      </c>
      <c r="U14" s="2138"/>
      <c r="V14" s="363">
        <v>5.9180000000000001</v>
      </c>
      <c r="W14" s="364" t="s">
        <v>113</v>
      </c>
      <c r="X14" s="365">
        <v>1</v>
      </c>
      <c r="Y14" s="366" t="s">
        <v>114</v>
      </c>
      <c r="Z14" s="2138"/>
      <c r="AA14" s="363">
        <v>7.9756</v>
      </c>
      <c r="AB14" s="364" t="s">
        <v>113</v>
      </c>
      <c r="AC14" s="365">
        <v>1</v>
      </c>
      <c r="AD14" s="366" t="s">
        <v>114</v>
      </c>
      <c r="AE14" s="2138"/>
      <c r="AF14" s="363">
        <v>0.254</v>
      </c>
      <c r="AG14" s="364" t="s">
        <v>113</v>
      </c>
      <c r="AH14" s="365">
        <v>1</v>
      </c>
      <c r="AI14" s="366" t="s">
        <v>114</v>
      </c>
      <c r="AJ14" s="2138"/>
      <c r="AK14" s="363">
        <v>2.1080000000000001</v>
      </c>
      <c r="AL14" s="364" t="s">
        <v>113</v>
      </c>
      <c r="AM14" s="365">
        <v>1</v>
      </c>
      <c r="AN14" s="366" t="s">
        <v>114</v>
      </c>
      <c r="AO14" s="2138"/>
      <c r="AP14" s="363">
        <v>7.01</v>
      </c>
      <c r="AQ14" s="364" t="s">
        <v>113</v>
      </c>
      <c r="AR14" s="365">
        <v>2</v>
      </c>
      <c r="AS14" s="366" t="s">
        <v>114</v>
      </c>
      <c r="AT14" s="2138"/>
      <c r="AU14" s="363">
        <v>3.0988000000000002</v>
      </c>
      <c r="AV14" s="364" t="s">
        <v>113</v>
      </c>
      <c r="AW14" s="365">
        <v>1</v>
      </c>
      <c r="AX14" s="366" t="s">
        <v>114</v>
      </c>
      <c r="AY14" s="2138"/>
      <c r="AZ14" s="363">
        <v>4.2670000000000003</v>
      </c>
      <c r="BA14" s="364" t="s">
        <v>113</v>
      </c>
      <c r="BB14" s="365">
        <v>1</v>
      </c>
      <c r="BC14" s="366" t="s">
        <v>114</v>
      </c>
      <c r="BD14" s="2138"/>
      <c r="BE14" s="363">
        <v>3.238</v>
      </c>
      <c r="BF14" s="364" t="s">
        <v>113</v>
      </c>
      <c r="BG14" s="365">
        <v>1</v>
      </c>
      <c r="BH14" s="366" t="s">
        <v>114</v>
      </c>
      <c r="BI14" s="2138"/>
      <c r="BJ14" s="363">
        <v>6.1976000000000004</v>
      </c>
      <c r="BK14" s="364" t="s">
        <v>113</v>
      </c>
      <c r="BL14" s="365">
        <v>1</v>
      </c>
      <c r="BM14" s="366" t="s">
        <v>114</v>
      </c>
      <c r="BN14" s="2138"/>
      <c r="BO14" s="363">
        <v>13.233000000000001</v>
      </c>
      <c r="BP14" s="364" t="s">
        <v>113</v>
      </c>
      <c r="BQ14" s="365">
        <v>1</v>
      </c>
      <c r="BR14" s="366" t="s">
        <v>114</v>
      </c>
      <c r="BW14" s="27"/>
      <c r="BX14" s="27"/>
      <c r="BY14" s="27"/>
      <c r="BZ14" s="27"/>
      <c r="CA14" s="27"/>
      <c r="CB14" s="27"/>
      <c r="CC14" s="27"/>
      <c r="CD14" s="27"/>
      <c r="CE14" s="27"/>
    </row>
    <row r="15" spans="1:83" ht="15" customHeight="1" x14ac:dyDescent="0.25">
      <c r="A15" s="2137" t="s">
        <v>110</v>
      </c>
      <c r="B15" s="2137"/>
      <c r="C15" s="2136">
        <f t="shared" ref="C15" si="27">B20/((60*3.1415/59)*(98/3.281))</f>
        <v>8.0650842950581475E-2</v>
      </c>
      <c r="D15" s="2136"/>
      <c r="E15" s="2136"/>
      <c r="F15" s="2137" t="s">
        <v>110</v>
      </c>
      <c r="G15" s="2137"/>
      <c r="H15" s="2136">
        <f t="shared" ref="H15" si="28">G20/((60*3.1415/59)*(98/3.281))</f>
        <v>3.7527373779370099E-2</v>
      </c>
      <c r="I15" s="2136"/>
      <c r="J15" s="2136"/>
      <c r="K15" s="121"/>
      <c r="L15" s="121"/>
      <c r="M15" s="121"/>
      <c r="N15" s="121"/>
      <c r="O15" s="31"/>
      <c r="P15" s="121"/>
      <c r="Q15" s="121"/>
      <c r="R15" s="121"/>
      <c r="S15" s="121"/>
      <c r="T15" s="31"/>
      <c r="U15" s="121"/>
      <c r="V15" s="121"/>
      <c r="W15" s="121"/>
      <c r="X15" s="121"/>
      <c r="Y15" s="31"/>
      <c r="Z15" s="121"/>
      <c r="AA15" s="121"/>
      <c r="AB15" s="121"/>
      <c r="AC15" s="121"/>
      <c r="AD15" s="31"/>
      <c r="AE15" s="121"/>
      <c r="AF15" s="121"/>
      <c r="AG15" s="121"/>
      <c r="AH15" s="121"/>
      <c r="AI15" s="31"/>
      <c r="AJ15" s="121"/>
      <c r="AK15" s="121"/>
      <c r="AL15" s="121"/>
      <c r="AM15" s="121"/>
      <c r="AN15" s="31"/>
      <c r="AO15" s="121"/>
      <c r="AP15" s="121"/>
      <c r="AQ15" s="121"/>
      <c r="AR15" s="121"/>
      <c r="AS15" s="31"/>
      <c r="AT15" s="121"/>
      <c r="AU15" s="121"/>
      <c r="AV15" s="121"/>
      <c r="AW15" s="121"/>
      <c r="AX15" s="31"/>
      <c r="AY15" s="121"/>
      <c r="AZ15" s="121"/>
      <c r="BA15" s="121"/>
      <c r="BB15" s="121"/>
      <c r="BC15" s="31"/>
      <c r="BD15" s="121"/>
      <c r="BE15" s="121"/>
      <c r="BF15" s="121"/>
      <c r="BG15" s="121"/>
      <c r="BH15" s="31"/>
      <c r="BI15" s="121"/>
      <c r="BJ15" s="121"/>
      <c r="BK15" s="121"/>
      <c r="BL15" s="121"/>
      <c r="BM15" s="121"/>
      <c r="BN15" s="31"/>
      <c r="BO15" s="121"/>
      <c r="BP15" s="121"/>
      <c r="BQ15" s="121"/>
      <c r="BR15" s="121"/>
    </row>
    <row r="16" spans="1:83" ht="15" customHeight="1" x14ac:dyDescent="0.25">
      <c r="A16" s="2137"/>
      <c r="B16" s="2137"/>
      <c r="C16" s="2136"/>
      <c r="D16" s="2136"/>
      <c r="E16" s="2136"/>
      <c r="F16" s="2137"/>
      <c r="G16" s="2137"/>
      <c r="H16" s="2136"/>
      <c r="I16" s="2136"/>
      <c r="J16" s="2136"/>
      <c r="K16" s="34"/>
      <c r="L16" s="34"/>
      <c r="M16" s="35"/>
      <c r="N16" s="31"/>
      <c r="O16" s="32"/>
      <c r="P16" s="34"/>
      <c r="Q16" s="34"/>
      <c r="R16" s="35"/>
      <c r="S16" s="31"/>
      <c r="T16" s="32"/>
      <c r="U16" s="34"/>
      <c r="V16" s="34"/>
      <c r="W16" s="35"/>
      <c r="X16" s="31"/>
      <c r="Y16" s="32"/>
      <c r="Z16" s="34"/>
      <c r="AA16" s="34"/>
      <c r="AB16" s="35"/>
      <c r="AC16" s="31"/>
      <c r="AD16" s="32"/>
      <c r="AE16" s="34"/>
      <c r="AF16" s="34"/>
      <c r="AG16" s="35"/>
      <c r="AH16" s="31"/>
      <c r="AI16" s="32"/>
      <c r="AJ16" s="34"/>
      <c r="AK16" s="34"/>
      <c r="AL16" s="35"/>
      <c r="AM16" s="31"/>
      <c r="AN16" s="32"/>
      <c r="AO16" s="34"/>
      <c r="AP16" s="34"/>
      <c r="AQ16" s="35"/>
      <c r="AR16" s="31"/>
      <c r="AS16" s="32"/>
      <c r="AT16" s="34"/>
      <c r="AU16" s="34"/>
      <c r="AV16" s="35"/>
      <c r="AW16" s="31"/>
      <c r="AX16" s="32"/>
      <c r="AY16" s="34"/>
      <c r="AZ16" s="34"/>
      <c r="BA16" s="35"/>
      <c r="BB16" s="31"/>
      <c r="BC16" s="32"/>
      <c r="BD16" s="34"/>
      <c r="BE16" s="34"/>
      <c r="BF16" s="35"/>
      <c r="BG16" s="31"/>
      <c r="BH16" s="32"/>
      <c r="BI16" s="33"/>
      <c r="BJ16" s="34"/>
      <c r="BK16" s="34"/>
      <c r="BL16" s="35"/>
      <c r="BM16" s="31"/>
      <c r="BN16" s="32"/>
      <c r="BO16" s="33"/>
      <c r="BP16" s="34"/>
      <c r="BQ16" s="34"/>
      <c r="BR16" s="35"/>
    </row>
    <row r="17" spans="1:83" ht="15" customHeight="1" x14ac:dyDescent="0.25">
      <c r="A17" s="2137"/>
      <c r="B17" s="2137"/>
      <c r="C17" s="2136"/>
      <c r="D17" s="2136"/>
      <c r="E17" s="2136"/>
      <c r="F17" s="2137"/>
      <c r="G17" s="2137"/>
      <c r="H17" s="2136"/>
      <c r="I17" s="2136"/>
      <c r="J17" s="2136"/>
      <c r="K17" s="34"/>
      <c r="L17" s="34"/>
      <c r="M17" s="35"/>
      <c r="N17" s="31"/>
      <c r="O17" s="32"/>
      <c r="P17" s="34"/>
      <c r="Q17" s="34"/>
      <c r="R17" s="35"/>
      <c r="S17" s="31"/>
      <c r="T17" s="32"/>
      <c r="U17" s="34"/>
      <c r="V17" s="34"/>
      <c r="W17" s="35"/>
      <c r="X17" s="31"/>
      <c r="Y17" s="32"/>
      <c r="Z17" s="34"/>
      <c r="AA17" s="34"/>
      <c r="AB17" s="35"/>
      <c r="AC17" s="31"/>
      <c r="AD17" s="32"/>
      <c r="AE17" s="34"/>
      <c r="AF17" s="34"/>
      <c r="AG17" s="35"/>
      <c r="AH17" s="31"/>
      <c r="AI17" s="32"/>
      <c r="AJ17" s="34"/>
      <c r="AK17" s="34"/>
      <c r="AL17" s="35"/>
      <c r="AM17" s="31"/>
      <c r="AN17" s="32"/>
      <c r="AO17" s="34"/>
      <c r="AP17" s="34"/>
      <c r="AQ17" s="35"/>
      <c r="AR17" s="31"/>
      <c r="AS17" s="32"/>
      <c r="AT17" s="34"/>
      <c r="AU17" s="34"/>
      <c r="AV17" s="35"/>
      <c r="AW17" s="31"/>
      <c r="AX17" s="32"/>
      <c r="AY17" s="34"/>
      <c r="AZ17" s="34"/>
      <c r="BA17" s="35"/>
      <c r="BB17" s="31"/>
      <c r="BC17" s="32"/>
      <c r="BD17" s="34"/>
      <c r="BE17" s="34"/>
      <c r="BF17" s="35"/>
      <c r="BG17" s="31"/>
      <c r="BH17" s="32"/>
      <c r="BI17" s="33"/>
      <c r="BJ17" s="34"/>
      <c r="BK17" s="34"/>
      <c r="BL17" s="35"/>
      <c r="BM17" s="31"/>
      <c r="BN17" s="32"/>
      <c r="BO17" s="33"/>
      <c r="BP17" s="34"/>
      <c r="BQ17" s="34"/>
      <c r="BR17" s="35"/>
    </row>
    <row r="18" spans="1:83" ht="24.95" customHeight="1" x14ac:dyDescent="0.25">
      <c r="A18" s="2130" t="s">
        <v>111</v>
      </c>
      <c r="B18" s="2131"/>
      <c r="C18" s="2130" t="s">
        <v>25</v>
      </c>
      <c r="D18" s="2131"/>
      <c r="E18" s="2132"/>
      <c r="F18" s="2130" t="s">
        <v>111</v>
      </c>
      <c r="G18" s="2131"/>
      <c r="H18" s="2130" t="s">
        <v>25</v>
      </c>
      <c r="I18" s="2131"/>
      <c r="J18" s="2132"/>
      <c r="K18" s="121"/>
      <c r="L18" s="121"/>
      <c r="M18" s="121"/>
      <c r="N18" s="121"/>
      <c r="O18" s="31"/>
      <c r="P18" s="121"/>
      <c r="Q18" s="121"/>
      <c r="R18" s="121"/>
      <c r="S18" s="121"/>
      <c r="T18" s="31"/>
      <c r="U18" s="121"/>
      <c r="V18" s="121"/>
      <c r="W18" s="121"/>
      <c r="X18" s="121"/>
      <c r="Y18" s="31"/>
      <c r="Z18" s="121"/>
      <c r="AA18" s="121"/>
      <c r="AB18" s="121"/>
      <c r="AC18" s="121"/>
      <c r="AD18" s="31"/>
      <c r="AE18" s="121"/>
      <c r="AF18" s="121"/>
      <c r="AG18" s="121"/>
      <c r="AH18" s="121"/>
      <c r="AI18" s="31"/>
      <c r="AJ18" s="121"/>
      <c r="AK18" s="121"/>
      <c r="AL18" s="121"/>
      <c r="AM18" s="121"/>
      <c r="AN18" s="31"/>
      <c r="AO18" s="121"/>
      <c r="AP18" s="121"/>
      <c r="AQ18" s="121"/>
      <c r="AR18" s="121"/>
      <c r="AS18" s="31"/>
      <c r="AT18" s="121"/>
      <c r="AU18" s="121"/>
      <c r="AV18" s="121"/>
      <c r="AW18" s="121"/>
      <c r="AX18" s="31"/>
      <c r="AY18" s="121"/>
      <c r="AZ18" s="121"/>
      <c r="BA18" s="121"/>
      <c r="BB18" s="121"/>
      <c r="BC18" s="31"/>
      <c r="BD18" s="121"/>
      <c r="BE18" s="121"/>
      <c r="BF18" s="121"/>
      <c r="BG18" s="121"/>
      <c r="BH18" s="31"/>
      <c r="BI18" s="121"/>
      <c r="BJ18" s="121"/>
      <c r="BK18" s="121"/>
      <c r="BL18" s="121"/>
      <c r="BM18" s="121"/>
      <c r="BN18" s="31"/>
      <c r="BO18" s="121"/>
      <c r="BP18" s="121"/>
      <c r="BQ18" s="121"/>
      <c r="BR18" s="121"/>
    </row>
    <row r="19" spans="1:83" s="22" customFormat="1" ht="80.099999999999994" customHeight="1" x14ac:dyDescent="1.35">
      <c r="A19" s="2138" t="s">
        <v>522</v>
      </c>
      <c r="B19" s="1921">
        <v>29</v>
      </c>
      <c r="C19" s="1921"/>
      <c r="D19" s="1921"/>
      <c r="E19" s="1921"/>
      <c r="F19" s="2138" t="s">
        <v>522</v>
      </c>
      <c r="G19" s="1921">
        <v>30</v>
      </c>
      <c r="H19" s="1921"/>
      <c r="I19" s="1921"/>
      <c r="J19" s="1921"/>
      <c r="K19" s="34"/>
      <c r="L19" s="34"/>
      <c r="M19" s="35"/>
      <c r="N19" s="31"/>
      <c r="O19" s="32"/>
      <c r="P19" s="34"/>
      <c r="Q19" s="34"/>
      <c r="R19" s="35"/>
      <c r="S19" s="31"/>
      <c r="T19" s="32"/>
      <c r="U19" s="34"/>
      <c r="V19" s="34"/>
      <c r="W19" s="35"/>
      <c r="X19" s="31"/>
      <c r="Y19" s="32"/>
      <c r="Z19" s="34"/>
      <c r="AA19" s="34"/>
      <c r="AB19" s="35"/>
      <c r="AC19" s="31"/>
      <c r="AD19" s="32"/>
      <c r="AE19" s="34"/>
      <c r="AF19" s="34"/>
      <c r="AG19" s="35"/>
      <c r="AH19" s="31"/>
      <c r="AI19" s="32"/>
      <c r="AJ19" s="34"/>
      <c r="AK19" s="34"/>
      <c r="AL19" s="35"/>
      <c r="AM19" s="31"/>
      <c r="AN19" s="32"/>
      <c r="AO19" s="34"/>
      <c r="AP19" s="34"/>
      <c r="AQ19" s="35"/>
      <c r="AR19" s="31"/>
      <c r="AS19" s="32"/>
      <c r="AT19" s="34"/>
      <c r="AU19" s="34"/>
      <c r="AV19" s="35"/>
      <c r="AW19" s="31"/>
      <c r="AX19" s="32"/>
      <c r="AY19" s="34"/>
      <c r="AZ19" s="34"/>
      <c r="BA19" s="35"/>
      <c r="BB19" s="31"/>
      <c r="BC19" s="32"/>
      <c r="BD19" s="34"/>
      <c r="BE19" s="34"/>
      <c r="BF19" s="35"/>
      <c r="BG19" s="31"/>
      <c r="BH19" s="32"/>
      <c r="BI19" s="33"/>
      <c r="BJ19" s="34"/>
      <c r="BK19" s="34"/>
      <c r="BL19" s="35"/>
      <c r="BM19" s="31"/>
      <c r="BN19" s="32"/>
      <c r="BO19" s="33"/>
      <c r="BP19" s="34"/>
      <c r="BQ19" s="34"/>
      <c r="BR19" s="35"/>
    </row>
    <row r="20" spans="1:83" ht="26.25" x14ac:dyDescent="0.25">
      <c r="A20" s="2138"/>
      <c r="B20" s="363">
        <v>7.6959999999999997</v>
      </c>
      <c r="C20" s="364" t="s">
        <v>113</v>
      </c>
      <c r="D20" s="365">
        <v>1</v>
      </c>
      <c r="E20" s="366" t="s">
        <v>114</v>
      </c>
      <c r="F20" s="2138"/>
      <c r="G20" s="363">
        <v>3.581</v>
      </c>
      <c r="H20" s="364" t="s">
        <v>113</v>
      </c>
      <c r="I20" s="365">
        <v>1</v>
      </c>
      <c r="J20" s="366" t="s">
        <v>114</v>
      </c>
      <c r="K20" s="34"/>
      <c r="L20" s="34"/>
      <c r="M20" s="35"/>
      <c r="N20" s="31"/>
      <c r="O20" s="32"/>
      <c r="P20" s="34"/>
      <c r="Q20" s="34"/>
      <c r="R20" s="35"/>
      <c r="S20" s="31"/>
      <c r="T20" s="32"/>
      <c r="U20" s="34"/>
      <c r="V20" s="34"/>
      <c r="W20" s="35"/>
      <c r="X20" s="31"/>
      <c r="Y20" s="32"/>
      <c r="Z20" s="34"/>
      <c r="AA20" s="34"/>
      <c r="AB20" s="35"/>
      <c r="AC20" s="31"/>
      <c r="AD20" s="32"/>
      <c r="AE20" s="34"/>
      <c r="AF20" s="34"/>
      <c r="AG20" s="35"/>
      <c r="AH20" s="31"/>
      <c r="AI20" s="32"/>
      <c r="AJ20" s="34"/>
      <c r="AK20" s="34"/>
      <c r="AL20" s="35"/>
      <c r="AM20" s="31"/>
      <c r="AN20" s="32"/>
      <c r="AO20" s="34"/>
      <c r="AP20" s="34"/>
      <c r="AQ20" s="35"/>
      <c r="AR20" s="31"/>
      <c r="AS20" s="32"/>
      <c r="AT20" s="34"/>
      <c r="AU20" s="34"/>
      <c r="AV20" s="35"/>
      <c r="AW20" s="31"/>
      <c r="AX20" s="32"/>
      <c r="AY20" s="34"/>
      <c r="AZ20" s="34"/>
      <c r="BA20" s="35"/>
      <c r="BB20" s="31"/>
      <c r="BC20" s="32"/>
      <c r="BD20" s="34"/>
      <c r="BE20" s="34"/>
      <c r="BF20" s="35"/>
      <c r="BG20" s="31"/>
      <c r="BH20" s="32"/>
      <c r="BI20" s="33"/>
      <c r="BJ20" s="34"/>
      <c r="BK20" s="34"/>
      <c r="BL20" s="35"/>
      <c r="BM20" s="31"/>
      <c r="BN20" s="32"/>
      <c r="BO20" s="33"/>
      <c r="BP20" s="34"/>
      <c r="BQ20" s="34"/>
      <c r="BR20" s="35"/>
      <c r="BW20" s="27"/>
      <c r="BX20" s="27"/>
      <c r="BY20" s="27"/>
      <c r="BZ20" s="27"/>
      <c r="CA20" s="27"/>
      <c r="CB20" s="27"/>
      <c r="CC20" s="27"/>
      <c r="CD20" s="27"/>
      <c r="CE20" s="27"/>
    </row>
    <row r="21" spans="1:83" ht="26.1" customHeight="1" x14ac:dyDescent="0.25">
      <c r="A21" s="121"/>
      <c r="B21" s="121"/>
      <c r="C21" s="121"/>
      <c r="D21" s="31"/>
      <c r="E21" s="121"/>
      <c r="F21" s="121"/>
      <c r="G21" s="121"/>
      <c r="H21" s="121"/>
      <c r="I21" s="121"/>
      <c r="J21" s="31"/>
      <c r="K21" s="121"/>
      <c r="L21" s="121"/>
      <c r="M21" s="121"/>
      <c r="N21" s="121"/>
      <c r="O21" s="121"/>
      <c r="P21" s="31"/>
      <c r="Q21" s="121"/>
      <c r="R21" s="121"/>
      <c r="S21" s="121"/>
      <c r="T21" s="121"/>
      <c r="U21" s="121"/>
      <c r="V21" s="31"/>
      <c r="W21" s="121"/>
      <c r="X21" s="121"/>
      <c r="Y21" s="121"/>
      <c r="Z21" s="121"/>
      <c r="AA21" s="121"/>
      <c r="AB21" s="31"/>
      <c r="AC21" s="121"/>
      <c r="AD21" s="121"/>
      <c r="AE21" s="121"/>
      <c r="AF21" s="121"/>
      <c r="AG21" s="121"/>
      <c r="AH21" s="31"/>
      <c r="AI21" s="121"/>
      <c r="AJ21" s="121"/>
      <c r="AK21" s="121"/>
      <c r="AL21" s="121"/>
      <c r="AM21" s="121"/>
      <c r="AN21" s="31"/>
      <c r="AO21" s="121"/>
      <c r="AP21" s="121"/>
      <c r="AQ21" s="121"/>
      <c r="AR21" s="121"/>
      <c r="AS21" s="121"/>
      <c r="AT21" s="31"/>
      <c r="AU21" s="121"/>
      <c r="AV21" s="121"/>
      <c r="AW21" s="121"/>
      <c r="AX21" s="121"/>
      <c r="AY21" s="121"/>
      <c r="AZ21" s="121"/>
      <c r="BA21" s="121"/>
      <c r="BB21" s="31"/>
      <c r="BC21" s="121"/>
      <c r="BD21" s="121"/>
      <c r="BE21" s="121"/>
      <c r="BF21" s="121"/>
      <c r="BG21" s="121"/>
      <c r="BH21" s="31"/>
      <c r="BI21" s="121"/>
      <c r="BJ21" s="121"/>
      <c r="BK21" s="121"/>
      <c r="BL21" s="121"/>
      <c r="BM21" s="121"/>
      <c r="BN21" s="31"/>
      <c r="BO21" s="121"/>
      <c r="BP21" s="121"/>
      <c r="BQ21" s="121"/>
      <c r="BR21" s="121"/>
    </row>
    <row r="22" spans="1:83" ht="6.75" customHeight="1" x14ac:dyDescent="0.25">
      <c r="A22" s="34"/>
      <c r="B22" s="35"/>
      <c r="C22" s="31"/>
      <c r="D22" s="32"/>
      <c r="E22" s="33"/>
      <c r="F22" s="34"/>
      <c r="G22" s="34"/>
      <c r="H22" s="35"/>
      <c r="I22" s="31"/>
      <c r="J22" s="32"/>
      <c r="K22" s="33"/>
      <c r="L22" s="34"/>
      <c r="M22" s="34"/>
      <c r="N22" s="35"/>
      <c r="O22" s="31"/>
      <c r="P22" s="32"/>
      <c r="Q22" s="33"/>
      <c r="R22" s="34"/>
      <c r="S22" s="34"/>
      <c r="T22" s="35"/>
      <c r="U22" s="31"/>
      <c r="V22" s="32"/>
      <c r="W22" s="33"/>
      <c r="X22" s="34"/>
      <c r="Y22" s="34"/>
      <c r="Z22" s="35"/>
      <c r="AA22" s="31"/>
      <c r="AB22" s="32"/>
      <c r="AC22" s="33"/>
      <c r="AD22" s="34"/>
      <c r="AE22" s="34"/>
      <c r="AF22" s="35"/>
      <c r="AG22" s="31"/>
      <c r="AH22" s="32"/>
      <c r="AI22" s="33"/>
      <c r="AJ22" s="34"/>
      <c r="AK22" s="34"/>
      <c r="AL22" s="35"/>
      <c r="AM22" s="31"/>
      <c r="AN22" s="32"/>
      <c r="AO22" s="33"/>
      <c r="AP22" s="34"/>
      <c r="AQ22" s="34"/>
      <c r="AR22" s="35"/>
      <c r="AS22" s="31"/>
      <c r="AT22" s="32"/>
      <c r="AU22" s="33"/>
      <c r="AV22" s="34"/>
      <c r="AW22" s="34"/>
      <c r="AX22" s="35"/>
      <c r="AY22" s="34"/>
      <c r="AZ22" s="35"/>
      <c r="BA22" s="31"/>
      <c r="BB22" s="32"/>
      <c r="BC22" s="33"/>
      <c r="BD22" s="34"/>
      <c r="BE22" s="34"/>
      <c r="BF22" s="35"/>
      <c r="BG22" s="31"/>
      <c r="BH22" s="32"/>
      <c r="BI22" s="33"/>
      <c r="BJ22" s="34"/>
      <c r="BK22" s="34"/>
      <c r="BL22" s="35"/>
      <c r="BM22" s="31"/>
      <c r="BN22" s="32"/>
      <c r="BO22" s="33"/>
      <c r="BP22" s="34"/>
      <c r="BQ22" s="34"/>
      <c r="BR22" s="35"/>
    </row>
    <row r="23" spans="1:83" ht="21.95" customHeight="1" x14ac:dyDescent="0.25">
      <c r="A23" s="34"/>
      <c r="B23" s="35"/>
      <c r="C23" s="31"/>
      <c r="D23" s="32"/>
      <c r="E23" s="33"/>
      <c r="F23" s="34"/>
      <c r="G23" s="34"/>
      <c r="H23" s="35"/>
      <c r="I23" s="31"/>
      <c r="J23" s="32"/>
      <c r="K23" s="33"/>
      <c r="L23" s="34"/>
      <c r="M23" s="34"/>
      <c r="N23" s="35"/>
      <c r="O23" s="31"/>
      <c r="P23" s="32"/>
      <c r="Q23" s="33"/>
      <c r="R23" s="34"/>
      <c r="S23" s="34"/>
      <c r="T23" s="35"/>
      <c r="U23" s="31"/>
      <c r="V23" s="32"/>
      <c r="W23" s="33"/>
      <c r="X23" s="34"/>
      <c r="Y23" s="34"/>
      <c r="Z23" s="35"/>
      <c r="AA23" s="31"/>
      <c r="AB23" s="32"/>
      <c r="AC23" s="33"/>
      <c r="AD23" s="34"/>
      <c r="AE23" s="34"/>
      <c r="AF23" s="35"/>
      <c r="AG23" s="31"/>
      <c r="AH23" s="32"/>
      <c r="AI23" s="33"/>
      <c r="AJ23" s="34"/>
      <c r="AK23" s="34"/>
      <c r="AL23" s="35"/>
      <c r="AM23" s="31"/>
      <c r="AN23" s="32"/>
      <c r="AO23" s="33"/>
      <c r="AP23" s="34"/>
      <c r="AQ23" s="34"/>
      <c r="AR23" s="35"/>
      <c r="AS23" s="31"/>
      <c r="AT23" s="32"/>
      <c r="AU23" s="33"/>
      <c r="AV23" s="34"/>
      <c r="AW23" s="34"/>
      <c r="AX23" s="35"/>
      <c r="AY23" s="34"/>
      <c r="AZ23" s="35"/>
      <c r="BA23" s="31"/>
      <c r="BB23" s="32"/>
      <c r="BC23" s="33"/>
      <c r="BD23" s="34"/>
      <c r="BE23" s="34"/>
      <c r="BF23" s="35"/>
      <c r="BG23" s="31"/>
      <c r="BH23" s="32"/>
      <c r="BI23" s="33"/>
      <c r="BJ23" s="34"/>
      <c r="BK23" s="34"/>
      <c r="BL23" s="35"/>
      <c r="BM23" s="31"/>
      <c r="BN23" s="32"/>
      <c r="BO23" s="33"/>
      <c r="BP23" s="34"/>
      <c r="BQ23" s="34"/>
      <c r="BR23" s="35"/>
    </row>
    <row r="24" spans="1:83" ht="6" customHeight="1" x14ac:dyDescent="0.25">
      <c r="A24" s="121"/>
      <c r="B24" s="121"/>
      <c r="C24" s="121"/>
      <c r="D24" s="31"/>
      <c r="E24" s="121"/>
      <c r="F24" s="121"/>
      <c r="G24" s="121"/>
      <c r="H24" s="121"/>
      <c r="I24" s="121"/>
      <c r="J24" s="31"/>
      <c r="K24" s="121"/>
      <c r="L24" s="121"/>
      <c r="M24" s="121"/>
      <c r="N24" s="121"/>
      <c r="O24" s="121"/>
      <c r="P24" s="31"/>
      <c r="Q24" s="121"/>
      <c r="R24" s="121"/>
      <c r="S24" s="121"/>
      <c r="T24" s="121"/>
      <c r="U24" s="121"/>
      <c r="V24" s="31"/>
      <c r="W24" s="121"/>
      <c r="X24" s="121"/>
      <c r="Y24" s="121"/>
      <c r="Z24" s="121"/>
      <c r="AA24" s="121"/>
      <c r="AB24" s="121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21"/>
      <c r="AQ24" s="121"/>
      <c r="AR24" s="121"/>
      <c r="AS24" s="121"/>
      <c r="AT24" s="31"/>
      <c r="AU24" s="121"/>
      <c r="AV24" s="121"/>
      <c r="AW24" s="121"/>
      <c r="AX24" s="121"/>
      <c r="AY24" s="121"/>
      <c r="AZ24" s="121"/>
      <c r="BA24" s="121"/>
      <c r="BB24" s="31"/>
      <c r="BC24" s="121"/>
      <c r="BD24" s="121"/>
      <c r="BE24" s="121"/>
      <c r="BF24" s="121"/>
      <c r="BG24" s="121"/>
      <c r="BH24" s="31"/>
      <c r="BI24" s="121"/>
      <c r="BJ24" s="121"/>
      <c r="BK24" s="121"/>
      <c r="BL24" s="121"/>
      <c r="BM24" s="121"/>
      <c r="BN24" s="31"/>
      <c r="BO24" s="121"/>
      <c r="BP24" s="121"/>
      <c r="BQ24" s="121"/>
      <c r="BR24" s="121"/>
    </row>
    <row r="25" spans="1:83" s="22" customFormat="1" ht="80.099999999999994" customHeight="1" x14ac:dyDescent="1.35">
      <c r="A25" s="34"/>
      <c r="B25" s="121"/>
      <c r="C25" s="121"/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35"/>
      <c r="U25" s="31"/>
      <c r="V25" s="32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3"/>
      <c r="AP25" s="34"/>
      <c r="AQ25" s="34"/>
      <c r="AR25" s="35"/>
      <c r="AS25" s="31"/>
      <c r="AT25" s="32"/>
      <c r="AU25" s="33"/>
      <c r="AV25" s="34"/>
      <c r="AW25" s="34"/>
      <c r="AX25" s="35"/>
      <c r="AY25" s="34"/>
      <c r="AZ25" s="35"/>
      <c r="BA25" s="31"/>
      <c r="BB25" s="32"/>
      <c r="BC25" s="33"/>
      <c r="BD25" s="34"/>
      <c r="BE25" s="34"/>
      <c r="BF25" s="35"/>
      <c r="BG25" s="31"/>
      <c r="BH25" s="32"/>
      <c r="BI25" s="33"/>
      <c r="BJ25" s="34"/>
      <c r="BK25" s="34"/>
      <c r="BL25" s="35"/>
      <c r="BM25" s="31"/>
      <c r="BN25" s="32"/>
      <c r="BO25" s="33"/>
      <c r="BP25" s="34"/>
      <c r="BQ25" s="34"/>
      <c r="BR25" s="35"/>
    </row>
    <row r="26" spans="1:83" ht="27" customHeight="1" x14ac:dyDescent="0.25">
      <c r="A26" s="34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1"/>
      <c r="V26" s="32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3"/>
      <c r="AP26" s="34"/>
      <c r="AQ26" s="34"/>
      <c r="AR26" s="35"/>
      <c r="AS26" s="31"/>
      <c r="AT26" s="32"/>
      <c r="AU26" s="33"/>
      <c r="AV26" s="34"/>
      <c r="AW26" s="34"/>
      <c r="AX26" s="35"/>
      <c r="AY26" s="34"/>
      <c r="AZ26" s="35"/>
      <c r="BA26" s="31"/>
      <c r="BB26" s="32"/>
      <c r="BC26" s="33"/>
      <c r="BD26" s="34"/>
      <c r="BE26" s="34"/>
      <c r="BF26" s="35"/>
      <c r="BG26" s="31"/>
      <c r="BH26" s="32"/>
      <c r="BI26" s="33"/>
      <c r="BJ26" s="34"/>
      <c r="BK26" s="34"/>
      <c r="BL26" s="35"/>
      <c r="BM26" s="31"/>
      <c r="BN26" s="32"/>
      <c r="BO26" s="33"/>
      <c r="BP26" s="34"/>
      <c r="BQ26" s="34"/>
      <c r="BR26" s="35"/>
      <c r="BW26" s="27"/>
      <c r="BX26" s="27"/>
      <c r="BY26" s="27"/>
      <c r="BZ26" s="27"/>
      <c r="CA26" s="27"/>
      <c r="CB26" s="27"/>
      <c r="CC26" s="27"/>
      <c r="CD26" s="27"/>
      <c r="CE26" s="27"/>
    </row>
    <row r="27" spans="1:83" ht="26.1" customHeight="1" x14ac:dyDescent="0.25">
      <c r="A27" s="12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121"/>
      <c r="U27" s="121"/>
      <c r="V27" s="31"/>
      <c r="W27" s="121"/>
      <c r="X27" s="121"/>
      <c r="Y27" s="121"/>
      <c r="Z27" s="121"/>
      <c r="AA27" s="121"/>
      <c r="AB27" s="31"/>
      <c r="AC27" s="121"/>
      <c r="AD27" s="121"/>
      <c r="AE27" s="121"/>
      <c r="AF27" s="121"/>
      <c r="AG27" s="121"/>
      <c r="AH27" s="31"/>
      <c r="AI27" s="121"/>
      <c r="AJ27" s="121"/>
      <c r="AK27" s="121"/>
      <c r="AL27" s="121"/>
      <c r="AM27" s="121"/>
      <c r="AN27" s="31"/>
      <c r="AO27" s="121"/>
      <c r="AP27" s="121"/>
      <c r="AQ27" s="121"/>
      <c r="AR27" s="121"/>
      <c r="AS27" s="121"/>
      <c r="AT27" s="31"/>
      <c r="AU27" s="121"/>
      <c r="AV27" s="121"/>
      <c r="AW27" s="121"/>
      <c r="AX27" s="121"/>
      <c r="AY27" s="121"/>
      <c r="AZ27" s="121"/>
      <c r="BA27" s="121"/>
      <c r="BB27" s="31"/>
      <c r="BC27" s="121"/>
      <c r="BD27" s="121"/>
      <c r="BE27" s="121"/>
      <c r="BF27" s="121"/>
      <c r="BG27" s="121"/>
      <c r="BH27" s="31"/>
      <c r="BI27" s="121"/>
      <c r="BJ27" s="121"/>
      <c r="BK27" s="121"/>
      <c r="BL27" s="121"/>
      <c r="BM27" s="121"/>
      <c r="BN27" s="31"/>
      <c r="BO27" s="121"/>
      <c r="BP27" s="121"/>
      <c r="BQ27" s="121"/>
      <c r="BR27" s="121"/>
    </row>
    <row r="28" spans="1:83" ht="6.75" customHeight="1" x14ac:dyDescent="0.25">
      <c r="A28" s="34"/>
      <c r="B28" s="35"/>
      <c r="C28" s="31"/>
      <c r="D28" s="32"/>
      <c r="E28" s="33"/>
      <c r="F28" s="34"/>
      <c r="G28" s="34"/>
      <c r="H28" s="35"/>
      <c r="I28" s="31"/>
      <c r="J28" s="32"/>
      <c r="K28" s="33"/>
      <c r="L28" s="34"/>
      <c r="M28" s="34"/>
      <c r="N28" s="35"/>
      <c r="O28" s="31"/>
      <c r="P28" s="32"/>
      <c r="Q28" s="33"/>
      <c r="R28" s="34"/>
      <c r="S28" s="34"/>
      <c r="T28" s="35"/>
      <c r="U28" s="31"/>
      <c r="V28" s="32"/>
      <c r="W28" s="33"/>
      <c r="X28" s="34"/>
      <c r="Y28" s="34"/>
      <c r="Z28" s="35"/>
      <c r="AA28" s="31"/>
      <c r="AB28" s="32"/>
      <c r="AC28" s="33"/>
      <c r="AD28" s="34"/>
      <c r="AE28" s="34"/>
      <c r="AF28" s="35"/>
      <c r="AG28" s="31"/>
      <c r="AH28" s="32"/>
      <c r="AI28" s="33"/>
      <c r="AJ28" s="34"/>
      <c r="AK28" s="34"/>
      <c r="AL28" s="35"/>
      <c r="AM28" s="31"/>
      <c r="AN28" s="32"/>
      <c r="AO28" s="33"/>
      <c r="AP28" s="34"/>
      <c r="AQ28" s="34"/>
      <c r="AR28" s="35"/>
      <c r="AS28" s="31"/>
      <c r="AT28" s="32"/>
      <c r="AU28" s="33"/>
      <c r="AV28" s="34"/>
      <c r="AW28" s="34"/>
      <c r="AX28" s="35"/>
      <c r="AY28" s="34"/>
      <c r="AZ28" s="35"/>
      <c r="BA28" s="31"/>
      <c r="BB28" s="32"/>
      <c r="BC28" s="33"/>
      <c r="BD28" s="34"/>
      <c r="BE28" s="34"/>
      <c r="BF28" s="35"/>
      <c r="BG28" s="31"/>
      <c r="BH28" s="32"/>
      <c r="BI28" s="33"/>
      <c r="BJ28" s="34"/>
      <c r="BK28" s="34"/>
      <c r="BL28" s="35"/>
      <c r="BM28" s="31"/>
      <c r="BN28" s="32"/>
      <c r="BO28" s="33"/>
      <c r="BP28" s="34"/>
      <c r="BQ28" s="34"/>
      <c r="BR28" s="35"/>
    </row>
    <row r="29" spans="1:83" ht="21.95" customHeight="1" x14ac:dyDescent="0.25">
      <c r="A29" s="34"/>
      <c r="B29" s="35"/>
      <c r="C29" s="31"/>
      <c r="D29" s="32"/>
      <c r="E29" s="33"/>
      <c r="F29" s="34"/>
      <c r="G29" s="34"/>
      <c r="H29" s="35"/>
      <c r="I29" s="31"/>
      <c r="J29" s="32"/>
      <c r="K29" s="33"/>
      <c r="L29" s="34"/>
      <c r="M29" s="34"/>
      <c r="N29" s="35"/>
      <c r="O29" s="31"/>
      <c r="P29" s="32"/>
      <c r="Q29" s="33"/>
      <c r="R29" s="34"/>
      <c r="S29" s="34"/>
      <c r="T29" s="35"/>
      <c r="U29" s="31"/>
      <c r="V29" s="32"/>
      <c r="W29" s="33"/>
      <c r="X29" s="34"/>
      <c r="Y29" s="34"/>
      <c r="Z29" s="35"/>
      <c r="AA29" s="31"/>
      <c r="AB29" s="32"/>
      <c r="AC29" s="33"/>
      <c r="AD29" s="34"/>
      <c r="AE29" s="34"/>
      <c r="AF29" s="35"/>
      <c r="AG29" s="31"/>
      <c r="AH29" s="32"/>
      <c r="AI29" s="33"/>
      <c r="AJ29" s="34"/>
      <c r="AK29" s="34"/>
      <c r="AL29" s="35"/>
      <c r="AM29" s="31"/>
      <c r="AN29" s="32"/>
      <c r="AO29" s="33"/>
      <c r="AP29" s="34"/>
      <c r="AQ29" s="34"/>
      <c r="AR29" s="35"/>
      <c r="AS29" s="31"/>
      <c r="AT29" s="32"/>
      <c r="AU29" s="33"/>
      <c r="AV29" s="34"/>
      <c r="AW29" s="34"/>
      <c r="AX29" s="35"/>
      <c r="AY29" s="34"/>
      <c r="AZ29" s="35"/>
      <c r="BA29" s="31"/>
      <c r="BB29" s="32"/>
      <c r="BC29" s="33"/>
      <c r="BD29" s="34"/>
      <c r="BE29" s="34"/>
      <c r="BF29" s="35"/>
      <c r="BG29" s="31"/>
      <c r="BH29" s="32"/>
      <c r="BI29" s="33"/>
      <c r="BJ29" s="34"/>
      <c r="BK29" s="34"/>
      <c r="BL29" s="35"/>
      <c r="BM29" s="31"/>
      <c r="BN29" s="32"/>
      <c r="BO29" s="33"/>
      <c r="BP29" s="34"/>
      <c r="BQ29" s="34"/>
      <c r="BR29" s="35"/>
    </row>
    <row r="30" spans="1:83" ht="6" customHeight="1" x14ac:dyDescent="0.25">
      <c r="A30" s="121"/>
      <c r="B30" s="121"/>
      <c r="C30" s="121"/>
      <c r="D30" s="31"/>
      <c r="E30" s="121"/>
      <c r="F30" s="121"/>
      <c r="G30" s="121"/>
      <c r="H30" s="121"/>
      <c r="I30" s="121"/>
      <c r="J30" s="31"/>
      <c r="K30" s="121"/>
      <c r="L30" s="121"/>
      <c r="M30" s="121"/>
      <c r="N30" s="121"/>
      <c r="O30" s="121"/>
      <c r="P30" s="31"/>
      <c r="Q30" s="121"/>
      <c r="R30" s="121"/>
      <c r="S30" s="121"/>
      <c r="T30" s="121"/>
      <c r="U30" s="121"/>
      <c r="V30" s="31"/>
      <c r="W30" s="121"/>
      <c r="X30" s="121"/>
      <c r="Y30" s="121"/>
      <c r="Z30" s="121"/>
      <c r="AA30" s="121"/>
      <c r="AB30" s="31"/>
      <c r="AC30" s="121"/>
      <c r="AD30" s="121"/>
      <c r="AE30" s="121"/>
      <c r="AF30" s="121"/>
      <c r="AG30" s="121"/>
      <c r="AH30" s="31"/>
      <c r="AI30" s="121"/>
      <c r="AJ30" s="121"/>
      <c r="AK30" s="121"/>
      <c r="AL30" s="121"/>
      <c r="AM30" s="121"/>
      <c r="AN30" s="31"/>
      <c r="AO30" s="121"/>
      <c r="AP30" s="121"/>
      <c r="AQ30" s="121"/>
      <c r="AR30" s="121"/>
      <c r="AS30" s="121"/>
      <c r="AT30" s="31"/>
      <c r="AU30" s="121"/>
      <c r="AV30" s="121"/>
      <c r="AW30" s="121"/>
      <c r="AX30" s="121"/>
      <c r="AY30" s="121"/>
      <c r="AZ30" s="121"/>
      <c r="BA30" s="121"/>
      <c r="BB30" s="31"/>
      <c r="BC30" s="121"/>
      <c r="BD30" s="121"/>
      <c r="BE30" s="121"/>
      <c r="BF30" s="121"/>
      <c r="BG30" s="121"/>
      <c r="BH30" s="31"/>
      <c r="BI30" s="121"/>
      <c r="BJ30" s="121"/>
      <c r="BK30" s="121"/>
      <c r="BL30" s="121"/>
      <c r="BM30" s="121"/>
      <c r="BN30" s="31"/>
      <c r="BO30" s="121"/>
      <c r="BP30" s="121"/>
      <c r="BQ30" s="121"/>
      <c r="BR30" s="121"/>
    </row>
    <row r="31" spans="1:83" s="22" customFormat="1" ht="80.099999999999994" customHeight="1" x14ac:dyDescent="1.35">
      <c r="A31" s="34"/>
      <c r="B31" s="35"/>
      <c r="C31" s="31"/>
      <c r="D31" s="32"/>
      <c r="E31" s="33"/>
      <c r="F31" s="34"/>
      <c r="G31" s="34"/>
      <c r="H31" s="35"/>
      <c r="I31" s="31"/>
      <c r="J31" s="1797"/>
      <c r="K31" s="1797"/>
      <c r="L31" s="1797"/>
      <c r="M31" s="1797"/>
      <c r="N31" s="35"/>
      <c r="O31" s="31"/>
      <c r="P31" s="32"/>
      <c r="Q31" s="33"/>
      <c r="R31" s="34"/>
      <c r="S31" s="34"/>
      <c r="T31" s="35"/>
      <c r="U31" s="31"/>
      <c r="V31" s="32"/>
      <c r="W31" s="33"/>
      <c r="X31" s="34"/>
      <c r="Y31" s="34"/>
      <c r="Z31" s="35"/>
      <c r="AA31" s="31"/>
      <c r="AB31" s="32"/>
      <c r="AC31" s="33"/>
      <c r="AD31" s="34"/>
      <c r="AE31" s="34"/>
      <c r="AF31" s="35"/>
      <c r="AG31" s="31"/>
      <c r="AH31" s="32"/>
      <c r="AI31" s="33"/>
      <c r="AJ31" s="34"/>
      <c r="AK31" s="34"/>
      <c r="AL31" s="35"/>
      <c r="AM31" s="31"/>
      <c r="AN31" s="32"/>
      <c r="AO31" s="33"/>
      <c r="AP31" s="34"/>
      <c r="AQ31" s="34"/>
      <c r="AR31" s="35"/>
      <c r="AS31" s="31"/>
      <c r="AT31" s="32"/>
      <c r="AU31" s="33"/>
      <c r="AV31" s="34"/>
      <c r="AW31" s="34"/>
      <c r="AX31" s="35"/>
      <c r="AY31" s="34"/>
      <c r="AZ31" s="35"/>
      <c r="BA31" s="31"/>
      <c r="BB31" s="32"/>
      <c r="BC31" s="33"/>
      <c r="BD31" s="34"/>
      <c r="BE31" s="34"/>
      <c r="BF31" s="35"/>
      <c r="BG31" s="31"/>
      <c r="BH31" s="32"/>
      <c r="BI31" s="33"/>
      <c r="BJ31" s="34"/>
      <c r="BK31" s="34"/>
      <c r="BL31" s="35"/>
      <c r="BM31" s="31"/>
      <c r="BN31" s="32"/>
      <c r="BO31" s="33"/>
      <c r="BP31" s="34"/>
      <c r="BQ31" s="34"/>
      <c r="BR31" s="35"/>
    </row>
    <row r="32" spans="1:83" ht="26.25" customHeight="1" x14ac:dyDescent="0.25">
      <c r="A32" s="34"/>
      <c r="B32" s="35"/>
      <c r="C32" s="31"/>
      <c r="D32" s="32"/>
      <c r="E32" s="33"/>
      <c r="F32" s="34"/>
      <c r="G32" s="34"/>
      <c r="H32" s="35"/>
      <c r="I32" s="31"/>
      <c r="J32" s="1923" cm="1">
        <f t="array" aca="1" ref="J32" ca="1">SUM(COUNTIF(INDIRECT({"B7","G7","L7","Q7","V7","AA7","AF7","AK7","AP7","AU7","AZ7","BE7","BJ7","BO7","B13","G13","L13","Q13","V13","AA13","AF13","AK13","AP13","AU13","AZ13","BE13","BJ13","BO13","B19","G19","L19","Q19","V19","AA19","AF19","AK19","AP19","AU19","AZ19"}),"&gt;0"))</f>
        <v>30</v>
      </c>
      <c r="K32" s="1923"/>
      <c r="L32" s="1923"/>
      <c r="M32" s="1923"/>
      <c r="N32" s="35"/>
      <c r="O32" s="31"/>
      <c r="P32" s="32"/>
      <c r="Q32" s="33"/>
      <c r="R32" s="34"/>
      <c r="S32" s="34"/>
      <c r="T32" s="35"/>
      <c r="U32" s="33"/>
      <c r="V32" s="34"/>
      <c r="W32" s="34"/>
      <c r="X32" s="33"/>
      <c r="Y32" s="717" cm="1">
        <f t="array" aca="1" ref="Y32" ca="1">SUM(COUNTIF(INDIRECT({"B8","G8","L8","Q8","V8","AA8","AF8","AK8","AP8","AU8","AZ8","BE8","BJ8","BO8","B14","G14","L14","Q14","V14","AA14","AF14","AK14","AP14","AU14","AZ14","BE14","BJ14","BO14","B20","G20","L20","Q20","V20","AA20","AF20","AK20","AP20","AU20","AZ20"}),"&gt;0"))</f>
        <v>30</v>
      </c>
      <c r="Z32" s="717"/>
      <c r="AA32" s="717"/>
      <c r="AB32" s="717"/>
      <c r="AC32" s="34"/>
      <c r="AD32" s="33"/>
      <c r="AE32" s="34"/>
      <c r="AF32" s="34"/>
      <c r="AG32" s="33"/>
      <c r="AH32" s="34"/>
      <c r="AI32" s="34"/>
      <c r="AJ32" s="33"/>
      <c r="AK32" s="34"/>
      <c r="AL32" s="34"/>
      <c r="AM32" s="33"/>
      <c r="AN32" s="34"/>
      <c r="AO32" s="34"/>
      <c r="AP32" s="717">
        <v>30</v>
      </c>
      <c r="AQ32" s="717"/>
      <c r="AR32" s="717"/>
      <c r="AS32" s="717"/>
      <c r="AT32" s="34"/>
      <c r="AU32" s="34"/>
      <c r="AV32" s="33"/>
      <c r="AW32" s="34"/>
      <c r="AX32" s="34"/>
      <c r="AY32" s="33"/>
      <c r="AZ32" s="34"/>
      <c r="BA32" s="34"/>
      <c r="BB32" s="33"/>
      <c r="BC32" s="34"/>
      <c r="BD32" s="34"/>
      <c r="BE32" s="33"/>
      <c r="BF32" s="717"/>
      <c r="BG32" s="717"/>
      <c r="BH32" s="717"/>
      <c r="BI32" s="717"/>
      <c r="BJ32" s="717"/>
      <c r="BK32" s="33"/>
      <c r="BL32" s="34"/>
      <c r="BM32" s="34"/>
      <c r="BN32" s="33"/>
      <c r="BO32" s="34"/>
      <c r="BP32" s="34"/>
      <c r="BQ32" s="33"/>
      <c r="BR32" s="34"/>
      <c r="BW32" s="27"/>
      <c r="BX32" s="27"/>
      <c r="BY32" s="27"/>
      <c r="BZ32" s="27"/>
      <c r="CA32" s="27"/>
      <c r="CB32" s="27"/>
      <c r="CC32" s="27"/>
      <c r="CD32" s="27"/>
      <c r="CE32" s="27"/>
    </row>
    <row r="33" spans="1:83" ht="26.1" customHeight="1" x14ac:dyDescent="0.25">
      <c r="A33" s="30"/>
      <c r="B33" s="29"/>
      <c r="C33" s="28"/>
      <c r="D33" s="28"/>
      <c r="E33" s="28"/>
      <c r="F33" s="30"/>
      <c r="G33" s="29"/>
      <c r="H33" s="28"/>
      <c r="I33" s="28"/>
      <c r="J33" s="1923"/>
      <c r="K33" s="1923"/>
      <c r="L33" s="1923"/>
      <c r="M33" s="1923"/>
      <c r="N33" s="28"/>
      <c r="O33" s="28"/>
      <c r="P33" s="30"/>
      <c r="Q33" s="29"/>
      <c r="R33" s="28"/>
      <c r="S33" s="28"/>
      <c r="T33" s="28"/>
      <c r="U33" s="29"/>
      <c r="V33" s="28"/>
      <c r="W33" s="28"/>
      <c r="X33" s="29"/>
      <c r="Y33" s="717"/>
      <c r="Z33" s="717"/>
      <c r="AA33" s="717"/>
      <c r="AB33" s="717"/>
      <c r="AC33" s="28"/>
      <c r="AD33" s="29"/>
      <c r="AE33" s="28"/>
      <c r="AF33" s="28"/>
      <c r="AG33" s="29"/>
      <c r="AH33" s="28"/>
      <c r="AI33" s="28"/>
      <c r="AJ33" s="29"/>
      <c r="AK33" s="28"/>
      <c r="AL33" s="28"/>
      <c r="AM33" s="29"/>
      <c r="AN33" s="28"/>
      <c r="AO33" s="28"/>
      <c r="AP33" s="717"/>
      <c r="AQ33" s="717"/>
      <c r="AR33" s="717"/>
      <c r="AS33" s="717"/>
      <c r="AT33" s="28"/>
      <c r="AU33" s="28"/>
      <c r="AV33" s="29"/>
      <c r="AW33" s="28"/>
      <c r="AX33" s="28"/>
      <c r="AY33" s="29"/>
      <c r="AZ33" s="28"/>
      <c r="BA33" s="28"/>
      <c r="BB33" s="29"/>
      <c r="BC33" s="28"/>
      <c r="BD33" s="28"/>
      <c r="BE33" s="29"/>
      <c r="BF33" s="717"/>
      <c r="BG33" s="717"/>
      <c r="BH33" s="717"/>
      <c r="BI33" s="717"/>
      <c r="BJ33" s="717"/>
      <c r="BK33" s="29"/>
      <c r="BL33" s="28"/>
      <c r="BM33" s="28"/>
      <c r="BN33" s="29"/>
      <c r="BO33" s="28"/>
      <c r="BP33" s="28"/>
      <c r="BQ33" s="29"/>
      <c r="BR33" s="28"/>
    </row>
    <row r="34" spans="1:83" ht="6.75" customHeight="1" x14ac:dyDescent="0.25">
      <c r="A34" s="29"/>
      <c r="B34" s="29"/>
      <c r="C34" s="28"/>
      <c r="D34" s="28"/>
      <c r="E34" s="28"/>
      <c r="F34" s="29"/>
      <c r="G34" s="29"/>
      <c r="H34" s="28"/>
      <c r="I34" s="28"/>
      <c r="J34" s="1923"/>
      <c r="K34" s="1923"/>
      <c r="L34" s="1923"/>
      <c r="M34" s="1923"/>
      <c r="N34" s="28"/>
      <c r="O34" s="28"/>
      <c r="P34" s="29"/>
      <c r="Q34" s="29"/>
      <c r="R34" s="28"/>
      <c r="S34" s="28"/>
      <c r="T34" s="28"/>
      <c r="U34" s="28"/>
      <c r="V34" s="29"/>
      <c r="W34" s="29"/>
      <c r="X34" s="28"/>
      <c r="Y34" s="717"/>
      <c r="Z34" s="717"/>
      <c r="AA34" s="717"/>
      <c r="AB34" s="717"/>
      <c r="AC34" s="28"/>
      <c r="AD34" s="28"/>
      <c r="AE34" s="28"/>
      <c r="AF34" s="29"/>
      <c r="AG34" s="29"/>
      <c r="AH34" s="28"/>
      <c r="AI34" s="28"/>
      <c r="AJ34" s="28"/>
      <c r="AK34" s="29"/>
      <c r="AL34" s="29"/>
      <c r="AM34" s="28"/>
      <c r="AN34" s="28"/>
      <c r="AO34" s="28"/>
      <c r="AP34" s="717"/>
      <c r="AQ34" s="717"/>
      <c r="AR34" s="717"/>
      <c r="AS34" s="717"/>
      <c r="AT34" s="28"/>
      <c r="AU34" s="29"/>
      <c r="AV34" s="29"/>
      <c r="AW34" s="28"/>
      <c r="AX34" s="28"/>
      <c r="AY34" s="28"/>
      <c r="AZ34" s="29"/>
      <c r="BA34" s="29"/>
      <c r="BB34" s="28"/>
      <c r="BC34" s="28"/>
      <c r="BD34" s="28"/>
      <c r="BE34" s="28"/>
      <c r="BF34" s="717"/>
      <c r="BG34" s="717"/>
      <c r="BH34" s="717"/>
      <c r="BI34" s="717"/>
      <c r="BJ34" s="717"/>
      <c r="BK34" s="29"/>
      <c r="BL34" s="29"/>
      <c r="BM34" s="28"/>
      <c r="BN34" s="28"/>
      <c r="BO34" s="28"/>
      <c r="BP34" s="29"/>
      <c r="BQ34" s="29"/>
      <c r="BR34" s="28"/>
    </row>
    <row r="35" spans="1:83" ht="21.95" customHeight="1" x14ac:dyDescent="0.25">
      <c r="A35" s="121"/>
      <c r="B35" s="121"/>
      <c r="C35" s="31"/>
      <c r="D35" s="121"/>
      <c r="E35" s="121"/>
      <c r="F35" s="121"/>
      <c r="G35" s="121"/>
      <c r="H35" s="31"/>
      <c r="I35" s="121"/>
      <c r="J35" s="1923"/>
      <c r="K35" s="1923"/>
      <c r="L35" s="1923"/>
      <c r="M35" s="1923"/>
      <c r="N35" s="121"/>
      <c r="O35" s="121"/>
      <c r="P35" s="121"/>
      <c r="Q35" s="121"/>
      <c r="R35" s="31"/>
      <c r="S35" s="121"/>
      <c r="T35" s="121"/>
      <c r="U35" s="28"/>
      <c r="V35" s="30"/>
      <c r="W35" s="29"/>
      <c r="X35" s="28"/>
      <c r="Y35" s="717"/>
      <c r="Z35" s="717"/>
      <c r="AA35" s="717"/>
      <c r="AB35" s="717"/>
      <c r="AC35" s="28"/>
      <c r="AD35" s="28"/>
      <c r="AE35" s="28"/>
      <c r="AF35" s="30"/>
      <c r="AG35" s="29"/>
      <c r="AH35" s="28"/>
      <c r="AI35" s="28"/>
      <c r="AJ35" s="28"/>
      <c r="AK35" s="30"/>
      <c r="AL35" s="29"/>
      <c r="AM35" s="28"/>
      <c r="AN35" s="28"/>
      <c r="AO35" s="28"/>
      <c r="AP35" s="717"/>
      <c r="AQ35" s="717"/>
      <c r="AR35" s="717"/>
      <c r="AS35" s="717"/>
      <c r="AT35" s="28"/>
      <c r="AU35" s="30"/>
      <c r="AV35" s="29"/>
      <c r="AW35" s="28"/>
      <c r="AX35" s="28"/>
      <c r="AY35" s="28"/>
      <c r="AZ35" s="30"/>
      <c r="BA35" s="29"/>
      <c r="BB35" s="28"/>
      <c r="BC35" s="28"/>
      <c r="BD35" s="28"/>
      <c r="BE35" s="28"/>
      <c r="BF35" s="717"/>
      <c r="BG35" s="717"/>
      <c r="BH35" s="717"/>
      <c r="BI35" s="717"/>
      <c r="BJ35" s="717"/>
      <c r="BK35" s="30"/>
      <c r="BL35" s="29"/>
      <c r="BM35" s="28"/>
      <c r="BN35" s="28"/>
      <c r="BO35" s="28"/>
      <c r="BP35" s="30"/>
      <c r="BQ35" s="29"/>
      <c r="BR35" s="28"/>
    </row>
    <row r="36" spans="1:83" ht="24" customHeight="1" x14ac:dyDescent="0.25">
      <c r="A36" s="35"/>
      <c r="B36" s="31"/>
      <c r="C36" s="32"/>
      <c r="D36" s="33"/>
      <c r="E36" s="34"/>
      <c r="F36" s="35"/>
      <c r="G36" s="31"/>
      <c r="H36" s="32"/>
      <c r="I36" s="33"/>
      <c r="J36" s="34"/>
      <c r="K36" s="35"/>
      <c r="L36" s="31"/>
      <c r="M36" s="32"/>
      <c r="N36" s="33"/>
      <c r="O36" s="34"/>
      <c r="P36" s="35"/>
      <c r="Q36" s="31"/>
      <c r="R36" s="32"/>
      <c r="S36" s="33"/>
      <c r="T36" s="34"/>
      <c r="U36" s="28"/>
      <c r="V36" s="697" t="s">
        <v>116</v>
      </c>
      <c r="W36" s="697"/>
      <c r="X36" s="697"/>
      <c r="Y36" s="697"/>
      <c r="Z36" s="697"/>
      <c r="AA36" s="697"/>
      <c r="AB36" s="697"/>
      <c r="AC36" s="697"/>
      <c r="AD36" s="697"/>
      <c r="AE36" s="697"/>
      <c r="AF36" s="697"/>
      <c r="AG36" s="697"/>
      <c r="AH36" s="697" t="s">
        <v>117</v>
      </c>
      <c r="AI36" s="697"/>
      <c r="AJ36" s="697"/>
      <c r="AK36" s="697"/>
      <c r="AL36" s="697"/>
      <c r="AM36" s="697"/>
      <c r="AN36" s="697"/>
      <c r="AO36" s="697"/>
      <c r="AP36" s="697"/>
      <c r="AQ36" s="697"/>
      <c r="AR36" s="697"/>
      <c r="AS36" s="698" t="s">
        <v>118</v>
      </c>
      <c r="AT36" s="698"/>
      <c r="AU36" s="698"/>
      <c r="AV36" s="698"/>
      <c r="AW36" s="698"/>
      <c r="AX36" s="698"/>
      <c r="AY36" s="698"/>
      <c r="AZ36" s="698"/>
      <c r="BA36" s="698"/>
      <c r="BB36" s="698"/>
      <c r="BC36" s="698"/>
      <c r="BD36" s="698"/>
      <c r="BE36" s="699" t="s">
        <v>119</v>
      </c>
      <c r="BF36" s="699"/>
      <c r="BG36" s="699"/>
      <c r="BH36" s="699"/>
      <c r="BI36" s="699"/>
      <c r="BJ36" s="1924">
        <f>D8+I8+N8+S8+X8+AC8+AH8+AM8+AR8+AW8+BB8+BG8+BL8+D14+I14+N14+S14+X14+AC14+AH14+AM14+AR14+AW14+BB14+BG14+BL14+D20+I20+N20+S20+X20+AC20+AH20+AM20+AR20+AW20+BQ8+BQ14+BB20</f>
        <v>31</v>
      </c>
      <c r="BK36" s="1925"/>
      <c r="BL36" s="1925"/>
      <c r="BM36" s="1925"/>
      <c r="BN36" s="701" t="s">
        <v>120</v>
      </c>
      <c r="BO36" s="701"/>
      <c r="BP36" s="701"/>
      <c r="BQ36" s="29"/>
      <c r="BR36" s="28"/>
    </row>
    <row r="37" spans="1:83" s="22" customFormat="1" ht="80.099999999999994" customHeight="1" x14ac:dyDescent="1.35">
      <c r="A37" s="35"/>
      <c r="B37" s="31"/>
      <c r="C37" s="32"/>
      <c r="D37" s="33"/>
      <c r="E37" s="34"/>
      <c r="F37" s="35"/>
      <c r="G37" s="31"/>
      <c r="H37" s="32"/>
      <c r="I37" s="33"/>
      <c r="J37" s="34"/>
      <c r="K37" s="35"/>
      <c r="L37" s="31"/>
      <c r="M37" s="32"/>
      <c r="N37" s="33"/>
      <c r="O37" s="34"/>
      <c r="P37" s="35"/>
      <c r="Q37" s="31"/>
      <c r="R37" s="32"/>
      <c r="S37" s="33"/>
      <c r="T37" s="34"/>
      <c r="U37" s="121"/>
      <c r="V37" s="697"/>
      <c r="W37" s="697"/>
      <c r="X37" s="697"/>
      <c r="Y37" s="697"/>
      <c r="Z37" s="697"/>
      <c r="AA37" s="697"/>
      <c r="AB37" s="697"/>
      <c r="AC37" s="697"/>
      <c r="AD37" s="697"/>
      <c r="AE37" s="697"/>
      <c r="AF37" s="697"/>
      <c r="AG37" s="697"/>
      <c r="AH37" s="697"/>
      <c r="AI37" s="697"/>
      <c r="AJ37" s="697"/>
      <c r="AK37" s="697"/>
      <c r="AL37" s="697"/>
      <c r="AM37" s="697"/>
      <c r="AN37" s="697"/>
      <c r="AO37" s="697"/>
      <c r="AP37" s="697"/>
      <c r="AQ37" s="697"/>
      <c r="AR37" s="697"/>
      <c r="AS37" s="698"/>
      <c r="AT37" s="698"/>
      <c r="AU37" s="698"/>
      <c r="AV37" s="698"/>
      <c r="AW37" s="698"/>
      <c r="AX37" s="698"/>
      <c r="AY37" s="698"/>
      <c r="AZ37" s="698"/>
      <c r="BA37" s="698"/>
      <c r="BB37" s="698"/>
      <c r="BC37" s="698"/>
      <c r="BD37" s="698"/>
      <c r="BE37" s="699"/>
      <c r="BF37" s="699"/>
      <c r="BG37" s="699"/>
      <c r="BH37" s="699"/>
      <c r="BI37" s="699"/>
      <c r="BJ37" s="1925"/>
      <c r="BK37" s="1925"/>
      <c r="BL37" s="1925"/>
      <c r="BM37" s="1925"/>
      <c r="BN37" s="701"/>
      <c r="BO37" s="701"/>
      <c r="BP37" s="701"/>
      <c r="BQ37" s="121"/>
      <c r="BR37" s="31"/>
    </row>
    <row r="38" spans="1:83" ht="26.25" customHeight="1" x14ac:dyDescent="0.25">
      <c r="A38" s="34"/>
      <c r="B38" s="35"/>
      <c r="C38" s="31"/>
      <c r="D38" s="32"/>
      <c r="E38" s="33"/>
      <c r="F38" s="34"/>
      <c r="G38" s="34"/>
      <c r="H38" s="35"/>
      <c r="I38" s="31"/>
      <c r="J38" s="32"/>
      <c r="K38" s="33"/>
      <c r="L38" s="34"/>
      <c r="M38" s="34"/>
      <c r="N38" s="35"/>
      <c r="O38" s="31"/>
      <c r="P38" s="32"/>
      <c r="Q38" s="33"/>
      <c r="R38" s="34"/>
      <c r="S38" s="34"/>
      <c r="T38" s="35"/>
      <c r="U38" s="31"/>
      <c r="V38" s="697"/>
      <c r="W38" s="697"/>
      <c r="X38" s="697"/>
      <c r="Y38" s="697"/>
      <c r="Z38" s="697"/>
      <c r="AA38" s="697"/>
      <c r="AB38" s="697"/>
      <c r="AC38" s="697"/>
      <c r="AD38" s="697"/>
      <c r="AE38" s="697"/>
      <c r="AF38" s="697"/>
      <c r="AG38" s="697"/>
      <c r="AH38" s="697"/>
      <c r="AI38" s="697"/>
      <c r="AJ38" s="697"/>
      <c r="AK38" s="697"/>
      <c r="AL38" s="697"/>
      <c r="AM38" s="697"/>
      <c r="AN38" s="697"/>
      <c r="AO38" s="697"/>
      <c r="AP38" s="697"/>
      <c r="AQ38" s="697"/>
      <c r="AR38" s="697"/>
      <c r="AS38" s="698"/>
      <c r="AT38" s="698"/>
      <c r="AU38" s="698"/>
      <c r="AV38" s="698"/>
      <c r="AW38" s="698"/>
      <c r="AX38" s="698"/>
      <c r="AY38" s="698"/>
      <c r="AZ38" s="698"/>
      <c r="BA38" s="698"/>
      <c r="BB38" s="698"/>
      <c r="BC38" s="698"/>
      <c r="BD38" s="698"/>
      <c r="BE38" s="699"/>
      <c r="BF38" s="699"/>
      <c r="BG38" s="699"/>
      <c r="BH38" s="699"/>
      <c r="BI38" s="699"/>
      <c r="BJ38" s="1925"/>
      <c r="BK38" s="1925"/>
      <c r="BL38" s="1925"/>
      <c r="BM38" s="1925"/>
      <c r="BN38" s="701"/>
      <c r="BO38" s="701"/>
      <c r="BP38" s="701"/>
      <c r="BQ38" s="32"/>
      <c r="BR38" s="33"/>
      <c r="BW38" s="27"/>
      <c r="BX38" s="27"/>
      <c r="BY38" s="27"/>
      <c r="BZ38" s="27"/>
      <c r="CA38" s="27"/>
      <c r="CB38" s="27"/>
      <c r="CC38" s="27"/>
      <c r="CD38" s="27"/>
      <c r="CE38" s="27"/>
    </row>
    <row r="39" spans="1:83" ht="26.1" customHeight="1" x14ac:dyDescent="0.25">
      <c r="A39" s="34"/>
      <c r="B39" s="35"/>
      <c r="C39" s="31"/>
      <c r="D39" s="32"/>
      <c r="E39" s="33"/>
      <c r="F39" s="34"/>
      <c r="G39" s="34"/>
      <c r="H39" s="35"/>
      <c r="I39" s="31"/>
      <c r="J39" s="32"/>
      <c r="K39" s="33"/>
      <c r="L39" s="34"/>
      <c r="M39" s="34"/>
      <c r="N39" s="35"/>
      <c r="O39" s="31"/>
      <c r="P39" s="32"/>
      <c r="Q39" s="33"/>
      <c r="R39" s="34"/>
      <c r="S39" s="34"/>
      <c r="T39" s="35"/>
      <c r="U39" s="31"/>
      <c r="V39" s="697"/>
      <c r="W39" s="697"/>
      <c r="X39" s="697"/>
      <c r="Y39" s="697"/>
      <c r="Z39" s="697"/>
      <c r="AA39" s="697"/>
      <c r="AB39" s="697"/>
      <c r="AC39" s="697"/>
      <c r="AD39" s="697"/>
      <c r="AE39" s="697"/>
      <c r="AF39" s="697"/>
      <c r="AG39" s="697"/>
      <c r="AH39" s="697"/>
      <c r="AI39" s="697"/>
      <c r="AJ39" s="697"/>
      <c r="AK39" s="697"/>
      <c r="AL39" s="697"/>
      <c r="AM39" s="697"/>
      <c r="AN39" s="697"/>
      <c r="AO39" s="697"/>
      <c r="AP39" s="697"/>
      <c r="AQ39" s="697"/>
      <c r="AR39" s="697"/>
      <c r="AS39" s="698"/>
      <c r="AT39" s="698"/>
      <c r="AU39" s="698"/>
      <c r="AV39" s="698"/>
      <c r="AW39" s="698"/>
      <c r="AX39" s="698"/>
      <c r="AY39" s="698"/>
      <c r="AZ39" s="698"/>
      <c r="BA39" s="698"/>
      <c r="BB39" s="698"/>
      <c r="BC39" s="698"/>
      <c r="BD39" s="698"/>
      <c r="BE39" s="699"/>
      <c r="BF39" s="699"/>
      <c r="BG39" s="699"/>
      <c r="BH39" s="699"/>
      <c r="BI39" s="699"/>
      <c r="BJ39" s="1925"/>
      <c r="BK39" s="1925"/>
      <c r="BL39" s="1925"/>
      <c r="BM39" s="1925"/>
      <c r="BN39" s="701"/>
      <c r="BO39" s="701"/>
      <c r="BP39" s="701"/>
      <c r="BQ39" s="32"/>
      <c r="BR39" s="33"/>
    </row>
    <row r="40" spans="1:83" ht="6.75" customHeight="1" x14ac:dyDescent="0.25">
      <c r="A40" s="28"/>
      <c r="B40" s="28"/>
      <c r="C40" s="28"/>
      <c r="D40" s="29"/>
      <c r="E40" s="29"/>
      <c r="F40" s="28"/>
      <c r="G40" s="28"/>
      <c r="H40" s="28"/>
      <c r="I40" s="29"/>
      <c r="J40" s="29"/>
      <c r="K40" s="28"/>
      <c r="L40" s="28"/>
      <c r="M40" s="28"/>
      <c r="N40" s="29"/>
      <c r="O40" s="29"/>
      <c r="P40" s="28"/>
      <c r="Q40" s="28"/>
      <c r="R40" s="28"/>
      <c r="S40" s="29"/>
      <c r="T40" s="29"/>
      <c r="U40" s="28"/>
      <c r="V40" s="722" t="s">
        <v>13</v>
      </c>
      <c r="W40" s="722"/>
      <c r="X40" s="722"/>
      <c r="Y40" s="722"/>
      <c r="Z40" s="722"/>
      <c r="AA40" s="722"/>
      <c r="AB40" s="722"/>
      <c r="AC40" s="722"/>
      <c r="AD40" s="722"/>
      <c r="AE40" s="722"/>
      <c r="AF40" s="722"/>
      <c r="AG40" s="722"/>
      <c r="AH40" s="723">
        <f>AS40-AD76</f>
        <v>0</v>
      </c>
      <c r="AI40" s="723"/>
      <c r="AJ40" s="723"/>
      <c r="AK40" s="723"/>
      <c r="AL40" s="723"/>
      <c r="AM40" s="723"/>
      <c r="AN40" s="723"/>
      <c r="AO40" s="723"/>
      <c r="AP40" s="723"/>
      <c r="AQ40" s="723"/>
      <c r="AR40" s="723"/>
      <c r="AS40" s="707">
        <f>B8+G8+L8+Q8+V8+AA8+AF8+AK8+AP8+AU8+AZ8+BE8+BJ8+BO8+B14+G14+L14+Q14+V14+AA14+AF14+AK14+AP14+AU14+AZ14+BE14+BJ14+BO14+B20+G20+L20+Q20+V20+AA20+AF20+AK20+AP20+AU20+AZ20</f>
        <v>244.25239999999999</v>
      </c>
      <c r="AT40" s="707"/>
      <c r="AU40" s="707"/>
      <c r="AV40" s="707"/>
      <c r="AW40" s="707"/>
      <c r="AX40" s="707"/>
      <c r="AY40" s="707"/>
      <c r="AZ40" s="707"/>
      <c r="BA40" s="707"/>
      <c r="BB40" s="707"/>
      <c r="BC40" s="707"/>
      <c r="BD40" s="707"/>
      <c r="BE40" s="699"/>
      <c r="BF40" s="699"/>
      <c r="BG40" s="699"/>
      <c r="BH40" s="699"/>
      <c r="BI40" s="699"/>
      <c r="BJ40" s="1925"/>
      <c r="BK40" s="1925"/>
      <c r="BL40" s="1925"/>
      <c r="BM40" s="1925"/>
      <c r="BN40" s="701"/>
      <c r="BO40" s="701"/>
      <c r="BP40" s="701"/>
      <c r="BQ40" s="29"/>
      <c r="BR40" s="29"/>
    </row>
    <row r="41" spans="1:83" ht="21.95" customHeight="1" x14ac:dyDescent="0.25">
      <c r="A41" s="28"/>
      <c r="B41" s="28"/>
      <c r="C41" s="28"/>
      <c r="D41" s="30"/>
      <c r="E41" s="29"/>
      <c r="F41" s="28"/>
      <c r="G41" s="28"/>
      <c r="H41" s="28"/>
      <c r="I41" s="30"/>
      <c r="J41" s="29"/>
      <c r="K41" s="28"/>
      <c r="L41" s="28"/>
      <c r="M41" s="28"/>
      <c r="N41" s="30"/>
      <c r="O41" s="29"/>
      <c r="P41" s="28"/>
      <c r="Q41" s="28"/>
      <c r="R41" s="28"/>
      <c r="S41" s="30"/>
      <c r="T41" s="29"/>
      <c r="U41" s="28"/>
      <c r="V41" s="722"/>
      <c r="W41" s="722"/>
      <c r="X41" s="722"/>
      <c r="Y41" s="722"/>
      <c r="Z41" s="722"/>
      <c r="AA41" s="722"/>
      <c r="AB41" s="722"/>
      <c r="AC41" s="722"/>
      <c r="AD41" s="722"/>
      <c r="AE41" s="722"/>
      <c r="AF41" s="722"/>
      <c r="AG41" s="722"/>
      <c r="AH41" s="723"/>
      <c r="AI41" s="723"/>
      <c r="AJ41" s="723"/>
      <c r="AK41" s="723"/>
      <c r="AL41" s="723"/>
      <c r="AM41" s="723"/>
      <c r="AN41" s="723"/>
      <c r="AO41" s="723"/>
      <c r="AP41" s="723"/>
      <c r="AQ41" s="723"/>
      <c r="AR41" s="723"/>
      <c r="AS41" s="707"/>
      <c r="AT41" s="707"/>
      <c r="AU41" s="707"/>
      <c r="AV41" s="707"/>
      <c r="AW41" s="707"/>
      <c r="AX41" s="707"/>
      <c r="AY41" s="707"/>
      <c r="AZ41" s="707"/>
      <c r="BA41" s="707"/>
      <c r="BB41" s="707"/>
      <c r="BC41" s="707"/>
      <c r="BD41" s="707"/>
      <c r="BE41" s="699"/>
      <c r="BF41" s="699"/>
      <c r="BG41" s="699"/>
      <c r="BH41" s="699"/>
      <c r="BI41" s="699"/>
      <c r="BJ41" s="1925"/>
      <c r="BK41" s="1925"/>
      <c r="BL41" s="1925"/>
      <c r="BM41" s="1925"/>
      <c r="BN41" s="701"/>
      <c r="BO41" s="701"/>
      <c r="BP41" s="701"/>
      <c r="BQ41" s="30"/>
      <c r="BR41" s="29"/>
    </row>
    <row r="42" spans="1:83" ht="6" customHeight="1" x14ac:dyDescent="0.25">
      <c r="A42" s="28"/>
      <c r="B42" s="28"/>
      <c r="C42" s="28"/>
      <c r="D42" s="29"/>
      <c r="E42" s="29"/>
      <c r="F42" s="28"/>
      <c r="G42" s="28"/>
      <c r="H42" s="28"/>
      <c r="I42" s="29"/>
      <c r="J42" s="29"/>
      <c r="K42" s="28"/>
      <c r="L42" s="28"/>
      <c r="M42" s="28"/>
      <c r="N42" s="29"/>
      <c r="O42" s="29"/>
      <c r="P42" s="28"/>
      <c r="Q42" s="28"/>
      <c r="R42" s="28"/>
      <c r="S42" s="29"/>
      <c r="T42" s="29"/>
      <c r="U42" s="28"/>
      <c r="V42" s="722"/>
      <c r="W42" s="722"/>
      <c r="X42" s="722"/>
      <c r="Y42" s="722"/>
      <c r="Z42" s="722"/>
      <c r="AA42" s="722"/>
      <c r="AB42" s="722"/>
      <c r="AC42" s="722"/>
      <c r="AD42" s="722"/>
      <c r="AE42" s="722"/>
      <c r="AF42" s="722"/>
      <c r="AG42" s="722"/>
      <c r="AH42" s="723"/>
      <c r="AI42" s="723"/>
      <c r="AJ42" s="723"/>
      <c r="AK42" s="723"/>
      <c r="AL42" s="723"/>
      <c r="AM42" s="723"/>
      <c r="AN42" s="723"/>
      <c r="AO42" s="723"/>
      <c r="AP42" s="723"/>
      <c r="AQ42" s="723"/>
      <c r="AR42" s="723"/>
      <c r="AS42" s="707"/>
      <c r="AT42" s="707"/>
      <c r="AU42" s="707"/>
      <c r="AV42" s="707"/>
      <c r="AW42" s="707"/>
      <c r="AX42" s="707"/>
      <c r="AY42" s="707"/>
      <c r="AZ42" s="707"/>
      <c r="BA42" s="707"/>
      <c r="BB42" s="707"/>
      <c r="BC42" s="707"/>
      <c r="BD42" s="707"/>
      <c r="BE42" s="699"/>
      <c r="BF42" s="699"/>
      <c r="BG42" s="699"/>
      <c r="BH42" s="699"/>
      <c r="BI42" s="699"/>
      <c r="BJ42" s="708">
        <f>BJ36*1.5</f>
        <v>46.5</v>
      </c>
      <c r="BK42" s="708"/>
      <c r="BL42" s="708"/>
      <c r="BM42" s="708"/>
      <c r="BN42" s="708"/>
      <c r="BO42" s="708"/>
      <c r="BP42" s="708"/>
      <c r="BQ42" s="29"/>
      <c r="BR42" s="29"/>
    </row>
    <row r="43" spans="1:83" s="22" customFormat="1" ht="80.099999999999994" customHeight="1" x14ac:dyDescent="1.35">
      <c r="A43" s="31"/>
      <c r="B43" s="121"/>
      <c r="C43" s="121"/>
      <c r="D43" s="121"/>
      <c r="E43" s="121"/>
      <c r="F43" s="702"/>
      <c r="G43" s="702"/>
      <c r="H43" s="121"/>
      <c r="I43" s="121"/>
      <c r="J43" s="121"/>
      <c r="K43" s="31"/>
      <c r="L43" s="121"/>
      <c r="M43" s="121"/>
      <c r="N43" s="121"/>
      <c r="O43" s="121"/>
      <c r="P43" s="31"/>
      <c r="Q43" s="121"/>
      <c r="R43" s="121"/>
      <c r="S43" s="121"/>
      <c r="T43" s="121"/>
      <c r="U43" s="31"/>
      <c r="V43" s="722"/>
      <c r="W43" s="722"/>
      <c r="X43" s="722"/>
      <c r="Y43" s="722"/>
      <c r="Z43" s="722"/>
      <c r="AA43" s="722"/>
      <c r="AB43" s="722"/>
      <c r="AC43" s="722"/>
      <c r="AD43" s="722"/>
      <c r="AE43" s="722"/>
      <c r="AF43" s="722"/>
      <c r="AG43" s="722"/>
      <c r="AH43" s="723"/>
      <c r="AI43" s="723"/>
      <c r="AJ43" s="723"/>
      <c r="AK43" s="723"/>
      <c r="AL43" s="723"/>
      <c r="AM43" s="723"/>
      <c r="AN43" s="723"/>
      <c r="AO43" s="723"/>
      <c r="AP43" s="723"/>
      <c r="AQ43" s="723"/>
      <c r="AR43" s="723"/>
      <c r="AS43" s="707"/>
      <c r="AT43" s="707"/>
      <c r="AU43" s="707"/>
      <c r="AV43" s="707"/>
      <c r="AW43" s="707"/>
      <c r="AX43" s="707"/>
      <c r="AY43" s="707"/>
      <c r="AZ43" s="707"/>
      <c r="BA43" s="707"/>
      <c r="BB43" s="707"/>
      <c r="BC43" s="707"/>
      <c r="BD43" s="707"/>
      <c r="BE43" s="699"/>
      <c r="BF43" s="699"/>
      <c r="BG43" s="699"/>
      <c r="BH43" s="699"/>
      <c r="BI43" s="699"/>
      <c r="BJ43" s="708"/>
      <c r="BK43" s="708"/>
      <c r="BL43" s="708"/>
      <c r="BM43" s="708"/>
      <c r="BN43" s="708"/>
      <c r="BO43" s="708"/>
      <c r="BP43" s="708"/>
      <c r="BQ43" s="121"/>
      <c r="BR43" s="121"/>
    </row>
    <row r="44" spans="1:83" ht="26.25" customHeight="1" x14ac:dyDescent="0.25">
      <c r="A44" s="34"/>
      <c r="B44" s="35"/>
      <c r="C44" s="31"/>
      <c r="D44" s="32"/>
      <c r="E44" s="33"/>
      <c r="F44" s="703"/>
      <c r="G44" s="703"/>
      <c r="H44" s="31"/>
      <c r="I44" s="32"/>
      <c r="J44" s="33"/>
      <c r="K44" s="34"/>
      <c r="L44" s="35"/>
      <c r="M44" s="31"/>
      <c r="N44" s="32"/>
      <c r="O44" s="33"/>
      <c r="P44" s="34"/>
      <c r="Q44" s="35"/>
      <c r="R44" s="31"/>
      <c r="S44" s="32"/>
      <c r="T44" s="33"/>
      <c r="U44" s="34"/>
      <c r="V44" s="722"/>
      <c r="W44" s="722"/>
      <c r="X44" s="722"/>
      <c r="Y44" s="722"/>
      <c r="Z44" s="722"/>
      <c r="AA44" s="722"/>
      <c r="AB44" s="722"/>
      <c r="AC44" s="722"/>
      <c r="AD44" s="722"/>
      <c r="AE44" s="722"/>
      <c r="AF44" s="722"/>
      <c r="AG44" s="722"/>
      <c r="AH44" s="723"/>
      <c r="AI44" s="723"/>
      <c r="AJ44" s="723"/>
      <c r="AK44" s="723"/>
      <c r="AL44" s="723"/>
      <c r="AM44" s="723"/>
      <c r="AN44" s="723"/>
      <c r="AO44" s="723"/>
      <c r="AP44" s="723"/>
      <c r="AQ44" s="723"/>
      <c r="AR44" s="723"/>
      <c r="AS44" s="707"/>
      <c r="AT44" s="707"/>
      <c r="AU44" s="707"/>
      <c r="AV44" s="707"/>
      <c r="AW44" s="707"/>
      <c r="AX44" s="707"/>
      <c r="AY44" s="707"/>
      <c r="AZ44" s="707"/>
      <c r="BA44" s="707"/>
      <c r="BB44" s="707"/>
      <c r="BC44" s="707"/>
      <c r="BD44" s="707"/>
      <c r="BE44" s="699"/>
      <c r="BF44" s="699"/>
      <c r="BG44" s="699"/>
      <c r="BH44" s="699"/>
      <c r="BI44" s="699"/>
      <c r="BJ44" s="708"/>
      <c r="BK44" s="708"/>
      <c r="BL44" s="708"/>
      <c r="BM44" s="708"/>
      <c r="BN44" s="708"/>
      <c r="BO44" s="708"/>
      <c r="BP44" s="708"/>
      <c r="BQ44" s="31"/>
      <c r="BR44" s="32"/>
      <c r="BW44" s="27"/>
      <c r="BX44" s="27"/>
      <c r="BY44" s="27"/>
      <c r="BZ44" s="27"/>
      <c r="CA44" s="27"/>
      <c r="CB44" s="27"/>
      <c r="CC44" s="27"/>
      <c r="CD44" s="27"/>
      <c r="CE44" s="27"/>
    </row>
    <row r="45" spans="1:83" ht="26.1" customHeight="1" x14ac:dyDescent="0.25">
      <c r="A45" s="34"/>
      <c r="B45" s="35"/>
      <c r="C45" s="31"/>
      <c r="D45" s="32"/>
      <c r="E45" s="33"/>
      <c r="F45" s="703"/>
      <c r="G45" s="703"/>
      <c r="H45" s="31"/>
      <c r="I45" s="32"/>
      <c r="J45" s="33"/>
      <c r="K45" s="34"/>
      <c r="L45" s="35"/>
      <c r="M45" s="31"/>
      <c r="N45" s="32"/>
      <c r="O45" s="33"/>
      <c r="P45" s="34"/>
      <c r="Q45" s="35"/>
      <c r="R45" s="31"/>
      <c r="S45" s="32"/>
      <c r="T45" s="33"/>
      <c r="U45" s="34"/>
      <c r="V45" s="722"/>
      <c r="W45" s="722"/>
      <c r="X45" s="722"/>
      <c r="Y45" s="722"/>
      <c r="Z45" s="722"/>
      <c r="AA45" s="722"/>
      <c r="AB45" s="722"/>
      <c r="AC45" s="722"/>
      <c r="AD45" s="722"/>
      <c r="AE45" s="722"/>
      <c r="AF45" s="722"/>
      <c r="AG45" s="722"/>
      <c r="AH45" s="723"/>
      <c r="AI45" s="723"/>
      <c r="AJ45" s="723"/>
      <c r="AK45" s="723"/>
      <c r="AL45" s="723"/>
      <c r="AM45" s="723"/>
      <c r="AN45" s="723"/>
      <c r="AO45" s="723"/>
      <c r="AP45" s="723"/>
      <c r="AQ45" s="723"/>
      <c r="AR45" s="723"/>
      <c r="AS45" s="707"/>
      <c r="AT45" s="707"/>
      <c r="AU45" s="707"/>
      <c r="AV45" s="707"/>
      <c r="AW45" s="707"/>
      <c r="AX45" s="707"/>
      <c r="AY45" s="707"/>
      <c r="AZ45" s="707"/>
      <c r="BA45" s="707"/>
      <c r="BB45" s="707"/>
      <c r="BC45" s="707"/>
      <c r="BD45" s="707"/>
      <c r="BE45" s="699"/>
      <c r="BF45" s="699"/>
      <c r="BG45" s="699"/>
      <c r="BH45" s="699"/>
      <c r="BI45" s="699"/>
      <c r="BJ45" s="708"/>
      <c r="BK45" s="708"/>
      <c r="BL45" s="708"/>
      <c r="BM45" s="708"/>
      <c r="BN45" s="708"/>
      <c r="BO45" s="708"/>
      <c r="BP45" s="708"/>
      <c r="BQ45" s="31"/>
      <c r="BR45" s="32"/>
    </row>
    <row r="46" spans="1:83" ht="6.75" customHeight="1" x14ac:dyDescent="0.25">
      <c r="A46" s="28"/>
      <c r="B46" s="28"/>
      <c r="C46" s="28"/>
      <c r="D46" s="29"/>
      <c r="E46" s="29"/>
      <c r="F46" s="703"/>
      <c r="G46" s="703"/>
      <c r="H46" s="28"/>
      <c r="I46" s="29"/>
      <c r="J46" s="29"/>
      <c r="K46" s="28"/>
      <c r="L46" s="28"/>
      <c r="M46" s="28"/>
      <c r="N46" s="29"/>
      <c r="O46" s="29"/>
      <c r="P46" s="28"/>
      <c r="Q46" s="28"/>
      <c r="R46" s="28"/>
      <c r="S46" s="29"/>
      <c r="T46" s="29"/>
      <c r="U46" s="28"/>
      <c r="V46" s="722"/>
      <c r="W46" s="722"/>
      <c r="X46" s="722"/>
      <c r="Y46" s="722"/>
      <c r="Z46" s="722"/>
      <c r="AA46" s="722"/>
      <c r="AB46" s="722"/>
      <c r="AC46" s="722"/>
      <c r="AD46" s="722"/>
      <c r="AE46" s="722"/>
      <c r="AF46" s="722"/>
      <c r="AG46" s="722"/>
      <c r="AH46" s="723"/>
      <c r="AI46" s="723"/>
      <c r="AJ46" s="723"/>
      <c r="AK46" s="723"/>
      <c r="AL46" s="723"/>
      <c r="AM46" s="723"/>
      <c r="AN46" s="723"/>
      <c r="AO46" s="723"/>
      <c r="AP46" s="723"/>
      <c r="AQ46" s="723"/>
      <c r="AR46" s="723"/>
      <c r="AS46" s="707"/>
      <c r="AT46" s="707"/>
      <c r="AU46" s="707"/>
      <c r="AV46" s="707"/>
      <c r="AW46" s="707"/>
      <c r="AX46" s="707"/>
      <c r="AY46" s="707"/>
      <c r="AZ46" s="707"/>
      <c r="BA46" s="707"/>
      <c r="BB46" s="707"/>
      <c r="BC46" s="707"/>
      <c r="BD46" s="707"/>
      <c r="BE46" s="699"/>
      <c r="BF46" s="699"/>
      <c r="BG46" s="699"/>
      <c r="BH46" s="699"/>
      <c r="BI46" s="699"/>
      <c r="BJ46" s="699" t="s">
        <v>121</v>
      </c>
      <c r="BK46" s="699"/>
      <c r="BL46" s="699"/>
      <c r="BM46" s="699"/>
      <c r="BN46" s="699"/>
      <c r="BO46" s="699"/>
      <c r="BP46" s="699"/>
      <c r="BQ46" s="31"/>
      <c r="BR46" s="32"/>
    </row>
    <row r="47" spans="1:83" ht="21.95" customHeight="1" x14ac:dyDescent="0.25">
      <c r="A47" s="28"/>
      <c r="B47" s="28"/>
      <c r="C47" s="28"/>
      <c r="D47" s="30"/>
      <c r="E47" s="29"/>
      <c r="F47" s="703"/>
      <c r="G47" s="703"/>
      <c r="H47" s="28"/>
      <c r="I47" s="30"/>
      <c r="J47" s="29"/>
      <c r="K47" s="28"/>
      <c r="L47" s="28"/>
      <c r="M47" s="28"/>
      <c r="N47" s="30"/>
      <c r="O47" s="29"/>
      <c r="P47" s="28"/>
      <c r="Q47" s="28"/>
      <c r="R47" s="28"/>
      <c r="S47" s="30"/>
      <c r="T47" s="29"/>
      <c r="U47" s="28"/>
      <c r="V47" s="722"/>
      <c r="W47" s="722"/>
      <c r="X47" s="722"/>
      <c r="Y47" s="722"/>
      <c r="Z47" s="722"/>
      <c r="AA47" s="722"/>
      <c r="AB47" s="722"/>
      <c r="AC47" s="722"/>
      <c r="AD47" s="722"/>
      <c r="AE47" s="722"/>
      <c r="AF47" s="722"/>
      <c r="AG47" s="722"/>
      <c r="AH47" s="723"/>
      <c r="AI47" s="723"/>
      <c r="AJ47" s="723"/>
      <c r="AK47" s="723"/>
      <c r="AL47" s="723"/>
      <c r="AM47" s="723"/>
      <c r="AN47" s="723"/>
      <c r="AO47" s="723"/>
      <c r="AP47" s="723"/>
      <c r="AQ47" s="723"/>
      <c r="AR47" s="723"/>
      <c r="AS47" s="707"/>
      <c r="AT47" s="707"/>
      <c r="AU47" s="707"/>
      <c r="AV47" s="707"/>
      <c r="AW47" s="707"/>
      <c r="AX47" s="707"/>
      <c r="AY47" s="707"/>
      <c r="AZ47" s="707"/>
      <c r="BA47" s="707"/>
      <c r="BB47" s="707"/>
      <c r="BC47" s="707"/>
      <c r="BD47" s="707"/>
      <c r="BE47" s="699"/>
      <c r="BF47" s="699"/>
      <c r="BG47" s="699"/>
      <c r="BH47" s="699"/>
      <c r="BI47" s="699"/>
      <c r="BJ47" s="699"/>
      <c r="BK47" s="699"/>
      <c r="BL47" s="699"/>
      <c r="BM47" s="699"/>
      <c r="BN47" s="699"/>
      <c r="BO47" s="699"/>
      <c r="BP47" s="699"/>
      <c r="BQ47" s="30"/>
      <c r="BR47" s="29"/>
    </row>
    <row r="48" spans="1:83" ht="6" customHeight="1" x14ac:dyDescent="0.25">
      <c r="A48" s="28"/>
      <c r="B48" s="28"/>
      <c r="C48" s="28"/>
      <c r="D48" s="29"/>
      <c r="E48" s="29"/>
      <c r="F48" s="28"/>
      <c r="G48" s="28"/>
      <c r="H48" s="28"/>
      <c r="I48" s="29"/>
      <c r="J48" s="29"/>
      <c r="K48" s="28"/>
      <c r="L48" s="28"/>
      <c r="M48" s="28"/>
      <c r="N48" s="29"/>
      <c r="O48" s="29"/>
      <c r="P48" s="28"/>
      <c r="Q48" s="28"/>
      <c r="R48" s="28"/>
      <c r="S48" s="29"/>
      <c r="T48" s="29"/>
      <c r="U48" s="28"/>
      <c r="V48" s="28"/>
      <c r="W48" s="28"/>
      <c r="X48" s="29"/>
      <c r="Y48" s="29"/>
      <c r="Z48" s="28"/>
      <c r="AA48" s="28"/>
      <c r="AB48" s="28"/>
      <c r="AC48" s="29"/>
      <c r="AD48" s="29"/>
      <c r="AE48" s="28"/>
      <c r="AF48" s="28"/>
      <c r="AG48" s="28"/>
      <c r="AH48" s="29"/>
      <c r="AI48" s="29"/>
      <c r="AJ48" s="28"/>
      <c r="AK48" s="28"/>
      <c r="AL48" s="28"/>
      <c r="AM48" s="29"/>
      <c r="AN48" s="29"/>
      <c r="AO48" s="28"/>
      <c r="AP48" s="28"/>
      <c r="AQ48" s="28"/>
      <c r="AR48" s="29"/>
      <c r="AS48" s="29"/>
      <c r="AT48" s="28"/>
      <c r="AU48" s="28"/>
      <c r="AV48" s="28"/>
      <c r="AW48" s="29"/>
      <c r="AX48" s="29"/>
      <c r="AY48" s="28"/>
      <c r="AZ48" s="28"/>
      <c r="BA48" s="28"/>
      <c r="BB48" s="29"/>
      <c r="BC48" s="29"/>
      <c r="BD48" s="28"/>
      <c r="BE48" s="28"/>
      <c r="BF48" s="28"/>
      <c r="BG48" s="29"/>
      <c r="BH48" s="29"/>
      <c r="BI48" s="28"/>
      <c r="BJ48" s="699"/>
      <c r="BK48" s="699"/>
      <c r="BL48" s="699"/>
      <c r="BM48" s="699"/>
      <c r="BN48" s="699"/>
      <c r="BO48" s="699"/>
      <c r="BP48" s="699"/>
      <c r="BQ48" s="29"/>
      <c r="BR48" s="29"/>
    </row>
    <row r="49" spans="1:83" s="22" customFormat="1" ht="80.099999999999994" customHeight="1" x14ac:dyDescent="1.35">
      <c r="A49" s="31"/>
      <c r="B49" s="121"/>
      <c r="C49" s="121"/>
      <c r="D49" s="121"/>
      <c r="E49" s="121"/>
      <c r="F49" s="31"/>
      <c r="G49" s="121"/>
      <c r="H49" s="121"/>
      <c r="I49" s="121"/>
      <c r="J49" s="121"/>
      <c r="K49" s="31"/>
      <c r="L49" s="121"/>
      <c r="M49" s="121"/>
      <c r="N49" s="121"/>
      <c r="O49" s="121"/>
      <c r="P49" s="31"/>
      <c r="Q49" s="121"/>
      <c r="R49" s="121"/>
      <c r="S49" s="121"/>
      <c r="T49" s="121"/>
      <c r="U49" s="31"/>
      <c r="V49" s="121"/>
      <c r="W49" s="121"/>
      <c r="X49" s="121"/>
      <c r="Y49" s="121"/>
      <c r="Z49" s="31"/>
      <c r="AA49" s="121"/>
      <c r="AB49" s="121"/>
      <c r="AC49" s="121"/>
      <c r="AD49" s="121"/>
      <c r="AE49" s="31"/>
      <c r="AF49" s="121"/>
      <c r="AG49" s="121"/>
      <c r="AH49" s="121"/>
      <c r="AI49" s="121"/>
      <c r="AJ49" s="31"/>
      <c r="AK49" s="121"/>
      <c r="AL49" s="121"/>
      <c r="AM49" s="121"/>
      <c r="AN49" s="121"/>
      <c r="AO49" s="31"/>
      <c r="AP49" s="121"/>
      <c r="AQ49" s="121"/>
      <c r="AR49" s="121"/>
      <c r="AS49" s="121"/>
      <c r="AT49" s="31"/>
      <c r="AU49" s="121"/>
      <c r="AV49" s="121"/>
      <c r="AW49" s="121"/>
      <c r="AX49" s="121"/>
      <c r="AY49" s="31"/>
      <c r="AZ49" s="121"/>
      <c r="BA49" s="121"/>
      <c r="BB49" s="121"/>
      <c r="BC49" s="121"/>
      <c r="BD49" s="31"/>
      <c r="BE49" s="121"/>
      <c r="BF49" s="121"/>
      <c r="BG49" s="121"/>
      <c r="BH49" s="121"/>
      <c r="BI49" s="31"/>
      <c r="BJ49" s="121"/>
      <c r="BK49" s="121"/>
      <c r="BL49" s="121"/>
      <c r="BM49" s="121"/>
      <c r="BN49" s="31"/>
      <c r="BO49" s="121"/>
      <c r="BP49" s="121"/>
      <c r="BQ49" s="121"/>
      <c r="BR49" s="121"/>
    </row>
    <row r="50" spans="1:83" ht="25.5" customHeight="1" x14ac:dyDescent="0.25">
      <c r="A50" s="31"/>
      <c r="B50" s="32"/>
      <c r="C50" s="33"/>
      <c r="D50" s="34"/>
      <c r="E50" s="35"/>
      <c r="F50" s="31"/>
      <c r="G50" s="32"/>
      <c r="H50" s="33"/>
      <c r="I50" s="34"/>
      <c r="J50" s="35"/>
      <c r="K50" s="31"/>
      <c r="L50" s="32"/>
      <c r="M50" s="33"/>
      <c r="N50" s="34"/>
      <c r="O50" s="35"/>
      <c r="P50" s="31"/>
      <c r="Q50" s="32"/>
      <c r="R50" s="33"/>
      <c r="S50" s="34"/>
      <c r="T50" s="35"/>
      <c r="U50" s="31"/>
      <c r="V50" s="32"/>
      <c r="W50" s="33"/>
      <c r="X50" s="34"/>
      <c r="Y50" s="35"/>
      <c r="Z50" s="31"/>
      <c r="AA50" s="32"/>
      <c r="AB50" s="33"/>
      <c r="AC50" s="34"/>
      <c r="AD50" s="35"/>
      <c r="AE50" s="31"/>
      <c r="AF50" s="32"/>
      <c r="AG50" s="33"/>
      <c r="AH50" s="34"/>
      <c r="AI50" s="35"/>
      <c r="AJ50" s="31"/>
      <c r="AK50" s="32"/>
      <c r="AL50" s="33"/>
      <c r="AM50" s="34"/>
      <c r="AN50" s="35"/>
      <c r="AO50" s="31"/>
      <c r="AP50" s="32"/>
      <c r="AQ50" s="33"/>
      <c r="AR50" s="34"/>
      <c r="AS50" s="35"/>
      <c r="AT50" s="31"/>
      <c r="AU50" s="32"/>
      <c r="AV50" s="33"/>
      <c r="AW50" s="34"/>
      <c r="AX50" s="35"/>
      <c r="AY50" s="31"/>
      <c r="AZ50" s="32"/>
      <c r="BA50" s="33"/>
      <c r="BB50" s="34"/>
      <c r="BC50" s="35"/>
      <c r="BD50" s="31"/>
      <c r="BE50" s="32"/>
      <c r="BF50" s="33"/>
      <c r="BG50" s="34"/>
      <c r="BH50" s="35"/>
      <c r="BI50" s="31"/>
      <c r="BJ50" s="32"/>
      <c r="BK50" s="33"/>
      <c r="BL50" s="34"/>
      <c r="BM50" s="35"/>
      <c r="BN50" s="31"/>
      <c r="BO50" s="32"/>
      <c r="BP50" s="33"/>
      <c r="BQ50" s="34"/>
      <c r="BR50" s="35"/>
      <c r="BW50" s="27"/>
      <c r="BX50" s="27"/>
      <c r="BY50" s="27"/>
      <c r="BZ50" s="27"/>
      <c r="CA50" s="27"/>
      <c r="CB50" s="27"/>
      <c r="CC50" s="27"/>
      <c r="CD50" s="27"/>
      <c r="CE50" s="27"/>
    </row>
    <row r="51" spans="1:83" ht="26.1" hidden="1" customHeight="1" thickTop="1" x14ac:dyDescent="0.25">
      <c r="A51" s="672"/>
      <c r="B51" s="672"/>
      <c r="C51" s="672"/>
      <c r="D51" s="673"/>
      <c r="E51" s="673"/>
      <c r="F51" s="672"/>
      <c r="G51" s="672"/>
      <c r="H51" s="672"/>
      <c r="I51" s="673"/>
      <c r="J51" s="673"/>
      <c r="K51" s="672"/>
      <c r="L51" s="672"/>
      <c r="M51" s="672"/>
      <c r="N51" s="673"/>
      <c r="O51" s="673"/>
      <c r="P51" s="672"/>
      <c r="Q51" s="672"/>
      <c r="R51" s="672"/>
      <c r="S51" s="673"/>
      <c r="T51" s="673"/>
      <c r="U51" s="674"/>
      <c r="V51" s="674"/>
      <c r="W51" s="674"/>
      <c r="X51" s="675"/>
      <c r="Y51" s="675"/>
      <c r="Z51" s="44"/>
      <c r="AA51" s="44"/>
      <c r="AB51" s="44"/>
      <c r="AC51" s="69"/>
      <c r="AD51" s="69"/>
      <c r="AE51" s="44"/>
      <c r="AF51" s="44"/>
      <c r="AG51" s="44"/>
      <c r="AH51" s="69"/>
      <c r="AI51" s="69"/>
      <c r="AJ51" s="44"/>
      <c r="AK51" s="44"/>
      <c r="AL51" s="44"/>
      <c r="AM51" s="69"/>
      <c r="AN51" s="69"/>
      <c r="AO51" s="44"/>
      <c r="AP51" s="44"/>
      <c r="AQ51" s="44"/>
      <c r="AR51" s="69"/>
      <c r="AS51" s="69"/>
      <c r="AT51" s="44"/>
      <c r="AU51" s="44"/>
      <c r="AV51" s="44"/>
      <c r="AW51" s="69"/>
      <c r="AX51" s="69"/>
      <c r="AY51" s="44"/>
      <c r="AZ51" s="44"/>
      <c r="BA51" s="44"/>
      <c r="BB51" s="69"/>
      <c r="BC51" s="69"/>
      <c r="BD51" s="44"/>
      <c r="BE51" s="44"/>
      <c r="BF51" s="44"/>
      <c r="BG51" s="69"/>
      <c r="BH51" s="69"/>
      <c r="BI51" s="674"/>
      <c r="BJ51" s="674"/>
      <c r="BK51" s="674"/>
      <c r="BL51" s="675"/>
      <c r="BM51" s="675"/>
      <c r="BN51" s="674"/>
      <c r="BO51" s="674"/>
      <c r="BP51" s="674"/>
      <c r="BQ51" s="675"/>
      <c r="BR51" s="675"/>
    </row>
    <row r="52" spans="1:83" ht="6.75" hidden="1" customHeight="1" x14ac:dyDescent="0.25">
      <c r="A52" s="676"/>
      <c r="B52" s="676"/>
      <c r="C52" s="676"/>
      <c r="D52" s="29"/>
      <c r="E52" s="29"/>
      <c r="F52" s="676"/>
      <c r="G52" s="676"/>
      <c r="H52" s="676"/>
      <c r="I52" s="29"/>
      <c r="J52" s="29"/>
      <c r="K52" s="676"/>
      <c r="L52" s="676"/>
      <c r="M52" s="676"/>
      <c r="N52" s="29"/>
      <c r="O52" s="29"/>
      <c r="P52" s="676"/>
      <c r="Q52" s="676"/>
      <c r="R52" s="676"/>
      <c r="S52" s="29"/>
      <c r="T52" s="29"/>
      <c r="U52" s="676"/>
      <c r="V52" s="676"/>
      <c r="W52" s="676"/>
      <c r="X52" s="29"/>
      <c r="Y52" s="29"/>
      <c r="Z52" s="47"/>
      <c r="AA52" s="47"/>
      <c r="AB52" s="47"/>
      <c r="AC52" s="29"/>
      <c r="AD52" s="29"/>
      <c r="AE52" s="47"/>
      <c r="AF52" s="47"/>
      <c r="AG52" s="47"/>
      <c r="AH52" s="29"/>
      <c r="AI52" s="29"/>
      <c r="AJ52" s="47"/>
      <c r="AK52" s="47"/>
      <c r="AL52" s="47"/>
      <c r="AM52" s="29"/>
      <c r="AN52" s="29"/>
      <c r="AO52" s="47"/>
      <c r="AP52" s="47"/>
      <c r="AQ52" s="47"/>
      <c r="AR52" s="29"/>
      <c r="AS52" s="29"/>
      <c r="AT52" s="47"/>
      <c r="AU52" s="47"/>
      <c r="AV52" s="47"/>
      <c r="AW52" s="29"/>
      <c r="AX52" s="29"/>
      <c r="AY52" s="47"/>
      <c r="AZ52" s="47"/>
      <c r="BA52" s="47"/>
      <c r="BB52" s="29"/>
      <c r="BC52" s="29"/>
      <c r="BD52" s="47"/>
      <c r="BE52" s="47"/>
      <c r="BF52" s="47"/>
      <c r="BG52" s="29"/>
      <c r="BH52" s="29"/>
      <c r="BI52" s="676"/>
      <c r="BJ52" s="676"/>
      <c r="BK52" s="676"/>
      <c r="BL52" s="29"/>
      <c r="BM52" s="29"/>
      <c r="BN52" s="676"/>
      <c r="BO52" s="676"/>
      <c r="BP52" s="676"/>
      <c r="BQ52" s="29"/>
      <c r="BR52" s="29"/>
    </row>
    <row r="53" spans="1:83" ht="21.95" hidden="1" customHeight="1" x14ac:dyDescent="0.25">
      <c r="A53" s="676"/>
      <c r="B53" s="676"/>
      <c r="C53" s="676"/>
      <c r="D53" s="30"/>
      <c r="E53" s="29"/>
      <c r="F53" s="676"/>
      <c r="G53" s="676"/>
      <c r="H53" s="676"/>
      <c r="I53" s="30"/>
      <c r="J53" s="29"/>
      <c r="K53" s="676"/>
      <c r="L53" s="676"/>
      <c r="M53" s="676"/>
      <c r="N53" s="30"/>
      <c r="O53" s="29"/>
      <c r="P53" s="676"/>
      <c r="Q53" s="676"/>
      <c r="R53" s="676"/>
      <c r="S53" s="30"/>
      <c r="T53" s="29"/>
      <c r="U53" s="676"/>
      <c r="V53" s="676"/>
      <c r="W53" s="676"/>
      <c r="X53" s="30"/>
      <c r="Y53" s="29"/>
      <c r="Z53" s="47"/>
      <c r="AA53" s="47"/>
      <c r="AB53" s="47"/>
      <c r="AC53" s="30"/>
      <c r="AD53" s="29"/>
      <c r="AE53" s="47"/>
      <c r="AF53" s="47"/>
      <c r="AG53" s="47"/>
      <c r="AH53" s="30"/>
      <c r="AI53" s="29"/>
      <c r="AJ53" s="47"/>
      <c r="AK53" s="47"/>
      <c r="AL53" s="47"/>
      <c r="AM53" s="30"/>
      <c r="AN53" s="29"/>
      <c r="AO53" s="47"/>
      <c r="AP53" s="47"/>
      <c r="AQ53" s="47"/>
      <c r="AR53" s="30"/>
      <c r="AS53" s="29"/>
      <c r="AT53" s="47"/>
      <c r="AU53" s="47"/>
      <c r="AV53" s="47"/>
      <c r="AW53" s="30"/>
      <c r="AX53" s="29"/>
      <c r="AY53" s="47"/>
      <c r="AZ53" s="47"/>
      <c r="BA53" s="47"/>
      <c r="BB53" s="30"/>
      <c r="BC53" s="29"/>
      <c r="BD53" s="47"/>
      <c r="BE53" s="47"/>
      <c r="BF53" s="47"/>
      <c r="BG53" s="30"/>
      <c r="BH53" s="29"/>
      <c r="BI53" s="676"/>
      <c r="BJ53" s="676"/>
      <c r="BK53" s="676"/>
      <c r="BL53" s="30"/>
      <c r="BM53" s="29"/>
      <c r="BN53" s="676"/>
      <c r="BO53" s="676"/>
      <c r="BP53" s="676"/>
      <c r="BQ53" s="30"/>
      <c r="BR53" s="29"/>
    </row>
    <row r="54" spans="1:83" ht="6" hidden="1" customHeight="1" x14ac:dyDescent="0.25">
      <c r="A54" s="676"/>
      <c r="B54" s="676"/>
      <c r="C54" s="676"/>
      <c r="D54" s="675"/>
      <c r="E54" s="675"/>
      <c r="F54" s="676"/>
      <c r="G54" s="676"/>
      <c r="H54" s="676"/>
      <c r="I54" s="675"/>
      <c r="J54" s="675"/>
      <c r="K54" s="676"/>
      <c r="L54" s="676"/>
      <c r="M54" s="676"/>
      <c r="N54" s="675"/>
      <c r="O54" s="675"/>
      <c r="P54" s="676"/>
      <c r="Q54" s="676"/>
      <c r="R54" s="676"/>
      <c r="S54" s="675"/>
      <c r="T54" s="675"/>
      <c r="U54" s="676"/>
      <c r="V54" s="676"/>
      <c r="W54" s="676"/>
      <c r="X54" s="675"/>
      <c r="Y54" s="675"/>
      <c r="Z54" s="47"/>
      <c r="AA54" s="47"/>
      <c r="AB54" s="47"/>
      <c r="AC54" s="69"/>
      <c r="AD54" s="69"/>
      <c r="AE54" s="47"/>
      <c r="AF54" s="47"/>
      <c r="AG54" s="47"/>
      <c r="AH54" s="69"/>
      <c r="AI54" s="69"/>
      <c r="AJ54" s="47"/>
      <c r="AK54" s="47"/>
      <c r="AL54" s="47"/>
      <c r="AM54" s="69"/>
      <c r="AN54" s="69"/>
      <c r="AO54" s="47"/>
      <c r="AP54" s="47"/>
      <c r="AQ54" s="47"/>
      <c r="AR54" s="69"/>
      <c r="AS54" s="69"/>
      <c r="AT54" s="47"/>
      <c r="AU54" s="47"/>
      <c r="AV54" s="47"/>
      <c r="AW54" s="69"/>
      <c r="AX54" s="69"/>
      <c r="AY54" s="47"/>
      <c r="AZ54" s="47"/>
      <c r="BA54" s="47"/>
      <c r="BB54" s="69"/>
      <c r="BC54" s="69"/>
      <c r="BD54" s="47"/>
      <c r="BE54" s="47"/>
      <c r="BF54" s="47"/>
      <c r="BG54" s="69"/>
      <c r="BH54" s="69"/>
      <c r="BI54" s="676"/>
      <c r="BJ54" s="676"/>
      <c r="BK54" s="676"/>
      <c r="BL54" s="675"/>
      <c r="BM54" s="675"/>
      <c r="BN54" s="676"/>
      <c r="BO54" s="676"/>
      <c r="BP54" s="676"/>
      <c r="BQ54" s="675"/>
      <c r="BR54" s="675"/>
    </row>
    <row r="55" spans="1:83" ht="59.25" hidden="1" customHeight="1" thickBot="1" x14ac:dyDescent="0.3">
      <c r="A55" s="677"/>
      <c r="B55" s="678"/>
      <c r="C55" s="678"/>
      <c r="D55" s="678"/>
      <c r="E55" s="678"/>
      <c r="F55" s="677"/>
      <c r="G55" s="678"/>
      <c r="H55" s="678"/>
      <c r="I55" s="678"/>
      <c r="J55" s="678"/>
      <c r="K55" s="677"/>
      <c r="L55" s="678"/>
      <c r="M55" s="678"/>
      <c r="N55" s="678"/>
      <c r="O55" s="678"/>
      <c r="P55" s="677"/>
      <c r="Q55" s="678"/>
      <c r="R55" s="678"/>
      <c r="S55" s="678"/>
      <c r="T55" s="678"/>
      <c r="U55" s="677"/>
      <c r="V55" s="678"/>
      <c r="W55" s="678"/>
      <c r="X55" s="678"/>
      <c r="Y55" s="678"/>
      <c r="Z55" s="70"/>
      <c r="AA55" s="71"/>
      <c r="AB55" s="71"/>
      <c r="AC55" s="71"/>
      <c r="AD55" s="71"/>
      <c r="AE55" s="70"/>
      <c r="AF55" s="71"/>
      <c r="AG55" s="71"/>
      <c r="AH55" s="71"/>
      <c r="AI55" s="71"/>
      <c r="AJ55" s="70"/>
      <c r="AK55" s="71"/>
      <c r="AL55" s="71"/>
      <c r="AM55" s="71"/>
      <c r="AN55" s="71"/>
      <c r="AO55" s="70"/>
      <c r="AP55" s="71"/>
      <c r="AQ55" s="71"/>
      <c r="AR55" s="71"/>
      <c r="AS55" s="71"/>
      <c r="AT55" s="70"/>
      <c r="AU55" s="71"/>
      <c r="AV55" s="71"/>
      <c r="AW55" s="71"/>
      <c r="AX55" s="71"/>
      <c r="AY55" s="70"/>
      <c r="AZ55" s="71"/>
      <c r="BA55" s="71"/>
      <c r="BB55" s="71"/>
      <c r="BC55" s="71"/>
      <c r="BD55" s="70"/>
      <c r="BE55" s="71"/>
      <c r="BF55" s="71"/>
      <c r="BG55" s="71"/>
      <c r="BH55" s="71"/>
      <c r="BI55" s="677"/>
      <c r="BJ55" s="678"/>
      <c r="BK55" s="678"/>
      <c r="BL55" s="678"/>
      <c r="BM55" s="678"/>
      <c r="BN55" s="677"/>
      <c r="BO55" s="678"/>
      <c r="BP55" s="678"/>
      <c r="BQ55" s="678"/>
      <c r="BR55" s="678"/>
    </row>
    <row r="56" spans="1:83" ht="27" hidden="1" customHeight="1" thickBot="1" x14ac:dyDescent="0.3">
      <c r="A56" s="677"/>
      <c r="B56" s="32"/>
      <c r="C56" s="33"/>
      <c r="D56" s="34"/>
      <c r="E56" s="35"/>
      <c r="F56" s="677"/>
      <c r="G56" s="32"/>
      <c r="H56" s="33"/>
      <c r="I56" s="34"/>
      <c r="J56" s="35"/>
      <c r="K56" s="677"/>
      <c r="L56" s="32"/>
      <c r="M56" s="33"/>
      <c r="N56" s="34"/>
      <c r="O56" s="35"/>
      <c r="P56" s="677"/>
      <c r="Q56" s="32"/>
      <c r="R56" s="33"/>
      <c r="S56" s="34"/>
      <c r="T56" s="35"/>
      <c r="U56" s="677"/>
      <c r="V56" s="32"/>
      <c r="W56" s="33"/>
      <c r="X56" s="34"/>
      <c r="Y56" s="35"/>
      <c r="Z56" s="70"/>
      <c r="AA56" s="32"/>
      <c r="AB56" s="33"/>
      <c r="AC56" s="34"/>
      <c r="AD56" s="35"/>
      <c r="AE56" s="70"/>
      <c r="AF56" s="32"/>
      <c r="AG56" s="33"/>
      <c r="AH56" s="34"/>
      <c r="AI56" s="35"/>
      <c r="AJ56" s="70"/>
      <c r="AK56" s="32"/>
      <c r="AL56" s="33"/>
      <c r="AM56" s="34"/>
      <c r="AN56" s="35"/>
      <c r="AO56" s="70"/>
      <c r="AP56" s="32"/>
      <c r="AQ56" s="33"/>
      <c r="AR56" s="34"/>
      <c r="AS56" s="35"/>
      <c r="AT56" s="70"/>
      <c r="AU56" s="32"/>
      <c r="AV56" s="33"/>
      <c r="AW56" s="34"/>
      <c r="AX56" s="35"/>
      <c r="AY56" s="70"/>
      <c r="AZ56" s="32"/>
      <c r="BA56" s="33"/>
      <c r="BB56" s="34"/>
      <c r="BC56" s="35"/>
      <c r="BD56" s="70"/>
      <c r="BE56" s="32"/>
      <c r="BF56" s="33"/>
      <c r="BG56" s="34"/>
      <c r="BH56" s="35"/>
      <c r="BI56" s="677"/>
      <c r="BJ56" s="32"/>
      <c r="BK56" s="33"/>
      <c r="BL56" s="34"/>
      <c r="BM56" s="35"/>
      <c r="BN56" s="677"/>
      <c r="BO56" s="32"/>
      <c r="BP56" s="33"/>
      <c r="BQ56" s="34"/>
      <c r="BR56" s="35"/>
      <c r="BW56" s="27"/>
      <c r="BX56" s="27"/>
      <c r="BY56" s="27"/>
      <c r="BZ56" s="27"/>
      <c r="CA56" s="27"/>
      <c r="CB56" s="27"/>
      <c r="CC56" s="27"/>
      <c r="CD56" s="27"/>
      <c r="CE56" s="27"/>
    </row>
    <row r="57" spans="1:83" ht="26.1" hidden="1" customHeight="1" x14ac:dyDescent="0.25">
      <c r="A57" s="674"/>
      <c r="B57" s="674"/>
      <c r="C57" s="674"/>
      <c r="D57" s="675"/>
      <c r="E57" s="675"/>
      <c r="F57" s="674"/>
      <c r="G57" s="674"/>
      <c r="H57" s="674"/>
      <c r="I57" s="675"/>
      <c r="J57" s="675"/>
      <c r="K57" s="674"/>
      <c r="L57" s="674"/>
      <c r="M57" s="674"/>
      <c r="N57" s="675"/>
      <c r="O57" s="675"/>
      <c r="P57" s="674"/>
      <c r="Q57" s="674"/>
      <c r="R57" s="674"/>
      <c r="S57" s="675"/>
      <c r="T57" s="675"/>
      <c r="U57" s="674"/>
      <c r="V57" s="674"/>
      <c r="W57" s="674"/>
      <c r="X57" s="675"/>
      <c r="Y57" s="675"/>
      <c r="Z57" s="44"/>
      <c r="AA57" s="44"/>
      <c r="AB57" s="44"/>
      <c r="AC57" s="69"/>
      <c r="AD57" s="69"/>
      <c r="AE57" s="44"/>
      <c r="AF57" s="44"/>
      <c r="AG57" s="44"/>
      <c r="AH57" s="69"/>
      <c r="AI57" s="69"/>
      <c r="AJ57" s="44"/>
      <c r="AK57" s="44"/>
      <c r="AL57" s="44"/>
      <c r="AM57" s="69"/>
      <c r="AN57" s="69"/>
      <c r="AO57" s="44"/>
      <c r="AP57" s="44"/>
      <c r="AQ57" s="44"/>
      <c r="AR57" s="69"/>
      <c r="AS57" s="69"/>
      <c r="AT57" s="44"/>
      <c r="AU57" s="44"/>
      <c r="AV57" s="44"/>
      <c r="AW57" s="69"/>
      <c r="AX57" s="69"/>
      <c r="AY57" s="44"/>
      <c r="AZ57" s="44"/>
      <c r="BA57" s="44"/>
      <c r="BB57" s="69"/>
      <c r="BC57" s="69"/>
      <c r="BD57" s="44"/>
      <c r="BE57" s="44"/>
      <c r="BF57" s="44"/>
      <c r="BG57" s="69"/>
      <c r="BH57" s="69"/>
      <c r="BI57" s="674"/>
      <c r="BJ57" s="674"/>
      <c r="BK57" s="674"/>
      <c r="BL57" s="675"/>
      <c r="BM57" s="675"/>
      <c r="BN57" s="674"/>
      <c r="BO57" s="674"/>
      <c r="BP57" s="674"/>
      <c r="BQ57" s="675"/>
      <c r="BR57" s="675"/>
    </row>
    <row r="58" spans="1:83" ht="6.75" hidden="1" customHeight="1" x14ac:dyDescent="0.25">
      <c r="A58" s="676"/>
      <c r="B58" s="676"/>
      <c r="C58" s="676"/>
      <c r="D58" s="29"/>
      <c r="E58" s="29"/>
      <c r="F58" s="676"/>
      <c r="G58" s="676"/>
      <c r="H58" s="676"/>
      <c r="I58" s="29"/>
      <c r="J58" s="29"/>
      <c r="K58" s="676"/>
      <c r="L58" s="676"/>
      <c r="M58" s="676"/>
      <c r="N58" s="29"/>
      <c r="O58" s="29"/>
      <c r="P58" s="676"/>
      <c r="Q58" s="676"/>
      <c r="R58" s="676"/>
      <c r="S58" s="29"/>
      <c r="T58" s="29"/>
      <c r="U58" s="676"/>
      <c r="V58" s="676"/>
      <c r="W58" s="676"/>
      <c r="X58" s="29"/>
      <c r="Y58" s="29"/>
      <c r="Z58" s="47"/>
      <c r="AA58" s="47"/>
      <c r="AB58" s="47"/>
      <c r="AC58" s="29"/>
      <c r="AD58" s="29"/>
      <c r="AE58" s="47"/>
      <c r="AF58" s="47"/>
      <c r="AG58" s="47"/>
      <c r="AH58" s="29"/>
      <c r="AI58" s="29"/>
      <c r="AJ58" s="47"/>
      <c r="AK58" s="47"/>
      <c r="AL58" s="47"/>
      <c r="AM58" s="29"/>
      <c r="AN58" s="29"/>
      <c r="AO58" s="47"/>
      <c r="AP58" s="47"/>
      <c r="AQ58" s="47"/>
      <c r="AR58" s="29"/>
      <c r="AS58" s="29"/>
      <c r="AT58" s="47"/>
      <c r="AU58" s="47"/>
      <c r="AV58" s="47"/>
      <c r="AW58" s="29"/>
      <c r="AX58" s="29"/>
      <c r="AY58" s="47"/>
      <c r="AZ58" s="47"/>
      <c r="BA58" s="47"/>
      <c r="BB58" s="29"/>
      <c r="BC58" s="29"/>
      <c r="BD58" s="47"/>
      <c r="BE58" s="47"/>
      <c r="BF58" s="47"/>
      <c r="BG58" s="29"/>
      <c r="BH58" s="29"/>
      <c r="BI58" s="676"/>
      <c r="BJ58" s="676"/>
      <c r="BK58" s="676"/>
      <c r="BL58" s="29"/>
      <c r="BM58" s="29"/>
      <c r="BN58" s="676"/>
      <c r="BO58" s="676"/>
      <c r="BP58" s="676"/>
      <c r="BQ58" s="29"/>
      <c r="BR58" s="29"/>
    </row>
    <row r="59" spans="1:83" ht="21.95" hidden="1" customHeight="1" x14ac:dyDescent="0.25">
      <c r="A59" s="676"/>
      <c r="B59" s="676"/>
      <c r="C59" s="676"/>
      <c r="D59" s="30"/>
      <c r="E59" s="29"/>
      <c r="F59" s="676"/>
      <c r="G59" s="676"/>
      <c r="H59" s="676"/>
      <c r="I59" s="30"/>
      <c r="J59" s="29"/>
      <c r="K59" s="676"/>
      <c r="L59" s="676"/>
      <c r="M59" s="676"/>
      <c r="N59" s="30"/>
      <c r="O59" s="29"/>
      <c r="P59" s="676"/>
      <c r="Q59" s="676"/>
      <c r="R59" s="676"/>
      <c r="S59" s="30"/>
      <c r="T59" s="29"/>
      <c r="U59" s="676"/>
      <c r="V59" s="676"/>
      <c r="W59" s="676"/>
      <c r="X59" s="30"/>
      <c r="Y59" s="29"/>
      <c r="Z59" s="47"/>
      <c r="AA59" s="47"/>
      <c r="AB59" s="47"/>
      <c r="AC59" s="30"/>
      <c r="AD59" s="29"/>
      <c r="AE59" s="47"/>
      <c r="AF59" s="47"/>
      <c r="AG59" s="47"/>
      <c r="AH59" s="30"/>
      <c r="AI59" s="29"/>
      <c r="AJ59" s="47"/>
      <c r="AK59" s="47"/>
      <c r="AL59" s="47"/>
      <c r="AM59" s="30"/>
      <c r="AN59" s="29"/>
      <c r="AO59" s="47"/>
      <c r="AP59" s="47"/>
      <c r="AQ59" s="47"/>
      <c r="AR59" s="30"/>
      <c r="AS59" s="29"/>
      <c r="AT59" s="47"/>
      <c r="AU59" s="47"/>
      <c r="AV59" s="47"/>
      <c r="AW59" s="30"/>
      <c r="AX59" s="29"/>
      <c r="AY59" s="47"/>
      <c r="AZ59" s="47"/>
      <c r="BA59" s="47"/>
      <c r="BB59" s="30"/>
      <c r="BC59" s="29"/>
      <c r="BD59" s="47"/>
      <c r="BE59" s="47"/>
      <c r="BF59" s="47"/>
      <c r="BG59" s="30"/>
      <c r="BH59" s="29"/>
      <c r="BI59" s="676"/>
      <c r="BJ59" s="676"/>
      <c r="BK59" s="676"/>
      <c r="BL59" s="30"/>
      <c r="BM59" s="29"/>
      <c r="BN59" s="676"/>
      <c r="BO59" s="676"/>
      <c r="BP59" s="676"/>
      <c r="BQ59" s="30"/>
      <c r="BR59" s="29"/>
    </row>
    <row r="60" spans="1:83" ht="6" hidden="1" customHeight="1" x14ac:dyDescent="0.25">
      <c r="A60" s="676"/>
      <c r="B60" s="676"/>
      <c r="C60" s="676"/>
      <c r="D60" s="675"/>
      <c r="E60" s="675"/>
      <c r="F60" s="676"/>
      <c r="G60" s="676"/>
      <c r="H60" s="676"/>
      <c r="I60" s="675"/>
      <c r="J60" s="675"/>
      <c r="K60" s="676"/>
      <c r="L60" s="676"/>
      <c r="M60" s="676"/>
      <c r="N60" s="675"/>
      <c r="O60" s="675"/>
      <c r="P60" s="676"/>
      <c r="Q60" s="676"/>
      <c r="R60" s="676"/>
      <c r="S60" s="675"/>
      <c r="T60" s="675"/>
      <c r="U60" s="676"/>
      <c r="V60" s="676"/>
      <c r="W60" s="676"/>
      <c r="X60" s="675"/>
      <c r="Y60" s="675"/>
      <c r="Z60" s="47"/>
      <c r="AA60" s="47"/>
      <c r="AB60" s="47"/>
      <c r="AC60" s="69"/>
      <c r="AD60" s="69"/>
      <c r="AE60" s="47"/>
      <c r="AF60" s="47"/>
      <c r="AG60" s="47"/>
      <c r="AH60" s="69"/>
      <c r="AI60" s="69"/>
      <c r="AJ60" s="47"/>
      <c r="AK60" s="47"/>
      <c r="AL60" s="47"/>
      <c r="AM60" s="69"/>
      <c r="AN60" s="69"/>
      <c r="AO60" s="47"/>
      <c r="AP60" s="47"/>
      <c r="AQ60" s="47"/>
      <c r="AR60" s="69"/>
      <c r="AS60" s="69"/>
      <c r="AT60" s="47"/>
      <c r="AU60" s="47"/>
      <c r="AV60" s="47"/>
      <c r="AW60" s="69"/>
      <c r="AX60" s="69"/>
      <c r="AY60" s="47"/>
      <c r="AZ60" s="47"/>
      <c r="BA60" s="47"/>
      <c r="BB60" s="69"/>
      <c r="BC60" s="69"/>
      <c r="BD60" s="47"/>
      <c r="BE60" s="47"/>
      <c r="BF60" s="47"/>
      <c r="BG60" s="69"/>
      <c r="BH60" s="69"/>
      <c r="BI60" s="676"/>
      <c r="BJ60" s="676"/>
      <c r="BK60" s="676"/>
      <c r="BL60" s="675"/>
      <c r="BM60" s="675"/>
      <c r="BN60" s="676"/>
      <c r="BO60" s="676"/>
      <c r="BP60" s="676"/>
      <c r="BQ60" s="675"/>
      <c r="BR60" s="675"/>
    </row>
    <row r="61" spans="1:83" ht="59.25" hidden="1" customHeight="1" thickBot="1" x14ac:dyDescent="0.3">
      <c r="A61" s="677"/>
      <c r="B61" s="678"/>
      <c r="C61" s="678"/>
      <c r="D61" s="678"/>
      <c r="E61" s="678"/>
      <c r="F61" s="677"/>
      <c r="G61" s="678"/>
      <c r="H61" s="678"/>
      <c r="I61" s="678"/>
      <c r="J61" s="678"/>
      <c r="K61" s="677"/>
      <c r="L61" s="678"/>
      <c r="M61" s="678"/>
      <c r="N61" s="678"/>
      <c r="O61" s="678"/>
      <c r="P61" s="677"/>
      <c r="Q61" s="678"/>
      <c r="R61" s="678"/>
      <c r="S61" s="678"/>
      <c r="T61" s="678"/>
      <c r="U61" s="677"/>
      <c r="V61" s="678"/>
      <c r="W61" s="678"/>
      <c r="X61" s="678"/>
      <c r="Y61" s="678"/>
      <c r="Z61" s="70"/>
      <c r="AA61" s="71"/>
      <c r="AB61" s="71"/>
      <c r="AC61" s="71"/>
      <c r="AD61" s="71"/>
      <c r="AE61" s="70"/>
      <c r="AF61" s="71"/>
      <c r="AG61" s="71"/>
      <c r="AH61" s="71"/>
      <c r="AI61" s="71"/>
      <c r="AJ61" s="70"/>
      <c r="AK61" s="71"/>
      <c r="AL61" s="71"/>
      <c r="AM61" s="71"/>
      <c r="AN61" s="71"/>
      <c r="AO61" s="70"/>
      <c r="AP61" s="71"/>
      <c r="AQ61" s="71"/>
      <c r="AR61" s="71"/>
      <c r="AS61" s="71"/>
      <c r="AT61" s="70"/>
      <c r="AU61" s="71"/>
      <c r="AV61" s="71"/>
      <c r="AW61" s="71"/>
      <c r="AX61" s="71"/>
      <c r="AY61" s="70"/>
      <c r="AZ61" s="71"/>
      <c r="BA61" s="71"/>
      <c r="BB61" s="71"/>
      <c r="BC61" s="71"/>
      <c r="BD61" s="70"/>
      <c r="BE61" s="71"/>
      <c r="BF61" s="71"/>
      <c r="BG61" s="71"/>
      <c r="BH61" s="71"/>
      <c r="BI61" s="677"/>
      <c r="BJ61" s="678"/>
      <c r="BK61" s="678"/>
      <c r="BL61" s="678"/>
      <c r="BM61" s="678"/>
      <c r="BN61" s="677"/>
      <c r="BO61" s="678"/>
      <c r="BP61" s="678"/>
      <c r="BQ61" s="678"/>
      <c r="BR61" s="678"/>
    </row>
    <row r="62" spans="1:83" ht="27" hidden="1" customHeight="1" thickBot="1" x14ac:dyDescent="0.3">
      <c r="A62" s="677"/>
      <c r="B62" s="32"/>
      <c r="C62" s="33"/>
      <c r="D62" s="34"/>
      <c r="E62" s="35"/>
      <c r="F62" s="677"/>
      <c r="G62" s="32"/>
      <c r="H62" s="33"/>
      <c r="I62" s="34"/>
      <c r="J62" s="35"/>
      <c r="K62" s="677"/>
      <c r="L62" s="32"/>
      <c r="M62" s="33"/>
      <c r="N62" s="34"/>
      <c r="O62" s="35"/>
      <c r="P62" s="677"/>
      <c r="Q62" s="32"/>
      <c r="R62" s="33"/>
      <c r="S62" s="34"/>
      <c r="T62" s="35"/>
      <c r="U62" s="677"/>
      <c r="V62" s="32"/>
      <c r="W62" s="33"/>
      <c r="X62" s="34"/>
      <c r="Y62" s="35"/>
      <c r="Z62" s="70"/>
      <c r="AA62" s="32"/>
      <c r="AB62" s="33"/>
      <c r="AC62" s="34"/>
      <c r="AD62" s="35"/>
      <c r="AE62" s="70"/>
      <c r="AF62" s="32"/>
      <c r="AG62" s="33"/>
      <c r="AH62" s="34"/>
      <c r="AI62" s="35"/>
      <c r="AJ62" s="70"/>
      <c r="AK62" s="32"/>
      <c r="AL62" s="33"/>
      <c r="AM62" s="34"/>
      <c r="AN62" s="35"/>
      <c r="AO62" s="70"/>
      <c r="AP62" s="32"/>
      <c r="AQ62" s="33"/>
      <c r="AR62" s="34"/>
      <c r="AS62" s="35"/>
      <c r="AT62" s="70"/>
      <c r="AU62" s="32"/>
      <c r="AV62" s="33"/>
      <c r="AW62" s="34"/>
      <c r="AX62" s="35"/>
      <c r="AY62" s="70"/>
      <c r="AZ62" s="32"/>
      <c r="BA62" s="33"/>
      <c r="BB62" s="34"/>
      <c r="BC62" s="35"/>
      <c r="BD62" s="70"/>
      <c r="BE62" s="32"/>
      <c r="BF62" s="33"/>
      <c r="BG62" s="34"/>
      <c r="BH62" s="35"/>
      <c r="BI62" s="677"/>
      <c r="BJ62" s="32"/>
      <c r="BK62" s="33"/>
      <c r="BL62" s="34"/>
      <c r="BM62" s="35"/>
      <c r="BN62" s="677"/>
      <c r="BO62" s="32"/>
      <c r="BP62" s="33"/>
      <c r="BQ62" s="34"/>
      <c r="BR62" s="35"/>
      <c r="BW62" s="27"/>
      <c r="BX62" s="27"/>
      <c r="BY62" s="27"/>
      <c r="BZ62" s="27"/>
      <c r="CA62" s="27"/>
      <c r="CB62" s="27"/>
      <c r="CC62" s="27"/>
      <c r="CD62" s="27"/>
      <c r="CE62" s="27"/>
    </row>
    <row r="63" spans="1:83" s="42" customFormat="1" ht="30" hidden="1" customHeight="1" thickTop="1" x14ac:dyDescent="0.25">
      <c r="A63" s="37"/>
      <c r="B63" s="38"/>
      <c r="C63" s="39"/>
      <c r="D63" s="40"/>
      <c r="E63" s="41"/>
      <c r="F63" s="37"/>
      <c r="G63" s="38"/>
      <c r="H63" s="39"/>
      <c r="I63" s="40"/>
      <c r="J63" s="41"/>
      <c r="K63" s="37"/>
      <c r="L63" s="38"/>
      <c r="M63" s="39"/>
      <c r="N63" s="40"/>
      <c r="O63" s="41"/>
      <c r="P63" s="37"/>
      <c r="Q63" s="38"/>
      <c r="R63" s="39"/>
      <c r="S63" s="40"/>
      <c r="T63" s="41"/>
      <c r="U63" s="37"/>
      <c r="V63" s="38"/>
      <c r="W63" s="38"/>
      <c r="X63" s="39"/>
      <c r="Y63" s="40"/>
      <c r="Z63" s="41"/>
      <c r="AA63" s="37"/>
      <c r="AB63" s="38"/>
      <c r="AC63" s="39"/>
      <c r="AD63" s="40"/>
      <c r="AE63" s="41"/>
      <c r="AF63" s="38"/>
      <c r="AG63" s="39"/>
      <c r="AH63" s="40"/>
      <c r="AI63" s="41"/>
      <c r="AJ63" s="37"/>
      <c r="AK63" s="38"/>
      <c r="AL63" s="39"/>
      <c r="AM63" s="40"/>
      <c r="AN63" s="41"/>
      <c r="AO63" s="38"/>
      <c r="AP63" s="39"/>
      <c r="AQ63" s="40"/>
      <c r="AR63" s="41"/>
      <c r="AS63" s="37"/>
      <c r="AT63" s="38"/>
      <c r="AU63" s="39"/>
      <c r="AV63" s="40"/>
      <c r="AW63" s="41"/>
      <c r="AX63" s="38"/>
      <c r="AY63" s="39"/>
      <c r="AZ63" s="40"/>
      <c r="BA63" s="41"/>
      <c r="BB63" s="37"/>
      <c r="BC63" s="38"/>
      <c r="BD63" s="39"/>
      <c r="BE63" s="40"/>
      <c r="BF63" s="41"/>
      <c r="BG63" s="38"/>
      <c r="BH63" s="39"/>
      <c r="BI63" s="40"/>
      <c r="BJ63" s="41"/>
      <c r="BK63" s="37"/>
      <c r="BL63" s="38"/>
      <c r="BM63" s="39"/>
      <c r="BN63" s="40"/>
      <c r="BO63" s="41"/>
      <c r="BP63" s="38"/>
      <c r="BQ63" s="39"/>
      <c r="BR63" s="40"/>
      <c r="BW63" s="43"/>
      <c r="BX63" s="43"/>
      <c r="BY63" s="43"/>
      <c r="BZ63" s="43"/>
      <c r="CA63" s="43"/>
      <c r="CB63" s="43"/>
      <c r="CC63" s="43"/>
      <c r="CD63" s="43"/>
      <c r="CE63" s="43"/>
    </row>
    <row r="64" spans="1:83" ht="21.95" hidden="1" customHeight="1" x14ac:dyDescent="0.25">
      <c r="A64" s="674"/>
      <c r="B64" s="674"/>
      <c r="C64" s="674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45"/>
      <c r="BD64" s="45"/>
      <c r="BE64" s="45"/>
      <c r="BF64" s="45"/>
      <c r="BG64" s="45"/>
      <c r="BH64" s="45"/>
      <c r="BI64" s="45"/>
      <c r="BJ64" s="45"/>
      <c r="BK64" s="45"/>
      <c r="BL64" s="45"/>
      <c r="BM64" s="45"/>
      <c r="BN64" s="45"/>
      <c r="BO64" s="45"/>
      <c r="BP64" s="45"/>
      <c r="BQ64" s="45"/>
      <c r="BR64" s="45"/>
    </row>
    <row r="65" spans="1:90" ht="6.75" customHeight="1" x14ac:dyDescent="0.25">
      <c r="A65" s="676"/>
      <c r="B65" s="676"/>
      <c r="C65" s="676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5"/>
      <c r="AW65" s="45"/>
      <c r="AX65" s="45"/>
      <c r="AY65" s="45"/>
      <c r="AZ65" s="45"/>
      <c r="BA65" s="45"/>
      <c r="BB65" s="45"/>
      <c r="BC65" s="45"/>
      <c r="BD65" s="45"/>
      <c r="BE65" s="45"/>
      <c r="BF65" s="45"/>
      <c r="BG65" s="45"/>
      <c r="BH65" s="45"/>
      <c r="BI65" s="45"/>
      <c r="BJ65" s="45"/>
      <c r="BK65" s="45"/>
      <c r="BL65" s="45"/>
      <c r="BM65" s="45"/>
      <c r="BN65" s="45"/>
      <c r="BO65" s="45"/>
      <c r="BP65" s="45"/>
      <c r="BQ65" s="45"/>
      <c r="BR65" s="45"/>
    </row>
    <row r="66" spans="1:90" ht="37.5" hidden="1" customHeight="1" x14ac:dyDescent="0.25">
      <c r="A66" s="676"/>
      <c r="B66" s="676"/>
      <c r="C66" s="676"/>
      <c r="D66" s="49"/>
      <c r="E66" s="49"/>
      <c r="F66" s="49"/>
      <c r="G66" s="49"/>
      <c r="H66" s="49"/>
      <c r="I66" s="49"/>
      <c r="J66" s="49"/>
      <c r="K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5"/>
      <c r="BF66" s="45"/>
      <c r="BG66" s="45"/>
      <c r="BH66" s="45"/>
      <c r="BI66" s="45"/>
      <c r="BJ66" s="45"/>
      <c r="BK66" s="45"/>
      <c r="BL66" s="45"/>
      <c r="BM66" s="45"/>
      <c r="BN66" s="45"/>
      <c r="BO66" s="45"/>
      <c r="BP66" s="45"/>
      <c r="BQ66" s="45"/>
      <c r="BR66" s="45"/>
    </row>
    <row r="67" spans="1:90" ht="6" hidden="1" customHeight="1" x14ac:dyDescent="0.25">
      <c r="A67" s="676"/>
      <c r="B67" s="676"/>
      <c r="C67" s="676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  <c r="AT67" s="45"/>
      <c r="AU67" s="45"/>
      <c r="AV67" s="45"/>
      <c r="AW67" s="45"/>
      <c r="AX67" s="45"/>
      <c r="AY67" s="45"/>
      <c r="AZ67" s="45"/>
      <c r="BA67" s="45"/>
      <c r="BB67" s="45"/>
      <c r="BC67" s="45"/>
      <c r="BD67" s="45"/>
      <c r="BE67" s="45"/>
      <c r="BF67" s="45"/>
      <c r="BG67" s="45"/>
      <c r="BH67" s="45"/>
      <c r="BI67" s="45"/>
      <c r="BJ67" s="45"/>
      <c r="BK67" s="45"/>
      <c r="BL67" s="45"/>
      <c r="BM67" s="45"/>
      <c r="BN67" s="45"/>
      <c r="BO67" s="45"/>
      <c r="BP67" s="45"/>
      <c r="BQ67" s="45"/>
      <c r="BR67" s="45"/>
    </row>
    <row r="68" spans="1:90" ht="30" hidden="1" customHeight="1" x14ac:dyDescent="0.25">
      <c r="B68" s="17"/>
      <c r="D68" s="45"/>
      <c r="E68" s="45"/>
      <c r="F68" s="45"/>
      <c r="G68" s="45"/>
      <c r="H68" s="45"/>
      <c r="I68" s="45"/>
      <c r="J68" s="45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49"/>
      <c r="BC68" s="49"/>
      <c r="BD68" s="49"/>
      <c r="BE68" s="49"/>
      <c r="BF68" s="49"/>
      <c r="BG68" s="49"/>
      <c r="BH68" s="49"/>
      <c r="BI68" s="49"/>
      <c r="BJ68" s="49"/>
      <c r="BK68" s="49"/>
      <c r="BL68" s="49"/>
      <c r="BM68" s="49"/>
      <c r="BN68" s="49"/>
      <c r="BO68" s="49"/>
      <c r="BP68" s="49"/>
      <c r="BQ68" s="49"/>
      <c r="BR68" s="49"/>
      <c r="BS68" s="50"/>
      <c r="BT68" s="50"/>
      <c r="BW68" s="51"/>
      <c r="BX68" s="51"/>
      <c r="BY68" s="51"/>
      <c r="BZ68" s="51"/>
      <c r="CA68" s="51"/>
      <c r="CB68" s="51"/>
      <c r="CC68" s="27"/>
      <c r="CD68" s="27"/>
      <c r="CE68" s="27"/>
      <c r="CG68" s="27"/>
      <c r="CH68" s="27"/>
      <c r="CI68" s="27"/>
      <c r="CJ68" s="27"/>
      <c r="CK68" s="27"/>
      <c r="CL68" s="27"/>
    </row>
    <row r="69" spans="1:90" ht="34.5" hidden="1" customHeight="1" x14ac:dyDescent="0.25"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5"/>
      <c r="AW69" s="45"/>
      <c r="AX69" s="45"/>
      <c r="AY69" s="45"/>
      <c r="AZ69" s="45"/>
      <c r="BA69" s="45"/>
      <c r="BB69" s="45"/>
      <c r="BC69" s="45"/>
      <c r="BD69" s="45"/>
      <c r="BE69" s="45"/>
      <c r="BF69" s="45"/>
      <c r="BG69" s="45"/>
      <c r="BH69" s="45"/>
      <c r="BI69" s="45"/>
      <c r="BJ69" s="45"/>
      <c r="BK69" s="45"/>
      <c r="BL69" s="45"/>
      <c r="BM69" s="45"/>
      <c r="BN69" s="45"/>
      <c r="BO69" s="45"/>
      <c r="BP69" s="45"/>
      <c r="BQ69" s="45"/>
      <c r="BR69" s="45"/>
      <c r="BS69" s="50"/>
      <c r="BT69" s="50"/>
      <c r="BW69" s="27"/>
      <c r="BX69" s="27"/>
      <c r="BY69" s="27"/>
      <c r="BZ69" s="27"/>
      <c r="CA69" s="27"/>
      <c r="CB69" s="27"/>
      <c r="CC69" s="27"/>
      <c r="CD69" s="27"/>
      <c r="CE69" s="27"/>
      <c r="CG69" s="27"/>
      <c r="CH69" s="27"/>
      <c r="CI69" s="27"/>
      <c r="CJ69" s="27"/>
      <c r="CK69" s="27"/>
      <c r="CL69" s="27"/>
    </row>
    <row r="70" spans="1:90" ht="15" hidden="1" customHeight="1" x14ac:dyDescent="0.25">
      <c r="G70" s="45"/>
      <c r="H70" s="45"/>
      <c r="I70" s="45"/>
      <c r="J70" s="52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5"/>
      <c r="AW70" s="45"/>
      <c r="AX70" s="45"/>
      <c r="AY70" s="45"/>
      <c r="AZ70" s="45"/>
      <c r="BA70" s="45"/>
      <c r="BB70" s="45"/>
      <c r="BC70" s="45"/>
      <c r="BD70" s="45"/>
      <c r="BE70" s="45"/>
      <c r="BF70" s="45"/>
      <c r="BG70" s="45"/>
      <c r="BH70" s="45"/>
      <c r="BI70" s="45"/>
      <c r="BJ70" s="45"/>
      <c r="BK70" s="45"/>
      <c r="BL70" s="45"/>
      <c r="BM70" s="45"/>
      <c r="BN70" s="45"/>
      <c r="BO70" s="45"/>
      <c r="BP70" s="45"/>
      <c r="BQ70" s="45"/>
      <c r="BR70" s="45"/>
      <c r="BS70" s="50"/>
      <c r="BT70" s="50"/>
      <c r="BW70" s="27"/>
      <c r="BX70" s="27"/>
      <c r="BY70" s="27"/>
      <c r="BZ70" s="27"/>
      <c r="CA70" s="27"/>
      <c r="CB70" s="27"/>
      <c r="CC70" s="27"/>
      <c r="CD70" s="27"/>
      <c r="CE70" s="27"/>
      <c r="CG70" s="27"/>
      <c r="CH70" s="27"/>
      <c r="CI70" s="27"/>
      <c r="CJ70" s="27"/>
      <c r="CK70" s="27"/>
      <c r="CL70" s="27"/>
    </row>
    <row r="71" spans="1:90" ht="16.5" customHeight="1" x14ac:dyDescent="0.25">
      <c r="G71" s="45"/>
      <c r="H71" s="45"/>
      <c r="I71" s="45"/>
      <c r="J71" s="52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38"/>
      <c r="X71" s="39"/>
      <c r="Y71" s="40"/>
      <c r="Z71" s="41"/>
      <c r="AA71" s="37"/>
      <c r="AB71" s="38"/>
      <c r="AC71" s="39"/>
      <c r="AD71" s="40"/>
      <c r="AE71" s="41"/>
      <c r="AF71" s="38"/>
      <c r="AG71" s="39"/>
      <c r="AH71" s="40"/>
      <c r="AI71" s="41"/>
      <c r="AJ71" s="37"/>
      <c r="AK71" s="38"/>
      <c r="AL71" s="39"/>
      <c r="AM71" s="40"/>
      <c r="AN71" s="41"/>
      <c r="AO71" s="38"/>
      <c r="AP71" s="39"/>
      <c r="AQ71" s="40"/>
      <c r="AR71" s="41"/>
      <c r="AS71" s="37"/>
      <c r="AT71" s="38"/>
      <c r="AU71" s="39"/>
      <c r="AV71" s="40"/>
      <c r="AW71" s="41"/>
      <c r="AX71" s="38"/>
      <c r="AY71" s="39"/>
      <c r="AZ71" s="40"/>
      <c r="BA71" s="41"/>
      <c r="BB71" s="37"/>
      <c r="BC71" s="38"/>
      <c r="BD71" s="39"/>
      <c r="BE71" s="40"/>
      <c r="BF71" s="41"/>
      <c r="BG71" s="38"/>
      <c r="BH71" s="39"/>
      <c r="BI71" s="40"/>
      <c r="BJ71" s="41"/>
      <c r="BK71" s="37"/>
      <c r="BL71" s="38"/>
      <c r="BM71" s="39"/>
      <c r="BN71" s="40"/>
      <c r="BO71" s="41"/>
      <c r="BP71" s="38"/>
      <c r="BQ71" s="39"/>
      <c r="BR71" s="40"/>
      <c r="BS71" s="50"/>
      <c r="BT71" s="50"/>
      <c r="BW71" s="27"/>
      <c r="BX71" s="27"/>
      <c r="BY71" s="27"/>
      <c r="BZ71" s="27"/>
      <c r="CA71" s="27"/>
      <c r="CB71" s="27"/>
      <c r="CC71" s="27"/>
      <c r="CD71" s="27"/>
      <c r="CE71" s="27"/>
      <c r="CG71" s="27"/>
      <c r="CH71" s="27"/>
      <c r="CI71" s="27"/>
      <c r="CJ71" s="27"/>
      <c r="CK71" s="27"/>
      <c r="CL71" s="27"/>
    </row>
    <row r="72" spans="1:90" ht="15" hidden="1" customHeight="1" x14ac:dyDescent="0.25">
      <c r="G72" s="49"/>
      <c r="H72" s="49"/>
      <c r="I72" s="49"/>
      <c r="J72" s="52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  <c r="BC72" s="45"/>
      <c r="BD72" s="45"/>
      <c r="BE72" s="45"/>
      <c r="BF72" s="45"/>
      <c r="BG72" s="45"/>
      <c r="BH72" s="45"/>
      <c r="BI72" s="45"/>
      <c r="BJ72" s="45"/>
      <c r="BK72" s="45"/>
      <c r="BL72" s="45"/>
      <c r="BM72" s="45"/>
      <c r="BN72" s="45"/>
      <c r="BO72" s="45"/>
      <c r="BP72" s="45"/>
      <c r="BQ72" s="45"/>
      <c r="BR72" s="45"/>
      <c r="BS72" s="53"/>
      <c r="BT72" s="53"/>
    </row>
    <row r="73" spans="1:90" ht="22.5" hidden="1" customHeight="1" x14ac:dyDescent="0.25">
      <c r="G73" s="45"/>
      <c r="H73" s="45"/>
      <c r="I73" s="45"/>
      <c r="J73" s="52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45"/>
      <c r="AW73" s="45"/>
      <c r="AX73" s="45"/>
      <c r="AY73" s="45"/>
      <c r="AZ73" s="45"/>
      <c r="BA73" s="45"/>
      <c r="BB73" s="45"/>
      <c r="BC73" s="45"/>
      <c r="BD73" s="45"/>
      <c r="BE73" s="45"/>
      <c r="BF73" s="45"/>
      <c r="BG73" s="45"/>
      <c r="BH73" s="45"/>
      <c r="BI73" s="45"/>
      <c r="BJ73" s="45"/>
      <c r="BK73" s="45"/>
      <c r="BL73" s="45"/>
      <c r="BM73" s="45"/>
      <c r="BN73" s="45"/>
      <c r="BO73" s="45"/>
      <c r="BP73" s="45"/>
      <c r="BQ73" s="45"/>
      <c r="BR73" s="45"/>
      <c r="BS73" s="53"/>
      <c r="BT73" s="53"/>
    </row>
    <row r="74" spans="1:90" ht="23.25" x14ac:dyDescent="0.35">
      <c r="A74" s="54"/>
      <c r="E74" s="54"/>
      <c r="F74" s="54"/>
      <c r="G74" s="54"/>
      <c r="H74" s="54"/>
      <c r="I74" s="54"/>
      <c r="J74" s="54"/>
      <c r="K74" s="54"/>
    </row>
    <row r="75" spans="1:90" ht="24" thickBot="1" x14ac:dyDescent="0.4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X75" s="55"/>
    </row>
    <row r="76" spans="1:90" ht="15.75" customHeight="1" thickTop="1" x14ac:dyDescent="0.25">
      <c r="AD76" s="775">
        <v>244.25239999999999</v>
      </c>
      <c r="AE76" s="776"/>
      <c r="AF76" s="776"/>
      <c r="AG76" s="776"/>
      <c r="AH76" s="777"/>
      <c r="AL76" s="727" t="s">
        <v>122</v>
      </c>
      <c r="AM76" s="727"/>
      <c r="AN76" s="727"/>
      <c r="AO76" s="727" t="s">
        <v>123</v>
      </c>
      <c r="AP76" s="727"/>
      <c r="AQ76" s="727"/>
      <c r="AR76" s="727" t="s">
        <v>124</v>
      </c>
      <c r="AS76" s="727"/>
      <c r="AT76" s="727" t="s">
        <v>125</v>
      </c>
      <c r="AU76" s="727"/>
      <c r="AY76" s="739" t="s">
        <v>126</v>
      </c>
      <c r="AZ76" s="740"/>
      <c r="BA76" s="740"/>
      <c r="BB76" s="740"/>
      <c r="BC76" s="740"/>
      <c r="BD76" s="740"/>
      <c r="BE76" s="740"/>
      <c r="BF76" s="740"/>
      <c r="BG76" s="740"/>
      <c r="BH76" s="741"/>
      <c r="BI76" s="13"/>
      <c r="BJ76" s="13"/>
      <c r="BK76" s="13"/>
      <c r="BL76" s="13"/>
      <c r="BM76" s="13"/>
      <c r="BN76" s="13"/>
      <c r="BO76" s="13"/>
      <c r="BP76" s="13"/>
      <c r="BQ76" s="13"/>
      <c r="BR76" s="13"/>
    </row>
    <row r="77" spans="1:90" ht="15" customHeight="1" x14ac:dyDescent="0.25">
      <c r="O77" s="114" t="s">
        <v>127</v>
      </c>
      <c r="P77" s="114"/>
      <c r="Q77" s="114"/>
      <c r="R77" s="114"/>
      <c r="S77" s="114"/>
      <c r="T77" s="114"/>
      <c r="U77" s="114"/>
      <c r="V77" s="114"/>
      <c r="AD77" s="778"/>
      <c r="AE77" s="779"/>
      <c r="AF77" s="779"/>
      <c r="AG77" s="779"/>
      <c r="AH77" s="780"/>
      <c r="AL77" s="727"/>
      <c r="AM77" s="727"/>
      <c r="AN77" s="727"/>
      <c r="AO77" s="727"/>
      <c r="AP77" s="727"/>
      <c r="AQ77" s="727"/>
      <c r="AR77" s="727"/>
      <c r="AS77" s="727"/>
      <c r="AT77" s="727"/>
      <c r="AU77" s="727"/>
      <c r="AY77" s="750"/>
      <c r="AZ77" s="751"/>
      <c r="BA77" s="751"/>
      <c r="BB77" s="751"/>
      <c r="BC77" s="751"/>
      <c r="BD77" s="751"/>
      <c r="BE77" s="751"/>
      <c r="BF77" s="751"/>
      <c r="BG77" s="751"/>
      <c r="BH77" s="752"/>
      <c r="BI77" s="13"/>
      <c r="BJ77" s="13"/>
      <c r="BK77" s="13"/>
      <c r="BL77" s="13"/>
      <c r="BM77" s="13"/>
      <c r="BN77" s="13"/>
      <c r="BO77" s="13"/>
      <c r="BP77" s="13"/>
      <c r="BQ77" s="13"/>
      <c r="BR77" s="13"/>
    </row>
    <row r="78" spans="1:90" ht="15" customHeight="1" x14ac:dyDescent="0.25">
      <c r="O78" s="114"/>
      <c r="P78" s="114"/>
      <c r="Q78" s="114"/>
      <c r="R78" s="114"/>
      <c r="S78" s="114"/>
      <c r="T78" s="114"/>
      <c r="U78" s="114"/>
      <c r="V78" s="114"/>
      <c r="AA78" s="56"/>
      <c r="AD78" s="778"/>
      <c r="AE78" s="779"/>
      <c r="AF78" s="779"/>
      <c r="AG78" s="779"/>
      <c r="AH78" s="780"/>
      <c r="AL78" s="727"/>
      <c r="AM78" s="727"/>
      <c r="AN78" s="727"/>
      <c r="AO78" s="727"/>
      <c r="AP78" s="727"/>
      <c r="AQ78" s="727"/>
      <c r="AR78" s="727"/>
      <c r="AS78" s="727"/>
      <c r="AT78" s="727"/>
      <c r="AU78" s="727"/>
      <c r="AY78" s="742"/>
      <c r="AZ78" s="743"/>
      <c r="BA78" s="743"/>
      <c r="BB78" s="743"/>
      <c r="BC78" s="743"/>
      <c r="BD78" s="743"/>
      <c r="BE78" s="743"/>
      <c r="BF78" s="743"/>
      <c r="BG78" s="743"/>
      <c r="BH78" s="744"/>
      <c r="BI78" s="13"/>
      <c r="BJ78" s="13"/>
      <c r="BK78" s="13"/>
      <c r="BL78" s="13"/>
      <c r="BM78" s="13"/>
      <c r="BN78" s="13"/>
      <c r="BO78" s="13"/>
      <c r="BP78" s="13"/>
      <c r="BQ78" s="13"/>
      <c r="BR78" s="13"/>
    </row>
    <row r="79" spans="1:90" ht="15" customHeight="1" x14ac:dyDescent="0.25">
      <c r="O79" s="114"/>
      <c r="P79" s="114"/>
      <c r="Q79" s="114"/>
      <c r="R79" s="114"/>
      <c r="S79" s="114"/>
      <c r="T79" s="114"/>
      <c r="U79" s="114"/>
      <c r="V79" s="114"/>
      <c r="AD79" s="778"/>
      <c r="AE79" s="779"/>
      <c r="AF79" s="779"/>
      <c r="AG79" s="779"/>
      <c r="AH79" s="780"/>
      <c r="AL79" s="774">
        <v>2940</v>
      </c>
      <c r="AM79" s="774"/>
      <c r="AN79" s="774"/>
      <c r="AO79" s="774">
        <f ca="1">AT95</f>
        <v>2940</v>
      </c>
      <c r="AP79" s="774"/>
      <c r="AQ79" s="774"/>
      <c r="AR79" s="726">
        <f>AS40</f>
        <v>244.25239999999999</v>
      </c>
      <c r="AS79" s="726"/>
      <c r="AT79" s="726">
        <f>AS40+BJ42</f>
        <v>290.75239999999997</v>
      </c>
      <c r="AU79" s="726"/>
      <c r="AY79" s="727" t="s">
        <v>128</v>
      </c>
      <c r="AZ79" s="727"/>
      <c r="BA79" s="727"/>
      <c r="BB79" s="727"/>
      <c r="BC79" s="727"/>
      <c r="BD79" s="727"/>
      <c r="BE79" s="727"/>
      <c r="BF79" s="727"/>
      <c r="BG79" s="727"/>
      <c r="BH79" s="727"/>
      <c r="BI79" s="13"/>
      <c r="BJ79" s="13"/>
      <c r="BK79" s="13"/>
      <c r="BL79" s="13"/>
      <c r="BM79" s="13"/>
      <c r="BN79" s="13"/>
      <c r="BO79" s="13"/>
      <c r="BP79" s="13"/>
      <c r="BQ79" s="13"/>
      <c r="BR79" s="13"/>
    </row>
    <row r="80" spans="1:90" ht="15" customHeight="1" x14ac:dyDescent="0.25">
      <c r="O80" s="114"/>
      <c r="P80" s="114"/>
      <c r="Q80" s="114"/>
      <c r="R80" s="114"/>
      <c r="S80" s="114"/>
      <c r="T80" s="114"/>
      <c r="U80" s="114"/>
      <c r="V80" s="114"/>
      <c r="AD80" s="778"/>
      <c r="AE80" s="779"/>
      <c r="AF80" s="779"/>
      <c r="AG80" s="779"/>
      <c r="AH80" s="780"/>
      <c r="AL80" s="774"/>
      <c r="AM80" s="774"/>
      <c r="AN80" s="774"/>
      <c r="AO80" s="774"/>
      <c r="AP80" s="774"/>
      <c r="AQ80" s="774"/>
      <c r="AR80" s="726"/>
      <c r="AS80" s="726"/>
      <c r="AT80" s="726"/>
      <c r="AU80" s="726"/>
      <c r="AY80" s="727"/>
      <c r="AZ80" s="727"/>
      <c r="BA80" s="727"/>
      <c r="BB80" s="727"/>
      <c r="BC80" s="727"/>
      <c r="BD80" s="727"/>
      <c r="BE80" s="727"/>
      <c r="BF80" s="727"/>
      <c r="BG80" s="727"/>
      <c r="BH80" s="727"/>
      <c r="BI80" s="13"/>
      <c r="BJ80" s="13"/>
      <c r="BK80" s="13"/>
      <c r="BL80" s="13"/>
      <c r="BM80" s="13"/>
      <c r="BN80" s="13"/>
      <c r="BO80" s="13"/>
      <c r="BP80" s="13"/>
      <c r="BQ80" s="13"/>
      <c r="BR80" s="13"/>
    </row>
    <row r="81" spans="15:70" ht="15" customHeight="1" x14ac:dyDescent="0.25">
      <c r="O81" s="114"/>
      <c r="P81" s="114"/>
      <c r="Q81" s="114"/>
      <c r="R81" s="114"/>
      <c r="S81" s="114"/>
      <c r="T81" s="114"/>
      <c r="U81" s="114"/>
      <c r="V81" s="114"/>
      <c r="AD81" s="778"/>
      <c r="AE81" s="779"/>
      <c r="AF81" s="779"/>
      <c r="AG81" s="779"/>
      <c r="AH81" s="780"/>
      <c r="AL81" s="774"/>
      <c r="AM81" s="774"/>
      <c r="AN81" s="774"/>
      <c r="AO81" s="774"/>
      <c r="AP81" s="774"/>
      <c r="AQ81" s="774"/>
      <c r="AR81" s="726"/>
      <c r="AS81" s="726"/>
      <c r="AT81" s="726"/>
      <c r="AU81" s="726"/>
      <c r="AY81" s="728">
        <f ca="1">AR79/((60*3.1415/59)*(AO79/3.281))</f>
        <v>8.532208052972369E-2</v>
      </c>
      <c r="AZ81" s="729"/>
      <c r="BA81" s="729"/>
      <c r="BB81" s="729"/>
      <c r="BC81" s="729"/>
      <c r="BD81" s="729"/>
      <c r="BE81" s="729"/>
      <c r="BF81" s="729"/>
      <c r="BG81" s="729"/>
      <c r="BH81" s="730"/>
      <c r="BI81" s="57"/>
      <c r="BJ81" s="57"/>
      <c r="BK81" s="57"/>
      <c r="BL81" s="57"/>
      <c r="BM81" s="57"/>
      <c r="BN81" s="57"/>
      <c r="BO81" s="57"/>
      <c r="BP81" s="57"/>
      <c r="BQ81" s="57"/>
      <c r="BR81" s="57"/>
    </row>
    <row r="82" spans="15:70" ht="15.75" customHeight="1" thickBot="1" x14ac:dyDescent="0.3">
      <c r="AD82" s="781"/>
      <c r="AE82" s="782"/>
      <c r="AF82" s="782"/>
      <c r="AG82" s="782"/>
      <c r="AH82" s="783"/>
      <c r="AL82" s="774"/>
      <c r="AM82" s="774"/>
      <c r="AN82" s="774"/>
      <c r="AO82" s="774"/>
      <c r="AP82" s="774"/>
      <c r="AQ82" s="774"/>
      <c r="AR82" s="726"/>
      <c r="AS82" s="726"/>
      <c r="AT82" s="726"/>
      <c r="AU82" s="726"/>
      <c r="AY82" s="731"/>
      <c r="AZ82" s="732"/>
      <c r="BA82" s="732"/>
      <c r="BB82" s="732"/>
      <c r="BC82" s="732"/>
      <c r="BD82" s="732"/>
      <c r="BE82" s="732"/>
      <c r="BF82" s="732"/>
      <c r="BG82" s="732"/>
      <c r="BH82" s="733"/>
      <c r="BI82" s="57"/>
      <c r="BJ82" s="57"/>
      <c r="BK82" s="57"/>
      <c r="BL82" s="57"/>
      <c r="BM82" s="57"/>
      <c r="BN82" s="57"/>
      <c r="BO82" s="57"/>
      <c r="BP82" s="57"/>
      <c r="BQ82" s="57"/>
      <c r="BR82" s="57"/>
    </row>
    <row r="83" spans="15:70" ht="15.75" customHeight="1" thickTop="1" x14ac:dyDescent="0.25">
      <c r="AY83" s="734"/>
      <c r="AZ83" s="735"/>
      <c r="BA83" s="735"/>
      <c r="BB83" s="735"/>
      <c r="BC83" s="735"/>
      <c r="BD83" s="735"/>
      <c r="BE83" s="735"/>
      <c r="BF83" s="735"/>
      <c r="BG83" s="735"/>
      <c r="BH83" s="736"/>
      <c r="BI83" s="57"/>
      <c r="BJ83" s="57"/>
      <c r="BK83" s="57"/>
      <c r="BL83" s="57"/>
      <c r="BM83" s="57"/>
      <c r="BN83" s="57"/>
      <c r="BO83" s="57"/>
      <c r="BP83" s="57"/>
      <c r="BQ83" s="57"/>
      <c r="BR83" s="57"/>
    </row>
    <row r="84" spans="15:70" x14ac:dyDescent="0.25">
      <c r="AY84" s="739" t="s">
        <v>129</v>
      </c>
      <c r="AZ84" s="740"/>
      <c r="BA84" s="740"/>
      <c r="BB84" s="740"/>
      <c r="BC84" s="740"/>
      <c r="BD84" s="740"/>
      <c r="BE84" s="740"/>
      <c r="BF84" s="740"/>
      <c r="BG84" s="740"/>
      <c r="BH84" s="741"/>
      <c r="BI84" s="13"/>
      <c r="BJ84" s="13"/>
      <c r="BK84" s="13"/>
      <c r="BL84" s="13"/>
      <c r="BM84" s="13"/>
      <c r="BN84" s="13"/>
      <c r="BO84" s="13"/>
      <c r="BP84" s="13"/>
      <c r="BQ84" s="13"/>
      <c r="BR84" s="13"/>
    </row>
    <row r="85" spans="15:70" x14ac:dyDescent="0.25">
      <c r="AY85" s="742"/>
      <c r="AZ85" s="743"/>
      <c r="BA85" s="743"/>
      <c r="BB85" s="743"/>
      <c r="BC85" s="743"/>
      <c r="BD85" s="743"/>
      <c r="BE85" s="743"/>
      <c r="BF85" s="743"/>
      <c r="BG85" s="743"/>
      <c r="BH85" s="744"/>
      <c r="BI85" s="13"/>
      <c r="BJ85" s="13"/>
      <c r="BK85" s="13"/>
      <c r="BL85" s="13"/>
      <c r="BM85" s="13"/>
      <c r="BN85" s="13"/>
      <c r="BO85" s="13"/>
      <c r="BP85" s="13"/>
      <c r="BQ85" s="13"/>
      <c r="BR85" s="13"/>
    </row>
    <row r="86" spans="15:70" ht="15" customHeight="1" x14ac:dyDescent="0.25">
      <c r="AN86" s="1255">
        <v>98</v>
      </c>
      <c r="AO86" s="1255"/>
      <c r="AP86" s="1255"/>
      <c r="AQ86" s="746" cm="1">
        <f t="array" aca="1" ref="AQ86" ca="1">SUM(COUNTIF(INDIRECT({"B8","G8","L8","Q8","V8","AA8","AF8","AK8","AP8","AU8","AZ8","BE8","BJ8","BO8","B14","G14","L14","Q14","V14","AA14","AF14","AK14","AP14","AU14","AZ14","BE14","BJ14","BO14","B20","G20","L20","Q20","V20","AA20","AF20","AK20","AP20","AU20","AZ20"}),"&gt;0"))</f>
        <v>30</v>
      </c>
      <c r="AR86" s="746"/>
      <c r="AS86" s="746"/>
      <c r="AT86" s="747">
        <f ca="1">AQ86*AN86</f>
        <v>2940</v>
      </c>
      <c r="AU86" s="748"/>
      <c r="AV86" s="748"/>
      <c r="AW86" s="749"/>
      <c r="AY86" s="739" t="s">
        <v>130</v>
      </c>
      <c r="AZ86" s="740"/>
      <c r="BA86" s="740"/>
      <c r="BB86" s="740"/>
      <c r="BC86" s="740"/>
      <c r="BD86" s="740"/>
      <c r="BE86" s="740"/>
      <c r="BF86" s="740"/>
      <c r="BG86" s="740"/>
      <c r="BH86" s="741"/>
      <c r="BI86" s="13"/>
      <c r="BJ86" s="13"/>
      <c r="BK86" s="13"/>
      <c r="BL86" s="13"/>
      <c r="BM86" s="13"/>
      <c r="BN86" s="13"/>
      <c r="BO86" s="13"/>
      <c r="BP86" s="13"/>
      <c r="BQ86" s="13"/>
      <c r="BR86" s="13"/>
    </row>
    <row r="87" spans="15:70" ht="15" customHeight="1" x14ac:dyDescent="0.25">
      <c r="AN87" s="1255"/>
      <c r="AO87" s="1255"/>
      <c r="AP87" s="1255"/>
      <c r="AQ87" s="746"/>
      <c r="AR87" s="746"/>
      <c r="AS87" s="746"/>
      <c r="AT87" s="747"/>
      <c r="AU87" s="748"/>
      <c r="AV87" s="748"/>
      <c r="AW87" s="749"/>
      <c r="AY87" s="750"/>
      <c r="AZ87" s="751"/>
      <c r="BA87" s="751"/>
      <c r="BB87" s="751"/>
      <c r="BC87" s="751"/>
      <c r="BD87" s="751"/>
      <c r="BE87" s="751"/>
      <c r="BF87" s="751"/>
      <c r="BG87" s="751"/>
      <c r="BH87" s="752"/>
      <c r="BI87" s="13"/>
      <c r="BJ87" s="13"/>
      <c r="BK87" s="13"/>
      <c r="BL87" s="13"/>
      <c r="BM87" s="13"/>
      <c r="BN87" s="13"/>
      <c r="BO87" s="13"/>
      <c r="BP87" s="13"/>
      <c r="BQ87" s="13"/>
      <c r="BR87" s="13"/>
    </row>
    <row r="88" spans="15:70" ht="15" customHeight="1" x14ac:dyDescent="0.25">
      <c r="AN88" s="1255"/>
      <c r="AO88" s="1255"/>
      <c r="AP88" s="1255"/>
      <c r="AQ88" s="746"/>
      <c r="AR88" s="746"/>
      <c r="AS88" s="746"/>
      <c r="AT88" s="747"/>
      <c r="AU88" s="748"/>
      <c r="AV88" s="748"/>
      <c r="AW88" s="749"/>
      <c r="AY88" s="750"/>
      <c r="AZ88" s="751"/>
      <c r="BA88" s="751"/>
      <c r="BB88" s="751"/>
      <c r="BC88" s="751"/>
      <c r="BD88" s="751"/>
      <c r="BE88" s="751"/>
      <c r="BF88" s="751"/>
      <c r="BG88" s="751"/>
      <c r="BH88" s="752"/>
      <c r="BI88" s="13"/>
      <c r="BJ88" s="13"/>
      <c r="BK88" s="13"/>
      <c r="BL88" s="13"/>
      <c r="BM88" s="13"/>
      <c r="BN88" s="13"/>
      <c r="BO88" s="13"/>
      <c r="BP88" s="13"/>
      <c r="BQ88" s="13"/>
      <c r="BR88" s="13"/>
    </row>
    <row r="89" spans="15:70" ht="15" customHeight="1" x14ac:dyDescent="0.25">
      <c r="AN89" s="727"/>
      <c r="AO89" s="727"/>
      <c r="AP89" s="727"/>
      <c r="AQ89" s="746"/>
      <c r="AR89" s="746"/>
      <c r="AS89" s="746"/>
      <c r="AT89" s="747"/>
      <c r="AU89" s="748"/>
      <c r="AV89" s="748"/>
      <c r="AW89" s="749"/>
      <c r="AY89" s="742"/>
      <c r="AZ89" s="743"/>
      <c r="BA89" s="743"/>
      <c r="BB89" s="743"/>
      <c r="BC89" s="743"/>
      <c r="BD89" s="743"/>
      <c r="BE89" s="743"/>
      <c r="BF89" s="743"/>
      <c r="BG89" s="743"/>
      <c r="BH89" s="744"/>
      <c r="BI89" s="13"/>
      <c r="BJ89" s="13"/>
      <c r="BK89" s="13"/>
      <c r="BL89" s="13"/>
      <c r="BM89" s="13"/>
      <c r="BN89" s="13"/>
      <c r="BO89" s="13"/>
      <c r="BP89" s="13"/>
      <c r="BQ89" s="13"/>
      <c r="BR89" s="13"/>
    </row>
    <row r="90" spans="15:70" ht="26.25" x14ac:dyDescent="0.25">
      <c r="AN90" s="727"/>
      <c r="AO90" s="727"/>
      <c r="AP90" s="727"/>
      <c r="AQ90" s="746"/>
      <c r="AR90" s="746"/>
      <c r="AS90" s="746"/>
      <c r="AT90" s="747"/>
      <c r="AU90" s="748"/>
      <c r="AV90" s="748"/>
      <c r="AW90" s="749"/>
      <c r="AY90" s="728">
        <f ca="1">AT79/((60*3.1415/59)*(AO79/3.281))</f>
        <v>0.10156542857720305</v>
      </c>
      <c r="AZ90" s="729"/>
      <c r="BA90" s="729"/>
      <c r="BB90" s="729"/>
      <c r="BC90" s="729"/>
      <c r="BD90" s="729"/>
      <c r="BE90" s="729"/>
      <c r="BF90" s="729"/>
      <c r="BG90" s="729"/>
      <c r="BH90" s="730"/>
      <c r="BI90" s="57"/>
      <c r="BJ90" s="57"/>
      <c r="BK90" s="57"/>
      <c r="BL90" s="57"/>
      <c r="BM90" s="57"/>
      <c r="BN90" s="57"/>
      <c r="BO90" s="57"/>
      <c r="BP90" s="57"/>
      <c r="BQ90" s="57"/>
      <c r="BR90" s="57"/>
    </row>
    <row r="91" spans="15:70" ht="26.25" x14ac:dyDescent="0.25">
      <c r="AN91" s="727"/>
      <c r="AO91" s="727"/>
      <c r="AP91" s="727"/>
      <c r="AQ91" s="746"/>
      <c r="AR91" s="746"/>
      <c r="AS91" s="746"/>
      <c r="AT91" s="747"/>
      <c r="AU91" s="748"/>
      <c r="AV91" s="748"/>
      <c r="AW91" s="749"/>
      <c r="AY91" s="731"/>
      <c r="AZ91" s="732"/>
      <c r="BA91" s="732"/>
      <c r="BB91" s="732"/>
      <c r="BC91" s="732"/>
      <c r="BD91" s="732"/>
      <c r="BE91" s="732"/>
      <c r="BF91" s="732"/>
      <c r="BG91" s="732"/>
      <c r="BH91" s="733"/>
      <c r="BI91" s="57"/>
      <c r="BJ91" s="57"/>
      <c r="BK91" s="57"/>
      <c r="BL91" s="57"/>
      <c r="BM91" s="57"/>
      <c r="BN91" s="57"/>
      <c r="BO91" s="57"/>
      <c r="BP91" s="57"/>
      <c r="BQ91" s="57"/>
      <c r="BR91" s="57"/>
    </row>
    <row r="92" spans="15:70" ht="15" customHeight="1" x14ac:dyDescent="0.25">
      <c r="AN92" s="727"/>
      <c r="AO92" s="727"/>
      <c r="AP92" s="727"/>
      <c r="AQ92" s="746"/>
      <c r="AR92" s="746"/>
      <c r="AS92" s="746"/>
      <c r="AT92" s="747"/>
      <c r="AU92" s="748"/>
      <c r="AV92" s="748"/>
      <c r="AW92" s="749"/>
      <c r="AY92" s="731"/>
      <c r="AZ92" s="732"/>
      <c r="BA92" s="732"/>
      <c r="BB92" s="732"/>
      <c r="BC92" s="732"/>
      <c r="BD92" s="732"/>
      <c r="BE92" s="732"/>
      <c r="BF92" s="732"/>
      <c r="BG92" s="732"/>
      <c r="BH92" s="733"/>
      <c r="BI92" s="57"/>
      <c r="BJ92" s="57"/>
      <c r="BK92" s="57"/>
      <c r="BL92" s="57"/>
      <c r="BM92" s="57"/>
      <c r="BN92" s="57"/>
      <c r="BO92" s="57"/>
      <c r="BP92" s="57"/>
      <c r="BQ92" s="57"/>
      <c r="BR92" s="57"/>
    </row>
    <row r="93" spans="15:70" ht="15" customHeight="1" x14ac:dyDescent="0.25">
      <c r="AN93" s="727"/>
      <c r="AO93" s="727"/>
      <c r="AP93" s="727"/>
      <c r="AQ93" s="746"/>
      <c r="AR93" s="746"/>
      <c r="AS93" s="746"/>
      <c r="AT93" s="747"/>
      <c r="AU93" s="748"/>
      <c r="AV93" s="748"/>
      <c r="AW93" s="749"/>
      <c r="AY93" s="731"/>
      <c r="AZ93" s="732"/>
      <c r="BA93" s="732"/>
      <c r="BB93" s="732"/>
      <c r="BC93" s="732"/>
      <c r="BD93" s="732"/>
      <c r="BE93" s="732"/>
      <c r="BF93" s="732"/>
      <c r="BG93" s="732"/>
      <c r="BH93" s="733"/>
      <c r="BI93" s="57"/>
      <c r="BJ93" s="57"/>
      <c r="BK93" s="57"/>
      <c r="BL93" s="57"/>
      <c r="BM93" s="57"/>
      <c r="BN93" s="57"/>
      <c r="BO93" s="57"/>
      <c r="BP93" s="57"/>
      <c r="BQ93" s="57"/>
      <c r="BR93" s="57"/>
    </row>
    <row r="94" spans="15:70" ht="15" customHeight="1" x14ac:dyDescent="0.25">
      <c r="AN94" s="727"/>
      <c r="AO94" s="727"/>
      <c r="AP94" s="727"/>
      <c r="AQ94" s="746"/>
      <c r="AR94" s="746"/>
      <c r="AS94" s="746"/>
      <c r="AT94" s="747"/>
      <c r="AU94" s="748"/>
      <c r="AV94" s="748"/>
      <c r="AW94" s="749"/>
      <c r="AY94" s="734"/>
      <c r="AZ94" s="735"/>
      <c r="BA94" s="735"/>
      <c r="BB94" s="735"/>
      <c r="BC94" s="735"/>
      <c r="BD94" s="735"/>
      <c r="BE94" s="735"/>
      <c r="BF94" s="735"/>
      <c r="BG94" s="735"/>
      <c r="BH94" s="736"/>
      <c r="BI94" s="57"/>
      <c r="BJ94" s="57"/>
      <c r="BK94" s="57"/>
      <c r="BL94" s="57"/>
      <c r="BM94" s="57"/>
      <c r="BN94" s="57"/>
      <c r="BO94" s="57"/>
      <c r="BP94" s="57"/>
      <c r="BQ94" s="57"/>
      <c r="BR94" s="57"/>
    </row>
    <row r="95" spans="15:70" ht="15" customHeight="1" x14ac:dyDescent="0.25">
      <c r="AQ95" s="1254">
        <f ca="1">AQ92+AQ89+AQ86</f>
        <v>30</v>
      </c>
      <c r="AR95" s="1254"/>
      <c r="AS95" s="1254"/>
      <c r="AT95" s="747">
        <f ca="1">AT89+AT92+AT86</f>
        <v>2940</v>
      </c>
      <c r="AU95" s="748"/>
      <c r="AV95" s="748"/>
      <c r="AW95" s="749"/>
    </row>
    <row r="96" spans="15:70" ht="15" customHeight="1" x14ac:dyDescent="0.25">
      <c r="AQ96" s="1254"/>
      <c r="AR96" s="1254"/>
      <c r="AS96" s="1254"/>
      <c r="AT96" s="747"/>
      <c r="AU96" s="748"/>
      <c r="AV96" s="748"/>
      <c r="AW96" s="749"/>
    </row>
    <row r="97" spans="43:49" ht="15" customHeight="1" x14ac:dyDescent="0.25">
      <c r="AQ97" s="1254"/>
      <c r="AR97" s="1254"/>
      <c r="AS97" s="1254"/>
      <c r="AT97" s="747"/>
      <c r="AU97" s="748"/>
      <c r="AV97" s="748"/>
      <c r="AW97" s="749"/>
    </row>
    <row r="99" spans="43:49" ht="15" customHeight="1" x14ac:dyDescent="0.25"/>
    <row r="100" spans="43:49" ht="15" customHeight="1" x14ac:dyDescent="0.25"/>
    <row r="101" spans="43:49" ht="15" customHeight="1" x14ac:dyDescent="0.25"/>
    <row r="102" spans="43:49" ht="15" customHeight="1" x14ac:dyDescent="0.25"/>
    <row r="103" spans="43:49" ht="15" customHeight="1" x14ac:dyDescent="0.25"/>
    <row r="104" spans="43:49" ht="15" customHeight="1" x14ac:dyDescent="0.25"/>
    <row r="105" spans="43:49" ht="15" customHeight="1" x14ac:dyDescent="0.25"/>
    <row r="106" spans="43:49" ht="15" customHeight="1" x14ac:dyDescent="0.25"/>
    <row r="107" spans="43:49" ht="15" customHeight="1" x14ac:dyDescent="0.25"/>
    <row r="108" spans="43:49" ht="15" customHeight="1" x14ac:dyDescent="0.25">
      <c r="AS108" s="27"/>
      <c r="AT108" s="27"/>
      <c r="AU108" s="27"/>
    </row>
  </sheetData>
  <mergeCells count="310">
    <mergeCell ref="AQ92:AS94"/>
    <mergeCell ref="AT92:AW94"/>
    <mergeCell ref="AQ95:AS97"/>
    <mergeCell ref="AT95:AW97"/>
    <mergeCell ref="AY84:BH85"/>
    <mergeCell ref="AN86:AP88"/>
    <mergeCell ref="AQ86:AS88"/>
    <mergeCell ref="AT86:AW88"/>
    <mergeCell ref="AY86:BH89"/>
    <mergeCell ref="AN89:AP91"/>
    <mergeCell ref="AQ89:AS91"/>
    <mergeCell ref="AT89:AW91"/>
    <mergeCell ref="AY90:BH94"/>
    <mergeCell ref="AN92:AP94"/>
    <mergeCell ref="AY76:BH78"/>
    <mergeCell ref="AL79:AN82"/>
    <mergeCell ref="AO79:AQ82"/>
    <mergeCell ref="AR79:AS82"/>
    <mergeCell ref="AT79:AU82"/>
    <mergeCell ref="AY79:BH80"/>
    <mergeCell ref="AY81:BH83"/>
    <mergeCell ref="A65:C67"/>
    <mergeCell ref="AD76:AH82"/>
    <mergeCell ref="AL76:AN78"/>
    <mergeCell ref="AO76:AQ78"/>
    <mergeCell ref="AR76:AS78"/>
    <mergeCell ref="AT76:AU78"/>
    <mergeCell ref="V61:Y61"/>
    <mergeCell ref="BI61:BI62"/>
    <mergeCell ref="BJ61:BM61"/>
    <mergeCell ref="BN61:BN62"/>
    <mergeCell ref="BO61:BR61"/>
    <mergeCell ref="A64:C64"/>
    <mergeCell ref="BQ60:BR60"/>
    <mergeCell ref="A61:A62"/>
    <mergeCell ref="B61:E61"/>
    <mergeCell ref="F61:F62"/>
    <mergeCell ref="G61:J61"/>
    <mergeCell ref="K61:K62"/>
    <mergeCell ref="L61:O61"/>
    <mergeCell ref="P61:P62"/>
    <mergeCell ref="Q61:T61"/>
    <mergeCell ref="U61:U62"/>
    <mergeCell ref="BN58:BP60"/>
    <mergeCell ref="D60:E60"/>
    <mergeCell ref="I60:J60"/>
    <mergeCell ref="N60:O60"/>
    <mergeCell ref="S60:T60"/>
    <mergeCell ref="X60:Y60"/>
    <mergeCell ref="BL60:BM60"/>
    <mergeCell ref="A58:C60"/>
    <mergeCell ref="F58:H60"/>
    <mergeCell ref="K58:M60"/>
    <mergeCell ref="P58:R60"/>
    <mergeCell ref="U58:W60"/>
    <mergeCell ref="BI58:BK60"/>
    <mergeCell ref="U57:W57"/>
    <mergeCell ref="X57:Y57"/>
    <mergeCell ref="BI57:BK57"/>
    <mergeCell ref="BL57:BM57"/>
    <mergeCell ref="BN57:BP57"/>
    <mergeCell ref="BQ57:BR57"/>
    <mergeCell ref="BN55:BN56"/>
    <mergeCell ref="BO55:BR55"/>
    <mergeCell ref="A57:C57"/>
    <mergeCell ref="D57:E57"/>
    <mergeCell ref="F57:H57"/>
    <mergeCell ref="I57:J57"/>
    <mergeCell ref="K57:M57"/>
    <mergeCell ref="N57:O57"/>
    <mergeCell ref="P57:R57"/>
    <mergeCell ref="S57:T57"/>
    <mergeCell ref="P55:P56"/>
    <mergeCell ref="Q55:T55"/>
    <mergeCell ref="U55:U56"/>
    <mergeCell ref="V55:Y55"/>
    <mergeCell ref="BI55:BI56"/>
    <mergeCell ref="BJ55:BM55"/>
    <mergeCell ref="A55:A56"/>
    <mergeCell ref="B55:E55"/>
    <mergeCell ref="F55:F56"/>
    <mergeCell ref="G55:J55"/>
    <mergeCell ref="K55:K56"/>
    <mergeCell ref="L55:O55"/>
    <mergeCell ref="I54:J54"/>
    <mergeCell ref="N54:O54"/>
    <mergeCell ref="S54:T54"/>
    <mergeCell ref="X54:Y54"/>
    <mergeCell ref="BL54:BM54"/>
    <mergeCell ref="BQ54:BR54"/>
    <mergeCell ref="BN51:BP51"/>
    <mergeCell ref="BQ51:BR51"/>
    <mergeCell ref="A52:C54"/>
    <mergeCell ref="F52:H54"/>
    <mergeCell ref="K52:M54"/>
    <mergeCell ref="P52:R54"/>
    <mergeCell ref="U52:W54"/>
    <mergeCell ref="BI52:BK54"/>
    <mergeCell ref="BN52:BP54"/>
    <mergeCell ref="D54:E54"/>
    <mergeCell ref="P51:R51"/>
    <mergeCell ref="S51:T51"/>
    <mergeCell ref="U51:W51"/>
    <mergeCell ref="X51:Y51"/>
    <mergeCell ref="BI51:BK51"/>
    <mergeCell ref="BL51:BM51"/>
    <mergeCell ref="A51:C51"/>
    <mergeCell ref="D51:E51"/>
    <mergeCell ref="F51:H51"/>
    <mergeCell ref="I51:J51"/>
    <mergeCell ref="K51:M51"/>
    <mergeCell ref="N51:O51"/>
    <mergeCell ref="BN36:BP41"/>
    <mergeCell ref="V40:AG47"/>
    <mergeCell ref="AH40:AR47"/>
    <mergeCell ref="AS40:BD47"/>
    <mergeCell ref="BJ42:BP45"/>
    <mergeCell ref="F43:G43"/>
    <mergeCell ref="F44:G47"/>
    <mergeCell ref="BJ46:BP48"/>
    <mergeCell ref="J32:M35"/>
    <mergeCell ref="Y32:AB35"/>
    <mergeCell ref="AP32:AS35"/>
    <mergeCell ref="BF32:BJ35"/>
    <mergeCell ref="V36:AG39"/>
    <mergeCell ref="AH36:AR39"/>
    <mergeCell ref="AS36:BD39"/>
    <mergeCell ref="BE36:BI47"/>
    <mergeCell ref="BJ36:BM41"/>
    <mergeCell ref="J31:M31"/>
    <mergeCell ref="A19:A20"/>
    <mergeCell ref="B19:E19"/>
    <mergeCell ref="F19:F20"/>
    <mergeCell ref="G19:J19"/>
    <mergeCell ref="BI13:BI14"/>
    <mergeCell ref="BJ13:BM13"/>
    <mergeCell ref="A13:A14"/>
    <mergeCell ref="B13:E13"/>
    <mergeCell ref="F13:F14"/>
    <mergeCell ref="G13:J13"/>
    <mergeCell ref="K13:K14"/>
    <mergeCell ref="L13:O13"/>
    <mergeCell ref="A18:B18"/>
    <mergeCell ref="C18:E18"/>
    <mergeCell ref="F18:G18"/>
    <mergeCell ref="H18:J18"/>
    <mergeCell ref="BO13:BR13"/>
    <mergeCell ref="A15:B17"/>
    <mergeCell ref="C15:E17"/>
    <mergeCell ref="F15:G17"/>
    <mergeCell ref="H15:J17"/>
    <mergeCell ref="AT13:AT14"/>
    <mergeCell ref="AU13:AX13"/>
    <mergeCell ref="AY13:AY14"/>
    <mergeCell ref="AZ13:BC13"/>
    <mergeCell ref="BD13:BD14"/>
    <mergeCell ref="BE13:BH13"/>
    <mergeCell ref="AE13:AE14"/>
    <mergeCell ref="AF13:AI13"/>
    <mergeCell ref="AJ13:AJ14"/>
    <mergeCell ref="AK13:AN13"/>
    <mergeCell ref="AO13:AO14"/>
    <mergeCell ref="AP13:AS13"/>
    <mergeCell ref="P13:P14"/>
    <mergeCell ref="Q13:T13"/>
    <mergeCell ref="U13:U14"/>
    <mergeCell ref="V13:Y13"/>
    <mergeCell ref="Z13:Z14"/>
    <mergeCell ref="AA13:AD13"/>
    <mergeCell ref="A9:B11"/>
    <mergeCell ref="C9:E11"/>
    <mergeCell ref="F9:G11"/>
    <mergeCell ref="H9:J11"/>
    <mergeCell ref="K9:L11"/>
    <mergeCell ref="M9:O11"/>
    <mergeCell ref="P9:Q11"/>
    <mergeCell ref="R9:T11"/>
    <mergeCell ref="BN13:BN14"/>
    <mergeCell ref="BN9:BO11"/>
    <mergeCell ref="AO9:AP11"/>
    <mergeCell ref="AQ9:AS11"/>
    <mergeCell ref="AT9:AU11"/>
    <mergeCell ref="AV9:AX11"/>
    <mergeCell ref="U9:V11"/>
    <mergeCell ref="W9:Y11"/>
    <mergeCell ref="Z9:AA11"/>
    <mergeCell ref="AB9:AD11"/>
    <mergeCell ref="AE9:AF11"/>
    <mergeCell ref="AG9:AI11"/>
    <mergeCell ref="AJ9:AK11"/>
    <mergeCell ref="AL9:AN11"/>
    <mergeCell ref="AO12:AP12"/>
    <mergeCell ref="AQ12:AS12"/>
    <mergeCell ref="BK12:BM12"/>
    <mergeCell ref="BN12:BO12"/>
    <mergeCell ref="BP12:BR12"/>
    <mergeCell ref="AY9:AZ11"/>
    <mergeCell ref="BN7:BN8"/>
    <mergeCell ref="BO7:BR7"/>
    <mergeCell ref="AZ7:BC7"/>
    <mergeCell ref="BD7:BD8"/>
    <mergeCell ref="BE7:BH7"/>
    <mergeCell ref="BI7:BI8"/>
    <mergeCell ref="BJ7:BM7"/>
    <mergeCell ref="U7:U8"/>
    <mergeCell ref="V7:Y7"/>
    <mergeCell ref="Z7:Z8"/>
    <mergeCell ref="AA7:AD7"/>
    <mergeCell ref="AE7:AE8"/>
    <mergeCell ref="AF7:AI7"/>
    <mergeCell ref="AJ7:AJ8"/>
    <mergeCell ref="AK7:AN7"/>
    <mergeCell ref="BP9:BR11"/>
    <mergeCell ref="BA9:BC11"/>
    <mergeCell ref="BD9:BE11"/>
    <mergeCell ref="BF9:BH11"/>
    <mergeCell ref="BI9:BJ11"/>
    <mergeCell ref="BK9:BM11"/>
    <mergeCell ref="AY7:AY8"/>
    <mergeCell ref="AP7:AS7"/>
    <mergeCell ref="AT7:AT8"/>
    <mergeCell ref="AU7:AX7"/>
    <mergeCell ref="AO7:AO8"/>
    <mergeCell ref="AE3:AF5"/>
    <mergeCell ref="AG3:AI5"/>
    <mergeCell ref="AJ3:AK5"/>
    <mergeCell ref="AL3:AN5"/>
    <mergeCell ref="AO3:AP5"/>
    <mergeCell ref="AQ3:AS5"/>
    <mergeCell ref="AQ6:AS6"/>
    <mergeCell ref="AT6:AU6"/>
    <mergeCell ref="AV6:AX6"/>
    <mergeCell ref="AG6:AI6"/>
    <mergeCell ref="AJ6:AK6"/>
    <mergeCell ref="AL6:AN6"/>
    <mergeCell ref="AO6:AP6"/>
    <mergeCell ref="A7:A8"/>
    <mergeCell ref="B7:E7"/>
    <mergeCell ref="F7:F8"/>
    <mergeCell ref="G7:J7"/>
    <mergeCell ref="K7:K8"/>
    <mergeCell ref="L7:O7"/>
    <mergeCell ref="P7:P8"/>
    <mergeCell ref="Q7:T7"/>
    <mergeCell ref="A6:B6"/>
    <mergeCell ref="C6:E6"/>
    <mergeCell ref="F6:G6"/>
    <mergeCell ref="H6:J6"/>
    <mergeCell ref="K6:L6"/>
    <mergeCell ref="M6:O6"/>
    <mergeCell ref="P6:Q6"/>
    <mergeCell ref="R6:T6"/>
    <mergeCell ref="BI3:BJ5"/>
    <mergeCell ref="BK3:BM5"/>
    <mergeCell ref="BN3:BO5"/>
    <mergeCell ref="BP3:BR5"/>
    <mergeCell ref="AT3:AU5"/>
    <mergeCell ref="AV3:AX5"/>
    <mergeCell ref="AY3:AZ5"/>
    <mergeCell ref="BA3:BC5"/>
    <mergeCell ref="BD3:BE5"/>
    <mergeCell ref="BF3:BH5"/>
    <mergeCell ref="W3:Y5"/>
    <mergeCell ref="Z3:AA5"/>
    <mergeCell ref="AB3:AD5"/>
    <mergeCell ref="A3:B5"/>
    <mergeCell ref="C3:E5"/>
    <mergeCell ref="F3:G5"/>
    <mergeCell ref="H3:J5"/>
    <mergeCell ref="K3:L5"/>
    <mergeCell ref="M3:O5"/>
    <mergeCell ref="U3:V5"/>
    <mergeCell ref="P3:Q5"/>
    <mergeCell ref="R3:T5"/>
    <mergeCell ref="BK6:BM6"/>
    <mergeCell ref="BN6:BO6"/>
    <mergeCell ref="BP6:BR6"/>
    <mergeCell ref="A12:B12"/>
    <mergeCell ref="C12:E12"/>
    <mergeCell ref="F12:G12"/>
    <mergeCell ref="H12:J12"/>
    <mergeCell ref="K12:L12"/>
    <mergeCell ref="M12:O12"/>
    <mergeCell ref="P12:Q12"/>
    <mergeCell ref="R12:T12"/>
    <mergeCell ref="U12:V12"/>
    <mergeCell ref="W12:Y12"/>
    <mergeCell ref="Z12:AA12"/>
    <mergeCell ref="AB12:AD12"/>
    <mergeCell ref="AE12:AF12"/>
    <mergeCell ref="AG12:AI12"/>
    <mergeCell ref="AJ12:AK12"/>
    <mergeCell ref="AL12:AN12"/>
    <mergeCell ref="U6:V6"/>
    <mergeCell ref="W6:Y6"/>
    <mergeCell ref="Z6:AA6"/>
    <mergeCell ref="AB6:AD6"/>
    <mergeCell ref="AE6:AF6"/>
    <mergeCell ref="AT12:AU12"/>
    <mergeCell ref="AV12:AX12"/>
    <mergeCell ref="AY12:AZ12"/>
    <mergeCell ref="BA12:BC12"/>
    <mergeCell ref="AY6:AZ6"/>
    <mergeCell ref="BA6:BC6"/>
    <mergeCell ref="BD6:BE6"/>
    <mergeCell ref="BF6:BH6"/>
    <mergeCell ref="BI6:BJ6"/>
    <mergeCell ref="BD12:BE12"/>
    <mergeCell ref="BF12:BH12"/>
    <mergeCell ref="BI12:BJ12"/>
  </mergeCells>
  <pageMargins left="0.75" right="0.5" top="1" bottom="0.5" header="0.3" footer="0.3"/>
  <pageSetup paperSize="8" scale="45" orientation="landscape" r:id="rId1"/>
  <headerFooter>
    <oddFooter>&amp;C&amp;"-,Bold Italic"&amp;16Prepared by Emir Cebecioglu&amp;RQuality Control Department</oddFooter>
  </headerFooter>
  <colBreaks count="1" manualBreakCount="1">
    <brk id="70" max="50" man="1"/>
  </col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C9261-5128-4388-8BA2-00916C4C2F11}">
  <sheetPr>
    <tabColor rgb="FFFFFF00"/>
    <pageSetUpPr fitToPage="1"/>
  </sheetPr>
  <dimension ref="A1:AD68"/>
  <sheetViews>
    <sheetView view="pageBreakPreview" topLeftCell="A5" zoomScale="70" zoomScaleNormal="70" zoomScaleSheetLayoutView="70" workbookViewId="0">
      <selection activeCell="O31" sqref="O31:R31"/>
    </sheetView>
  </sheetViews>
  <sheetFormatPr defaultRowHeight="15" x14ac:dyDescent="0.25"/>
  <cols>
    <col min="1" max="1" width="5.42578125" customWidth="1"/>
    <col min="2" max="2" width="15.85546875" customWidth="1"/>
    <col min="3" max="3" width="11.140625" customWidth="1"/>
    <col min="4" max="5" width="7.28515625" customWidth="1"/>
    <col min="6" max="6" width="10.140625" customWidth="1"/>
    <col min="7" max="7" width="20.5703125" customWidth="1"/>
    <col min="8" max="8" width="11.7109375" customWidth="1"/>
    <col min="9" max="9" width="22.28515625" customWidth="1"/>
    <col min="10" max="10" width="10.85546875" customWidth="1"/>
    <col min="11" max="11" width="12" customWidth="1"/>
    <col min="12" max="12" width="14.5703125" customWidth="1"/>
    <col min="13" max="13" width="15.140625" customWidth="1"/>
    <col min="14" max="14" width="7.85546875" customWidth="1"/>
    <col min="15" max="15" width="6.7109375" customWidth="1"/>
    <col min="16" max="16" width="3" customWidth="1"/>
    <col min="17" max="17" width="11.85546875" customWidth="1"/>
    <col min="18" max="18" width="17.42578125" customWidth="1"/>
    <col min="19" max="19" width="20.7109375" customWidth="1"/>
    <col min="20" max="20" width="15" customWidth="1"/>
    <col min="21" max="21" width="17.140625" customWidth="1"/>
    <col min="22" max="22" width="21.7109375" customWidth="1"/>
    <col min="23" max="23" width="15.28515625" customWidth="1"/>
    <col min="24" max="24" width="5.5703125" customWidth="1"/>
    <col min="25" max="25" width="12.140625" customWidth="1"/>
  </cols>
  <sheetData>
    <row r="1" spans="1:30" ht="26.25" customHeight="1" thickBot="1" x14ac:dyDescent="0.3">
      <c r="A1" s="1007" t="e" vm="1">
        <v>#VALUE!</v>
      </c>
      <c r="B1" s="1008"/>
      <c r="C1" s="1008"/>
      <c r="D1" s="1008"/>
      <c r="E1" s="1008"/>
      <c r="F1" s="1008"/>
      <c r="G1" s="980" t="s">
        <v>0</v>
      </c>
      <c r="H1" s="981"/>
      <c r="I1" s="981"/>
      <c r="J1" s="981"/>
      <c r="K1" s="981"/>
      <c r="L1" s="981"/>
      <c r="M1" s="981"/>
      <c r="N1" s="981"/>
      <c r="O1" s="981"/>
      <c r="P1" s="981"/>
      <c r="Q1" s="981"/>
      <c r="R1" s="981"/>
      <c r="S1" s="981"/>
      <c r="T1" s="982"/>
      <c r="U1" s="1" t="s">
        <v>1</v>
      </c>
      <c r="V1" s="966">
        <v>45993</v>
      </c>
      <c r="W1" s="967"/>
      <c r="Y1" s="181"/>
      <c r="Z1" s="182"/>
      <c r="AA1" s="182"/>
    </row>
    <row r="2" spans="1:30" ht="27.75" customHeight="1" thickBot="1" x14ac:dyDescent="0.3">
      <c r="A2" s="1009"/>
      <c r="B2" s="1010"/>
      <c r="C2" s="1010"/>
      <c r="D2" s="1010"/>
      <c r="E2" s="1010"/>
      <c r="F2" s="1010"/>
      <c r="G2" s="983"/>
      <c r="H2" s="984"/>
      <c r="I2" s="984"/>
      <c r="J2" s="984"/>
      <c r="K2" s="984"/>
      <c r="L2" s="984"/>
      <c r="M2" s="984"/>
      <c r="N2" s="984"/>
      <c r="O2" s="984"/>
      <c r="P2" s="984"/>
      <c r="Q2" s="984"/>
      <c r="R2" s="984"/>
      <c r="S2" s="984"/>
      <c r="T2" s="985"/>
      <c r="U2" s="1" t="s">
        <v>2</v>
      </c>
      <c r="V2" s="966" t="s">
        <v>3</v>
      </c>
      <c r="W2" s="967"/>
      <c r="Y2" s="181"/>
      <c r="Z2" s="182"/>
      <c r="AA2" s="182"/>
    </row>
    <row r="3" spans="1:30" ht="27.75" customHeight="1" thickBot="1" x14ac:dyDescent="0.3">
      <c r="A3" s="2139" t="s">
        <v>364</v>
      </c>
      <c r="B3" s="2140"/>
      <c r="C3" s="2140"/>
      <c r="D3" s="2140"/>
      <c r="E3" s="2140"/>
      <c r="F3" s="2141"/>
      <c r="G3" s="990" t="s">
        <v>363</v>
      </c>
      <c r="H3" s="991"/>
      <c r="I3" s="992"/>
      <c r="J3" s="974" t="s">
        <v>362</v>
      </c>
      <c r="K3" s="974"/>
      <c r="L3" s="974"/>
      <c r="M3" s="974"/>
      <c r="N3" s="974"/>
      <c r="O3" s="974"/>
      <c r="P3" s="974"/>
      <c r="Q3" s="975"/>
      <c r="R3" s="968" t="s">
        <v>4</v>
      </c>
      <c r="S3" s="969"/>
      <c r="T3" s="969"/>
      <c r="U3" s="969"/>
      <c r="V3" s="969"/>
      <c r="W3" s="970"/>
      <c r="Y3" s="182"/>
      <c r="Z3" s="182"/>
      <c r="AA3" s="182"/>
    </row>
    <row r="4" spans="1:30" ht="27" customHeight="1" thickBot="1" x14ac:dyDescent="0.3">
      <c r="A4" s="2144" t="s">
        <v>365</v>
      </c>
      <c r="B4" s="2145"/>
      <c r="C4" s="2145"/>
      <c r="D4" s="2145"/>
      <c r="E4" s="2145"/>
      <c r="F4" s="259" t="s">
        <v>366</v>
      </c>
      <c r="G4" s="993"/>
      <c r="H4" s="994"/>
      <c r="I4" s="995"/>
      <c r="J4" s="2142"/>
      <c r="K4" s="2142"/>
      <c r="L4" s="2142"/>
      <c r="M4" s="2142"/>
      <c r="N4" s="2142"/>
      <c r="O4" s="2142"/>
      <c r="P4" s="2142"/>
      <c r="Q4" s="2143"/>
      <c r="R4" s="971"/>
      <c r="S4" s="972"/>
      <c r="T4" s="972"/>
      <c r="U4" s="972"/>
      <c r="V4" s="972"/>
      <c r="W4" s="973"/>
      <c r="Y4" s="182"/>
      <c r="Z4" s="182"/>
      <c r="AA4" s="182"/>
    </row>
    <row r="5" spans="1:30" ht="27" customHeight="1" x14ac:dyDescent="0.25">
      <c r="A5" s="1023" t="s">
        <v>37</v>
      </c>
      <c r="B5" s="1024"/>
      <c r="C5" s="1024"/>
      <c r="D5" s="1024"/>
      <c r="E5" s="1024"/>
      <c r="F5" s="260">
        <v>2</v>
      </c>
      <c r="G5" s="996" t="s">
        <v>5</v>
      </c>
      <c r="H5" s="2147" t="s">
        <v>6</v>
      </c>
      <c r="I5" s="1003" t="s">
        <v>7</v>
      </c>
      <c r="J5" s="2149" t="s">
        <v>8</v>
      </c>
      <c r="K5" s="2149"/>
      <c r="L5" s="2150"/>
      <c r="M5" s="2151" t="s">
        <v>9</v>
      </c>
      <c r="N5" s="2152"/>
      <c r="O5" s="2152"/>
      <c r="P5" s="2152"/>
      <c r="Q5" s="2153"/>
      <c r="R5" s="2" t="s">
        <v>10</v>
      </c>
      <c r="S5" s="3" t="s">
        <v>5</v>
      </c>
      <c r="T5" s="3" t="s">
        <v>11</v>
      </c>
      <c r="U5" s="3" t="s">
        <v>10</v>
      </c>
      <c r="V5" s="3" t="s">
        <v>5</v>
      </c>
      <c r="W5" s="4" t="s">
        <v>11</v>
      </c>
      <c r="Y5" s="182"/>
      <c r="Z5" s="182"/>
      <c r="AA5" s="182"/>
    </row>
    <row r="6" spans="1:30" ht="27" customHeight="1" x14ac:dyDescent="0.25">
      <c r="A6" s="1023" t="s">
        <v>393</v>
      </c>
      <c r="B6" s="1024"/>
      <c r="C6" s="1024"/>
      <c r="D6" s="1024"/>
      <c r="E6" s="1024"/>
      <c r="F6" s="284" t="s">
        <v>416</v>
      </c>
      <c r="G6" s="2146"/>
      <c r="H6" s="2147"/>
      <c r="I6" s="2148"/>
      <c r="J6" s="979" t="s">
        <v>5</v>
      </c>
      <c r="K6" s="1011"/>
      <c r="L6" s="5" t="s">
        <v>11</v>
      </c>
      <c r="M6" s="2154" t="s">
        <v>5</v>
      </c>
      <c r="N6" s="2154"/>
      <c r="O6" s="2154"/>
      <c r="P6" s="2155"/>
      <c r="Q6" s="6" t="s">
        <v>11</v>
      </c>
      <c r="R6" s="2182" t="s">
        <v>395</v>
      </c>
      <c r="S6" s="933" t="s">
        <v>396</v>
      </c>
      <c r="T6" s="2185" t="s">
        <v>407</v>
      </c>
      <c r="U6" s="2188" t="s">
        <v>260</v>
      </c>
      <c r="V6" s="933" t="s">
        <v>291</v>
      </c>
      <c r="W6" s="2191" t="s">
        <v>401</v>
      </c>
      <c r="Y6" s="182"/>
      <c r="Z6" s="182" t="s">
        <v>16</v>
      </c>
      <c r="AA6" s="182"/>
    </row>
    <row r="7" spans="1:30" ht="27" customHeight="1" x14ac:dyDescent="0.25">
      <c r="A7" s="2156" t="s">
        <v>376</v>
      </c>
      <c r="B7" s="2157"/>
      <c r="C7" s="2157"/>
      <c r="D7" s="2157"/>
      <c r="E7" s="2157"/>
      <c r="F7" s="268" t="s">
        <v>417</v>
      </c>
      <c r="G7" s="267" t="s">
        <v>413</v>
      </c>
      <c r="H7" s="270">
        <v>16</v>
      </c>
      <c r="I7" s="271" t="s">
        <v>414</v>
      </c>
      <c r="J7" s="2158" t="s">
        <v>388</v>
      </c>
      <c r="K7" s="2159"/>
      <c r="L7" s="2164" t="s">
        <v>404</v>
      </c>
      <c r="M7" s="2167" t="s">
        <v>275</v>
      </c>
      <c r="N7" s="2168"/>
      <c r="O7" s="2168"/>
      <c r="P7" s="2169"/>
      <c r="Q7" s="2164" t="s">
        <v>402</v>
      </c>
      <c r="R7" s="2183"/>
      <c r="S7" s="934"/>
      <c r="T7" s="2186"/>
      <c r="U7" s="2189"/>
      <c r="V7" s="934"/>
      <c r="W7" s="2192"/>
      <c r="Y7" s="182"/>
      <c r="Z7" s="182"/>
      <c r="AA7" s="182"/>
    </row>
    <row r="8" spans="1:30" ht="27" customHeight="1" x14ac:dyDescent="0.25">
      <c r="A8" s="2156" t="s">
        <v>367</v>
      </c>
      <c r="B8" s="2157"/>
      <c r="C8" s="2157"/>
      <c r="D8" s="2157"/>
      <c r="E8" s="2157"/>
      <c r="F8" s="261">
        <v>6</v>
      </c>
      <c r="G8" s="267"/>
      <c r="H8" s="255"/>
      <c r="I8" s="266"/>
      <c r="J8" s="2160"/>
      <c r="K8" s="2161"/>
      <c r="L8" s="2165"/>
      <c r="M8" s="2170"/>
      <c r="N8" s="2171"/>
      <c r="O8" s="2171"/>
      <c r="P8" s="2172"/>
      <c r="Q8" s="2165"/>
      <c r="R8" s="2183"/>
      <c r="S8" s="934"/>
      <c r="T8" s="2186"/>
      <c r="U8" s="2189"/>
      <c r="V8" s="934"/>
      <c r="W8" s="2192"/>
      <c r="Y8" s="182"/>
      <c r="Z8" s="182"/>
      <c r="AA8" s="182"/>
    </row>
    <row r="9" spans="1:30" ht="27" customHeight="1" x14ac:dyDescent="0.25">
      <c r="A9" s="2156" t="s">
        <v>368</v>
      </c>
      <c r="B9" s="2157"/>
      <c r="C9" s="2157"/>
      <c r="D9" s="2157"/>
      <c r="E9" s="2157"/>
      <c r="F9" s="262">
        <v>7</v>
      </c>
      <c r="G9" s="264"/>
      <c r="H9" s="255"/>
      <c r="I9" s="256"/>
      <c r="J9" s="2160"/>
      <c r="K9" s="2161"/>
      <c r="L9" s="2165"/>
      <c r="M9" s="2170"/>
      <c r="N9" s="2171"/>
      <c r="O9" s="2171"/>
      <c r="P9" s="2172"/>
      <c r="Q9" s="2165"/>
      <c r="R9" s="2183"/>
      <c r="S9" s="934"/>
      <c r="T9" s="2186"/>
      <c r="U9" s="2189"/>
      <c r="V9" s="934"/>
      <c r="W9" s="2192"/>
      <c r="Y9" s="182"/>
      <c r="Z9" s="182"/>
      <c r="AA9" s="182"/>
    </row>
    <row r="10" spans="1:30" ht="27" customHeight="1" x14ac:dyDescent="0.25">
      <c r="A10" s="2156" t="s">
        <v>369</v>
      </c>
      <c r="B10" s="2157"/>
      <c r="C10" s="2157"/>
      <c r="D10" s="2157"/>
      <c r="E10" s="2157"/>
      <c r="F10" s="262">
        <v>8</v>
      </c>
      <c r="G10" s="264"/>
      <c r="H10" s="255"/>
      <c r="I10" s="256"/>
      <c r="J10" s="2160"/>
      <c r="K10" s="2161"/>
      <c r="L10" s="2165"/>
      <c r="M10" s="2170"/>
      <c r="N10" s="2171"/>
      <c r="O10" s="2171"/>
      <c r="P10" s="2172"/>
      <c r="Q10" s="2165"/>
      <c r="R10" s="2183"/>
      <c r="S10" s="934"/>
      <c r="T10" s="2186"/>
      <c r="U10" s="2189"/>
      <c r="V10" s="934"/>
      <c r="W10" s="2192"/>
      <c r="Y10" s="182" t="s">
        <v>15</v>
      </c>
      <c r="Z10" s="182"/>
      <c r="AA10" s="182"/>
    </row>
    <row r="11" spans="1:30" ht="27" customHeight="1" x14ac:dyDescent="0.25">
      <c r="A11" s="2156" t="s">
        <v>370</v>
      </c>
      <c r="B11" s="2157"/>
      <c r="C11" s="2157"/>
      <c r="D11" s="2157"/>
      <c r="E11" s="2157"/>
      <c r="F11" s="262">
        <v>9</v>
      </c>
      <c r="G11" s="264"/>
      <c r="H11" s="255"/>
      <c r="I11" s="256"/>
      <c r="J11" s="2160"/>
      <c r="K11" s="2161"/>
      <c r="L11" s="2165"/>
      <c r="M11" s="2170"/>
      <c r="N11" s="2171"/>
      <c r="O11" s="2171"/>
      <c r="P11" s="2172"/>
      <c r="Q11" s="2165"/>
      <c r="R11" s="2183"/>
      <c r="S11" s="934"/>
      <c r="T11" s="2186"/>
      <c r="U11" s="2189"/>
      <c r="V11" s="934"/>
      <c r="W11" s="2192"/>
      <c r="Y11" s="182" t="s">
        <v>16</v>
      </c>
      <c r="Z11" s="1023"/>
      <c r="AA11" s="1024"/>
      <c r="AB11" s="1024"/>
      <c r="AC11" s="1024"/>
      <c r="AD11" s="1024"/>
    </row>
    <row r="12" spans="1:30" ht="27" customHeight="1" thickBot="1" x14ac:dyDescent="0.3">
      <c r="A12" s="2156" t="s">
        <v>371</v>
      </c>
      <c r="B12" s="2157"/>
      <c r="C12" s="2157"/>
      <c r="D12" s="2157"/>
      <c r="E12" s="2157"/>
      <c r="F12" s="263" t="s">
        <v>394</v>
      </c>
      <c r="G12" s="265"/>
      <c r="H12" s="257"/>
      <c r="I12" s="258"/>
      <c r="J12" s="2162"/>
      <c r="K12" s="2163"/>
      <c r="L12" s="2166"/>
      <c r="M12" s="2173"/>
      <c r="N12" s="2174"/>
      <c r="O12" s="2174"/>
      <c r="P12" s="2175"/>
      <c r="Q12" s="2166"/>
      <c r="R12" s="2184"/>
      <c r="S12" s="935"/>
      <c r="T12" s="2187"/>
      <c r="U12" s="2190"/>
      <c r="V12" s="935"/>
      <c r="W12" s="2193"/>
      <c r="Y12" s="182"/>
      <c r="Z12" s="182"/>
      <c r="AA12" s="182"/>
    </row>
    <row r="13" spans="1:30" ht="27" customHeight="1" thickTop="1" thickBot="1" x14ac:dyDescent="0.3">
      <c r="A13" s="2156" t="s">
        <v>372</v>
      </c>
      <c r="B13" s="2157"/>
      <c r="C13" s="2157"/>
      <c r="D13" s="2157"/>
      <c r="E13" s="2157"/>
      <c r="F13" s="262">
        <v>12</v>
      </c>
      <c r="G13" s="1036" t="s">
        <v>415</v>
      </c>
      <c r="H13" s="1037"/>
      <c r="I13" s="1038"/>
      <c r="J13" s="914" t="s">
        <v>18</v>
      </c>
      <c r="K13" s="914"/>
      <c r="L13" s="915"/>
      <c r="M13" s="2176" t="s">
        <v>276</v>
      </c>
      <c r="N13" s="914"/>
      <c r="O13" s="914"/>
      <c r="P13" s="914"/>
      <c r="Q13" s="914"/>
      <c r="R13" s="847" t="s">
        <v>19</v>
      </c>
      <c r="S13" s="895"/>
      <c r="T13" s="848"/>
      <c r="U13" s="848"/>
      <c r="V13" s="848"/>
      <c r="W13" s="849"/>
      <c r="Y13" s="182"/>
      <c r="Z13" s="182"/>
      <c r="AA13" s="182"/>
    </row>
    <row r="14" spans="1:30" ht="27" customHeight="1" thickTop="1" thickBot="1" x14ac:dyDescent="0.3">
      <c r="A14" s="2156" t="s">
        <v>373</v>
      </c>
      <c r="B14" s="2157"/>
      <c r="C14" s="2157"/>
      <c r="D14" s="2157"/>
      <c r="E14" s="2157"/>
      <c r="F14" s="262">
        <v>13</v>
      </c>
      <c r="G14" s="1039"/>
      <c r="H14" s="1040"/>
      <c r="I14" s="1041"/>
      <c r="J14" s="2177" t="s">
        <v>270</v>
      </c>
      <c r="K14" s="2177"/>
      <c r="L14" s="2178"/>
      <c r="M14" s="2179" t="s">
        <v>403</v>
      </c>
      <c r="N14" s="2180"/>
      <c r="O14" s="2180"/>
      <c r="P14" s="2180"/>
      <c r="Q14" s="2181"/>
      <c r="R14" s="884" t="s">
        <v>406</v>
      </c>
      <c r="S14" s="876"/>
      <c r="T14" s="876"/>
      <c r="U14" s="875" t="s">
        <v>408</v>
      </c>
      <c r="V14" s="876"/>
      <c r="W14" s="877"/>
      <c r="Y14" s="182"/>
      <c r="Z14" s="182" t="s">
        <v>16</v>
      </c>
      <c r="AA14" s="182"/>
    </row>
    <row r="15" spans="1:30" ht="27" customHeight="1" thickTop="1" thickBot="1" x14ac:dyDescent="0.3">
      <c r="A15" s="2156" t="s">
        <v>374</v>
      </c>
      <c r="B15" s="2157"/>
      <c r="C15" s="2157"/>
      <c r="D15" s="2157"/>
      <c r="E15" s="2157"/>
      <c r="F15" s="261">
        <v>14</v>
      </c>
      <c r="G15" s="1042" t="s">
        <v>392</v>
      </c>
      <c r="H15" s="1043"/>
      <c r="I15" s="1044"/>
      <c r="J15" s="914" t="s">
        <v>399</v>
      </c>
      <c r="K15" s="914"/>
      <c r="L15" s="915"/>
      <c r="M15" s="2176" t="s">
        <v>287</v>
      </c>
      <c r="N15" s="914"/>
      <c r="O15" s="914"/>
      <c r="P15" s="914"/>
      <c r="Q15" s="915"/>
      <c r="R15" s="885"/>
      <c r="S15" s="879"/>
      <c r="T15" s="879"/>
      <c r="U15" s="878"/>
      <c r="V15" s="879"/>
      <c r="W15" s="880"/>
      <c r="Y15" s="182"/>
      <c r="Z15" s="182"/>
      <c r="AA15" s="182"/>
    </row>
    <row r="16" spans="1:30" ht="27" customHeight="1" thickTop="1" thickBot="1" x14ac:dyDescent="0.3">
      <c r="A16" s="2156" t="s">
        <v>375</v>
      </c>
      <c r="B16" s="2157"/>
      <c r="C16" s="2157"/>
      <c r="D16" s="2157"/>
      <c r="E16" s="2157"/>
      <c r="F16" s="261">
        <v>15</v>
      </c>
      <c r="G16" s="2194"/>
      <c r="H16" s="2195"/>
      <c r="I16" s="2196"/>
      <c r="J16" s="2197" t="s">
        <v>405</v>
      </c>
      <c r="K16" s="2197"/>
      <c r="L16" s="2198"/>
      <c r="M16" s="2199" t="s">
        <v>326</v>
      </c>
      <c r="N16" s="2177"/>
      <c r="O16" s="2177"/>
      <c r="P16" s="2177"/>
      <c r="Q16" s="2178"/>
      <c r="R16" s="885"/>
      <c r="S16" s="879"/>
      <c r="T16" s="879"/>
      <c r="U16" s="878"/>
      <c r="V16" s="879"/>
      <c r="W16" s="880"/>
      <c r="Y16" s="182"/>
      <c r="Z16" s="182"/>
      <c r="AA16" s="182"/>
    </row>
    <row r="17" spans="1:27" ht="21.95" customHeight="1" x14ac:dyDescent="0.25">
      <c r="A17" s="2200" t="s">
        <v>21</v>
      </c>
      <c r="B17" s="1050"/>
      <c r="C17" s="1050"/>
      <c r="D17" s="1050"/>
      <c r="E17" s="1050"/>
      <c r="F17" s="1050"/>
      <c r="G17" s="1050"/>
      <c r="H17" s="1050"/>
      <c r="I17" s="1050"/>
      <c r="J17" s="1049"/>
      <c r="K17" s="1049"/>
      <c r="L17" s="2201" t="s">
        <v>22</v>
      </c>
      <c r="M17" s="1018"/>
      <c r="N17" s="1018"/>
      <c r="O17" s="1018"/>
      <c r="P17" s="1018"/>
      <c r="Q17" s="1018"/>
      <c r="R17" s="1019"/>
      <c r="S17" s="896" t="s">
        <v>23</v>
      </c>
      <c r="T17" s="897"/>
      <c r="U17" s="898"/>
      <c r="V17" s="898"/>
      <c r="W17" s="899"/>
      <c r="Y17" s="182"/>
      <c r="Z17" s="182"/>
      <c r="AA17" s="182"/>
    </row>
    <row r="18" spans="1:27" ht="21" customHeight="1" x14ac:dyDescent="0.25">
      <c r="A18" s="1052"/>
      <c r="B18" s="1053"/>
      <c r="C18" s="1053"/>
      <c r="D18" s="1053"/>
      <c r="E18" s="1053"/>
      <c r="F18" s="1053"/>
      <c r="G18" s="1053"/>
      <c r="H18" s="1053"/>
      <c r="I18" s="1053"/>
      <c r="J18" s="1053"/>
      <c r="K18" s="1053"/>
      <c r="L18" s="1020"/>
      <c r="M18" s="1021"/>
      <c r="N18" s="1021"/>
      <c r="O18" s="1021"/>
      <c r="P18" s="1021"/>
      <c r="Q18" s="1021"/>
      <c r="R18" s="1022"/>
      <c r="S18" s="900"/>
      <c r="T18" s="901"/>
      <c r="U18" s="902"/>
      <c r="V18" s="902"/>
      <c r="W18" s="903"/>
      <c r="Y18" s="182"/>
      <c r="Z18" s="182"/>
      <c r="AA18" s="182"/>
    </row>
    <row r="19" spans="1:27" ht="21" customHeight="1" x14ac:dyDescent="0.25">
      <c r="A19" s="1071" t="s">
        <v>24</v>
      </c>
      <c r="B19" s="1068"/>
      <c r="C19" s="1069"/>
      <c r="D19" s="1069"/>
      <c r="E19" s="1069"/>
      <c r="F19" s="1070"/>
      <c r="G19" s="1067" t="s">
        <v>25</v>
      </c>
      <c r="H19" s="1068"/>
      <c r="I19" s="1069"/>
      <c r="J19" s="1070"/>
      <c r="K19" s="1070"/>
      <c r="L19" s="916" t="s">
        <v>10</v>
      </c>
      <c r="M19" s="917"/>
      <c r="N19" s="907" t="s">
        <v>11</v>
      </c>
      <c r="O19" s="917"/>
      <c r="P19" s="907" t="s">
        <v>26</v>
      </c>
      <c r="Q19" s="908"/>
      <c r="R19" s="909"/>
      <c r="S19" s="904" t="s">
        <v>10</v>
      </c>
      <c r="T19" s="886" t="s">
        <v>27</v>
      </c>
      <c r="U19" s="887"/>
      <c r="V19" s="888"/>
      <c r="W19" s="881" t="s">
        <v>28</v>
      </c>
      <c r="Y19" s="182"/>
      <c r="Z19" s="182"/>
      <c r="AA19" s="182"/>
    </row>
    <row r="20" spans="1:27" ht="15" customHeight="1" x14ac:dyDescent="0.25">
      <c r="A20" s="836" t="s">
        <v>10</v>
      </c>
      <c r="B20" s="837"/>
      <c r="C20" s="846" t="s">
        <v>6</v>
      </c>
      <c r="D20" s="834" t="s">
        <v>29</v>
      </c>
      <c r="E20" s="842"/>
      <c r="F20" s="842"/>
      <c r="G20" s="840" t="s">
        <v>10</v>
      </c>
      <c r="H20" s="837"/>
      <c r="I20" s="834" t="s">
        <v>6</v>
      </c>
      <c r="J20" s="834" t="s">
        <v>29</v>
      </c>
      <c r="K20" s="842"/>
      <c r="L20" s="918"/>
      <c r="M20" s="919"/>
      <c r="N20" s="910"/>
      <c r="O20" s="919"/>
      <c r="P20" s="910"/>
      <c r="Q20" s="911"/>
      <c r="R20" s="912"/>
      <c r="S20" s="905"/>
      <c r="T20" s="889"/>
      <c r="U20" s="890"/>
      <c r="V20" s="891"/>
      <c r="W20" s="882"/>
      <c r="Y20" s="182"/>
      <c r="Z20" s="182"/>
      <c r="AA20" s="182"/>
    </row>
    <row r="21" spans="1:27" ht="15.75" customHeight="1" x14ac:dyDescent="0.25">
      <c r="A21" s="838"/>
      <c r="B21" s="839"/>
      <c r="C21" s="846"/>
      <c r="D21" s="835"/>
      <c r="E21" s="843"/>
      <c r="F21" s="843"/>
      <c r="G21" s="841"/>
      <c r="H21" s="839"/>
      <c r="I21" s="835"/>
      <c r="J21" s="835"/>
      <c r="K21" s="843"/>
      <c r="L21" s="920"/>
      <c r="M21" s="921"/>
      <c r="N21" s="922"/>
      <c r="O21" s="921"/>
      <c r="P21" s="910"/>
      <c r="Q21" s="911"/>
      <c r="R21" s="912"/>
      <c r="S21" s="906"/>
      <c r="T21" s="892"/>
      <c r="U21" s="893"/>
      <c r="V21" s="894"/>
      <c r="W21" s="883"/>
      <c r="Y21" s="182"/>
      <c r="Z21" s="182"/>
      <c r="AA21" s="182"/>
    </row>
    <row r="22" spans="1:27" ht="30" customHeight="1" x14ac:dyDescent="0.25">
      <c r="A22" s="2218" t="s">
        <v>377</v>
      </c>
      <c r="B22" s="831"/>
      <c r="C22" s="9">
        <v>2</v>
      </c>
      <c r="D22" s="2217" t="s">
        <v>378</v>
      </c>
      <c r="E22" s="826"/>
      <c r="F22" s="827"/>
      <c r="G22" s="830" t="s">
        <v>377</v>
      </c>
      <c r="H22" s="831"/>
      <c r="I22" s="8">
        <v>6</v>
      </c>
      <c r="J22" s="832" t="s">
        <v>317</v>
      </c>
      <c r="K22" s="2208"/>
      <c r="L22" s="2219" t="s">
        <v>397</v>
      </c>
      <c r="M22" s="2220"/>
      <c r="N22" s="2223" t="s">
        <v>410</v>
      </c>
      <c r="O22" s="2224"/>
      <c r="P22" s="2209" t="s">
        <v>412</v>
      </c>
      <c r="Q22" s="2210"/>
      <c r="R22" s="2211"/>
      <c r="S22" s="281"/>
      <c r="T22" s="2202" t="s">
        <v>13</v>
      </c>
      <c r="U22" s="2203"/>
      <c r="V22" s="2204"/>
      <c r="W22" s="282"/>
      <c r="Y22" s="182"/>
      <c r="Z22" s="182"/>
      <c r="AA22" s="182"/>
    </row>
    <row r="23" spans="1:27" ht="30" customHeight="1" x14ac:dyDescent="0.25">
      <c r="A23" s="2215"/>
      <c r="B23" s="2216"/>
      <c r="C23" s="7"/>
      <c r="D23" s="2217"/>
      <c r="E23" s="826"/>
      <c r="F23" s="827"/>
      <c r="G23" s="830" t="s">
        <v>377</v>
      </c>
      <c r="H23" s="831"/>
      <c r="I23" s="8">
        <v>8</v>
      </c>
      <c r="J23" s="832" t="s">
        <v>312</v>
      </c>
      <c r="K23" s="2208"/>
      <c r="L23" s="2221"/>
      <c r="M23" s="2222"/>
      <c r="N23" s="2225"/>
      <c r="O23" s="2226"/>
      <c r="P23" s="2212"/>
      <c r="Q23" s="2213"/>
      <c r="R23" s="2214"/>
      <c r="S23" s="281"/>
      <c r="T23" s="2202"/>
      <c r="U23" s="2203"/>
      <c r="V23" s="2204"/>
      <c r="W23" s="282"/>
      <c r="Y23" s="182"/>
      <c r="Z23" s="182"/>
    </row>
    <row r="24" spans="1:27" ht="30" customHeight="1" x14ac:dyDescent="0.25">
      <c r="A24" s="808"/>
      <c r="B24" s="809"/>
      <c r="C24" s="7"/>
      <c r="D24" s="2205"/>
      <c r="E24" s="2206"/>
      <c r="F24" s="2207"/>
      <c r="G24" s="830"/>
      <c r="H24" s="831"/>
      <c r="I24" s="8"/>
      <c r="J24" s="832"/>
      <c r="K24" s="2208"/>
      <c r="L24" s="2221"/>
      <c r="M24" s="2222"/>
      <c r="N24" s="2225"/>
      <c r="O24" s="2226"/>
      <c r="P24" s="2212"/>
      <c r="Q24" s="2213"/>
      <c r="R24" s="2214"/>
      <c r="S24" s="281"/>
      <c r="T24" s="2202"/>
      <c r="U24" s="2203"/>
      <c r="V24" s="2204"/>
      <c r="W24" s="282"/>
      <c r="Y24" s="182"/>
      <c r="Z24" s="182"/>
    </row>
    <row r="25" spans="1:27" ht="30" customHeight="1" x14ac:dyDescent="0.25">
      <c r="A25" s="808"/>
      <c r="B25" s="809"/>
      <c r="C25" s="7"/>
      <c r="D25" s="2205"/>
      <c r="E25" s="2206"/>
      <c r="F25" s="2207"/>
      <c r="G25" s="830"/>
      <c r="H25" s="831"/>
      <c r="I25" s="8"/>
      <c r="J25" s="832"/>
      <c r="K25" s="2208"/>
      <c r="L25" s="2221"/>
      <c r="M25" s="2222"/>
      <c r="N25" s="2225"/>
      <c r="O25" s="2226"/>
      <c r="P25" s="2212"/>
      <c r="Q25" s="2213"/>
      <c r="R25" s="2214"/>
      <c r="S25" s="281"/>
      <c r="T25" s="2202"/>
      <c r="U25" s="2203"/>
      <c r="V25" s="2204"/>
      <c r="W25" s="282"/>
      <c r="Y25" s="182"/>
      <c r="Z25" s="182"/>
      <c r="AA25" s="182"/>
    </row>
    <row r="26" spans="1:27" ht="30" customHeight="1" x14ac:dyDescent="0.25">
      <c r="A26" s="2227" t="s">
        <v>30</v>
      </c>
      <c r="B26" s="2228"/>
      <c r="C26" s="2228"/>
      <c r="D26" s="2228"/>
      <c r="E26" s="2228"/>
      <c r="F26" s="2228"/>
      <c r="G26" s="2228"/>
      <c r="H26" s="2228"/>
      <c r="I26" s="2228"/>
      <c r="J26" s="2228"/>
      <c r="K26" s="2228"/>
      <c r="L26" s="2221"/>
      <c r="M26" s="2222"/>
      <c r="N26" s="2223" t="s">
        <v>411</v>
      </c>
      <c r="O26" s="2224"/>
      <c r="P26" s="2209" t="s">
        <v>391</v>
      </c>
      <c r="Q26" s="2210"/>
      <c r="R26" s="2211"/>
      <c r="S26" s="281"/>
      <c r="T26" s="2202"/>
      <c r="U26" s="2203"/>
      <c r="V26" s="2204"/>
      <c r="W26" s="282"/>
      <c r="Y26" s="182"/>
      <c r="Z26" s="182" t="s">
        <v>15</v>
      </c>
      <c r="AA26" s="182"/>
    </row>
    <row r="27" spans="1:27" ht="30" customHeight="1" x14ac:dyDescent="0.25">
      <c r="A27" s="808"/>
      <c r="B27" s="809"/>
      <c r="C27" s="7"/>
      <c r="D27" s="805"/>
      <c r="E27" s="826"/>
      <c r="F27" s="827"/>
      <c r="G27" s="830"/>
      <c r="H27" s="831"/>
      <c r="I27" s="9"/>
      <c r="J27" s="964"/>
      <c r="K27" s="965"/>
      <c r="L27" s="2221"/>
      <c r="M27" s="2222"/>
      <c r="N27" s="2225"/>
      <c r="O27" s="2226"/>
      <c r="P27" s="2212"/>
      <c r="Q27" s="2213"/>
      <c r="R27" s="2214"/>
      <c r="S27" s="281"/>
      <c r="T27" s="2202"/>
      <c r="U27" s="2203"/>
      <c r="V27" s="2204"/>
      <c r="W27" s="282"/>
      <c r="Y27" s="182"/>
      <c r="Z27" s="182" t="s">
        <v>16</v>
      </c>
      <c r="AA27" s="182"/>
    </row>
    <row r="28" spans="1:27" ht="30" customHeight="1" thickBot="1" x14ac:dyDescent="0.3">
      <c r="A28" s="808"/>
      <c r="B28" s="809"/>
      <c r="C28" s="7"/>
      <c r="D28" s="805"/>
      <c r="E28" s="826"/>
      <c r="F28" s="827"/>
      <c r="G28" s="2237"/>
      <c r="H28" s="2238"/>
      <c r="I28" s="9"/>
      <c r="J28" s="832"/>
      <c r="K28" s="806"/>
      <c r="L28" s="2221"/>
      <c r="M28" s="2222"/>
      <c r="N28" s="2225"/>
      <c r="O28" s="2226"/>
      <c r="P28" s="2212"/>
      <c r="Q28" s="2213"/>
      <c r="R28" s="2214"/>
      <c r="S28" s="281"/>
      <c r="T28" s="2202"/>
      <c r="U28" s="2203"/>
      <c r="V28" s="2204"/>
      <c r="W28" s="282"/>
      <c r="Y28" s="182"/>
      <c r="Z28" s="182"/>
      <c r="AA28" s="182"/>
    </row>
    <row r="29" spans="1:27" ht="30" customHeight="1" thickTop="1" thickBot="1" x14ac:dyDescent="0.3">
      <c r="A29" s="961" t="s">
        <v>386</v>
      </c>
      <c r="B29" s="2229"/>
      <c r="C29" s="2229"/>
      <c r="D29" s="2229"/>
      <c r="E29" s="2229"/>
      <c r="F29" s="2229"/>
      <c r="G29" s="2229"/>
      <c r="H29" s="2229"/>
      <c r="I29" s="2229"/>
      <c r="J29" s="2229"/>
      <c r="K29" s="2229"/>
      <c r="L29" s="2221"/>
      <c r="M29" s="2222"/>
      <c r="N29" s="2225"/>
      <c r="O29" s="2226"/>
      <c r="P29" s="2212"/>
      <c r="Q29" s="2213"/>
      <c r="R29" s="2214"/>
      <c r="S29" s="279"/>
      <c r="T29" s="2230"/>
      <c r="U29" s="2231"/>
      <c r="V29" s="2232"/>
      <c r="W29" s="280"/>
      <c r="Y29" s="182"/>
      <c r="Z29" s="182"/>
      <c r="AA29" s="182"/>
    </row>
    <row r="30" spans="1:27" ht="54" customHeight="1" thickTop="1" thickBot="1" x14ac:dyDescent="0.3">
      <c r="A30" s="2233" t="s">
        <v>409</v>
      </c>
      <c r="B30" s="2234"/>
      <c r="C30" s="2234"/>
      <c r="D30" s="2234"/>
      <c r="E30" s="2234"/>
      <c r="F30" s="2234"/>
      <c r="G30" s="2234"/>
      <c r="H30" s="2234"/>
      <c r="I30" s="2234"/>
      <c r="J30" s="2234"/>
      <c r="K30" s="2235"/>
      <c r="L30" s="859" t="s">
        <v>32</v>
      </c>
      <c r="M30" s="860"/>
      <c r="N30" s="860"/>
      <c r="O30" s="859" t="s">
        <v>229</v>
      </c>
      <c r="P30" s="860"/>
      <c r="Q30" s="860"/>
      <c r="R30" s="861"/>
      <c r="S30" s="283" t="s">
        <v>329</v>
      </c>
      <c r="T30" s="2236" t="s">
        <v>248</v>
      </c>
      <c r="U30" s="2236"/>
      <c r="V30" s="276" t="s">
        <v>328</v>
      </c>
      <c r="W30" s="277" t="s">
        <v>327</v>
      </c>
      <c r="Y30" s="182"/>
      <c r="Z30" s="182"/>
      <c r="AA30" s="182"/>
    </row>
    <row r="31" spans="1:27" ht="48" customHeight="1" thickTop="1" thickBot="1" x14ac:dyDescent="0.3">
      <c r="A31" s="961" t="s">
        <v>205</v>
      </c>
      <c r="B31" s="962"/>
      <c r="C31" s="962"/>
      <c r="D31" s="962"/>
      <c r="E31" s="962"/>
      <c r="F31" s="963"/>
      <c r="G31" s="2240" t="s">
        <v>237</v>
      </c>
      <c r="H31" s="2241"/>
      <c r="I31" s="2241"/>
      <c r="J31" s="2241"/>
      <c r="K31" s="2241"/>
      <c r="L31" s="862" t="s">
        <v>298</v>
      </c>
      <c r="M31" s="863"/>
      <c r="N31" s="863"/>
      <c r="O31" s="862" t="s">
        <v>264</v>
      </c>
      <c r="P31" s="863"/>
      <c r="Q31" s="863"/>
      <c r="R31" s="863"/>
      <c r="S31" s="274" t="s">
        <v>400</v>
      </c>
      <c r="T31" s="2248" t="s">
        <v>382</v>
      </c>
      <c r="U31" s="2248"/>
      <c r="V31" s="250" t="s">
        <v>345</v>
      </c>
      <c r="W31" s="275" t="s">
        <v>346</v>
      </c>
      <c r="Y31" s="182"/>
      <c r="Z31" s="182" t="s">
        <v>16</v>
      </c>
      <c r="AA31" s="182"/>
    </row>
    <row r="32" spans="1:27" ht="49.5" customHeight="1" thickTop="1" thickBot="1" x14ac:dyDescent="0.3">
      <c r="A32" s="2250" t="s">
        <v>228</v>
      </c>
      <c r="B32" s="2251"/>
      <c r="C32" s="2251"/>
      <c r="D32" s="2251"/>
      <c r="E32" s="2251"/>
      <c r="F32" s="2252"/>
      <c r="G32" s="2250" t="s">
        <v>269</v>
      </c>
      <c r="H32" s="2251"/>
      <c r="I32" s="2251"/>
      <c r="J32" s="2251"/>
      <c r="K32" s="2252"/>
      <c r="L32" s="859" t="s">
        <v>318</v>
      </c>
      <c r="M32" s="860"/>
      <c r="N32" s="861"/>
      <c r="O32" s="859" t="s">
        <v>278</v>
      </c>
      <c r="P32" s="860"/>
      <c r="Q32" s="860"/>
      <c r="R32" s="860"/>
      <c r="S32" s="272" t="s">
        <v>260</v>
      </c>
      <c r="T32" s="2236" t="s">
        <v>285</v>
      </c>
      <c r="U32" s="2236"/>
      <c r="V32" s="2236" t="s">
        <v>286</v>
      </c>
      <c r="W32" s="2239"/>
      <c r="Y32" s="182"/>
      <c r="Z32" s="182"/>
      <c r="AA32" s="182"/>
    </row>
    <row r="33" spans="1:27" ht="51" customHeight="1" thickTop="1" thickBot="1" x14ac:dyDescent="0.3">
      <c r="A33" s="2240" t="s">
        <v>265</v>
      </c>
      <c r="B33" s="2241"/>
      <c r="C33" s="2241"/>
      <c r="D33" s="2241"/>
      <c r="E33" s="2241"/>
      <c r="F33" s="2241"/>
      <c r="G33" s="2241"/>
      <c r="H33" s="2241"/>
      <c r="I33" s="2241"/>
      <c r="J33" s="2241"/>
      <c r="K33" s="2242"/>
      <c r="L33" s="2243" t="s">
        <v>390</v>
      </c>
      <c r="M33" s="2244"/>
      <c r="N33" s="2245"/>
      <c r="O33" s="2246" t="s">
        <v>290</v>
      </c>
      <c r="P33" s="2247"/>
      <c r="Q33" s="2247"/>
      <c r="R33" s="2247"/>
      <c r="S33" s="273" t="s">
        <v>347</v>
      </c>
      <c r="T33" s="2248" t="s">
        <v>381</v>
      </c>
      <c r="U33" s="2248"/>
      <c r="V33" s="2248" t="s">
        <v>384</v>
      </c>
      <c r="W33" s="2249"/>
      <c r="Y33" s="182"/>
      <c r="Z33" s="182"/>
      <c r="AA33" s="182"/>
    </row>
    <row r="34" spans="1:27" ht="45" customHeight="1" thickTop="1" thickBot="1" x14ac:dyDescent="0.3">
      <c r="A34" s="2256" t="s">
        <v>379</v>
      </c>
      <c r="B34" s="2257"/>
      <c r="C34" s="2257"/>
      <c r="D34" s="2257"/>
      <c r="E34" s="2257"/>
      <c r="F34" s="2257"/>
      <c r="G34" s="2258" t="s">
        <v>389</v>
      </c>
      <c r="H34" s="2257"/>
      <c r="I34" s="2257"/>
      <c r="J34" s="2257"/>
      <c r="K34" s="2259"/>
      <c r="L34" s="2260" t="s">
        <v>292</v>
      </c>
      <c r="M34" s="2261"/>
      <c r="N34" s="2262"/>
      <c r="O34" s="2260" t="s">
        <v>299</v>
      </c>
      <c r="P34" s="2261"/>
      <c r="Q34" s="2261"/>
      <c r="R34" s="2262"/>
      <c r="S34" s="272" t="s">
        <v>223</v>
      </c>
      <c r="T34" s="249" t="s">
        <v>14</v>
      </c>
      <c r="U34" s="251" t="s">
        <v>12</v>
      </c>
      <c r="V34" s="249" t="s">
        <v>33</v>
      </c>
      <c r="W34" s="278" t="s">
        <v>164</v>
      </c>
      <c r="Y34" s="182"/>
      <c r="Z34" s="182"/>
      <c r="AA34" s="182"/>
    </row>
    <row r="35" spans="1:27" ht="39" customHeight="1" thickTop="1" x14ac:dyDescent="0.25">
      <c r="A35" s="951" t="s">
        <v>332</v>
      </c>
      <c r="B35" s="952"/>
      <c r="C35" s="952"/>
      <c r="D35" s="952"/>
      <c r="E35" s="952"/>
      <c r="F35" s="952"/>
      <c r="G35" s="2263" t="s">
        <v>333</v>
      </c>
      <c r="H35" s="952"/>
      <c r="I35" s="952"/>
      <c r="J35" s="952"/>
      <c r="K35" s="953"/>
      <c r="L35" s="2221" t="s">
        <v>320</v>
      </c>
      <c r="M35" s="2265"/>
      <c r="N35" s="2222"/>
      <c r="O35" s="2269" t="s">
        <v>310</v>
      </c>
      <c r="P35" s="2270"/>
      <c r="Q35" s="2270"/>
      <c r="R35" s="2271"/>
      <c r="S35" s="2275" t="s">
        <v>315</v>
      </c>
      <c r="T35" s="2277" t="s">
        <v>196</v>
      </c>
      <c r="U35" s="2253" t="s">
        <v>385</v>
      </c>
      <c r="V35" s="2253" t="s">
        <v>35</v>
      </c>
      <c r="W35" s="820" t="s">
        <v>281</v>
      </c>
      <c r="Y35" s="182"/>
      <c r="Z35" s="182"/>
      <c r="AA35" s="182"/>
    </row>
    <row r="36" spans="1:27" ht="38.25" customHeight="1" thickBot="1" x14ac:dyDescent="0.3">
      <c r="A36" s="957"/>
      <c r="B36" s="958"/>
      <c r="C36" s="958"/>
      <c r="D36" s="958"/>
      <c r="E36" s="958"/>
      <c r="F36" s="958"/>
      <c r="G36" s="2264"/>
      <c r="H36" s="958"/>
      <c r="I36" s="958"/>
      <c r="J36" s="958"/>
      <c r="K36" s="959"/>
      <c r="L36" s="2266"/>
      <c r="M36" s="2267"/>
      <c r="N36" s="2268"/>
      <c r="O36" s="2272"/>
      <c r="P36" s="2273"/>
      <c r="Q36" s="2273"/>
      <c r="R36" s="2274"/>
      <c r="S36" s="2276"/>
      <c r="T36" s="2278"/>
      <c r="U36" s="2254"/>
      <c r="V36" s="2254"/>
      <c r="W36" s="2255"/>
      <c r="Y36" s="182"/>
      <c r="Z36" s="182"/>
      <c r="AA36" s="182"/>
    </row>
    <row r="37" spans="1:27" ht="15" customHeight="1" x14ac:dyDescent="0.25">
      <c r="A37" s="960" t="s">
        <v>36</v>
      </c>
      <c r="B37" s="960"/>
      <c r="C37" s="960"/>
      <c r="D37" s="960"/>
      <c r="E37" s="960"/>
      <c r="F37" s="960"/>
      <c r="G37" s="10"/>
      <c r="H37" s="10"/>
      <c r="I37" s="10"/>
      <c r="J37" s="10"/>
      <c r="L37" s="11"/>
      <c r="M37" s="11"/>
      <c r="N37" s="11"/>
      <c r="O37" s="11"/>
      <c r="P37" s="11"/>
      <c r="Q37" s="11"/>
      <c r="R37" s="11"/>
      <c r="S37" s="10"/>
    </row>
    <row r="38" spans="1:27" x14ac:dyDescent="0.25">
      <c r="C38" s="950"/>
      <c r="D38" s="950"/>
      <c r="E38" s="950"/>
      <c r="F38" s="950"/>
      <c r="G38" s="10"/>
      <c r="H38" s="10"/>
      <c r="I38" s="10"/>
      <c r="J38" s="10"/>
    </row>
    <row r="39" spans="1:27" x14ac:dyDescent="0.25">
      <c r="C39" s="950"/>
      <c r="D39" s="950"/>
      <c r="E39" s="950"/>
      <c r="F39" s="950"/>
      <c r="G39" s="10"/>
      <c r="H39" s="10"/>
      <c r="I39" s="10"/>
      <c r="J39" s="10"/>
    </row>
    <row r="40" spans="1:27" x14ac:dyDescent="0.25">
      <c r="C40" s="950"/>
      <c r="D40" s="950"/>
      <c r="E40" s="950"/>
      <c r="F40" s="950"/>
      <c r="G40" s="10"/>
      <c r="H40" s="10"/>
      <c r="I40" s="10"/>
      <c r="J40" s="10"/>
    </row>
    <row r="41" spans="1:27" x14ac:dyDescent="0.25">
      <c r="C41" s="950"/>
      <c r="D41" s="950"/>
      <c r="E41" s="950"/>
      <c r="F41" s="950"/>
      <c r="G41" s="10"/>
      <c r="H41" s="10"/>
      <c r="I41" s="10"/>
      <c r="J41" s="10"/>
    </row>
    <row r="42" spans="1:27" x14ac:dyDescent="0.25">
      <c r="C42" s="950"/>
      <c r="D42" s="950"/>
      <c r="E42" s="950"/>
      <c r="F42" s="950"/>
      <c r="G42" s="10"/>
      <c r="H42" s="10"/>
      <c r="I42" s="10"/>
      <c r="J42" s="10"/>
    </row>
    <row r="43" spans="1:27" x14ac:dyDescent="0.25">
      <c r="C43" s="950"/>
      <c r="D43" s="950"/>
      <c r="E43" s="950"/>
      <c r="F43" s="950"/>
      <c r="G43" s="10"/>
      <c r="H43" s="10"/>
      <c r="I43" s="10"/>
      <c r="J43" s="10"/>
    </row>
    <row r="44" spans="1:27" x14ac:dyDescent="0.25">
      <c r="C44" s="950"/>
      <c r="D44" s="950"/>
      <c r="E44" s="950"/>
      <c r="F44" s="950"/>
      <c r="G44" s="10"/>
      <c r="H44" s="10"/>
      <c r="I44" s="10"/>
      <c r="J44" s="10"/>
    </row>
    <row r="45" spans="1:27" x14ac:dyDescent="0.25">
      <c r="C45" s="950"/>
      <c r="D45" s="950"/>
      <c r="E45" s="950"/>
      <c r="F45" s="950"/>
      <c r="G45" s="10"/>
      <c r="H45" s="10"/>
      <c r="I45" s="10"/>
      <c r="J45" s="10"/>
    </row>
    <row r="46" spans="1:27" x14ac:dyDescent="0.25">
      <c r="C46" s="950"/>
      <c r="D46" s="950"/>
      <c r="E46" s="950"/>
      <c r="F46" s="950"/>
      <c r="G46" s="10"/>
      <c r="H46" s="10"/>
      <c r="I46" s="10"/>
      <c r="J46" s="10"/>
    </row>
    <row r="47" spans="1:27" x14ac:dyDescent="0.25">
      <c r="C47" s="950"/>
      <c r="D47" s="950"/>
      <c r="E47" s="950"/>
      <c r="F47" s="950"/>
      <c r="G47" s="10"/>
      <c r="H47" s="10"/>
      <c r="I47" s="10"/>
      <c r="J47" s="10"/>
    </row>
    <row r="48" spans="1:27" x14ac:dyDescent="0.25">
      <c r="C48" s="950"/>
      <c r="D48" s="950"/>
      <c r="E48" s="950"/>
      <c r="F48" s="950"/>
      <c r="G48" s="10"/>
      <c r="H48" s="10"/>
      <c r="I48" s="10"/>
      <c r="J48" s="10"/>
    </row>
    <row r="49" spans="3:10" x14ac:dyDescent="0.25">
      <c r="C49" s="950"/>
      <c r="D49" s="950"/>
      <c r="E49" s="950"/>
      <c r="F49" s="950"/>
      <c r="G49" s="10"/>
      <c r="H49" s="10"/>
      <c r="I49" s="10"/>
      <c r="J49" s="10"/>
    </row>
    <row r="50" spans="3:10" x14ac:dyDescent="0.25">
      <c r="C50" s="950"/>
      <c r="D50" s="950"/>
      <c r="E50" s="950"/>
      <c r="F50" s="950"/>
      <c r="G50" s="10"/>
      <c r="H50" s="10"/>
      <c r="I50" s="10"/>
      <c r="J50" s="10"/>
    </row>
    <row r="51" spans="3:10" x14ac:dyDescent="0.25">
      <c r="C51" s="950"/>
      <c r="D51" s="950"/>
      <c r="E51" s="950"/>
      <c r="F51" s="950"/>
      <c r="G51" s="10"/>
      <c r="H51" s="10"/>
      <c r="I51" s="10"/>
      <c r="J51" s="10"/>
    </row>
    <row r="52" spans="3:10" x14ac:dyDescent="0.25">
      <c r="C52" s="950"/>
      <c r="D52" s="950"/>
      <c r="E52" s="950"/>
      <c r="F52" s="950"/>
      <c r="G52" s="10"/>
      <c r="H52" s="10"/>
      <c r="I52" s="10"/>
      <c r="J52" s="10"/>
    </row>
    <row r="53" spans="3:10" x14ac:dyDescent="0.25">
      <c r="C53" s="950"/>
      <c r="D53" s="950"/>
      <c r="E53" s="950"/>
      <c r="F53" s="950"/>
      <c r="G53" s="10"/>
      <c r="H53" s="10"/>
      <c r="I53" s="10"/>
      <c r="J53" s="10"/>
    </row>
    <row r="54" spans="3:10" x14ac:dyDescent="0.25">
      <c r="C54" s="950"/>
      <c r="D54" s="950"/>
      <c r="E54" s="950"/>
      <c r="F54" s="950"/>
      <c r="G54" s="10"/>
      <c r="H54" s="10"/>
      <c r="I54" s="10"/>
      <c r="J54" s="10"/>
    </row>
    <row r="55" spans="3:10" x14ac:dyDescent="0.25">
      <c r="C55" s="950"/>
      <c r="D55" s="950"/>
      <c r="E55" s="950"/>
      <c r="F55" s="950"/>
      <c r="G55" s="10"/>
      <c r="H55" s="10"/>
      <c r="I55" s="10"/>
      <c r="J55" s="10"/>
    </row>
    <row r="56" spans="3:10" x14ac:dyDescent="0.25">
      <c r="C56" s="950"/>
      <c r="D56" s="950"/>
      <c r="E56" s="950"/>
      <c r="F56" s="950"/>
      <c r="G56" s="10"/>
      <c r="H56" s="10"/>
      <c r="I56" s="10"/>
      <c r="J56" s="10"/>
    </row>
    <row r="57" spans="3:10" x14ac:dyDescent="0.25">
      <c r="C57" s="950"/>
      <c r="D57" s="950"/>
      <c r="E57" s="950"/>
      <c r="F57" s="950"/>
      <c r="G57" s="10"/>
      <c r="H57" s="10"/>
      <c r="I57" s="10"/>
      <c r="J57" s="10"/>
    </row>
    <row r="58" spans="3:10" x14ac:dyDescent="0.25">
      <c r="C58" s="950"/>
      <c r="D58" s="950"/>
      <c r="E58" s="950"/>
      <c r="F58" s="950"/>
      <c r="G58" s="10"/>
      <c r="H58" s="10"/>
      <c r="I58" s="10"/>
      <c r="J58" s="10"/>
    </row>
    <row r="59" spans="3:10" x14ac:dyDescent="0.25">
      <c r="C59" s="950"/>
      <c r="D59" s="950"/>
      <c r="E59" s="950"/>
      <c r="F59" s="950"/>
      <c r="G59" s="10"/>
      <c r="H59" s="10"/>
      <c r="I59" s="10"/>
      <c r="J59" s="10"/>
    </row>
    <row r="60" spans="3:10" x14ac:dyDescent="0.25">
      <c r="C60" s="950"/>
      <c r="D60" s="950"/>
      <c r="E60" s="950"/>
      <c r="F60" s="950"/>
      <c r="G60" s="10"/>
      <c r="H60" s="10"/>
      <c r="I60" s="10"/>
      <c r="J60" s="10"/>
    </row>
    <row r="61" spans="3:10" x14ac:dyDescent="0.25">
      <c r="C61" s="950"/>
      <c r="D61" s="950"/>
      <c r="E61" s="950"/>
      <c r="F61" s="950"/>
      <c r="G61" s="10"/>
      <c r="H61" s="10"/>
      <c r="I61" s="10"/>
      <c r="J61" s="10"/>
    </row>
    <row r="62" spans="3:10" x14ac:dyDescent="0.25">
      <c r="C62" s="950"/>
      <c r="D62" s="950"/>
      <c r="E62" s="950"/>
      <c r="F62" s="950"/>
      <c r="G62" s="10"/>
      <c r="H62" s="10"/>
      <c r="I62" s="10"/>
      <c r="J62" s="10"/>
    </row>
    <row r="63" spans="3:10" x14ac:dyDescent="0.25">
      <c r="C63" s="950"/>
      <c r="D63" s="950"/>
      <c r="E63" s="950"/>
      <c r="F63" s="950"/>
      <c r="G63" s="10"/>
      <c r="H63" s="10"/>
      <c r="I63" s="10"/>
      <c r="J63" s="10"/>
    </row>
    <row r="64" spans="3:10" x14ac:dyDescent="0.25">
      <c r="C64" s="950"/>
      <c r="D64" s="950"/>
      <c r="E64" s="950"/>
      <c r="F64" s="950"/>
      <c r="G64" s="10"/>
      <c r="H64" s="10"/>
      <c r="I64" s="10"/>
      <c r="J64" s="10"/>
    </row>
    <row r="65" spans="3:10" x14ac:dyDescent="0.25">
      <c r="C65" s="950"/>
      <c r="D65" s="950"/>
      <c r="E65" s="950"/>
      <c r="F65" s="950"/>
      <c r="G65" s="10"/>
      <c r="H65" s="10"/>
      <c r="I65" s="10"/>
      <c r="J65" s="10"/>
    </row>
    <row r="66" spans="3:10" x14ac:dyDescent="0.25">
      <c r="C66" s="950"/>
      <c r="D66" s="950"/>
      <c r="E66" s="950"/>
      <c r="F66" s="950"/>
      <c r="G66" s="10"/>
      <c r="H66" s="10"/>
      <c r="I66" s="10"/>
      <c r="J66" s="10"/>
    </row>
    <row r="67" spans="3:10" x14ac:dyDescent="0.25">
      <c r="C67" s="950"/>
      <c r="D67" s="950"/>
      <c r="E67" s="950"/>
      <c r="F67" s="950"/>
      <c r="G67" s="10"/>
      <c r="H67" s="10"/>
      <c r="I67" s="10"/>
      <c r="J67" s="10"/>
    </row>
    <row r="68" spans="3:10" x14ac:dyDescent="0.25">
      <c r="C68" s="950"/>
      <c r="D68" s="950"/>
      <c r="E68" s="950"/>
      <c r="F68" s="950"/>
      <c r="G68" s="10"/>
      <c r="H68" s="10"/>
      <c r="I68" s="10"/>
      <c r="J68" s="10"/>
    </row>
  </sheetData>
  <mergeCells count="173">
    <mergeCell ref="C68:F68"/>
    <mergeCell ref="C62:F62"/>
    <mergeCell ref="C63:F63"/>
    <mergeCell ref="C64:F64"/>
    <mergeCell ref="C65:F65"/>
    <mergeCell ref="C66:F66"/>
    <mergeCell ref="C67:F67"/>
    <mergeCell ref="C56:F56"/>
    <mergeCell ref="C57:F57"/>
    <mergeCell ref="C58:F58"/>
    <mergeCell ref="C59:F59"/>
    <mergeCell ref="C60:F60"/>
    <mergeCell ref="C61:F61"/>
    <mergeCell ref="C50:F50"/>
    <mergeCell ref="C51:F51"/>
    <mergeCell ref="C52:F52"/>
    <mergeCell ref="C53:F53"/>
    <mergeCell ref="C54:F54"/>
    <mergeCell ref="C55:F55"/>
    <mergeCell ref="C44:F44"/>
    <mergeCell ref="C45:F45"/>
    <mergeCell ref="C46:F46"/>
    <mergeCell ref="C47:F47"/>
    <mergeCell ref="C48:F48"/>
    <mergeCell ref="C49:F49"/>
    <mergeCell ref="C38:F38"/>
    <mergeCell ref="C39:F39"/>
    <mergeCell ref="C40:F40"/>
    <mergeCell ref="C41:F41"/>
    <mergeCell ref="C42:F42"/>
    <mergeCell ref="C43:F43"/>
    <mergeCell ref="S35:S36"/>
    <mergeCell ref="T35:T36"/>
    <mergeCell ref="U35:U36"/>
    <mergeCell ref="V35:V36"/>
    <mergeCell ref="W35:W36"/>
    <mergeCell ref="A37:F37"/>
    <mergeCell ref="A34:F34"/>
    <mergeCell ref="G34:K34"/>
    <mergeCell ref="L34:N34"/>
    <mergeCell ref="O34:R34"/>
    <mergeCell ref="A35:F36"/>
    <mergeCell ref="G35:K36"/>
    <mergeCell ref="L35:N36"/>
    <mergeCell ref="O35:R36"/>
    <mergeCell ref="V32:W32"/>
    <mergeCell ref="A33:K33"/>
    <mergeCell ref="L33:N33"/>
    <mergeCell ref="O33:R33"/>
    <mergeCell ref="T33:U33"/>
    <mergeCell ref="V33:W33"/>
    <mergeCell ref="A31:F31"/>
    <mergeCell ref="G31:K31"/>
    <mergeCell ref="L31:N31"/>
    <mergeCell ref="O31:R31"/>
    <mergeCell ref="T31:U31"/>
    <mergeCell ref="A32:F32"/>
    <mergeCell ref="G32:K32"/>
    <mergeCell ref="L32:N32"/>
    <mergeCell ref="O32:R32"/>
    <mergeCell ref="T32:U32"/>
    <mergeCell ref="T28:V28"/>
    <mergeCell ref="A29:K29"/>
    <mergeCell ref="T29:V29"/>
    <mergeCell ref="A30:K30"/>
    <mergeCell ref="L30:N30"/>
    <mergeCell ref="O30:R30"/>
    <mergeCell ref="T30:U30"/>
    <mergeCell ref="P26:R29"/>
    <mergeCell ref="T26:V26"/>
    <mergeCell ref="A27:B27"/>
    <mergeCell ref="D27:F27"/>
    <mergeCell ref="G27:H27"/>
    <mergeCell ref="J27:K27"/>
    <mergeCell ref="T27:V27"/>
    <mergeCell ref="A28:B28"/>
    <mergeCell ref="D28:F28"/>
    <mergeCell ref="G28:H28"/>
    <mergeCell ref="N26:O29"/>
    <mergeCell ref="J28:K28"/>
    <mergeCell ref="T24:V24"/>
    <mergeCell ref="A25:B25"/>
    <mergeCell ref="D25:F25"/>
    <mergeCell ref="G25:H25"/>
    <mergeCell ref="J25:K25"/>
    <mergeCell ref="T25:V25"/>
    <mergeCell ref="P22:R25"/>
    <mergeCell ref="T22:V22"/>
    <mergeCell ref="A23:B23"/>
    <mergeCell ref="D23:F23"/>
    <mergeCell ref="G23:H23"/>
    <mergeCell ref="J23:K23"/>
    <mergeCell ref="T23:V23"/>
    <mergeCell ref="A24:B24"/>
    <mergeCell ref="D24:F24"/>
    <mergeCell ref="G24:H24"/>
    <mergeCell ref="A22:B22"/>
    <mergeCell ref="D22:F22"/>
    <mergeCell ref="G22:H22"/>
    <mergeCell ref="J22:K22"/>
    <mergeCell ref="L22:M29"/>
    <mergeCell ref="N22:O25"/>
    <mergeCell ref="J24:K24"/>
    <mergeCell ref="A26:K26"/>
    <mergeCell ref="M16:Q16"/>
    <mergeCell ref="W19:W21"/>
    <mergeCell ref="A20:B21"/>
    <mergeCell ref="C20:C21"/>
    <mergeCell ref="D20:F21"/>
    <mergeCell ref="G20:H21"/>
    <mergeCell ref="I20:I21"/>
    <mergeCell ref="J20:K21"/>
    <mergeCell ref="A17:K18"/>
    <mergeCell ref="L17:R18"/>
    <mergeCell ref="S17:W18"/>
    <mergeCell ref="A19:F19"/>
    <mergeCell ref="G19:K19"/>
    <mergeCell ref="L19:M21"/>
    <mergeCell ref="N19:O21"/>
    <mergeCell ref="P19:R21"/>
    <mergeCell ref="S19:S21"/>
    <mergeCell ref="T19:V21"/>
    <mergeCell ref="Z11:AD11"/>
    <mergeCell ref="A12:E12"/>
    <mergeCell ref="A13:E13"/>
    <mergeCell ref="G13:I14"/>
    <mergeCell ref="J13:L13"/>
    <mergeCell ref="M13:Q13"/>
    <mergeCell ref="R13:W13"/>
    <mergeCell ref="A14:E14"/>
    <mergeCell ref="J14:L14"/>
    <mergeCell ref="M14:Q14"/>
    <mergeCell ref="R6:R12"/>
    <mergeCell ref="S6:S12"/>
    <mergeCell ref="T6:T12"/>
    <mergeCell ref="U6:U12"/>
    <mergeCell ref="V6:V12"/>
    <mergeCell ref="W6:W12"/>
    <mergeCell ref="R14:T16"/>
    <mergeCell ref="U14:W16"/>
    <mergeCell ref="A15:E15"/>
    <mergeCell ref="G15:I16"/>
    <mergeCell ref="J15:L15"/>
    <mergeCell ref="M15:Q15"/>
    <mergeCell ref="A16:E16"/>
    <mergeCell ref="J16:L16"/>
    <mergeCell ref="A7:E7"/>
    <mergeCell ref="J7:K12"/>
    <mergeCell ref="L7:L12"/>
    <mergeCell ref="M7:P12"/>
    <mergeCell ref="Q7:Q12"/>
    <mergeCell ref="A8:E8"/>
    <mergeCell ref="A9:E9"/>
    <mergeCell ref="A10:E10"/>
    <mergeCell ref="A11:E11"/>
    <mergeCell ref="A5:E5"/>
    <mergeCell ref="G5:G6"/>
    <mergeCell ref="H5:H6"/>
    <mergeCell ref="I5:I6"/>
    <mergeCell ref="J5:L5"/>
    <mergeCell ref="M5:Q5"/>
    <mergeCell ref="A6:E6"/>
    <mergeCell ref="J6:K6"/>
    <mergeCell ref="M6:P6"/>
    <mergeCell ref="A1:F2"/>
    <mergeCell ref="G1:T2"/>
    <mergeCell ref="V1:W1"/>
    <mergeCell ref="V2:W2"/>
    <mergeCell ref="A3:F3"/>
    <mergeCell ref="G3:I4"/>
    <mergeCell ref="J3:Q4"/>
    <mergeCell ref="R3:W4"/>
    <mergeCell ref="A4:E4"/>
  </mergeCells>
  <pageMargins left="0.25" right="0.25" top="0.75" bottom="0.75" header="0.3" footer="0.3"/>
  <pageSetup paperSize="8" scale="67" orientation="landscape" r:id="rId1"/>
  <headerFooter>
    <oddFooter>&amp;C&amp;"-,Bold Italic"&amp;16Prepared by Emir Cebecioglu&amp;RQuality Control Department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00B54-4BFB-4EFC-A213-969E57CBE2E7}">
  <sheetPr>
    <pageSetUpPr fitToPage="1"/>
  </sheetPr>
  <dimension ref="A1:CB78"/>
  <sheetViews>
    <sheetView view="pageBreakPreview" zoomScale="55" zoomScaleNormal="70" zoomScaleSheetLayoutView="55" zoomScalePageLayoutView="55" workbookViewId="0">
      <selection activeCell="O31" sqref="O31:R31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140625" customWidth="1"/>
    <col min="47" max="47" width="10.71093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1" customWidth="1"/>
    <col min="62" max="62" width="56.7109375" customWidth="1"/>
    <col min="63" max="63" width="13" customWidth="1"/>
    <col min="64" max="64" width="7" customWidth="1"/>
  </cols>
  <sheetData>
    <row r="1" spans="1:80" ht="213" customHeight="1" thickBot="1" x14ac:dyDescent="0.3"/>
    <row r="2" spans="1:80" ht="39.950000000000003" customHeight="1" thickTop="1" x14ac:dyDescent="0.25">
      <c r="A2" s="2313" t="s">
        <v>250</v>
      </c>
      <c r="B2" s="2314"/>
      <c r="C2" s="2314"/>
      <c r="D2" s="2315">
        <f>B7/((84*3.1415/44)*(70/3.281))</f>
        <v>7.8152795417068623E-14</v>
      </c>
      <c r="E2" s="2316"/>
      <c r="F2" s="2313" t="s">
        <v>250</v>
      </c>
      <c r="G2" s="2314"/>
      <c r="H2" s="2314"/>
      <c r="I2" s="2315">
        <f>G7/((84*3.1415/44)*(70/3.281))</f>
        <v>1.4888107526951576E-2</v>
      </c>
      <c r="J2" s="2316"/>
      <c r="K2" s="2305" t="s">
        <v>250</v>
      </c>
      <c r="L2" s="2306"/>
      <c r="M2" s="2306"/>
      <c r="N2" s="2307">
        <f>L7/((84*3.1415/44)*(65/3.281))</f>
        <v>8.4164548910689283E-15</v>
      </c>
      <c r="O2" s="2308"/>
      <c r="P2" s="2305" t="s">
        <v>250</v>
      </c>
      <c r="Q2" s="2306"/>
      <c r="R2" s="2306"/>
      <c r="S2" s="2307">
        <f>Q7/((84*3.1415/44)*(65/3.281))</f>
        <v>8.4164548910689293E-17</v>
      </c>
      <c r="T2" s="2308"/>
      <c r="U2" s="2305" t="s">
        <v>250</v>
      </c>
      <c r="V2" s="2306"/>
      <c r="W2" s="2306"/>
      <c r="X2" s="2307">
        <f>V7/((84*3.1415/44)*(65/3.281))</f>
        <v>4.9168929473624688E-3</v>
      </c>
      <c r="Y2" s="2308"/>
      <c r="Z2" s="2309" t="s">
        <v>250</v>
      </c>
      <c r="AA2" s="2310"/>
      <c r="AB2" s="2310"/>
      <c r="AC2" s="2311">
        <f>AA7/((84*3.1415/44)*(60/3.281))</f>
        <v>9.1178261319913394E-11</v>
      </c>
      <c r="AD2" s="2312"/>
      <c r="AE2" s="2299" t="s">
        <v>250</v>
      </c>
      <c r="AF2" s="2300"/>
      <c r="AG2" s="2300"/>
      <c r="AH2" s="2301">
        <f>AF7/((84*3.1415/44)*(55/3.281))</f>
        <v>1.4906153717893332E-2</v>
      </c>
      <c r="AI2" s="2302"/>
      <c r="AJ2" s="2299" t="s">
        <v>250</v>
      </c>
      <c r="AK2" s="2300"/>
      <c r="AL2" s="2300"/>
      <c r="AM2" s="2301">
        <f>AK7/((84*3.1415/44)*(55/3.281))</f>
        <v>9.9467194167178258E-11</v>
      </c>
      <c r="AN2" s="2302"/>
      <c r="AO2" s="2299" t="s">
        <v>250</v>
      </c>
      <c r="AP2" s="2300"/>
      <c r="AQ2" s="2300"/>
      <c r="AR2" s="2301">
        <f>AP7/((84*3.1415/44)*(55/3.281))</f>
        <v>9.9467194167178258E-12</v>
      </c>
      <c r="AS2" s="2302"/>
      <c r="AT2" s="2299" t="s">
        <v>250</v>
      </c>
      <c r="AU2" s="2300"/>
      <c r="AV2" s="2300"/>
      <c r="AW2" s="2301">
        <f>AU7/((84*3.1415/44)*(55/3.281))</f>
        <v>7.0721175052863737E-3</v>
      </c>
      <c r="AX2" s="2302"/>
      <c r="AY2" s="674"/>
      <c r="AZ2" s="674"/>
      <c r="BA2" s="674"/>
      <c r="BB2" s="1300"/>
      <c r="BC2" s="1300"/>
      <c r="BD2" s="674"/>
      <c r="BE2" s="674"/>
      <c r="BF2" s="674"/>
      <c r="BG2" s="1300"/>
      <c r="BH2" s="1300"/>
      <c r="BM2" s="27"/>
      <c r="BN2" s="27"/>
      <c r="BO2" s="27"/>
      <c r="BP2" s="27"/>
      <c r="BQ2" s="27"/>
      <c r="BR2" s="27"/>
      <c r="BW2" s="27"/>
      <c r="BX2" s="27"/>
      <c r="BY2" s="27"/>
      <c r="BZ2" s="27"/>
      <c r="CA2" s="27"/>
      <c r="CB2" s="27"/>
    </row>
    <row r="3" spans="1:80" ht="9.9499999999999993" hidden="1" customHeight="1" x14ac:dyDescent="0.25">
      <c r="A3" s="1680" t="s">
        <v>545</v>
      </c>
      <c r="B3" s="1681"/>
      <c r="C3" s="1681"/>
      <c r="D3" s="1681"/>
      <c r="E3" s="1682"/>
      <c r="F3" s="1680" t="s">
        <v>545</v>
      </c>
      <c r="G3" s="1681"/>
      <c r="H3" s="1681"/>
      <c r="I3" s="1681"/>
      <c r="J3" s="1682"/>
      <c r="K3" s="1680" t="s">
        <v>545</v>
      </c>
      <c r="L3" s="1681"/>
      <c r="M3" s="1681"/>
      <c r="N3" s="1681"/>
      <c r="O3" s="1682"/>
      <c r="P3" s="1680" t="s">
        <v>545</v>
      </c>
      <c r="Q3" s="1681"/>
      <c r="R3" s="1681"/>
      <c r="S3" s="1681"/>
      <c r="T3" s="1682"/>
      <c r="U3" s="1680" t="s">
        <v>545</v>
      </c>
      <c r="V3" s="1681"/>
      <c r="W3" s="1681"/>
      <c r="X3" s="1681"/>
      <c r="Y3" s="1682"/>
      <c r="Z3" s="1680" t="s">
        <v>545</v>
      </c>
      <c r="AA3" s="1681"/>
      <c r="AB3" s="1681"/>
      <c r="AC3" s="1681"/>
      <c r="AD3" s="1682"/>
      <c r="AE3" s="1680" t="s">
        <v>545</v>
      </c>
      <c r="AF3" s="1681"/>
      <c r="AG3" s="1681"/>
      <c r="AH3" s="1681"/>
      <c r="AI3" s="1682"/>
      <c r="AJ3" s="1680" t="s">
        <v>545</v>
      </c>
      <c r="AK3" s="1681"/>
      <c r="AL3" s="1681"/>
      <c r="AM3" s="1681"/>
      <c r="AN3" s="1682"/>
      <c r="AO3" s="1680" t="s">
        <v>545</v>
      </c>
      <c r="AP3" s="1681"/>
      <c r="AQ3" s="1681"/>
      <c r="AR3" s="1681"/>
      <c r="AS3" s="1682"/>
      <c r="AT3" s="1680" t="s">
        <v>545</v>
      </c>
      <c r="AU3" s="1681"/>
      <c r="AV3" s="1681"/>
      <c r="AW3" s="1681"/>
      <c r="AX3" s="1682"/>
      <c r="AY3" s="676"/>
      <c r="AZ3" s="676"/>
      <c r="BA3" s="676"/>
      <c r="BB3" s="36"/>
      <c r="BC3" s="36"/>
      <c r="BD3" s="676"/>
      <c r="BE3" s="676"/>
      <c r="BF3" s="676"/>
      <c r="BG3" s="36"/>
      <c r="BH3" s="36"/>
    </row>
    <row r="4" spans="1:80" ht="24.95" hidden="1" customHeight="1" x14ac:dyDescent="0.25">
      <c r="A4" s="1683"/>
      <c r="B4" s="1684"/>
      <c r="C4" s="1684"/>
      <c r="D4" s="1684"/>
      <c r="E4" s="1685"/>
      <c r="F4" s="1683"/>
      <c r="G4" s="1684"/>
      <c r="H4" s="1684"/>
      <c r="I4" s="1684"/>
      <c r="J4" s="1685"/>
      <c r="K4" s="1683"/>
      <c r="L4" s="1684"/>
      <c r="M4" s="1684"/>
      <c r="N4" s="1684"/>
      <c r="O4" s="1685"/>
      <c r="P4" s="1683"/>
      <c r="Q4" s="1684"/>
      <c r="R4" s="1684"/>
      <c r="S4" s="1684"/>
      <c r="T4" s="1685"/>
      <c r="U4" s="1683"/>
      <c r="V4" s="1684"/>
      <c r="W4" s="1684"/>
      <c r="X4" s="1684"/>
      <c r="Y4" s="1685"/>
      <c r="Z4" s="1683"/>
      <c r="AA4" s="1684"/>
      <c r="AB4" s="1684"/>
      <c r="AC4" s="1684"/>
      <c r="AD4" s="1685"/>
      <c r="AE4" s="1683"/>
      <c r="AF4" s="1684"/>
      <c r="AG4" s="1684"/>
      <c r="AH4" s="1684"/>
      <c r="AI4" s="1685"/>
      <c r="AJ4" s="1683"/>
      <c r="AK4" s="1684"/>
      <c r="AL4" s="1684"/>
      <c r="AM4" s="1684"/>
      <c r="AN4" s="1685"/>
      <c r="AO4" s="1683"/>
      <c r="AP4" s="1684"/>
      <c r="AQ4" s="1684"/>
      <c r="AR4" s="1684"/>
      <c r="AS4" s="1685"/>
      <c r="AT4" s="1683"/>
      <c r="AU4" s="1684"/>
      <c r="AV4" s="1684"/>
      <c r="AW4" s="1684"/>
      <c r="AX4" s="1685"/>
      <c r="AY4" s="676"/>
      <c r="AZ4" s="676"/>
      <c r="BA4" s="676"/>
      <c r="BB4" s="36"/>
      <c r="BC4" s="36"/>
      <c r="BD4" s="676"/>
      <c r="BE4" s="676"/>
      <c r="BF4" s="676"/>
      <c r="BG4" s="36"/>
      <c r="BH4" s="36"/>
    </row>
    <row r="5" spans="1:80" ht="25.5" customHeight="1" x14ac:dyDescent="0.25">
      <c r="A5" s="1686"/>
      <c r="B5" s="1687"/>
      <c r="C5" s="1687"/>
      <c r="D5" s="1687"/>
      <c r="E5" s="1688"/>
      <c r="F5" s="1686"/>
      <c r="G5" s="1687"/>
      <c r="H5" s="1687"/>
      <c r="I5" s="1687"/>
      <c r="J5" s="1688"/>
      <c r="K5" s="1686"/>
      <c r="L5" s="1687"/>
      <c r="M5" s="1687"/>
      <c r="N5" s="1687"/>
      <c r="O5" s="1688"/>
      <c r="P5" s="1686"/>
      <c r="Q5" s="1687"/>
      <c r="R5" s="1687"/>
      <c r="S5" s="1687"/>
      <c r="T5" s="1688"/>
      <c r="U5" s="1686"/>
      <c r="V5" s="1687"/>
      <c r="W5" s="1687"/>
      <c r="X5" s="1687"/>
      <c r="Y5" s="1688"/>
      <c r="Z5" s="1686"/>
      <c r="AA5" s="1687"/>
      <c r="AB5" s="1687"/>
      <c r="AC5" s="1687"/>
      <c r="AD5" s="1688"/>
      <c r="AE5" s="1686"/>
      <c r="AF5" s="1687"/>
      <c r="AG5" s="1687"/>
      <c r="AH5" s="1687"/>
      <c r="AI5" s="1688"/>
      <c r="AJ5" s="1686"/>
      <c r="AK5" s="1687"/>
      <c r="AL5" s="1687"/>
      <c r="AM5" s="1687"/>
      <c r="AN5" s="1688"/>
      <c r="AO5" s="1686"/>
      <c r="AP5" s="1687"/>
      <c r="AQ5" s="1687"/>
      <c r="AR5" s="1687"/>
      <c r="AS5" s="1688"/>
      <c r="AT5" s="1686"/>
      <c r="AU5" s="1687"/>
      <c r="AV5" s="1687"/>
      <c r="AW5" s="1687"/>
      <c r="AX5" s="1688"/>
      <c r="AY5" s="676"/>
      <c r="AZ5" s="676"/>
      <c r="BA5" s="676"/>
      <c r="BB5" s="36"/>
      <c r="BC5" s="36"/>
      <c r="BD5" s="676"/>
      <c r="BE5" s="676"/>
      <c r="BF5" s="676"/>
      <c r="BG5" s="36"/>
      <c r="BH5" s="36"/>
    </row>
    <row r="6" spans="1:80" ht="72" customHeight="1" x14ac:dyDescent="0.25">
      <c r="A6" s="1325" t="s">
        <v>262</v>
      </c>
      <c r="B6" s="1714">
        <v>11</v>
      </c>
      <c r="C6" s="1715"/>
      <c r="D6" s="1715"/>
      <c r="E6" s="1716"/>
      <c r="F6" s="1325" t="s">
        <v>262</v>
      </c>
      <c r="G6" s="1714">
        <v>16</v>
      </c>
      <c r="H6" s="1715"/>
      <c r="I6" s="1715"/>
      <c r="J6" s="1716"/>
      <c r="K6" s="1926" t="s">
        <v>476</v>
      </c>
      <c r="L6" s="1714">
        <v>10</v>
      </c>
      <c r="M6" s="1715"/>
      <c r="N6" s="1715"/>
      <c r="O6" s="1716"/>
      <c r="P6" s="1926" t="s">
        <v>476</v>
      </c>
      <c r="Q6" s="1714">
        <v>14</v>
      </c>
      <c r="R6" s="1715"/>
      <c r="S6" s="1715"/>
      <c r="T6" s="1716"/>
      <c r="U6" s="1926" t="s">
        <v>476</v>
      </c>
      <c r="V6" s="1714">
        <v>15</v>
      </c>
      <c r="W6" s="1715"/>
      <c r="X6" s="1715"/>
      <c r="Y6" s="1716"/>
      <c r="Z6" s="2303" t="s">
        <v>487</v>
      </c>
      <c r="AA6" s="1714">
        <v>2</v>
      </c>
      <c r="AB6" s="1715"/>
      <c r="AC6" s="1715"/>
      <c r="AD6" s="1716"/>
      <c r="AE6" s="1330" t="s">
        <v>475</v>
      </c>
      <c r="AF6" s="1714">
        <v>1</v>
      </c>
      <c r="AG6" s="1715"/>
      <c r="AH6" s="1715"/>
      <c r="AI6" s="1716"/>
      <c r="AJ6" s="1330" t="s">
        <v>475</v>
      </c>
      <c r="AK6" s="1714">
        <v>5</v>
      </c>
      <c r="AL6" s="1715"/>
      <c r="AM6" s="1715"/>
      <c r="AN6" s="1716"/>
      <c r="AO6" s="1330" t="s">
        <v>475</v>
      </c>
      <c r="AP6" s="1714">
        <v>6</v>
      </c>
      <c r="AQ6" s="1715"/>
      <c r="AR6" s="1715"/>
      <c r="AS6" s="1716"/>
      <c r="AT6" s="1330" t="s">
        <v>475</v>
      </c>
      <c r="AU6" s="1714">
        <v>7</v>
      </c>
      <c r="AV6" s="1715"/>
      <c r="AW6" s="1715"/>
      <c r="AX6" s="1716"/>
      <c r="AY6" s="677"/>
      <c r="AZ6" s="1332"/>
      <c r="BA6" s="1332"/>
      <c r="BB6" s="1332"/>
      <c r="BC6" s="1332"/>
      <c r="BD6" s="677"/>
      <c r="BE6" s="1332"/>
      <c r="BF6" s="1332"/>
      <c r="BG6" s="1332"/>
      <c r="BH6" s="1332"/>
      <c r="BM6" s="27"/>
      <c r="BN6" s="27"/>
      <c r="BO6" s="27"/>
      <c r="BP6" s="27"/>
      <c r="BQ6" s="27"/>
      <c r="BR6" s="27"/>
      <c r="BW6" s="27"/>
      <c r="BX6" s="27"/>
      <c r="BY6" s="27"/>
      <c r="BZ6" s="27"/>
      <c r="CA6" s="27"/>
      <c r="CB6" s="27"/>
    </row>
    <row r="7" spans="1:80" ht="35.1" customHeight="1" thickBot="1" x14ac:dyDescent="0.3">
      <c r="A7" s="1326"/>
      <c r="B7" s="241">
        <v>9.9999999999999994E-12</v>
      </c>
      <c r="C7" s="242" t="s">
        <v>113</v>
      </c>
      <c r="D7" s="243"/>
      <c r="E7" s="244" t="s">
        <v>114</v>
      </c>
      <c r="F7" s="1326"/>
      <c r="G7" s="409">
        <v>1.905</v>
      </c>
      <c r="H7" s="242" t="s">
        <v>113</v>
      </c>
      <c r="I7" s="243"/>
      <c r="J7" s="244" t="s">
        <v>114</v>
      </c>
      <c r="K7" s="1927"/>
      <c r="L7" s="241">
        <v>9.9999999999999998E-13</v>
      </c>
      <c r="M7" s="242" t="s">
        <v>113</v>
      </c>
      <c r="N7" s="243">
        <v>1</v>
      </c>
      <c r="O7" s="244" t="s">
        <v>114</v>
      </c>
      <c r="P7" s="1927"/>
      <c r="Q7" s="241">
        <v>1E-14</v>
      </c>
      <c r="R7" s="242" t="s">
        <v>113</v>
      </c>
      <c r="S7" s="243"/>
      <c r="T7" s="244" t="s">
        <v>114</v>
      </c>
      <c r="U7" s="1927"/>
      <c r="V7" s="241">
        <v>0.58420000000000005</v>
      </c>
      <c r="W7" s="242" t="s">
        <v>113</v>
      </c>
      <c r="X7" s="243">
        <v>1</v>
      </c>
      <c r="Y7" s="244" t="s">
        <v>114</v>
      </c>
      <c r="Z7" s="2304"/>
      <c r="AA7" s="241">
        <v>1E-8</v>
      </c>
      <c r="AB7" s="242" t="s">
        <v>113</v>
      </c>
      <c r="AC7" s="243"/>
      <c r="AD7" s="244" t="s">
        <v>114</v>
      </c>
      <c r="AE7" s="1331"/>
      <c r="AF7" s="241">
        <v>1.4985999999999999</v>
      </c>
      <c r="AG7" s="242" t="s">
        <v>113</v>
      </c>
      <c r="AH7" s="243">
        <v>1</v>
      </c>
      <c r="AI7" s="244" t="s">
        <v>114</v>
      </c>
      <c r="AJ7" s="1331"/>
      <c r="AK7" s="241">
        <v>1E-8</v>
      </c>
      <c r="AL7" s="242" t="s">
        <v>113</v>
      </c>
      <c r="AM7" s="243">
        <v>1</v>
      </c>
      <c r="AN7" s="244" t="s">
        <v>114</v>
      </c>
      <c r="AO7" s="1331"/>
      <c r="AP7" s="241">
        <v>1.0000000000000001E-9</v>
      </c>
      <c r="AQ7" s="242" t="s">
        <v>113</v>
      </c>
      <c r="AR7" s="243"/>
      <c r="AS7" s="244" t="s">
        <v>114</v>
      </c>
      <c r="AT7" s="1331"/>
      <c r="AU7" s="241">
        <v>0.71099999999999997</v>
      </c>
      <c r="AV7" s="242" t="s">
        <v>113</v>
      </c>
      <c r="AW7" s="243">
        <v>1</v>
      </c>
      <c r="AX7" s="244" t="s">
        <v>114</v>
      </c>
      <c r="AY7" s="677"/>
      <c r="AZ7" s="137"/>
      <c r="BA7" s="33"/>
      <c r="BB7" s="138"/>
      <c r="BC7" s="35"/>
      <c r="BD7" s="677"/>
      <c r="BE7" s="137"/>
      <c r="BF7" s="33"/>
      <c r="BG7" s="138"/>
      <c r="BH7" s="35"/>
      <c r="BM7" s="27"/>
      <c r="BN7" s="27"/>
      <c r="BO7" s="27"/>
      <c r="BP7" s="27"/>
      <c r="BQ7" s="27"/>
      <c r="BR7" s="27"/>
      <c r="BW7" s="27"/>
      <c r="BX7" s="27"/>
      <c r="BY7" s="27"/>
      <c r="BZ7" s="27"/>
      <c r="CA7" s="27"/>
      <c r="CB7" s="27"/>
    </row>
    <row r="8" spans="1:80" ht="39" customHeight="1" thickTop="1" x14ac:dyDescent="0.25">
      <c r="A8" s="2299" t="s">
        <v>250</v>
      </c>
      <c r="B8" s="2300"/>
      <c r="C8" s="2300"/>
      <c r="D8" s="2301">
        <f>B13/((84*3.1415/44)*(55/3.281))</f>
        <v>1.1369100293308475E-2</v>
      </c>
      <c r="E8" s="2302"/>
      <c r="F8" s="1744" t="s">
        <v>250</v>
      </c>
      <c r="G8" s="1745"/>
      <c r="H8" s="1745"/>
      <c r="I8" s="1742">
        <f>G13/((84*3.1415/44)*(45/3.281))</f>
        <v>1.2157101509321786E-14</v>
      </c>
      <c r="J8" s="1743"/>
      <c r="K8" s="2293" t="s">
        <v>250</v>
      </c>
      <c r="L8" s="2294"/>
      <c r="M8" s="2294"/>
      <c r="N8" s="2291">
        <f>L13/((84*3.1415/44)*(40/3.281))</f>
        <v>1.3676739197987008E-14</v>
      </c>
      <c r="O8" s="2292"/>
      <c r="P8" s="2293" t="s">
        <v>250</v>
      </c>
      <c r="Q8" s="2294"/>
      <c r="R8" s="2294"/>
      <c r="S8" s="2291">
        <f>Q13/((84*3.1415/44)*(40/3.281))</f>
        <v>3.4738917562887003E-3</v>
      </c>
      <c r="T8" s="2292"/>
      <c r="U8" s="2293" t="s">
        <v>250</v>
      </c>
      <c r="V8" s="2294"/>
      <c r="W8" s="2294"/>
      <c r="X8" s="2291">
        <f>V13/((84*3.1415/44)*(40/3.281))</f>
        <v>1.3676739197987008E-20</v>
      </c>
      <c r="Y8" s="2292"/>
      <c r="Z8" s="2293" t="s">
        <v>250</v>
      </c>
      <c r="AA8" s="2294"/>
      <c r="AB8" s="2294"/>
      <c r="AC8" s="2291">
        <f>AA13/((84*3.1415/44)*(40/3.281))</f>
        <v>1.3676739197987008E-14</v>
      </c>
      <c r="AD8" s="2292"/>
      <c r="AE8" s="165"/>
      <c r="AF8" s="165"/>
      <c r="AG8" s="165"/>
      <c r="AH8" s="165"/>
      <c r="AI8" s="165"/>
      <c r="AJ8" s="165"/>
      <c r="AK8" s="165"/>
      <c r="AL8" s="165"/>
      <c r="AM8" s="165"/>
      <c r="AN8" s="165"/>
      <c r="AO8" s="165"/>
      <c r="AP8" s="165"/>
      <c r="AQ8" s="165"/>
      <c r="AR8" s="165"/>
      <c r="AS8" s="165"/>
      <c r="AT8" s="165"/>
      <c r="AU8" s="165"/>
      <c r="AV8" s="165"/>
      <c r="AW8" s="165"/>
      <c r="AX8" s="165"/>
      <c r="AY8" s="674"/>
      <c r="AZ8" s="674"/>
      <c r="BA8" s="674"/>
      <c r="BB8" s="1300"/>
      <c r="BC8" s="1300"/>
      <c r="BD8" s="674"/>
      <c r="BE8" s="674"/>
      <c r="BF8" s="674"/>
      <c r="BG8" s="1300"/>
      <c r="BH8" s="1300"/>
      <c r="BM8" s="27"/>
      <c r="BN8" s="27"/>
      <c r="BO8" s="27"/>
      <c r="BP8" s="27"/>
      <c r="BQ8" s="27"/>
      <c r="BR8" s="27"/>
      <c r="BW8" s="27"/>
      <c r="BX8" s="27"/>
      <c r="BY8" s="27"/>
      <c r="BZ8" s="27"/>
      <c r="CA8" s="27"/>
      <c r="CB8" s="27"/>
    </row>
    <row r="9" spans="1:80" ht="9.9499999999999993" hidden="1" customHeight="1" x14ac:dyDescent="0.25">
      <c r="A9" s="1680" t="s">
        <v>545</v>
      </c>
      <c r="B9" s="1681"/>
      <c r="C9" s="1681"/>
      <c r="D9" s="1681"/>
      <c r="E9" s="1682"/>
      <c r="F9" s="1680" t="s">
        <v>545</v>
      </c>
      <c r="G9" s="1681"/>
      <c r="H9" s="1681"/>
      <c r="I9" s="1681"/>
      <c r="J9" s="1682"/>
      <c r="K9" s="1723" t="s">
        <v>488</v>
      </c>
      <c r="L9" s="1724"/>
      <c r="M9" s="1724"/>
      <c r="N9" s="1724"/>
      <c r="O9" s="1725"/>
      <c r="P9" s="1680" t="s">
        <v>545</v>
      </c>
      <c r="Q9" s="1681"/>
      <c r="R9" s="1681"/>
      <c r="S9" s="1681"/>
      <c r="T9" s="1682"/>
      <c r="U9" s="1723" t="s">
        <v>488</v>
      </c>
      <c r="V9" s="1724"/>
      <c r="W9" s="1724"/>
      <c r="X9" s="1724"/>
      <c r="Y9" s="1725"/>
      <c r="Z9" s="1680" t="s">
        <v>545</v>
      </c>
      <c r="AA9" s="1681"/>
      <c r="AB9" s="1681"/>
      <c r="AC9" s="1681"/>
      <c r="AD9" s="1682"/>
      <c r="AE9" s="165"/>
      <c r="AF9" s="165"/>
      <c r="AG9" s="165"/>
      <c r="AH9" s="165"/>
      <c r="AI9" s="165"/>
      <c r="AJ9" s="165"/>
      <c r="AK9" s="165"/>
      <c r="AL9" s="165"/>
      <c r="AM9" s="165"/>
      <c r="AN9" s="165"/>
      <c r="AO9" s="165"/>
      <c r="AP9" s="165"/>
      <c r="AQ9" s="165"/>
      <c r="AR9" s="165"/>
      <c r="AS9" s="165"/>
      <c r="AT9" s="165"/>
      <c r="AU9" s="165"/>
      <c r="AV9" s="165"/>
      <c r="AW9" s="165"/>
      <c r="AX9" s="165"/>
      <c r="AY9" s="676"/>
      <c r="AZ9" s="676"/>
      <c r="BA9" s="676"/>
      <c r="BB9" s="674"/>
      <c r="BC9" s="674"/>
      <c r="BD9" s="674"/>
      <c r="BE9" s="674"/>
      <c r="BF9" s="674"/>
      <c r="BG9" s="674"/>
      <c r="BH9" s="674"/>
      <c r="BI9" s="674"/>
      <c r="BJ9" s="674"/>
    </row>
    <row r="10" spans="1:80" ht="24.95" hidden="1" customHeight="1" x14ac:dyDescent="0.25">
      <c r="A10" s="1683"/>
      <c r="B10" s="1684"/>
      <c r="C10" s="1684"/>
      <c r="D10" s="1684"/>
      <c r="E10" s="1685"/>
      <c r="F10" s="1683"/>
      <c r="G10" s="1684"/>
      <c r="H10" s="1684"/>
      <c r="I10" s="1684"/>
      <c r="J10" s="1685"/>
      <c r="K10" s="1726"/>
      <c r="L10" s="1727"/>
      <c r="M10" s="1727"/>
      <c r="N10" s="1727"/>
      <c r="O10" s="1728"/>
      <c r="P10" s="1683"/>
      <c r="Q10" s="1684"/>
      <c r="R10" s="1684"/>
      <c r="S10" s="1684"/>
      <c r="T10" s="1685"/>
      <c r="U10" s="1726"/>
      <c r="V10" s="1727"/>
      <c r="W10" s="1727"/>
      <c r="X10" s="1727"/>
      <c r="Y10" s="1728"/>
      <c r="Z10" s="1683"/>
      <c r="AA10" s="1684"/>
      <c r="AB10" s="1684"/>
      <c r="AC10" s="1684"/>
      <c r="AD10" s="1685"/>
      <c r="AE10" s="165"/>
      <c r="AF10" s="165"/>
      <c r="AG10" s="165"/>
      <c r="AH10" s="165"/>
      <c r="AI10" s="165"/>
      <c r="AJ10" s="165"/>
      <c r="AK10" s="165"/>
      <c r="AL10" s="165"/>
      <c r="AM10" s="165"/>
      <c r="AN10" s="165"/>
      <c r="AO10" s="165"/>
      <c r="AP10" s="165"/>
      <c r="AQ10" s="165"/>
      <c r="AR10" s="165"/>
      <c r="AS10" s="165"/>
      <c r="AT10" s="165"/>
      <c r="AU10" s="165"/>
      <c r="AV10" s="165"/>
      <c r="AW10" s="165"/>
      <c r="AX10" s="165"/>
      <c r="AY10" s="676"/>
      <c r="AZ10" s="676"/>
      <c r="BA10" s="676"/>
      <c r="BB10" s="674"/>
      <c r="BC10" s="674"/>
      <c r="BD10" s="674"/>
      <c r="BE10" s="674"/>
      <c r="BF10" s="674"/>
      <c r="BG10" s="674"/>
      <c r="BH10" s="674"/>
      <c r="BI10" s="674"/>
      <c r="BJ10" s="674"/>
    </row>
    <row r="11" spans="1:80" ht="25.5" customHeight="1" x14ac:dyDescent="0.25">
      <c r="A11" s="1686"/>
      <c r="B11" s="1687"/>
      <c r="C11" s="1687"/>
      <c r="D11" s="1687"/>
      <c r="E11" s="1688"/>
      <c r="F11" s="1686"/>
      <c r="G11" s="1687"/>
      <c r="H11" s="1687"/>
      <c r="I11" s="1687"/>
      <c r="J11" s="1688"/>
      <c r="K11" s="1729"/>
      <c r="L11" s="1730"/>
      <c r="M11" s="1730"/>
      <c r="N11" s="1730"/>
      <c r="O11" s="1731"/>
      <c r="P11" s="1686"/>
      <c r="Q11" s="1687"/>
      <c r="R11" s="1687"/>
      <c r="S11" s="1687"/>
      <c r="T11" s="1688"/>
      <c r="U11" s="1729"/>
      <c r="V11" s="1730"/>
      <c r="W11" s="1730"/>
      <c r="X11" s="1730"/>
      <c r="Y11" s="1731"/>
      <c r="Z11" s="1686"/>
      <c r="AA11" s="1687"/>
      <c r="AB11" s="1687"/>
      <c r="AC11" s="1687"/>
      <c r="AD11" s="1688"/>
      <c r="AE11" s="165"/>
      <c r="AF11" s="165"/>
      <c r="AG11" s="165"/>
      <c r="AH11" s="165"/>
      <c r="AI11" s="165"/>
      <c r="AJ11" s="165"/>
      <c r="AK11" s="165"/>
      <c r="AL11" s="165"/>
      <c r="AM11" s="165"/>
      <c r="AN11" s="165"/>
      <c r="AO11" s="165"/>
      <c r="AP11" s="165"/>
      <c r="AQ11" s="165"/>
      <c r="AR11" s="165"/>
      <c r="AS11" s="165"/>
      <c r="AT11" s="165"/>
      <c r="AU11" s="165"/>
      <c r="AV11" s="165"/>
      <c r="AW11" s="165"/>
      <c r="AX11" s="165"/>
      <c r="AY11" s="676"/>
      <c r="AZ11" s="676"/>
      <c r="BA11" s="676"/>
      <c r="BB11" s="674"/>
      <c r="BC11" s="674"/>
      <c r="BD11" s="674"/>
      <c r="BE11" s="674"/>
      <c r="BF11" s="674"/>
      <c r="BG11" s="674"/>
      <c r="BH11" s="674"/>
      <c r="BI11" s="674"/>
      <c r="BJ11" s="674"/>
    </row>
    <row r="12" spans="1:80" ht="72" customHeight="1" x14ac:dyDescent="0.25">
      <c r="A12" s="1330" t="s">
        <v>475</v>
      </c>
      <c r="B12" s="1714">
        <v>9</v>
      </c>
      <c r="C12" s="1715"/>
      <c r="D12" s="1715"/>
      <c r="E12" s="1716"/>
      <c r="F12" s="1721" t="s">
        <v>479</v>
      </c>
      <c r="G12" s="1714">
        <v>8</v>
      </c>
      <c r="H12" s="1715"/>
      <c r="I12" s="1715"/>
      <c r="J12" s="1716"/>
      <c r="K12" s="2297" t="s">
        <v>478</v>
      </c>
      <c r="L12" s="1714">
        <v>3</v>
      </c>
      <c r="M12" s="1715"/>
      <c r="N12" s="1715"/>
      <c r="O12" s="1716"/>
      <c r="P12" s="2297" t="s">
        <v>478</v>
      </c>
      <c r="Q12" s="1714">
        <v>4</v>
      </c>
      <c r="R12" s="1715"/>
      <c r="S12" s="1715"/>
      <c r="T12" s="1716"/>
      <c r="U12" s="2297" t="s">
        <v>478</v>
      </c>
      <c r="V12" s="1714">
        <v>12</v>
      </c>
      <c r="W12" s="1715"/>
      <c r="X12" s="1715"/>
      <c r="Y12" s="1716"/>
      <c r="Z12" s="2297" t="s">
        <v>478</v>
      </c>
      <c r="AA12" s="1714">
        <v>13</v>
      </c>
      <c r="AB12" s="1715"/>
      <c r="AC12" s="1715"/>
      <c r="AD12" s="1716"/>
      <c r="AE12" s="165"/>
      <c r="AF12" s="165"/>
      <c r="AG12" s="165"/>
      <c r="AH12" s="165"/>
      <c r="AI12" s="165"/>
      <c r="AJ12" s="165"/>
      <c r="AK12" s="165"/>
      <c r="AL12" s="165"/>
      <c r="AM12" s="165"/>
      <c r="AN12" s="165"/>
      <c r="AO12" s="165"/>
      <c r="AP12" s="165"/>
      <c r="AQ12" s="165"/>
      <c r="AR12" s="165"/>
      <c r="AS12" s="165"/>
      <c r="AT12" s="165"/>
      <c r="AU12" s="165"/>
      <c r="AV12" s="165"/>
      <c r="AW12" s="165"/>
      <c r="AX12" s="165"/>
      <c r="AY12" s="677"/>
      <c r="AZ12" s="1332"/>
      <c r="BA12" s="1332"/>
      <c r="BB12" s="1332"/>
      <c r="BC12" s="1332"/>
      <c r="BD12" s="677"/>
      <c r="BE12" s="1332"/>
      <c r="BF12" s="1332"/>
      <c r="BG12" s="1332"/>
      <c r="BH12" s="1332"/>
      <c r="BM12" s="51"/>
      <c r="BN12" s="51"/>
      <c r="BO12" s="51"/>
      <c r="BP12" s="51"/>
      <c r="BQ12" s="51"/>
      <c r="BR12" s="51"/>
      <c r="BW12" s="27"/>
      <c r="BX12" s="27"/>
      <c r="BY12" s="27"/>
      <c r="BZ12" s="27"/>
      <c r="CA12" s="27"/>
      <c r="CB12" s="27"/>
    </row>
    <row r="13" spans="1:80" ht="35.1" customHeight="1" thickBot="1" x14ac:dyDescent="0.3">
      <c r="A13" s="1331"/>
      <c r="B13" s="241">
        <v>1.143</v>
      </c>
      <c r="C13" s="242" t="s">
        <v>113</v>
      </c>
      <c r="D13" s="243"/>
      <c r="E13" s="244" t="s">
        <v>114</v>
      </c>
      <c r="F13" s="1722"/>
      <c r="G13" s="241">
        <v>9.9999999999999998E-13</v>
      </c>
      <c r="H13" s="242" t="s">
        <v>113</v>
      </c>
      <c r="I13" s="243"/>
      <c r="J13" s="244" t="s">
        <v>114</v>
      </c>
      <c r="K13" s="2298"/>
      <c r="L13" s="241">
        <v>9.9999999999999998E-13</v>
      </c>
      <c r="M13" s="242" t="s">
        <v>113</v>
      </c>
      <c r="N13" s="243"/>
      <c r="O13" s="244" t="s">
        <v>114</v>
      </c>
      <c r="P13" s="2298"/>
      <c r="Q13" s="241">
        <v>0.254</v>
      </c>
      <c r="R13" s="242" t="s">
        <v>113</v>
      </c>
      <c r="S13" s="243"/>
      <c r="T13" s="244" t="s">
        <v>114</v>
      </c>
      <c r="U13" s="2298"/>
      <c r="V13" s="241">
        <v>1.0000000000000001E-18</v>
      </c>
      <c r="W13" s="242" t="s">
        <v>113</v>
      </c>
      <c r="X13" s="243"/>
      <c r="Y13" s="244" t="s">
        <v>114</v>
      </c>
      <c r="Z13" s="2298"/>
      <c r="AA13" s="241">
        <v>9.9999999999999998E-13</v>
      </c>
      <c r="AB13" s="242" t="s">
        <v>113</v>
      </c>
      <c r="AC13" s="243">
        <v>1</v>
      </c>
      <c r="AD13" s="244" t="s">
        <v>114</v>
      </c>
      <c r="AE13" s="165"/>
      <c r="AF13" s="165"/>
      <c r="AG13" s="165"/>
      <c r="AH13" s="165"/>
      <c r="AI13" s="165"/>
      <c r="AJ13" s="165"/>
      <c r="AK13" s="165"/>
      <c r="AL13" s="165"/>
      <c r="AM13" s="165"/>
      <c r="AN13" s="165"/>
      <c r="AO13" s="165"/>
      <c r="AP13" s="165"/>
      <c r="AQ13" s="165"/>
      <c r="AR13" s="165"/>
      <c r="AS13" s="165"/>
      <c r="AT13" s="165"/>
      <c r="AU13" s="165"/>
      <c r="AV13" s="165"/>
      <c r="AW13" s="165"/>
      <c r="AX13" s="165"/>
      <c r="AY13" s="677"/>
      <c r="AZ13" s="137"/>
      <c r="BA13" s="33"/>
      <c r="BB13" s="138"/>
      <c r="BC13" s="35"/>
      <c r="BD13" s="677"/>
      <c r="BE13" s="137"/>
      <c r="BF13" s="33"/>
      <c r="BG13" s="138"/>
      <c r="BH13" s="35"/>
      <c r="BM13" s="51"/>
      <c r="BN13" s="51"/>
      <c r="BO13" s="51"/>
      <c r="BP13" s="51"/>
      <c r="BQ13" s="51"/>
      <c r="BR13" s="51"/>
      <c r="BW13" s="27"/>
      <c r="BX13" s="27"/>
      <c r="BY13" s="27"/>
      <c r="BZ13" s="27"/>
      <c r="CA13" s="27"/>
      <c r="CB13" s="27"/>
    </row>
    <row r="14" spans="1:80" ht="39.950000000000003" hidden="1" customHeight="1" thickTop="1" x14ac:dyDescent="0.25">
      <c r="A14" s="1695" t="s">
        <v>250</v>
      </c>
      <c r="B14" s="1696"/>
      <c r="C14" s="1696"/>
      <c r="D14" s="1697">
        <f>B19/((42*3.1415/59)*(30/3.281))</f>
        <v>0</v>
      </c>
      <c r="E14" s="1698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Z14" s="44"/>
      <c r="AA14" s="44"/>
      <c r="AB14" s="44"/>
      <c r="AC14" s="44"/>
      <c r="AD14" s="44"/>
      <c r="AE14" s="44"/>
      <c r="AF14" s="44"/>
      <c r="AG14" s="44"/>
      <c r="AH14" s="1300"/>
      <c r="AI14" s="1300"/>
      <c r="AJ14" s="674"/>
      <c r="AK14" s="674"/>
      <c r="AL14" s="674"/>
      <c r="AM14" s="1300"/>
      <c r="AN14" s="1300"/>
      <c r="AO14" s="674"/>
      <c r="AP14" s="674"/>
      <c r="AQ14" s="674"/>
      <c r="AR14" s="1300"/>
      <c r="AS14" s="1300"/>
      <c r="AT14" s="1389"/>
      <c r="AU14" s="1389"/>
      <c r="AV14" s="1389"/>
      <c r="AW14" s="1390"/>
      <c r="AX14" s="1390"/>
      <c r="AY14" s="674"/>
      <c r="AZ14" s="674"/>
      <c r="BA14" s="674"/>
      <c r="BB14" s="1300"/>
      <c r="BC14" s="1300"/>
      <c r="BD14" s="674"/>
      <c r="BE14" s="674"/>
      <c r="BF14" s="674"/>
      <c r="BG14" s="1300"/>
      <c r="BH14" s="1300"/>
      <c r="BM14" s="51"/>
      <c r="BN14" s="51"/>
      <c r="BO14" s="51"/>
      <c r="BP14" s="51"/>
      <c r="BQ14" s="51"/>
      <c r="BR14" s="51"/>
      <c r="BW14" s="27"/>
      <c r="BX14" s="27"/>
      <c r="BY14" s="27"/>
      <c r="BZ14" s="27"/>
      <c r="CA14" s="27"/>
      <c r="CB14" s="27"/>
    </row>
    <row r="15" spans="1:80" ht="9.9499999999999993" hidden="1" customHeight="1" x14ac:dyDescent="0.25">
      <c r="A15" s="1379" t="s">
        <v>252</v>
      </c>
      <c r="B15" s="1380"/>
      <c r="C15" s="1380"/>
      <c r="D15" s="1380"/>
      <c r="E15" s="1381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Z15" s="47"/>
      <c r="AA15" s="47"/>
      <c r="AB15" s="47"/>
      <c r="AC15" s="47"/>
      <c r="AD15" s="47"/>
      <c r="AE15" s="47"/>
      <c r="AF15" s="47"/>
      <c r="AG15" s="47"/>
      <c r="AH15" s="36"/>
      <c r="AI15" s="36"/>
      <c r="AJ15" s="676"/>
      <c r="AK15" s="676"/>
      <c r="AL15" s="676"/>
      <c r="AM15" s="36"/>
      <c r="AN15" s="36"/>
      <c r="AO15" s="676"/>
      <c r="AP15" s="676"/>
      <c r="AQ15" s="676"/>
      <c r="AR15" s="36"/>
      <c r="AS15" s="36"/>
      <c r="AT15" s="1388"/>
      <c r="AU15" s="1388"/>
      <c r="AV15" s="1388"/>
      <c r="AW15" s="139"/>
      <c r="AX15" s="139"/>
      <c r="AY15" s="676"/>
      <c r="AZ15" s="676"/>
      <c r="BA15" s="676"/>
      <c r="BB15" s="36"/>
      <c r="BC15" s="36"/>
      <c r="BD15" s="676"/>
      <c r="BE15" s="676"/>
      <c r="BF15" s="676"/>
      <c r="BG15" s="36"/>
      <c r="BH15" s="36"/>
    </row>
    <row r="16" spans="1:80" ht="24.95" hidden="1" customHeight="1" x14ac:dyDescent="0.25">
      <c r="A16" s="1382"/>
      <c r="B16" s="1383"/>
      <c r="C16" s="1383"/>
      <c r="D16" s="1383"/>
      <c r="E16" s="1384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Z16" s="47"/>
      <c r="AA16" s="47"/>
      <c r="AB16" s="47"/>
      <c r="AC16" s="47"/>
      <c r="AD16" s="47"/>
      <c r="AE16" s="47"/>
      <c r="AF16" s="47"/>
      <c r="AG16" s="47"/>
      <c r="AH16" s="140"/>
      <c r="AI16" s="36"/>
      <c r="AJ16" s="676"/>
      <c r="AK16" s="676"/>
      <c r="AL16" s="676"/>
      <c r="AM16" s="140"/>
      <c r="AN16" s="36"/>
      <c r="AO16" s="676"/>
      <c r="AP16" s="676"/>
      <c r="AQ16" s="676"/>
      <c r="AR16" s="140"/>
      <c r="AS16" s="36"/>
      <c r="AT16" s="1388"/>
      <c r="AU16" s="1388"/>
      <c r="AV16" s="1388"/>
      <c r="AW16" s="141"/>
      <c r="AX16" s="139"/>
      <c r="AY16" s="676"/>
      <c r="AZ16" s="676"/>
      <c r="BA16" s="676"/>
      <c r="BB16" s="36"/>
      <c r="BC16" s="36"/>
      <c r="BD16" s="676"/>
      <c r="BE16" s="676"/>
      <c r="BF16" s="676"/>
      <c r="BG16" s="36"/>
      <c r="BH16" s="36"/>
    </row>
    <row r="17" spans="1:80" ht="9.9499999999999993" hidden="1" customHeight="1" x14ac:dyDescent="0.25">
      <c r="A17" s="1385"/>
      <c r="B17" s="1386"/>
      <c r="C17" s="1386"/>
      <c r="D17" s="1386"/>
      <c r="E17" s="138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Z17" s="47"/>
      <c r="AA17" s="47"/>
      <c r="AB17" s="47"/>
      <c r="AC17" s="47"/>
      <c r="AD17" s="47"/>
      <c r="AE17" s="47"/>
      <c r="AF17" s="47"/>
      <c r="AG17" s="47"/>
      <c r="AH17" s="36"/>
      <c r="AI17" s="36"/>
      <c r="AJ17" s="676"/>
      <c r="AK17" s="676"/>
      <c r="AL17" s="676"/>
      <c r="AM17" s="36"/>
      <c r="AN17" s="36"/>
      <c r="AO17" s="676"/>
      <c r="AP17" s="676"/>
      <c r="AQ17" s="676"/>
      <c r="AR17" s="36"/>
      <c r="AS17" s="36"/>
      <c r="AT17" s="1388"/>
      <c r="AU17" s="1388"/>
      <c r="AV17" s="1388"/>
      <c r="AW17" s="139"/>
      <c r="AX17" s="139"/>
      <c r="AY17" s="676"/>
      <c r="AZ17" s="676"/>
      <c r="BA17" s="676"/>
      <c r="BB17" s="36"/>
      <c r="BC17" s="36"/>
      <c r="BD17" s="676"/>
      <c r="BE17" s="676"/>
      <c r="BF17" s="676"/>
      <c r="BG17" s="36"/>
      <c r="BH17" s="36"/>
    </row>
    <row r="18" spans="1:80" ht="72" hidden="1" customHeight="1" x14ac:dyDescent="0.25">
      <c r="A18" s="1374" t="s">
        <v>253</v>
      </c>
      <c r="B18" s="1376"/>
      <c r="C18" s="1377"/>
      <c r="D18" s="1377"/>
      <c r="E18" s="1378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3"/>
      <c r="AU18" s="143"/>
      <c r="AV18" s="143"/>
      <c r="AW18" s="143"/>
      <c r="AX18" s="143"/>
      <c r="AY18" s="677"/>
      <c r="AZ18" s="1332"/>
      <c r="BA18" s="1332"/>
      <c r="BB18" s="1332"/>
      <c r="BC18" s="1332"/>
      <c r="BD18" s="677"/>
      <c r="BE18" s="1332" t="s">
        <v>16</v>
      </c>
      <c r="BF18" s="1332"/>
      <c r="BG18" s="1332"/>
      <c r="BH18" s="1332"/>
      <c r="BM18" s="51"/>
      <c r="BN18" s="51"/>
      <c r="BO18" s="51"/>
      <c r="BP18" s="51"/>
      <c r="BQ18" s="51"/>
      <c r="BR18" s="51"/>
      <c r="BW18" s="27"/>
      <c r="BX18" s="27"/>
      <c r="BY18" s="27"/>
      <c r="BZ18" s="27"/>
      <c r="CA18" s="27"/>
      <c r="CB18" s="27"/>
    </row>
    <row r="19" spans="1:80" ht="35.1" hidden="1" customHeight="1" thickBot="1" x14ac:dyDescent="0.3">
      <c r="A19" s="1375"/>
      <c r="B19" s="144"/>
      <c r="C19" s="145" t="s">
        <v>113</v>
      </c>
      <c r="D19" s="146"/>
      <c r="E19" s="147" t="s">
        <v>114</v>
      </c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148"/>
      <c r="AU19" s="148"/>
      <c r="AV19" s="148"/>
      <c r="AW19" s="148"/>
      <c r="AX19" s="148"/>
      <c r="AY19" s="677"/>
      <c r="AZ19" s="137"/>
      <c r="BA19" s="33"/>
      <c r="BB19" s="138"/>
      <c r="BC19" s="35"/>
      <c r="BD19" s="677"/>
      <c r="BE19" s="137"/>
      <c r="BF19" s="33"/>
      <c r="BG19" s="138"/>
      <c r="BH19" s="35"/>
      <c r="BM19" s="51"/>
      <c r="BN19" s="51"/>
      <c r="BO19" s="51"/>
      <c r="BP19" s="51"/>
      <c r="BQ19" s="51"/>
      <c r="BR19" s="51"/>
      <c r="BW19" s="27"/>
      <c r="BX19" s="27"/>
      <c r="BY19" s="27"/>
      <c r="BZ19" s="27"/>
      <c r="CA19" s="27"/>
      <c r="CB19" s="27"/>
    </row>
    <row r="20" spans="1:80" ht="27" hidden="1" thickTop="1" x14ac:dyDescent="0.25">
      <c r="A20" s="1396"/>
      <c r="B20" s="1396"/>
      <c r="C20" s="1396"/>
      <c r="D20" s="1397"/>
      <c r="E20" s="1397"/>
      <c r="F20" s="674"/>
      <c r="G20" s="674"/>
      <c r="H20" s="674"/>
      <c r="I20" s="1300"/>
      <c r="J20" s="1300"/>
      <c r="K20" s="674"/>
      <c r="L20" s="674"/>
      <c r="M20" s="674"/>
      <c r="N20" s="1300"/>
      <c r="O20" s="1300"/>
      <c r="P20" s="674"/>
      <c r="Q20" s="674"/>
      <c r="R20" s="674"/>
      <c r="S20" s="1300"/>
      <c r="T20" s="1300"/>
      <c r="U20" s="674"/>
      <c r="V20" s="674"/>
      <c r="W20" s="674"/>
      <c r="X20" s="1300"/>
      <c r="Y20" s="1300"/>
      <c r="Z20" s="674"/>
      <c r="AA20" s="674"/>
      <c r="AB20" s="674"/>
      <c r="AC20" s="1300"/>
      <c r="AD20" s="1300"/>
      <c r="AE20" s="674"/>
      <c r="AF20" s="674"/>
      <c r="AG20" s="674"/>
      <c r="AH20" s="1300"/>
      <c r="AI20" s="1300"/>
      <c r="AJ20" s="674"/>
      <c r="AK20" s="674"/>
      <c r="AL20" s="674"/>
      <c r="AM20" s="1300"/>
      <c r="AN20" s="1300"/>
      <c r="AO20" s="674"/>
      <c r="AP20" s="674"/>
      <c r="AQ20" s="674"/>
      <c r="AR20" s="1300"/>
      <c r="AS20" s="1300"/>
      <c r="AT20" s="1389"/>
      <c r="AU20" s="1389"/>
      <c r="AV20" s="1389"/>
      <c r="AW20" s="1390"/>
      <c r="AX20" s="1390"/>
      <c r="AY20" s="674"/>
      <c r="AZ20" s="674"/>
      <c r="BA20" s="674"/>
      <c r="BB20" s="1300"/>
      <c r="BC20" s="1300"/>
      <c r="BD20" s="674"/>
      <c r="BE20" s="674"/>
      <c r="BF20" s="674"/>
      <c r="BG20" s="1300"/>
      <c r="BH20" s="1300"/>
      <c r="BM20" s="51"/>
      <c r="BN20" s="51"/>
      <c r="BO20" s="51"/>
      <c r="BP20" s="51"/>
      <c r="BQ20" s="51"/>
      <c r="BR20" s="51"/>
      <c r="BW20" s="27"/>
      <c r="BX20" s="27"/>
      <c r="BY20" s="27"/>
      <c r="BZ20" s="27"/>
      <c r="CA20" s="27"/>
      <c r="CB20" s="27"/>
    </row>
    <row r="21" spans="1:80" ht="19.5" hidden="1" thickTop="1" x14ac:dyDescent="0.25">
      <c r="A21" s="1395"/>
      <c r="B21" s="1395"/>
      <c r="C21" s="1395"/>
      <c r="D21" s="149"/>
      <c r="E21" s="149"/>
      <c r="F21" s="676"/>
      <c r="G21" s="676"/>
      <c r="H21" s="676"/>
      <c r="I21" s="36"/>
      <c r="J21" s="36"/>
      <c r="K21" s="676"/>
      <c r="L21" s="676"/>
      <c r="M21" s="676"/>
      <c r="N21" s="36"/>
      <c r="O21" s="36"/>
      <c r="P21" s="676"/>
      <c r="Q21" s="676"/>
      <c r="R21" s="676"/>
      <c r="S21" s="36"/>
      <c r="T21" s="36"/>
      <c r="U21" s="676"/>
      <c r="V21" s="676"/>
      <c r="W21" s="676"/>
      <c r="X21" s="36"/>
      <c r="Y21" s="36"/>
      <c r="Z21" s="676"/>
      <c r="AA21" s="676"/>
      <c r="AB21" s="676"/>
      <c r="AC21" s="36"/>
      <c r="AD21" s="36"/>
      <c r="AE21" s="676"/>
      <c r="AF21" s="676"/>
      <c r="AG21" s="676"/>
      <c r="AH21" s="36"/>
      <c r="AI21" s="36"/>
      <c r="AJ21" s="676"/>
      <c r="AK21" s="676"/>
      <c r="AL21" s="676"/>
      <c r="AM21" s="36"/>
      <c r="AN21" s="36"/>
      <c r="AO21" s="676"/>
      <c r="AP21" s="676"/>
      <c r="AQ21" s="676"/>
      <c r="AR21" s="36"/>
      <c r="AS21" s="36"/>
      <c r="AT21" s="1388"/>
      <c r="AU21" s="1388"/>
      <c r="AV21" s="1388"/>
      <c r="AW21" s="139"/>
      <c r="AX21" s="139"/>
      <c r="AY21" s="676"/>
      <c r="AZ21" s="676"/>
      <c r="BA21" s="676"/>
      <c r="BB21" s="36"/>
      <c r="BC21" s="36"/>
      <c r="BD21" s="676"/>
      <c r="BE21" s="676"/>
      <c r="BF21" s="676"/>
      <c r="BG21" s="36"/>
      <c r="BH21" s="36"/>
    </row>
    <row r="22" spans="1:80" ht="36.75" hidden="1" thickTop="1" x14ac:dyDescent="0.25">
      <c r="A22" s="1395"/>
      <c r="B22" s="1395"/>
      <c r="C22" s="1395"/>
      <c r="D22" s="150"/>
      <c r="E22" s="149"/>
      <c r="F22" s="676"/>
      <c r="G22" s="676"/>
      <c r="H22" s="676"/>
      <c r="I22" s="140"/>
      <c r="J22" s="36"/>
      <c r="K22" s="676"/>
      <c r="L22" s="676"/>
      <c r="M22" s="676"/>
      <c r="N22" s="140"/>
      <c r="O22" s="36"/>
      <c r="P22" s="676"/>
      <c r="Q22" s="676"/>
      <c r="R22" s="676"/>
      <c r="S22" s="140"/>
      <c r="T22" s="36"/>
      <c r="U22" s="676"/>
      <c r="V22" s="676"/>
      <c r="W22" s="676"/>
      <c r="X22" s="140"/>
      <c r="Y22" s="36"/>
      <c r="Z22" s="676"/>
      <c r="AA22" s="676"/>
      <c r="AB22" s="676"/>
      <c r="AC22" s="140"/>
      <c r="AD22" s="36"/>
      <c r="AE22" s="676"/>
      <c r="AF22" s="676"/>
      <c r="AG22" s="676"/>
      <c r="AH22" s="140"/>
      <c r="AI22" s="36"/>
      <c r="AJ22" s="676"/>
      <c r="AK22" s="676"/>
      <c r="AL22" s="676"/>
      <c r="AM22" s="140"/>
      <c r="AN22" s="36"/>
      <c r="AO22" s="676"/>
      <c r="AP22" s="676"/>
      <c r="AQ22" s="676"/>
      <c r="AR22" s="140"/>
      <c r="AS22" s="36"/>
      <c r="AT22" s="1388"/>
      <c r="AU22" s="1388"/>
      <c r="AV22" s="1388"/>
      <c r="AW22" s="141"/>
      <c r="AX22" s="139"/>
      <c r="AY22" s="676"/>
      <c r="AZ22" s="676"/>
      <c r="BA22" s="676"/>
      <c r="BB22" s="36"/>
      <c r="BC22" s="36"/>
      <c r="BD22" s="676"/>
      <c r="BE22" s="676"/>
      <c r="BF22" s="676"/>
      <c r="BG22" s="36"/>
      <c r="BH22" s="36"/>
    </row>
    <row r="23" spans="1:80" ht="19.5" hidden="1" thickTop="1" x14ac:dyDescent="0.25">
      <c r="A23" s="1395"/>
      <c r="B23" s="1395"/>
      <c r="C23" s="1395"/>
      <c r="D23" s="149"/>
      <c r="E23" s="149"/>
      <c r="F23" s="676"/>
      <c r="G23" s="676"/>
      <c r="H23" s="676"/>
      <c r="I23" s="36"/>
      <c r="J23" s="36"/>
      <c r="K23" s="676"/>
      <c r="L23" s="676"/>
      <c r="M23" s="676"/>
      <c r="N23" s="36"/>
      <c r="O23" s="36"/>
      <c r="P23" s="676"/>
      <c r="Q23" s="676"/>
      <c r="R23" s="676"/>
      <c r="S23" s="36"/>
      <c r="T23" s="36"/>
      <c r="U23" s="676"/>
      <c r="V23" s="676"/>
      <c r="W23" s="676"/>
      <c r="X23" s="36"/>
      <c r="Y23" s="36"/>
      <c r="Z23" s="676"/>
      <c r="AA23" s="676"/>
      <c r="AB23" s="676"/>
      <c r="AC23" s="36"/>
      <c r="AD23" s="36"/>
      <c r="AE23" s="676"/>
      <c r="AF23" s="676"/>
      <c r="AG23" s="676"/>
      <c r="AH23" s="36"/>
      <c r="AI23" s="36"/>
      <c r="AJ23" s="676"/>
      <c r="AK23" s="676"/>
      <c r="AL23" s="676"/>
      <c r="AM23" s="36"/>
      <c r="AN23" s="36"/>
      <c r="AO23" s="676"/>
      <c r="AP23" s="676"/>
      <c r="AQ23" s="676"/>
      <c r="AR23" s="36"/>
      <c r="AS23" s="36"/>
      <c r="AT23" s="1388"/>
      <c r="AU23" s="1388"/>
      <c r="AV23" s="1388"/>
      <c r="AW23" s="139"/>
      <c r="AX23" s="139"/>
      <c r="AY23" s="676"/>
      <c r="AZ23" s="676"/>
      <c r="BA23" s="676"/>
      <c r="BB23" s="36"/>
      <c r="BC23" s="36"/>
      <c r="BD23" s="676"/>
      <c r="BE23" s="676"/>
      <c r="BF23" s="676"/>
      <c r="BG23" s="36"/>
      <c r="BH23" s="36"/>
    </row>
    <row r="24" spans="1:80" ht="78" hidden="1" thickTop="1" x14ac:dyDescent="0.25">
      <c r="A24" s="1398"/>
      <c r="B24" s="1399"/>
      <c r="C24" s="1399"/>
      <c r="D24" s="1399"/>
      <c r="E24" s="1399"/>
      <c r="F24" s="1370"/>
      <c r="G24" s="1371"/>
      <c r="H24" s="1371"/>
      <c r="I24" s="1371"/>
      <c r="J24" s="1371"/>
      <c r="K24" s="1370"/>
      <c r="L24" s="1371"/>
      <c r="M24" s="1371"/>
      <c r="N24" s="1371"/>
      <c r="O24" s="1371"/>
      <c r="P24" s="1370"/>
      <c r="Q24" s="1371"/>
      <c r="R24" s="1371"/>
      <c r="S24" s="1371"/>
      <c r="T24" s="1371"/>
      <c r="U24" s="1370"/>
      <c r="V24" s="1371"/>
      <c r="W24" s="1371"/>
      <c r="X24" s="1371"/>
      <c r="Y24" s="1371"/>
      <c r="Z24" s="1370"/>
      <c r="AA24" s="1371"/>
      <c r="AB24" s="1371"/>
      <c r="AC24" s="1371"/>
      <c r="AD24" s="1371"/>
      <c r="AE24" s="1370"/>
      <c r="AF24" s="1371"/>
      <c r="AG24" s="1371"/>
      <c r="AH24" s="1371"/>
      <c r="AI24" s="1371"/>
      <c r="AJ24" s="1370"/>
      <c r="AK24" s="1371"/>
      <c r="AL24" s="1371"/>
      <c r="AM24" s="1371"/>
      <c r="AN24" s="1371"/>
      <c r="AO24" s="1370"/>
      <c r="AP24" s="1371"/>
      <c r="AQ24" s="1371"/>
      <c r="AR24" s="1371"/>
      <c r="AS24" s="1371"/>
      <c r="AT24" s="1439"/>
      <c r="AU24" s="1440"/>
      <c r="AV24" s="1440"/>
      <c r="AW24" s="1440"/>
      <c r="AX24" s="1440"/>
      <c r="AY24" s="677"/>
      <c r="AZ24" s="1332"/>
      <c r="BA24" s="1332"/>
      <c r="BB24" s="1332"/>
      <c r="BC24" s="1332"/>
      <c r="BD24" s="677"/>
      <c r="BE24" s="1332"/>
      <c r="BF24" s="1332"/>
      <c r="BG24" s="1332"/>
      <c r="BH24" s="1332"/>
      <c r="BM24" s="51"/>
      <c r="BN24" s="51"/>
      <c r="BO24" s="51"/>
      <c r="BP24" s="51"/>
      <c r="BQ24" s="51"/>
      <c r="BR24" s="51"/>
      <c r="BW24" s="27"/>
      <c r="BX24" s="27"/>
      <c r="BY24" s="27"/>
      <c r="BZ24" s="27"/>
      <c r="CA24" s="27"/>
      <c r="CB24" s="27"/>
    </row>
    <row r="25" spans="1:80" ht="27" hidden="1" thickTop="1" x14ac:dyDescent="0.25">
      <c r="A25" s="1398"/>
      <c r="B25" s="151"/>
      <c r="C25" s="152"/>
      <c r="D25" s="153"/>
      <c r="E25" s="154"/>
      <c r="F25" s="1370"/>
      <c r="G25" s="32"/>
      <c r="H25" s="33"/>
      <c r="I25" s="34"/>
      <c r="J25" s="35"/>
      <c r="K25" s="1370"/>
      <c r="L25" s="32"/>
      <c r="M25" s="33"/>
      <c r="N25" s="34"/>
      <c r="O25" s="35"/>
      <c r="P25" s="1370"/>
      <c r="Q25" s="32"/>
      <c r="R25" s="33"/>
      <c r="S25" s="34"/>
      <c r="T25" s="35"/>
      <c r="U25" s="1370"/>
      <c r="V25" s="32"/>
      <c r="W25" s="33"/>
      <c r="X25" s="34"/>
      <c r="Y25" s="35"/>
      <c r="Z25" s="1370"/>
      <c r="AA25" s="32"/>
      <c r="AB25" s="33"/>
      <c r="AC25" s="34"/>
      <c r="AD25" s="35"/>
      <c r="AE25" s="1370"/>
      <c r="AF25" s="32"/>
      <c r="AG25" s="33"/>
      <c r="AH25" s="34"/>
      <c r="AI25" s="35"/>
      <c r="AJ25" s="1370"/>
      <c r="AK25" s="32"/>
      <c r="AL25" s="33"/>
      <c r="AM25" s="34"/>
      <c r="AN25" s="35"/>
      <c r="AO25" s="1370"/>
      <c r="AP25" s="32"/>
      <c r="AQ25" s="33"/>
      <c r="AR25" s="34"/>
      <c r="AS25" s="35"/>
      <c r="AT25" s="1439"/>
      <c r="AU25" s="155"/>
      <c r="AV25" s="148"/>
      <c r="AW25" s="156"/>
      <c r="AX25" s="157"/>
      <c r="AY25" s="677"/>
      <c r="AZ25" s="137"/>
      <c r="BA25" s="33"/>
      <c r="BB25" s="138"/>
      <c r="BC25" s="35"/>
      <c r="BD25" s="677"/>
      <c r="BE25" s="137"/>
      <c r="BF25" s="33"/>
      <c r="BG25" s="138"/>
      <c r="BH25" s="35"/>
      <c r="BM25" s="51"/>
      <c r="BN25" s="51"/>
      <c r="BO25" s="51"/>
      <c r="BP25" s="51"/>
      <c r="BQ25" s="51"/>
      <c r="BR25" s="51"/>
      <c r="BW25" s="27"/>
      <c r="BX25" s="27"/>
      <c r="BY25" s="27"/>
      <c r="BZ25" s="27"/>
      <c r="CA25" s="27"/>
      <c r="CB25" s="27"/>
    </row>
    <row r="26" spans="1:80" ht="27" hidden="1" thickTop="1" x14ac:dyDescent="0.25">
      <c r="A26" s="1396"/>
      <c r="B26" s="1396"/>
      <c r="C26" s="1396"/>
      <c r="D26" s="1397"/>
      <c r="E26" s="1397"/>
      <c r="F26" s="674"/>
      <c r="G26" s="674"/>
      <c r="H26" s="674"/>
      <c r="I26" s="1300"/>
      <c r="J26" s="1300"/>
      <c r="K26" s="674"/>
      <c r="L26" s="674"/>
      <c r="M26" s="674"/>
      <c r="N26" s="1300"/>
      <c r="O26" s="1300"/>
      <c r="P26" s="674"/>
      <c r="Q26" s="674"/>
      <c r="R26" s="674"/>
      <c r="S26" s="1300"/>
      <c r="T26" s="1300"/>
      <c r="U26" s="674"/>
      <c r="V26" s="674"/>
      <c r="W26" s="674"/>
      <c r="X26" s="1300"/>
      <c r="Y26" s="1300"/>
      <c r="Z26" s="674"/>
      <c r="AA26" s="674"/>
      <c r="AB26" s="674"/>
      <c r="AC26" s="1300"/>
      <c r="AD26" s="1300"/>
      <c r="AE26" s="674"/>
      <c r="AF26" s="674"/>
      <c r="AG26" s="674"/>
      <c r="AH26" s="1300"/>
      <c r="AI26" s="1300"/>
      <c r="AJ26" s="44"/>
      <c r="AK26" s="44"/>
      <c r="AP26" s="44"/>
      <c r="AQ26" s="44"/>
      <c r="AT26" s="1389"/>
      <c r="AU26" s="1389"/>
      <c r="AV26" s="1389"/>
      <c r="AW26" s="1390"/>
      <c r="AX26" s="1390"/>
      <c r="AY26" s="674"/>
      <c r="AZ26" s="674"/>
      <c r="BA26" s="674"/>
      <c r="BB26" s="1300"/>
      <c r="BC26" s="1300"/>
      <c r="BD26" s="674"/>
      <c r="BE26" s="674"/>
      <c r="BF26" s="674"/>
      <c r="BG26" s="1300"/>
      <c r="BH26" s="1300"/>
      <c r="BM26" s="51"/>
      <c r="BN26" s="51"/>
      <c r="BO26" s="51"/>
      <c r="BP26" s="51"/>
      <c r="BQ26" s="51"/>
      <c r="BR26" s="51"/>
      <c r="BW26" s="27"/>
      <c r="BX26" s="27"/>
      <c r="BY26" s="27"/>
      <c r="BZ26" s="27"/>
      <c r="CA26" s="27"/>
      <c r="CB26" s="27"/>
    </row>
    <row r="27" spans="1:80" ht="21.75" hidden="1" thickTop="1" x14ac:dyDescent="0.25">
      <c r="A27" s="1395"/>
      <c r="B27" s="1395"/>
      <c r="C27" s="1395"/>
      <c r="D27" s="149"/>
      <c r="E27" s="149"/>
      <c r="F27" s="676"/>
      <c r="G27" s="676"/>
      <c r="H27" s="676"/>
      <c r="I27" s="36"/>
      <c r="J27" s="36"/>
      <c r="K27" s="676"/>
      <c r="L27" s="676"/>
      <c r="M27" s="676"/>
      <c r="N27" s="36"/>
      <c r="O27" s="36"/>
      <c r="P27" s="676"/>
      <c r="Q27" s="676"/>
      <c r="R27" s="676"/>
      <c r="S27" s="36"/>
      <c r="T27" s="36"/>
      <c r="U27" s="676"/>
      <c r="V27" s="676"/>
      <c r="W27" s="676"/>
      <c r="X27" s="36"/>
      <c r="Y27" s="36"/>
      <c r="Z27" s="676"/>
      <c r="AA27" s="676"/>
      <c r="AB27" s="676"/>
      <c r="AC27" s="36"/>
      <c r="AD27" s="36"/>
      <c r="AE27" s="676"/>
      <c r="AF27" s="676"/>
      <c r="AG27" s="676"/>
      <c r="AH27" s="36"/>
      <c r="AI27" s="36"/>
      <c r="AJ27" s="47"/>
      <c r="AK27" s="47"/>
      <c r="AP27" s="47"/>
      <c r="AQ27" s="47"/>
      <c r="AT27" s="1388"/>
      <c r="AU27" s="1388"/>
      <c r="AV27" s="1388"/>
      <c r="AW27" s="139"/>
      <c r="AX27" s="139"/>
      <c r="AY27" s="676"/>
      <c r="AZ27" s="676"/>
      <c r="BA27" s="676"/>
      <c r="BB27" s="36"/>
      <c r="BC27" s="36"/>
      <c r="BD27" s="676"/>
      <c r="BE27" s="676"/>
      <c r="BF27" s="676"/>
      <c r="BG27" s="36"/>
      <c r="BH27" s="36"/>
    </row>
    <row r="28" spans="1:80" ht="36.75" hidden="1" thickTop="1" x14ac:dyDescent="0.25">
      <c r="A28" s="1395"/>
      <c r="B28" s="1395"/>
      <c r="C28" s="1395"/>
      <c r="D28" s="150"/>
      <c r="E28" s="149"/>
      <c r="F28" s="676"/>
      <c r="G28" s="676"/>
      <c r="H28" s="676"/>
      <c r="I28" s="140"/>
      <c r="J28" s="36"/>
      <c r="K28" s="676"/>
      <c r="L28" s="676"/>
      <c r="M28" s="676"/>
      <c r="N28" s="140"/>
      <c r="O28" s="36"/>
      <c r="P28" s="676"/>
      <c r="Q28" s="676"/>
      <c r="R28" s="676"/>
      <c r="S28" s="140"/>
      <c r="T28" s="36"/>
      <c r="U28" s="676"/>
      <c r="V28" s="676"/>
      <c r="W28" s="676"/>
      <c r="X28" s="140"/>
      <c r="Y28" s="36"/>
      <c r="Z28" s="676"/>
      <c r="AA28" s="676"/>
      <c r="AB28" s="676"/>
      <c r="AC28" s="140"/>
      <c r="AD28" s="36"/>
      <c r="AE28" s="676"/>
      <c r="AF28" s="676"/>
      <c r="AG28" s="676"/>
      <c r="AH28" s="36"/>
      <c r="AI28" s="36"/>
      <c r="AJ28" s="47"/>
      <c r="AK28" s="47"/>
      <c r="AP28" s="47"/>
      <c r="AQ28" s="47"/>
      <c r="AT28" s="1388"/>
      <c r="AU28" s="1388"/>
      <c r="AV28" s="1388"/>
      <c r="AW28" s="139"/>
      <c r="AX28" s="139"/>
      <c r="AY28" s="676"/>
      <c r="AZ28" s="676"/>
      <c r="BA28" s="676"/>
      <c r="BB28" s="36"/>
      <c r="BC28" s="36"/>
      <c r="BD28" s="676"/>
      <c r="BE28" s="676"/>
      <c r="BF28" s="676"/>
      <c r="BG28" s="36"/>
      <c r="BH28" s="36"/>
    </row>
    <row r="29" spans="1:80" ht="21.75" hidden="1" thickTop="1" x14ac:dyDescent="0.25">
      <c r="A29" s="1395"/>
      <c r="B29" s="1395"/>
      <c r="C29" s="1395"/>
      <c r="D29" s="149"/>
      <c r="E29" s="149"/>
      <c r="F29" s="676"/>
      <c r="G29" s="676"/>
      <c r="H29" s="676"/>
      <c r="I29" s="36"/>
      <c r="J29" s="36"/>
      <c r="K29" s="676"/>
      <c r="L29" s="676"/>
      <c r="M29" s="676"/>
      <c r="N29" s="36"/>
      <c r="O29" s="36"/>
      <c r="P29" s="676"/>
      <c r="Q29" s="676"/>
      <c r="R29" s="676"/>
      <c r="S29" s="36"/>
      <c r="T29" s="36"/>
      <c r="U29" s="676"/>
      <c r="V29" s="676"/>
      <c r="W29" s="676"/>
      <c r="X29" s="36"/>
      <c r="Y29" s="36"/>
      <c r="Z29" s="676"/>
      <c r="AA29" s="676"/>
      <c r="AB29" s="676"/>
      <c r="AC29" s="36"/>
      <c r="AD29" s="36"/>
      <c r="AE29" s="676"/>
      <c r="AF29" s="676"/>
      <c r="AG29" s="676"/>
      <c r="AH29" s="36"/>
      <c r="AI29" s="36"/>
      <c r="AJ29" s="47"/>
      <c r="AK29" s="47"/>
      <c r="AP29" s="47"/>
      <c r="AQ29" s="47"/>
      <c r="AR29" s="36"/>
      <c r="AS29" s="36"/>
      <c r="AT29" s="1388"/>
      <c r="AU29" s="1388"/>
      <c r="AV29" s="1388"/>
      <c r="AW29" s="139"/>
      <c r="AX29" s="139"/>
      <c r="AY29" s="676"/>
      <c r="AZ29" s="676"/>
      <c r="BA29" s="676"/>
      <c r="BB29" s="36"/>
      <c r="BC29" s="36"/>
      <c r="BD29" s="676"/>
      <c r="BE29" s="676"/>
      <c r="BF29" s="676"/>
      <c r="BG29" s="36"/>
      <c r="BH29" s="36"/>
    </row>
    <row r="30" spans="1:80" ht="78" hidden="1" thickTop="1" x14ac:dyDescent="0.25">
      <c r="A30" s="1400"/>
      <c r="B30" s="1401"/>
      <c r="C30" s="1401"/>
      <c r="D30" s="1401"/>
      <c r="E30" s="1401"/>
      <c r="F30" s="1370"/>
      <c r="G30" s="1371"/>
      <c r="H30" s="1371"/>
      <c r="I30" s="1371"/>
      <c r="J30" s="1371"/>
      <c r="K30" s="1370"/>
      <c r="L30" s="1371"/>
      <c r="M30" s="1371"/>
      <c r="N30" s="1371"/>
      <c r="O30" s="1371"/>
      <c r="P30" s="1370"/>
      <c r="Q30" s="1371"/>
      <c r="R30" s="1371"/>
      <c r="S30" s="1371"/>
      <c r="T30" s="1371"/>
      <c r="U30" s="1370"/>
      <c r="V30" s="1371"/>
      <c r="W30" s="1371"/>
      <c r="X30" s="1371"/>
      <c r="Y30" s="1371"/>
      <c r="Z30" s="1370"/>
      <c r="AA30" s="1371"/>
      <c r="AB30" s="1371"/>
      <c r="AC30" s="1371"/>
      <c r="AD30" s="1371"/>
      <c r="AE30" s="677"/>
      <c r="AF30" s="1332"/>
      <c r="AG30" s="1332"/>
      <c r="AH30" s="1332"/>
      <c r="AI30" s="1332"/>
      <c r="AJ30" s="70"/>
      <c r="AR30" s="132"/>
      <c r="AS30" s="132"/>
      <c r="AT30" s="677"/>
      <c r="AU30" s="1332"/>
      <c r="AV30" s="1332"/>
      <c r="AW30" s="1332"/>
      <c r="AX30" s="1332"/>
      <c r="AY30" s="677"/>
      <c r="AZ30" s="1332"/>
      <c r="BA30" s="1332"/>
      <c r="BB30" s="1332"/>
      <c r="BC30" s="1332"/>
      <c r="BD30" s="677" t="s">
        <v>254</v>
      </c>
      <c r="BE30" s="1332"/>
      <c r="BF30" s="1332"/>
      <c r="BG30" s="1332"/>
      <c r="BH30" s="1332"/>
      <c r="BM30" s="51"/>
      <c r="BN30" s="51"/>
      <c r="BO30" s="51"/>
      <c r="BP30" s="51"/>
      <c r="BQ30" s="51"/>
      <c r="BR30" s="51"/>
      <c r="BW30" s="27"/>
      <c r="BX30" s="27"/>
      <c r="BY30" s="27"/>
      <c r="BZ30" s="27"/>
      <c r="CA30" s="27"/>
      <c r="CB30" s="27"/>
    </row>
    <row r="31" spans="1:80" ht="138.75" customHeight="1" thickTop="1" x14ac:dyDescent="0.25">
      <c r="A31" s="1400"/>
      <c r="B31" s="158"/>
      <c r="C31" s="159"/>
      <c r="D31" s="160"/>
      <c r="E31" s="161"/>
      <c r="F31" s="1370"/>
      <c r="G31" s="32"/>
      <c r="H31" s="33"/>
      <c r="I31" s="34"/>
      <c r="J31" s="35"/>
      <c r="K31" s="1370"/>
      <c r="L31" s="32"/>
      <c r="M31" s="33"/>
      <c r="N31" s="34"/>
      <c r="O31" s="35"/>
      <c r="P31" s="1370"/>
      <c r="Q31" s="32"/>
      <c r="R31" s="33"/>
      <c r="S31" s="34"/>
      <c r="T31" s="35"/>
      <c r="U31" s="1370"/>
      <c r="V31" s="32"/>
      <c r="W31" s="33"/>
      <c r="X31" s="34"/>
      <c r="Y31" s="35"/>
      <c r="Z31" s="1370"/>
      <c r="AA31" s="32"/>
      <c r="AB31" s="33"/>
      <c r="AC31" s="34"/>
      <c r="AD31" s="35"/>
      <c r="AE31" s="677"/>
      <c r="AF31" s="137"/>
      <c r="AG31" s="33"/>
      <c r="AH31" s="138"/>
      <c r="AI31" s="35"/>
      <c r="AJ31" s="70"/>
      <c r="AK31" s="137"/>
      <c r="AL31" s="33"/>
      <c r="AM31" s="138"/>
      <c r="AN31" s="35"/>
      <c r="AO31" s="70"/>
      <c r="AP31" s="137"/>
      <c r="AQ31" s="33"/>
      <c r="AR31" s="138"/>
      <c r="AS31" s="35"/>
      <c r="AT31" s="677"/>
      <c r="AU31" s="137"/>
      <c r="AV31" s="33"/>
      <c r="AW31" s="138"/>
      <c r="AX31" s="35"/>
      <c r="AY31" s="677"/>
      <c r="AZ31" s="137" t="s">
        <v>16</v>
      </c>
      <c r="BA31" s="33"/>
      <c r="BB31" s="138"/>
      <c r="BC31" s="35"/>
      <c r="BD31" s="677"/>
      <c r="BE31" s="137" t="s">
        <v>15</v>
      </c>
      <c r="BF31" s="33"/>
      <c r="BG31" s="138"/>
      <c r="BH31" s="35"/>
      <c r="BM31" s="51"/>
      <c r="BN31" s="51"/>
      <c r="BO31" s="51"/>
      <c r="BP31" s="51"/>
      <c r="BQ31" s="51"/>
      <c r="BR31" s="51"/>
      <c r="BW31" s="27"/>
      <c r="BX31" s="27"/>
      <c r="BY31" s="27"/>
      <c r="BZ31" s="27"/>
      <c r="CA31" s="27"/>
      <c r="CB31" s="27"/>
    </row>
    <row r="32" spans="1:80" ht="61.5" customHeight="1" x14ac:dyDescent="0.25">
      <c r="A32" s="31"/>
      <c r="B32" s="162"/>
      <c r="C32" s="162"/>
      <c r="D32" s="162"/>
      <c r="F32" s="163"/>
      <c r="G32" s="163"/>
      <c r="H32" s="1413" cm="1">
        <f t="array" aca="1" ref="H32" ca="1">SUM(COUNTIF(INDIRECT({"B6","G6","L6","Q6","V6","AA6","AF6","AK6","AP6","AU6","B12","G12","L12","Q12","V12","AA12","AF12","AK12","AP12","AU12","B18","G18","L18","Q18","V18","AA18"}),"&gt;0"))</f>
        <v>16</v>
      </c>
      <c r="I32" s="1413"/>
      <c r="J32" s="1413"/>
      <c r="K32" s="164"/>
      <c r="L32" s="160"/>
      <c r="M32" s="160"/>
      <c r="N32" s="160"/>
      <c r="O32" s="160"/>
      <c r="P32" s="160"/>
      <c r="Q32" s="1414" t="s">
        <v>255</v>
      </c>
      <c r="R32" s="1414"/>
      <c r="S32" s="1414"/>
      <c r="T32" s="1414"/>
      <c r="U32" s="1414"/>
      <c r="V32" s="1414"/>
      <c r="W32" s="165"/>
      <c r="X32" s="1409" t="s">
        <v>256</v>
      </c>
      <c r="Y32" s="1409"/>
      <c r="Z32" s="1409"/>
      <c r="AA32" s="1409"/>
      <c r="AB32" s="1409"/>
      <c r="AC32" s="1415">
        <f>B7+G7+L7+Q7+V7+AA7+AF7+AK7+AP7+AU7+AU13+AP13+AK13+AF13+AA13+V13+Q13+L13+G13+B13+B19</f>
        <v>6.0958000210140098</v>
      </c>
      <c r="AD32" s="1415"/>
      <c r="AE32" s="1415"/>
      <c r="AF32" s="1415"/>
      <c r="AG32" s="1415"/>
      <c r="AH32" s="1415"/>
      <c r="AI32" s="166"/>
      <c r="AJ32" s="1416" t="s">
        <v>119</v>
      </c>
      <c r="AK32" s="1416"/>
      <c r="AL32" s="1416"/>
      <c r="AM32" s="1416"/>
      <c r="AN32" s="1416"/>
      <c r="AO32" s="1417">
        <f>D7+I7+N7+S7+X7+AC7+AH7+AM7+AR7+AW7+AW13+AR13+AM13+AH13+AC13+X13+S13+N13+I13+D13+D19</f>
        <v>6</v>
      </c>
      <c r="AP32" s="1417"/>
      <c r="AQ32" s="1417"/>
      <c r="AR32" s="1417"/>
      <c r="AS32" s="1417"/>
      <c r="AT32" s="1402" t="s">
        <v>120</v>
      </c>
      <c r="AU32" s="1402"/>
      <c r="AV32" s="1402"/>
      <c r="AW32" s="1402"/>
      <c r="AX32" s="127"/>
      <c r="AY32" s="72"/>
      <c r="AZ32" s="72"/>
      <c r="BA32" s="72"/>
      <c r="BB32" s="72"/>
      <c r="BC32" s="72"/>
      <c r="BD32" s="72"/>
      <c r="BE32" t="s">
        <v>16</v>
      </c>
      <c r="BF32" s="167"/>
      <c r="BG32" s="167"/>
      <c r="BH32" s="167"/>
      <c r="BM32" s="51"/>
      <c r="BN32" s="51"/>
      <c r="BO32" s="51"/>
      <c r="BP32" s="51"/>
      <c r="BQ32" s="51"/>
      <c r="BR32" s="51"/>
      <c r="BW32" s="27"/>
      <c r="BX32" s="27"/>
      <c r="BY32" s="27"/>
      <c r="BZ32" s="27"/>
      <c r="CA32" s="27"/>
      <c r="CB32" s="27"/>
    </row>
    <row r="33" spans="1:80" ht="30" customHeight="1" x14ac:dyDescent="0.25">
      <c r="B33" s="162"/>
      <c r="C33" s="162"/>
      <c r="D33" s="162"/>
      <c r="E33" s="163"/>
      <c r="F33" s="163"/>
      <c r="G33" s="163"/>
      <c r="H33" s="1413"/>
      <c r="I33" s="1413"/>
      <c r="J33" s="1413"/>
      <c r="K33" s="168"/>
      <c r="L33" s="160"/>
      <c r="M33" s="160"/>
      <c r="N33" s="160"/>
      <c r="O33" s="160"/>
      <c r="P33" s="160"/>
      <c r="Q33" s="1414"/>
      <c r="R33" s="1414"/>
      <c r="S33" s="1414"/>
      <c r="T33" s="1414"/>
      <c r="U33" s="1414"/>
      <c r="V33" s="1414"/>
      <c r="W33" s="169"/>
      <c r="X33" s="1409"/>
      <c r="Y33" s="1409"/>
      <c r="Z33" s="1409"/>
      <c r="AA33" s="1409"/>
      <c r="AB33" s="1409"/>
      <c r="AC33" s="1415"/>
      <c r="AD33" s="1415"/>
      <c r="AE33" s="1415"/>
      <c r="AF33" s="1415"/>
      <c r="AG33" s="1415"/>
      <c r="AH33" s="1415"/>
      <c r="AI33" s="166"/>
      <c r="AJ33" s="1416"/>
      <c r="AK33" s="1416"/>
      <c r="AL33" s="1416"/>
      <c r="AM33" s="1416"/>
      <c r="AN33" s="1416"/>
      <c r="AO33" s="1417"/>
      <c r="AP33" s="1417"/>
      <c r="AQ33" s="1417"/>
      <c r="AR33" s="1417"/>
      <c r="AS33" s="1417"/>
      <c r="AT33" s="1402"/>
      <c r="AU33" s="1402"/>
      <c r="AV33" s="1402"/>
      <c r="AW33" s="1402"/>
      <c r="BI33" s="50"/>
      <c r="BJ33" s="50"/>
      <c r="BM33" s="51"/>
      <c r="BN33" s="51"/>
      <c r="BO33" s="51"/>
      <c r="BP33" s="51"/>
      <c r="BQ33" s="51"/>
      <c r="BR33" s="51"/>
      <c r="BS33" s="27"/>
      <c r="BT33" s="27"/>
      <c r="BU33" s="27"/>
      <c r="BW33" s="27"/>
      <c r="BX33" s="27"/>
      <c r="BY33" s="27"/>
      <c r="BZ33" s="27"/>
      <c r="CA33" s="27"/>
      <c r="CB33" s="27"/>
    </row>
    <row r="34" spans="1:80" ht="15" customHeight="1" x14ac:dyDescent="0.25">
      <c r="B34" s="162"/>
      <c r="C34" s="162"/>
      <c r="D34" s="162"/>
      <c r="E34" s="163"/>
      <c r="F34" s="163"/>
      <c r="G34" s="163"/>
      <c r="H34" s="168"/>
      <c r="I34" s="168"/>
      <c r="J34" s="168"/>
      <c r="K34" s="168"/>
      <c r="L34" s="160"/>
      <c r="M34" s="160"/>
      <c r="N34" s="160"/>
      <c r="O34" s="160"/>
      <c r="P34" s="160"/>
      <c r="Q34" s="1414"/>
      <c r="R34" s="1414"/>
      <c r="S34" s="1414"/>
      <c r="T34" s="1414"/>
      <c r="U34" s="1414"/>
      <c r="V34" s="1414"/>
      <c r="W34" s="169"/>
      <c r="X34" s="1409"/>
      <c r="Y34" s="1409"/>
      <c r="Z34" s="1409"/>
      <c r="AA34" s="1409"/>
      <c r="AB34" s="1409"/>
      <c r="AC34" s="1415"/>
      <c r="AD34" s="1415"/>
      <c r="AE34" s="1415"/>
      <c r="AF34" s="1415"/>
      <c r="AG34" s="1415"/>
      <c r="AH34" s="1415"/>
      <c r="AI34" s="166"/>
      <c r="AJ34" s="1416"/>
      <c r="AK34" s="1416"/>
      <c r="AL34" s="1416"/>
      <c r="AM34" s="1416"/>
      <c r="AN34" s="1416"/>
      <c r="AO34" s="1403">
        <f>AO32*1.5</f>
        <v>9</v>
      </c>
      <c r="AP34" s="1403"/>
      <c r="AQ34" s="1403"/>
      <c r="AR34" s="1403"/>
      <c r="AS34" s="1403"/>
      <c r="AT34" s="1403"/>
      <c r="AU34" s="1403"/>
      <c r="AV34" s="1404" t="s">
        <v>121</v>
      </c>
      <c r="AW34" s="1404"/>
      <c r="BI34" s="50"/>
      <c r="BJ34" s="50"/>
      <c r="BM34" s="27"/>
      <c r="BN34" s="27"/>
      <c r="BO34" s="27"/>
      <c r="BP34" s="27"/>
      <c r="BQ34" s="27"/>
      <c r="BR34" s="27"/>
      <c r="BS34" s="27"/>
      <c r="BT34" s="27"/>
      <c r="BU34" s="27"/>
      <c r="BW34" s="27"/>
      <c r="BX34" s="27"/>
      <c r="BY34" s="27"/>
      <c r="BZ34" s="27"/>
      <c r="CA34" s="27"/>
      <c r="CB34" s="27"/>
    </row>
    <row r="35" spans="1:80" ht="54.75" customHeight="1" x14ac:dyDescent="0.25">
      <c r="B35" s="162"/>
      <c r="C35" s="162"/>
      <c r="D35" s="162"/>
      <c r="E35" s="163"/>
      <c r="F35" s="163"/>
      <c r="G35" s="163"/>
      <c r="H35" s="1405" cm="1">
        <f t="array" aca="1" ref="H35" ca="1">SUM(COUNTIF(INDIRECT({"B7","G7","L7","Q7","V7","AA7","AF7","AK7","AP7","AU7","B13","G13","L13","Q13","V13","AA13","AF13","AK13","AP13","AU13","B19","G19","L19","Q19","V19","AA19"}),"&gt;0"))</f>
        <v>16</v>
      </c>
      <c r="I35" s="1405"/>
      <c r="J35" s="1405"/>
      <c r="K35" s="168"/>
      <c r="L35" s="160"/>
      <c r="M35" s="160"/>
      <c r="N35" s="160"/>
      <c r="O35" s="160"/>
      <c r="P35" s="160"/>
      <c r="Q35" s="2295" t="s">
        <v>13</v>
      </c>
      <c r="R35" s="2296"/>
      <c r="S35" s="2296"/>
      <c r="T35" s="2296"/>
      <c r="U35" s="2296"/>
      <c r="V35" s="2296"/>
      <c r="W35" s="169"/>
      <c r="X35" s="1409"/>
      <c r="Y35" s="1409"/>
      <c r="Z35" s="1409"/>
      <c r="AA35" s="1409"/>
      <c r="AB35" s="1409"/>
      <c r="AC35" s="1415"/>
      <c r="AD35" s="1415"/>
      <c r="AE35" s="1415"/>
      <c r="AF35" s="1415"/>
      <c r="AG35" s="1415"/>
      <c r="AH35" s="1415"/>
      <c r="AI35" s="166"/>
      <c r="AJ35" s="1416"/>
      <c r="AK35" s="1416"/>
      <c r="AL35" s="1416"/>
      <c r="AM35" s="1416"/>
      <c r="AN35" s="1416"/>
      <c r="AO35" s="1403"/>
      <c r="AP35" s="1403"/>
      <c r="AQ35" s="1403"/>
      <c r="AR35" s="1403"/>
      <c r="AS35" s="1403"/>
      <c r="AT35" s="1403"/>
      <c r="AU35" s="1403"/>
      <c r="AV35" s="1404"/>
      <c r="AW35" s="1404"/>
      <c r="BI35" s="50"/>
      <c r="BJ35" s="50"/>
      <c r="BM35" s="27"/>
      <c r="BN35" s="27"/>
      <c r="BO35" s="27"/>
      <c r="BP35" s="27"/>
      <c r="BQ35" s="27"/>
      <c r="BR35" s="27"/>
      <c r="BS35" s="27"/>
      <c r="BT35" s="27"/>
      <c r="BU35" s="27"/>
      <c r="BW35" s="27"/>
      <c r="BX35" s="27"/>
      <c r="BY35" s="27"/>
      <c r="BZ35" s="27"/>
      <c r="CA35" s="27"/>
      <c r="CB35" s="27"/>
    </row>
    <row r="36" spans="1:80" ht="65.25" customHeight="1" x14ac:dyDescent="0.25">
      <c r="B36" s="162"/>
      <c r="C36" s="162"/>
      <c r="D36" s="162"/>
      <c r="E36" s="162"/>
      <c r="F36" s="162"/>
      <c r="G36" s="164"/>
      <c r="H36" s="1408"/>
      <c r="I36" s="1408"/>
      <c r="J36" s="1408"/>
      <c r="K36" s="168"/>
      <c r="L36" s="160"/>
      <c r="M36" s="160"/>
      <c r="N36" s="160"/>
      <c r="O36" s="160"/>
      <c r="P36" s="160"/>
      <c r="Q36" s="2296"/>
      <c r="R36" s="2296"/>
      <c r="S36" s="2296"/>
      <c r="T36" s="2296"/>
      <c r="U36" s="2296"/>
      <c r="V36" s="2296"/>
      <c r="W36" s="169"/>
      <c r="X36" s="1409"/>
      <c r="Y36" s="1409"/>
      <c r="Z36" s="1409"/>
      <c r="AA36" s="1409"/>
      <c r="AB36" s="1409"/>
      <c r="AC36" s="1415"/>
      <c r="AD36" s="1415"/>
      <c r="AE36" s="1415"/>
      <c r="AF36" s="1415"/>
      <c r="AG36" s="1415"/>
      <c r="AH36" s="1415"/>
      <c r="AI36" s="166"/>
      <c r="AJ36" s="1416"/>
      <c r="AK36" s="1416"/>
      <c r="AL36" s="1416"/>
      <c r="AM36" s="1416"/>
      <c r="AN36" s="1416"/>
      <c r="AO36" s="1403"/>
      <c r="AP36" s="1403"/>
      <c r="AQ36" s="1403"/>
      <c r="AR36" s="1403"/>
      <c r="AS36" s="1403"/>
      <c r="AT36" s="1403"/>
      <c r="AU36" s="1403"/>
      <c r="AV36" s="1404"/>
      <c r="AW36" s="1404"/>
      <c r="BI36" s="50"/>
      <c r="BJ36" s="50"/>
      <c r="BM36" s="27"/>
      <c r="BN36" s="27"/>
      <c r="BO36" s="27"/>
      <c r="BP36" s="27"/>
      <c r="BQ36" s="27"/>
      <c r="BR36" s="27"/>
      <c r="BS36" s="27"/>
      <c r="BT36" s="27"/>
      <c r="BU36" s="27"/>
      <c r="BW36" s="27"/>
      <c r="BX36" s="27"/>
      <c r="BY36" s="27"/>
      <c r="BZ36" s="27"/>
      <c r="CA36" s="27"/>
      <c r="CB36" s="27"/>
    </row>
    <row r="37" spans="1:80" ht="15" customHeight="1" x14ac:dyDescent="0.25">
      <c r="B37" s="162"/>
      <c r="C37" s="162"/>
      <c r="D37" s="162"/>
      <c r="E37" s="162"/>
      <c r="F37" s="162"/>
      <c r="G37" s="164"/>
      <c r="H37" s="1408"/>
      <c r="I37" s="1408"/>
      <c r="J37" s="1408"/>
      <c r="K37" s="164"/>
      <c r="L37" s="165"/>
      <c r="M37" s="165"/>
      <c r="N37" s="165"/>
      <c r="O37" s="165"/>
      <c r="P37" s="165"/>
      <c r="Q37" s="2296"/>
      <c r="R37" s="2296"/>
      <c r="S37" s="2296"/>
      <c r="T37" s="2296"/>
      <c r="U37" s="2296"/>
      <c r="V37" s="2296"/>
      <c r="W37" s="165"/>
      <c r="X37" s="1409" t="s">
        <v>257</v>
      </c>
      <c r="Y37" s="1409"/>
      <c r="Z37" s="1409"/>
      <c r="AA37" s="1409"/>
      <c r="AB37" s="1409"/>
      <c r="AC37" s="1410">
        <f>AC32-AD45</f>
        <v>-4.1999789859898939E-3</v>
      </c>
      <c r="AD37" s="1410"/>
      <c r="AE37" s="1410"/>
      <c r="AF37" s="1410"/>
      <c r="AG37" s="1410"/>
      <c r="AH37" s="1410"/>
      <c r="AI37" s="166"/>
      <c r="AJ37" s="1416"/>
      <c r="AK37" s="1416"/>
      <c r="AL37" s="1416"/>
      <c r="AM37" s="1416"/>
      <c r="AN37" s="1416"/>
      <c r="AO37" s="1403"/>
      <c r="AP37" s="1403"/>
      <c r="AQ37" s="1403"/>
      <c r="AR37" s="1403"/>
      <c r="AS37" s="1403"/>
      <c r="AT37" s="1403"/>
      <c r="AU37" s="1403"/>
      <c r="AV37" s="1404"/>
      <c r="AW37" s="1404"/>
      <c r="BI37" s="53"/>
      <c r="BJ37" s="53"/>
    </row>
    <row r="38" spans="1:80" ht="28.5" customHeight="1" x14ac:dyDescent="0.25">
      <c r="B38" s="162"/>
      <c r="C38" s="162"/>
      <c r="D38" s="162"/>
      <c r="E38" s="162"/>
      <c r="F38" s="162"/>
      <c r="G38" s="164"/>
      <c r="H38" s="1411"/>
      <c r="I38" s="1411"/>
      <c r="J38" s="1411"/>
      <c r="K38" s="168"/>
      <c r="L38" s="165"/>
      <c r="M38" s="165"/>
      <c r="N38" s="165"/>
      <c r="O38" s="165"/>
      <c r="P38" s="165"/>
      <c r="Q38" s="2296"/>
      <c r="R38" s="2296"/>
      <c r="S38" s="2296"/>
      <c r="T38" s="2296"/>
      <c r="U38" s="2296"/>
      <c r="V38" s="2296"/>
      <c r="W38" s="165"/>
      <c r="X38" s="1409"/>
      <c r="Y38" s="1409"/>
      <c r="Z38" s="1409"/>
      <c r="AA38" s="1409"/>
      <c r="AB38" s="1409"/>
      <c r="AC38" s="1410"/>
      <c r="AD38" s="1410"/>
      <c r="AE38" s="1410"/>
      <c r="AF38" s="1410"/>
      <c r="AG38" s="1410"/>
      <c r="AH38" s="1410"/>
      <c r="AI38" s="166"/>
      <c r="AJ38" s="1416"/>
      <c r="AK38" s="1416"/>
      <c r="AL38" s="1416"/>
      <c r="AM38" s="1416"/>
      <c r="AN38" s="1416"/>
      <c r="AO38" s="1403"/>
      <c r="AP38" s="1403"/>
      <c r="AQ38" s="1403"/>
      <c r="AR38" s="1403"/>
      <c r="AS38" s="1403"/>
      <c r="AT38" s="1403"/>
      <c r="AU38" s="1403"/>
      <c r="AV38" s="1404"/>
      <c r="AW38" s="1404"/>
      <c r="BI38" s="53"/>
      <c r="BJ38" s="53"/>
    </row>
    <row r="39" spans="1:80" ht="15" customHeight="1" x14ac:dyDescent="0.25">
      <c r="B39" s="162"/>
      <c r="C39" s="162"/>
      <c r="D39" s="162"/>
      <c r="E39" s="162"/>
      <c r="F39" s="162"/>
      <c r="G39" s="164"/>
      <c r="H39" s="1411"/>
      <c r="I39" s="1411"/>
      <c r="J39" s="1411"/>
      <c r="K39" s="168"/>
      <c r="L39" s="165"/>
      <c r="M39" s="165"/>
      <c r="N39" s="165"/>
      <c r="O39" s="165"/>
      <c r="P39" s="165"/>
      <c r="Q39" s="2296"/>
      <c r="R39" s="2296"/>
      <c r="S39" s="2296"/>
      <c r="T39" s="2296"/>
      <c r="U39" s="2296"/>
      <c r="V39" s="2296"/>
      <c r="W39" s="165"/>
      <c r="X39" s="1409"/>
      <c r="Y39" s="1409"/>
      <c r="Z39" s="1409"/>
      <c r="AA39" s="1409"/>
      <c r="AB39" s="1409"/>
      <c r="AC39" s="1410"/>
      <c r="AD39" s="1410"/>
      <c r="AE39" s="1410"/>
      <c r="AF39" s="1410"/>
      <c r="AG39" s="1410"/>
      <c r="AH39" s="1410"/>
      <c r="AI39" s="166"/>
      <c r="AJ39" s="1416"/>
      <c r="AK39" s="1416"/>
      <c r="AL39" s="1416"/>
      <c r="AM39" s="1416"/>
      <c r="AN39" s="1416"/>
      <c r="AO39" s="1403"/>
      <c r="AP39" s="1403"/>
      <c r="AQ39" s="1403"/>
      <c r="AR39" s="1403"/>
      <c r="AS39" s="1403"/>
      <c r="AT39" s="1403"/>
      <c r="AU39" s="1403"/>
      <c r="AV39" s="1404"/>
      <c r="AW39" s="1404"/>
      <c r="BI39" s="53"/>
      <c r="BJ39" s="53"/>
    </row>
    <row r="40" spans="1:80" ht="42.75" customHeight="1" x14ac:dyDescent="0.35">
      <c r="A40" s="54"/>
      <c r="B40" s="162"/>
      <c r="C40" s="162"/>
      <c r="D40" s="162"/>
      <c r="E40" s="162"/>
      <c r="F40" s="162"/>
      <c r="G40" s="164"/>
      <c r="H40" s="1411"/>
      <c r="I40" s="1411"/>
      <c r="J40" s="1411"/>
      <c r="K40" s="168"/>
      <c r="L40" s="165"/>
      <c r="M40" s="165"/>
      <c r="N40" s="165"/>
      <c r="O40" s="165"/>
      <c r="P40" s="165"/>
      <c r="Q40" s="2296"/>
      <c r="R40" s="2296"/>
      <c r="S40" s="2296"/>
      <c r="T40" s="2296"/>
      <c r="U40" s="2296"/>
      <c r="V40" s="2296"/>
      <c r="W40" s="165"/>
      <c r="X40" s="1409"/>
      <c r="Y40" s="1409"/>
      <c r="Z40" s="1409"/>
      <c r="AA40" s="1409"/>
      <c r="AB40" s="1409"/>
      <c r="AC40" s="1410"/>
      <c r="AD40" s="1410"/>
      <c r="AE40" s="1410"/>
      <c r="AF40" s="1410"/>
      <c r="AG40" s="1410"/>
      <c r="AH40" s="1410"/>
      <c r="AI40" s="166"/>
      <c r="AJ40" s="1416"/>
      <c r="AK40" s="1416"/>
      <c r="AL40" s="1416"/>
      <c r="AM40" s="1416"/>
      <c r="AN40" s="1416"/>
      <c r="AO40" s="1403"/>
      <c r="AP40" s="1403"/>
      <c r="AQ40" s="1403"/>
      <c r="AR40" s="1403"/>
      <c r="AS40" s="1403"/>
      <c r="AT40" s="1403"/>
      <c r="AU40" s="1403"/>
      <c r="AV40" s="1404"/>
      <c r="AW40" s="1404"/>
      <c r="BI40" s="53"/>
      <c r="BJ40" s="53"/>
    </row>
    <row r="41" spans="1:80" ht="38.25" customHeight="1" x14ac:dyDescent="0.35">
      <c r="A41" s="54"/>
      <c r="B41" s="162"/>
      <c r="C41" s="162"/>
      <c r="D41" s="162"/>
      <c r="E41" s="162"/>
      <c r="F41" s="162"/>
      <c r="G41" s="164"/>
      <c r="H41" s="1412"/>
      <c r="I41" s="1412"/>
      <c r="J41" s="1412"/>
      <c r="K41" s="168"/>
      <c r="L41" s="175"/>
      <c r="M41" s="175"/>
      <c r="N41" s="175"/>
      <c r="O41" s="175"/>
      <c r="P41" s="175"/>
      <c r="Q41" s="2296"/>
      <c r="R41" s="2296"/>
      <c r="S41" s="2296"/>
      <c r="T41" s="2296"/>
      <c r="U41" s="2296"/>
      <c r="V41" s="2296"/>
      <c r="W41" s="176"/>
      <c r="X41" s="1409"/>
      <c r="Y41" s="1409"/>
      <c r="Z41" s="1409"/>
      <c r="AA41" s="1409"/>
      <c r="AB41" s="1409"/>
      <c r="AC41" s="1410"/>
      <c r="AD41" s="1410"/>
      <c r="AE41" s="1410"/>
      <c r="AF41" s="1410"/>
      <c r="AG41" s="1410"/>
      <c r="AH41" s="1410"/>
      <c r="AI41" s="166"/>
      <c r="AJ41" s="1416"/>
      <c r="AK41" s="1416"/>
      <c r="AL41" s="1416"/>
      <c r="AM41" s="1416"/>
      <c r="AN41" s="1416"/>
      <c r="AO41" s="1418"/>
      <c r="AP41" s="1418"/>
      <c r="AQ41" s="1418"/>
      <c r="AR41" s="1418"/>
      <c r="AS41" s="1418"/>
      <c r="AT41" s="1418"/>
      <c r="AU41" s="1418"/>
      <c r="AV41" s="1418"/>
      <c r="AW41" s="1418"/>
      <c r="AX41" s="54"/>
      <c r="AY41" s="54"/>
      <c r="BI41" s="170"/>
      <c r="BJ41" s="170"/>
    </row>
    <row r="42" spans="1:80" ht="60" customHeight="1" x14ac:dyDescent="0.35">
      <c r="H42" s="1412"/>
      <c r="I42" s="1412"/>
      <c r="J42" s="1412"/>
      <c r="L42" s="175"/>
      <c r="M42" s="175"/>
      <c r="N42" s="175"/>
      <c r="O42" s="175"/>
      <c r="P42" s="175"/>
      <c r="Q42" s="2296"/>
      <c r="R42" s="2296"/>
      <c r="S42" s="2296"/>
      <c r="T42" s="2296"/>
      <c r="U42" s="2296"/>
      <c r="V42" s="2296"/>
      <c r="W42" s="176"/>
      <c r="X42" s="1409"/>
      <c r="Y42" s="1409"/>
      <c r="Z42" s="1409"/>
      <c r="AA42" s="1409"/>
      <c r="AB42" s="1409"/>
      <c r="AC42" s="1410"/>
      <c r="AD42" s="1410"/>
      <c r="AE42" s="1410"/>
      <c r="AF42" s="1410"/>
      <c r="AG42" s="1410"/>
      <c r="AH42" s="1410"/>
      <c r="AI42" s="166"/>
      <c r="AJ42" s="1416"/>
      <c r="AK42" s="1416"/>
      <c r="AL42" s="1416"/>
      <c r="AM42" s="1416"/>
      <c r="AN42" s="1416"/>
      <c r="AO42" s="1418"/>
      <c r="AP42" s="1418"/>
      <c r="AQ42" s="1418"/>
      <c r="AR42" s="1418"/>
      <c r="AS42" s="1418"/>
      <c r="AT42" s="1418"/>
      <c r="AU42" s="1418"/>
      <c r="AV42" s="1418"/>
      <c r="AW42" s="1418"/>
      <c r="AX42" s="54"/>
      <c r="AY42" s="54"/>
      <c r="BI42" s="170"/>
      <c r="BJ42" s="170"/>
    </row>
    <row r="43" spans="1:80" ht="15" customHeight="1" x14ac:dyDescent="0.35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1"/>
      <c r="AI43" s="171"/>
      <c r="AJ43" s="171"/>
      <c r="AK43" s="171"/>
      <c r="AL43" s="171"/>
      <c r="AM43" s="171"/>
      <c r="AN43" s="171"/>
      <c r="AO43" s="172"/>
      <c r="AP43" s="172"/>
      <c r="AQ43" s="172"/>
      <c r="AR43" s="172"/>
      <c r="AS43" s="172"/>
      <c r="AT43" s="172"/>
      <c r="AU43" s="172"/>
      <c r="AV43" s="172"/>
      <c r="AW43" s="172"/>
    </row>
    <row r="44" spans="1:80" ht="15.75" customHeight="1" thickBot="1" x14ac:dyDescent="0.4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3"/>
      <c r="Y44" s="171"/>
      <c r="Z44" s="171"/>
      <c r="AA44" s="171"/>
      <c r="AB44" s="171"/>
      <c r="AC44" s="171"/>
      <c r="AD44" s="171"/>
      <c r="AE44" s="171"/>
      <c r="AF44" s="171"/>
      <c r="AG44" s="171"/>
      <c r="AH44" s="171"/>
      <c r="AI44" s="171"/>
      <c r="AJ44" s="171"/>
      <c r="AK44" s="171"/>
      <c r="AL44" s="171"/>
      <c r="AM44" s="171"/>
      <c r="AN44" s="171"/>
      <c r="AO44" s="172"/>
      <c r="AP44" s="172"/>
      <c r="AQ44" s="172"/>
      <c r="AR44" s="172"/>
      <c r="AS44" s="172"/>
      <c r="AT44" s="172"/>
      <c r="AU44" s="172"/>
      <c r="AV44" s="172"/>
      <c r="AW44" s="172"/>
    </row>
    <row r="45" spans="1:80" ht="15.75" thickTop="1" x14ac:dyDescent="0.25">
      <c r="J45" t="s">
        <v>16</v>
      </c>
      <c r="AD45" s="775">
        <v>6.1</v>
      </c>
      <c r="AE45" s="776"/>
      <c r="AF45" s="776"/>
      <c r="AG45" s="776"/>
      <c r="AH45" s="777"/>
      <c r="AL45" s="727" t="s">
        <v>122</v>
      </c>
      <c r="AM45" s="727"/>
      <c r="AN45" s="727"/>
      <c r="AO45" s="727" t="s">
        <v>123</v>
      </c>
      <c r="AP45" s="727"/>
      <c r="AQ45" s="727"/>
      <c r="AR45" s="727" t="s">
        <v>124</v>
      </c>
      <c r="AS45" s="727"/>
      <c r="AT45" s="727" t="s">
        <v>125</v>
      </c>
      <c r="AU45" s="727"/>
      <c r="AY45" s="739" t="s">
        <v>126</v>
      </c>
      <c r="AZ45" s="740"/>
      <c r="BA45" s="740"/>
      <c r="BB45" s="740"/>
      <c r="BC45" s="740"/>
      <c r="BD45" s="740"/>
      <c r="BE45" s="740"/>
      <c r="BF45" s="740"/>
      <c r="BG45" s="740"/>
      <c r="BH45" s="741"/>
    </row>
    <row r="46" spans="1:80" x14ac:dyDescent="0.25">
      <c r="AD46" s="778"/>
      <c r="AE46" s="779"/>
      <c r="AF46" s="779"/>
      <c r="AG46" s="779"/>
      <c r="AH46" s="780"/>
      <c r="AL46" s="727"/>
      <c r="AM46" s="727"/>
      <c r="AN46" s="727"/>
      <c r="AO46" s="727"/>
      <c r="AP46" s="727"/>
      <c r="AQ46" s="727"/>
      <c r="AR46" s="727"/>
      <c r="AS46" s="727"/>
      <c r="AT46" s="727"/>
      <c r="AU46" s="727"/>
      <c r="AY46" s="750"/>
      <c r="AZ46" s="751"/>
      <c r="BA46" s="751"/>
      <c r="BB46" s="751"/>
      <c r="BC46" s="751"/>
      <c r="BD46" s="751"/>
      <c r="BE46" s="751"/>
      <c r="BF46" s="751"/>
      <c r="BG46" s="751"/>
      <c r="BH46" s="752"/>
    </row>
    <row r="47" spans="1:80" x14ac:dyDescent="0.25">
      <c r="AA47" s="56"/>
      <c r="AD47" s="778"/>
      <c r="AE47" s="779"/>
      <c r="AF47" s="779"/>
      <c r="AG47" s="779"/>
      <c r="AH47" s="780"/>
      <c r="AL47" s="727"/>
      <c r="AM47" s="727"/>
      <c r="AN47" s="727"/>
      <c r="AO47" s="727"/>
      <c r="AP47" s="727"/>
      <c r="AQ47" s="727"/>
      <c r="AR47" s="727"/>
      <c r="AS47" s="727"/>
      <c r="AT47" s="727"/>
      <c r="AU47" s="727"/>
      <c r="AY47" s="742"/>
      <c r="AZ47" s="743"/>
      <c r="BA47" s="743"/>
      <c r="BB47" s="743"/>
      <c r="BC47" s="743"/>
      <c r="BD47" s="743"/>
      <c r="BE47" s="743"/>
      <c r="BF47" s="743"/>
      <c r="BG47" s="743"/>
      <c r="BH47" s="744"/>
    </row>
    <row r="48" spans="1:80" x14ac:dyDescent="0.25">
      <c r="K48" t="s">
        <v>258</v>
      </c>
      <c r="AD48" s="778"/>
      <c r="AE48" s="779"/>
      <c r="AF48" s="779"/>
      <c r="AG48" s="779"/>
      <c r="AH48" s="780"/>
      <c r="AL48" s="727">
        <v>795</v>
      </c>
      <c r="AM48" s="727"/>
      <c r="AN48" s="727"/>
      <c r="AO48" s="727">
        <f>AT76</f>
        <v>875</v>
      </c>
      <c r="AP48" s="727"/>
      <c r="AQ48" s="727"/>
      <c r="AR48" s="1689">
        <f>AC32</f>
        <v>6.0958000210140098</v>
      </c>
      <c r="AS48" s="1689"/>
      <c r="AT48" s="1689">
        <f>AC32+AO34</f>
        <v>15.095800021014011</v>
      </c>
      <c r="AU48" s="1689"/>
      <c r="AY48" s="727" t="s">
        <v>128</v>
      </c>
      <c r="AZ48" s="727"/>
      <c r="BA48" s="727"/>
      <c r="BB48" s="727"/>
      <c r="BC48" s="727"/>
      <c r="BD48" s="727"/>
      <c r="BE48" s="727"/>
      <c r="BF48" s="727"/>
      <c r="BG48" s="727"/>
      <c r="BH48" s="727"/>
    </row>
    <row r="49" spans="7:60" x14ac:dyDescent="0.25">
      <c r="G49" t="s">
        <v>16</v>
      </c>
      <c r="AD49" s="778"/>
      <c r="AE49" s="779"/>
      <c r="AF49" s="779"/>
      <c r="AG49" s="779"/>
      <c r="AH49" s="780"/>
      <c r="AL49" s="727"/>
      <c r="AM49" s="727"/>
      <c r="AN49" s="727"/>
      <c r="AO49" s="727"/>
      <c r="AP49" s="727"/>
      <c r="AQ49" s="727"/>
      <c r="AR49" s="1689"/>
      <c r="AS49" s="1689"/>
      <c r="AT49" s="1689"/>
      <c r="AU49" s="1689"/>
      <c r="AY49" s="727"/>
      <c r="AZ49" s="727"/>
      <c r="BA49" s="727"/>
      <c r="BB49" s="727"/>
      <c r="BC49" s="727"/>
      <c r="BD49" s="727"/>
      <c r="BE49" s="727"/>
      <c r="BF49" s="727"/>
      <c r="BG49" s="727"/>
      <c r="BH49" s="727"/>
    </row>
    <row r="50" spans="7:60" ht="15" customHeight="1" x14ac:dyDescent="0.25">
      <c r="AD50" s="778"/>
      <c r="AE50" s="779"/>
      <c r="AF50" s="779"/>
      <c r="AG50" s="779"/>
      <c r="AH50" s="780"/>
      <c r="AL50" s="727"/>
      <c r="AM50" s="727"/>
      <c r="AN50" s="727"/>
      <c r="AO50" s="727"/>
      <c r="AP50" s="727"/>
      <c r="AQ50" s="727"/>
      <c r="AR50" s="1689"/>
      <c r="AS50" s="1689"/>
      <c r="AT50" s="1689"/>
      <c r="AU50" s="1689"/>
      <c r="AY50" s="728">
        <f>AR48/((84*3.1415/44)*(AO48/3.281))</f>
        <v>3.8112304955653644E-3</v>
      </c>
      <c r="AZ50" s="729"/>
      <c r="BA50" s="729"/>
      <c r="BB50" s="729"/>
      <c r="BC50" s="729"/>
      <c r="BD50" s="729"/>
      <c r="BE50" s="729"/>
      <c r="BF50" s="729"/>
      <c r="BG50" s="729"/>
      <c r="BH50" s="730"/>
    </row>
    <row r="51" spans="7:60" ht="15.75" customHeight="1" thickBot="1" x14ac:dyDescent="0.3">
      <c r="AD51" s="781"/>
      <c r="AE51" s="782"/>
      <c r="AF51" s="782"/>
      <c r="AG51" s="782"/>
      <c r="AH51" s="783"/>
      <c r="AL51" s="727"/>
      <c r="AM51" s="727"/>
      <c r="AN51" s="727"/>
      <c r="AO51" s="727"/>
      <c r="AP51" s="727"/>
      <c r="AQ51" s="727"/>
      <c r="AR51" s="1689"/>
      <c r="AS51" s="1689"/>
      <c r="AT51" s="1689"/>
      <c r="AU51" s="1689"/>
      <c r="AY51" s="731"/>
      <c r="AZ51" s="732"/>
      <c r="BA51" s="732"/>
      <c r="BB51" s="732"/>
      <c r="BC51" s="732"/>
      <c r="BD51" s="732"/>
      <c r="BE51" s="732"/>
      <c r="BF51" s="732"/>
      <c r="BG51" s="732"/>
      <c r="BH51" s="733"/>
    </row>
    <row r="52" spans="7:60" ht="15.75" customHeight="1" thickTop="1" x14ac:dyDescent="0.25">
      <c r="AY52" s="734"/>
      <c r="AZ52" s="735"/>
      <c r="BA52" s="735"/>
      <c r="BB52" s="735"/>
      <c r="BC52" s="735"/>
      <c r="BD52" s="735"/>
      <c r="BE52" s="735"/>
      <c r="BF52" s="735"/>
      <c r="BG52" s="735"/>
      <c r="BH52" s="736"/>
    </row>
    <row r="53" spans="7:60" x14ac:dyDescent="0.25">
      <c r="AY53" s="739" t="s">
        <v>129</v>
      </c>
      <c r="AZ53" s="740"/>
      <c r="BA53" s="740"/>
      <c r="BB53" s="740"/>
      <c r="BC53" s="740"/>
      <c r="BD53" s="740"/>
      <c r="BE53" s="740"/>
      <c r="BF53" s="740"/>
      <c r="BG53" s="740"/>
      <c r="BH53" s="741"/>
    </row>
    <row r="54" spans="7:60" x14ac:dyDescent="0.25">
      <c r="AY54" s="742"/>
      <c r="AZ54" s="743"/>
      <c r="BA54" s="743"/>
      <c r="BB54" s="743"/>
      <c r="BC54" s="743"/>
      <c r="BD54" s="743"/>
      <c r="BE54" s="743"/>
      <c r="BF54" s="743"/>
      <c r="BG54" s="743"/>
      <c r="BH54" s="744"/>
    </row>
    <row r="55" spans="7:60" x14ac:dyDescent="0.25">
      <c r="AN55" s="727">
        <v>70</v>
      </c>
      <c r="AO55" s="727"/>
      <c r="AP55" s="727"/>
      <c r="AQ55" s="746">
        <v>2</v>
      </c>
      <c r="AR55" s="746"/>
      <c r="AS55" s="746"/>
      <c r="AT55" s="747">
        <f>AQ55*AN55</f>
        <v>140</v>
      </c>
      <c r="AU55" s="748"/>
      <c r="AV55" s="748"/>
      <c r="AW55" s="749"/>
      <c r="AY55" s="739" t="s">
        <v>130</v>
      </c>
      <c r="AZ55" s="740"/>
      <c r="BA55" s="740"/>
      <c r="BB55" s="740"/>
      <c r="BC55" s="740"/>
      <c r="BD55" s="740"/>
      <c r="BE55" s="740"/>
      <c r="BF55" s="740"/>
      <c r="BG55" s="740"/>
      <c r="BH55" s="741"/>
    </row>
    <row r="56" spans="7:60" x14ac:dyDescent="0.25">
      <c r="AN56" s="727"/>
      <c r="AO56" s="727"/>
      <c r="AP56" s="727"/>
      <c r="AQ56" s="746"/>
      <c r="AR56" s="746"/>
      <c r="AS56" s="746"/>
      <c r="AT56" s="747"/>
      <c r="AU56" s="748"/>
      <c r="AV56" s="748"/>
      <c r="AW56" s="749"/>
      <c r="AY56" s="750"/>
      <c r="AZ56" s="751"/>
      <c r="BA56" s="751"/>
      <c r="BB56" s="751"/>
      <c r="BC56" s="751"/>
      <c r="BD56" s="751"/>
      <c r="BE56" s="751"/>
      <c r="BF56" s="751"/>
      <c r="BG56" s="751"/>
      <c r="BH56" s="752"/>
    </row>
    <row r="57" spans="7:60" ht="15" customHeight="1" x14ac:dyDescent="0.25">
      <c r="AN57" s="727"/>
      <c r="AO57" s="727"/>
      <c r="AP57" s="727"/>
      <c r="AQ57" s="746"/>
      <c r="AR57" s="746"/>
      <c r="AS57" s="746"/>
      <c r="AT57" s="747"/>
      <c r="AU57" s="748"/>
      <c r="AV57" s="748"/>
      <c r="AW57" s="749"/>
      <c r="AY57" s="750"/>
      <c r="AZ57" s="751"/>
      <c r="BA57" s="751"/>
      <c r="BB57" s="751"/>
      <c r="BC57" s="751"/>
      <c r="BD57" s="751"/>
      <c r="BE57" s="751"/>
      <c r="BF57" s="751"/>
      <c r="BG57" s="751"/>
      <c r="BH57" s="752"/>
    </row>
    <row r="58" spans="7:60" ht="15" customHeight="1" x14ac:dyDescent="0.25">
      <c r="AN58" s="727">
        <v>65</v>
      </c>
      <c r="AO58" s="727"/>
      <c r="AP58" s="727"/>
      <c r="AQ58" s="746">
        <v>3</v>
      </c>
      <c r="AR58" s="746"/>
      <c r="AS58" s="746"/>
      <c r="AT58" s="747">
        <f t="shared" ref="AT58" si="0">AQ58*AN58</f>
        <v>195</v>
      </c>
      <c r="AU58" s="748"/>
      <c r="AV58" s="748"/>
      <c r="AW58" s="749"/>
      <c r="AY58" s="742"/>
      <c r="AZ58" s="743"/>
      <c r="BA58" s="743"/>
      <c r="BB58" s="743"/>
      <c r="BC58" s="743"/>
      <c r="BD58" s="743"/>
      <c r="BE58" s="743"/>
      <c r="BF58" s="743"/>
      <c r="BG58" s="743"/>
      <c r="BH58" s="744"/>
    </row>
    <row r="59" spans="7:60" ht="15" customHeight="1" x14ac:dyDescent="0.25">
      <c r="AN59" s="727"/>
      <c r="AO59" s="727"/>
      <c r="AP59" s="727"/>
      <c r="AQ59" s="746"/>
      <c r="AR59" s="746"/>
      <c r="AS59" s="746"/>
      <c r="AT59" s="747"/>
      <c r="AU59" s="748"/>
      <c r="AV59" s="748"/>
      <c r="AW59" s="749"/>
      <c r="AY59" s="728">
        <f>AT48/((84*3.1415/44)*(AO48/3.281))</f>
        <v>9.438231765594305E-3</v>
      </c>
      <c r="AZ59" s="729"/>
      <c r="BA59" s="729"/>
      <c r="BB59" s="729"/>
      <c r="BC59" s="729"/>
      <c r="BD59" s="729"/>
      <c r="BE59" s="729"/>
      <c r="BF59" s="729"/>
      <c r="BG59" s="729"/>
      <c r="BH59" s="730"/>
    </row>
    <row r="60" spans="7:60" ht="15" customHeight="1" x14ac:dyDescent="0.25">
      <c r="AN60" s="727"/>
      <c r="AO60" s="727"/>
      <c r="AP60" s="727"/>
      <c r="AQ60" s="746"/>
      <c r="AR60" s="746"/>
      <c r="AS60" s="746"/>
      <c r="AT60" s="747"/>
      <c r="AU60" s="748"/>
      <c r="AV60" s="748"/>
      <c r="AW60" s="749"/>
      <c r="AY60" s="731"/>
      <c r="AZ60" s="732"/>
      <c r="BA60" s="732"/>
      <c r="BB60" s="732"/>
      <c r="BC60" s="732"/>
      <c r="BD60" s="732"/>
      <c r="BE60" s="732"/>
      <c r="BF60" s="732"/>
      <c r="BG60" s="732"/>
      <c r="BH60" s="733"/>
    </row>
    <row r="61" spans="7:60" ht="15" customHeight="1" x14ac:dyDescent="0.25">
      <c r="AN61" s="727">
        <v>60</v>
      </c>
      <c r="AO61" s="727"/>
      <c r="AP61" s="727"/>
      <c r="AQ61" s="746">
        <v>1</v>
      </c>
      <c r="AR61" s="746"/>
      <c r="AS61" s="746"/>
      <c r="AT61" s="747">
        <f t="shared" ref="AT61" si="1">AQ61*AN61</f>
        <v>60</v>
      </c>
      <c r="AU61" s="748"/>
      <c r="AV61" s="748"/>
      <c r="AW61" s="749"/>
      <c r="AY61" s="731"/>
      <c r="AZ61" s="732"/>
      <c r="BA61" s="732"/>
      <c r="BB61" s="732"/>
      <c r="BC61" s="732"/>
      <c r="BD61" s="732"/>
      <c r="BE61" s="732"/>
      <c r="BF61" s="732"/>
      <c r="BG61" s="732"/>
      <c r="BH61" s="733"/>
    </row>
    <row r="62" spans="7:60" ht="15" customHeight="1" x14ac:dyDescent="0.25">
      <c r="AN62" s="727"/>
      <c r="AO62" s="727"/>
      <c r="AP62" s="727"/>
      <c r="AQ62" s="746"/>
      <c r="AR62" s="746"/>
      <c r="AS62" s="746"/>
      <c r="AT62" s="747"/>
      <c r="AU62" s="748"/>
      <c r="AV62" s="748"/>
      <c r="AW62" s="749"/>
      <c r="AY62" s="731"/>
      <c r="AZ62" s="732"/>
      <c r="BA62" s="732"/>
      <c r="BB62" s="732"/>
      <c r="BC62" s="732"/>
      <c r="BD62" s="732"/>
      <c r="BE62" s="732"/>
      <c r="BF62" s="732"/>
      <c r="BG62" s="732"/>
      <c r="BH62" s="733"/>
    </row>
    <row r="63" spans="7:60" ht="15" customHeight="1" x14ac:dyDescent="0.25">
      <c r="AN63" s="727"/>
      <c r="AO63" s="727"/>
      <c r="AP63" s="727"/>
      <c r="AQ63" s="746"/>
      <c r="AR63" s="746"/>
      <c r="AS63" s="746"/>
      <c r="AT63" s="747"/>
      <c r="AU63" s="748"/>
      <c r="AV63" s="748"/>
      <c r="AW63" s="749"/>
      <c r="AY63" s="734"/>
      <c r="AZ63" s="735"/>
      <c r="BA63" s="735"/>
      <c r="BB63" s="735"/>
      <c r="BC63" s="735"/>
      <c r="BD63" s="735"/>
      <c r="BE63" s="735"/>
      <c r="BF63" s="735"/>
      <c r="BG63" s="735"/>
      <c r="BH63" s="736"/>
    </row>
    <row r="64" spans="7:60" ht="15" customHeight="1" x14ac:dyDescent="0.25">
      <c r="AN64" s="727">
        <v>55</v>
      </c>
      <c r="AO64" s="727"/>
      <c r="AP64" s="727"/>
      <c r="AQ64" s="746">
        <v>5</v>
      </c>
      <c r="AR64" s="746"/>
      <c r="AS64" s="746"/>
      <c r="AT64" s="747">
        <f t="shared" ref="AT64" si="2">AQ64*AN64</f>
        <v>275</v>
      </c>
      <c r="AU64" s="748"/>
      <c r="AV64" s="748"/>
      <c r="AW64" s="749"/>
    </row>
    <row r="65" spans="40:49" ht="15" customHeight="1" x14ac:dyDescent="0.25">
      <c r="AN65" s="727"/>
      <c r="AO65" s="727"/>
      <c r="AP65" s="727"/>
      <c r="AQ65" s="746"/>
      <c r="AR65" s="746"/>
      <c r="AS65" s="746"/>
      <c r="AT65" s="747"/>
      <c r="AU65" s="748"/>
      <c r="AV65" s="748"/>
      <c r="AW65" s="749"/>
    </row>
    <row r="66" spans="40:49" ht="15" customHeight="1" x14ac:dyDescent="0.25">
      <c r="AN66" s="727"/>
      <c r="AO66" s="727"/>
      <c r="AP66" s="727"/>
      <c r="AQ66" s="746"/>
      <c r="AR66" s="746"/>
      <c r="AS66" s="746"/>
      <c r="AT66" s="747"/>
      <c r="AU66" s="748"/>
      <c r="AV66" s="748"/>
      <c r="AW66" s="749"/>
    </row>
    <row r="67" spans="40:49" ht="15" customHeight="1" x14ac:dyDescent="0.25">
      <c r="AN67" s="727">
        <v>45</v>
      </c>
      <c r="AO67" s="727"/>
      <c r="AP67" s="727"/>
      <c r="AQ67" s="746">
        <v>1</v>
      </c>
      <c r="AR67" s="746"/>
      <c r="AS67" s="746"/>
      <c r="AT67" s="747">
        <f t="shared" ref="AT67" si="3">AQ67*AN67</f>
        <v>45</v>
      </c>
      <c r="AU67" s="748"/>
      <c r="AV67" s="748"/>
      <c r="AW67" s="749"/>
    </row>
    <row r="68" spans="40:49" ht="15" customHeight="1" x14ac:dyDescent="0.25">
      <c r="AN68" s="727"/>
      <c r="AO68" s="727"/>
      <c r="AP68" s="727"/>
      <c r="AQ68" s="746"/>
      <c r="AR68" s="746"/>
      <c r="AS68" s="746"/>
      <c r="AT68" s="747"/>
      <c r="AU68" s="748"/>
      <c r="AV68" s="748"/>
      <c r="AW68" s="749"/>
    </row>
    <row r="69" spans="40:49" ht="15" customHeight="1" x14ac:dyDescent="0.25">
      <c r="AN69" s="727"/>
      <c r="AO69" s="727"/>
      <c r="AP69" s="727"/>
      <c r="AQ69" s="746"/>
      <c r="AR69" s="746"/>
      <c r="AS69" s="746"/>
      <c r="AT69" s="747"/>
      <c r="AU69" s="748"/>
      <c r="AV69" s="748"/>
      <c r="AW69" s="749"/>
    </row>
    <row r="70" spans="40:49" ht="15" customHeight="1" x14ac:dyDescent="0.25">
      <c r="AN70" s="727">
        <v>40</v>
      </c>
      <c r="AO70" s="727"/>
      <c r="AP70" s="727"/>
      <c r="AQ70" s="746">
        <v>4</v>
      </c>
      <c r="AR70" s="746"/>
      <c r="AS70" s="746"/>
      <c r="AT70" s="747">
        <f t="shared" ref="AT70" si="4">AQ70*AN70</f>
        <v>160</v>
      </c>
      <c r="AU70" s="748"/>
      <c r="AV70" s="748"/>
      <c r="AW70" s="749"/>
    </row>
    <row r="71" spans="40:49" ht="15" customHeight="1" x14ac:dyDescent="0.25">
      <c r="AN71" s="727"/>
      <c r="AO71" s="727"/>
      <c r="AP71" s="727"/>
      <c r="AQ71" s="746"/>
      <c r="AR71" s="746"/>
      <c r="AS71" s="746"/>
      <c r="AT71" s="747"/>
      <c r="AU71" s="748"/>
      <c r="AV71" s="748"/>
      <c r="AW71" s="749"/>
    </row>
    <row r="72" spans="40:49" ht="15" customHeight="1" x14ac:dyDescent="0.25">
      <c r="AN72" s="727"/>
      <c r="AO72" s="727"/>
      <c r="AP72" s="727"/>
      <c r="AQ72" s="746"/>
      <c r="AR72" s="746"/>
      <c r="AS72" s="746"/>
      <c r="AT72" s="747"/>
      <c r="AU72" s="748"/>
      <c r="AV72" s="748"/>
      <c r="AW72" s="749"/>
    </row>
    <row r="73" spans="40:49" ht="15" customHeight="1" x14ac:dyDescent="0.25">
      <c r="AN73" s="727"/>
      <c r="AO73" s="727"/>
      <c r="AP73" s="727"/>
      <c r="AQ73" s="746"/>
      <c r="AR73" s="746"/>
      <c r="AS73" s="746"/>
      <c r="AT73" s="747"/>
      <c r="AU73" s="748"/>
      <c r="AV73" s="748"/>
      <c r="AW73" s="749"/>
    </row>
    <row r="74" spans="40:49" ht="15" customHeight="1" x14ac:dyDescent="0.25">
      <c r="AN74" s="727"/>
      <c r="AO74" s="727"/>
      <c r="AP74" s="727"/>
      <c r="AQ74" s="746"/>
      <c r="AR74" s="746"/>
      <c r="AS74" s="746"/>
      <c r="AT74" s="747"/>
      <c r="AU74" s="748"/>
      <c r="AV74" s="748"/>
      <c r="AW74" s="749"/>
    </row>
    <row r="75" spans="40:49" ht="15" customHeight="1" x14ac:dyDescent="0.25">
      <c r="AN75" s="727"/>
      <c r="AO75" s="727"/>
      <c r="AP75" s="727"/>
      <c r="AQ75" s="746"/>
      <c r="AR75" s="746"/>
      <c r="AS75" s="746"/>
      <c r="AT75" s="747"/>
      <c r="AU75" s="748"/>
      <c r="AV75" s="748"/>
      <c r="AW75" s="749"/>
    </row>
    <row r="76" spans="40:49" ht="15" customHeight="1" x14ac:dyDescent="0.25">
      <c r="AQ76" s="2279">
        <f>AQ55+AQ61+AQ64+AQ67+AQ70+AQ58</f>
        <v>16</v>
      </c>
      <c r="AR76" s="2280"/>
      <c r="AS76" s="2281"/>
      <c r="AT76" s="1457">
        <f>AT55+AT58+AT61+AT64+AT67+AT70+AT73</f>
        <v>875</v>
      </c>
      <c r="AU76" s="1458"/>
      <c r="AV76" s="1458"/>
      <c r="AW76" s="1459"/>
    </row>
    <row r="77" spans="40:49" ht="15" customHeight="1" x14ac:dyDescent="0.25">
      <c r="AQ77" s="2282"/>
      <c r="AR77" s="2283"/>
      <c r="AS77" s="2284"/>
      <c r="AT77" s="2288"/>
      <c r="AU77" s="2289"/>
      <c r="AV77" s="2289"/>
      <c r="AW77" s="2290"/>
    </row>
    <row r="78" spans="40:49" x14ac:dyDescent="0.25">
      <c r="AQ78" s="2285"/>
      <c r="AR78" s="2286"/>
      <c r="AS78" s="2287"/>
      <c r="AT78" s="1785"/>
      <c r="AU78" s="1786"/>
      <c r="AV78" s="1786"/>
      <c r="AW78" s="1787"/>
    </row>
  </sheetData>
  <mergeCells count="290">
    <mergeCell ref="P2:R2"/>
    <mergeCell ref="S2:T2"/>
    <mergeCell ref="U2:W2"/>
    <mergeCell ref="X2:Y2"/>
    <mergeCell ref="Z2:AB2"/>
    <mergeCell ref="AC2:AD2"/>
    <mergeCell ref="A2:C2"/>
    <mergeCell ref="D2:E2"/>
    <mergeCell ref="F2:H2"/>
    <mergeCell ref="I2:J2"/>
    <mergeCell ref="K2:M2"/>
    <mergeCell ref="N2:O2"/>
    <mergeCell ref="AT2:AV2"/>
    <mergeCell ref="AW2:AX2"/>
    <mergeCell ref="AY2:BA2"/>
    <mergeCell ref="BB2:BC2"/>
    <mergeCell ref="BD2:BF2"/>
    <mergeCell ref="BG2:BH2"/>
    <mergeCell ref="AE2:AG2"/>
    <mergeCell ref="AH2:AI2"/>
    <mergeCell ref="AJ2:AL2"/>
    <mergeCell ref="AM2:AN2"/>
    <mergeCell ref="AO2:AQ2"/>
    <mergeCell ref="AR2:AS2"/>
    <mergeCell ref="K6:K7"/>
    <mergeCell ref="L6:O6"/>
    <mergeCell ref="AE3:AI5"/>
    <mergeCell ref="AJ3:AN5"/>
    <mergeCell ref="AO3:AS5"/>
    <mergeCell ref="AT3:AX5"/>
    <mergeCell ref="AY3:BA5"/>
    <mergeCell ref="BD3:BF5"/>
    <mergeCell ref="A3:E5"/>
    <mergeCell ref="F3:J5"/>
    <mergeCell ref="K3:O5"/>
    <mergeCell ref="P3:T5"/>
    <mergeCell ref="U3:Y5"/>
    <mergeCell ref="Z3:AD5"/>
    <mergeCell ref="A8:C8"/>
    <mergeCell ref="D8:E8"/>
    <mergeCell ref="AT6:AT7"/>
    <mergeCell ref="AU6:AX6"/>
    <mergeCell ref="AY6:AY7"/>
    <mergeCell ref="AZ6:BC6"/>
    <mergeCell ref="BD6:BD7"/>
    <mergeCell ref="BE6:BH6"/>
    <mergeCell ref="AE6:AE7"/>
    <mergeCell ref="AF6:AI6"/>
    <mergeCell ref="AJ6:AJ7"/>
    <mergeCell ref="AK6:AN6"/>
    <mergeCell ref="AO6:AO7"/>
    <mergeCell ref="AP6:AS6"/>
    <mergeCell ref="P6:P7"/>
    <mergeCell ref="Q6:T6"/>
    <mergeCell ref="U6:U7"/>
    <mergeCell ref="V6:Y6"/>
    <mergeCell ref="Z6:Z7"/>
    <mergeCell ref="AA6:AD6"/>
    <mergeCell ref="A6:A7"/>
    <mergeCell ref="B6:E6"/>
    <mergeCell ref="F6:F7"/>
    <mergeCell ref="G6:J6"/>
    <mergeCell ref="BE12:BH12"/>
    <mergeCell ref="AY8:BA8"/>
    <mergeCell ref="BB8:BC8"/>
    <mergeCell ref="BD8:BF8"/>
    <mergeCell ref="BG8:BH8"/>
    <mergeCell ref="P8:R8"/>
    <mergeCell ref="S8:T8"/>
    <mergeCell ref="AM14:AN14"/>
    <mergeCell ref="Q12:T12"/>
    <mergeCell ref="AY9:BA11"/>
    <mergeCell ref="BB9:BJ11"/>
    <mergeCell ref="AY12:AY13"/>
    <mergeCell ref="AZ12:BC12"/>
    <mergeCell ref="BD12:BD13"/>
    <mergeCell ref="U8:W8"/>
    <mergeCell ref="X8:Y8"/>
    <mergeCell ref="U9:Y11"/>
    <mergeCell ref="U12:U13"/>
    <mergeCell ref="V12:Y12"/>
    <mergeCell ref="Z8:AB8"/>
    <mergeCell ref="AC8:AD8"/>
    <mergeCell ref="Z9:AD11"/>
    <mergeCell ref="Z12:Z13"/>
    <mergeCell ref="AA12:AD12"/>
    <mergeCell ref="A12:A13"/>
    <mergeCell ref="B12:E12"/>
    <mergeCell ref="F12:F13"/>
    <mergeCell ref="G12:J12"/>
    <mergeCell ref="K12:K13"/>
    <mergeCell ref="L12:O12"/>
    <mergeCell ref="P12:P13"/>
    <mergeCell ref="A9:E11"/>
    <mergeCell ref="F9:J11"/>
    <mergeCell ref="K9:O11"/>
    <mergeCell ref="P9:T11"/>
    <mergeCell ref="A18:A19"/>
    <mergeCell ref="B18:E18"/>
    <mergeCell ref="AY18:AY19"/>
    <mergeCell ref="AZ18:BC18"/>
    <mergeCell ref="BD18:BD19"/>
    <mergeCell ref="BE18:BH18"/>
    <mergeCell ref="BD14:BF14"/>
    <mergeCell ref="BG14:BH14"/>
    <mergeCell ref="A15:E17"/>
    <mergeCell ref="AJ15:AL17"/>
    <mergeCell ref="AO15:AQ17"/>
    <mergeCell ref="AT15:AV17"/>
    <mergeCell ref="AY15:BA17"/>
    <mergeCell ref="BD15:BF17"/>
    <mergeCell ref="AO14:AQ14"/>
    <mergeCell ref="AR14:AS14"/>
    <mergeCell ref="AT14:AV14"/>
    <mergeCell ref="AW14:AX14"/>
    <mergeCell ref="AY14:BA14"/>
    <mergeCell ref="BB14:BC14"/>
    <mergeCell ref="A14:C14"/>
    <mergeCell ref="D14:E14"/>
    <mergeCell ref="AH14:AI14"/>
    <mergeCell ref="AJ14:AL14"/>
    <mergeCell ref="P20:R20"/>
    <mergeCell ref="S20:T20"/>
    <mergeCell ref="U20:W20"/>
    <mergeCell ref="X20:Y20"/>
    <mergeCell ref="Z20:AB20"/>
    <mergeCell ref="AC20:AD20"/>
    <mergeCell ref="A20:C20"/>
    <mergeCell ref="D20:E20"/>
    <mergeCell ref="F20:H20"/>
    <mergeCell ref="I20:J20"/>
    <mergeCell ref="K20:M20"/>
    <mergeCell ref="N20:O20"/>
    <mergeCell ref="AT20:AV20"/>
    <mergeCell ref="AW20:AX20"/>
    <mergeCell ref="AY20:BA20"/>
    <mergeCell ref="BB20:BC20"/>
    <mergeCell ref="BD20:BF20"/>
    <mergeCell ref="BG20:BH20"/>
    <mergeCell ref="AE20:AG20"/>
    <mergeCell ref="AH20:AI20"/>
    <mergeCell ref="AJ20:AL20"/>
    <mergeCell ref="AM20:AN20"/>
    <mergeCell ref="AO20:AQ20"/>
    <mergeCell ref="AR20:AS20"/>
    <mergeCell ref="AT21:AV23"/>
    <mergeCell ref="AY21:BA23"/>
    <mergeCell ref="BD21:BF23"/>
    <mergeCell ref="A21:C23"/>
    <mergeCell ref="F21:H23"/>
    <mergeCell ref="K21:M23"/>
    <mergeCell ref="P21:R23"/>
    <mergeCell ref="U21:W23"/>
    <mergeCell ref="Z21:AB23"/>
    <mergeCell ref="A24:A25"/>
    <mergeCell ref="B24:E24"/>
    <mergeCell ref="F24:F25"/>
    <mergeCell ref="G24:J24"/>
    <mergeCell ref="K24:K25"/>
    <mergeCell ref="L24:O24"/>
    <mergeCell ref="AE21:AG23"/>
    <mergeCell ref="AJ21:AL23"/>
    <mergeCell ref="AO21:AQ23"/>
    <mergeCell ref="P24:P25"/>
    <mergeCell ref="Q24:T24"/>
    <mergeCell ref="U24:U25"/>
    <mergeCell ref="V24:Y24"/>
    <mergeCell ref="Z24:Z25"/>
    <mergeCell ref="AA24:AD24"/>
    <mergeCell ref="AE24:AE25"/>
    <mergeCell ref="AF24:AI24"/>
    <mergeCell ref="AJ24:AJ25"/>
    <mergeCell ref="AK24:AN24"/>
    <mergeCell ref="AO24:AO25"/>
    <mergeCell ref="AP24:AS24"/>
    <mergeCell ref="BD26:BF26"/>
    <mergeCell ref="BG26:BH26"/>
    <mergeCell ref="AW26:AX26"/>
    <mergeCell ref="AY26:BA26"/>
    <mergeCell ref="AT24:AT25"/>
    <mergeCell ref="AU24:AX24"/>
    <mergeCell ref="AY24:AY25"/>
    <mergeCell ref="AZ24:BC24"/>
    <mergeCell ref="BD24:BD25"/>
    <mergeCell ref="BE24:BH24"/>
    <mergeCell ref="BB26:BC26"/>
    <mergeCell ref="U27:W29"/>
    <mergeCell ref="Z27:AB29"/>
    <mergeCell ref="AE27:AG29"/>
    <mergeCell ref="AT27:AV29"/>
    <mergeCell ref="AE26:AG26"/>
    <mergeCell ref="AH26:AI26"/>
    <mergeCell ref="AT26:AV26"/>
    <mergeCell ref="K26:M26"/>
    <mergeCell ref="N26:O26"/>
    <mergeCell ref="P26:R26"/>
    <mergeCell ref="S26:T26"/>
    <mergeCell ref="U26:W26"/>
    <mergeCell ref="X26:Y26"/>
    <mergeCell ref="Z26:AB26"/>
    <mergeCell ref="AC26:AD26"/>
    <mergeCell ref="K27:M29"/>
    <mergeCell ref="P27:R29"/>
    <mergeCell ref="A26:C26"/>
    <mergeCell ref="D26:E26"/>
    <mergeCell ref="AY27:BA29"/>
    <mergeCell ref="BD27:BF29"/>
    <mergeCell ref="A30:A31"/>
    <mergeCell ref="B30:E30"/>
    <mergeCell ref="F30:F31"/>
    <mergeCell ref="G30:J30"/>
    <mergeCell ref="K30:K31"/>
    <mergeCell ref="L30:O30"/>
    <mergeCell ref="P30:P31"/>
    <mergeCell ref="Q30:T30"/>
    <mergeCell ref="AY30:AY31"/>
    <mergeCell ref="AZ30:BC30"/>
    <mergeCell ref="BD30:BD31"/>
    <mergeCell ref="BE30:BH30"/>
    <mergeCell ref="U30:U31"/>
    <mergeCell ref="V30:Y30"/>
    <mergeCell ref="Z30:Z31"/>
    <mergeCell ref="AA30:AD30"/>
    <mergeCell ref="AE30:AE31"/>
    <mergeCell ref="AF30:AI30"/>
    <mergeCell ref="A27:C29"/>
    <mergeCell ref="F27:H29"/>
    <mergeCell ref="AY45:BH47"/>
    <mergeCell ref="AL48:AN51"/>
    <mergeCell ref="AO48:AQ51"/>
    <mergeCell ref="AR48:AS51"/>
    <mergeCell ref="AT48:AU51"/>
    <mergeCell ref="AT32:AW33"/>
    <mergeCell ref="AO34:AU40"/>
    <mergeCell ref="AV34:AW40"/>
    <mergeCell ref="H35:J35"/>
    <mergeCell ref="Q35:V42"/>
    <mergeCell ref="H36:J37"/>
    <mergeCell ref="X37:AB42"/>
    <mergeCell ref="AC37:AH42"/>
    <mergeCell ref="H38:J40"/>
    <mergeCell ref="H41:J42"/>
    <mergeCell ref="H32:J33"/>
    <mergeCell ref="Q32:V34"/>
    <mergeCell ref="X32:AB36"/>
    <mergeCell ref="AC32:AH36"/>
    <mergeCell ref="AJ32:AN42"/>
    <mergeCell ref="AO32:AS33"/>
    <mergeCell ref="AO41:AW42"/>
    <mergeCell ref="AY59:BH63"/>
    <mergeCell ref="AN61:AP63"/>
    <mergeCell ref="AQ61:AS63"/>
    <mergeCell ref="AT61:AW63"/>
    <mergeCell ref="AN64:AP66"/>
    <mergeCell ref="AQ64:AS66"/>
    <mergeCell ref="AT64:AW66"/>
    <mergeCell ref="AY48:BH49"/>
    <mergeCell ref="AY50:BH52"/>
    <mergeCell ref="AY53:BH54"/>
    <mergeCell ref="AN55:AP57"/>
    <mergeCell ref="AQ55:AS57"/>
    <mergeCell ref="AT55:AW57"/>
    <mergeCell ref="AY55:BH58"/>
    <mergeCell ref="AN58:AP60"/>
    <mergeCell ref="AQ58:AS60"/>
    <mergeCell ref="AT58:AW60"/>
    <mergeCell ref="AQ76:AS78"/>
    <mergeCell ref="AT76:AW78"/>
    <mergeCell ref="AN73:AP75"/>
    <mergeCell ref="AQ73:AS75"/>
    <mergeCell ref="AT73:AW75"/>
    <mergeCell ref="I8:J8"/>
    <mergeCell ref="F8:H8"/>
    <mergeCell ref="N8:O8"/>
    <mergeCell ref="K8:M8"/>
    <mergeCell ref="AN67:AP69"/>
    <mergeCell ref="AQ67:AS69"/>
    <mergeCell ref="AT67:AW69"/>
    <mergeCell ref="AN70:AP72"/>
    <mergeCell ref="AQ70:AS72"/>
    <mergeCell ref="AT70:AW72"/>
    <mergeCell ref="AD45:AH51"/>
    <mergeCell ref="AL45:AN47"/>
    <mergeCell ref="AO45:AQ47"/>
    <mergeCell ref="AR45:AS47"/>
    <mergeCell ref="AT45:AU47"/>
    <mergeCell ref="AT30:AT31"/>
    <mergeCell ref="AU30:AX30"/>
    <mergeCell ref="F26:H26"/>
    <mergeCell ref="I26:J26"/>
  </mergeCells>
  <pageMargins left="0.25" right="0" top="0.7" bottom="0" header="0.3" footer="0.3"/>
  <pageSetup paperSize="8" scale="67" orientation="landscape" r:id="rId1"/>
  <headerFooter>
    <oddFooter>&amp;C&amp;"-,Bold Italic"&amp;16Prepared by Emir Cebecioglu&amp;RQuality Control Department</oddFooter>
  </headerFooter>
  <colBreaks count="1" manualBreakCount="1">
    <brk id="60" max="50" man="1"/>
  </col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CC5C8-4B51-445C-89D8-ADB8A55801CE}">
  <sheetPr>
    <tabColor rgb="FFFFC000"/>
    <pageSetUpPr fitToPage="1"/>
  </sheetPr>
  <dimension ref="A1:CL109"/>
  <sheetViews>
    <sheetView view="pageBreakPreview" zoomScale="55" zoomScaleNormal="115" zoomScaleSheetLayoutView="55" workbookViewId="0">
      <selection activeCell="O31" sqref="O31:R31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140625" customWidth="1"/>
    <col min="47" max="47" width="10.71093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4.140625" customWidth="1"/>
    <col min="62" max="62" width="10.7109375" customWidth="1"/>
    <col min="63" max="63" width="4.28515625" customWidth="1"/>
    <col min="64" max="65" width="5.5703125" customWidth="1"/>
    <col min="66" max="66" width="4.140625" customWidth="1"/>
    <col min="67" max="67" width="10.7109375" customWidth="1"/>
    <col min="68" max="68" width="4.28515625" customWidth="1"/>
    <col min="69" max="70" width="5.5703125" customWidth="1"/>
    <col min="71" max="71" width="1" customWidth="1"/>
    <col min="72" max="72" width="56.7109375" customWidth="1"/>
    <col min="73" max="73" width="13" customWidth="1"/>
    <col min="74" max="74" width="7" customWidth="1"/>
  </cols>
  <sheetData>
    <row r="1" spans="1:83" ht="75" customHeight="1" x14ac:dyDescent="0.25"/>
    <row r="2" spans="1:83" ht="75" customHeight="1" x14ac:dyDescent="0.25"/>
    <row r="3" spans="1:83" ht="15" customHeight="1" x14ac:dyDescent="0.25">
      <c r="A3" s="2317" t="s">
        <v>110</v>
      </c>
      <c r="B3" s="2317"/>
      <c r="C3" s="2318">
        <f>B8/((84*3.1415/59)*(70/3.281))</f>
        <v>1.0479579385470565E-12</v>
      </c>
      <c r="D3" s="2318"/>
      <c r="E3" s="2318"/>
      <c r="F3" s="2317" t="s">
        <v>110</v>
      </c>
      <c r="G3" s="2317"/>
      <c r="H3" s="2318">
        <f t="shared" ref="H3" si="0">G8/((84*3.1415/59)*(70/3.281))</f>
        <v>1.649485795273067E-2</v>
      </c>
      <c r="I3" s="2318"/>
      <c r="J3" s="2318"/>
      <c r="K3" s="2317" t="s">
        <v>110</v>
      </c>
      <c r="L3" s="2317"/>
      <c r="M3" s="2318">
        <f t="shared" ref="M3" si="1">L8/((84*3.1415/59)*(70/3.281))</f>
        <v>1.0479579385470564E-14</v>
      </c>
      <c r="N3" s="2318"/>
      <c r="O3" s="2318"/>
      <c r="P3" s="2317" t="s">
        <v>110</v>
      </c>
      <c r="Q3" s="2317"/>
      <c r="R3" s="2318">
        <f t="shared" ref="R3" si="2">Q8/((84*3.1415/59)*(70/3.281))</f>
        <v>1.0479579385470564E-18</v>
      </c>
      <c r="S3" s="2318"/>
      <c r="T3" s="2318"/>
      <c r="U3" s="2317" t="s">
        <v>110</v>
      </c>
      <c r="V3" s="2317"/>
      <c r="W3" s="2318">
        <f t="shared" ref="W3" si="3">V8/((84*3.1415/59)*(70/3.281))</f>
        <v>2.6618131639095234E-3</v>
      </c>
      <c r="X3" s="2318"/>
      <c r="Y3" s="2318"/>
      <c r="Z3" s="2317" t="s">
        <v>110</v>
      </c>
      <c r="AA3" s="2317"/>
      <c r="AB3" s="2318">
        <f t="shared" ref="AB3" si="4">AA8/((84*3.1415/59)*(70/3.281))</f>
        <v>6.6545329097738087E-3</v>
      </c>
      <c r="AC3" s="2318"/>
      <c r="AD3" s="2318"/>
      <c r="AE3" s="2317" t="s">
        <v>110</v>
      </c>
      <c r="AF3" s="2317"/>
      <c r="AG3" s="2318">
        <f t="shared" ref="AG3" si="5">AF8/((84*3.1415/59)*(70/3.281))</f>
        <v>1.1711977921201903E-2</v>
      </c>
      <c r="AH3" s="2318"/>
      <c r="AI3" s="2318"/>
      <c r="AJ3" s="2317" t="s">
        <v>110</v>
      </c>
      <c r="AK3" s="2317"/>
      <c r="AL3" s="2318">
        <f t="shared" ref="AL3" si="6">AK8/((84*3.1415/59)*(70/3.281))</f>
        <v>1.0114890022856189E-2</v>
      </c>
      <c r="AM3" s="2318"/>
      <c r="AN3" s="2318"/>
      <c r="AO3" s="2317" t="s">
        <v>110</v>
      </c>
      <c r="AP3" s="2317"/>
      <c r="AQ3" s="2318">
        <f t="shared" ref="AQ3" si="7">AP8/((84*3.1415/59)*(70/3.281))</f>
        <v>5.0574450114280944E-3</v>
      </c>
      <c r="AR3" s="2318"/>
      <c r="AS3" s="2318"/>
      <c r="AT3" s="2322" t="s">
        <v>110</v>
      </c>
      <c r="AU3" s="2322"/>
      <c r="AV3" s="2323">
        <f>AU8/((84*3.1415/59)*(65/3.281))</f>
        <v>1.9206005751901022E-2</v>
      </c>
      <c r="AW3" s="2323"/>
      <c r="AX3" s="2323"/>
      <c r="AY3" s="2322" t="s">
        <v>110</v>
      </c>
      <c r="AZ3" s="2322"/>
      <c r="BA3" s="2323">
        <f t="shared" ref="BA3" si="8">AZ8/((84*3.1415/59)*(65/3.281))</f>
        <v>1.7199408136030769E-3</v>
      </c>
      <c r="BB3" s="2323"/>
      <c r="BC3" s="2323"/>
      <c r="BD3" s="2322" t="s">
        <v>110</v>
      </c>
      <c r="BE3" s="2322"/>
      <c r="BF3" s="2323">
        <f t="shared" ref="BF3" si="9">BE8/((84*3.1415/59)*(65/3.281))</f>
        <v>1.128570087666061E-11</v>
      </c>
      <c r="BG3" s="2323"/>
      <c r="BH3" s="2323"/>
      <c r="BI3" s="2137" t="s">
        <v>110</v>
      </c>
      <c r="BJ3" s="2137"/>
      <c r="BK3" s="2136">
        <f>BJ8/((84*3.1415/59)*(60/3.281))</f>
        <v>1.2226175949715659E-20</v>
      </c>
      <c r="BL3" s="2136"/>
      <c r="BM3" s="2136"/>
      <c r="BN3" s="2137" t="s">
        <v>110</v>
      </c>
      <c r="BO3" s="2137"/>
      <c r="BP3" s="2136">
        <f>BO8/((84*3.1415/59)*(60/3.281))</f>
        <v>8.6952563354377767E-3</v>
      </c>
      <c r="BQ3" s="2136"/>
      <c r="BR3" s="2136"/>
    </row>
    <row r="4" spans="1:83" ht="15" customHeight="1" x14ac:dyDescent="0.25">
      <c r="A4" s="2317"/>
      <c r="B4" s="2317"/>
      <c r="C4" s="2318"/>
      <c r="D4" s="2318"/>
      <c r="E4" s="2318"/>
      <c r="F4" s="2317"/>
      <c r="G4" s="2317"/>
      <c r="H4" s="2318"/>
      <c r="I4" s="2318"/>
      <c r="J4" s="2318"/>
      <c r="K4" s="2317"/>
      <c r="L4" s="2317"/>
      <c r="M4" s="2318"/>
      <c r="N4" s="2318"/>
      <c r="O4" s="2318"/>
      <c r="P4" s="2317"/>
      <c r="Q4" s="2317"/>
      <c r="R4" s="2318"/>
      <c r="S4" s="2318"/>
      <c r="T4" s="2318"/>
      <c r="U4" s="2317"/>
      <c r="V4" s="2317"/>
      <c r="W4" s="2318"/>
      <c r="X4" s="2318"/>
      <c r="Y4" s="2318"/>
      <c r="Z4" s="2317"/>
      <c r="AA4" s="2317"/>
      <c r="AB4" s="2318"/>
      <c r="AC4" s="2318"/>
      <c r="AD4" s="2318"/>
      <c r="AE4" s="2317"/>
      <c r="AF4" s="2317"/>
      <c r="AG4" s="2318"/>
      <c r="AH4" s="2318"/>
      <c r="AI4" s="2318"/>
      <c r="AJ4" s="2317"/>
      <c r="AK4" s="2317"/>
      <c r="AL4" s="2318"/>
      <c r="AM4" s="2318"/>
      <c r="AN4" s="2318"/>
      <c r="AO4" s="2317"/>
      <c r="AP4" s="2317"/>
      <c r="AQ4" s="2318"/>
      <c r="AR4" s="2318"/>
      <c r="AS4" s="2318"/>
      <c r="AT4" s="2322"/>
      <c r="AU4" s="2322"/>
      <c r="AV4" s="2323"/>
      <c r="AW4" s="2323"/>
      <c r="AX4" s="2323"/>
      <c r="AY4" s="2322"/>
      <c r="AZ4" s="2322"/>
      <c r="BA4" s="2323"/>
      <c r="BB4" s="2323"/>
      <c r="BC4" s="2323"/>
      <c r="BD4" s="2322"/>
      <c r="BE4" s="2322"/>
      <c r="BF4" s="2323"/>
      <c r="BG4" s="2323"/>
      <c r="BH4" s="2323"/>
      <c r="BI4" s="2137"/>
      <c r="BJ4" s="2137"/>
      <c r="BK4" s="2136"/>
      <c r="BL4" s="2136"/>
      <c r="BM4" s="2136"/>
      <c r="BN4" s="2137"/>
      <c r="BO4" s="2137"/>
      <c r="BP4" s="2136"/>
      <c r="BQ4" s="2136"/>
      <c r="BR4" s="2136"/>
    </row>
    <row r="5" spans="1:83" ht="15" customHeight="1" x14ac:dyDescent="0.25">
      <c r="A5" s="2317"/>
      <c r="B5" s="2317"/>
      <c r="C5" s="2318"/>
      <c r="D5" s="2318"/>
      <c r="E5" s="2318"/>
      <c r="F5" s="2317"/>
      <c r="G5" s="2317"/>
      <c r="H5" s="2318"/>
      <c r="I5" s="2318"/>
      <c r="J5" s="2318"/>
      <c r="K5" s="2317"/>
      <c r="L5" s="2317"/>
      <c r="M5" s="2318"/>
      <c r="N5" s="2318"/>
      <c r="O5" s="2318"/>
      <c r="P5" s="2317"/>
      <c r="Q5" s="2317"/>
      <c r="R5" s="2318"/>
      <c r="S5" s="2318"/>
      <c r="T5" s="2318"/>
      <c r="U5" s="2317"/>
      <c r="V5" s="2317"/>
      <c r="W5" s="2318"/>
      <c r="X5" s="2318"/>
      <c r="Y5" s="2318"/>
      <c r="Z5" s="2317"/>
      <c r="AA5" s="2317"/>
      <c r="AB5" s="2318"/>
      <c r="AC5" s="2318"/>
      <c r="AD5" s="2318"/>
      <c r="AE5" s="2317"/>
      <c r="AF5" s="2317"/>
      <c r="AG5" s="2318"/>
      <c r="AH5" s="2318"/>
      <c r="AI5" s="2318"/>
      <c r="AJ5" s="2317"/>
      <c r="AK5" s="2317"/>
      <c r="AL5" s="2318"/>
      <c r="AM5" s="2318"/>
      <c r="AN5" s="2318"/>
      <c r="AO5" s="2317"/>
      <c r="AP5" s="2317"/>
      <c r="AQ5" s="2318"/>
      <c r="AR5" s="2318"/>
      <c r="AS5" s="2318"/>
      <c r="AT5" s="2322"/>
      <c r="AU5" s="2322"/>
      <c r="AV5" s="2323"/>
      <c r="AW5" s="2323"/>
      <c r="AX5" s="2323"/>
      <c r="AY5" s="2322"/>
      <c r="AZ5" s="2322"/>
      <c r="BA5" s="2323"/>
      <c r="BB5" s="2323"/>
      <c r="BC5" s="2323"/>
      <c r="BD5" s="2322"/>
      <c r="BE5" s="2322"/>
      <c r="BF5" s="2323"/>
      <c r="BG5" s="2323"/>
      <c r="BH5" s="2323"/>
      <c r="BI5" s="2137"/>
      <c r="BJ5" s="2137"/>
      <c r="BK5" s="2136"/>
      <c r="BL5" s="2136"/>
      <c r="BM5" s="2136"/>
      <c r="BN5" s="2137"/>
      <c r="BO5" s="2137"/>
      <c r="BP5" s="2136"/>
      <c r="BQ5" s="2136"/>
      <c r="BR5" s="2136"/>
    </row>
    <row r="6" spans="1:83" ht="24.95" customHeight="1" x14ac:dyDescent="0.25">
      <c r="A6" s="2319" t="s">
        <v>545</v>
      </c>
      <c r="B6" s="2320"/>
      <c r="C6" s="2320"/>
      <c r="D6" s="2320"/>
      <c r="E6" s="2320"/>
      <c r="F6" s="2319" t="s">
        <v>545</v>
      </c>
      <c r="G6" s="2320"/>
      <c r="H6" s="2320"/>
      <c r="I6" s="2320"/>
      <c r="J6" s="2320"/>
      <c r="K6" s="2319" t="s">
        <v>545</v>
      </c>
      <c r="L6" s="2320"/>
      <c r="M6" s="2320"/>
      <c r="N6" s="2320"/>
      <c r="O6" s="2320"/>
      <c r="P6" s="2319" t="s">
        <v>545</v>
      </c>
      <c r="Q6" s="2320"/>
      <c r="R6" s="2320"/>
      <c r="S6" s="2320"/>
      <c r="T6" s="2320"/>
      <c r="U6" s="2319" t="s">
        <v>545</v>
      </c>
      <c r="V6" s="2320"/>
      <c r="W6" s="2320"/>
      <c r="X6" s="2320"/>
      <c r="Y6" s="2320"/>
      <c r="Z6" s="2319" t="s">
        <v>545</v>
      </c>
      <c r="AA6" s="2320"/>
      <c r="AB6" s="2320"/>
      <c r="AC6" s="2320"/>
      <c r="AD6" s="2320"/>
      <c r="AE6" s="2319" t="s">
        <v>545</v>
      </c>
      <c r="AF6" s="2320"/>
      <c r="AG6" s="2320"/>
      <c r="AH6" s="2320"/>
      <c r="AI6" s="2320"/>
      <c r="AJ6" s="2319" t="s">
        <v>545</v>
      </c>
      <c r="AK6" s="2320"/>
      <c r="AL6" s="2320"/>
      <c r="AM6" s="2320"/>
      <c r="AN6" s="2320"/>
      <c r="AO6" s="2319" t="s">
        <v>545</v>
      </c>
      <c r="AP6" s="2320"/>
      <c r="AQ6" s="2320"/>
      <c r="AR6" s="2320"/>
      <c r="AS6" s="2320"/>
      <c r="AT6" s="2319" t="s">
        <v>545</v>
      </c>
      <c r="AU6" s="2320"/>
      <c r="AV6" s="2320"/>
      <c r="AW6" s="2320"/>
      <c r="AX6" s="2320"/>
      <c r="AY6" s="2319" t="s">
        <v>545</v>
      </c>
      <c r="AZ6" s="2320"/>
      <c r="BA6" s="2320"/>
      <c r="BB6" s="2320"/>
      <c r="BC6" s="2321"/>
      <c r="BD6" s="2319" t="s">
        <v>545</v>
      </c>
      <c r="BE6" s="2320"/>
      <c r="BF6" s="2320"/>
      <c r="BG6" s="2320"/>
      <c r="BH6" s="2321"/>
      <c r="BI6" s="2319" t="s">
        <v>545</v>
      </c>
      <c r="BJ6" s="2320"/>
      <c r="BK6" s="2320"/>
      <c r="BL6" s="2320"/>
      <c r="BM6" s="2321"/>
      <c r="BN6" s="2319" t="s">
        <v>545</v>
      </c>
      <c r="BO6" s="2320"/>
      <c r="BP6" s="2320"/>
      <c r="BQ6" s="2320"/>
      <c r="BR6" s="2321"/>
    </row>
    <row r="7" spans="1:83" s="22" customFormat="1" ht="80.099999999999994" customHeight="1" x14ac:dyDescent="1.35">
      <c r="A7" s="2327" t="s">
        <v>137</v>
      </c>
      <c r="B7" s="1921">
        <v>10</v>
      </c>
      <c r="C7" s="1921"/>
      <c r="D7" s="1921"/>
      <c r="E7" s="1921"/>
      <c r="F7" s="2327" t="s">
        <v>137</v>
      </c>
      <c r="G7" s="1921">
        <v>12</v>
      </c>
      <c r="H7" s="1921"/>
      <c r="I7" s="1921"/>
      <c r="J7" s="1921"/>
      <c r="K7" s="2327" t="s">
        <v>137</v>
      </c>
      <c r="L7" s="1921">
        <v>14</v>
      </c>
      <c r="M7" s="1921"/>
      <c r="N7" s="1921"/>
      <c r="O7" s="1921"/>
      <c r="P7" s="2327" t="s">
        <v>137</v>
      </c>
      <c r="Q7" s="1921">
        <v>17</v>
      </c>
      <c r="R7" s="1921"/>
      <c r="S7" s="1921"/>
      <c r="T7" s="1921"/>
      <c r="U7" s="2327" t="s">
        <v>137</v>
      </c>
      <c r="V7" s="1921">
        <v>35</v>
      </c>
      <c r="W7" s="1921"/>
      <c r="X7" s="1921"/>
      <c r="Y7" s="1921"/>
      <c r="Z7" s="2327" t="s">
        <v>137</v>
      </c>
      <c r="AA7" s="1921">
        <v>36</v>
      </c>
      <c r="AB7" s="1921"/>
      <c r="AC7" s="1921"/>
      <c r="AD7" s="1921"/>
      <c r="AE7" s="2327" t="s">
        <v>137</v>
      </c>
      <c r="AF7" s="1921">
        <v>37</v>
      </c>
      <c r="AG7" s="1921"/>
      <c r="AH7" s="1921"/>
      <c r="AI7" s="1921"/>
      <c r="AJ7" s="2327" t="s">
        <v>137</v>
      </c>
      <c r="AK7" s="1921">
        <v>38</v>
      </c>
      <c r="AL7" s="1921"/>
      <c r="AM7" s="1921"/>
      <c r="AN7" s="1921"/>
      <c r="AO7" s="2327" t="s">
        <v>137</v>
      </c>
      <c r="AP7" s="1921">
        <v>39</v>
      </c>
      <c r="AQ7" s="1921"/>
      <c r="AR7" s="1921"/>
      <c r="AS7" s="1921"/>
      <c r="AT7" s="2326" t="s">
        <v>165</v>
      </c>
      <c r="AU7" s="1921">
        <v>32</v>
      </c>
      <c r="AV7" s="1921"/>
      <c r="AW7" s="1921"/>
      <c r="AX7" s="1921"/>
      <c r="AY7" s="2326" t="s">
        <v>165</v>
      </c>
      <c r="AZ7" s="1921">
        <v>33</v>
      </c>
      <c r="BA7" s="1921"/>
      <c r="BB7" s="1921"/>
      <c r="BC7" s="1921"/>
      <c r="BD7" s="2326" t="s">
        <v>165</v>
      </c>
      <c r="BE7" s="1921">
        <v>34</v>
      </c>
      <c r="BF7" s="1921"/>
      <c r="BG7" s="1921"/>
      <c r="BH7" s="1921"/>
      <c r="BI7" s="2138" t="s">
        <v>169</v>
      </c>
      <c r="BJ7" s="1921">
        <v>29</v>
      </c>
      <c r="BK7" s="1921"/>
      <c r="BL7" s="1921"/>
      <c r="BM7" s="1921"/>
      <c r="BN7" s="2138" t="s">
        <v>169</v>
      </c>
      <c r="BO7" s="1921">
        <v>30</v>
      </c>
      <c r="BP7" s="1921"/>
      <c r="BQ7" s="1921"/>
      <c r="BR7" s="1921"/>
    </row>
    <row r="8" spans="1:83" ht="27" customHeight="1" x14ac:dyDescent="0.25">
      <c r="A8" s="2327"/>
      <c r="B8" s="363">
        <v>1E-10</v>
      </c>
      <c r="C8" s="364" t="s">
        <v>113</v>
      </c>
      <c r="D8" s="365">
        <v>1</v>
      </c>
      <c r="E8" s="366" t="s">
        <v>114</v>
      </c>
      <c r="F8" s="2327"/>
      <c r="G8" s="363">
        <v>1.5740000000000001</v>
      </c>
      <c r="H8" s="364" t="s">
        <v>113</v>
      </c>
      <c r="I8" s="365">
        <v>1</v>
      </c>
      <c r="J8" s="366" t="s">
        <v>114</v>
      </c>
      <c r="K8" s="2327"/>
      <c r="L8" s="363">
        <v>9.9999999999999998E-13</v>
      </c>
      <c r="M8" s="364" t="s">
        <v>113</v>
      </c>
      <c r="N8" s="365">
        <v>1</v>
      </c>
      <c r="O8" s="366" t="s">
        <v>114</v>
      </c>
      <c r="P8" s="2327"/>
      <c r="Q8" s="363">
        <v>9.9999999999999998E-17</v>
      </c>
      <c r="R8" s="364" t="s">
        <v>113</v>
      </c>
      <c r="S8" s="365">
        <v>1</v>
      </c>
      <c r="T8" s="366" t="s">
        <v>114</v>
      </c>
      <c r="U8" s="2327"/>
      <c r="V8" s="363">
        <v>0.254</v>
      </c>
      <c r="W8" s="364" t="s">
        <v>113</v>
      </c>
      <c r="X8" s="365"/>
      <c r="Y8" s="366" t="s">
        <v>114</v>
      </c>
      <c r="Z8" s="2327"/>
      <c r="AA8" s="363">
        <v>0.63500000000000001</v>
      </c>
      <c r="AB8" s="364" t="s">
        <v>113</v>
      </c>
      <c r="AC8" s="365">
        <v>1</v>
      </c>
      <c r="AD8" s="366" t="s">
        <v>114</v>
      </c>
      <c r="AE8" s="2327"/>
      <c r="AF8" s="363">
        <v>1.1175999999999999</v>
      </c>
      <c r="AG8" s="364" t="s">
        <v>113</v>
      </c>
      <c r="AH8" s="365"/>
      <c r="AI8" s="366" t="s">
        <v>114</v>
      </c>
      <c r="AJ8" s="2327"/>
      <c r="AK8" s="363">
        <v>0.96519999999999995</v>
      </c>
      <c r="AL8" s="364" t="s">
        <v>113</v>
      </c>
      <c r="AM8" s="365">
        <v>1</v>
      </c>
      <c r="AN8" s="366" t="s">
        <v>114</v>
      </c>
      <c r="AO8" s="2327"/>
      <c r="AP8" s="363">
        <v>0.48259999999999997</v>
      </c>
      <c r="AQ8" s="364" t="s">
        <v>113</v>
      </c>
      <c r="AR8" s="365"/>
      <c r="AS8" s="366" t="s">
        <v>114</v>
      </c>
      <c r="AT8" s="2326"/>
      <c r="AU8" s="363">
        <v>1.7018</v>
      </c>
      <c r="AV8" s="364" t="s">
        <v>113</v>
      </c>
      <c r="AW8" s="365">
        <v>1</v>
      </c>
      <c r="AX8" s="366" t="s">
        <v>114</v>
      </c>
      <c r="AY8" s="2326"/>
      <c r="AZ8" s="363">
        <v>0.15240000000000001</v>
      </c>
      <c r="BA8" s="364" t="s">
        <v>113</v>
      </c>
      <c r="BB8" s="365"/>
      <c r="BC8" s="366" t="s">
        <v>114</v>
      </c>
      <c r="BD8" s="2326"/>
      <c r="BE8" s="363">
        <v>1.0000000000000001E-9</v>
      </c>
      <c r="BF8" s="364" t="s">
        <v>113</v>
      </c>
      <c r="BG8" s="365">
        <v>1</v>
      </c>
      <c r="BH8" s="366" t="s">
        <v>114</v>
      </c>
      <c r="BI8" s="2138"/>
      <c r="BJ8" s="363">
        <v>1.0000000000000001E-18</v>
      </c>
      <c r="BK8" s="364" t="s">
        <v>113</v>
      </c>
      <c r="BL8" s="365"/>
      <c r="BM8" s="366" t="s">
        <v>114</v>
      </c>
      <c r="BN8" s="2138"/>
      <c r="BO8" s="363">
        <v>0.71120000000000005</v>
      </c>
      <c r="BP8" s="364" t="s">
        <v>113</v>
      </c>
      <c r="BQ8" s="365">
        <v>1</v>
      </c>
      <c r="BR8" s="366" t="s">
        <v>114</v>
      </c>
      <c r="BW8" s="27"/>
      <c r="BX8" s="27"/>
      <c r="BY8" s="27"/>
      <c r="BZ8" s="27"/>
      <c r="CA8" s="27"/>
      <c r="CB8" s="27"/>
      <c r="CC8" s="27"/>
      <c r="CD8" s="27"/>
      <c r="CE8" s="27"/>
    </row>
    <row r="9" spans="1:83" ht="15" customHeight="1" x14ac:dyDescent="0.25">
      <c r="A9" s="2137" t="s">
        <v>110</v>
      </c>
      <c r="B9" s="2137"/>
      <c r="C9" s="2136">
        <f>B14/((84*3.1415/59)*(60/3.281))</f>
        <v>1.8632692147366665E-3</v>
      </c>
      <c r="D9" s="2136"/>
      <c r="E9" s="2136"/>
      <c r="F9" s="2324" t="s">
        <v>110</v>
      </c>
      <c r="G9" s="2324"/>
      <c r="H9" s="2325">
        <f>G14/((84*3.1415/59)*(55/3.281))</f>
        <v>1.3337646490598902E-15</v>
      </c>
      <c r="I9" s="2325"/>
      <c r="J9" s="2325"/>
      <c r="K9" s="2324" t="s">
        <v>110</v>
      </c>
      <c r="L9" s="2324"/>
      <c r="M9" s="2325">
        <f t="shared" ref="M9" si="10">L14/((84*3.1415/59)*(55/3.281))</f>
        <v>2.0326573251672727E-3</v>
      </c>
      <c r="N9" s="2325"/>
      <c r="O9" s="2325"/>
      <c r="P9" s="2324" t="s">
        <v>110</v>
      </c>
      <c r="Q9" s="2324"/>
      <c r="R9" s="2325">
        <f t="shared" ref="R9" si="11">Q14/((84*3.1415/59)*(55/3.281))</f>
        <v>5.3523975366773391E-2</v>
      </c>
      <c r="S9" s="2325"/>
      <c r="T9" s="2325"/>
      <c r="U9" s="2324" t="s">
        <v>110</v>
      </c>
      <c r="V9" s="2324"/>
      <c r="W9" s="2325">
        <f t="shared" ref="W9" si="12">V14/((84*3.1415/59)*(55/3.281))</f>
        <v>1.8632692147366663E-2</v>
      </c>
      <c r="X9" s="2325"/>
      <c r="Y9" s="2325"/>
      <c r="Z9" s="2324" t="s">
        <v>110</v>
      </c>
      <c r="AA9" s="2324"/>
      <c r="AB9" s="2325">
        <f t="shared" ref="AB9" si="13">AA14/((84*3.1415/59)*(55/3.281))</f>
        <v>1.3337646490598901E-12</v>
      </c>
      <c r="AC9" s="2325"/>
      <c r="AD9" s="2325"/>
      <c r="AE9" s="2324" t="s">
        <v>110</v>
      </c>
      <c r="AF9" s="2324"/>
      <c r="AG9" s="2325">
        <f t="shared" ref="AG9" si="14">AF14/((84*3.1415/59)*(55/3.281))</f>
        <v>1.3337646490598902E-15</v>
      </c>
      <c r="AH9" s="2325"/>
      <c r="AI9" s="2325"/>
      <c r="AJ9" s="2328" t="s">
        <v>110</v>
      </c>
      <c r="AK9" s="2328"/>
      <c r="AL9" s="2329">
        <f>AK14/((84*3.1415/59)*(50/3.281))</f>
        <v>5.58980764421E-3</v>
      </c>
      <c r="AM9" s="2329"/>
      <c r="AN9" s="2329"/>
      <c r="AO9" s="2328" t="s">
        <v>110</v>
      </c>
      <c r="AP9" s="2328"/>
      <c r="AQ9" s="2329">
        <f t="shared" ref="AQ9" si="15">AP14/((84*3.1415/59)*(50/3.281))</f>
        <v>5.9565929227014701E-3</v>
      </c>
      <c r="AR9" s="2329"/>
      <c r="AS9" s="2329"/>
      <c r="AT9" s="2328" t="s">
        <v>110</v>
      </c>
      <c r="AU9" s="2328"/>
      <c r="AV9" s="2329">
        <f t="shared" ref="AV9" si="16">AU14/((84*3.1415/59)*(50/3.281))</f>
        <v>1.4671411139658791E-22</v>
      </c>
      <c r="AW9" s="2329"/>
      <c r="AX9" s="2329"/>
      <c r="AY9" s="2330" t="s">
        <v>110</v>
      </c>
      <c r="AZ9" s="2330"/>
      <c r="BA9" s="2331">
        <f t="shared" ref="BA9" si="17">AZ14/((84*3.1415/59)*(50/3.281))</f>
        <v>1.467141113965879E-13</v>
      </c>
      <c r="BB9" s="2331"/>
      <c r="BC9" s="2331"/>
      <c r="BD9" s="2330" t="s">
        <v>110</v>
      </c>
      <c r="BE9" s="2330"/>
      <c r="BF9" s="2331">
        <f t="shared" ref="BF9" si="18">BE14/((84*3.1415/59)*(50/3.281))</f>
        <v>1.4671411139658793E-15</v>
      </c>
      <c r="BG9" s="2331"/>
      <c r="BH9" s="2331"/>
      <c r="BI9" s="2330" t="s">
        <v>110</v>
      </c>
      <c r="BJ9" s="2330"/>
      <c r="BK9" s="2331">
        <f t="shared" ref="BK9" si="19">BJ14/((84*3.1415/59)*(50/3.281))</f>
        <v>7.8198621374381359E-3</v>
      </c>
      <c r="BL9" s="2331"/>
      <c r="BM9" s="2331"/>
      <c r="BN9" s="2330" t="s">
        <v>110</v>
      </c>
      <c r="BO9" s="2330"/>
      <c r="BP9" s="2331">
        <f t="shared" ref="BP9" si="20">BO14/((84*3.1415/59)*(50/3.281))</f>
        <v>1.4671411139658793E-12</v>
      </c>
      <c r="BQ9" s="2331"/>
      <c r="BR9" s="2331"/>
    </row>
    <row r="10" spans="1:83" ht="15" customHeight="1" x14ac:dyDescent="0.25">
      <c r="A10" s="2137"/>
      <c r="B10" s="2137"/>
      <c r="C10" s="2136"/>
      <c r="D10" s="2136"/>
      <c r="E10" s="2136"/>
      <c r="F10" s="2324"/>
      <c r="G10" s="2324"/>
      <c r="H10" s="2325"/>
      <c r="I10" s="2325"/>
      <c r="J10" s="2325"/>
      <c r="K10" s="2324"/>
      <c r="L10" s="2324"/>
      <c r="M10" s="2325"/>
      <c r="N10" s="2325"/>
      <c r="O10" s="2325"/>
      <c r="P10" s="2324"/>
      <c r="Q10" s="2324"/>
      <c r="R10" s="2325"/>
      <c r="S10" s="2325"/>
      <c r="T10" s="2325"/>
      <c r="U10" s="2324"/>
      <c r="V10" s="2324"/>
      <c r="W10" s="2325"/>
      <c r="X10" s="2325"/>
      <c r="Y10" s="2325"/>
      <c r="Z10" s="2324"/>
      <c r="AA10" s="2324"/>
      <c r="AB10" s="2325"/>
      <c r="AC10" s="2325"/>
      <c r="AD10" s="2325"/>
      <c r="AE10" s="2324"/>
      <c r="AF10" s="2324"/>
      <c r="AG10" s="2325"/>
      <c r="AH10" s="2325"/>
      <c r="AI10" s="2325"/>
      <c r="AJ10" s="2328"/>
      <c r="AK10" s="2328"/>
      <c r="AL10" s="2329"/>
      <c r="AM10" s="2329"/>
      <c r="AN10" s="2329"/>
      <c r="AO10" s="2328"/>
      <c r="AP10" s="2328"/>
      <c r="AQ10" s="2329"/>
      <c r="AR10" s="2329"/>
      <c r="AS10" s="2329"/>
      <c r="AT10" s="2328"/>
      <c r="AU10" s="2328"/>
      <c r="AV10" s="2329"/>
      <c r="AW10" s="2329"/>
      <c r="AX10" s="2329"/>
      <c r="AY10" s="2330"/>
      <c r="AZ10" s="2330"/>
      <c r="BA10" s="2331"/>
      <c r="BB10" s="2331"/>
      <c r="BC10" s="2331"/>
      <c r="BD10" s="2330"/>
      <c r="BE10" s="2330"/>
      <c r="BF10" s="2331"/>
      <c r="BG10" s="2331"/>
      <c r="BH10" s="2331"/>
      <c r="BI10" s="2330"/>
      <c r="BJ10" s="2330"/>
      <c r="BK10" s="2331"/>
      <c r="BL10" s="2331"/>
      <c r="BM10" s="2331"/>
      <c r="BN10" s="2330"/>
      <c r="BO10" s="2330"/>
      <c r="BP10" s="2331"/>
      <c r="BQ10" s="2331"/>
      <c r="BR10" s="2331"/>
    </row>
    <row r="11" spans="1:83" ht="15" customHeight="1" x14ac:dyDescent="0.25">
      <c r="A11" s="2137"/>
      <c r="B11" s="2137"/>
      <c r="C11" s="2136"/>
      <c r="D11" s="2136"/>
      <c r="E11" s="2136"/>
      <c r="F11" s="2324"/>
      <c r="G11" s="2324"/>
      <c r="H11" s="2325"/>
      <c r="I11" s="2325"/>
      <c r="J11" s="2325"/>
      <c r="K11" s="2324"/>
      <c r="L11" s="2324"/>
      <c r="M11" s="2325"/>
      <c r="N11" s="2325"/>
      <c r="O11" s="2325"/>
      <c r="P11" s="2324"/>
      <c r="Q11" s="2324"/>
      <c r="R11" s="2325"/>
      <c r="S11" s="2325"/>
      <c r="T11" s="2325"/>
      <c r="U11" s="2324"/>
      <c r="V11" s="2324"/>
      <c r="W11" s="2325"/>
      <c r="X11" s="2325"/>
      <c r="Y11" s="2325"/>
      <c r="Z11" s="2324"/>
      <c r="AA11" s="2324"/>
      <c r="AB11" s="2325"/>
      <c r="AC11" s="2325"/>
      <c r="AD11" s="2325"/>
      <c r="AE11" s="2324"/>
      <c r="AF11" s="2324"/>
      <c r="AG11" s="2325"/>
      <c r="AH11" s="2325"/>
      <c r="AI11" s="2325"/>
      <c r="AJ11" s="2328"/>
      <c r="AK11" s="2328"/>
      <c r="AL11" s="2329"/>
      <c r="AM11" s="2329"/>
      <c r="AN11" s="2329"/>
      <c r="AO11" s="2328"/>
      <c r="AP11" s="2328"/>
      <c r="AQ11" s="2329"/>
      <c r="AR11" s="2329"/>
      <c r="AS11" s="2329"/>
      <c r="AT11" s="2328"/>
      <c r="AU11" s="2328"/>
      <c r="AV11" s="2329"/>
      <c r="AW11" s="2329"/>
      <c r="AX11" s="2329"/>
      <c r="AY11" s="2330"/>
      <c r="AZ11" s="2330"/>
      <c r="BA11" s="2331"/>
      <c r="BB11" s="2331"/>
      <c r="BC11" s="2331"/>
      <c r="BD11" s="2330"/>
      <c r="BE11" s="2330"/>
      <c r="BF11" s="2331"/>
      <c r="BG11" s="2331"/>
      <c r="BH11" s="2331"/>
      <c r="BI11" s="2330"/>
      <c r="BJ11" s="2330"/>
      <c r="BK11" s="2331"/>
      <c r="BL11" s="2331"/>
      <c r="BM11" s="2331"/>
      <c r="BN11" s="2330"/>
      <c r="BO11" s="2330"/>
      <c r="BP11" s="2331"/>
      <c r="BQ11" s="2331"/>
      <c r="BR11" s="2331"/>
    </row>
    <row r="12" spans="1:83" ht="24.95" customHeight="1" x14ac:dyDescent="0.25">
      <c r="A12" s="2319" t="s">
        <v>545</v>
      </c>
      <c r="B12" s="2320"/>
      <c r="C12" s="2320"/>
      <c r="D12" s="2320"/>
      <c r="E12" s="2321"/>
      <c r="F12" s="2319" t="s">
        <v>545</v>
      </c>
      <c r="G12" s="2320"/>
      <c r="H12" s="2320"/>
      <c r="I12" s="2320"/>
      <c r="J12" s="2320"/>
      <c r="K12" s="2319" t="s">
        <v>545</v>
      </c>
      <c r="L12" s="2320"/>
      <c r="M12" s="2320"/>
      <c r="N12" s="2320"/>
      <c r="O12" s="2320"/>
      <c r="P12" s="2319" t="s">
        <v>545</v>
      </c>
      <c r="Q12" s="2320"/>
      <c r="R12" s="2320"/>
      <c r="S12" s="2320"/>
      <c r="T12" s="2320"/>
      <c r="U12" s="2319" t="s">
        <v>545</v>
      </c>
      <c r="V12" s="2320"/>
      <c r="W12" s="2320"/>
      <c r="X12" s="2320"/>
      <c r="Y12" s="2320"/>
      <c r="Z12" s="2319" t="s">
        <v>545</v>
      </c>
      <c r="AA12" s="2320"/>
      <c r="AB12" s="2320"/>
      <c r="AC12" s="2320"/>
      <c r="AD12" s="2321"/>
      <c r="AE12" s="2319" t="s">
        <v>545</v>
      </c>
      <c r="AF12" s="2320"/>
      <c r="AG12" s="2320"/>
      <c r="AH12" s="2320"/>
      <c r="AI12" s="2321"/>
      <c r="AJ12" s="2319" t="s">
        <v>545</v>
      </c>
      <c r="AK12" s="2320"/>
      <c r="AL12" s="2320"/>
      <c r="AM12" s="2320"/>
      <c r="AN12" s="2320"/>
      <c r="AO12" s="2319" t="s">
        <v>545</v>
      </c>
      <c r="AP12" s="2320"/>
      <c r="AQ12" s="2320"/>
      <c r="AR12" s="2320"/>
      <c r="AS12" s="2320"/>
      <c r="AT12" s="2319" t="s">
        <v>545</v>
      </c>
      <c r="AU12" s="2320"/>
      <c r="AV12" s="2320"/>
      <c r="AW12" s="2320"/>
      <c r="AX12" s="2321"/>
      <c r="AY12" s="2319" t="s">
        <v>545</v>
      </c>
      <c r="AZ12" s="2320"/>
      <c r="BA12" s="2320"/>
      <c r="BB12" s="2320"/>
      <c r="BC12" s="2320"/>
      <c r="BD12" s="2319" t="s">
        <v>545</v>
      </c>
      <c r="BE12" s="2320"/>
      <c r="BF12" s="2320"/>
      <c r="BG12" s="2320"/>
      <c r="BH12" s="2321"/>
      <c r="BI12" s="2337" t="s">
        <v>544</v>
      </c>
      <c r="BJ12" s="2338"/>
      <c r="BK12" s="2338"/>
      <c r="BL12" s="2338"/>
      <c r="BM12" s="2339"/>
      <c r="BN12" s="2337" t="s">
        <v>544</v>
      </c>
      <c r="BO12" s="2338"/>
      <c r="BP12" s="2338"/>
      <c r="BQ12" s="2338"/>
      <c r="BR12" s="2339"/>
    </row>
    <row r="13" spans="1:83" s="22" customFormat="1" ht="80.099999999999994" customHeight="1" x14ac:dyDescent="1.35">
      <c r="A13" s="2138" t="s">
        <v>169</v>
      </c>
      <c r="B13" s="1921">
        <v>31</v>
      </c>
      <c r="C13" s="1921"/>
      <c r="D13" s="1921"/>
      <c r="E13" s="1921"/>
      <c r="F13" s="2334" t="s">
        <v>492</v>
      </c>
      <c r="G13" s="1921">
        <v>3</v>
      </c>
      <c r="H13" s="1921"/>
      <c r="I13" s="1921"/>
      <c r="J13" s="1921"/>
      <c r="K13" s="2334" t="s">
        <v>492</v>
      </c>
      <c r="L13" s="1921">
        <v>8</v>
      </c>
      <c r="M13" s="1921"/>
      <c r="N13" s="1921"/>
      <c r="O13" s="1921"/>
      <c r="P13" s="2334" t="s">
        <v>492</v>
      </c>
      <c r="Q13" s="1921">
        <v>9</v>
      </c>
      <c r="R13" s="1921"/>
      <c r="S13" s="1921"/>
      <c r="T13" s="1921"/>
      <c r="U13" s="2334" t="s">
        <v>492</v>
      </c>
      <c r="V13" s="1921">
        <v>22</v>
      </c>
      <c r="W13" s="1921"/>
      <c r="X13" s="1921"/>
      <c r="Y13" s="1921"/>
      <c r="Z13" s="2334" t="s">
        <v>492</v>
      </c>
      <c r="AA13" s="1921">
        <v>27</v>
      </c>
      <c r="AB13" s="1921"/>
      <c r="AC13" s="1921"/>
      <c r="AD13" s="1921"/>
      <c r="AE13" s="2334" t="s">
        <v>492</v>
      </c>
      <c r="AF13" s="1921">
        <v>28</v>
      </c>
      <c r="AG13" s="1921"/>
      <c r="AH13" s="1921"/>
      <c r="AI13" s="1921"/>
      <c r="AJ13" s="2332" t="s">
        <v>131</v>
      </c>
      <c r="AK13" s="1921">
        <v>11</v>
      </c>
      <c r="AL13" s="1921"/>
      <c r="AM13" s="1921"/>
      <c r="AN13" s="1921"/>
      <c r="AO13" s="2332" t="s">
        <v>131</v>
      </c>
      <c r="AP13" s="1921">
        <v>13</v>
      </c>
      <c r="AQ13" s="1921"/>
      <c r="AR13" s="1921"/>
      <c r="AS13" s="1921"/>
      <c r="AT13" s="2332" t="s">
        <v>131</v>
      </c>
      <c r="AU13" s="1921">
        <v>15</v>
      </c>
      <c r="AV13" s="1921"/>
      <c r="AW13" s="1921"/>
      <c r="AX13" s="1921"/>
      <c r="AY13" s="2340" t="s">
        <v>491</v>
      </c>
      <c r="AZ13" s="1921">
        <v>1</v>
      </c>
      <c r="BA13" s="1921"/>
      <c r="BB13" s="1921"/>
      <c r="BC13" s="1921"/>
      <c r="BD13" s="2340" t="s">
        <v>491</v>
      </c>
      <c r="BE13" s="1921">
        <v>2</v>
      </c>
      <c r="BF13" s="1921"/>
      <c r="BG13" s="1921"/>
      <c r="BH13" s="1921"/>
      <c r="BI13" s="2340" t="s">
        <v>491</v>
      </c>
      <c r="BJ13" s="1921">
        <v>4</v>
      </c>
      <c r="BK13" s="1921"/>
      <c r="BL13" s="1921"/>
      <c r="BM13" s="1921"/>
      <c r="BN13" s="2340" t="s">
        <v>491</v>
      </c>
      <c r="BO13" s="1921">
        <v>5</v>
      </c>
      <c r="BP13" s="1921"/>
      <c r="BQ13" s="1921"/>
      <c r="BR13" s="1921"/>
    </row>
    <row r="14" spans="1:83" ht="27" customHeight="1" x14ac:dyDescent="0.25">
      <c r="A14" s="2138"/>
      <c r="B14" s="363">
        <v>0.15240000000000001</v>
      </c>
      <c r="C14" s="364" t="s">
        <v>113</v>
      </c>
      <c r="D14" s="365"/>
      <c r="E14" s="366" t="s">
        <v>114</v>
      </c>
      <c r="F14" s="2334"/>
      <c r="G14" s="363">
        <v>1E-13</v>
      </c>
      <c r="H14" s="364" t="s">
        <v>113</v>
      </c>
      <c r="I14" s="365">
        <v>1</v>
      </c>
      <c r="J14" s="366" t="s">
        <v>114</v>
      </c>
      <c r="K14" s="2335"/>
      <c r="L14" s="401">
        <v>0.15240000000000001</v>
      </c>
      <c r="M14" s="402" t="s">
        <v>113</v>
      </c>
      <c r="N14" s="403"/>
      <c r="O14" s="404" t="s">
        <v>114</v>
      </c>
      <c r="P14" s="2335"/>
      <c r="Q14" s="401">
        <v>4.0129999999999999</v>
      </c>
      <c r="R14" s="402" t="s">
        <v>113</v>
      </c>
      <c r="S14" s="403">
        <v>1</v>
      </c>
      <c r="T14" s="404" t="s">
        <v>114</v>
      </c>
      <c r="U14" s="2335"/>
      <c r="V14" s="401">
        <v>1.397</v>
      </c>
      <c r="W14" s="402" t="s">
        <v>113</v>
      </c>
      <c r="X14" s="403">
        <v>1</v>
      </c>
      <c r="Y14" s="404" t="s">
        <v>114</v>
      </c>
      <c r="Z14" s="2335"/>
      <c r="AA14" s="401">
        <v>1E-10</v>
      </c>
      <c r="AB14" s="402" t="s">
        <v>113</v>
      </c>
      <c r="AC14" s="403"/>
      <c r="AD14" s="404" t="s">
        <v>114</v>
      </c>
      <c r="AE14" s="2335"/>
      <c r="AF14" s="401">
        <v>1E-13</v>
      </c>
      <c r="AG14" s="402" t="s">
        <v>113</v>
      </c>
      <c r="AH14" s="403">
        <v>1</v>
      </c>
      <c r="AI14" s="404" t="s">
        <v>114</v>
      </c>
      <c r="AJ14" s="2333"/>
      <c r="AK14" s="401">
        <v>0.38100000000000001</v>
      </c>
      <c r="AL14" s="402" t="s">
        <v>113</v>
      </c>
      <c r="AM14" s="403"/>
      <c r="AN14" s="404" t="s">
        <v>114</v>
      </c>
      <c r="AO14" s="2333"/>
      <c r="AP14" s="401">
        <v>0.40600000000000003</v>
      </c>
      <c r="AQ14" s="402" t="s">
        <v>113</v>
      </c>
      <c r="AR14" s="403"/>
      <c r="AS14" s="404" t="s">
        <v>114</v>
      </c>
      <c r="AT14" s="2333"/>
      <c r="AU14" s="401">
        <v>9.9999999999999995E-21</v>
      </c>
      <c r="AV14" s="402" t="s">
        <v>113</v>
      </c>
      <c r="AW14" s="403"/>
      <c r="AX14" s="404" t="s">
        <v>114</v>
      </c>
      <c r="AY14" s="2341"/>
      <c r="AZ14" s="401">
        <v>9.9999999999999994E-12</v>
      </c>
      <c r="BA14" s="402" t="s">
        <v>113</v>
      </c>
      <c r="BB14" s="403"/>
      <c r="BC14" s="404" t="s">
        <v>114</v>
      </c>
      <c r="BD14" s="2340"/>
      <c r="BE14" s="363">
        <v>1E-13</v>
      </c>
      <c r="BF14" s="364" t="s">
        <v>113</v>
      </c>
      <c r="BG14" s="365"/>
      <c r="BH14" s="366" t="s">
        <v>114</v>
      </c>
      <c r="BI14" s="2340"/>
      <c r="BJ14" s="363">
        <v>0.53300000000000003</v>
      </c>
      <c r="BK14" s="364" t="s">
        <v>113</v>
      </c>
      <c r="BL14" s="365"/>
      <c r="BM14" s="366" t="s">
        <v>114</v>
      </c>
      <c r="BN14" s="2340"/>
      <c r="BO14" s="363">
        <v>1E-10</v>
      </c>
      <c r="BP14" s="364" t="s">
        <v>113</v>
      </c>
      <c r="BQ14" s="365"/>
      <c r="BR14" s="366" t="s">
        <v>114</v>
      </c>
      <c r="BW14" s="27"/>
      <c r="BX14" s="27"/>
      <c r="BY14" s="27"/>
      <c r="BZ14" s="27"/>
      <c r="CA14" s="27"/>
      <c r="CB14" s="27"/>
      <c r="CC14" s="27"/>
      <c r="CD14" s="27"/>
      <c r="CE14" s="27"/>
    </row>
    <row r="15" spans="1:83" ht="15" customHeight="1" x14ac:dyDescent="0.25">
      <c r="A15" s="2330" t="s">
        <v>110</v>
      </c>
      <c r="B15" s="2330"/>
      <c r="C15" s="2331">
        <f t="shared" ref="C15" si="21">B20/((84*3.1415/59)*(50/3.281))</f>
        <v>4.8415656760874013E-3</v>
      </c>
      <c r="D15" s="2331"/>
      <c r="E15" s="2331"/>
      <c r="F15" s="2330" t="s">
        <v>110</v>
      </c>
      <c r="G15" s="2330"/>
      <c r="H15" s="2331">
        <f t="shared" ref="H15" si="22">G20/((84*3.1415/59)*(50/3.281))</f>
        <v>1.4671411139658793E-14</v>
      </c>
      <c r="I15" s="2331"/>
      <c r="J15" s="2342"/>
      <c r="K15" s="2330" t="s">
        <v>110</v>
      </c>
      <c r="L15" s="2330"/>
      <c r="M15" s="2331">
        <f t="shared" ref="M15" si="23">L20/((84*3.1415/59)*(50/3.281))</f>
        <v>1.4671411139658793E-24</v>
      </c>
      <c r="N15" s="2331"/>
      <c r="O15" s="2331"/>
      <c r="P15" s="2330" t="s">
        <v>110</v>
      </c>
      <c r="Q15" s="2330"/>
      <c r="R15" s="2331">
        <f t="shared" ref="R15" si="24">Q20/((84*3.1415/59)*(50/3.281))</f>
        <v>1.4671411139658793E-19</v>
      </c>
      <c r="S15" s="2331"/>
      <c r="T15" s="2331"/>
      <c r="U15" s="2330" t="s">
        <v>110</v>
      </c>
      <c r="V15" s="2330"/>
      <c r="W15" s="2331">
        <f t="shared" ref="W15" si="25">V20/((84*3.1415/59)*(50/3.281))</f>
        <v>1.117961528842E-2</v>
      </c>
      <c r="X15" s="2331"/>
      <c r="Y15" s="2331"/>
      <c r="Z15" s="2330" t="s">
        <v>110</v>
      </c>
      <c r="AA15" s="2330"/>
      <c r="AB15" s="2331">
        <f t="shared" ref="AB15" si="26">AA20/((84*3.1415/59)*(50/3.281))</f>
        <v>2.2359230576839998E-3</v>
      </c>
      <c r="AC15" s="2331"/>
      <c r="AD15" s="2331"/>
      <c r="AE15" s="2330" t="s">
        <v>110</v>
      </c>
      <c r="AF15" s="2330"/>
      <c r="AG15" s="2331">
        <f t="shared" ref="AG15" si="27">AF20/((84*3.1415/59)*(50/3.281))</f>
        <v>2.2359230576839998E-3</v>
      </c>
      <c r="AH15" s="2331"/>
      <c r="AI15" s="2331"/>
      <c r="AJ15" s="2330" t="s">
        <v>110</v>
      </c>
      <c r="AK15" s="2330"/>
      <c r="AL15" s="2331">
        <f t="shared" ref="AL15" si="28">AK20/((84*3.1415/59)*(50/3.281))</f>
        <v>1.4671411139658793E-12</v>
      </c>
      <c r="AM15" s="2331"/>
      <c r="AN15" s="2331"/>
      <c r="AO15" s="2330" t="s">
        <v>110</v>
      </c>
      <c r="AP15" s="2330"/>
      <c r="AQ15" s="2331">
        <f t="shared" ref="AQ15" si="29">AP20/((84*3.1415/59)*(50/3.281))</f>
        <v>5.2083509545788713E-3</v>
      </c>
      <c r="AR15" s="2331"/>
      <c r="AS15" s="2331"/>
      <c r="AT15" s="2330" t="s">
        <v>110</v>
      </c>
      <c r="AU15" s="2330"/>
      <c r="AV15" s="2331">
        <f t="shared" ref="AV15" si="30">AU20/((84*3.1415/59)*(50/3.281))</f>
        <v>1.4671411139658793E-15</v>
      </c>
      <c r="AW15" s="2331"/>
      <c r="AX15" s="2331"/>
      <c r="AY15" s="2330" t="s">
        <v>110</v>
      </c>
      <c r="AZ15" s="2330"/>
      <c r="BA15" s="2331">
        <f t="shared" ref="BA15" si="31">AZ20/((84*3.1415/59)*(50/3.281))</f>
        <v>1.4671411139658793E-11</v>
      </c>
      <c r="BB15" s="2331"/>
      <c r="BC15" s="2331"/>
      <c r="BD15" s="121"/>
      <c r="BE15" s="121"/>
      <c r="BF15" s="121"/>
      <c r="BG15" s="121"/>
      <c r="BH15" s="31"/>
      <c r="BI15" s="121"/>
      <c r="BJ15" s="121"/>
      <c r="BK15" s="121"/>
      <c r="BL15" s="121"/>
      <c r="BM15" s="121"/>
      <c r="BN15" s="31"/>
      <c r="BO15" s="121"/>
      <c r="BP15" s="121"/>
      <c r="BQ15" s="121"/>
      <c r="BR15" s="121"/>
    </row>
    <row r="16" spans="1:83" ht="15" customHeight="1" x14ac:dyDescent="0.25">
      <c r="A16" s="2330"/>
      <c r="B16" s="2330"/>
      <c r="C16" s="2331"/>
      <c r="D16" s="2331"/>
      <c r="E16" s="2331"/>
      <c r="F16" s="2330"/>
      <c r="G16" s="2330"/>
      <c r="H16" s="2331"/>
      <c r="I16" s="2331"/>
      <c r="J16" s="2342"/>
      <c r="K16" s="2330"/>
      <c r="L16" s="2330"/>
      <c r="M16" s="2331"/>
      <c r="N16" s="2331"/>
      <c r="O16" s="2331"/>
      <c r="P16" s="2330"/>
      <c r="Q16" s="2330"/>
      <c r="R16" s="2331"/>
      <c r="S16" s="2331"/>
      <c r="T16" s="2331"/>
      <c r="U16" s="2330"/>
      <c r="V16" s="2330"/>
      <c r="W16" s="2331"/>
      <c r="X16" s="2331"/>
      <c r="Y16" s="2331"/>
      <c r="Z16" s="2330"/>
      <c r="AA16" s="2330"/>
      <c r="AB16" s="2331"/>
      <c r="AC16" s="2331"/>
      <c r="AD16" s="2331"/>
      <c r="AE16" s="2330"/>
      <c r="AF16" s="2330"/>
      <c r="AG16" s="2331"/>
      <c r="AH16" s="2331"/>
      <c r="AI16" s="2331"/>
      <c r="AJ16" s="2330"/>
      <c r="AK16" s="2330"/>
      <c r="AL16" s="2331"/>
      <c r="AM16" s="2331"/>
      <c r="AN16" s="2331"/>
      <c r="AO16" s="2330"/>
      <c r="AP16" s="2330"/>
      <c r="AQ16" s="2331"/>
      <c r="AR16" s="2331"/>
      <c r="AS16" s="2331"/>
      <c r="AT16" s="2330"/>
      <c r="AU16" s="2330"/>
      <c r="AV16" s="2331"/>
      <c r="AW16" s="2331"/>
      <c r="AX16" s="2331"/>
      <c r="AY16" s="2330"/>
      <c r="AZ16" s="2330"/>
      <c r="BA16" s="2331"/>
      <c r="BB16" s="2331"/>
      <c r="BC16" s="2331"/>
      <c r="BD16" s="34"/>
      <c r="BE16" s="34"/>
      <c r="BF16" s="35"/>
      <c r="BG16" s="31"/>
      <c r="BH16" s="32"/>
      <c r="BI16" s="33"/>
      <c r="BJ16" s="34"/>
      <c r="BK16" s="34"/>
      <c r="BL16" s="35"/>
      <c r="BM16" s="31"/>
      <c r="BN16" s="32"/>
      <c r="BO16" s="33"/>
      <c r="BP16" s="34"/>
      <c r="BQ16" s="34"/>
      <c r="BR16" s="35"/>
    </row>
    <row r="17" spans="1:83" ht="15" customHeight="1" x14ac:dyDescent="0.25">
      <c r="A17" s="2330"/>
      <c r="B17" s="2330"/>
      <c r="C17" s="2331"/>
      <c r="D17" s="2331"/>
      <c r="E17" s="2331"/>
      <c r="F17" s="2330"/>
      <c r="G17" s="2330"/>
      <c r="H17" s="2331"/>
      <c r="I17" s="2331"/>
      <c r="J17" s="2342"/>
      <c r="K17" s="2330"/>
      <c r="L17" s="2330"/>
      <c r="M17" s="2331"/>
      <c r="N17" s="2331"/>
      <c r="O17" s="2331"/>
      <c r="P17" s="2330"/>
      <c r="Q17" s="2330"/>
      <c r="R17" s="2331"/>
      <c r="S17" s="2331"/>
      <c r="T17" s="2331"/>
      <c r="U17" s="2330"/>
      <c r="V17" s="2330"/>
      <c r="W17" s="2331"/>
      <c r="X17" s="2331"/>
      <c r="Y17" s="2331"/>
      <c r="Z17" s="2330"/>
      <c r="AA17" s="2330"/>
      <c r="AB17" s="2331"/>
      <c r="AC17" s="2331"/>
      <c r="AD17" s="2331"/>
      <c r="AE17" s="2330"/>
      <c r="AF17" s="2330"/>
      <c r="AG17" s="2331"/>
      <c r="AH17" s="2331"/>
      <c r="AI17" s="2331"/>
      <c r="AJ17" s="2330"/>
      <c r="AK17" s="2330"/>
      <c r="AL17" s="2331"/>
      <c r="AM17" s="2331"/>
      <c r="AN17" s="2331"/>
      <c r="AO17" s="2330"/>
      <c r="AP17" s="2330"/>
      <c r="AQ17" s="2331"/>
      <c r="AR17" s="2331"/>
      <c r="AS17" s="2331"/>
      <c r="AT17" s="2330"/>
      <c r="AU17" s="2330"/>
      <c r="AV17" s="2331"/>
      <c r="AW17" s="2331"/>
      <c r="AX17" s="2331"/>
      <c r="AY17" s="2330"/>
      <c r="AZ17" s="2330"/>
      <c r="BA17" s="2331"/>
      <c r="BB17" s="2331"/>
      <c r="BC17" s="2331"/>
      <c r="BD17" s="34"/>
      <c r="BE17" s="34"/>
      <c r="BF17" s="35"/>
      <c r="BG17" s="31"/>
      <c r="BH17" s="32"/>
      <c r="BI17" s="33"/>
      <c r="BJ17" s="34"/>
      <c r="BK17" s="34"/>
      <c r="BL17" s="35"/>
      <c r="BM17" s="31"/>
      <c r="BN17" s="32"/>
      <c r="BO17" s="33"/>
      <c r="BP17" s="34"/>
      <c r="BQ17" s="34"/>
      <c r="BR17" s="35"/>
    </row>
    <row r="18" spans="1:83" ht="24.95" customHeight="1" x14ac:dyDescent="0.25">
      <c r="A18" s="2337" t="s">
        <v>544</v>
      </c>
      <c r="B18" s="2338"/>
      <c r="C18" s="2338"/>
      <c r="D18" s="2338"/>
      <c r="E18" s="2339"/>
      <c r="F18" s="2319" t="s">
        <v>545</v>
      </c>
      <c r="G18" s="2320"/>
      <c r="H18" s="2320"/>
      <c r="I18" s="2320"/>
      <c r="J18" s="2320"/>
      <c r="K18" s="2319" t="s">
        <v>545</v>
      </c>
      <c r="L18" s="2320"/>
      <c r="M18" s="2320"/>
      <c r="N18" s="2320"/>
      <c r="O18" s="2321"/>
      <c r="P18" s="2337" t="s">
        <v>544</v>
      </c>
      <c r="Q18" s="2338"/>
      <c r="R18" s="2338"/>
      <c r="S18" s="2338"/>
      <c r="T18" s="2339"/>
      <c r="U18" s="2319" t="s">
        <v>545</v>
      </c>
      <c r="V18" s="2320"/>
      <c r="W18" s="2320"/>
      <c r="X18" s="2320"/>
      <c r="Y18" s="2321"/>
      <c r="Z18" s="2319" t="s">
        <v>545</v>
      </c>
      <c r="AA18" s="2320"/>
      <c r="AB18" s="2320"/>
      <c r="AC18" s="2320"/>
      <c r="AD18" s="2320"/>
      <c r="AE18" s="2319" t="s">
        <v>545</v>
      </c>
      <c r="AF18" s="2320"/>
      <c r="AG18" s="2320"/>
      <c r="AH18" s="2320"/>
      <c r="AI18" s="2320"/>
      <c r="AJ18" s="2337" t="s">
        <v>544</v>
      </c>
      <c r="AK18" s="2338"/>
      <c r="AL18" s="2338"/>
      <c r="AM18" s="2338"/>
      <c r="AN18" s="2339"/>
      <c r="AO18" s="2319" t="s">
        <v>545</v>
      </c>
      <c r="AP18" s="2320"/>
      <c r="AQ18" s="2320"/>
      <c r="AR18" s="2320"/>
      <c r="AS18" s="2320"/>
      <c r="AT18" s="2337" t="s">
        <v>544</v>
      </c>
      <c r="AU18" s="2338"/>
      <c r="AV18" s="2338"/>
      <c r="AW18" s="2338"/>
      <c r="AX18" s="2339"/>
      <c r="AY18" s="2319" t="s">
        <v>545</v>
      </c>
      <c r="AZ18" s="2320"/>
      <c r="BA18" s="2320"/>
      <c r="BB18" s="2320"/>
      <c r="BC18" s="2321"/>
      <c r="BD18" s="121"/>
      <c r="BE18" s="121"/>
      <c r="BF18" s="121"/>
      <c r="BG18" s="121"/>
      <c r="BH18" s="31"/>
      <c r="BI18" s="121"/>
      <c r="BJ18" s="121"/>
      <c r="BK18" s="121"/>
      <c r="BL18" s="121"/>
      <c r="BM18" s="121"/>
      <c r="BN18" s="31"/>
      <c r="BO18" s="121"/>
      <c r="BP18" s="121"/>
      <c r="BQ18" s="121"/>
      <c r="BR18" s="121"/>
    </row>
    <row r="19" spans="1:83" s="22" customFormat="1" ht="80.099999999999994" customHeight="1" x14ac:dyDescent="1.35">
      <c r="A19" s="2340" t="s">
        <v>491</v>
      </c>
      <c r="B19" s="1921">
        <v>6</v>
      </c>
      <c r="C19" s="1921"/>
      <c r="D19" s="1921"/>
      <c r="E19" s="1921"/>
      <c r="F19" s="2340" t="s">
        <v>491</v>
      </c>
      <c r="G19" s="1921">
        <v>7</v>
      </c>
      <c r="H19" s="1921"/>
      <c r="I19" s="1921"/>
      <c r="J19" s="2343"/>
      <c r="K19" s="2340" t="s">
        <v>491</v>
      </c>
      <c r="L19" s="1921">
        <v>16</v>
      </c>
      <c r="M19" s="1921"/>
      <c r="N19" s="1921"/>
      <c r="O19" s="1921"/>
      <c r="P19" s="2340" t="s">
        <v>491</v>
      </c>
      <c r="Q19" s="1921">
        <v>18</v>
      </c>
      <c r="R19" s="1921"/>
      <c r="S19" s="1921"/>
      <c r="T19" s="1921"/>
      <c r="U19" s="2340" t="s">
        <v>491</v>
      </c>
      <c r="V19" s="1921">
        <v>19</v>
      </c>
      <c r="W19" s="1921"/>
      <c r="X19" s="1921"/>
      <c r="Y19" s="1921"/>
      <c r="Z19" s="2340" t="s">
        <v>491</v>
      </c>
      <c r="AA19" s="1921">
        <v>20</v>
      </c>
      <c r="AB19" s="1921"/>
      <c r="AC19" s="1921"/>
      <c r="AD19" s="1921"/>
      <c r="AE19" s="2340" t="s">
        <v>491</v>
      </c>
      <c r="AF19" s="1921">
        <v>21</v>
      </c>
      <c r="AG19" s="1921"/>
      <c r="AH19" s="1921"/>
      <c r="AI19" s="1921"/>
      <c r="AJ19" s="2340" t="s">
        <v>491</v>
      </c>
      <c r="AK19" s="1921">
        <v>23</v>
      </c>
      <c r="AL19" s="1921"/>
      <c r="AM19" s="1921"/>
      <c r="AN19" s="1921"/>
      <c r="AO19" s="2340" t="s">
        <v>491</v>
      </c>
      <c r="AP19" s="1921">
        <v>24</v>
      </c>
      <c r="AQ19" s="1921"/>
      <c r="AR19" s="1921"/>
      <c r="AS19" s="1921"/>
      <c r="AT19" s="2340" t="s">
        <v>491</v>
      </c>
      <c r="AU19" s="1921">
        <v>25</v>
      </c>
      <c r="AV19" s="1921"/>
      <c r="AW19" s="1921"/>
      <c r="AX19" s="1921"/>
      <c r="AY19" s="2340" t="s">
        <v>491</v>
      </c>
      <c r="AZ19" s="1921">
        <v>26</v>
      </c>
      <c r="BA19" s="1921"/>
      <c r="BB19" s="1921"/>
      <c r="BC19" s="1921"/>
      <c r="BD19" s="34"/>
      <c r="BE19" s="34"/>
      <c r="BF19" s="35"/>
      <c r="BG19" s="31"/>
      <c r="BH19" s="32"/>
      <c r="BI19" s="33"/>
      <c r="BJ19" s="34"/>
      <c r="BK19" s="34"/>
      <c r="BL19" s="35"/>
      <c r="BM19" s="31"/>
      <c r="BN19" s="32"/>
      <c r="BO19" s="33"/>
      <c r="BP19" s="34"/>
      <c r="BQ19" s="34"/>
      <c r="BR19" s="35"/>
    </row>
    <row r="20" spans="1:83" ht="26.25" x14ac:dyDescent="0.25">
      <c r="A20" s="2340"/>
      <c r="B20" s="363">
        <v>0.33</v>
      </c>
      <c r="C20" s="364" t="s">
        <v>113</v>
      </c>
      <c r="D20" s="365">
        <v>1</v>
      </c>
      <c r="E20" s="366" t="s">
        <v>114</v>
      </c>
      <c r="F20" s="2340"/>
      <c r="G20" s="363">
        <v>9.9999999999999998E-13</v>
      </c>
      <c r="H20" s="364" t="s">
        <v>113</v>
      </c>
      <c r="I20" s="365"/>
      <c r="J20" s="400" t="s">
        <v>114</v>
      </c>
      <c r="K20" s="2340"/>
      <c r="L20" s="363">
        <v>1E-22</v>
      </c>
      <c r="M20" s="364" t="s">
        <v>113</v>
      </c>
      <c r="N20" s="365"/>
      <c r="O20" s="366" t="s">
        <v>114</v>
      </c>
      <c r="P20" s="2340"/>
      <c r="Q20" s="363">
        <v>1.0000000000000001E-17</v>
      </c>
      <c r="R20" s="364" t="s">
        <v>113</v>
      </c>
      <c r="S20" s="365"/>
      <c r="T20" s="366" t="s">
        <v>114</v>
      </c>
      <c r="U20" s="2340"/>
      <c r="V20" s="363">
        <v>0.76200000000000001</v>
      </c>
      <c r="W20" s="364" t="s">
        <v>113</v>
      </c>
      <c r="X20" s="365">
        <v>1</v>
      </c>
      <c r="Y20" s="366" t="s">
        <v>114</v>
      </c>
      <c r="Z20" s="2340"/>
      <c r="AA20" s="363">
        <v>0.15240000000000001</v>
      </c>
      <c r="AB20" s="364" t="s">
        <v>113</v>
      </c>
      <c r="AC20" s="365"/>
      <c r="AD20" s="366" t="s">
        <v>114</v>
      </c>
      <c r="AE20" s="2340"/>
      <c r="AF20" s="363">
        <v>0.15240000000000001</v>
      </c>
      <c r="AG20" s="364" t="s">
        <v>113</v>
      </c>
      <c r="AH20" s="365"/>
      <c r="AI20" s="366" t="s">
        <v>114</v>
      </c>
      <c r="AJ20" s="2340"/>
      <c r="AK20" s="363">
        <v>1E-10</v>
      </c>
      <c r="AL20" s="364" t="s">
        <v>113</v>
      </c>
      <c r="AM20" s="365"/>
      <c r="AN20" s="366" t="s">
        <v>114</v>
      </c>
      <c r="AO20" s="2340"/>
      <c r="AP20" s="363">
        <v>0.35499999999999998</v>
      </c>
      <c r="AQ20" s="364" t="s">
        <v>113</v>
      </c>
      <c r="AR20" s="365"/>
      <c r="AS20" s="366" t="s">
        <v>114</v>
      </c>
      <c r="AT20" s="2340"/>
      <c r="AU20" s="363">
        <v>1E-13</v>
      </c>
      <c r="AV20" s="364" t="s">
        <v>113</v>
      </c>
      <c r="AW20" s="365">
        <v>1</v>
      </c>
      <c r="AX20" s="366" t="s">
        <v>114</v>
      </c>
      <c r="AY20" s="2340"/>
      <c r="AZ20" s="363">
        <v>1.0000000000000001E-9</v>
      </c>
      <c r="BA20" s="364" t="s">
        <v>113</v>
      </c>
      <c r="BB20" s="365"/>
      <c r="BC20" s="366" t="s">
        <v>114</v>
      </c>
      <c r="BD20" s="34"/>
      <c r="BE20" s="34"/>
      <c r="BF20" s="35"/>
      <c r="BG20" s="31"/>
      <c r="BH20" s="32"/>
      <c r="BI20" s="33"/>
      <c r="BJ20" s="34"/>
      <c r="BK20" s="34"/>
      <c r="BL20" s="35"/>
      <c r="BM20" s="31"/>
      <c r="BN20" s="32"/>
      <c r="BO20" s="33"/>
      <c r="BP20" s="34"/>
      <c r="BQ20" s="34"/>
      <c r="BR20" s="35"/>
      <c r="BW20" s="27"/>
      <c r="BX20" s="27"/>
      <c r="BY20" s="27"/>
      <c r="BZ20" s="27"/>
      <c r="CA20" s="27"/>
      <c r="CB20" s="27"/>
      <c r="CC20" s="27"/>
      <c r="CD20" s="27"/>
      <c r="CE20" s="27"/>
    </row>
    <row r="21" spans="1:83" ht="26.1" customHeight="1" x14ac:dyDescent="0.25">
      <c r="A21" s="121"/>
      <c r="B21" s="121"/>
      <c r="C21" s="121"/>
      <c r="D21" s="31"/>
      <c r="E21" s="121"/>
      <c r="F21" s="121"/>
      <c r="G21" s="121"/>
      <c r="H21" s="121"/>
      <c r="I21" s="121"/>
      <c r="J21" s="31"/>
      <c r="K21" s="121"/>
      <c r="L21" s="121"/>
      <c r="M21" s="121"/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1"/>
      <c r="AB21" s="121"/>
      <c r="AC21" s="121"/>
      <c r="AD21" s="121"/>
      <c r="AE21" s="121"/>
      <c r="AF21" s="121"/>
      <c r="AG21" s="121"/>
      <c r="AH21" s="121"/>
      <c r="AI21" s="121"/>
      <c r="AJ21" s="121"/>
      <c r="AK21" s="121"/>
      <c r="AL21" s="121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31"/>
      <c r="BI21" s="121"/>
      <c r="BJ21" s="121"/>
      <c r="BK21" s="121"/>
      <c r="BL21" s="121"/>
      <c r="BM21" s="121"/>
      <c r="BN21" s="31"/>
      <c r="BO21" s="121"/>
      <c r="BP21" s="121"/>
      <c r="BQ21" s="121"/>
      <c r="BR21" s="121"/>
    </row>
    <row r="22" spans="1:83" ht="6.75" customHeight="1" x14ac:dyDescent="0.25">
      <c r="A22" s="34"/>
      <c r="B22" s="35"/>
      <c r="C22" s="31"/>
      <c r="D22" s="32"/>
      <c r="E22" s="33"/>
      <c r="F22" s="34"/>
      <c r="G22" s="34"/>
      <c r="H22" s="35"/>
      <c r="I22" s="31"/>
      <c r="J22" s="32"/>
      <c r="K22" s="34"/>
      <c r="L22" s="34"/>
      <c r="M22" s="35"/>
      <c r="N22" s="34"/>
      <c r="O22" s="34"/>
      <c r="P22" s="35"/>
      <c r="Q22" s="34"/>
      <c r="R22" s="34"/>
      <c r="S22" s="35"/>
      <c r="T22" s="34"/>
      <c r="U22" s="34"/>
      <c r="V22" s="35"/>
      <c r="W22" s="34"/>
      <c r="X22" s="34"/>
      <c r="Y22" s="35"/>
      <c r="Z22" s="34"/>
      <c r="AA22" s="34"/>
      <c r="AB22" s="35"/>
      <c r="AC22" s="34"/>
      <c r="AD22" s="34"/>
      <c r="AE22" s="35"/>
      <c r="AF22" s="34"/>
      <c r="AG22" s="34"/>
      <c r="AH22" s="35"/>
      <c r="AI22" s="34"/>
      <c r="AJ22" s="34"/>
      <c r="AK22" s="35"/>
      <c r="AL22" s="34"/>
      <c r="AM22" s="34"/>
      <c r="AN22" s="35"/>
      <c r="AO22" s="34"/>
      <c r="AP22" s="34"/>
      <c r="AQ22" s="35"/>
      <c r="AR22" s="34"/>
      <c r="AS22" s="34"/>
      <c r="AT22" s="35"/>
      <c r="AU22" s="34"/>
      <c r="AV22" s="34"/>
      <c r="AW22" s="35"/>
      <c r="AX22" s="34"/>
      <c r="AY22" s="34"/>
      <c r="AZ22" s="35"/>
      <c r="BA22" s="34"/>
      <c r="BB22" s="34"/>
      <c r="BC22" s="35"/>
      <c r="BD22" s="34"/>
      <c r="BE22" s="34"/>
      <c r="BF22" s="35"/>
      <c r="BG22" s="31"/>
      <c r="BH22" s="32"/>
      <c r="BI22" s="33"/>
      <c r="BJ22" s="34"/>
      <c r="BK22" s="34"/>
      <c r="BL22" s="35"/>
      <c r="BM22" s="31"/>
      <c r="BN22" s="32"/>
      <c r="BO22" s="33"/>
      <c r="BP22" s="34"/>
      <c r="BQ22" s="34"/>
      <c r="BR22" s="35"/>
    </row>
    <row r="23" spans="1:83" ht="21.95" customHeight="1" x14ac:dyDescent="0.25">
      <c r="A23" s="34"/>
      <c r="B23" s="35"/>
      <c r="C23" s="31"/>
      <c r="D23" s="32"/>
      <c r="E23" s="33"/>
      <c r="F23" s="34"/>
      <c r="G23" s="34"/>
      <c r="H23" s="35"/>
      <c r="I23" s="31"/>
      <c r="J23" s="32"/>
      <c r="K23" s="34"/>
      <c r="L23" s="34"/>
      <c r="M23" s="35"/>
      <c r="N23" s="34"/>
      <c r="O23" s="34"/>
      <c r="P23" s="35"/>
      <c r="Q23" s="34"/>
      <c r="R23" s="34"/>
      <c r="S23" s="35"/>
      <c r="T23" s="34"/>
      <c r="U23" s="34"/>
      <c r="V23" s="35"/>
      <c r="W23" s="34"/>
      <c r="X23" s="34"/>
      <c r="Y23" s="35"/>
      <c r="Z23" s="34"/>
      <c r="AA23" s="34"/>
      <c r="AB23" s="35"/>
      <c r="AC23" s="34"/>
      <c r="AD23" s="34"/>
      <c r="AE23" s="35"/>
      <c r="AF23" s="34"/>
      <c r="AG23" s="34"/>
      <c r="AH23" s="35"/>
      <c r="AI23" s="34"/>
      <c r="AJ23" s="34"/>
      <c r="AK23" s="35"/>
      <c r="AL23" s="34"/>
      <c r="AM23" s="34"/>
      <c r="AN23" s="35"/>
      <c r="AO23" s="34"/>
      <c r="AP23" s="34"/>
      <c r="AQ23" s="35"/>
      <c r="AR23" s="34"/>
      <c r="AS23" s="34"/>
      <c r="AT23" s="35"/>
      <c r="AU23" s="34"/>
      <c r="AV23" s="34"/>
      <c r="AW23" s="35"/>
      <c r="AX23" s="34"/>
      <c r="AY23" s="34"/>
      <c r="AZ23" s="35"/>
      <c r="BA23" s="34"/>
      <c r="BB23" s="34"/>
      <c r="BC23" s="35"/>
      <c r="BD23" s="34"/>
      <c r="BE23" s="34"/>
      <c r="BF23" s="35"/>
      <c r="BG23" s="31"/>
      <c r="BH23" s="32"/>
      <c r="BI23" s="33"/>
      <c r="BJ23" s="34"/>
      <c r="BK23" s="34"/>
      <c r="BL23" s="35"/>
      <c r="BM23" s="31"/>
      <c r="BN23" s="32"/>
      <c r="BO23" s="33"/>
      <c r="BP23" s="34"/>
      <c r="BQ23" s="34"/>
      <c r="BR23" s="35"/>
    </row>
    <row r="24" spans="1:83" ht="6" customHeight="1" x14ac:dyDescent="0.25">
      <c r="A24" s="121"/>
      <c r="B24" s="121"/>
      <c r="C24" s="121"/>
      <c r="D24" s="31"/>
      <c r="E24" s="121"/>
      <c r="F24" s="121"/>
      <c r="G24" s="121"/>
      <c r="H24" s="121"/>
      <c r="I24" s="121"/>
      <c r="J24" s="31"/>
      <c r="K24" s="121"/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/>
      <c r="BG24" s="121"/>
      <c r="BH24" s="31"/>
      <c r="BI24" s="121"/>
      <c r="BJ24" s="121"/>
      <c r="BK24" s="121"/>
      <c r="BL24" s="121"/>
      <c r="BM24" s="121"/>
      <c r="BN24" s="31"/>
      <c r="BO24" s="121"/>
      <c r="BP24" s="121"/>
      <c r="BQ24" s="121"/>
      <c r="BR24" s="121"/>
    </row>
    <row r="25" spans="1:83" s="22" customFormat="1" ht="80.099999999999994" customHeight="1" x14ac:dyDescent="1.35">
      <c r="A25" s="34"/>
      <c r="B25" s="121"/>
      <c r="C25" s="121"/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35"/>
      <c r="U25" s="31"/>
      <c r="V25" s="32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3"/>
      <c r="AP25" s="34"/>
      <c r="AQ25" s="34"/>
      <c r="AR25" s="35"/>
      <c r="AS25" s="31"/>
      <c r="AT25" s="32"/>
      <c r="AU25" s="33"/>
      <c r="AV25" s="34"/>
      <c r="AW25" s="34"/>
      <c r="AX25" s="35"/>
      <c r="AY25" s="34"/>
      <c r="AZ25" s="35"/>
      <c r="BA25" s="31"/>
      <c r="BB25" s="32"/>
      <c r="BC25" s="33"/>
      <c r="BD25" s="34"/>
      <c r="BE25" s="34"/>
      <c r="BF25" s="35"/>
      <c r="BG25" s="31"/>
      <c r="BH25" s="32"/>
      <c r="BI25" s="33"/>
      <c r="BJ25" s="34"/>
      <c r="BK25" s="34"/>
      <c r="BL25" s="35"/>
      <c r="BM25" s="31"/>
      <c r="BN25" s="32"/>
      <c r="BO25" s="33"/>
      <c r="BP25" s="34"/>
      <c r="BQ25" s="34"/>
      <c r="BR25" s="35"/>
    </row>
    <row r="26" spans="1:83" ht="27" customHeight="1" x14ac:dyDescent="0.25">
      <c r="A26" s="34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1"/>
      <c r="V26" s="32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3"/>
      <c r="AP26" s="34"/>
      <c r="AQ26" s="34"/>
      <c r="AR26" s="35"/>
      <c r="AS26" s="31"/>
      <c r="AT26" s="32"/>
      <c r="AU26" s="33"/>
      <c r="AV26" s="34"/>
      <c r="AW26" s="34"/>
      <c r="AX26" s="35"/>
      <c r="AY26" s="34"/>
      <c r="AZ26" s="35"/>
      <c r="BA26" s="31"/>
      <c r="BB26" s="32"/>
      <c r="BC26" s="33"/>
      <c r="BD26" s="34"/>
      <c r="BE26" s="34"/>
      <c r="BF26" s="35"/>
      <c r="BG26" s="31"/>
      <c r="BH26" s="32"/>
      <c r="BI26" s="33"/>
      <c r="BJ26" s="34"/>
      <c r="BK26" s="34"/>
      <c r="BL26" s="35"/>
      <c r="BM26" s="31"/>
      <c r="BN26" s="32"/>
      <c r="BO26" s="33"/>
      <c r="BP26" s="34"/>
      <c r="BQ26" s="34"/>
      <c r="BR26" s="35"/>
      <c r="BW26" s="27"/>
      <c r="BX26" s="27"/>
      <c r="BY26" s="27"/>
      <c r="BZ26" s="27"/>
      <c r="CA26" s="27"/>
      <c r="CB26" s="27"/>
      <c r="CC26" s="27"/>
      <c r="CD26" s="27"/>
      <c r="CE26" s="27"/>
    </row>
    <row r="27" spans="1:83" ht="26.1" customHeight="1" x14ac:dyDescent="0.25">
      <c r="A27" s="12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121"/>
      <c r="U27" s="121"/>
      <c r="V27" s="31"/>
      <c r="W27" s="121"/>
      <c r="X27" s="121"/>
      <c r="Y27" s="121"/>
      <c r="Z27" s="121"/>
      <c r="AA27" s="121"/>
      <c r="AB27" s="31"/>
      <c r="AC27" s="121"/>
      <c r="AD27" s="121"/>
      <c r="AE27" s="121"/>
      <c r="AF27" s="121"/>
      <c r="AG27" s="121"/>
      <c r="AH27" s="31"/>
      <c r="AI27" s="121"/>
      <c r="AJ27" s="121"/>
      <c r="AK27" s="121"/>
      <c r="AL27" s="121"/>
      <c r="AM27" s="121"/>
      <c r="AN27" s="31"/>
      <c r="AO27" s="121"/>
      <c r="AP27" s="121"/>
      <c r="AQ27" s="121"/>
      <c r="AR27" s="121"/>
      <c r="AS27" s="121"/>
      <c r="AT27" s="31"/>
      <c r="AU27" s="121"/>
      <c r="AV27" s="121"/>
      <c r="AW27" s="121"/>
      <c r="AX27" s="121"/>
      <c r="AY27" s="121"/>
      <c r="AZ27" s="121"/>
      <c r="BA27" s="121"/>
      <c r="BB27" s="31"/>
      <c r="BC27" s="121"/>
      <c r="BD27" s="121"/>
      <c r="BE27" s="121"/>
      <c r="BF27" s="121"/>
      <c r="BG27" s="121"/>
      <c r="BH27" s="31"/>
      <c r="BI27" s="121"/>
      <c r="BJ27" s="121"/>
      <c r="BK27" s="121"/>
      <c r="BL27" s="121"/>
      <c r="BM27" s="121"/>
      <c r="BN27" s="31"/>
      <c r="BO27" s="121"/>
      <c r="BP27" s="121"/>
      <c r="BQ27" s="121"/>
      <c r="BR27" s="121"/>
    </row>
    <row r="28" spans="1:83" ht="6.75" customHeight="1" x14ac:dyDescent="0.25">
      <c r="A28" s="34"/>
      <c r="B28" s="35"/>
      <c r="C28" s="31"/>
      <c r="D28" s="32"/>
      <c r="E28" s="33"/>
      <c r="F28" s="34"/>
      <c r="G28" s="34"/>
      <c r="H28" s="35"/>
      <c r="I28" s="31"/>
      <c r="J28" s="32"/>
      <c r="K28" s="33"/>
      <c r="L28" s="34"/>
      <c r="M28" s="34"/>
      <c r="N28" s="35"/>
      <c r="O28" s="31"/>
      <c r="P28" s="32"/>
      <c r="Q28" s="33"/>
      <c r="R28" s="34"/>
      <c r="S28" s="34"/>
      <c r="T28" s="35"/>
      <c r="U28" s="31"/>
      <c r="V28" s="32"/>
      <c r="W28" s="33"/>
      <c r="X28" s="34"/>
      <c r="Y28" s="34"/>
      <c r="Z28" s="35"/>
      <c r="AA28" s="31"/>
      <c r="AB28" s="32"/>
      <c r="AC28" s="33"/>
      <c r="AD28" s="34"/>
      <c r="AE28" s="34"/>
      <c r="AF28" s="35"/>
      <c r="AG28" s="31"/>
      <c r="AH28" s="32"/>
      <c r="AI28" s="33"/>
      <c r="AJ28" s="34"/>
      <c r="AK28" s="34"/>
      <c r="AL28" s="35"/>
      <c r="AM28" s="31"/>
      <c r="AN28" s="32"/>
      <c r="AO28" s="33"/>
      <c r="AP28" s="34"/>
      <c r="AQ28" s="34"/>
      <c r="AR28" s="35"/>
      <c r="AS28" s="31"/>
      <c r="AT28" s="32"/>
      <c r="AU28" s="33"/>
      <c r="AV28" s="34"/>
      <c r="AW28" s="34"/>
      <c r="AX28" s="35"/>
      <c r="AY28" s="34"/>
      <c r="AZ28" s="35"/>
      <c r="BA28" s="31"/>
      <c r="BB28" s="32"/>
      <c r="BC28" s="33"/>
      <c r="BD28" s="34"/>
      <c r="BE28" s="34"/>
      <c r="BF28" s="35"/>
      <c r="BG28" s="31"/>
      <c r="BH28" s="32"/>
      <c r="BI28" s="33"/>
      <c r="BJ28" s="34"/>
      <c r="BK28" s="34"/>
      <c r="BL28" s="35"/>
      <c r="BM28" s="31"/>
      <c r="BN28" s="32"/>
      <c r="BO28" s="33"/>
      <c r="BP28" s="34"/>
      <c r="BQ28" s="34"/>
      <c r="BR28" s="35"/>
    </row>
    <row r="29" spans="1:83" ht="21.95" customHeight="1" x14ac:dyDescent="0.25">
      <c r="A29" s="34"/>
      <c r="B29" s="35"/>
      <c r="C29" s="31"/>
      <c r="D29" s="32"/>
      <c r="E29" s="33"/>
      <c r="F29" s="34"/>
      <c r="G29" s="34"/>
      <c r="H29" s="35"/>
      <c r="I29" s="31"/>
      <c r="J29" s="32"/>
      <c r="K29" s="33"/>
      <c r="L29" s="34"/>
      <c r="M29" s="34"/>
      <c r="N29" s="35"/>
      <c r="O29" s="31"/>
      <c r="P29" s="32"/>
      <c r="Q29" s="33"/>
      <c r="R29" s="34"/>
      <c r="S29" s="34"/>
      <c r="T29" s="35"/>
      <c r="U29" s="31"/>
      <c r="V29" s="32"/>
      <c r="W29" s="33"/>
      <c r="X29" s="34"/>
      <c r="Y29" s="34"/>
      <c r="Z29" s="35"/>
      <c r="AA29" s="31"/>
      <c r="AB29" s="32"/>
      <c r="AC29" s="33"/>
      <c r="AD29" s="34"/>
      <c r="AE29" s="34"/>
      <c r="AF29" s="35"/>
      <c r="AG29" s="31"/>
      <c r="AH29" s="32"/>
      <c r="AI29" s="33"/>
      <c r="AJ29" s="34"/>
      <c r="AK29" s="34"/>
      <c r="AL29" s="35"/>
      <c r="AM29" s="31"/>
      <c r="AN29" s="32"/>
      <c r="AO29" s="33"/>
      <c r="AP29" s="34"/>
      <c r="AQ29" s="34"/>
      <c r="AR29" s="35"/>
      <c r="AS29" s="31"/>
      <c r="AT29" s="32"/>
      <c r="AU29" s="33"/>
      <c r="AV29" s="34"/>
      <c r="AW29" s="34"/>
      <c r="AX29" s="35"/>
      <c r="AY29" s="34"/>
      <c r="AZ29" s="35"/>
      <c r="BA29" s="31"/>
      <c r="BB29" s="32"/>
      <c r="BC29" s="33"/>
      <c r="BD29" s="34"/>
      <c r="BE29" s="34"/>
      <c r="BF29" s="35"/>
      <c r="BG29" s="31"/>
      <c r="BH29" s="32"/>
      <c r="BI29" s="33"/>
      <c r="BJ29" s="34"/>
      <c r="BK29" s="34"/>
      <c r="BL29" s="35"/>
      <c r="BM29" s="31"/>
      <c r="BN29" s="32"/>
      <c r="BO29" s="33"/>
      <c r="BP29" s="34"/>
      <c r="BQ29" s="34"/>
      <c r="BR29" s="35"/>
    </row>
    <row r="30" spans="1:83" ht="6" customHeight="1" x14ac:dyDescent="0.25">
      <c r="A30" s="121"/>
      <c r="B30" s="121"/>
      <c r="C30" s="121"/>
      <c r="D30" s="31"/>
      <c r="E30" s="121"/>
      <c r="F30" s="121"/>
      <c r="G30" s="121"/>
      <c r="H30" s="121"/>
      <c r="I30" s="121"/>
      <c r="J30" s="31"/>
      <c r="K30" s="121"/>
      <c r="L30" s="121"/>
      <c r="M30" s="121"/>
      <c r="N30" s="121"/>
      <c r="O30" s="121"/>
      <c r="P30" s="31"/>
      <c r="Q30" s="121"/>
      <c r="R30" s="121"/>
      <c r="S30" s="121"/>
      <c r="T30" s="121"/>
      <c r="U30" s="121"/>
      <c r="V30" s="31"/>
      <c r="W30" s="121"/>
      <c r="X30" s="121"/>
      <c r="Y30" s="121"/>
      <c r="Z30" s="121"/>
      <c r="AA30" s="121"/>
      <c r="AB30" s="31"/>
      <c r="AC30" s="121"/>
      <c r="AD30" s="121"/>
      <c r="AE30" s="121"/>
      <c r="AF30" s="121"/>
      <c r="AG30" s="121"/>
      <c r="AH30" s="31"/>
      <c r="AI30" s="121"/>
      <c r="AJ30" s="121"/>
      <c r="AK30" s="121"/>
      <c r="AL30" s="121"/>
      <c r="AM30" s="121"/>
      <c r="AN30" s="31"/>
      <c r="AO30" s="121"/>
      <c r="AP30" s="121"/>
      <c r="AQ30" s="121"/>
      <c r="AR30" s="121"/>
      <c r="AS30" s="121"/>
      <c r="AT30" s="31"/>
      <c r="AU30" s="121"/>
      <c r="AV30" s="121"/>
      <c r="AW30" s="121"/>
      <c r="AX30" s="121"/>
      <c r="AY30" s="121"/>
      <c r="AZ30" s="121"/>
      <c r="BA30" s="121"/>
      <c r="BB30" s="31"/>
      <c r="BC30" s="121"/>
      <c r="BD30" s="121"/>
      <c r="BE30" s="121"/>
      <c r="BF30" s="121"/>
      <c r="BG30" s="121"/>
      <c r="BH30" s="31"/>
      <c r="BI30" s="121"/>
      <c r="BJ30" s="121"/>
      <c r="BK30" s="121"/>
      <c r="BL30" s="121"/>
      <c r="BM30" s="121"/>
      <c r="BN30" s="31"/>
      <c r="BO30" s="121"/>
      <c r="BP30" s="121"/>
      <c r="BQ30" s="121"/>
      <c r="BR30" s="121"/>
    </row>
    <row r="31" spans="1:83" s="22" customFormat="1" ht="80.099999999999994" customHeight="1" x14ac:dyDescent="1.35">
      <c r="A31" s="34"/>
      <c r="B31" s="35"/>
      <c r="C31" s="31"/>
      <c r="D31" s="32"/>
      <c r="E31" s="33"/>
      <c r="F31" s="34"/>
      <c r="G31" s="34"/>
      <c r="H31" s="35"/>
      <c r="I31" s="31"/>
      <c r="J31" s="1797"/>
      <c r="K31" s="1797"/>
      <c r="L31" s="1797"/>
      <c r="M31" s="1797"/>
      <c r="N31" s="35"/>
      <c r="O31" s="31"/>
      <c r="P31" s="32"/>
      <c r="Q31" s="33"/>
      <c r="R31" s="34"/>
      <c r="S31" s="34"/>
      <c r="T31" s="35"/>
      <c r="U31" s="31"/>
      <c r="V31" s="32"/>
      <c r="W31" s="33"/>
      <c r="X31" s="34"/>
      <c r="Y31" s="34"/>
      <c r="Z31" s="35"/>
      <c r="AA31" s="31"/>
      <c r="AB31" s="32"/>
      <c r="AC31" s="33"/>
      <c r="AD31" s="34"/>
      <c r="AE31" s="34"/>
      <c r="AF31" s="35"/>
      <c r="AG31" s="31"/>
      <c r="AH31" s="32"/>
      <c r="AI31" s="33"/>
      <c r="AJ31" s="34"/>
      <c r="AK31" s="34"/>
      <c r="AL31" s="35"/>
      <c r="AM31" s="31"/>
      <c r="AN31" s="32"/>
      <c r="AO31" s="33"/>
      <c r="AP31" s="34"/>
      <c r="AQ31" s="34"/>
      <c r="AR31" s="35"/>
      <c r="AS31" s="31"/>
      <c r="AT31" s="32"/>
      <c r="AU31" s="33"/>
      <c r="AV31" s="34"/>
      <c r="AW31" s="34"/>
      <c r="AX31" s="35"/>
      <c r="AY31" s="34"/>
      <c r="AZ31" s="35"/>
      <c r="BA31" s="31"/>
      <c r="BB31" s="32"/>
      <c r="BC31" s="33"/>
      <c r="BD31" s="34"/>
      <c r="BE31" s="34"/>
      <c r="BF31" s="35"/>
      <c r="BG31" s="31"/>
      <c r="BH31" s="32"/>
      <c r="BI31" s="33"/>
      <c r="BJ31" s="34"/>
      <c r="BK31" s="34"/>
      <c r="BL31" s="35"/>
      <c r="BM31" s="31"/>
      <c r="BN31" s="32"/>
      <c r="BO31" s="33"/>
      <c r="BP31" s="34"/>
      <c r="BQ31" s="34"/>
      <c r="BR31" s="35"/>
    </row>
    <row r="32" spans="1:83" ht="26.25" customHeight="1" x14ac:dyDescent="0.25">
      <c r="A32" s="34"/>
      <c r="B32" s="35"/>
      <c r="C32" s="31"/>
      <c r="D32" s="32"/>
      <c r="E32" s="33"/>
      <c r="F32" s="34"/>
      <c r="G32" s="34"/>
      <c r="H32" s="35"/>
      <c r="I32" s="31"/>
      <c r="J32" s="1923" cm="1">
        <f t="array" aca="1" ref="J32" ca="1">SUM(COUNTIF(INDIRECT({"B7","G7","L7","Q7","V7","AA7","AF7","AK7","AP7","AU7","AZ7","BE7","BJ7","BO7","B13","G13","L13","Q13","V13","AA13","AF13","AK13","AP13","AU13","AZ13","BE13","BJ13","BO13","B19","G19","L19","Q19","V19","AA19","AF19","AK19","AP19","AU19","AZ19","BE19","BJ19","BO19"}),"&gt;0"))</f>
        <v>39</v>
      </c>
      <c r="K32" s="1923"/>
      <c r="L32" s="1923"/>
      <c r="M32" s="1923"/>
      <c r="N32" s="35"/>
      <c r="O32" s="31"/>
      <c r="P32" s="32"/>
      <c r="Q32" s="33"/>
      <c r="R32" s="34"/>
      <c r="S32" s="34"/>
      <c r="T32" s="35"/>
      <c r="U32" s="33"/>
      <c r="V32" s="34"/>
      <c r="W32" s="34"/>
      <c r="X32" s="33"/>
      <c r="Y32" s="717" cm="1">
        <f t="array" aca="1" ref="Y32" ca="1">SUM(COUNTIF(INDIRECT({"B8","G8","L8","Q8","V8","AA8","AF8","AK8","AP8","AU8","AZ8","BE8","BJ8","BO8","B14","G14","L14","Q14","V14","AA14","AF14","AK14","AP14","AU14","AZ14","BE14","BJ14","BO14","B20","G20","L20","Q20","V20","AA20","AF20","AK20","AP20","AU20","AZ20","BE20","BJ20","BO20"}),"&gt;0"))</f>
        <v>39</v>
      </c>
      <c r="Z32" s="717"/>
      <c r="AA32" s="717"/>
      <c r="AB32" s="717"/>
      <c r="AC32" s="34"/>
      <c r="AD32" s="33"/>
      <c r="AE32" s="34"/>
      <c r="AF32" s="34"/>
      <c r="AG32" s="33"/>
      <c r="AH32" s="34"/>
      <c r="AI32" s="34"/>
      <c r="AJ32" s="33"/>
      <c r="AK32" s="34"/>
      <c r="AL32" s="34"/>
      <c r="AM32" s="33"/>
      <c r="AN32" s="34"/>
      <c r="AO32" s="34"/>
      <c r="AP32" s="2336">
        <v>33</v>
      </c>
      <c r="AQ32" s="2336"/>
      <c r="AR32" s="2336"/>
      <c r="AS32" s="2336"/>
      <c r="AT32" s="34"/>
      <c r="AU32" s="34"/>
      <c r="AV32" s="33"/>
      <c r="AW32" s="34"/>
      <c r="AX32" s="34"/>
      <c r="AY32" s="33"/>
      <c r="AZ32" s="34"/>
      <c r="BA32" s="34"/>
      <c r="BB32" s="33"/>
      <c r="BC32" s="34"/>
      <c r="BD32" s="34"/>
      <c r="BE32" s="33"/>
      <c r="BF32" s="717"/>
      <c r="BG32" s="717"/>
      <c r="BH32" s="717"/>
      <c r="BI32" s="717"/>
      <c r="BJ32" s="717"/>
      <c r="BK32" s="33"/>
      <c r="BL32" s="34"/>
      <c r="BM32" s="34"/>
      <c r="BN32" s="33"/>
      <c r="BO32" s="34"/>
      <c r="BP32" s="34"/>
      <c r="BQ32" s="33"/>
      <c r="BR32" s="34"/>
      <c r="BW32" s="27"/>
      <c r="BX32" s="27"/>
      <c r="BY32" s="27"/>
      <c r="BZ32" s="27"/>
      <c r="CA32" s="27"/>
      <c r="CB32" s="27"/>
      <c r="CC32" s="27"/>
      <c r="CD32" s="27"/>
      <c r="CE32" s="27"/>
    </row>
    <row r="33" spans="1:83" ht="26.1" customHeight="1" x14ac:dyDescent="0.25">
      <c r="A33" s="30"/>
      <c r="B33" s="29"/>
      <c r="C33" s="28"/>
      <c r="D33" s="28"/>
      <c r="E33" s="28"/>
      <c r="F33" s="30"/>
      <c r="G33" s="29"/>
      <c r="H33" s="28"/>
      <c r="I33" s="28"/>
      <c r="J33" s="1923"/>
      <c r="K33" s="1923"/>
      <c r="L33" s="1923"/>
      <c r="M33" s="1923"/>
      <c r="N33" s="28"/>
      <c r="O33" s="28"/>
      <c r="P33" s="30"/>
      <c r="Q33" s="29"/>
      <c r="R33" s="28"/>
      <c r="S33" s="28"/>
      <c r="T33" s="28"/>
      <c r="U33" s="29"/>
      <c r="V33" s="28"/>
      <c r="W33" s="28"/>
      <c r="X33" s="29"/>
      <c r="Y33" s="717"/>
      <c r="Z33" s="717"/>
      <c r="AA33" s="717"/>
      <c r="AB33" s="717"/>
      <c r="AC33" s="28"/>
      <c r="AD33" s="29"/>
      <c r="AE33" s="28"/>
      <c r="AF33" s="28"/>
      <c r="AG33" s="29"/>
      <c r="AH33" s="28"/>
      <c r="AI33" s="28"/>
      <c r="AJ33" s="29"/>
      <c r="AK33" s="28"/>
      <c r="AL33" s="28"/>
      <c r="AM33" s="29"/>
      <c r="AN33" s="28"/>
      <c r="AO33" s="28"/>
      <c r="AP33" s="2336"/>
      <c r="AQ33" s="2336"/>
      <c r="AR33" s="2336"/>
      <c r="AS33" s="2336"/>
      <c r="AT33" s="28"/>
      <c r="AU33" s="28"/>
      <c r="AV33" s="29"/>
      <c r="AW33" s="28"/>
      <c r="AX33" s="28"/>
      <c r="AY33" s="29"/>
      <c r="AZ33" s="28"/>
      <c r="BA33" s="28"/>
      <c r="BB33" s="29"/>
      <c r="BC33" s="28"/>
      <c r="BD33" s="28"/>
      <c r="BE33" s="29"/>
      <c r="BF33" s="717"/>
      <c r="BG33" s="717"/>
      <c r="BH33" s="717"/>
      <c r="BI33" s="717"/>
      <c r="BJ33" s="717"/>
      <c r="BK33" s="29"/>
      <c r="BL33" s="28"/>
      <c r="BM33" s="28"/>
      <c r="BN33" s="29"/>
      <c r="BO33" s="28"/>
      <c r="BP33" s="28"/>
      <c r="BQ33" s="29"/>
      <c r="BR33" s="28"/>
    </row>
    <row r="34" spans="1:83" ht="6.75" customHeight="1" x14ac:dyDescent="0.25">
      <c r="A34" s="29"/>
      <c r="B34" s="29"/>
      <c r="C34" s="28"/>
      <c r="D34" s="28"/>
      <c r="E34" s="28"/>
      <c r="F34" s="29"/>
      <c r="G34" s="29"/>
      <c r="H34" s="28"/>
      <c r="I34" s="28"/>
      <c r="J34" s="1923"/>
      <c r="K34" s="1923"/>
      <c r="L34" s="1923"/>
      <c r="M34" s="1923"/>
      <c r="N34" s="28"/>
      <c r="O34" s="28"/>
      <c r="P34" s="29"/>
      <c r="Q34" s="29"/>
      <c r="R34" s="28"/>
      <c r="S34" s="28"/>
      <c r="T34" s="28"/>
      <c r="U34" s="28"/>
      <c r="V34" s="29"/>
      <c r="W34" s="29"/>
      <c r="X34" s="28"/>
      <c r="Y34" s="717"/>
      <c r="Z34" s="717"/>
      <c r="AA34" s="717"/>
      <c r="AB34" s="717"/>
      <c r="AC34" s="28"/>
      <c r="AD34" s="28"/>
      <c r="AE34" s="28"/>
      <c r="AF34" s="29"/>
      <c r="AG34" s="29"/>
      <c r="AH34" s="28"/>
      <c r="AI34" s="28"/>
      <c r="AJ34" s="28"/>
      <c r="AK34" s="29"/>
      <c r="AL34" s="29"/>
      <c r="AM34" s="28"/>
      <c r="AN34" s="28"/>
      <c r="AO34" s="28"/>
      <c r="AP34" s="2336"/>
      <c r="AQ34" s="2336"/>
      <c r="AR34" s="2336"/>
      <c r="AS34" s="2336"/>
      <c r="AT34" s="28"/>
      <c r="AU34" s="29"/>
      <c r="AV34" s="29"/>
      <c r="AW34" s="28"/>
      <c r="AX34" s="28"/>
      <c r="AY34" s="28"/>
      <c r="AZ34" s="29"/>
      <c r="BA34" s="29"/>
      <c r="BB34" s="28"/>
      <c r="BC34" s="28"/>
      <c r="BD34" s="28"/>
      <c r="BE34" s="28"/>
      <c r="BF34" s="717"/>
      <c r="BG34" s="717"/>
      <c r="BH34" s="717"/>
      <c r="BI34" s="717"/>
      <c r="BJ34" s="717"/>
      <c r="BK34" s="29"/>
      <c r="BL34" s="29"/>
      <c r="BM34" s="28"/>
      <c r="BN34" s="28"/>
      <c r="BO34" s="28"/>
      <c r="BP34" s="29"/>
      <c r="BQ34" s="29"/>
      <c r="BR34" s="28"/>
    </row>
    <row r="35" spans="1:83" ht="21.95" customHeight="1" x14ac:dyDescent="0.25">
      <c r="A35" s="121"/>
      <c r="B35" s="121"/>
      <c r="C35" s="31"/>
      <c r="D35" s="121"/>
      <c r="E35" s="121"/>
      <c r="F35" s="121"/>
      <c r="G35" s="121"/>
      <c r="H35" s="31"/>
      <c r="I35" s="121"/>
      <c r="J35" s="1923"/>
      <c r="K35" s="1923"/>
      <c r="L35" s="1923"/>
      <c r="M35" s="1923"/>
      <c r="N35" s="121"/>
      <c r="O35" s="121"/>
      <c r="P35" s="121"/>
      <c r="Q35" s="121"/>
      <c r="R35" s="31"/>
      <c r="S35" s="121"/>
      <c r="T35" s="121"/>
      <c r="U35" s="28"/>
      <c r="V35" s="30"/>
      <c r="W35" s="29"/>
      <c r="X35" s="28"/>
      <c r="Y35" s="717"/>
      <c r="Z35" s="717"/>
      <c r="AA35" s="717"/>
      <c r="AB35" s="717"/>
      <c r="AC35" s="28"/>
      <c r="AD35" s="28"/>
      <c r="AE35" s="28"/>
      <c r="AF35" s="30"/>
      <c r="AG35" s="29"/>
      <c r="AH35" s="28"/>
      <c r="AI35" s="28"/>
      <c r="AJ35" s="28"/>
      <c r="AK35" s="30"/>
      <c r="AL35" s="29"/>
      <c r="AM35" s="28"/>
      <c r="AN35" s="28"/>
      <c r="AO35" s="28"/>
      <c r="AP35" s="2336"/>
      <c r="AQ35" s="2336"/>
      <c r="AR35" s="2336"/>
      <c r="AS35" s="2336"/>
      <c r="AT35" s="28"/>
      <c r="AU35" s="30"/>
      <c r="AV35" s="29"/>
      <c r="AW35" s="28"/>
      <c r="AX35" s="28"/>
      <c r="AY35" s="28"/>
      <c r="AZ35" s="30"/>
      <c r="BA35" s="29"/>
      <c r="BB35" s="28"/>
      <c r="BC35" s="28"/>
      <c r="BD35" s="28"/>
      <c r="BE35" s="28"/>
      <c r="BF35" s="717"/>
      <c r="BG35" s="717"/>
      <c r="BH35" s="717"/>
      <c r="BI35" s="717"/>
      <c r="BJ35" s="717"/>
      <c r="BK35" s="30"/>
      <c r="BL35" s="29"/>
      <c r="BM35" s="28"/>
      <c r="BN35" s="28"/>
      <c r="BO35" s="28"/>
      <c r="BP35" s="30"/>
      <c r="BQ35" s="29"/>
      <c r="BR35" s="28"/>
    </row>
    <row r="36" spans="1:83" ht="24" customHeight="1" x14ac:dyDescent="0.25">
      <c r="A36" s="35"/>
      <c r="B36" s="31"/>
      <c r="C36" s="32"/>
      <c r="D36" s="33"/>
      <c r="E36" s="34"/>
      <c r="F36" s="35"/>
      <c r="G36" s="31"/>
      <c r="H36" s="32"/>
      <c r="I36" s="33"/>
      <c r="J36" s="34"/>
      <c r="K36" s="35"/>
      <c r="L36" s="31"/>
      <c r="M36" s="32"/>
      <c r="N36" s="33"/>
      <c r="O36" s="34"/>
      <c r="P36" s="35"/>
      <c r="Q36" s="31"/>
      <c r="R36" s="32"/>
      <c r="S36" s="33"/>
      <c r="T36" s="34"/>
      <c r="U36" s="28"/>
      <c r="V36" s="697" t="s">
        <v>116</v>
      </c>
      <c r="W36" s="697"/>
      <c r="X36" s="697"/>
      <c r="Y36" s="697"/>
      <c r="Z36" s="697"/>
      <c r="AA36" s="697"/>
      <c r="AB36" s="697"/>
      <c r="AC36" s="697"/>
      <c r="AD36" s="697"/>
      <c r="AE36" s="697"/>
      <c r="AF36" s="697"/>
      <c r="AG36" s="697"/>
      <c r="AH36" s="697" t="s">
        <v>117</v>
      </c>
      <c r="AI36" s="697"/>
      <c r="AJ36" s="697"/>
      <c r="AK36" s="697"/>
      <c r="AL36" s="697"/>
      <c r="AM36" s="697"/>
      <c r="AN36" s="697"/>
      <c r="AO36" s="697"/>
      <c r="AP36" s="697"/>
      <c r="AQ36" s="697"/>
      <c r="AR36" s="697"/>
      <c r="AS36" s="698" t="s">
        <v>118</v>
      </c>
      <c r="AT36" s="698"/>
      <c r="AU36" s="698"/>
      <c r="AV36" s="698"/>
      <c r="AW36" s="698"/>
      <c r="AX36" s="698"/>
      <c r="AY36" s="698"/>
      <c r="AZ36" s="698"/>
      <c r="BA36" s="698"/>
      <c r="BB36" s="698"/>
      <c r="BC36" s="698"/>
      <c r="BD36" s="698"/>
      <c r="BE36" s="699" t="s">
        <v>119</v>
      </c>
      <c r="BF36" s="699"/>
      <c r="BG36" s="699"/>
      <c r="BH36" s="699"/>
      <c r="BI36" s="699"/>
      <c r="BJ36" s="1924">
        <f>D8+I8+N8+S8+X8+AC8+AH8+AM8+AR8+AW8+BB8+BG8+BL8+D14+I14+N14+S14+X14+AC14+AH14+AM14+AR14+AW14+BB14+BG14+BL14+D20+I20+N20+S20+X20+AC20+AH20+AM20+AR20+AW20+BQ8+BQ14+BB20</f>
        <v>16</v>
      </c>
      <c r="BK36" s="1925"/>
      <c r="BL36" s="1925"/>
      <c r="BM36" s="1925"/>
      <c r="BN36" s="701" t="s">
        <v>120</v>
      </c>
      <c r="BO36" s="701"/>
      <c r="BP36" s="701"/>
      <c r="BQ36" s="29"/>
      <c r="BR36" s="28"/>
    </row>
    <row r="37" spans="1:83" s="22" customFormat="1" ht="80.099999999999994" customHeight="1" x14ac:dyDescent="1.35">
      <c r="A37" s="35"/>
      <c r="B37" s="31"/>
      <c r="C37" s="32"/>
      <c r="D37" s="33"/>
      <c r="E37" s="34"/>
      <c r="F37" s="35"/>
      <c r="G37" s="31"/>
      <c r="H37" s="32"/>
      <c r="I37" s="33"/>
      <c r="J37" s="34"/>
      <c r="K37" s="35"/>
      <c r="L37" s="31"/>
      <c r="M37" s="32"/>
      <c r="N37" s="33"/>
      <c r="O37" s="34"/>
      <c r="P37" s="35"/>
      <c r="Q37" s="31"/>
      <c r="R37" s="32"/>
      <c r="S37" s="33"/>
      <c r="T37" s="34"/>
      <c r="U37" s="121"/>
      <c r="V37" s="697"/>
      <c r="W37" s="697"/>
      <c r="X37" s="697"/>
      <c r="Y37" s="697"/>
      <c r="Z37" s="697"/>
      <c r="AA37" s="697"/>
      <c r="AB37" s="697"/>
      <c r="AC37" s="697"/>
      <c r="AD37" s="697"/>
      <c r="AE37" s="697"/>
      <c r="AF37" s="697"/>
      <c r="AG37" s="697"/>
      <c r="AH37" s="697"/>
      <c r="AI37" s="697"/>
      <c r="AJ37" s="697"/>
      <c r="AK37" s="697"/>
      <c r="AL37" s="697"/>
      <c r="AM37" s="697"/>
      <c r="AN37" s="697"/>
      <c r="AO37" s="697"/>
      <c r="AP37" s="697"/>
      <c r="AQ37" s="697"/>
      <c r="AR37" s="697"/>
      <c r="AS37" s="698"/>
      <c r="AT37" s="698"/>
      <c r="AU37" s="698"/>
      <c r="AV37" s="698"/>
      <c r="AW37" s="698"/>
      <c r="AX37" s="698"/>
      <c r="AY37" s="698"/>
      <c r="AZ37" s="698"/>
      <c r="BA37" s="698"/>
      <c r="BB37" s="698"/>
      <c r="BC37" s="698"/>
      <c r="BD37" s="698"/>
      <c r="BE37" s="699"/>
      <c r="BF37" s="699"/>
      <c r="BG37" s="699"/>
      <c r="BH37" s="699"/>
      <c r="BI37" s="699"/>
      <c r="BJ37" s="1925"/>
      <c r="BK37" s="1925"/>
      <c r="BL37" s="1925"/>
      <c r="BM37" s="1925"/>
      <c r="BN37" s="701"/>
      <c r="BO37" s="701"/>
      <c r="BP37" s="701"/>
      <c r="BQ37" s="121"/>
      <c r="BR37" s="31"/>
    </row>
    <row r="38" spans="1:83" ht="26.25" customHeight="1" x14ac:dyDescent="0.25">
      <c r="A38" s="34"/>
      <c r="B38" s="35"/>
      <c r="C38" s="31"/>
      <c r="D38" s="32"/>
      <c r="E38" s="33"/>
      <c r="F38" s="34"/>
      <c r="G38" s="34"/>
      <c r="H38" s="35"/>
      <c r="I38" s="31"/>
      <c r="J38" s="32"/>
      <c r="K38" s="33"/>
      <c r="L38" s="34"/>
      <c r="M38" s="34"/>
      <c r="N38" s="35"/>
      <c r="O38" s="31"/>
      <c r="P38" s="32"/>
      <c r="Q38" s="33"/>
      <c r="R38" s="34"/>
      <c r="S38" s="34"/>
      <c r="T38" s="35"/>
      <c r="U38" s="31"/>
      <c r="V38" s="697"/>
      <c r="W38" s="697"/>
      <c r="X38" s="697"/>
      <c r="Y38" s="697"/>
      <c r="Z38" s="697"/>
      <c r="AA38" s="697"/>
      <c r="AB38" s="697"/>
      <c r="AC38" s="697"/>
      <c r="AD38" s="697"/>
      <c r="AE38" s="697"/>
      <c r="AF38" s="697"/>
      <c r="AG38" s="697"/>
      <c r="AH38" s="697"/>
      <c r="AI38" s="697"/>
      <c r="AJ38" s="697"/>
      <c r="AK38" s="697"/>
      <c r="AL38" s="697"/>
      <c r="AM38" s="697"/>
      <c r="AN38" s="697"/>
      <c r="AO38" s="697"/>
      <c r="AP38" s="697"/>
      <c r="AQ38" s="697"/>
      <c r="AR38" s="697"/>
      <c r="AS38" s="698"/>
      <c r="AT38" s="698"/>
      <c r="AU38" s="698"/>
      <c r="AV38" s="698"/>
      <c r="AW38" s="698"/>
      <c r="AX38" s="698"/>
      <c r="AY38" s="698"/>
      <c r="AZ38" s="698"/>
      <c r="BA38" s="698"/>
      <c r="BB38" s="698"/>
      <c r="BC38" s="698"/>
      <c r="BD38" s="698"/>
      <c r="BE38" s="699"/>
      <c r="BF38" s="699"/>
      <c r="BG38" s="699"/>
      <c r="BH38" s="699"/>
      <c r="BI38" s="699"/>
      <c r="BJ38" s="1925"/>
      <c r="BK38" s="1925"/>
      <c r="BL38" s="1925"/>
      <c r="BM38" s="1925"/>
      <c r="BN38" s="701"/>
      <c r="BO38" s="701"/>
      <c r="BP38" s="701"/>
      <c r="BQ38" s="32"/>
      <c r="BR38" s="33"/>
      <c r="BW38" s="27"/>
      <c r="BX38" s="27"/>
      <c r="BY38" s="27"/>
      <c r="BZ38" s="27"/>
      <c r="CA38" s="27"/>
      <c r="CB38" s="27"/>
      <c r="CC38" s="27"/>
      <c r="CD38" s="27"/>
      <c r="CE38" s="27"/>
    </row>
    <row r="39" spans="1:83" ht="26.1" customHeight="1" x14ac:dyDescent="0.25">
      <c r="A39" s="34"/>
      <c r="B39" s="35"/>
      <c r="C39" s="31"/>
      <c r="D39" s="32"/>
      <c r="E39" s="33"/>
      <c r="F39" s="34"/>
      <c r="G39" s="34"/>
      <c r="H39" s="35"/>
      <c r="I39" s="31"/>
      <c r="J39" s="32"/>
      <c r="K39" s="33"/>
      <c r="L39" s="34"/>
      <c r="M39" s="34"/>
      <c r="N39" s="35"/>
      <c r="O39" s="31"/>
      <c r="P39" s="32"/>
      <c r="Q39" s="33"/>
      <c r="R39" s="34"/>
      <c r="S39" s="34"/>
      <c r="T39" s="35"/>
      <c r="U39" s="31"/>
      <c r="V39" s="697"/>
      <c r="W39" s="697"/>
      <c r="X39" s="697"/>
      <c r="Y39" s="697"/>
      <c r="Z39" s="697"/>
      <c r="AA39" s="697"/>
      <c r="AB39" s="697"/>
      <c r="AC39" s="697"/>
      <c r="AD39" s="697"/>
      <c r="AE39" s="697"/>
      <c r="AF39" s="697"/>
      <c r="AG39" s="697"/>
      <c r="AH39" s="697"/>
      <c r="AI39" s="697"/>
      <c r="AJ39" s="697"/>
      <c r="AK39" s="697"/>
      <c r="AL39" s="697"/>
      <c r="AM39" s="697"/>
      <c r="AN39" s="697"/>
      <c r="AO39" s="697"/>
      <c r="AP39" s="697"/>
      <c r="AQ39" s="697"/>
      <c r="AR39" s="697"/>
      <c r="AS39" s="698"/>
      <c r="AT39" s="698"/>
      <c r="AU39" s="698"/>
      <c r="AV39" s="698"/>
      <c r="AW39" s="698"/>
      <c r="AX39" s="698"/>
      <c r="AY39" s="698"/>
      <c r="AZ39" s="698"/>
      <c r="BA39" s="698"/>
      <c r="BB39" s="698"/>
      <c r="BC39" s="698"/>
      <c r="BD39" s="698"/>
      <c r="BE39" s="699"/>
      <c r="BF39" s="699"/>
      <c r="BG39" s="699"/>
      <c r="BH39" s="699"/>
      <c r="BI39" s="699"/>
      <c r="BJ39" s="1925"/>
      <c r="BK39" s="1925"/>
      <c r="BL39" s="1925"/>
      <c r="BM39" s="1925"/>
      <c r="BN39" s="701"/>
      <c r="BO39" s="701"/>
      <c r="BP39" s="701"/>
      <c r="BQ39" s="32"/>
      <c r="BR39" s="33"/>
    </row>
    <row r="40" spans="1:83" ht="6.75" customHeight="1" x14ac:dyDescent="0.25">
      <c r="A40" s="28"/>
      <c r="B40" s="28"/>
      <c r="C40" s="28"/>
      <c r="D40" s="29"/>
      <c r="E40" s="29"/>
      <c r="F40" s="28"/>
      <c r="G40" s="28"/>
      <c r="H40" s="28"/>
      <c r="I40" s="29"/>
      <c r="J40" s="29"/>
      <c r="K40" s="28"/>
      <c r="L40" s="28"/>
      <c r="M40" s="28"/>
      <c r="N40" s="29"/>
      <c r="O40" s="29"/>
      <c r="P40" s="28"/>
      <c r="Q40" s="28"/>
      <c r="R40" s="28"/>
      <c r="S40" s="29"/>
      <c r="T40" s="29"/>
      <c r="U40" s="28"/>
      <c r="V40" s="722" t="s">
        <v>13</v>
      </c>
      <c r="W40" s="722"/>
      <c r="X40" s="722"/>
      <c r="Y40" s="722"/>
      <c r="Z40" s="722"/>
      <c r="AA40" s="722"/>
      <c r="AB40" s="722"/>
      <c r="AC40" s="722"/>
      <c r="AD40" s="722"/>
      <c r="AE40" s="722"/>
      <c r="AF40" s="722"/>
      <c r="AG40" s="722"/>
      <c r="AH40" s="723">
        <f>AS40-AD76</f>
        <v>4.0000241239823708E-4</v>
      </c>
      <c r="AI40" s="723"/>
      <c r="AJ40" s="723"/>
      <c r="AK40" s="723"/>
      <c r="AL40" s="723"/>
      <c r="AM40" s="723"/>
      <c r="AN40" s="723"/>
      <c r="AO40" s="723"/>
      <c r="AP40" s="723"/>
      <c r="AQ40" s="723"/>
      <c r="AR40" s="723"/>
      <c r="AS40" s="707">
        <f>B8+G8+L8+Q8+V8+AA8+AF8+AK8+AP8+AU8+AZ8+BE8+BJ8+BO8+B14+G14+L14+Q14+V14+AA14+AF14+AK14+AP14+AU14+AZ14+BE14+BJ14+BO14+B20+G20+L20+Q20+V20+AA20+AF20+AK20+AP20+AU20+AZ20</f>
        <v>16.380400002412397</v>
      </c>
      <c r="AT40" s="707"/>
      <c r="AU40" s="707"/>
      <c r="AV40" s="707"/>
      <c r="AW40" s="707"/>
      <c r="AX40" s="707"/>
      <c r="AY40" s="707"/>
      <c r="AZ40" s="707"/>
      <c r="BA40" s="707"/>
      <c r="BB40" s="707"/>
      <c r="BC40" s="707"/>
      <c r="BD40" s="707"/>
      <c r="BE40" s="699"/>
      <c r="BF40" s="699"/>
      <c r="BG40" s="699"/>
      <c r="BH40" s="699"/>
      <c r="BI40" s="699"/>
      <c r="BJ40" s="1925"/>
      <c r="BK40" s="1925"/>
      <c r="BL40" s="1925"/>
      <c r="BM40" s="1925"/>
      <c r="BN40" s="701"/>
      <c r="BO40" s="701"/>
      <c r="BP40" s="701"/>
      <c r="BQ40" s="29"/>
      <c r="BR40" s="29"/>
    </row>
    <row r="41" spans="1:83" ht="21.95" customHeight="1" x14ac:dyDescent="0.25">
      <c r="A41" s="28"/>
      <c r="B41" s="28"/>
      <c r="C41" s="28"/>
      <c r="D41" s="30"/>
      <c r="E41" s="29"/>
      <c r="F41" s="28"/>
      <c r="G41" s="28"/>
      <c r="H41" s="28"/>
      <c r="I41" s="30"/>
      <c r="J41" s="29"/>
      <c r="K41" s="28"/>
      <c r="L41" s="28"/>
      <c r="M41" s="28"/>
      <c r="N41" s="30"/>
      <c r="O41" s="29"/>
      <c r="P41" s="28"/>
      <c r="Q41" s="28"/>
      <c r="R41" s="28"/>
      <c r="S41" s="30"/>
      <c r="T41" s="29"/>
      <c r="U41" s="28"/>
      <c r="V41" s="722"/>
      <c r="W41" s="722"/>
      <c r="X41" s="722"/>
      <c r="Y41" s="722"/>
      <c r="Z41" s="722"/>
      <c r="AA41" s="722"/>
      <c r="AB41" s="722"/>
      <c r="AC41" s="722"/>
      <c r="AD41" s="722"/>
      <c r="AE41" s="722"/>
      <c r="AF41" s="722"/>
      <c r="AG41" s="722"/>
      <c r="AH41" s="723"/>
      <c r="AI41" s="723"/>
      <c r="AJ41" s="723"/>
      <c r="AK41" s="723"/>
      <c r="AL41" s="723"/>
      <c r="AM41" s="723"/>
      <c r="AN41" s="723"/>
      <c r="AO41" s="723"/>
      <c r="AP41" s="723"/>
      <c r="AQ41" s="723"/>
      <c r="AR41" s="723"/>
      <c r="AS41" s="707"/>
      <c r="AT41" s="707"/>
      <c r="AU41" s="707"/>
      <c r="AV41" s="707"/>
      <c r="AW41" s="707"/>
      <c r="AX41" s="707"/>
      <c r="AY41" s="707"/>
      <c r="AZ41" s="707"/>
      <c r="BA41" s="707"/>
      <c r="BB41" s="707"/>
      <c r="BC41" s="707"/>
      <c r="BD41" s="707"/>
      <c r="BE41" s="699"/>
      <c r="BF41" s="699"/>
      <c r="BG41" s="699"/>
      <c r="BH41" s="699"/>
      <c r="BI41" s="699"/>
      <c r="BJ41" s="1925"/>
      <c r="BK41" s="1925"/>
      <c r="BL41" s="1925"/>
      <c r="BM41" s="1925"/>
      <c r="BN41" s="701"/>
      <c r="BO41" s="701"/>
      <c r="BP41" s="701"/>
      <c r="BQ41" s="30"/>
      <c r="BR41" s="29"/>
    </row>
    <row r="42" spans="1:83" ht="6" customHeight="1" x14ac:dyDescent="0.25">
      <c r="A42" s="28"/>
      <c r="B42" s="28"/>
      <c r="C42" s="28"/>
      <c r="D42" s="29"/>
      <c r="E42" s="29"/>
      <c r="F42" s="28"/>
      <c r="G42" s="28"/>
      <c r="H42" s="28"/>
      <c r="I42" s="29"/>
      <c r="J42" s="29"/>
      <c r="K42" s="28"/>
      <c r="L42" s="28"/>
      <c r="M42" s="28"/>
      <c r="N42" s="29"/>
      <c r="O42" s="29"/>
      <c r="P42" s="28"/>
      <c r="Q42" s="28"/>
      <c r="R42" s="28"/>
      <c r="S42" s="29"/>
      <c r="T42" s="29"/>
      <c r="U42" s="28"/>
      <c r="V42" s="722"/>
      <c r="W42" s="722"/>
      <c r="X42" s="722"/>
      <c r="Y42" s="722"/>
      <c r="Z42" s="722"/>
      <c r="AA42" s="722"/>
      <c r="AB42" s="722"/>
      <c r="AC42" s="722"/>
      <c r="AD42" s="722"/>
      <c r="AE42" s="722"/>
      <c r="AF42" s="722"/>
      <c r="AG42" s="722"/>
      <c r="AH42" s="723"/>
      <c r="AI42" s="723"/>
      <c r="AJ42" s="723"/>
      <c r="AK42" s="723"/>
      <c r="AL42" s="723"/>
      <c r="AM42" s="723"/>
      <c r="AN42" s="723"/>
      <c r="AO42" s="723"/>
      <c r="AP42" s="723"/>
      <c r="AQ42" s="723"/>
      <c r="AR42" s="723"/>
      <c r="AS42" s="707"/>
      <c r="AT42" s="707"/>
      <c r="AU42" s="707"/>
      <c r="AV42" s="707"/>
      <c r="AW42" s="707"/>
      <c r="AX42" s="707"/>
      <c r="AY42" s="707"/>
      <c r="AZ42" s="707"/>
      <c r="BA42" s="707"/>
      <c r="BB42" s="707"/>
      <c r="BC42" s="707"/>
      <c r="BD42" s="707"/>
      <c r="BE42" s="699"/>
      <c r="BF42" s="699"/>
      <c r="BG42" s="699"/>
      <c r="BH42" s="699"/>
      <c r="BI42" s="699"/>
      <c r="BJ42" s="708">
        <f>BJ36*1.5</f>
        <v>24</v>
      </c>
      <c r="BK42" s="708"/>
      <c r="BL42" s="708"/>
      <c r="BM42" s="708"/>
      <c r="BN42" s="708"/>
      <c r="BO42" s="708"/>
      <c r="BP42" s="708"/>
      <c r="BQ42" s="29"/>
      <c r="BR42" s="29"/>
    </row>
    <row r="43" spans="1:83" s="22" customFormat="1" ht="80.099999999999994" customHeight="1" x14ac:dyDescent="1.35">
      <c r="A43" s="31"/>
      <c r="B43" s="121"/>
      <c r="C43" s="121"/>
      <c r="D43" s="121"/>
      <c r="E43" s="121"/>
      <c r="F43" s="702"/>
      <c r="G43" s="702"/>
      <c r="H43" s="121"/>
      <c r="I43" s="121"/>
      <c r="J43" s="121"/>
      <c r="K43" s="31"/>
      <c r="L43" s="121"/>
      <c r="M43" s="121"/>
      <c r="N43" s="121"/>
      <c r="O43" s="121"/>
      <c r="P43" s="31"/>
      <c r="Q43" s="121"/>
      <c r="R43" s="121"/>
      <c r="S43" s="121"/>
      <c r="T43" s="121"/>
      <c r="U43" s="31"/>
      <c r="V43" s="722"/>
      <c r="W43" s="722"/>
      <c r="X43" s="722"/>
      <c r="Y43" s="722"/>
      <c r="Z43" s="722"/>
      <c r="AA43" s="722"/>
      <c r="AB43" s="722"/>
      <c r="AC43" s="722"/>
      <c r="AD43" s="722"/>
      <c r="AE43" s="722"/>
      <c r="AF43" s="722"/>
      <c r="AG43" s="722"/>
      <c r="AH43" s="723"/>
      <c r="AI43" s="723"/>
      <c r="AJ43" s="723"/>
      <c r="AK43" s="723"/>
      <c r="AL43" s="723"/>
      <c r="AM43" s="723"/>
      <c r="AN43" s="723"/>
      <c r="AO43" s="723"/>
      <c r="AP43" s="723"/>
      <c r="AQ43" s="723"/>
      <c r="AR43" s="723"/>
      <c r="AS43" s="707"/>
      <c r="AT43" s="707"/>
      <c r="AU43" s="707"/>
      <c r="AV43" s="707"/>
      <c r="AW43" s="707"/>
      <c r="AX43" s="707"/>
      <c r="AY43" s="707"/>
      <c r="AZ43" s="707"/>
      <c r="BA43" s="707"/>
      <c r="BB43" s="707"/>
      <c r="BC43" s="707"/>
      <c r="BD43" s="707"/>
      <c r="BE43" s="699"/>
      <c r="BF43" s="699"/>
      <c r="BG43" s="699"/>
      <c r="BH43" s="699"/>
      <c r="BI43" s="699"/>
      <c r="BJ43" s="708"/>
      <c r="BK43" s="708"/>
      <c r="BL43" s="708"/>
      <c r="BM43" s="708"/>
      <c r="BN43" s="708"/>
      <c r="BO43" s="708"/>
      <c r="BP43" s="708"/>
      <c r="BQ43" s="121"/>
      <c r="BR43" s="121"/>
    </row>
    <row r="44" spans="1:83" ht="26.25" customHeight="1" x14ac:dyDescent="0.25">
      <c r="A44" s="34"/>
      <c r="B44" s="35"/>
      <c r="C44" s="31"/>
      <c r="D44" s="32"/>
      <c r="E44" s="33"/>
      <c r="F44" s="703"/>
      <c r="G44" s="703"/>
      <c r="H44" s="31"/>
      <c r="I44" s="32"/>
      <c r="J44" s="33"/>
      <c r="K44" s="34"/>
      <c r="L44" s="35"/>
      <c r="M44" s="31"/>
      <c r="N44" s="32"/>
      <c r="O44" s="33"/>
      <c r="P44" s="34"/>
      <c r="Q44" s="35"/>
      <c r="R44" s="31"/>
      <c r="S44" s="32"/>
      <c r="T44" s="33"/>
      <c r="U44" s="34"/>
      <c r="V44" s="722"/>
      <c r="W44" s="722"/>
      <c r="X44" s="722"/>
      <c r="Y44" s="722"/>
      <c r="Z44" s="722"/>
      <c r="AA44" s="722"/>
      <c r="AB44" s="722"/>
      <c r="AC44" s="722"/>
      <c r="AD44" s="722"/>
      <c r="AE44" s="722"/>
      <c r="AF44" s="722"/>
      <c r="AG44" s="722"/>
      <c r="AH44" s="723"/>
      <c r="AI44" s="723"/>
      <c r="AJ44" s="723"/>
      <c r="AK44" s="723"/>
      <c r="AL44" s="723"/>
      <c r="AM44" s="723"/>
      <c r="AN44" s="723"/>
      <c r="AO44" s="723"/>
      <c r="AP44" s="723"/>
      <c r="AQ44" s="723"/>
      <c r="AR44" s="723"/>
      <c r="AS44" s="707"/>
      <c r="AT44" s="707"/>
      <c r="AU44" s="707"/>
      <c r="AV44" s="707"/>
      <c r="AW44" s="707"/>
      <c r="AX44" s="707"/>
      <c r="AY44" s="707"/>
      <c r="AZ44" s="707"/>
      <c r="BA44" s="707"/>
      <c r="BB44" s="707"/>
      <c r="BC44" s="707"/>
      <c r="BD44" s="707"/>
      <c r="BE44" s="699"/>
      <c r="BF44" s="699"/>
      <c r="BG44" s="699"/>
      <c r="BH44" s="699"/>
      <c r="BI44" s="699"/>
      <c r="BJ44" s="708"/>
      <c r="BK44" s="708"/>
      <c r="BL44" s="708"/>
      <c r="BM44" s="708"/>
      <c r="BN44" s="708"/>
      <c r="BO44" s="708"/>
      <c r="BP44" s="708"/>
      <c r="BQ44" s="31"/>
      <c r="BR44" s="32"/>
      <c r="BW44" s="27"/>
      <c r="BX44" s="27"/>
      <c r="BY44" s="27"/>
      <c r="BZ44" s="27"/>
      <c r="CA44" s="27"/>
      <c r="CB44" s="27"/>
      <c r="CC44" s="27"/>
      <c r="CD44" s="27"/>
      <c r="CE44" s="27"/>
    </row>
    <row r="45" spans="1:83" ht="26.1" customHeight="1" x14ac:dyDescent="0.25">
      <c r="A45" s="34"/>
      <c r="B45" s="35"/>
      <c r="C45" s="31"/>
      <c r="D45" s="32"/>
      <c r="E45" s="33"/>
      <c r="F45" s="703"/>
      <c r="G45" s="703"/>
      <c r="H45" s="31"/>
      <c r="I45" s="32"/>
      <c r="J45" s="33"/>
      <c r="K45" s="34"/>
      <c r="L45" s="35"/>
      <c r="M45" s="31"/>
      <c r="N45" s="32"/>
      <c r="O45" s="33"/>
      <c r="P45" s="34"/>
      <c r="Q45" s="35"/>
      <c r="R45" s="31"/>
      <c r="S45" s="32"/>
      <c r="T45" s="33"/>
      <c r="U45" s="34"/>
      <c r="V45" s="722"/>
      <c r="W45" s="722"/>
      <c r="X45" s="722"/>
      <c r="Y45" s="722"/>
      <c r="Z45" s="722"/>
      <c r="AA45" s="722"/>
      <c r="AB45" s="722"/>
      <c r="AC45" s="722"/>
      <c r="AD45" s="722"/>
      <c r="AE45" s="722"/>
      <c r="AF45" s="722"/>
      <c r="AG45" s="722"/>
      <c r="AH45" s="723"/>
      <c r="AI45" s="723"/>
      <c r="AJ45" s="723"/>
      <c r="AK45" s="723"/>
      <c r="AL45" s="723"/>
      <c r="AM45" s="723"/>
      <c r="AN45" s="723"/>
      <c r="AO45" s="723"/>
      <c r="AP45" s="723"/>
      <c r="AQ45" s="723"/>
      <c r="AR45" s="723"/>
      <c r="AS45" s="707"/>
      <c r="AT45" s="707"/>
      <c r="AU45" s="707"/>
      <c r="AV45" s="707"/>
      <c r="AW45" s="707"/>
      <c r="AX45" s="707"/>
      <c r="AY45" s="707"/>
      <c r="AZ45" s="707"/>
      <c r="BA45" s="707"/>
      <c r="BB45" s="707"/>
      <c r="BC45" s="707"/>
      <c r="BD45" s="707"/>
      <c r="BE45" s="699"/>
      <c r="BF45" s="699"/>
      <c r="BG45" s="699"/>
      <c r="BH45" s="699"/>
      <c r="BI45" s="699"/>
      <c r="BJ45" s="708"/>
      <c r="BK45" s="708"/>
      <c r="BL45" s="708"/>
      <c r="BM45" s="708"/>
      <c r="BN45" s="708"/>
      <c r="BO45" s="708"/>
      <c r="BP45" s="708"/>
      <c r="BQ45" s="31"/>
      <c r="BR45" s="32"/>
    </row>
    <row r="46" spans="1:83" ht="6.75" customHeight="1" x14ac:dyDescent="0.25">
      <c r="A46" s="28"/>
      <c r="B46" s="28"/>
      <c r="C46" s="28"/>
      <c r="D46" s="29"/>
      <c r="E46" s="29"/>
      <c r="F46" s="703"/>
      <c r="G46" s="703"/>
      <c r="H46" s="28"/>
      <c r="I46" s="29"/>
      <c r="J46" s="29"/>
      <c r="K46" s="28"/>
      <c r="L46" s="28"/>
      <c r="M46" s="28"/>
      <c r="N46" s="29"/>
      <c r="O46" s="29"/>
      <c r="P46" s="28"/>
      <c r="Q46" s="28"/>
      <c r="R46" s="28"/>
      <c r="S46" s="29"/>
      <c r="T46" s="29"/>
      <c r="U46" s="28"/>
      <c r="V46" s="722"/>
      <c r="W46" s="722"/>
      <c r="X46" s="722"/>
      <c r="Y46" s="722"/>
      <c r="Z46" s="722"/>
      <c r="AA46" s="722"/>
      <c r="AB46" s="722"/>
      <c r="AC46" s="722"/>
      <c r="AD46" s="722"/>
      <c r="AE46" s="722"/>
      <c r="AF46" s="722"/>
      <c r="AG46" s="722"/>
      <c r="AH46" s="723"/>
      <c r="AI46" s="723"/>
      <c r="AJ46" s="723"/>
      <c r="AK46" s="723"/>
      <c r="AL46" s="723"/>
      <c r="AM46" s="723"/>
      <c r="AN46" s="723"/>
      <c r="AO46" s="723"/>
      <c r="AP46" s="723"/>
      <c r="AQ46" s="723"/>
      <c r="AR46" s="723"/>
      <c r="AS46" s="707"/>
      <c r="AT46" s="707"/>
      <c r="AU46" s="707"/>
      <c r="AV46" s="707"/>
      <c r="AW46" s="707"/>
      <c r="AX46" s="707"/>
      <c r="AY46" s="707"/>
      <c r="AZ46" s="707"/>
      <c r="BA46" s="707"/>
      <c r="BB46" s="707"/>
      <c r="BC46" s="707"/>
      <c r="BD46" s="707"/>
      <c r="BE46" s="699"/>
      <c r="BF46" s="699"/>
      <c r="BG46" s="699"/>
      <c r="BH46" s="699"/>
      <c r="BI46" s="699"/>
      <c r="BJ46" s="699" t="s">
        <v>121</v>
      </c>
      <c r="BK46" s="699"/>
      <c r="BL46" s="699"/>
      <c r="BM46" s="699"/>
      <c r="BN46" s="699"/>
      <c r="BO46" s="699"/>
      <c r="BP46" s="699"/>
      <c r="BQ46" s="31"/>
      <c r="BR46" s="32"/>
    </row>
    <row r="47" spans="1:83" ht="21.95" customHeight="1" x14ac:dyDescent="0.25">
      <c r="A47" s="28"/>
      <c r="B47" s="28"/>
      <c r="C47" s="28"/>
      <c r="D47" s="30"/>
      <c r="E47" s="29"/>
      <c r="F47" s="703"/>
      <c r="G47" s="703"/>
      <c r="H47" s="28"/>
      <c r="I47" s="30"/>
      <c r="J47" s="29"/>
      <c r="K47" s="28"/>
      <c r="L47" s="28"/>
      <c r="M47" s="28"/>
      <c r="N47" s="30"/>
      <c r="O47" s="29"/>
      <c r="P47" s="28"/>
      <c r="Q47" s="28"/>
      <c r="R47" s="28"/>
      <c r="S47" s="30"/>
      <c r="T47" s="29"/>
      <c r="U47" s="28"/>
      <c r="V47" s="722"/>
      <c r="W47" s="722"/>
      <c r="X47" s="722"/>
      <c r="Y47" s="722"/>
      <c r="Z47" s="722"/>
      <c r="AA47" s="722"/>
      <c r="AB47" s="722"/>
      <c r="AC47" s="722"/>
      <c r="AD47" s="722"/>
      <c r="AE47" s="722"/>
      <c r="AF47" s="722"/>
      <c r="AG47" s="722"/>
      <c r="AH47" s="723"/>
      <c r="AI47" s="723"/>
      <c r="AJ47" s="723"/>
      <c r="AK47" s="723"/>
      <c r="AL47" s="723"/>
      <c r="AM47" s="723"/>
      <c r="AN47" s="723"/>
      <c r="AO47" s="723"/>
      <c r="AP47" s="723"/>
      <c r="AQ47" s="723"/>
      <c r="AR47" s="723"/>
      <c r="AS47" s="707"/>
      <c r="AT47" s="707"/>
      <c r="AU47" s="707"/>
      <c r="AV47" s="707"/>
      <c r="AW47" s="707"/>
      <c r="AX47" s="707"/>
      <c r="AY47" s="707"/>
      <c r="AZ47" s="707"/>
      <c r="BA47" s="707"/>
      <c r="BB47" s="707"/>
      <c r="BC47" s="707"/>
      <c r="BD47" s="707"/>
      <c r="BE47" s="699"/>
      <c r="BF47" s="699"/>
      <c r="BG47" s="699"/>
      <c r="BH47" s="699"/>
      <c r="BI47" s="699"/>
      <c r="BJ47" s="699"/>
      <c r="BK47" s="699"/>
      <c r="BL47" s="699"/>
      <c r="BM47" s="699"/>
      <c r="BN47" s="699"/>
      <c r="BO47" s="699"/>
      <c r="BP47" s="699"/>
      <c r="BQ47" s="30"/>
      <c r="BR47" s="29"/>
    </row>
    <row r="48" spans="1:83" ht="6" customHeight="1" x14ac:dyDescent="0.25">
      <c r="A48" s="28"/>
      <c r="B48" s="28"/>
      <c r="C48" s="28"/>
      <c r="D48" s="29"/>
      <c r="E48" s="29"/>
      <c r="F48" s="28"/>
      <c r="G48" s="28"/>
      <c r="H48" s="28"/>
      <c r="I48" s="29"/>
      <c r="J48" s="29"/>
      <c r="K48" s="28"/>
      <c r="L48" s="28"/>
      <c r="M48" s="28"/>
      <c r="N48" s="29"/>
      <c r="O48" s="29"/>
      <c r="P48" s="28"/>
      <c r="Q48" s="28"/>
      <c r="R48" s="28"/>
      <c r="S48" s="29"/>
      <c r="T48" s="29"/>
      <c r="U48" s="28"/>
      <c r="V48" s="28"/>
      <c r="W48" s="28"/>
      <c r="X48" s="29"/>
      <c r="Y48" s="29"/>
      <c r="Z48" s="28"/>
      <c r="AA48" s="28"/>
      <c r="AB48" s="28"/>
      <c r="AC48" s="29"/>
      <c r="AD48" s="29"/>
      <c r="AE48" s="28"/>
      <c r="AF48" s="28"/>
      <c r="AG48" s="28"/>
      <c r="AH48" s="29"/>
      <c r="AI48" s="29"/>
      <c r="AJ48" s="28"/>
      <c r="AK48" s="28"/>
      <c r="AL48" s="28"/>
      <c r="AM48" s="29"/>
      <c r="AN48" s="29"/>
      <c r="AO48" s="28"/>
      <c r="AP48" s="28"/>
      <c r="AQ48" s="28"/>
      <c r="AR48" s="29"/>
      <c r="AS48" s="29"/>
      <c r="AT48" s="28"/>
      <c r="AU48" s="28"/>
      <c r="AV48" s="28"/>
      <c r="AW48" s="29"/>
      <c r="AX48" s="29"/>
      <c r="AY48" s="28"/>
      <c r="AZ48" s="28"/>
      <c r="BA48" s="28"/>
      <c r="BB48" s="29"/>
      <c r="BC48" s="29"/>
      <c r="BD48" s="28"/>
      <c r="BE48" s="28"/>
      <c r="BF48" s="28"/>
      <c r="BG48" s="29"/>
      <c r="BH48" s="29"/>
      <c r="BI48" s="28"/>
      <c r="BJ48" s="699"/>
      <c r="BK48" s="699"/>
      <c r="BL48" s="699"/>
      <c r="BM48" s="699"/>
      <c r="BN48" s="699"/>
      <c r="BO48" s="699"/>
      <c r="BP48" s="699"/>
      <c r="BQ48" s="29"/>
      <c r="BR48" s="29"/>
    </row>
    <row r="49" spans="1:83" s="22" customFormat="1" ht="80.099999999999994" customHeight="1" x14ac:dyDescent="1.35">
      <c r="A49" s="31"/>
      <c r="B49" s="121"/>
      <c r="C49" s="121"/>
      <c r="D49" s="121"/>
      <c r="E49" s="121"/>
      <c r="F49" s="31"/>
      <c r="G49" s="121"/>
      <c r="H49" s="121"/>
      <c r="I49" s="121"/>
      <c r="J49" s="121"/>
      <c r="K49" s="31"/>
      <c r="L49" s="121"/>
      <c r="M49" s="121"/>
      <c r="N49" s="121"/>
      <c r="O49" s="121"/>
      <c r="P49" s="31"/>
      <c r="Q49" s="121"/>
      <c r="R49" s="121"/>
      <c r="S49" s="121"/>
      <c r="T49" s="121"/>
      <c r="U49" s="31"/>
      <c r="V49" s="121"/>
      <c r="W49" s="121"/>
      <c r="X49" s="121"/>
      <c r="Y49" s="121"/>
      <c r="Z49" s="31"/>
      <c r="AA49" s="121"/>
      <c r="AB49" s="121"/>
      <c r="AC49" s="121"/>
      <c r="AD49" s="121"/>
      <c r="AE49" s="31"/>
      <c r="AF49" s="121"/>
      <c r="AG49" s="121"/>
      <c r="AH49" s="121"/>
      <c r="AI49" s="121"/>
      <c r="AJ49" s="31"/>
      <c r="AK49" s="121"/>
      <c r="AL49" s="121"/>
      <c r="AM49" s="121"/>
      <c r="AN49" s="121"/>
      <c r="AO49" s="31"/>
      <c r="AP49" s="121"/>
      <c r="AQ49" s="121"/>
      <c r="AR49" s="121"/>
      <c r="AS49" s="121"/>
      <c r="AT49" s="31"/>
      <c r="AU49" s="121"/>
      <c r="AV49" s="121"/>
      <c r="AW49" s="121"/>
      <c r="AX49" s="121"/>
      <c r="AY49" s="31"/>
      <c r="AZ49" s="121"/>
      <c r="BA49" s="121"/>
      <c r="BB49" s="121"/>
      <c r="BC49" s="121"/>
      <c r="BD49" s="31"/>
      <c r="BE49" s="121"/>
      <c r="BF49" s="121"/>
      <c r="BG49" s="121"/>
      <c r="BH49" s="121"/>
      <c r="BI49" s="31"/>
      <c r="BJ49" s="121"/>
      <c r="BK49" s="121"/>
      <c r="BL49" s="121"/>
      <c r="BM49" s="121"/>
      <c r="BN49" s="31"/>
      <c r="BO49" s="121"/>
      <c r="BP49" s="121"/>
      <c r="BQ49" s="121"/>
      <c r="BR49" s="121"/>
    </row>
    <row r="50" spans="1:83" ht="25.5" customHeight="1" x14ac:dyDescent="0.25">
      <c r="A50" s="31"/>
      <c r="B50" s="32"/>
      <c r="C50" s="33"/>
      <c r="D50" s="34"/>
      <c r="E50" s="35"/>
      <c r="F50" s="31"/>
      <c r="G50" s="32"/>
      <c r="H50" s="33"/>
      <c r="I50" s="34"/>
      <c r="J50" s="35"/>
      <c r="K50" s="31"/>
      <c r="L50" s="32"/>
      <c r="M50" s="33"/>
      <c r="N50" s="34"/>
      <c r="O50" s="35"/>
      <c r="P50" s="31"/>
      <c r="Q50" s="32"/>
      <c r="R50" s="33"/>
      <c r="S50" s="34"/>
      <c r="T50" s="35"/>
      <c r="U50" s="31"/>
      <c r="V50" s="32"/>
      <c r="W50" s="33"/>
      <c r="X50" s="34"/>
      <c r="Y50" s="35"/>
      <c r="Z50" s="31"/>
      <c r="AA50" s="32"/>
      <c r="AB50" s="33"/>
      <c r="AC50" s="34"/>
      <c r="AD50" s="35"/>
      <c r="AE50" s="31"/>
      <c r="AF50" s="32"/>
      <c r="AG50" s="33"/>
      <c r="AH50" s="34"/>
      <c r="AI50" s="35"/>
      <c r="AJ50" s="31"/>
      <c r="AK50" s="32"/>
      <c r="AL50" s="33"/>
      <c r="AM50" s="34"/>
      <c r="AN50" s="35"/>
      <c r="AO50" s="31"/>
      <c r="AP50" s="32"/>
      <c r="AQ50" s="33"/>
      <c r="AR50" s="34"/>
      <c r="AS50" s="35"/>
      <c r="AT50" s="31"/>
      <c r="AU50" s="32"/>
      <c r="AV50" s="33"/>
      <c r="AW50" s="34"/>
      <c r="AX50" s="35"/>
      <c r="AY50" s="31"/>
      <c r="AZ50" s="32"/>
      <c r="BA50" s="33"/>
      <c r="BB50" s="34"/>
      <c r="BC50" s="35"/>
      <c r="BD50" s="31"/>
      <c r="BE50" s="32"/>
      <c r="BF50" s="33"/>
      <c r="BG50" s="34"/>
      <c r="BH50" s="35"/>
      <c r="BI50" s="31"/>
      <c r="BJ50" s="32"/>
      <c r="BK50" s="33"/>
      <c r="BL50" s="34"/>
      <c r="BM50" s="35"/>
      <c r="BN50" s="31"/>
      <c r="BO50" s="32"/>
      <c r="BP50" s="33"/>
      <c r="BQ50" s="34"/>
      <c r="BR50" s="35"/>
      <c r="BW50" s="27"/>
      <c r="BX50" s="27"/>
      <c r="BY50" s="27"/>
      <c r="BZ50" s="27"/>
      <c r="CA50" s="27"/>
      <c r="CB50" s="27"/>
      <c r="CC50" s="27"/>
      <c r="CD50" s="27"/>
      <c r="CE50" s="27"/>
    </row>
    <row r="51" spans="1:83" ht="26.1" hidden="1" customHeight="1" thickTop="1" x14ac:dyDescent="0.25">
      <c r="A51" s="672"/>
      <c r="B51" s="672"/>
      <c r="C51" s="672"/>
      <c r="D51" s="673"/>
      <c r="E51" s="673"/>
      <c r="F51" s="672"/>
      <c r="G51" s="672"/>
      <c r="H51" s="672"/>
      <c r="I51" s="673"/>
      <c r="J51" s="673"/>
      <c r="K51" s="672"/>
      <c r="L51" s="672"/>
      <c r="M51" s="672"/>
      <c r="N51" s="673"/>
      <c r="O51" s="673"/>
      <c r="P51" s="672"/>
      <c r="Q51" s="672"/>
      <c r="R51" s="672"/>
      <c r="S51" s="673"/>
      <c r="T51" s="673"/>
      <c r="U51" s="674"/>
      <c r="V51" s="674"/>
      <c r="W51" s="674"/>
      <c r="X51" s="675"/>
      <c r="Y51" s="675"/>
      <c r="Z51" s="44"/>
      <c r="AA51" s="44"/>
      <c r="AB51" s="44"/>
      <c r="AC51" s="69"/>
      <c r="AD51" s="69"/>
      <c r="AE51" s="44"/>
      <c r="AF51" s="44"/>
      <c r="AG51" s="44"/>
      <c r="AH51" s="69"/>
      <c r="AI51" s="69"/>
      <c r="AJ51" s="44"/>
      <c r="AK51" s="44"/>
      <c r="AL51" s="44"/>
      <c r="AM51" s="69"/>
      <c r="AN51" s="69"/>
      <c r="AO51" s="44"/>
      <c r="AP51" s="44"/>
      <c r="AQ51" s="44"/>
      <c r="AR51" s="69"/>
      <c r="AS51" s="69"/>
      <c r="AT51" s="44"/>
      <c r="AU51" s="44"/>
      <c r="AV51" s="44"/>
      <c r="AW51" s="69"/>
      <c r="AX51" s="69"/>
      <c r="AY51" s="44"/>
      <c r="AZ51" s="44"/>
      <c r="BA51" s="44"/>
      <c r="BB51" s="69"/>
      <c r="BC51" s="69"/>
      <c r="BD51" s="44"/>
      <c r="BE51" s="44"/>
      <c r="BF51" s="44"/>
      <c r="BG51" s="69"/>
      <c r="BH51" s="69"/>
      <c r="BI51" s="674"/>
      <c r="BJ51" s="674"/>
      <c r="BK51" s="674"/>
      <c r="BL51" s="675"/>
      <c r="BM51" s="675"/>
      <c r="BN51" s="674"/>
      <c r="BO51" s="674"/>
      <c r="BP51" s="674"/>
      <c r="BQ51" s="675"/>
      <c r="BR51" s="675"/>
    </row>
    <row r="52" spans="1:83" ht="6.75" hidden="1" customHeight="1" x14ac:dyDescent="0.25">
      <c r="A52" s="676"/>
      <c r="B52" s="676"/>
      <c r="C52" s="676"/>
      <c r="D52" s="29"/>
      <c r="E52" s="29"/>
      <c r="F52" s="676"/>
      <c r="G52" s="676"/>
      <c r="H52" s="676"/>
      <c r="I52" s="29"/>
      <c r="J52" s="29"/>
      <c r="K52" s="676"/>
      <c r="L52" s="676"/>
      <c r="M52" s="676"/>
      <c r="N52" s="29"/>
      <c r="O52" s="29"/>
      <c r="P52" s="676"/>
      <c r="Q52" s="676"/>
      <c r="R52" s="676"/>
      <c r="S52" s="29"/>
      <c r="T52" s="29"/>
      <c r="U52" s="676"/>
      <c r="V52" s="676"/>
      <c r="W52" s="676"/>
      <c r="X52" s="29"/>
      <c r="Y52" s="29"/>
      <c r="Z52" s="47"/>
      <c r="AA52" s="47"/>
      <c r="AB52" s="47"/>
      <c r="AC52" s="29"/>
      <c r="AD52" s="29"/>
      <c r="AE52" s="47"/>
      <c r="AF52" s="47"/>
      <c r="AG52" s="47"/>
      <c r="AH52" s="29"/>
      <c r="AI52" s="29"/>
      <c r="AJ52" s="47"/>
      <c r="AK52" s="47"/>
      <c r="AL52" s="47"/>
      <c r="AM52" s="29"/>
      <c r="AN52" s="29"/>
      <c r="AO52" s="47"/>
      <c r="AP52" s="47"/>
      <c r="AQ52" s="47"/>
      <c r="AR52" s="29"/>
      <c r="AS52" s="29"/>
      <c r="AT52" s="47"/>
      <c r="AU52" s="47"/>
      <c r="AV52" s="47"/>
      <c r="AW52" s="29"/>
      <c r="AX52" s="29"/>
      <c r="AY52" s="47"/>
      <c r="AZ52" s="47"/>
      <c r="BA52" s="47"/>
      <c r="BB52" s="29"/>
      <c r="BC52" s="29"/>
      <c r="BD52" s="47"/>
      <c r="BE52" s="47"/>
      <c r="BF52" s="47"/>
      <c r="BG52" s="29"/>
      <c r="BH52" s="29"/>
      <c r="BI52" s="676"/>
      <c r="BJ52" s="676"/>
      <c r="BK52" s="676"/>
      <c r="BL52" s="29"/>
      <c r="BM52" s="29"/>
      <c r="BN52" s="676"/>
      <c r="BO52" s="676"/>
      <c r="BP52" s="676"/>
      <c r="BQ52" s="29"/>
      <c r="BR52" s="29"/>
    </row>
    <row r="53" spans="1:83" ht="21.95" hidden="1" customHeight="1" x14ac:dyDescent="0.25">
      <c r="A53" s="676"/>
      <c r="B53" s="676"/>
      <c r="C53" s="676"/>
      <c r="D53" s="30"/>
      <c r="E53" s="29"/>
      <c r="F53" s="676"/>
      <c r="G53" s="676"/>
      <c r="H53" s="676"/>
      <c r="I53" s="30"/>
      <c r="J53" s="29"/>
      <c r="K53" s="676"/>
      <c r="L53" s="676"/>
      <c r="M53" s="676"/>
      <c r="N53" s="30"/>
      <c r="O53" s="29"/>
      <c r="P53" s="676"/>
      <c r="Q53" s="676"/>
      <c r="R53" s="676"/>
      <c r="S53" s="30"/>
      <c r="T53" s="29"/>
      <c r="U53" s="676"/>
      <c r="V53" s="676"/>
      <c r="W53" s="676"/>
      <c r="X53" s="30"/>
      <c r="Y53" s="29"/>
      <c r="Z53" s="47"/>
      <c r="AA53" s="47"/>
      <c r="AB53" s="47"/>
      <c r="AC53" s="30"/>
      <c r="AD53" s="29"/>
      <c r="AE53" s="47"/>
      <c r="AF53" s="47"/>
      <c r="AG53" s="47"/>
      <c r="AH53" s="30"/>
      <c r="AI53" s="29"/>
      <c r="AJ53" s="47"/>
      <c r="AK53" s="47"/>
      <c r="AL53" s="47"/>
      <c r="AM53" s="30"/>
      <c r="AN53" s="29"/>
      <c r="AO53" s="47"/>
      <c r="AP53" s="47"/>
      <c r="AQ53" s="47"/>
      <c r="AR53" s="30"/>
      <c r="AS53" s="29"/>
      <c r="AT53" s="47"/>
      <c r="AU53" s="47"/>
      <c r="AV53" s="47"/>
      <c r="AW53" s="30"/>
      <c r="AX53" s="29"/>
      <c r="AY53" s="47"/>
      <c r="AZ53" s="47"/>
      <c r="BA53" s="47"/>
      <c r="BB53" s="30"/>
      <c r="BC53" s="29"/>
      <c r="BD53" s="47"/>
      <c r="BE53" s="47"/>
      <c r="BF53" s="47"/>
      <c r="BG53" s="30"/>
      <c r="BH53" s="29"/>
      <c r="BI53" s="676"/>
      <c r="BJ53" s="676"/>
      <c r="BK53" s="676"/>
      <c r="BL53" s="30"/>
      <c r="BM53" s="29"/>
      <c r="BN53" s="676"/>
      <c r="BO53" s="676"/>
      <c r="BP53" s="676"/>
      <c r="BQ53" s="30"/>
      <c r="BR53" s="29"/>
    </row>
    <row r="54" spans="1:83" ht="6" hidden="1" customHeight="1" x14ac:dyDescent="0.25">
      <c r="A54" s="676"/>
      <c r="B54" s="676"/>
      <c r="C54" s="676"/>
      <c r="D54" s="675"/>
      <c r="E54" s="675"/>
      <c r="F54" s="676"/>
      <c r="G54" s="676"/>
      <c r="H54" s="676"/>
      <c r="I54" s="675"/>
      <c r="J54" s="675"/>
      <c r="K54" s="676"/>
      <c r="L54" s="676"/>
      <c r="M54" s="676"/>
      <c r="N54" s="675"/>
      <c r="O54" s="675"/>
      <c r="P54" s="676"/>
      <c r="Q54" s="676"/>
      <c r="R54" s="676"/>
      <c r="S54" s="675"/>
      <c r="T54" s="675"/>
      <c r="U54" s="676"/>
      <c r="V54" s="676"/>
      <c r="W54" s="676"/>
      <c r="X54" s="675"/>
      <c r="Y54" s="675"/>
      <c r="Z54" s="47"/>
      <c r="AA54" s="47"/>
      <c r="AB54" s="47"/>
      <c r="AC54" s="69"/>
      <c r="AD54" s="69"/>
      <c r="AE54" s="47"/>
      <c r="AF54" s="47"/>
      <c r="AG54" s="47"/>
      <c r="AH54" s="69"/>
      <c r="AI54" s="69"/>
      <c r="AJ54" s="47"/>
      <c r="AK54" s="47"/>
      <c r="AL54" s="47"/>
      <c r="AM54" s="69"/>
      <c r="AN54" s="69"/>
      <c r="AO54" s="47"/>
      <c r="AP54" s="47"/>
      <c r="AQ54" s="47"/>
      <c r="AR54" s="69"/>
      <c r="AS54" s="69"/>
      <c r="AT54" s="47"/>
      <c r="AU54" s="47"/>
      <c r="AV54" s="47"/>
      <c r="AW54" s="69"/>
      <c r="AX54" s="69"/>
      <c r="AY54" s="47"/>
      <c r="AZ54" s="47"/>
      <c r="BA54" s="47"/>
      <c r="BB54" s="69"/>
      <c r="BC54" s="69"/>
      <c r="BD54" s="47"/>
      <c r="BE54" s="47"/>
      <c r="BF54" s="47"/>
      <c r="BG54" s="69"/>
      <c r="BH54" s="69"/>
      <c r="BI54" s="676"/>
      <c r="BJ54" s="676"/>
      <c r="BK54" s="676"/>
      <c r="BL54" s="675"/>
      <c r="BM54" s="675"/>
      <c r="BN54" s="676"/>
      <c r="BO54" s="676"/>
      <c r="BP54" s="676"/>
      <c r="BQ54" s="675"/>
      <c r="BR54" s="675"/>
    </row>
    <row r="55" spans="1:83" ht="59.25" hidden="1" customHeight="1" thickBot="1" x14ac:dyDescent="0.3">
      <c r="A55" s="677"/>
      <c r="B55" s="678"/>
      <c r="C55" s="678"/>
      <c r="D55" s="678"/>
      <c r="E55" s="678"/>
      <c r="F55" s="677"/>
      <c r="G55" s="678"/>
      <c r="H55" s="678"/>
      <c r="I55" s="678"/>
      <c r="J55" s="678"/>
      <c r="K55" s="677"/>
      <c r="L55" s="678"/>
      <c r="M55" s="678"/>
      <c r="N55" s="678"/>
      <c r="O55" s="678"/>
      <c r="P55" s="677"/>
      <c r="Q55" s="678"/>
      <c r="R55" s="678"/>
      <c r="S55" s="678"/>
      <c r="T55" s="678"/>
      <c r="U55" s="677"/>
      <c r="V55" s="678"/>
      <c r="W55" s="678"/>
      <c r="X55" s="678"/>
      <c r="Y55" s="678"/>
      <c r="Z55" s="70"/>
      <c r="AA55" s="71"/>
      <c r="AB55" s="71"/>
      <c r="AC55" s="71"/>
      <c r="AD55" s="71"/>
      <c r="AE55" s="70"/>
      <c r="AF55" s="71"/>
      <c r="AG55" s="71"/>
      <c r="AH55" s="71"/>
      <c r="AI55" s="71"/>
      <c r="AJ55" s="70"/>
      <c r="AK55" s="71"/>
      <c r="AL55" s="71"/>
      <c r="AM55" s="71"/>
      <c r="AN55" s="71"/>
      <c r="AO55" s="70"/>
      <c r="AP55" s="71"/>
      <c r="AQ55" s="71"/>
      <c r="AR55" s="71"/>
      <c r="AS55" s="71"/>
      <c r="AT55" s="70"/>
      <c r="AU55" s="71"/>
      <c r="AV55" s="71"/>
      <c r="AW55" s="71"/>
      <c r="AX55" s="71"/>
      <c r="AY55" s="70"/>
      <c r="AZ55" s="71"/>
      <c r="BA55" s="71"/>
      <c r="BB55" s="71"/>
      <c r="BC55" s="71"/>
      <c r="BD55" s="70"/>
      <c r="BE55" s="71"/>
      <c r="BF55" s="71"/>
      <c r="BG55" s="71"/>
      <c r="BH55" s="71"/>
      <c r="BI55" s="677"/>
      <c r="BJ55" s="678"/>
      <c r="BK55" s="678"/>
      <c r="BL55" s="678"/>
      <c r="BM55" s="678"/>
      <c r="BN55" s="677"/>
      <c r="BO55" s="678"/>
      <c r="BP55" s="678"/>
      <c r="BQ55" s="678"/>
      <c r="BR55" s="678"/>
    </row>
    <row r="56" spans="1:83" ht="27" hidden="1" customHeight="1" thickBot="1" x14ac:dyDescent="0.3">
      <c r="A56" s="677"/>
      <c r="B56" s="32"/>
      <c r="C56" s="33"/>
      <c r="D56" s="34"/>
      <c r="E56" s="35"/>
      <c r="F56" s="677"/>
      <c r="G56" s="32"/>
      <c r="H56" s="33"/>
      <c r="I56" s="34"/>
      <c r="J56" s="35"/>
      <c r="K56" s="677"/>
      <c r="L56" s="32"/>
      <c r="M56" s="33"/>
      <c r="N56" s="34"/>
      <c r="O56" s="35"/>
      <c r="P56" s="677"/>
      <c r="Q56" s="32"/>
      <c r="R56" s="33"/>
      <c r="S56" s="34"/>
      <c r="T56" s="35"/>
      <c r="U56" s="677"/>
      <c r="V56" s="32"/>
      <c r="W56" s="33"/>
      <c r="X56" s="34"/>
      <c r="Y56" s="35"/>
      <c r="Z56" s="70"/>
      <c r="AA56" s="32"/>
      <c r="AB56" s="33"/>
      <c r="AC56" s="34"/>
      <c r="AD56" s="35"/>
      <c r="AE56" s="70"/>
      <c r="AF56" s="32"/>
      <c r="AG56" s="33"/>
      <c r="AH56" s="34"/>
      <c r="AI56" s="35"/>
      <c r="AJ56" s="70"/>
      <c r="AK56" s="32"/>
      <c r="AL56" s="33"/>
      <c r="AM56" s="34"/>
      <c r="AN56" s="35"/>
      <c r="AO56" s="70"/>
      <c r="AP56" s="32"/>
      <c r="AQ56" s="33"/>
      <c r="AR56" s="34"/>
      <c r="AS56" s="35"/>
      <c r="AT56" s="70"/>
      <c r="AU56" s="32"/>
      <c r="AV56" s="33"/>
      <c r="AW56" s="34"/>
      <c r="AX56" s="35"/>
      <c r="AY56" s="70"/>
      <c r="AZ56" s="32"/>
      <c r="BA56" s="33"/>
      <c r="BB56" s="34"/>
      <c r="BC56" s="35"/>
      <c r="BD56" s="70"/>
      <c r="BE56" s="32"/>
      <c r="BF56" s="33"/>
      <c r="BG56" s="34"/>
      <c r="BH56" s="35"/>
      <c r="BI56" s="677"/>
      <c r="BJ56" s="32"/>
      <c r="BK56" s="33"/>
      <c r="BL56" s="34"/>
      <c r="BM56" s="35"/>
      <c r="BN56" s="677"/>
      <c r="BO56" s="32"/>
      <c r="BP56" s="33"/>
      <c r="BQ56" s="34"/>
      <c r="BR56" s="35"/>
      <c r="BW56" s="27"/>
      <c r="BX56" s="27"/>
      <c r="BY56" s="27"/>
      <c r="BZ56" s="27"/>
      <c r="CA56" s="27"/>
      <c r="CB56" s="27"/>
      <c r="CC56" s="27"/>
      <c r="CD56" s="27"/>
      <c r="CE56" s="27"/>
    </row>
    <row r="57" spans="1:83" ht="26.1" hidden="1" customHeight="1" x14ac:dyDescent="0.25">
      <c r="A57" s="674"/>
      <c r="B57" s="674"/>
      <c r="C57" s="674"/>
      <c r="D57" s="675"/>
      <c r="E57" s="675"/>
      <c r="F57" s="674"/>
      <c r="G57" s="674"/>
      <c r="H57" s="674"/>
      <c r="I57" s="675"/>
      <c r="J57" s="675"/>
      <c r="K57" s="674"/>
      <c r="L57" s="674"/>
      <c r="M57" s="674"/>
      <c r="N57" s="675"/>
      <c r="O57" s="675"/>
      <c r="P57" s="674"/>
      <c r="Q57" s="674"/>
      <c r="R57" s="674"/>
      <c r="S57" s="675"/>
      <c r="T57" s="675"/>
      <c r="U57" s="674"/>
      <c r="V57" s="674"/>
      <c r="W57" s="674"/>
      <c r="X57" s="675"/>
      <c r="Y57" s="675"/>
      <c r="Z57" s="44"/>
      <c r="AA57" s="44"/>
      <c r="AB57" s="44"/>
      <c r="AC57" s="69"/>
      <c r="AD57" s="69"/>
      <c r="AE57" s="44"/>
      <c r="AF57" s="44"/>
      <c r="AG57" s="44"/>
      <c r="AH57" s="69"/>
      <c r="AI57" s="69"/>
      <c r="AJ57" s="44"/>
      <c r="AK57" s="44"/>
      <c r="AL57" s="44"/>
      <c r="AM57" s="69"/>
      <c r="AN57" s="69"/>
      <c r="AO57" s="44"/>
      <c r="AP57" s="44"/>
      <c r="AQ57" s="44"/>
      <c r="AR57" s="69"/>
      <c r="AS57" s="69"/>
      <c r="AT57" s="44"/>
      <c r="AU57" s="44"/>
      <c r="AV57" s="44"/>
      <c r="AW57" s="69"/>
      <c r="AX57" s="69"/>
      <c r="AY57" s="44"/>
      <c r="AZ57" s="44"/>
      <c r="BA57" s="44"/>
      <c r="BB57" s="69"/>
      <c r="BC57" s="69"/>
      <c r="BD57" s="44"/>
      <c r="BE57" s="44"/>
      <c r="BF57" s="44"/>
      <c r="BG57" s="69"/>
      <c r="BH57" s="69"/>
      <c r="BI57" s="674"/>
      <c r="BJ57" s="674"/>
      <c r="BK57" s="674"/>
      <c r="BL57" s="675"/>
      <c r="BM57" s="675"/>
      <c r="BN57" s="674"/>
      <c r="BO57" s="674"/>
      <c r="BP57" s="674"/>
      <c r="BQ57" s="675"/>
      <c r="BR57" s="675"/>
    </row>
    <row r="58" spans="1:83" ht="6.75" hidden="1" customHeight="1" x14ac:dyDescent="0.25">
      <c r="A58" s="676"/>
      <c r="B58" s="676"/>
      <c r="C58" s="676"/>
      <c r="D58" s="29"/>
      <c r="E58" s="29"/>
      <c r="F58" s="676"/>
      <c r="G58" s="676"/>
      <c r="H58" s="676"/>
      <c r="I58" s="29"/>
      <c r="J58" s="29"/>
      <c r="K58" s="676"/>
      <c r="L58" s="676"/>
      <c r="M58" s="676"/>
      <c r="N58" s="29"/>
      <c r="O58" s="29"/>
      <c r="P58" s="676"/>
      <c r="Q58" s="676"/>
      <c r="R58" s="676"/>
      <c r="S58" s="29"/>
      <c r="T58" s="29"/>
      <c r="U58" s="676"/>
      <c r="V58" s="676"/>
      <c r="W58" s="676"/>
      <c r="X58" s="29"/>
      <c r="Y58" s="29"/>
      <c r="Z58" s="47"/>
      <c r="AA58" s="47"/>
      <c r="AB58" s="47"/>
      <c r="AC58" s="29"/>
      <c r="AD58" s="29"/>
      <c r="AE58" s="47"/>
      <c r="AF58" s="47"/>
      <c r="AG58" s="47"/>
      <c r="AH58" s="29"/>
      <c r="AI58" s="29"/>
      <c r="AJ58" s="47"/>
      <c r="AK58" s="47"/>
      <c r="AL58" s="47"/>
      <c r="AM58" s="29"/>
      <c r="AN58" s="29"/>
      <c r="AO58" s="47"/>
      <c r="AP58" s="47"/>
      <c r="AQ58" s="47"/>
      <c r="AR58" s="29"/>
      <c r="AS58" s="29"/>
      <c r="AT58" s="47"/>
      <c r="AU58" s="47"/>
      <c r="AV58" s="47"/>
      <c r="AW58" s="29"/>
      <c r="AX58" s="29"/>
      <c r="AY58" s="47"/>
      <c r="AZ58" s="47"/>
      <c r="BA58" s="47"/>
      <c r="BB58" s="29"/>
      <c r="BC58" s="29"/>
      <c r="BD58" s="47"/>
      <c r="BE58" s="47"/>
      <c r="BF58" s="47"/>
      <c r="BG58" s="29"/>
      <c r="BH58" s="29"/>
      <c r="BI58" s="676"/>
      <c r="BJ58" s="676"/>
      <c r="BK58" s="676"/>
      <c r="BL58" s="29"/>
      <c r="BM58" s="29"/>
      <c r="BN58" s="676"/>
      <c r="BO58" s="676"/>
      <c r="BP58" s="676"/>
      <c r="BQ58" s="29"/>
      <c r="BR58" s="29"/>
    </row>
    <row r="59" spans="1:83" ht="21.95" hidden="1" customHeight="1" x14ac:dyDescent="0.25">
      <c r="A59" s="676"/>
      <c r="B59" s="676"/>
      <c r="C59" s="676"/>
      <c r="D59" s="30"/>
      <c r="E59" s="29"/>
      <c r="F59" s="676"/>
      <c r="G59" s="676"/>
      <c r="H59" s="676"/>
      <c r="I59" s="30"/>
      <c r="J59" s="29"/>
      <c r="K59" s="676"/>
      <c r="L59" s="676"/>
      <c r="M59" s="676"/>
      <c r="N59" s="30"/>
      <c r="O59" s="29"/>
      <c r="P59" s="676"/>
      <c r="Q59" s="676"/>
      <c r="R59" s="676"/>
      <c r="S59" s="30"/>
      <c r="T59" s="29"/>
      <c r="U59" s="676"/>
      <c r="V59" s="676"/>
      <c r="W59" s="676"/>
      <c r="X59" s="30"/>
      <c r="Y59" s="29"/>
      <c r="Z59" s="47"/>
      <c r="AA59" s="47"/>
      <c r="AB59" s="47"/>
      <c r="AC59" s="30"/>
      <c r="AD59" s="29"/>
      <c r="AE59" s="47"/>
      <c r="AF59" s="47"/>
      <c r="AG59" s="47"/>
      <c r="AH59" s="30"/>
      <c r="AI59" s="29"/>
      <c r="AJ59" s="47"/>
      <c r="AK59" s="47"/>
      <c r="AL59" s="47"/>
      <c r="AM59" s="30"/>
      <c r="AN59" s="29"/>
      <c r="AO59" s="47"/>
      <c r="AP59" s="47"/>
      <c r="AQ59" s="47"/>
      <c r="AR59" s="30"/>
      <c r="AS59" s="29"/>
      <c r="AT59" s="47"/>
      <c r="AU59" s="47"/>
      <c r="AV59" s="47"/>
      <c r="AW59" s="30"/>
      <c r="AX59" s="29"/>
      <c r="AY59" s="47"/>
      <c r="AZ59" s="47"/>
      <c r="BA59" s="47"/>
      <c r="BB59" s="30"/>
      <c r="BC59" s="29"/>
      <c r="BD59" s="47"/>
      <c r="BE59" s="47"/>
      <c r="BF59" s="47"/>
      <c r="BG59" s="30"/>
      <c r="BH59" s="29"/>
      <c r="BI59" s="676"/>
      <c r="BJ59" s="676"/>
      <c r="BK59" s="676"/>
      <c r="BL59" s="30"/>
      <c r="BM59" s="29"/>
      <c r="BN59" s="676"/>
      <c r="BO59" s="676"/>
      <c r="BP59" s="676"/>
      <c r="BQ59" s="30"/>
      <c r="BR59" s="29"/>
    </row>
    <row r="60" spans="1:83" ht="6" hidden="1" customHeight="1" x14ac:dyDescent="0.25">
      <c r="A60" s="676"/>
      <c r="B60" s="676"/>
      <c r="C60" s="676"/>
      <c r="D60" s="675"/>
      <c r="E60" s="675"/>
      <c r="F60" s="676"/>
      <c r="G60" s="676"/>
      <c r="H60" s="676"/>
      <c r="I60" s="675"/>
      <c r="J60" s="675"/>
      <c r="K60" s="676"/>
      <c r="L60" s="676"/>
      <c r="M60" s="676"/>
      <c r="N60" s="675"/>
      <c r="O60" s="675"/>
      <c r="P60" s="676"/>
      <c r="Q60" s="676"/>
      <c r="R60" s="676"/>
      <c r="S60" s="675"/>
      <c r="T60" s="675"/>
      <c r="U60" s="676"/>
      <c r="V60" s="676"/>
      <c r="W60" s="676"/>
      <c r="X60" s="675"/>
      <c r="Y60" s="675"/>
      <c r="Z60" s="47"/>
      <c r="AA60" s="47"/>
      <c r="AB60" s="47"/>
      <c r="AC60" s="69"/>
      <c r="AD60" s="69"/>
      <c r="AE60" s="47"/>
      <c r="AF60" s="47"/>
      <c r="AG60" s="47"/>
      <c r="AH60" s="69"/>
      <c r="AI60" s="69"/>
      <c r="AJ60" s="47"/>
      <c r="AK60" s="47"/>
      <c r="AL60" s="47"/>
      <c r="AM60" s="69"/>
      <c r="AN60" s="69"/>
      <c r="AO60" s="47"/>
      <c r="AP60" s="47"/>
      <c r="AQ60" s="47"/>
      <c r="AR60" s="69"/>
      <c r="AS60" s="69"/>
      <c r="AT60" s="47"/>
      <c r="AU60" s="47"/>
      <c r="AV60" s="47"/>
      <c r="AW60" s="69"/>
      <c r="AX60" s="69"/>
      <c r="AY60" s="47"/>
      <c r="AZ60" s="47"/>
      <c r="BA60" s="47"/>
      <c r="BB60" s="69"/>
      <c r="BC60" s="69"/>
      <c r="BD60" s="47"/>
      <c r="BE60" s="47"/>
      <c r="BF60" s="47"/>
      <c r="BG60" s="69"/>
      <c r="BH60" s="69"/>
      <c r="BI60" s="676"/>
      <c r="BJ60" s="676"/>
      <c r="BK60" s="676"/>
      <c r="BL60" s="675"/>
      <c r="BM60" s="675"/>
      <c r="BN60" s="676"/>
      <c r="BO60" s="676"/>
      <c r="BP60" s="676"/>
      <c r="BQ60" s="675"/>
      <c r="BR60" s="675"/>
    </row>
    <row r="61" spans="1:83" ht="59.25" hidden="1" customHeight="1" thickBot="1" x14ac:dyDescent="0.3">
      <c r="A61" s="677"/>
      <c r="B61" s="678"/>
      <c r="C61" s="678"/>
      <c r="D61" s="678"/>
      <c r="E61" s="678"/>
      <c r="F61" s="677"/>
      <c r="G61" s="678"/>
      <c r="H61" s="678"/>
      <c r="I61" s="678"/>
      <c r="J61" s="678"/>
      <c r="K61" s="677"/>
      <c r="L61" s="678"/>
      <c r="M61" s="678"/>
      <c r="N61" s="678"/>
      <c r="O61" s="678"/>
      <c r="P61" s="677"/>
      <c r="Q61" s="678"/>
      <c r="R61" s="678"/>
      <c r="S61" s="678"/>
      <c r="T61" s="678"/>
      <c r="U61" s="677"/>
      <c r="V61" s="678"/>
      <c r="W61" s="678"/>
      <c r="X61" s="678"/>
      <c r="Y61" s="678"/>
      <c r="Z61" s="70"/>
      <c r="AA61" s="71"/>
      <c r="AB61" s="71"/>
      <c r="AC61" s="71"/>
      <c r="AD61" s="71"/>
      <c r="AE61" s="70"/>
      <c r="AF61" s="71"/>
      <c r="AG61" s="71"/>
      <c r="AH61" s="71"/>
      <c r="AI61" s="71"/>
      <c r="AJ61" s="70"/>
      <c r="AK61" s="71"/>
      <c r="AL61" s="71"/>
      <c r="AM61" s="71"/>
      <c r="AN61" s="71"/>
      <c r="AO61" s="70"/>
      <c r="AP61" s="71"/>
      <c r="AQ61" s="71"/>
      <c r="AR61" s="71"/>
      <c r="AS61" s="71"/>
      <c r="AT61" s="70"/>
      <c r="AU61" s="71"/>
      <c r="AV61" s="71"/>
      <c r="AW61" s="71"/>
      <c r="AX61" s="71"/>
      <c r="AY61" s="70"/>
      <c r="AZ61" s="71"/>
      <c r="BA61" s="71"/>
      <c r="BB61" s="71"/>
      <c r="BC61" s="71"/>
      <c r="BD61" s="70"/>
      <c r="BE61" s="71"/>
      <c r="BF61" s="71"/>
      <c r="BG61" s="71"/>
      <c r="BH61" s="71"/>
      <c r="BI61" s="677"/>
      <c r="BJ61" s="678"/>
      <c r="BK61" s="678"/>
      <c r="BL61" s="678"/>
      <c r="BM61" s="678"/>
      <c r="BN61" s="677"/>
      <c r="BO61" s="678"/>
      <c r="BP61" s="678"/>
      <c r="BQ61" s="678"/>
      <c r="BR61" s="678"/>
    </row>
    <row r="62" spans="1:83" ht="27" hidden="1" customHeight="1" thickBot="1" x14ac:dyDescent="0.3">
      <c r="A62" s="677"/>
      <c r="B62" s="32"/>
      <c r="C62" s="33"/>
      <c r="D62" s="34"/>
      <c r="E62" s="35"/>
      <c r="F62" s="677"/>
      <c r="G62" s="32"/>
      <c r="H62" s="33"/>
      <c r="I62" s="34"/>
      <c r="J62" s="35"/>
      <c r="K62" s="677"/>
      <c r="L62" s="32"/>
      <c r="M62" s="33"/>
      <c r="N62" s="34"/>
      <c r="O62" s="35"/>
      <c r="P62" s="677"/>
      <c r="Q62" s="32"/>
      <c r="R62" s="33"/>
      <c r="S62" s="34"/>
      <c r="T62" s="35"/>
      <c r="U62" s="677"/>
      <c r="V62" s="32"/>
      <c r="W62" s="33"/>
      <c r="X62" s="34"/>
      <c r="Y62" s="35"/>
      <c r="Z62" s="70"/>
      <c r="AA62" s="32"/>
      <c r="AB62" s="33"/>
      <c r="AC62" s="34"/>
      <c r="AD62" s="35"/>
      <c r="AE62" s="70"/>
      <c r="AF62" s="32"/>
      <c r="AG62" s="33"/>
      <c r="AH62" s="34"/>
      <c r="AI62" s="35"/>
      <c r="AJ62" s="70"/>
      <c r="AK62" s="32"/>
      <c r="AL62" s="33"/>
      <c r="AM62" s="34"/>
      <c r="AN62" s="35"/>
      <c r="AO62" s="70"/>
      <c r="AP62" s="32"/>
      <c r="AQ62" s="33"/>
      <c r="AR62" s="34"/>
      <c r="AS62" s="35"/>
      <c r="AT62" s="70"/>
      <c r="AU62" s="32"/>
      <c r="AV62" s="33"/>
      <c r="AW62" s="34"/>
      <c r="AX62" s="35"/>
      <c r="AY62" s="70"/>
      <c r="AZ62" s="32"/>
      <c r="BA62" s="33"/>
      <c r="BB62" s="34"/>
      <c r="BC62" s="35"/>
      <c r="BD62" s="70"/>
      <c r="BE62" s="32"/>
      <c r="BF62" s="33"/>
      <c r="BG62" s="34"/>
      <c r="BH62" s="35"/>
      <c r="BI62" s="677"/>
      <c r="BJ62" s="32"/>
      <c r="BK62" s="33"/>
      <c r="BL62" s="34"/>
      <c r="BM62" s="35"/>
      <c r="BN62" s="677"/>
      <c r="BO62" s="32"/>
      <c r="BP62" s="33"/>
      <c r="BQ62" s="34"/>
      <c r="BR62" s="35"/>
      <c r="BW62" s="27"/>
      <c r="BX62" s="27"/>
      <c r="BY62" s="27"/>
      <c r="BZ62" s="27"/>
      <c r="CA62" s="27"/>
      <c r="CB62" s="27"/>
      <c r="CC62" s="27"/>
      <c r="CD62" s="27"/>
      <c r="CE62" s="27"/>
    </row>
    <row r="63" spans="1:83" s="42" customFormat="1" ht="30" hidden="1" customHeight="1" thickTop="1" x14ac:dyDescent="0.25">
      <c r="A63" s="37"/>
      <c r="B63" s="38"/>
      <c r="C63" s="39"/>
      <c r="D63" s="40"/>
      <c r="E63" s="41"/>
      <c r="F63" s="37"/>
      <c r="G63" s="38"/>
      <c r="H63" s="39"/>
      <c r="I63" s="40"/>
      <c r="J63" s="41"/>
      <c r="K63" s="37"/>
      <c r="L63" s="38"/>
      <c r="M63" s="39"/>
      <c r="N63" s="40"/>
      <c r="O63" s="41"/>
      <c r="P63" s="37"/>
      <c r="Q63" s="38"/>
      <c r="R63" s="39"/>
      <c r="S63" s="40"/>
      <c r="T63" s="41"/>
      <c r="U63" s="37"/>
      <c r="V63" s="38"/>
      <c r="W63" s="38"/>
      <c r="X63" s="39"/>
      <c r="Y63" s="40"/>
      <c r="Z63" s="41"/>
      <c r="AA63" s="37"/>
      <c r="AB63" s="38"/>
      <c r="AC63" s="39"/>
      <c r="AD63" s="40"/>
      <c r="AE63" s="41"/>
      <c r="AF63" s="38"/>
      <c r="AG63" s="39"/>
      <c r="AH63" s="40"/>
      <c r="AI63" s="41"/>
      <c r="AJ63" s="37"/>
      <c r="AK63" s="38"/>
      <c r="AL63" s="39"/>
      <c r="AM63" s="40"/>
      <c r="AN63" s="41"/>
      <c r="AO63" s="38"/>
      <c r="AP63" s="39"/>
      <c r="AQ63" s="40"/>
      <c r="AR63" s="41"/>
      <c r="AS63" s="37"/>
      <c r="AT63" s="38"/>
      <c r="AU63" s="39"/>
      <c r="AV63" s="40"/>
      <c r="AW63" s="41"/>
      <c r="AX63" s="38"/>
      <c r="AY63" s="39"/>
      <c r="AZ63" s="40"/>
      <c r="BA63" s="41"/>
      <c r="BB63" s="37"/>
      <c r="BC63" s="38"/>
      <c r="BD63" s="39"/>
      <c r="BE63" s="40"/>
      <c r="BF63" s="41"/>
      <c r="BG63" s="38"/>
      <c r="BH63" s="39"/>
      <c r="BI63" s="40"/>
      <c r="BJ63" s="41"/>
      <c r="BK63" s="37"/>
      <c r="BL63" s="38"/>
      <c r="BM63" s="39"/>
      <c r="BN63" s="40"/>
      <c r="BO63" s="41"/>
      <c r="BP63" s="38"/>
      <c r="BQ63" s="39"/>
      <c r="BR63" s="40"/>
      <c r="BW63" s="43"/>
      <c r="BX63" s="43"/>
      <c r="BY63" s="43"/>
      <c r="BZ63" s="43"/>
      <c r="CA63" s="43"/>
      <c r="CB63" s="43"/>
      <c r="CC63" s="43"/>
      <c r="CD63" s="43"/>
      <c r="CE63" s="43"/>
    </row>
    <row r="64" spans="1:83" ht="21.95" hidden="1" customHeight="1" x14ac:dyDescent="0.25">
      <c r="A64" s="674"/>
      <c r="B64" s="674"/>
      <c r="C64" s="674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45"/>
      <c r="BD64" s="45"/>
      <c r="BE64" s="45"/>
      <c r="BF64" s="45"/>
      <c r="BG64" s="45"/>
      <c r="BH64" s="45"/>
      <c r="BI64" s="45"/>
      <c r="BJ64" s="45"/>
      <c r="BK64" s="45"/>
      <c r="BL64" s="45"/>
      <c r="BM64" s="45"/>
      <c r="BN64" s="45"/>
      <c r="BO64" s="45"/>
      <c r="BP64" s="45"/>
      <c r="BQ64" s="45"/>
      <c r="BR64" s="45"/>
    </row>
    <row r="65" spans="1:90" ht="6.75" customHeight="1" x14ac:dyDescent="0.25">
      <c r="A65" s="676"/>
      <c r="B65" s="676"/>
      <c r="C65" s="676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5"/>
      <c r="AW65" s="45"/>
      <c r="AX65" s="45"/>
      <c r="AY65" s="45"/>
      <c r="AZ65" s="45"/>
      <c r="BA65" s="45"/>
      <c r="BB65" s="45"/>
      <c r="BC65" s="45"/>
      <c r="BD65" s="45"/>
      <c r="BE65" s="45"/>
      <c r="BF65" s="45"/>
      <c r="BG65" s="45"/>
      <c r="BH65" s="45"/>
      <c r="BI65" s="45"/>
      <c r="BJ65" s="45"/>
      <c r="BK65" s="45"/>
      <c r="BL65" s="45"/>
      <c r="BM65" s="45"/>
      <c r="BN65" s="45"/>
      <c r="BO65" s="45"/>
      <c r="BP65" s="45"/>
      <c r="BQ65" s="45"/>
      <c r="BR65" s="45"/>
    </row>
    <row r="66" spans="1:90" ht="37.5" hidden="1" customHeight="1" x14ac:dyDescent="0.25">
      <c r="A66" s="676"/>
      <c r="B66" s="676"/>
      <c r="C66" s="676"/>
      <c r="D66" s="49"/>
      <c r="E66" s="49"/>
      <c r="F66" s="49"/>
      <c r="G66" s="49"/>
      <c r="H66" s="49"/>
      <c r="I66" s="49"/>
      <c r="J66" s="49"/>
      <c r="K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5"/>
      <c r="BF66" s="45"/>
      <c r="BG66" s="45"/>
      <c r="BH66" s="45"/>
      <c r="BI66" s="45"/>
      <c r="BJ66" s="45"/>
      <c r="BK66" s="45"/>
      <c r="BL66" s="45"/>
      <c r="BM66" s="45"/>
      <c r="BN66" s="45"/>
      <c r="BO66" s="45"/>
      <c r="BP66" s="45"/>
      <c r="BQ66" s="45"/>
      <c r="BR66" s="45"/>
    </row>
    <row r="67" spans="1:90" ht="6" hidden="1" customHeight="1" x14ac:dyDescent="0.25">
      <c r="A67" s="676"/>
      <c r="B67" s="676"/>
      <c r="C67" s="676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  <c r="AT67" s="45"/>
      <c r="AU67" s="45"/>
      <c r="AV67" s="45"/>
      <c r="AW67" s="45"/>
      <c r="AX67" s="45"/>
      <c r="AY67" s="45"/>
      <c r="AZ67" s="45"/>
      <c r="BA67" s="45"/>
      <c r="BB67" s="45"/>
      <c r="BC67" s="45"/>
      <c r="BD67" s="45"/>
      <c r="BE67" s="45"/>
      <c r="BF67" s="45"/>
      <c r="BG67" s="45"/>
      <c r="BH67" s="45"/>
      <c r="BI67" s="45"/>
      <c r="BJ67" s="45"/>
      <c r="BK67" s="45"/>
      <c r="BL67" s="45"/>
      <c r="BM67" s="45"/>
      <c r="BN67" s="45"/>
      <c r="BO67" s="45"/>
      <c r="BP67" s="45"/>
      <c r="BQ67" s="45"/>
      <c r="BR67" s="45"/>
    </row>
    <row r="68" spans="1:90" ht="30" hidden="1" customHeight="1" x14ac:dyDescent="0.25">
      <c r="B68" s="17"/>
      <c r="D68" s="45"/>
      <c r="E68" s="45"/>
      <c r="F68" s="45"/>
      <c r="G68" s="45"/>
      <c r="H68" s="45"/>
      <c r="I68" s="45"/>
      <c r="J68" s="45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49"/>
      <c r="BC68" s="49"/>
      <c r="BD68" s="49"/>
      <c r="BE68" s="49"/>
      <c r="BF68" s="49"/>
      <c r="BG68" s="49"/>
      <c r="BH68" s="49"/>
      <c r="BI68" s="49"/>
      <c r="BJ68" s="49"/>
      <c r="BK68" s="49"/>
      <c r="BL68" s="49"/>
      <c r="BM68" s="49"/>
      <c r="BN68" s="49"/>
      <c r="BO68" s="49"/>
      <c r="BP68" s="49"/>
      <c r="BQ68" s="49"/>
      <c r="BR68" s="49"/>
      <c r="BS68" s="50"/>
      <c r="BT68" s="50"/>
      <c r="BW68" s="51"/>
      <c r="BX68" s="51"/>
      <c r="BY68" s="51"/>
      <c r="BZ68" s="51"/>
      <c r="CA68" s="51"/>
      <c r="CB68" s="51"/>
      <c r="CC68" s="27"/>
      <c r="CD68" s="27"/>
      <c r="CE68" s="27"/>
      <c r="CG68" s="27"/>
      <c r="CH68" s="27"/>
      <c r="CI68" s="27"/>
      <c r="CJ68" s="27"/>
      <c r="CK68" s="27"/>
      <c r="CL68" s="27"/>
    </row>
    <row r="69" spans="1:90" ht="34.5" hidden="1" customHeight="1" x14ac:dyDescent="0.25"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5"/>
      <c r="AW69" s="45"/>
      <c r="AX69" s="45"/>
      <c r="AY69" s="45"/>
      <c r="AZ69" s="45"/>
      <c r="BA69" s="45"/>
      <c r="BB69" s="45"/>
      <c r="BC69" s="45"/>
      <c r="BD69" s="45"/>
      <c r="BE69" s="45"/>
      <c r="BF69" s="45"/>
      <c r="BG69" s="45"/>
      <c r="BH69" s="45"/>
      <c r="BI69" s="45"/>
      <c r="BJ69" s="45"/>
      <c r="BK69" s="45"/>
      <c r="BL69" s="45"/>
      <c r="BM69" s="45"/>
      <c r="BN69" s="45"/>
      <c r="BO69" s="45"/>
      <c r="BP69" s="45"/>
      <c r="BQ69" s="45"/>
      <c r="BR69" s="45"/>
      <c r="BS69" s="50"/>
      <c r="BT69" s="50"/>
      <c r="BW69" s="27"/>
      <c r="BX69" s="27"/>
      <c r="BY69" s="27"/>
      <c r="BZ69" s="27"/>
      <c r="CA69" s="27"/>
      <c r="CB69" s="27"/>
      <c r="CC69" s="27"/>
      <c r="CD69" s="27"/>
      <c r="CE69" s="27"/>
      <c r="CG69" s="27"/>
      <c r="CH69" s="27"/>
      <c r="CI69" s="27"/>
      <c r="CJ69" s="27"/>
      <c r="CK69" s="27"/>
      <c r="CL69" s="27"/>
    </row>
    <row r="70" spans="1:90" ht="15" hidden="1" customHeight="1" x14ac:dyDescent="0.25">
      <c r="G70" s="45"/>
      <c r="H70" s="45"/>
      <c r="I70" s="45"/>
      <c r="J70" s="52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5"/>
      <c r="AW70" s="45"/>
      <c r="AX70" s="45"/>
      <c r="AY70" s="45"/>
      <c r="AZ70" s="45"/>
      <c r="BA70" s="45"/>
      <c r="BB70" s="45"/>
      <c r="BC70" s="45"/>
      <c r="BD70" s="45"/>
      <c r="BE70" s="45"/>
      <c r="BF70" s="45"/>
      <c r="BG70" s="45"/>
      <c r="BH70" s="45"/>
      <c r="BI70" s="45"/>
      <c r="BJ70" s="45"/>
      <c r="BK70" s="45"/>
      <c r="BL70" s="45"/>
      <c r="BM70" s="45"/>
      <c r="BN70" s="45"/>
      <c r="BO70" s="45"/>
      <c r="BP70" s="45"/>
      <c r="BQ70" s="45"/>
      <c r="BR70" s="45"/>
      <c r="BS70" s="50"/>
      <c r="BT70" s="50"/>
      <c r="BW70" s="27"/>
      <c r="BX70" s="27"/>
      <c r="BY70" s="27"/>
      <c r="BZ70" s="27"/>
      <c r="CA70" s="27"/>
      <c r="CB70" s="27"/>
      <c r="CC70" s="27"/>
      <c r="CD70" s="27"/>
      <c r="CE70" s="27"/>
      <c r="CG70" s="27"/>
      <c r="CH70" s="27"/>
      <c r="CI70" s="27"/>
      <c r="CJ70" s="27"/>
      <c r="CK70" s="27"/>
      <c r="CL70" s="27"/>
    </row>
    <row r="71" spans="1:90" ht="16.5" customHeight="1" x14ac:dyDescent="0.25">
      <c r="G71" s="45"/>
      <c r="H71" s="45"/>
      <c r="I71" s="45"/>
      <c r="J71" s="52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38"/>
      <c r="X71" s="39"/>
      <c r="Y71" s="40"/>
      <c r="Z71" s="41"/>
      <c r="AA71" s="37"/>
      <c r="AB71" s="38"/>
      <c r="AC71" s="39"/>
      <c r="AD71" s="40"/>
      <c r="AE71" s="41"/>
      <c r="AF71" s="38"/>
      <c r="AG71" s="39"/>
      <c r="AH71" s="40"/>
      <c r="AI71" s="41"/>
      <c r="AJ71" s="37"/>
      <c r="AK71" s="38"/>
      <c r="AL71" s="39"/>
      <c r="AM71" s="40"/>
      <c r="AN71" s="41"/>
      <c r="AO71" s="38"/>
      <c r="AP71" s="39"/>
      <c r="AQ71" s="40"/>
      <c r="AR71" s="41"/>
      <c r="AS71" s="37"/>
      <c r="AT71" s="38"/>
      <c r="AU71" s="39"/>
      <c r="AV71" s="40"/>
      <c r="AW71" s="41"/>
      <c r="AX71" s="38"/>
      <c r="AY71" s="39"/>
      <c r="AZ71" s="40"/>
      <c r="BA71" s="41"/>
      <c r="BB71" s="37"/>
      <c r="BC71" s="38"/>
      <c r="BD71" s="39"/>
      <c r="BE71" s="40"/>
      <c r="BF71" s="41"/>
      <c r="BG71" s="38"/>
      <c r="BH71" s="39"/>
      <c r="BI71" s="40"/>
      <c r="BJ71" s="41"/>
      <c r="BK71" s="37"/>
      <c r="BL71" s="38"/>
      <c r="BM71" s="39"/>
      <c r="BN71" s="40"/>
      <c r="BO71" s="41"/>
      <c r="BP71" s="38"/>
      <c r="BQ71" s="39"/>
      <c r="BR71" s="40"/>
      <c r="BS71" s="50"/>
      <c r="BT71" s="50"/>
      <c r="BW71" s="27"/>
      <c r="BX71" s="27"/>
      <c r="BY71" s="27"/>
      <c r="BZ71" s="27"/>
      <c r="CA71" s="27"/>
      <c r="CB71" s="27"/>
      <c r="CC71" s="27"/>
      <c r="CD71" s="27"/>
      <c r="CE71" s="27"/>
      <c r="CG71" s="27"/>
      <c r="CH71" s="27"/>
      <c r="CI71" s="27"/>
      <c r="CJ71" s="27"/>
      <c r="CK71" s="27"/>
      <c r="CL71" s="27"/>
    </row>
    <row r="72" spans="1:90" ht="15" hidden="1" customHeight="1" x14ac:dyDescent="0.25">
      <c r="G72" s="49"/>
      <c r="H72" s="49"/>
      <c r="I72" s="49"/>
      <c r="J72" s="52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  <c r="BC72" s="45"/>
      <c r="BD72" s="45"/>
      <c r="BE72" s="45"/>
      <c r="BF72" s="45"/>
      <c r="BG72" s="45"/>
      <c r="BH72" s="45"/>
      <c r="BI72" s="45"/>
      <c r="BJ72" s="45"/>
      <c r="BK72" s="45"/>
      <c r="BL72" s="45"/>
      <c r="BM72" s="45"/>
      <c r="BN72" s="45"/>
      <c r="BO72" s="45"/>
      <c r="BP72" s="45"/>
      <c r="BQ72" s="45"/>
      <c r="BR72" s="45"/>
      <c r="BS72" s="53"/>
      <c r="BT72" s="53"/>
    </row>
    <row r="73" spans="1:90" ht="22.5" hidden="1" customHeight="1" x14ac:dyDescent="0.25">
      <c r="G73" s="45"/>
      <c r="H73" s="45"/>
      <c r="I73" s="45"/>
      <c r="J73" s="52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45"/>
      <c r="AW73" s="45"/>
      <c r="AX73" s="45"/>
      <c r="AY73" s="45"/>
      <c r="AZ73" s="45"/>
      <c r="BA73" s="45"/>
      <c r="BB73" s="45"/>
      <c r="BC73" s="45"/>
      <c r="BD73" s="45"/>
      <c r="BE73" s="45"/>
      <c r="BF73" s="45"/>
      <c r="BG73" s="45"/>
      <c r="BH73" s="45"/>
      <c r="BI73" s="45"/>
      <c r="BJ73" s="45"/>
      <c r="BK73" s="45"/>
      <c r="BL73" s="45"/>
      <c r="BM73" s="45"/>
      <c r="BN73" s="45"/>
      <c r="BO73" s="45"/>
      <c r="BP73" s="45"/>
      <c r="BQ73" s="45"/>
      <c r="BR73" s="45"/>
      <c r="BS73" s="53"/>
      <c r="BT73" s="53"/>
    </row>
    <row r="74" spans="1:90" ht="23.25" x14ac:dyDescent="0.35">
      <c r="A74" s="54"/>
      <c r="E74" s="54"/>
      <c r="F74" s="54"/>
      <c r="G74" s="54"/>
      <c r="H74" s="54"/>
      <c r="I74" s="54"/>
      <c r="J74" s="54"/>
      <c r="K74" s="54"/>
    </row>
    <row r="75" spans="1:90" ht="24" thickBot="1" x14ac:dyDescent="0.4">
      <c r="A75" s="54"/>
      <c r="B75" s="54"/>
      <c r="C75" s="54"/>
      <c r="D75" s="54"/>
      <c r="E75" s="54"/>
      <c r="F75" s="54"/>
      <c r="G75" s="1992" t="s">
        <v>563</v>
      </c>
      <c r="H75" s="1992"/>
      <c r="I75" s="1992"/>
      <c r="J75" s="1992"/>
      <c r="K75" s="1992"/>
      <c r="L75" s="1992"/>
      <c r="M75" s="1992"/>
      <c r="N75" s="1992"/>
      <c r="O75" s="1992"/>
      <c r="X75" s="55"/>
    </row>
    <row r="76" spans="1:90" ht="15.75" customHeight="1" thickTop="1" x14ac:dyDescent="0.25">
      <c r="G76" s="1992"/>
      <c r="H76" s="1992"/>
      <c r="I76" s="1992"/>
      <c r="J76" s="1992"/>
      <c r="K76" s="1992"/>
      <c r="L76" s="1992"/>
      <c r="M76" s="1992"/>
      <c r="N76" s="1992"/>
      <c r="O76" s="1992"/>
      <c r="AD76" s="775">
        <v>16.38</v>
      </c>
      <c r="AE76" s="776"/>
      <c r="AF76" s="776"/>
      <c r="AG76" s="776"/>
      <c r="AH76" s="777"/>
      <c r="AL76" s="727" t="s">
        <v>122</v>
      </c>
      <c r="AM76" s="727"/>
      <c r="AN76" s="727"/>
      <c r="AO76" s="727" t="s">
        <v>123</v>
      </c>
      <c r="AP76" s="727"/>
      <c r="AQ76" s="727"/>
      <c r="AR76" s="727" t="s">
        <v>124</v>
      </c>
      <c r="AS76" s="727"/>
      <c r="AT76" s="727" t="s">
        <v>125</v>
      </c>
      <c r="AU76" s="727"/>
      <c r="AY76" s="739" t="s">
        <v>126</v>
      </c>
      <c r="AZ76" s="740"/>
      <c r="BA76" s="740"/>
      <c r="BB76" s="740"/>
      <c r="BC76" s="740"/>
      <c r="BD76" s="740"/>
      <c r="BE76" s="740"/>
      <c r="BF76" s="740"/>
      <c r="BG76" s="740"/>
      <c r="BH76" s="741"/>
      <c r="BI76" s="13"/>
      <c r="BJ76" s="13"/>
      <c r="BK76" s="13"/>
      <c r="BL76" s="13"/>
      <c r="BM76" s="13"/>
      <c r="BN76" s="13"/>
      <c r="BO76" s="13"/>
      <c r="BP76" s="13"/>
      <c r="BQ76" s="13"/>
      <c r="BR76" s="13"/>
    </row>
    <row r="77" spans="1:90" ht="15" customHeight="1" x14ac:dyDescent="0.25">
      <c r="G77" s="1992"/>
      <c r="H77" s="1992"/>
      <c r="I77" s="1992"/>
      <c r="J77" s="1992"/>
      <c r="K77" s="1992"/>
      <c r="L77" s="1992"/>
      <c r="M77" s="1992"/>
      <c r="N77" s="1992"/>
      <c r="O77" s="1992"/>
      <c r="P77" s="114"/>
      <c r="Q77" s="114"/>
      <c r="R77" s="114"/>
      <c r="S77" s="114"/>
      <c r="T77" s="114"/>
      <c r="U77" s="114"/>
      <c r="V77" s="114"/>
      <c r="AD77" s="778"/>
      <c r="AE77" s="779"/>
      <c r="AF77" s="779"/>
      <c r="AG77" s="779"/>
      <c r="AH77" s="780"/>
      <c r="AL77" s="727"/>
      <c r="AM77" s="727"/>
      <c r="AN77" s="727"/>
      <c r="AO77" s="727"/>
      <c r="AP77" s="727"/>
      <c r="AQ77" s="727"/>
      <c r="AR77" s="727"/>
      <c r="AS77" s="727"/>
      <c r="AT77" s="727"/>
      <c r="AU77" s="727"/>
      <c r="AY77" s="750"/>
      <c r="AZ77" s="751"/>
      <c r="BA77" s="751"/>
      <c r="BB77" s="751"/>
      <c r="BC77" s="751"/>
      <c r="BD77" s="751"/>
      <c r="BE77" s="751"/>
      <c r="BF77" s="751"/>
      <c r="BG77" s="751"/>
      <c r="BH77" s="752"/>
      <c r="BI77" s="13"/>
      <c r="BJ77" s="13"/>
      <c r="BK77" s="13"/>
      <c r="BL77" s="13"/>
      <c r="BM77" s="13"/>
      <c r="BN77" s="13"/>
      <c r="BO77" s="13"/>
      <c r="BP77" s="13"/>
      <c r="BQ77" s="13"/>
      <c r="BR77" s="13"/>
    </row>
    <row r="78" spans="1:90" ht="15" customHeight="1" x14ac:dyDescent="0.25">
      <c r="G78" s="1992"/>
      <c r="H78" s="1992"/>
      <c r="I78" s="1992"/>
      <c r="J78" s="1992"/>
      <c r="K78" s="1992"/>
      <c r="L78" s="1992"/>
      <c r="M78" s="1992"/>
      <c r="N78" s="1992"/>
      <c r="O78" s="1992"/>
      <c r="P78" s="114"/>
      <c r="Q78" s="114"/>
      <c r="R78" s="114"/>
      <c r="S78" s="114"/>
      <c r="T78" s="114"/>
      <c r="U78" s="114"/>
      <c r="V78" s="114"/>
      <c r="AA78" s="56"/>
      <c r="AD78" s="778"/>
      <c r="AE78" s="779"/>
      <c r="AF78" s="779"/>
      <c r="AG78" s="779"/>
      <c r="AH78" s="780"/>
      <c r="AL78" s="727"/>
      <c r="AM78" s="727"/>
      <c r="AN78" s="727"/>
      <c r="AO78" s="727"/>
      <c r="AP78" s="727"/>
      <c r="AQ78" s="727"/>
      <c r="AR78" s="727"/>
      <c r="AS78" s="727"/>
      <c r="AT78" s="727"/>
      <c r="AU78" s="727"/>
      <c r="AY78" s="742"/>
      <c r="AZ78" s="743"/>
      <c r="BA78" s="743"/>
      <c r="BB78" s="743"/>
      <c r="BC78" s="743"/>
      <c r="BD78" s="743"/>
      <c r="BE78" s="743"/>
      <c r="BF78" s="743"/>
      <c r="BG78" s="743"/>
      <c r="BH78" s="744"/>
      <c r="BI78" s="13"/>
      <c r="BJ78" s="13"/>
      <c r="BK78" s="13"/>
      <c r="BL78" s="13"/>
      <c r="BM78" s="13"/>
      <c r="BN78" s="13"/>
      <c r="BO78" s="13"/>
      <c r="BP78" s="13"/>
      <c r="BQ78" s="13"/>
      <c r="BR78" s="13"/>
    </row>
    <row r="79" spans="1:90" ht="15" customHeight="1" x14ac:dyDescent="0.25">
      <c r="G79" s="1992"/>
      <c r="H79" s="1992"/>
      <c r="I79" s="1992"/>
      <c r="J79" s="1992"/>
      <c r="K79" s="1992"/>
      <c r="L79" s="1992"/>
      <c r="M79" s="1992"/>
      <c r="N79" s="1992"/>
      <c r="O79" s="1992"/>
      <c r="P79" s="114"/>
      <c r="Q79" s="114"/>
      <c r="R79" s="114"/>
      <c r="S79" s="114"/>
      <c r="T79" s="114"/>
      <c r="U79" s="114"/>
      <c r="V79" s="114"/>
      <c r="AD79" s="778"/>
      <c r="AE79" s="779"/>
      <c r="AF79" s="779"/>
      <c r="AG79" s="779"/>
      <c r="AH79" s="780"/>
      <c r="AL79" s="774">
        <v>2085</v>
      </c>
      <c r="AM79" s="774"/>
      <c r="AN79" s="774"/>
      <c r="AO79" s="774">
        <f>AT107</f>
        <v>2085</v>
      </c>
      <c r="AP79" s="774"/>
      <c r="AQ79" s="774"/>
      <c r="AR79" s="726">
        <f>AS40</f>
        <v>16.380400002412397</v>
      </c>
      <c r="AS79" s="726"/>
      <c r="AT79" s="726">
        <f>AS40+BJ42</f>
        <v>40.380400002412401</v>
      </c>
      <c r="AU79" s="726"/>
      <c r="AY79" s="727" t="s">
        <v>128</v>
      </c>
      <c r="AZ79" s="727"/>
      <c r="BA79" s="727"/>
      <c r="BB79" s="727"/>
      <c r="BC79" s="727"/>
      <c r="BD79" s="727"/>
      <c r="BE79" s="727"/>
      <c r="BF79" s="727"/>
      <c r="BG79" s="727"/>
      <c r="BH79" s="727"/>
      <c r="BI79" s="13"/>
      <c r="BJ79" s="13"/>
      <c r="BK79" s="13"/>
      <c r="BL79" s="13"/>
      <c r="BM79" s="13"/>
      <c r="BN79" s="13"/>
      <c r="BO79" s="13"/>
      <c r="BP79" s="13"/>
      <c r="BQ79" s="13"/>
      <c r="BR79" s="13"/>
    </row>
    <row r="80" spans="1:90" ht="15" customHeight="1" x14ac:dyDescent="0.25">
      <c r="G80" s="1992"/>
      <c r="H80" s="1992"/>
      <c r="I80" s="1992"/>
      <c r="J80" s="1992"/>
      <c r="K80" s="1992"/>
      <c r="L80" s="1992"/>
      <c r="M80" s="1992"/>
      <c r="N80" s="1992"/>
      <c r="O80" s="1992"/>
      <c r="P80" s="114"/>
      <c r="Q80" s="114"/>
      <c r="R80" s="114"/>
      <c r="S80" s="114"/>
      <c r="T80" s="114"/>
      <c r="U80" s="114"/>
      <c r="V80" s="114"/>
      <c r="AD80" s="778"/>
      <c r="AE80" s="779"/>
      <c r="AF80" s="779"/>
      <c r="AG80" s="779"/>
      <c r="AH80" s="780"/>
      <c r="AL80" s="774"/>
      <c r="AM80" s="774"/>
      <c r="AN80" s="774"/>
      <c r="AO80" s="774"/>
      <c r="AP80" s="774"/>
      <c r="AQ80" s="774"/>
      <c r="AR80" s="726"/>
      <c r="AS80" s="726"/>
      <c r="AT80" s="726"/>
      <c r="AU80" s="726"/>
      <c r="AY80" s="727"/>
      <c r="AZ80" s="727"/>
      <c r="BA80" s="727"/>
      <c r="BB80" s="727"/>
      <c r="BC80" s="727"/>
      <c r="BD80" s="727"/>
      <c r="BE80" s="727"/>
      <c r="BF80" s="727"/>
      <c r="BG80" s="727"/>
      <c r="BH80" s="727"/>
      <c r="BI80" s="13"/>
      <c r="BJ80" s="13"/>
      <c r="BK80" s="13"/>
      <c r="BL80" s="13"/>
      <c r="BM80" s="13"/>
      <c r="BN80" s="13"/>
      <c r="BO80" s="13"/>
      <c r="BP80" s="13"/>
      <c r="BQ80" s="13"/>
      <c r="BR80" s="13"/>
    </row>
    <row r="81" spans="7:70" ht="15" customHeight="1" x14ac:dyDescent="0.25">
      <c r="G81" s="1992"/>
      <c r="H81" s="1992"/>
      <c r="I81" s="1992"/>
      <c r="J81" s="1992"/>
      <c r="K81" s="1992"/>
      <c r="L81" s="1992"/>
      <c r="M81" s="1992"/>
      <c r="N81" s="1992"/>
      <c r="O81" s="1992"/>
      <c r="P81" s="114"/>
      <c r="Q81" s="114"/>
      <c r="R81" s="114"/>
      <c r="S81" s="114"/>
      <c r="T81" s="114"/>
      <c r="U81" s="114"/>
      <c r="V81" s="114"/>
      <c r="AD81" s="778"/>
      <c r="AE81" s="779"/>
      <c r="AF81" s="779"/>
      <c r="AG81" s="779"/>
      <c r="AH81" s="780"/>
      <c r="AL81" s="774"/>
      <c r="AM81" s="774"/>
      <c r="AN81" s="774"/>
      <c r="AO81" s="774"/>
      <c r="AP81" s="774"/>
      <c r="AQ81" s="774"/>
      <c r="AR81" s="726"/>
      <c r="AS81" s="726"/>
      <c r="AT81" s="726"/>
      <c r="AU81" s="726"/>
      <c r="AY81" s="728">
        <f>AR79/((84*3.1415/59)*(AO79/3.281))</f>
        <v>5.7631554692436481E-3</v>
      </c>
      <c r="AZ81" s="729"/>
      <c r="BA81" s="729"/>
      <c r="BB81" s="729"/>
      <c r="BC81" s="729"/>
      <c r="BD81" s="729"/>
      <c r="BE81" s="729"/>
      <c r="BF81" s="729"/>
      <c r="BG81" s="729"/>
      <c r="BH81" s="730"/>
      <c r="BI81" s="57"/>
      <c r="BJ81" s="57"/>
      <c r="BK81" s="57"/>
      <c r="BL81" s="57"/>
      <c r="BM81" s="57"/>
      <c r="BN81" s="57"/>
      <c r="BO81" s="57"/>
      <c r="BP81" s="57"/>
      <c r="BQ81" s="57"/>
      <c r="BR81" s="57"/>
    </row>
    <row r="82" spans="7:70" ht="15.75" customHeight="1" thickBot="1" x14ac:dyDescent="0.3">
      <c r="G82" s="1992"/>
      <c r="H82" s="1992"/>
      <c r="I82" s="1992"/>
      <c r="J82" s="1992"/>
      <c r="K82" s="1992"/>
      <c r="L82" s="1992"/>
      <c r="M82" s="1992"/>
      <c r="N82" s="1992"/>
      <c r="O82" s="1992"/>
      <c r="AD82" s="781"/>
      <c r="AE82" s="782"/>
      <c r="AF82" s="782"/>
      <c r="AG82" s="782"/>
      <c r="AH82" s="783"/>
      <c r="AL82" s="774"/>
      <c r="AM82" s="774"/>
      <c r="AN82" s="774"/>
      <c r="AO82" s="774"/>
      <c r="AP82" s="774"/>
      <c r="AQ82" s="774"/>
      <c r="AR82" s="726"/>
      <c r="AS82" s="726"/>
      <c r="AT82" s="726"/>
      <c r="AU82" s="726"/>
      <c r="AY82" s="731"/>
      <c r="AZ82" s="732"/>
      <c r="BA82" s="732"/>
      <c r="BB82" s="732"/>
      <c r="BC82" s="732"/>
      <c r="BD82" s="732"/>
      <c r="BE82" s="732"/>
      <c r="BF82" s="732"/>
      <c r="BG82" s="732"/>
      <c r="BH82" s="733"/>
      <c r="BI82" s="57"/>
      <c r="BJ82" s="57"/>
      <c r="BK82" s="57"/>
      <c r="BL82" s="57"/>
      <c r="BM82" s="57"/>
      <c r="BN82" s="57"/>
      <c r="BO82" s="57"/>
      <c r="BP82" s="57"/>
      <c r="BQ82" s="57"/>
      <c r="BR82" s="57"/>
    </row>
    <row r="83" spans="7:70" ht="15.75" customHeight="1" thickTop="1" x14ac:dyDescent="0.25">
      <c r="G83" s="1992"/>
      <c r="H83" s="1992"/>
      <c r="I83" s="1992"/>
      <c r="J83" s="1992"/>
      <c r="K83" s="1992"/>
      <c r="L83" s="1992"/>
      <c r="M83" s="1992"/>
      <c r="N83" s="1992"/>
      <c r="O83" s="1992"/>
      <c r="AY83" s="734"/>
      <c r="AZ83" s="735"/>
      <c r="BA83" s="735"/>
      <c r="BB83" s="735"/>
      <c r="BC83" s="735"/>
      <c r="BD83" s="735"/>
      <c r="BE83" s="735"/>
      <c r="BF83" s="735"/>
      <c r="BG83" s="735"/>
      <c r="BH83" s="736"/>
      <c r="BI83" s="57"/>
      <c r="BJ83" s="57"/>
      <c r="BK83" s="57"/>
      <c r="BL83" s="57"/>
      <c r="BM83" s="57"/>
      <c r="BN83" s="57"/>
      <c r="BO83" s="57"/>
      <c r="BP83" s="57"/>
      <c r="BQ83" s="57"/>
      <c r="BR83" s="57"/>
    </row>
    <row r="84" spans="7:70" x14ac:dyDescent="0.25">
      <c r="AY84" s="739" t="s">
        <v>129</v>
      </c>
      <c r="AZ84" s="740"/>
      <c r="BA84" s="740"/>
      <c r="BB84" s="740"/>
      <c r="BC84" s="740"/>
      <c r="BD84" s="740"/>
      <c r="BE84" s="740"/>
      <c r="BF84" s="740"/>
      <c r="BG84" s="740"/>
      <c r="BH84" s="741"/>
      <c r="BI84" s="13"/>
      <c r="BJ84" s="13"/>
      <c r="BK84" s="13"/>
      <c r="BL84" s="13"/>
      <c r="BM84" s="13"/>
      <c r="BN84" s="13"/>
      <c r="BO84" s="13"/>
      <c r="BP84" s="13"/>
      <c r="BQ84" s="13"/>
      <c r="BR84" s="13"/>
    </row>
    <row r="85" spans="7:70" x14ac:dyDescent="0.25">
      <c r="AY85" s="742"/>
      <c r="AZ85" s="743"/>
      <c r="BA85" s="743"/>
      <c r="BB85" s="743"/>
      <c r="BC85" s="743"/>
      <c r="BD85" s="743"/>
      <c r="BE85" s="743"/>
      <c r="BF85" s="743"/>
      <c r="BG85" s="743"/>
      <c r="BH85" s="744"/>
      <c r="BI85" s="13"/>
      <c r="BJ85" s="13"/>
      <c r="BK85" s="13"/>
      <c r="BL85" s="13"/>
      <c r="BM85" s="13"/>
      <c r="BN85" s="13"/>
      <c r="BO85" s="13"/>
      <c r="BP85" s="13"/>
      <c r="BQ85" s="13"/>
      <c r="BR85" s="13"/>
    </row>
    <row r="86" spans="7:70" ht="15" customHeight="1" x14ac:dyDescent="0.25">
      <c r="AN86" s="1255">
        <v>70</v>
      </c>
      <c r="AO86" s="1255"/>
      <c r="AP86" s="1255"/>
      <c r="AQ86" s="746">
        <v>9</v>
      </c>
      <c r="AR86" s="746"/>
      <c r="AS86" s="746"/>
      <c r="AT86" s="747">
        <f>AQ86*AN86</f>
        <v>630</v>
      </c>
      <c r="AU86" s="748"/>
      <c r="AV86" s="748"/>
      <c r="AW86" s="749"/>
      <c r="AY86" s="739" t="s">
        <v>130</v>
      </c>
      <c r="AZ86" s="740"/>
      <c r="BA86" s="740"/>
      <c r="BB86" s="740"/>
      <c r="BC86" s="740"/>
      <c r="BD86" s="740"/>
      <c r="BE86" s="740"/>
      <c r="BF86" s="740"/>
      <c r="BG86" s="740"/>
      <c r="BH86" s="741"/>
      <c r="BI86" s="13"/>
      <c r="BJ86" s="13"/>
      <c r="BK86" s="13"/>
      <c r="BL86" s="13"/>
      <c r="BM86" s="13"/>
      <c r="BN86" s="13"/>
      <c r="BO86" s="13"/>
      <c r="BP86" s="13"/>
      <c r="BQ86" s="13"/>
      <c r="BR86" s="13"/>
    </row>
    <row r="87" spans="7:70" ht="15" customHeight="1" x14ac:dyDescent="0.25">
      <c r="AN87" s="1255"/>
      <c r="AO87" s="1255"/>
      <c r="AP87" s="1255"/>
      <c r="AQ87" s="746"/>
      <c r="AR87" s="746"/>
      <c r="AS87" s="746"/>
      <c r="AT87" s="747"/>
      <c r="AU87" s="748"/>
      <c r="AV87" s="748"/>
      <c r="AW87" s="749"/>
      <c r="AY87" s="750"/>
      <c r="AZ87" s="751"/>
      <c r="BA87" s="751"/>
      <c r="BB87" s="751"/>
      <c r="BC87" s="751"/>
      <c r="BD87" s="751"/>
      <c r="BE87" s="751"/>
      <c r="BF87" s="751"/>
      <c r="BG87" s="751"/>
      <c r="BH87" s="752"/>
      <c r="BI87" s="13"/>
      <c r="BJ87" s="13"/>
      <c r="BK87" s="13"/>
      <c r="BL87" s="13"/>
      <c r="BM87" s="13"/>
      <c r="BN87" s="13"/>
      <c r="BO87" s="13"/>
      <c r="BP87" s="13"/>
      <c r="BQ87" s="13"/>
      <c r="BR87" s="13"/>
    </row>
    <row r="88" spans="7:70" ht="15" customHeight="1" x14ac:dyDescent="0.25">
      <c r="AN88" s="1255"/>
      <c r="AO88" s="1255"/>
      <c r="AP88" s="1255"/>
      <c r="AQ88" s="746"/>
      <c r="AR88" s="746"/>
      <c r="AS88" s="746"/>
      <c r="AT88" s="747"/>
      <c r="AU88" s="748"/>
      <c r="AV88" s="748"/>
      <c r="AW88" s="749"/>
      <c r="AY88" s="750"/>
      <c r="AZ88" s="751"/>
      <c r="BA88" s="751"/>
      <c r="BB88" s="751"/>
      <c r="BC88" s="751"/>
      <c r="BD88" s="751"/>
      <c r="BE88" s="751"/>
      <c r="BF88" s="751"/>
      <c r="BG88" s="751"/>
      <c r="BH88" s="752"/>
      <c r="BI88" s="13"/>
      <c r="BJ88" s="13"/>
      <c r="BK88" s="13"/>
      <c r="BL88" s="13"/>
      <c r="BM88" s="13"/>
      <c r="BN88" s="13"/>
      <c r="BO88" s="13"/>
      <c r="BP88" s="13"/>
      <c r="BQ88" s="13"/>
      <c r="BR88" s="13"/>
    </row>
    <row r="89" spans="7:70" ht="15" customHeight="1" x14ac:dyDescent="0.25">
      <c r="AN89" s="727">
        <v>65</v>
      </c>
      <c r="AO89" s="727"/>
      <c r="AP89" s="727"/>
      <c r="AQ89" s="746">
        <v>3</v>
      </c>
      <c r="AR89" s="746"/>
      <c r="AS89" s="746"/>
      <c r="AT89" s="747">
        <f t="shared" ref="AT89" si="32">AQ89*AN89</f>
        <v>195</v>
      </c>
      <c r="AU89" s="748"/>
      <c r="AV89" s="748"/>
      <c r="AW89" s="749"/>
      <c r="AY89" s="742"/>
      <c r="AZ89" s="743"/>
      <c r="BA89" s="743"/>
      <c r="BB89" s="743"/>
      <c r="BC89" s="743"/>
      <c r="BD89" s="743"/>
      <c r="BE89" s="743"/>
      <c r="BF89" s="743"/>
      <c r="BG89" s="743"/>
      <c r="BH89" s="744"/>
      <c r="BI89" s="13"/>
      <c r="BJ89" s="13"/>
      <c r="BK89" s="13"/>
      <c r="BL89" s="13"/>
      <c r="BM89" s="13"/>
      <c r="BN89" s="13"/>
      <c r="BO89" s="13"/>
      <c r="BP89" s="13"/>
      <c r="BQ89" s="13"/>
      <c r="BR89" s="13"/>
    </row>
    <row r="90" spans="7:70" ht="26.25" x14ac:dyDescent="0.25">
      <c r="AN90" s="727"/>
      <c r="AO90" s="727"/>
      <c r="AP90" s="727"/>
      <c r="AQ90" s="746"/>
      <c r="AR90" s="746"/>
      <c r="AS90" s="746"/>
      <c r="AT90" s="747"/>
      <c r="AU90" s="748"/>
      <c r="AV90" s="748"/>
      <c r="AW90" s="749"/>
      <c r="AY90" s="728">
        <f>AT79/((84*3.1415/59)*(AO79/3.281))</f>
        <v>1.4207133103579643E-2</v>
      </c>
      <c r="AZ90" s="729"/>
      <c r="BA90" s="729"/>
      <c r="BB90" s="729"/>
      <c r="BC90" s="729"/>
      <c r="BD90" s="729"/>
      <c r="BE90" s="729"/>
      <c r="BF90" s="729"/>
      <c r="BG90" s="729"/>
      <c r="BH90" s="730"/>
      <c r="BI90" s="57"/>
      <c r="BJ90" s="57"/>
      <c r="BK90" s="57"/>
      <c r="BL90" s="57"/>
      <c r="BM90" s="57"/>
      <c r="BN90" s="57"/>
      <c r="BO90" s="57"/>
      <c r="BP90" s="57"/>
      <c r="BQ90" s="57"/>
      <c r="BR90" s="57"/>
    </row>
    <row r="91" spans="7:70" ht="26.25" x14ac:dyDescent="0.25">
      <c r="AN91" s="727"/>
      <c r="AO91" s="727"/>
      <c r="AP91" s="727"/>
      <c r="AQ91" s="746"/>
      <c r="AR91" s="746"/>
      <c r="AS91" s="746"/>
      <c r="AT91" s="747"/>
      <c r="AU91" s="748"/>
      <c r="AV91" s="748"/>
      <c r="AW91" s="749"/>
      <c r="AY91" s="731"/>
      <c r="AZ91" s="732"/>
      <c r="BA91" s="732"/>
      <c r="BB91" s="732"/>
      <c r="BC91" s="732"/>
      <c r="BD91" s="732"/>
      <c r="BE91" s="732"/>
      <c r="BF91" s="732"/>
      <c r="BG91" s="732"/>
      <c r="BH91" s="733"/>
      <c r="BI91" s="57"/>
      <c r="BJ91" s="57"/>
      <c r="BK91" s="57"/>
      <c r="BL91" s="57"/>
      <c r="BM91" s="57"/>
      <c r="BN91" s="57"/>
      <c r="BO91" s="57"/>
      <c r="BP91" s="57"/>
      <c r="BQ91" s="57"/>
      <c r="BR91" s="57"/>
    </row>
    <row r="92" spans="7:70" ht="15" customHeight="1" x14ac:dyDescent="0.25">
      <c r="AN92" s="727">
        <v>60</v>
      </c>
      <c r="AO92" s="727"/>
      <c r="AP92" s="727"/>
      <c r="AQ92" s="746">
        <v>3</v>
      </c>
      <c r="AR92" s="746"/>
      <c r="AS92" s="746"/>
      <c r="AT92" s="747">
        <f t="shared" ref="AT92" si="33">AQ92*AN92</f>
        <v>180</v>
      </c>
      <c r="AU92" s="748"/>
      <c r="AV92" s="748"/>
      <c r="AW92" s="749"/>
      <c r="AY92" s="731"/>
      <c r="AZ92" s="732"/>
      <c r="BA92" s="732"/>
      <c r="BB92" s="732"/>
      <c r="BC92" s="732"/>
      <c r="BD92" s="732"/>
      <c r="BE92" s="732"/>
      <c r="BF92" s="732"/>
      <c r="BG92" s="732"/>
      <c r="BH92" s="733"/>
      <c r="BI92" s="57"/>
      <c r="BJ92" s="57"/>
      <c r="BK92" s="57"/>
      <c r="BL92" s="57"/>
      <c r="BM92" s="57"/>
      <c r="BN92" s="57"/>
      <c r="BO92" s="57"/>
      <c r="BP92" s="57"/>
      <c r="BQ92" s="57"/>
      <c r="BR92" s="57"/>
    </row>
    <row r="93" spans="7:70" ht="15" customHeight="1" x14ac:dyDescent="0.25">
      <c r="AN93" s="727"/>
      <c r="AO93" s="727"/>
      <c r="AP93" s="727"/>
      <c r="AQ93" s="746"/>
      <c r="AR93" s="746"/>
      <c r="AS93" s="746"/>
      <c r="AT93" s="747"/>
      <c r="AU93" s="748"/>
      <c r="AV93" s="748"/>
      <c r="AW93" s="749"/>
      <c r="AY93" s="731"/>
      <c r="AZ93" s="732"/>
      <c r="BA93" s="732"/>
      <c r="BB93" s="732"/>
      <c r="BC93" s="732"/>
      <c r="BD93" s="732"/>
      <c r="BE93" s="732"/>
      <c r="BF93" s="732"/>
      <c r="BG93" s="732"/>
      <c r="BH93" s="733"/>
      <c r="BI93" s="57"/>
      <c r="BJ93" s="57"/>
      <c r="BK93" s="57"/>
      <c r="BL93" s="57"/>
      <c r="BM93" s="57"/>
      <c r="BN93" s="57"/>
      <c r="BO93" s="57"/>
      <c r="BP93" s="57"/>
      <c r="BQ93" s="57"/>
      <c r="BR93" s="57"/>
    </row>
    <row r="94" spans="7:70" ht="15" customHeight="1" x14ac:dyDescent="0.25">
      <c r="AN94" s="727"/>
      <c r="AO94" s="727"/>
      <c r="AP94" s="727"/>
      <c r="AQ94" s="746"/>
      <c r="AR94" s="746"/>
      <c r="AS94" s="746"/>
      <c r="AT94" s="747"/>
      <c r="AU94" s="748"/>
      <c r="AV94" s="748"/>
      <c r="AW94" s="749"/>
      <c r="AY94" s="734"/>
      <c r="AZ94" s="735"/>
      <c r="BA94" s="735"/>
      <c r="BB94" s="735"/>
      <c r="BC94" s="735"/>
      <c r="BD94" s="735"/>
      <c r="BE94" s="735"/>
      <c r="BF94" s="735"/>
      <c r="BG94" s="735"/>
      <c r="BH94" s="736"/>
      <c r="BI94" s="57"/>
      <c r="BJ94" s="57"/>
      <c r="BK94" s="57"/>
      <c r="BL94" s="57"/>
      <c r="BM94" s="57"/>
      <c r="BN94" s="57"/>
      <c r="BO94" s="57"/>
      <c r="BP94" s="57"/>
      <c r="BQ94" s="57"/>
      <c r="BR94" s="57"/>
    </row>
    <row r="95" spans="7:70" ht="15" customHeight="1" x14ac:dyDescent="0.25">
      <c r="AN95" s="727">
        <v>55</v>
      </c>
      <c r="AO95" s="727"/>
      <c r="AP95" s="727"/>
      <c r="AQ95" s="746">
        <v>6</v>
      </c>
      <c r="AR95" s="746"/>
      <c r="AS95" s="746"/>
      <c r="AT95" s="747">
        <f t="shared" ref="AT95" si="34">AQ95*AN95</f>
        <v>330</v>
      </c>
      <c r="AU95" s="748"/>
      <c r="AV95" s="748"/>
      <c r="AW95" s="749"/>
    </row>
    <row r="96" spans="7:70" ht="15" customHeight="1" x14ac:dyDescent="0.25">
      <c r="AN96" s="727"/>
      <c r="AO96" s="727"/>
      <c r="AP96" s="727"/>
      <c r="AQ96" s="746"/>
      <c r="AR96" s="746"/>
      <c r="AS96" s="746"/>
      <c r="AT96" s="747"/>
      <c r="AU96" s="748"/>
      <c r="AV96" s="748"/>
      <c r="AW96" s="749"/>
    </row>
    <row r="97" spans="40:49" ht="15" customHeight="1" x14ac:dyDescent="0.25">
      <c r="AN97" s="727"/>
      <c r="AO97" s="727"/>
      <c r="AP97" s="727"/>
      <c r="AQ97" s="746"/>
      <c r="AR97" s="746"/>
      <c r="AS97" s="746"/>
      <c r="AT97" s="747"/>
      <c r="AU97" s="748"/>
      <c r="AV97" s="748"/>
      <c r="AW97" s="749"/>
    </row>
    <row r="98" spans="40:49" ht="15" customHeight="1" x14ac:dyDescent="0.25">
      <c r="AN98" s="727">
        <v>50</v>
      </c>
      <c r="AO98" s="727"/>
      <c r="AP98" s="727"/>
      <c r="AQ98" s="746">
        <v>3</v>
      </c>
      <c r="AR98" s="746"/>
      <c r="AS98" s="746"/>
      <c r="AT98" s="747">
        <f t="shared" ref="AT98" si="35">AQ98*AN98</f>
        <v>150</v>
      </c>
      <c r="AU98" s="748"/>
      <c r="AV98" s="748"/>
      <c r="AW98" s="749"/>
    </row>
    <row r="99" spans="40:49" ht="15" customHeight="1" x14ac:dyDescent="0.25">
      <c r="AN99" s="727"/>
      <c r="AO99" s="727"/>
      <c r="AP99" s="727"/>
      <c r="AQ99" s="746"/>
      <c r="AR99" s="746"/>
      <c r="AS99" s="746"/>
      <c r="AT99" s="747"/>
      <c r="AU99" s="748"/>
      <c r="AV99" s="748"/>
      <c r="AW99" s="749"/>
    </row>
    <row r="100" spans="40:49" ht="15" customHeight="1" x14ac:dyDescent="0.25">
      <c r="AN100" s="727"/>
      <c r="AO100" s="727"/>
      <c r="AP100" s="727"/>
      <c r="AQ100" s="746"/>
      <c r="AR100" s="746"/>
      <c r="AS100" s="746"/>
      <c r="AT100" s="747"/>
      <c r="AU100" s="748"/>
      <c r="AV100" s="748"/>
      <c r="AW100" s="749"/>
    </row>
    <row r="101" spans="40:49" ht="15" customHeight="1" x14ac:dyDescent="0.25">
      <c r="AN101" s="727">
        <v>40</v>
      </c>
      <c r="AO101" s="727"/>
      <c r="AP101" s="727"/>
      <c r="AQ101" s="746">
        <v>15</v>
      </c>
      <c r="AR101" s="746"/>
      <c r="AS101" s="746"/>
      <c r="AT101" s="747">
        <f t="shared" ref="AT101" si="36">AQ101*AN101</f>
        <v>600</v>
      </c>
      <c r="AU101" s="748"/>
      <c r="AV101" s="748"/>
      <c r="AW101" s="749"/>
    </row>
    <row r="102" spans="40:49" ht="15" customHeight="1" x14ac:dyDescent="0.25">
      <c r="AN102" s="727"/>
      <c r="AO102" s="727"/>
      <c r="AP102" s="727"/>
      <c r="AQ102" s="746"/>
      <c r="AR102" s="746"/>
      <c r="AS102" s="746"/>
      <c r="AT102" s="747"/>
      <c r="AU102" s="748"/>
      <c r="AV102" s="748"/>
      <c r="AW102" s="749"/>
    </row>
    <row r="103" spans="40:49" ht="15" customHeight="1" x14ac:dyDescent="0.25">
      <c r="AN103" s="727"/>
      <c r="AO103" s="727"/>
      <c r="AP103" s="727"/>
      <c r="AQ103" s="746"/>
      <c r="AR103" s="746"/>
      <c r="AS103" s="746"/>
      <c r="AT103" s="747"/>
      <c r="AU103" s="748"/>
      <c r="AV103" s="748"/>
      <c r="AW103" s="749"/>
    </row>
    <row r="104" spans="40:49" ht="15" customHeight="1" x14ac:dyDescent="0.25">
      <c r="AN104" s="727"/>
      <c r="AO104" s="727"/>
      <c r="AP104" s="727"/>
      <c r="AQ104" s="746"/>
      <c r="AR104" s="746"/>
      <c r="AS104" s="746"/>
      <c r="AT104" s="747"/>
      <c r="AU104" s="748"/>
      <c r="AV104" s="748"/>
      <c r="AW104" s="749"/>
    </row>
    <row r="105" spans="40:49" ht="15" customHeight="1" x14ac:dyDescent="0.25">
      <c r="AN105" s="727"/>
      <c r="AO105" s="727"/>
      <c r="AP105" s="727"/>
      <c r="AQ105" s="746"/>
      <c r="AR105" s="746"/>
      <c r="AS105" s="746"/>
      <c r="AT105" s="747"/>
      <c r="AU105" s="748"/>
      <c r="AV105" s="748"/>
      <c r="AW105" s="749"/>
    </row>
    <row r="106" spans="40:49" ht="15" customHeight="1" x14ac:dyDescent="0.25">
      <c r="AN106" s="727"/>
      <c r="AO106" s="727"/>
      <c r="AP106" s="727"/>
      <c r="AQ106" s="746"/>
      <c r="AR106" s="746"/>
      <c r="AS106" s="746"/>
      <c r="AT106" s="747"/>
      <c r="AU106" s="748"/>
      <c r="AV106" s="748"/>
      <c r="AW106" s="749"/>
    </row>
    <row r="107" spans="40:49" ht="15" customHeight="1" x14ac:dyDescent="0.25">
      <c r="AQ107" s="1254">
        <f>SUM(AQ86:AS103)</f>
        <v>39</v>
      </c>
      <c r="AR107" s="1254"/>
      <c r="AS107" s="1254"/>
      <c r="AT107" s="747">
        <f>SUM(AT86:AW103)</f>
        <v>2085</v>
      </c>
      <c r="AU107" s="748"/>
      <c r="AV107" s="748"/>
      <c r="AW107" s="749"/>
    </row>
    <row r="108" spans="40:49" ht="15" customHeight="1" x14ac:dyDescent="0.25">
      <c r="AQ108" s="1254"/>
      <c r="AR108" s="1254"/>
      <c r="AS108" s="1254"/>
      <c r="AT108" s="747"/>
      <c r="AU108" s="748"/>
      <c r="AV108" s="748"/>
      <c r="AW108" s="749"/>
    </row>
    <row r="109" spans="40:49" x14ac:dyDescent="0.25">
      <c r="AQ109" s="1254"/>
      <c r="AR109" s="1254"/>
      <c r="AS109" s="1254"/>
      <c r="AT109" s="747"/>
      <c r="AU109" s="748"/>
      <c r="AV109" s="748"/>
      <c r="AW109" s="749"/>
    </row>
  </sheetData>
  <mergeCells count="338">
    <mergeCell ref="J31:M31"/>
    <mergeCell ref="AN89:AP91"/>
    <mergeCell ref="AQ89:AS91"/>
    <mergeCell ref="AT89:AW91"/>
    <mergeCell ref="AY90:BH94"/>
    <mergeCell ref="AN92:AP94"/>
    <mergeCell ref="AL79:AN82"/>
    <mergeCell ref="AO79:AQ82"/>
    <mergeCell ref="AR79:AS82"/>
    <mergeCell ref="AT79:AU82"/>
    <mergeCell ref="AY79:BH80"/>
    <mergeCell ref="AY81:BH83"/>
    <mergeCell ref="I54:J54"/>
    <mergeCell ref="N54:O54"/>
    <mergeCell ref="S54:T54"/>
    <mergeCell ref="X54:Y54"/>
    <mergeCell ref="G75:O83"/>
    <mergeCell ref="AN104:AP106"/>
    <mergeCell ref="AQ104:AS106"/>
    <mergeCell ref="AT104:AW106"/>
    <mergeCell ref="AN95:AP97"/>
    <mergeCell ref="AN98:AP100"/>
    <mergeCell ref="AQ98:AS100"/>
    <mergeCell ref="AT98:AW100"/>
    <mergeCell ref="AN101:AP103"/>
    <mergeCell ref="AQ101:AS103"/>
    <mergeCell ref="AT101:AW103"/>
    <mergeCell ref="AY18:BC18"/>
    <mergeCell ref="AY19:AY20"/>
    <mergeCell ref="AZ19:BC19"/>
    <mergeCell ref="AQ107:AS109"/>
    <mergeCell ref="AT107:AW109"/>
    <mergeCell ref="AV15:AX17"/>
    <mergeCell ref="AT18:AX18"/>
    <mergeCell ref="AT19:AT20"/>
    <mergeCell ref="AU19:AX19"/>
    <mergeCell ref="AY15:AZ17"/>
    <mergeCell ref="AQ92:AS94"/>
    <mergeCell ref="AT92:AW94"/>
    <mergeCell ref="AQ95:AS97"/>
    <mergeCell ref="AT95:AW97"/>
    <mergeCell ref="AY84:BH85"/>
    <mergeCell ref="AY76:BH78"/>
    <mergeCell ref="AO18:AS18"/>
    <mergeCell ref="AO19:AO20"/>
    <mergeCell ref="AP19:AS19"/>
    <mergeCell ref="AT15:AU17"/>
    <mergeCell ref="AN86:AP88"/>
    <mergeCell ref="AQ86:AS88"/>
    <mergeCell ref="AT86:AW88"/>
    <mergeCell ref="AY86:BH89"/>
    <mergeCell ref="A18:E18"/>
    <mergeCell ref="F18:J18"/>
    <mergeCell ref="K18:O18"/>
    <mergeCell ref="P18:T18"/>
    <mergeCell ref="U18:Y18"/>
    <mergeCell ref="Z18:AD18"/>
    <mergeCell ref="AE18:AI18"/>
    <mergeCell ref="AJ18:AN18"/>
    <mergeCell ref="Z19:Z20"/>
    <mergeCell ref="AA19:AD19"/>
    <mergeCell ref="AE19:AE20"/>
    <mergeCell ref="AF19:AI19"/>
    <mergeCell ref="AJ19:AJ20"/>
    <mergeCell ref="AK19:AN19"/>
    <mergeCell ref="K19:K20"/>
    <mergeCell ref="L19:O19"/>
    <mergeCell ref="P19:P20"/>
    <mergeCell ref="Q19:T19"/>
    <mergeCell ref="U19:U20"/>
    <mergeCell ref="V19:Y19"/>
    <mergeCell ref="A19:A20"/>
    <mergeCell ref="B19:E19"/>
    <mergeCell ref="F19:F20"/>
    <mergeCell ref="G19:J19"/>
    <mergeCell ref="A15:B17"/>
    <mergeCell ref="C15:E17"/>
    <mergeCell ref="F15:G17"/>
    <mergeCell ref="H15:J17"/>
    <mergeCell ref="BJ13:BM13"/>
    <mergeCell ref="K15:L17"/>
    <mergeCell ref="M15:O17"/>
    <mergeCell ref="P15:Q17"/>
    <mergeCell ref="R15:T17"/>
    <mergeCell ref="U15:V17"/>
    <mergeCell ref="W15:Y17"/>
    <mergeCell ref="Z15:AA17"/>
    <mergeCell ref="AB15:AD17"/>
    <mergeCell ref="A13:A14"/>
    <mergeCell ref="B13:E13"/>
    <mergeCell ref="F13:F14"/>
    <mergeCell ref="G13:J13"/>
    <mergeCell ref="K13:K14"/>
    <mergeCell ref="L13:O13"/>
    <mergeCell ref="AJ15:AK17"/>
    <mergeCell ref="BN13:BN14"/>
    <mergeCell ref="BO13:BR13"/>
    <mergeCell ref="AE15:AF17"/>
    <mergeCell ref="AG15:AI17"/>
    <mergeCell ref="AT13:AT14"/>
    <mergeCell ref="AU13:AX13"/>
    <mergeCell ref="AY13:AY14"/>
    <mergeCell ref="AZ13:BC13"/>
    <mergeCell ref="BD13:BD14"/>
    <mergeCell ref="BE13:BH13"/>
    <mergeCell ref="AE13:AE14"/>
    <mergeCell ref="AF13:AI13"/>
    <mergeCell ref="AO15:AP17"/>
    <mergeCell ref="AQ15:AS17"/>
    <mergeCell ref="BA15:BC17"/>
    <mergeCell ref="BI13:BI14"/>
    <mergeCell ref="AL15:AN17"/>
    <mergeCell ref="BN9:BO11"/>
    <mergeCell ref="BP9:BR11"/>
    <mergeCell ref="AT9:AU11"/>
    <mergeCell ref="AV9:AX11"/>
    <mergeCell ref="AY9:AZ11"/>
    <mergeCell ref="BA9:BC11"/>
    <mergeCell ref="BI12:BM12"/>
    <mergeCell ref="BN12:BR12"/>
    <mergeCell ref="AT12:AX12"/>
    <mergeCell ref="AY12:BC12"/>
    <mergeCell ref="BD12:BH12"/>
    <mergeCell ref="BD9:BE11"/>
    <mergeCell ref="BF9:BH11"/>
    <mergeCell ref="A6:E6"/>
    <mergeCell ref="F6:J6"/>
    <mergeCell ref="K6:O6"/>
    <mergeCell ref="P6:T6"/>
    <mergeCell ref="U6:Y6"/>
    <mergeCell ref="Z6:AD6"/>
    <mergeCell ref="A12:E12"/>
    <mergeCell ref="F12:J12"/>
    <mergeCell ref="K12:O12"/>
    <mergeCell ref="A7:A8"/>
    <mergeCell ref="B7:E7"/>
    <mergeCell ref="F7:F8"/>
    <mergeCell ref="G7:J7"/>
    <mergeCell ref="K7:K8"/>
    <mergeCell ref="L7:O7"/>
    <mergeCell ref="A65:C67"/>
    <mergeCell ref="AD76:AH82"/>
    <mergeCell ref="AL76:AN78"/>
    <mergeCell ref="AO76:AQ78"/>
    <mergeCell ref="AR76:AS78"/>
    <mergeCell ref="AT76:AU78"/>
    <mergeCell ref="V61:Y61"/>
    <mergeCell ref="BI61:BI62"/>
    <mergeCell ref="BJ61:BM61"/>
    <mergeCell ref="BN61:BN62"/>
    <mergeCell ref="BO61:BR61"/>
    <mergeCell ref="A64:C64"/>
    <mergeCell ref="BQ60:BR60"/>
    <mergeCell ref="A61:A62"/>
    <mergeCell ref="B61:E61"/>
    <mergeCell ref="F61:F62"/>
    <mergeCell ref="G61:J61"/>
    <mergeCell ref="K61:K62"/>
    <mergeCell ref="L61:O61"/>
    <mergeCell ref="P61:P62"/>
    <mergeCell ref="Q61:T61"/>
    <mergeCell ref="U61:U62"/>
    <mergeCell ref="BN58:BP60"/>
    <mergeCell ref="D60:E60"/>
    <mergeCell ref="I60:J60"/>
    <mergeCell ref="N60:O60"/>
    <mergeCell ref="S60:T60"/>
    <mergeCell ref="X60:Y60"/>
    <mergeCell ref="BL60:BM60"/>
    <mergeCell ref="A58:C60"/>
    <mergeCell ref="F58:H60"/>
    <mergeCell ref="K58:M60"/>
    <mergeCell ref="P58:R60"/>
    <mergeCell ref="BI58:BK60"/>
    <mergeCell ref="U57:W57"/>
    <mergeCell ref="X57:Y57"/>
    <mergeCell ref="BI57:BK57"/>
    <mergeCell ref="BL57:BM57"/>
    <mergeCell ref="BN57:BP57"/>
    <mergeCell ref="BQ57:BR57"/>
    <mergeCell ref="BN55:BN56"/>
    <mergeCell ref="BO55:BR55"/>
    <mergeCell ref="U55:U56"/>
    <mergeCell ref="V55:Y55"/>
    <mergeCell ref="BI55:BI56"/>
    <mergeCell ref="BJ55:BM55"/>
    <mergeCell ref="U58:W60"/>
    <mergeCell ref="A57:C57"/>
    <mergeCell ref="D57:E57"/>
    <mergeCell ref="F57:H57"/>
    <mergeCell ref="I57:J57"/>
    <mergeCell ref="K57:M57"/>
    <mergeCell ref="N57:O57"/>
    <mergeCell ref="P57:R57"/>
    <mergeCell ref="S57:T57"/>
    <mergeCell ref="P55:P56"/>
    <mergeCell ref="Q55:T55"/>
    <mergeCell ref="A55:A56"/>
    <mergeCell ref="B55:E55"/>
    <mergeCell ref="F55:F56"/>
    <mergeCell ref="G55:J55"/>
    <mergeCell ref="K55:K56"/>
    <mergeCell ref="L55:O55"/>
    <mergeCell ref="BL54:BM54"/>
    <mergeCell ref="BQ54:BR54"/>
    <mergeCell ref="BN51:BP51"/>
    <mergeCell ref="BQ51:BR51"/>
    <mergeCell ref="A52:C54"/>
    <mergeCell ref="F52:H54"/>
    <mergeCell ref="K52:M54"/>
    <mergeCell ref="P52:R54"/>
    <mergeCell ref="U52:W54"/>
    <mergeCell ref="BI52:BK54"/>
    <mergeCell ref="BN52:BP54"/>
    <mergeCell ref="D54:E54"/>
    <mergeCell ref="P51:R51"/>
    <mergeCell ref="S51:T51"/>
    <mergeCell ref="U51:W51"/>
    <mergeCell ref="X51:Y51"/>
    <mergeCell ref="BI51:BK51"/>
    <mergeCell ref="BL51:BM51"/>
    <mergeCell ref="A51:C51"/>
    <mergeCell ref="D51:E51"/>
    <mergeCell ref="F51:H51"/>
    <mergeCell ref="I51:J51"/>
    <mergeCell ref="K51:M51"/>
    <mergeCell ref="N51:O51"/>
    <mergeCell ref="BN36:BP41"/>
    <mergeCell ref="V40:AG47"/>
    <mergeCell ref="AH40:AR47"/>
    <mergeCell ref="AS40:BD47"/>
    <mergeCell ref="BJ42:BP45"/>
    <mergeCell ref="F43:G43"/>
    <mergeCell ref="F44:G47"/>
    <mergeCell ref="BJ46:BP48"/>
    <mergeCell ref="J32:M35"/>
    <mergeCell ref="Y32:AB35"/>
    <mergeCell ref="AP32:AS35"/>
    <mergeCell ref="BF32:BJ35"/>
    <mergeCell ref="V36:AG39"/>
    <mergeCell ref="AH36:AR39"/>
    <mergeCell ref="AS36:BD39"/>
    <mergeCell ref="BE36:BI47"/>
    <mergeCell ref="BJ36:BM41"/>
    <mergeCell ref="AO12:AS12"/>
    <mergeCell ref="AJ13:AJ14"/>
    <mergeCell ref="AK13:AN13"/>
    <mergeCell ref="AO13:AO14"/>
    <mergeCell ref="AP13:AS13"/>
    <mergeCell ref="P13:P14"/>
    <mergeCell ref="Q13:T13"/>
    <mergeCell ref="U13:U14"/>
    <mergeCell ref="V13:Y13"/>
    <mergeCell ref="Z13:Z14"/>
    <mergeCell ref="AA13:AD13"/>
    <mergeCell ref="P12:T12"/>
    <mergeCell ref="U12:Y12"/>
    <mergeCell ref="Z12:AD12"/>
    <mergeCell ref="AE12:AI12"/>
    <mergeCell ref="AJ12:AN12"/>
    <mergeCell ref="AQ9:AS11"/>
    <mergeCell ref="P9:Q11"/>
    <mergeCell ref="R9:T11"/>
    <mergeCell ref="U9:V11"/>
    <mergeCell ref="W9:Y11"/>
    <mergeCell ref="Z9:AA11"/>
    <mergeCell ref="AB9:AD11"/>
    <mergeCell ref="BI7:BI8"/>
    <mergeCell ref="V7:Y7"/>
    <mergeCell ref="Z7:Z8"/>
    <mergeCell ref="AA7:AD7"/>
    <mergeCell ref="AE9:AF11"/>
    <mergeCell ref="AG9:AI11"/>
    <mergeCell ref="AJ9:AK11"/>
    <mergeCell ref="AL9:AN11"/>
    <mergeCell ref="BI9:BJ11"/>
    <mergeCell ref="BJ7:BM7"/>
    <mergeCell ref="BK9:BM11"/>
    <mergeCell ref="BN7:BN8"/>
    <mergeCell ref="BO7:BR7"/>
    <mergeCell ref="A9:B11"/>
    <mergeCell ref="C9:E11"/>
    <mergeCell ref="F9:G11"/>
    <mergeCell ref="H9:J11"/>
    <mergeCell ref="K9:L11"/>
    <mergeCell ref="M9:O11"/>
    <mergeCell ref="AT7:AT8"/>
    <mergeCell ref="AU7:AX7"/>
    <mergeCell ref="AY7:AY8"/>
    <mergeCell ref="AZ7:BC7"/>
    <mergeCell ref="BD7:BD8"/>
    <mergeCell ref="BE7:BH7"/>
    <mergeCell ref="AE7:AE8"/>
    <mergeCell ref="AF7:AI7"/>
    <mergeCell ref="AJ7:AJ8"/>
    <mergeCell ref="AK7:AN7"/>
    <mergeCell ref="AO7:AO8"/>
    <mergeCell ref="AP7:AS7"/>
    <mergeCell ref="P7:P8"/>
    <mergeCell ref="Q7:T7"/>
    <mergeCell ref="U7:U8"/>
    <mergeCell ref="AO9:AP11"/>
    <mergeCell ref="AT6:AX6"/>
    <mergeCell ref="AY6:BC6"/>
    <mergeCell ref="BD6:BH6"/>
    <mergeCell ref="AE6:AI6"/>
    <mergeCell ref="AJ6:AN6"/>
    <mergeCell ref="AO6:AS6"/>
    <mergeCell ref="BI3:BJ5"/>
    <mergeCell ref="BK3:BM5"/>
    <mergeCell ref="BN3:BO5"/>
    <mergeCell ref="BI6:BM6"/>
    <mergeCell ref="BN6:BR6"/>
    <mergeCell ref="BP3:BR5"/>
    <mergeCell ref="AT3:AU5"/>
    <mergeCell ref="AV3:AX5"/>
    <mergeCell ref="AY3:AZ5"/>
    <mergeCell ref="BA3:BC5"/>
    <mergeCell ref="BD3:BE5"/>
    <mergeCell ref="BF3:BH5"/>
    <mergeCell ref="AE3:AF5"/>
    <mergeCell ref="AG3:AI5"/>
    <mergeCell ref="AJ3:AK5"/>
    <mergeCell ref="AL3:AN5"/>
    <mergeCell ref="AO3:AP5"/>
    <mergeCell ref="AQ3:AS5"/>
    <mergeCell ref="P3:Q5"/>
    <mergeCell ref="R3:T5"/>
    <mergeCell ref="U3:V5"/>
    <mergeCell ref="W3:Y5"/>
    <mergeCell ref="Z3:AA5"/>
    <mergeCell ref="AB3:AD5"/>
    <mergeCell ref="A3:B5"/>
    <mergeCell ref="C3:E5"/>
    <mergeCell ref="F3:G5"/>
    <mergeCell ref="H3:J5"/>
    <mergeCell ref="K3:L5"/>
    <mergeCell ref="M3:O5"/>
  </mergeCells>
  <pageMargins left="0.25" right="0" top="0.7" bottom="0" header="0.3" footer="0.3"/>
  <pageSetup paperSize="8" scale="48" orientation="landscape" r:id="rId1"/>
  <headerFooter>
    <oddFooter>&amp;C&amp;"-,Bold Italic"&amp;16Prepared by Emir Cebecioglu&amp;RQuality Control Department</oddFooter>
  </headerFooter>
  <colBreaks count="1" manualBreakCount="1">
    <brk id="70" max="50" man="1"/>
  </col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A08B9-5015-4E87-A429-3BB7F3E218DF}">
  <sheetPr>
    <tabColor rgb="FFFFC000"/>
    <pageSetUpPr fitToPage="1"/>
  </sheetPr>
  <dimension ref="A1:CL108"/>
  <sheetViews>
    <sheetView view="pageBreakPreview" topLeftCell="A2" zoomScale="55" zoomScaleNormal="115" zoomScaleSheetLayoutView="55" workbookViewId="0">
      <selection activeCell="O31" sqref="O31:R31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140625" customWidth="1"/>
    <col min="47" max="47" width="10.71093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4.140625" customWidth="1"/>
    <col min="62" max="62" width="10.7109375" customWidth="1"/>
    <col min="63" max="63" width="4.28515625" customWidth="1"/>
    <col min="64" max="65" width="5.5703125" customWidth="1"/>
    <col min="66" max="66" width="4.140625" customWidth="1"/>
    <col min="67" max="67" width="10.7109375" customWidth="1"/>
    <col min="68" max="68" width="4.28515625" customWidth="1"/>
    <col min="69" max="70" width="5.5703125" customWidth="1"/>
    <col min="71" max="71" width="1" customWidth="1"/>
    <col min="72" max="72" width="56.7109375" customWidth="1"/>
    <col min="73" max="73" width="13" customWidth="1"/>
    <col min="74" max="74" width="7" customWidth="1"/>
  </cols>
  <sheetData>
    <row r="1" spans="1:83" ht="75" customHeight="1" x14ac:dyDescent="0.25"/>
    <row r="2" spans="1:83" ht="196.5" customHeight="1" x14ac:dyDescent="0.25"/>
    <row r="3" spans="1:83" ht="24.75" customHeight="1" x14ac:dyDescent="0.25">
      <c r="A3" s="2350" t="s">
        <v>110</v>
      </c>
      <c r="B3" s="2351"/>
      <c r="C3" s="2346">
        <f>B8/((66*3.1415/59)*(125/3.281))</f>
        <v>3.2438223276855777E-2</v>
      </c>
      <c r="D3" s="2346"/>
      <c r="E3" s="2347"/>
      <c r="F3" s="2350" t="s">
        <v>110</v>
      </c>
      <c r="G3" s="2351"/>
      <c r="H3" s="2346">
        <f t="shared" ref="H3" si="0">G8/((66*3.1415/59)*(125/3.281))</f>
        <v>1.8396349051553254E-2</v>
      </c>
      <c r="I3" s="2346"/>
      <c r="J3" s="2347"/>
      <c r="K3" s="2350" t="s">
        <v>110</v>
      </c>
      <c r="L3" s="2351"/>
      <c r="M3" s="2346">
        <f t="shared" ref="M3" si="1">L8/((66*3.1415/59)*(125/3.281))</f>
        <v>3.5666360532268411E-2</v>
      </c>
      <c r="N3" s="2346"/>
      <c r="O3" s="2347"/>
      <c r="P3" s="2350" t="s">
        <v>110</v>
      </c>
      <c r="Q3" s="2351"/>
      <c r="R3" s="2346">
        <f t="shared" ref="R3" si="2">Q8/((66*3.1415/59)*(125/3.281))</f>
        <v>4.0213537675015315E-2</v>
      </c>
      <c r="S3" s="2346"/>
      <c r="T3" s="2347"/>
      <c r="U3" s="2350" t="s">
        <v>110</v>
      </c>
      <c r="V3" s="2351"/>
      <c r="W3" s="2346">
        <f t="shared" ref="W3" si="3">V8/((66*3.1415/59)*(125/3.281))</f>
        <v>2.0868615205050667E-2</v>
      </c>
      <c r="X3" s="2346"/>
      <c r="Y3" s="2347"/>
      <c r="Z3" s="2350" t="s">
        <v>110</v>
      </c>
      <c r="AA3" s="2351"/>
      <c r="AB3" s="2346">
        <f t="shared" ref="AB3" si="4">AA8/((66*3.1415/59)*(125/3.281))</f>
        <v>3.4903020348318457E-2</v>
      </c>
      <c r="AC3" s="2346"/>
      <c r="AD3" s="2347"/>
      <c r="AE3" s="2350" t="s">
        <v>110</v>
      </c>
      <c r="AF3" s="2351"/>
      <c r="AG3" s="2346">
        <f t="shared" ref="AG3" si="5">AF8/((66*3.1415/59)*(125/3.281))</f>
        <v>4.8756673706345649E-2</v>
      </c>
      <c r="AH3" s="2346"/>
      <c r="AI3" s="2347"/>
      <c r="AJ3" s="2350" t="s">
        <v>110</v>
      </c>
      <c r="AK3" s="2351"/>
      <c r="AL3" s="2346">
        <f t="shared" ref="AL3" si="6">AK8/((66*3.1415/59)*(125/3.281))</f>
        <v>2.8830656654078586E-2</v>
      </c>
      <c r="AM3" s="2346"/>
      <c r="AN3" s="2347"/>
      <c r="AO3" s="2350" t="s">
        <v>110</v>
      </c>
      <c r="AP3" s="2351"/>
      <c r="AQ3" s="2346">
        <f t="shared" ref="AQ3" si="7">AP8/((66*3.1415/59)*(125/3.281))</f>
        <v>1.4602055377907678E-2</v>
      </c>
      <c r="AR3" s="2346"/>
      <c r="AS3" s="2347"/>
      <c r="AT3" s="2350" t="s">
        <v>110</v>
      </c>
      <c r="AU3" s="2351"/>
      <c r="AV3" s="2346">
        <f t="shared" ref="AV3" si="8">AU8/((66*3.1415/59)*(125/3.281))</f>
        <v>3.0324473061025667E-3</v>
      </c>
      <c r="AW3" s="2346"/>
      <c r="AX3" s="2347"/>
      <c r="AY3" s="2350" t="s">
        <v>110</v>
      </c>
      <c r="AZ3" s="2351"/>
      <c r="BA3" s="2346">
        <f t="shared" ref="BA3" si="9">AZ8/((66*3.1415/59)*(125/3.281))</f>
        <v>1.9718376571701418E-2</v>
      </c>
      <c r="BB3" s="2346"/>
      <c r="BC3" s="2347"/>
      <c r="BD3" s="2350" t="s">
        <v>110</v>
      </c>
      <c r="BE3" s="2351"/>
      <c r="BF3" s="2346">
        <f t="shared" ref="BF3" si="10">BE8/((66*3.1415/59)*(125/3.281))</f>
        <v>3.0324473061025667E-3</v>
      </c>
      <c r="BG3" s="2346"/>
      <c r="BH3" s="2347"/>
      <c r="BI3" s="2350" t="s">
        <v>110</v>
      </c>
      <c r="BJ3" s="2351"/>
      <c r="BK3" s="2346">
        <f t="shared" ref="BK3" si="11">BJ8/((66*3.1415/59)*(125/3.281))</f>
        <v>5.1163211937937389E-3</v>
      </c>
      <c r="BL3" s="2346"/>
      <c r="BM3" s="2347"/>
      <c r="BN3" s="2350" t="s">
        <v>110</v>
      </c>
      <c r="BO3" s="2351"/>
      <c r="BP3" s="2346">
        <f t="shared" ref="BP3" si="12">BO8/((66*3.1415/59)*(125/3.281))</f>
        <v>1.0621034653393717E-2</v>
      </c>
      <c r="BQ3" s="2346"/>
      <c r="BR3" s="2347"/>
    </row>
    <row r="4" spans="1:83" ht="24.75" customHeight="1" x14ac:dyDescent="0.25">
      <c r="A4" s="2352"/>
      <c r="B4" s="2353"/>
      <c r="C4" s="2348"/>
      <c r="D4" s="2348"/>
      <c r="E4" s="2349"/>
      <c r="F4" s="2352"/>
      <c r="G4" s="2353"/>
      <c r="H4" s="2348"/>
      <c r="I4" s="2348"/>
      <c r="J4" s="2349"/>
      <c r="K4" s="2352"/>
      <c r="L4" s="2353"/>
      <c r="M4" s="2348"/>
      <c r="N4" s="2348"/>
      <c r="O4" s="2349"/>
      <c r="P4" s="2352"/>
      <c r="Q4" s="2353"/>
      <c r="R4" s="2348"/>
      <c r="S4" s="2348"/>
      <c r="T4" s="2349"/>
      <c r="U4" s="2352"/>
      <c r="V4" s="2353"/>
      <c r="W4" s="2348"/>
      <c r="X4" s="2348"/>
      <c r="Y4" s="2349"/>
      <c r="Z4" s="2352"/>
      <c r="AA4" s="2353"/>
      <c r="AB4" s="2348"/>
      <c r="AC4" s="2348"/>
      <c r="AD4" s="2349"/>
      <c r="AE4" s="2352"/>
      <c r="AF4" s="2353"/>
      <c r="AG4" s="2348"/>
      <c r="AH4" s="2348"/>
      <c r="AI4" s="2349"/>
      <c r="AJ4" s="2352"/>
      <c r="AK4" s="2353"/>
      <c r="AL4" s="2348"/>
      <c r="AM4" s="2348"/>
      <c r="AN4" s="2349"/>
      <c r="AO4" s="2352"/>
      <c r="AP4" s="2353"/>
      <c r="AQ4" s="2348"/>
      <c r="AR4" s="2348"/>
      <c r="AS4" s="2349"/>
      <c r="AT4" s="2352"/>
      <c r="AU4" s="2353"/>
      <c r="AV4" s="2348"/>
      <c r="AW4" s="2348"/>
      <c r="AX4" s="2349"/>
      <c r="AY4" s="2352"/>
      <c r="AZ4" s="2353"/>
      <c r="BA4" s="2348"/>
      <c r="BB4" s="2348"/>
      <c r="BC4" s="2349"/>
      <c r="BD4" s="2352"/>
      <c r="BE4" s="2353"/>
      <c r="BF4" s="2348"/>
      <c r="BG4" s="2348"/>
      <c r="BH4" s="2349"/>
      <c r="BI4" s="2352"/>
      <c r="BJ4" s="2353"/>
      <c r="BK4" s="2348"/>
      <c r="BL4" s="2348"/>
      <c r="BM4" s="2349"/>
      <c r="BN4" s="2352"/>
      <c r="BO4" s="2353"/>
      <c r="BP4" s="2348"/>
      <c r="BQ4" s="2348"/>
      <c r="BR4" s="2349"/>
    </row>
    <row r="5" spans="1:83" ht="24.75" customHeight="1" x14ac:dyDescent="0.25">
      <c r="A5" s="2344" t="s">
        <v>111</v>
      </c>
      <c r="B5" s="2344"/>
      <c r="C5" s="2344" t="s">
        <v>25</v>
      </c>
      <c r="D5" s="2344"/>
      <c r="E5" s="2344"/>
      <c r="F5" s="2344" t="s">
        <v>111</v>
      </c>
      <c r="G5" s="2344"/>
      <c r="H5" s="2344" t="s">
        <v>25</v>
      </c>
      <c r="I5" s="2344"/>
      <c r="J5" s="2344"/>
      <c r="K5" s="2344" t="s">
        <v>111</v>
      </c>
      <c r="L5" s="2344"/>
      <c r="M5" s="2344" t="s">
        <v>25</v>
      </c>
      <c r="N5" s="2344"/>
      <c r="O5" s="2344"/>
      <c r="P5" s="2344" t="s">
        <v>111</v>
      </c>
      <c r="Q5" s="2344"/>
      <c r="R5" s="2344" t="s">
        <v>25</v>
      </c>
      <c r="S5" s="2344"/>
      <c r="T5" s="2344"/>
      <c r="U5" s="2344" t="s">
        <v>111</v>
      </c>
      <c r="V5" s="2344"/>
      <c r="W5" s="2344" t="s">
        <v>25</v>
      </c>
      <c r="X5" s="2344"/>
      <c r="Y5" s="2344"/>
      <c r="Z5" s="2344" t="s">
        <v>111</v>
      </c>
      <c r="AA5" s="2344"/>
      <c r="AB5" s="2344" t="s">
        <v>25</v>
      </c>
      <c r="AC5" s="2344"/>
      <c r="AD5" s="2344"/>
      <c r="AE5" s="2344" t="s">
        <v>111</v>
      </c>
      <c r="AF5" s="2344"/>
      <c r="AG5" s="2344" t="s">
        <v>25</v>
      </c>
      <c r="AH5" s="2344"/>
      <c r="AI5" s="2344"/>
      <c r="AJ5" s="2344" t="s">
        <v>111</v>
      </c>
      <c r="AK5" s="2344"/>
      <c r="AL5" s="2344" t="s">
        <v>25</v>
      </c>
      <c r="AM5" s="2344"/>
      <c r="AN5" s="2344"/>
      <c r="AO5" s="2344" t="s">
        <v>111</v>
      </c>
      <c r="AP5" s="2344"/>
      <c r="AQ5" s="2344" t="s">
        <v>25</v>
      </c>
      <c r="AR5" s="2344"/>
      <c r="AS5" s="2344"/>
      <c r="AT5" s="2344" t="s">
        <v>111</v>
      </c>
      <c r="AU5" s="2344"/>
      <c r="AV5" s="2344" t="s">
        <v>25</v>
      </c>
      <c r="AW5" s="2344"/>
      <c r="AX5" s="2344"/>
      <c r="AY5" s="2344" t="s">
        <v>111</v>
      </c>
      <c r="AZ5" s="2344"/>
      <c r="BA5" s="2344" t="s">
        <v>25</v>
      </c>
      <c r="BB5" s="2344"/>
      <c r="BC5" s="2344"/>
      <c r="BD5" s="2344" t="s">
        <v>111</v>
      </c>
      <c r="BE5" s="2344"/>
      <c r="BF5" s="2344" t="s">
        <v>25</v>
      </c>
      <c r="BG5" s="2344"/>
      <c r="BH5" s="2344"/>
      <c r="BI5" s="2344" t="s">
        <v>111</v>
      </c>
      <c r="BJ5" s="2344"/>
      <c r="BK5" s="2344" t="s">
        <v>25</v>
      </c>
      <c r="BL5" s="2344"/>
      <c r="BM5" s="2344"/>
      <c r="BN5" s="2344" t="s">
        <v>111</v>
      </c>
      <c r="BO5" s="2344"/>
      <c r="BP5" s="2344" t="s">
        <v>25</v>
      </c>
      <c r="BQ5" s="2344"/>
      <c r="BR5" s="2344"/>
    </row>
    <row r="6" spans="1:83" ht="24.95" customHeight="1" x14ac:dyDescent="0.25">
      <c r="A6" s="2345"/>
      <c r="B6" s="2345"/>
      <c r="C6" s="2345"/>
      <c r="D6" s="2345"/>
      <c r="E6" s="2345"/>
      <c r="F6" s="2345"/>
      <c r="G6" s="2345"/>
      <c r="H6" s="2345"/>
      <c r="I6" s="2345"/>
      <c r="J6" s="2345"/>
      <c r="K6" s="2345"/>
      <c r="L6" s="2345"/>
      <c r="M6" s="2345"/>
      <c r="N6" s="2345"/>
      <c r="O6" s="2345"/>
      <c r="P6" s="2345"/>
      <c r="Q6" s="2345"/>
      <c r="R6" s="2345"/>
      <c r="S6" s="2345"/>
      <c r="T6" s="2345"/>
      <c r="U6" s="2345"/>
      <c r="V6" s="2345"/>
      <c r="W6" s="2345"/>
      <c r="X6" s="2345"/>
      <c r="Y6" s="2345"/>
      <c r="Z6" s="2345"/>
      <c r="AA6" s="2345"/>
      <c r="AB6" s="2345"/>
      <c r="AC6" s="2345"/>
      <c r="AD6" s="2345"/>
      <c r="AE6" s="2345"/>
      <c r="AF6" s="2345"/>
      <c r="AG6" s="2345"/>
      <c r="AH6" s="2345"/>
      <c r="AI6" s="2345"/>
      <c r="AJ6" s="2345"/>
      <c r="AK6" s="2345"/>
      <c r="AL6" s="2345"/>
      <c r="AM6" s="2345"/>
      <c r="AN6" s="2345"/>
      <c r="AO6" s="2345"/>
      <c r="AP6" s="2345"/>
      <c r="AQ6" s="2345"/>
      <c r="AR6" s="2345"/>
      <c r="AS6" s="2345"/>
      <c r="AT6" s="2345"/>
      <c r="AU6" s="2345"/>
      <c r="AV6" s="2345"/>
      <c r="AW6" s="2345"/>
      <c r="AX6" s="2345"/>
      <c r="AY6" s="2345"/>
      <c r="AZ6" s="2345"/>
      <c r="BA6" s="2345"/>
      <c r="BB6" s="2345"/>
      <c r="BC6" s="2345"/>
      <c r="BD6" s="2345"/>
      <c r="BE6" s="2345"/>
      <c r="BF6" s="2345"/>
      <c r="BG6" s="2345"/>
      <c r="BH6" s="2345"/>
      <c r="BI6" s="2345"/>
      <c r="BJ6" s="2345"/>
      <c r="BK6" s="2345"/>
      <c r="BL6" s="2345"/>
      <c r="BM6" s="2345"/>
      <c r="BN6" s="2345"/>
      <c r="BO6" s="2345"/>
      <c r="BP6" s="2345"/>
      <c r="BQ6" s="2345"/>
      <c r="BR6" s="2345"/>
    </row>
    <row r="7" spans="1:83" s="22" customFormat="1" ht="99.75" customHeight="1" x14ac:dyDescent="1.35">
      <c r="A7" s="2048" t="s">
        <v>541</v>
      </c>
      <c r="B7" s="1921">
        <v>1</v>
      </c>
      <c r="C7" s="1921"/>
      <c r="D7" s="1921"/>
      <c r="E7" s="1921"/>
      <c r="F7" s="2048" t="s">
        <v>541</v>
      </c>
      <c r="G7" s="1921">
        <v>2</v>
      </c>
      <c r="H7" s="1921"/>
      <c r="I7" s="1921"/>
      <c r="J7" s="1921"/>
      <c r="K7" s="2048" t="s">
        <v>541</v>
      </c>
      <c r="L7" s="1921">
        <v>3</v>
      </c>
      <c r="M7" s="1921"/>
      <c r="N7" s="1921"/>
      <c r="O7" s="1921"/>
      <c r="P7" s="2048" t="s">
        <v>541</v>
      </c>
      <c r="Q7" s="1921">
        <v>4</v>
      </c>
      <c r="R7" s="1921"/>
      <c r="S7" s="1921"/>
      <c r="T7" s="1921"/>
      <c r="U7" s="2048" t="s">
        <v>541</v>
      </c>
      <c r="V7" s="1921">
        <v>5</v>
      </c>
      <c r="W7" s="1921"/>
      <c r="X7" s="1921"/>
      <c r="Y7" s="1921"/>
      <c r="Z7" s="2048" t="s">
        <v>541</v>
      </c>
      <c r="AA7" s="1921">
        <v>6</v>
      </c>
      <c r="AB7" s="1921"/>
      <c r="AC7" s="1921"/>
      <c r="AD7" s="1921"/>
      <c r="AE7" s="2048" t="s">
        <v>541</v>
      </c>
      <c r="AF7" s="1921">
        <v>7</v>
      </c>
      <c r="AG7" s="1921"/>
      <c r="AH7" s="1921"/>
      <c r="AI7" s="1921"/>
      <c r="AJ7" s="2048" t="s">
        <v>541</v>
      </c>
      <c r="AK7" s="1921">
        <v>8</v>
      </c>
      <c r="AL7" s="1921"/>
      <c r="AM7" s="1921"/>
      <c r="AN7" s="1921"/>
      <c r="AO7" s="2048" t="s">
        <v>541</v>
      </c>
      <c r="AP7" s="1921">
        <v>9</v>
      </c>
      <c r="AQ7" s="1921"/>
      <c r="AR7" s="1921"/>
      <c r="AS7" s="1921"/>
      <c r="AT7" s="2048" t="s">
        <v>541</v>
      </c>
      <c r="AU7" s="1921">
        <v>10</v>
      </c>
      <c r="AV7" s="1921"/>
      <c r="AW7" s="1921"/>
      <c r="AX7" s="1921"/>
      <c r="AY7" s="2048" t="s">
        <v>541</v>
      </c>
      <c r="AZ7" s="1921">
        <v>11</v>
      </c>
      <c r="BA7" s="1921"/>
      <c r="BB7" s="1921"/>
      <c r="BC7" s="1921"/>
      <c r="BD7" s="2048" t="s">
        <v>541</v>
      </c>
      <c r="BE7" s="1921">
        <v>12</v>
      </c>
      <c r="BF7" s="1921"/>
      <c r="BG7" s="1921"/>
      <c r="BH7" s="1921"/>
      <c r="BI7" s="2048" t="s">
        <v>541</v>
      </c>
      <c r="BJ7" s="1921">
        <v>13</v>
      </c>
      <c r="BK7" s="1921"/>
      <c r="BL7" s="1921"/>
      <c r="BM7" s="1921"/>
      <c r="BN7" s="2048" t="s">
        <v>541</v>
      </c>
      <c r="BO7" s="1921">
        <v>14</v>
      </c>
      <c r="BP7" s="1921"/>
      <c r="BQ7" s="1921"/>
      <c r="BR7" s="1921"/>
    </row>
    <row r="8" spans="1:83" ht="42" customHeight="1" x14ac:dyDescent="0.25">
      <c r="A8" s="2048"/>
      <c r="B8" s="363">
        <v>4.343</v>
      </c>
      <c r="C8" s="364" t="s">
        <v>113</v>
      </c>
      <c r="D8" s="365">
        <v>1</v>
      </c>
      <c r="E8" s="366" t="s">
        <v>114</v>
      </c>
      <c r="F8" s="2048"/>
      <c r="G8" s="363">
        <v>2.4630000000000001</v>
      </c>
      <c r="H8" s="364" t="s">
        <v>113</v>
      </c>
      <c r="I8" s="365">
        <v>1</v>
      </c>
      <c r="J8" s="366" t="s">
        <v>114</v>
      </c>
      <c r="K8" s="2048"/>
      <c r="L8" s="363">
        <v>4.7751999999999999</v>
      </c>
      <c r="M8" s="364" t="s">
        <v>113</v>
      </c>
      <c r="N8" s="365">
        <v>1</v>
      </c>
      <c r="O8" s="366" t="s">
        <v>114</v>
      </c>
      <c r="P8" s="2048"/>
      <c r="Q8" s="363">
        <v>5.3840000000000003</v>
      </c>
      <c r="R8" s="364" t="s">
        <v>113</v>
      </c>
      <c r="S8" s="365">
        <v>1</v>
      </c>
      <c r="T8" s="366" t="s">
        <v>114</v>
      </c>
      <c r="U8" s="2048"/>
      <c r="V8" s="363">
        <v>2.794</v>
      </c>
      <c r="W8" s="364" t="s">
        <v>113</v>
      </c>
      <c r="X8" s="365">
        <v>1</v>
      </c>
      <c r="Y8" s="366" t="s">
        <v>114</v>
      </c>
      <c r="Z8" s="2048"/>
      <c r="AA8" s="363">
        <v>4.673</v>
      </c>
      <c r="AB8" s="364" t="s">
        <v>113</v>
      </c>
      <c r="AC8" s="365">
        <v>1</v>
      </c>
      <c r="AD8" s="366" t="s">
        <v>114</v>
      </c>
      <c r="AE8" s="2048"/>
      <c r="AF8" s="363">
        <v>6.5278</v>
      </c>
      <c r="AG8" s="364" t="s">
        <v>113</v>
      </c>
      <c r="AH8" s="365">
        <v>2</v>
      </c>
      <c r="AI8" s="366" t="s">
        <v>114</v>
      </c>
      <c r="AJ8" s="2048"/>
      <c r="AK8" s="363">
        <v>3.86</v>
      </c>
      <c r="AL8" s="364" t="s">
        <v>113</v>
      </c>
      <c r="AM8" s="365">
        <v>1</v>
      </c>
      <c r="AN8" s="366" t="s">
        <v>114</v>
      </c>
      <c r="AO8" s="2048"/>
      <c r="AP8" s="363">
        <v>1.9550000000000001</v>
      </c>
      <c r="AQ8" s="364" t="s">
        <v>113</v>
      </c>
      <c r="AR8" s="365">
        <v>1</v>
      </c>
      <c r="AS8" s="366" t="s">
        <v>114</v>
      </c>
      <c r="AT8" s="2048"/>
      <c r="AU8" s="363">
        <v>0.40600000000000003</v>
      </c>
      <c r="AV8" s="364" t="s">
        <v>113</v>
      </c>
      <c r="AW8" s="365">
        <v>1</v>
      </c>
      <c r="AX8" s="366" t="s">
        <v>114</v>
      </c>
      <c r="AY8" s="2048"/>
      <c r="AZ8" s="363">
        <v>2.64</v>
      </c>
      <c r="BA8" s="364" t="s">
        <v>113</v>
      </c>
      <c r="BB8" s="365">
        <v>1</v>
      </c>
      <c r="BC8" s="366" t="s">
        <v>114</v>
      </c>
      <c r="BD8" s="2048"/>
      <c r="BE8" s="363">
        <v>0.40600000000000003</v>
      </c>
      <c r="BF8" s="364" t="s">
        <v>113</v>
      </c>
      <c r="BG8" s="365">
        <v>1</v>
      </c>
      <c r="BH8" s="366" t="s">
        <v>114</v>
      </c>
      <c r="BI8" s="2048"/>
      <c r="BJ8" s="363">
        <v>0.68500000000000005</v>
      </c>
      <c r="BK8" s="364" t="s">
        <v>113</v>
      </c>
      <c r="BL8" s="365">
        <v>1</v>
      </c>
      <c r="BM8" s="366" t="s">
        <v>114</v>
      </c>
      <c r="BN8" s="2048"/>
      <c r="BO8" s="363">
        <v>1.4219999999999999</v>
      </c>
      <c r="BP8" s="364" t="s">
        <v>113</v>
      </c>
      <c r="BQ8" s="365">
        <v>1</v>
      </c>
      <c r="BR8" s="366" t="s">
        <v>114</v>
      </c>
      <c r="BW8" s="27"/>
      <c r="BX8" s="27"/>
      <c r="BY8" s="27"/>
      <c r="BZ8" s="27"/>
      <c r="CA8" s="27"/>
      <c r="CB8" s="27"/>
      <c r="CC8" s="27"/>
      <c r="CD8" s="27"/>
      <c r="CE8" s="27"/>
    </row>
    <row r="9" spans="1:83" ht="24.75" customHeight="1" x14ac:dyDescent="0.25">
      <c r="A9" s="2350" t="s">
        <v>110</v>
      </c>
      <c r="B9" s="2351"/>
      <c r="C9" s="2346">
        <f t="shared" ref="C9" si="13">B14/((66*3.1415/59)*(125/3.281))</f>
        <v>2.0487692021279161E-2</v>
      </c>
      <c r="D9" s="2346"/>
      <c r="E9" s="2347"/>
      <c r="F9" s="2350" t="s">
        <v>110</v>
      </c>
      <c r="G9" s="2351"/>
      <c r="H9" s="2346">
        <f t="shared" ref="H9" si="14">G14/((66*3.1415/59)*(125/3.281))</f>
        <v>1.0621034653393717E-2</v>
      </c>
      <c r="I9" s="2346"/>
      <c r="J9" s="2347"/>
      <c r="K9" s="2350" t="s">
        <v>110</v>
      </c>
      <c r="L9" s="2351"/>
      <c r="M9" s="2346">
        <f t="shared" ref="M9" si="15">L14/((66*3.1415/59)*(125/3.281))</f>
        <v>8.537160765702545E-3</v>
      </c>
      <c r="N9" s="2346"/>
      <c r="O9" s="2347"/>
      <c r="P9" s="2350" t="s">
        <v>110</v>
      </c>
      <c r="Q9" s="2351"/>
      <c r="R9" s="2346">
        <f t="shared" ref="R9" si="16">Q14/((66*3.1415/59)*(125/3.281))</f>
        <v>3.2251496225987396E-3</v>
      </c>
      <c r="S9" s="2346"/>
      <c r="T9" s="2347"/>
      <c r="U9" s="2350" t="s">
        <v>110</v>
      </c>
      <c r="V9" s="2351"/>
      <c r="W9" s="2346">
        <f t="shared" ref="W9" si="17">V14/((66*3.1415/59)*(125/3.281))</f>
        <v>5.6914405104683636E-3</v>
      </c>
      <c r="X9" s="2346"/>
      <c r="Y9" s="2347"/>
      <c r="Z9" s="2350" t="s">
        <v>110</v>
      </c>
      <c r="AA9" s="2351"/>
      <c r="AB9" s="2346">
        <f t="shared" ref="AB9" si="18">AA14/((66*3.1415/59)*(125/3.281))</f>
        <v>1.7029507039196679E-3</v>
      </c>
      <c r="AC9" s="2346"/>
      <c r="AD9" s="2347"/>
      <c r="AE9" s="2350" t="s">
        <v>110</v>
      </c>
      <c r="AF9" s="2351"/>
      <c r="AG9" s="2346">
        <f t="shared" ref="AG9" si="19">AF14/((66*3.1415/59)*(125/3.281))</f>
        <v>3.4133704898740712E-3</v>
      </c>
      <c r="AH9" s="2346"/>
      <c r="AI9" s="2347"/>
      <c r="AJ9" s="2350" t="s">
        <v>110</v>
      </c>
      <c r="AK9" s="2351"/>
      <c r="AL9" s="2346">
        <f t="shared" ref="AL9" si="20">AK14/((66*3.1415/59)*(125/3.281))</f>
        <v>7.9620414490279203E-3</v>
      </c>
      <c r="AM9" s="2346"/>
      <c r="AN9" s="2347"/>
      <c r="AO9" s="2350" t="s">
        <v>110</v>
      </c>
      <c r="AP9" s="2351"/>
      <c r="AQ9" s="2346">
        <f t="shared" ref="AQ9" si="21">AP14/((66*3.1415/59)*(125/3.281))</f>
        <v>3.0324473061025667E-3</v>
      </c>
      <c r="AR9" s="2346"/>
      <c r="AS9" s="2347"/>
      <c r="AT9" s="2350" t="s">
        <v>110</v>
      </c>
      <c r="AU9" s="2351"/>
      <c r="AV9" s="2346">
        <f t="shared" ref="AV9" si="22">AU14/((66*3.1415/59)*(125/3.281))</f>
        <v>1.493816406947077E-2</v>
      </c>
      <c r="AW9" s="2346"/>
      <c r="AX9" s="2347"/>
      <c r="AY9" s="2350" t="s">
        <v>110</v>
      </c>
      <c r="AZ9" s="2351"/>
      <c r="BA9" s="2346">
        <f t="shared" ref="BA9" si="23">AZ14/((66*3.1415/59)*(125/3.281))</f>
        <v>2.0868615205050667E-2</v>
      </c>
      <c r="BB9" s="2346"/>
      <c r="BC9" s="2347"/>
      <c r="BD9" s="121"/>
      <c r="BE9" s="121"/>
      <c r="BF9" s="121"/>
      <c r="BG9" s="31"/>
      <c r="BH9" s="121"/>
      <c r="BI9" s="121"/>
      <c r="BJ9" s="121"/>
      <c r="BK9" s="121"/>
      <c r="BL9" s="31"/>
      <c r="BM9" s="121"/>
      <c r="BN9" s="121"/>
      <c r="BO9" s="121"/>
      <c r="BP9" s="121"/>
      <c r="BQ9" s="31"/>
      <c r="BR9" s="121"/>
    </row>
    <row r="10" spans="1:83" ht="24.75" customHeight="1" x14ac:dyDescent="0.25">
      <c r="A10" s="2352"/>
      <c r="B10" s="2353"/>
      <c r="C10" s="2348"/>
      <c r="D10" s="2348"/>
      <c r="E10" s="2349"/>
      <c r="F10" s="2352"/>
      <c r="G10" s="2353"/>
      <c r="H10" s="2348"/>
      <c r="I10" s="2348"/>
      <c r="J10" s="2349"/>
      <c r="K10" s="2352"/>
      <c r="L10" s="2353"/>
      <c r="M10" s="2348"/>
      <c r="N10" s="2348"/>
      <c r="O10" s="2349"/>
      <c r="P10" s="2352"/>
      <c r="Q10" s="2353"/>
      <c r="R10" s="2348"/>
      <c r="S10" s="2348"/>
      <c r="T10" s="2349"/>
      <c r="U10" s="2352"/>
      <c r="V10" s="2353"/>
      <c r="W10" s="2348"/>
      <c r="X10" s="2348"/>
      <c r="Y10" s="2349"/>
      <c r="Z10" s="2352"/>
      <c r="AA10" s="2353"/>
      <c r="AB10" s="2348"/>
      <c r="AC10" s="2348"/>
      <c r="AD10" s="2349"/>
      <c r="AE10" s="2352"/>
      <c r="AF10" s="2353"/>
      <c r="AG10" s="2348"/>
      <c r="AH10" s="2348"/>
      <c r="AI10" s="2349"/>
      <c r="AJ10" s="2352"/>
      <c r="AK10" s="2353"/>
      <c r="AL10" s="2348"/>
      <c r="AM10" s="2348"/>
      <c r="AN10" s="2349"/>
      <c r="AO10" s="2352"/>
      <c r="AP10" s="2353"/>
      <c r="AQ10" s="2348"/>
      <c r="AR10" s="2348"/>
      <c r="AS10" s="2349"/>
      <c r="AT10" s="2352"/>
      <c r="AU10" s="2353"/>
      <c r="AV10" s="2348"/>
      <c r="AW10" s="2348"/>
      <c r="AX10" s="2349"/>
      <c r="AY10" s="2352"/>
      <c r="AZ10" s="2353"/>
      <c r="BA10" s="2348"/>
      <c r="BB10" s="2348"/>
      <c r="BC10" s="2349"/>
      <c r="BD10" s="34"/>
      <c r="BE10" s="35"/>
      <c r="BF10" s="31"/>
      <c r="BG10" s="32"/>
      <c r="BH10" s="33"/>
      <c r="BI10" s="34"/>
      <c r="BJ10" s="35"/>
      <c r="BK10" s="31"/>
      <c r="BL10" s="32"/>
      <c r="BM10" s="33"/>
      <c r="BN10" s="34"/>
      <c r="BO10" s="35"/>
      <c r="BP10" s="31"/>
      <c r="BQ10" s="32"/>
      <c r="BR10" s="33"/>
    </row>
    <row r="11" spans="1:83" ht="24.75" customHeight="1" x14ac:dyDescent="0.25">
      <c r="A11" s="2344" t="s">
        <v>111</v>
      </c>
      <c r="B11" s="2344"/>
      <c r="C11" s="2344" t="s">
        <v>25</v>
      </c>
      <c r="D11" s="2344"/>
      <c r="E11" s="2344"/>
      <c r="F11" s="2344" t="s">
        <v>111</v>
      </c>
      <c r="G11" s="2344"/>
      <c r="H11" s="2344" t="s">
        <v>25</v>
      </c>
      <c r="I11" s="2344"/>
      <c r="J11" s="2344"/>
      <c r="K11" s="2344" t="s">
        <v>111</v>
      </c>
      <c r="L11" s="2344"/>
      <c r="M11" s="2344" t="s">
        <v>25</v>
      </c>
      <c r="N11" s="2344"/>
      <c r="O11" s="2344"/>
      <c r="P11" s="2344" t="s">
        <v>111</v>
      </c>
      <c r="Q11" s="2344"/>
      <c r="R11" s="2344" t="s">
        <v>25</v>
      </c>
      <c r="S11" s="2344"/>
      <c r="T11" s="2344"/>
      <c r="U11" s="2344" t="s">
        <v>111</v>
      </c>
      <c r="V11" s="2344"/>
      <c r="W11" s="2344" t="s">
        <v>25</v>
      </c>
      <c r="X11" s="2344"/>
      <c r="Y11" s="2344"/>
      <c r="Z11" s="2344" t="s">
        <v>111</v>
      </c>
      <c r="AA11" s="2344"/>
      <c r="AB11" s="2344" t="s">
        <v>25</v>
      </c>
      <c r="AC11" s="2344"/>
      <c r="AD11" s="2344"/>
      <c r="AE11" s="2344" t="s">
        <v>111</v>
      </c>
      <c r="AF11" s="2344"/>
      <c r="AG11" s="2344" t="s">
        <v>25</v>
      </c>
      <c r="AH11" s="2344"/>
      <c r="AI11" s="2344"/>
      <c r="AJ11" s="2344" t="s">
        <v>111</v>
      </c>
      <c r="AK11" s="2344"/>
      <c r="AL11" s="2344" t="s">
        <v>25</v>
      </c>
      <c r="AM11" s="2344"/>
      <c r="AN11" s="2344"/>
      <c r="AO11" s="2344" t="s">
        <v>111</v>
      </c>
      <c r="AP11" s="2344"/>
      <c r="AQ11" s="2344" t="s">
        <v>25</v>
      </c>
      <c r="AR11" s="2344"/>
      <c r="AS11" s="2344"/>
      <c r="AT11" s="2344" t="s">
        <v>111</v>
      </c>
      <c r="AU11" s="2344"/>
      <c r="AV11" s="2344" t="s">
        <v>25</v>
      </c>
      <c r="AW11" s="2344"/>
      <c r="AX11" s="2344"/>
      <c r="AY11" s="2344" t="s">
        <v>111</v>
      </c>
      <c r="AZ11" s="2344"/>
      <c r="BA11" s="2344" t="s">
        <v>25</v>
      </c>
      <c r="BB11" s="2344"/>
      <c r="BC11" s="2344"/>
      <c r="BD11" s="34"/>
      <c r="BE11" s="35"/>
      <c r="BF11" s="31"/>
      <c r="BG11" s="32"/>
      <c r="BH11" s="33"/>
      <c r="BI11" s="34"/>
      <c r="BJ11" s="35"/>
      <c r="BK11" s="31"/>
      <c r="BL11" s="32"/>
      <c r="BM11" s="33"/>
      <c r="BN11" s="34"/>
      <c r="BO11" s="35"/>
      <c r="BP11" s="31"/>
      <c r="BQ11" s="32"/>
      <c r="BR11" s="33"/>
    </row>
    <row r="12" spans="1:83" ht="24.95" customHeight="1" x14ac:dyDescent="0.25">
      <c r="A12" s="2345"/>
      <c r="B12" s="2345"/>
      <c r="C12" s="2345"/>
      <c r="D12" s="2345"/>
      <c r="E12" s="2345"/>
      <c r="F12" s="2345"/>
      <c r="G12" s="2345"/>
      <c r="H12" s="2345"/>
      <c r="I12" s="2345"/>
      <c r="J12" s="2345"/>
      <c r="K12" s="2345"/>
      <c r="L12" s="2345"/>
      <c r="M12" s="2345"/>
      <c r="N12" s="2345"/>
      <c r="O12" s="2345"/>
      <c r="P12" s="2345"/>
      <c r="Q12" s="2345"/>
      <c r="R12" s="2345"/>
      <c r="S12" s="2345"/>
      <c r="T12" s="2345"/>
      <c r="U12" s="2345"/>
      <c r="V12" s="2345"/>
      <c r="W12" s="2345"/>
      <c r="X12" s="2345"/>
      <c r="Y12" s="2345"/>
      <c r="Z12" s="2345"/>
      <c r="AA12" s="2345"/>
      <c r="AB12" s="2345"/>
      <c r="AC12" s="2345"/>
      <c r="AD12" s="2345"/>
      <c r="AE12" s="2345"/>
      <c r="AF12" s="2345"/>
      <c r="AG12" s="2345"/>
      <c r="AH12" s="2345"/>
      <c r="AI12" s="2345"/>
      <c r="AJ12" s="2345"/>
      <c r="AK12" s="2345"/>
      <c r="AL12" s="2345"/>
      <c r="AM12" s="2345"/>
      <c r="AN12" s="2345"/>
      <c r="AO12" s="2345"/>
      <c r="AP12" s="2345"/>
      <c r="AQ12" s="2345"/>
      <c r="AR12" s="2345"/>
      <c r="AS12" s="2345"/>
      <c r="AT12" s="2345"/>
      <c r="AU12" s="2345"/>
      <c r="AV12" s="2345"/>
      <c r="AW12" s="2345"/>
      <c r="AX12" s="2345"/>
      <c r="AY12" s="2345"/>
      <c r="AZ12" s="2345"/>
      <c r="BA12" s="2345"/>
      <c r="BB12" s="2345"/>
      <c r="BC12" s="2345"/>
      <c r="BD12" s="121"/>
      <c r="BE12" s="121"/>
      <c r="BF12" s="121"/>
      <c r="BG12" s="31"/>
      <c r="BH12" s="121"/>
      <c r="BI12" s="121"/>
      <c r="BJ12" s="121"/>
      <c r="BK12" s="121"/>
      <c r="BL12" s="31"/>
      <c r="BM12" s="121"/>
      <c r="BN12" s="121"/>
      <c r="BO12" s="121"/>
      <c r="BP12" s="121"/>
      <c r="BQ12" s="31"/>
      <c r="BR12" s="121"/>
    </row>
    <row r="13" spans="1:83" s="22" customFormat="1" ht="99.75" customHeight="1" x14ac:dyDescent="1.35">
      <c r="A13" s="2048" t="s">
        <v>541</v>
      </c>
      <c r="B13" s="1921">
        <v>15</v>
      </c>
      <c r="C13" s="1921"/>
      <c r="D13" s="1921"/>
      <c r="E13" s="1921"/>
      <c r="F13" s="2048" t="s">
        <v>541</v>
      </c>
      <c r="G13" s="1921">
        <v>16</v>
      </c>
      <c r="H13" s="1921"/>
      <c r="I13" s="1921"/>
      <c r="J13" s="1921"/>
      <c r="K13" s="2048" t="s">
        <v>541</v>
      </c>
      <c r="L13" s="1921">
        <v>17</v>
      </c>
      <c r="M13" s="1921"/>
      <c r="N13" s="1921"/>
      <c r="O13" s="1921"/>
      <c r="P13" s="2048" t="s">
        <v>541</v>
      </c>
      <c r="Q13" s="1921">
        <v>18</v>
      </c>
      <c r="R13" s="1921"/>
      <c r="S13" s="1921"/>
      <c r="T13" s="1921"/>
      <c r="U13" s="2048" t="s">
        <v>541</v>
      </c>
      <c r="V13" s="1921">
        <v>19</v>
      </c>
      <c r="W13" s="1921"/>
      <c r="X13" s="1921"/>
      <c r="Y13" s="1921"/>
      <c r="Z13" s="2048" t="s">
        <v>541</v>
      </c>
      <c r="AA13" s="1921">
        <v>20</v>
      </c>
      <c r="AB13" s="1921"/>
      <c r="AC13" s="1921"/>
      <c r="AD13" s="1921"/>
      <c r="AE13" s="2048" t="s">
        <v>541</v>
      </c>
      <c r="AF13" s="1921">
        <v>21</v>
      </c>
      <c r="AG13" s="1921"/>
      <c r="AH13" s="1921"/>
      <c r="AI13" s="1921"/>
      <c r="AJ13" s="2048" t="s">
        <v>541</v>
      </c>
      <c r="AK13" s="1921">
        <v>22</v>
      </c>
      <c r="AL13" s="1921"/>
      <c r="AM13" s="1921"/>
      <c r="AN13" s="1921"/>
      <c r="AO13" s="2048" t="s">
        <v>541</v>
      </c>
      <c r="AP13" s="1921">
        <v>23</v>
      </c>
      <c r="AQ13" s="1921"/>
      <c r="AR13" s="1921"/>
      <c r="AS13" s="1921"/>
      <c r="AT13" s="2048" t="s">
        <v>541</v>
      </c>
      <c r="AU13" s="1921">
        <v>24</v>
      </c>
      <c r="AV13" s="1921"/>
      <c r="AW13" s="1921"/>
      <c r="AX13" s="1921"/>
      <c r="AY13" s="2048" t="s">
        <v>541</v>
      </c>
      <c r="AZ13" s="1921">
        <v>25</v>
      </c>
      <c r="BA13" s="1921"/>
      <c r="BB13" s="1921"/>
      <c r="BC13" s="1921"/>
      <c r="BD13" s="34"/>
      <c r="BE13" s="35"/>
      <c r="BF13" s="31"/>
      <c r="BG13" s="32"/>
      <c r="BH13" s="33"/>
      <c r="BI13" s="34"/>
      <c r="BJ13" s="35"/>
      <c r="BK13" s="31"/>
      <c r="BL13" s="32"/>
      <c r="BM13" s="33"/>
      <c r="BN13" s="34"/>
      <c r="BO13" s="35"/>
      <c r="BP13" s="31"/>
      <c r="BQ13" s="32"/>
      <c r="BR13" s="33"/>
    </row>
    <row r="14" spans="1:83" ht="42" customHeight="1" x14ac:dyDescent="0.25">
      <c r="A14" s="2048"/>
      <c r="B14" s="363">
        <v>2.7429999999999999</v>
      </c>
      <c r="C14" s="364" t="s">
        <v>113</v>
      </c>
      <c r="D14" s="365">
        <v>1</v>
      </c>
      <c r="E14" s="366" t="s">
        <v>114</v>
      </c>
      <c r="F14" s="2048"/>
      <c r="G14" s="363">
        <v>1.4219999999999999</v>
      </c>
      <c r="H14" s="364" t="s">
        <v>113</v>
      </c>
      <c r="I14" s="365">
        <v>1</v>
      </c>
      <c r="J14" s="366" t="s">
        <v>114</v>
      </c>
      <c r="K14" s="2048"/>
      <c r="L14" s="363">
        <v>1.143</v>
      </c>
      <c r="M14" s="364" t="s">
        <v>113</v>
      </c>
      <c r="N14" s="365">
        <v>1</v>
      </c>
      <c r="O14" s="366" t="s">
        <v>114</v>
      </c>
      <c r="P14" s="2048"/>
      <c r="Q14" s="363">
        <v>0.43180000000000002</v>
      </c>
      <c r="R14" s="364" t="s">
        <v>113</v>
      </c>
      <c r="S14" s="365">
        <v>1</v>
      </c>
      <c r="T14" s="366" t="s">
        <v>114</v>
      </c>
      <c r="U14" s="2048"/>
      <c r="V14" s="363">
        <v>0.76200000000000001</v>
      </c>
      <c r="W14" s="364" t="s">
        <v>113</v>
      </c>
      <c r="X14" s="365">
        <v>1</v>
      </c>
      <c r="Y14" s="366" t="s">
        <v>114</v>
      </c>
      <c r="Z14" s="2048"/>
      <c r="AA14" s="363">
        <v>0.22800000000000001</v>
      </c>
      <c r="AB14" s="364" t="s">
        <v>113</v>
      </c>
      <c r="AC14" s="365">
        <v>1</v>
      </c>
      <c r="AD14" s="366" t="s">
        <v>114</v>
      </c>
      <c r="AE14" s="2048"/>
      <c r="AF14" s="363">
        <v>0.45700000000000002</v>
      </c>
      <c r="AG14" s="364" t="s">
        <v>113</v>
      </c>
      <c r="AH14" s="365">
        <v>1</v>
      </c>
      <c r="AI14" s="366" t="s">
        <v>114</v>
      </c>
      <c r="AJ14" s="2048"/>
      <c r="AK14" s="363">
        <v>1.0660000000000001</v>
      </c>
      <c r="AL14" s="364" t="s">
        <v>113</v>
      </c>
      <c r="AM14" s="365">
        <v>1</v>
      </c>
      <c r="AN14" s="366" t="s">
        <v>114</v>
      </c>
      <c r="AO14" s="2048"/>
      <c r="AP14" s="363">
        <v>0.40600000000000003</v>
      </c>
      <c r="AQ14" s="364" t="s">
        <v>113</v>
      </c>
      <c r="AR14" s="365">
        <v>1</v>
      </c>
      <c r="AS14" s="366" t="s">
        <v>114</v>
      </c>
      <c r="AT14" s="2048"/>
      <c r="AU14" s="363">
        <v>2</v>
      </c>
      <c r="AV14" s="364" t="s">
        <v>113</v>
      </c>
      <c r="AW14" s="365">
        <v>1</v>
      </c>
      <c r="AX14" s="366" t="s">
        <v>114</v>
      </c>
      <c r="AY14" s="2048"/>
      <c r="AZ14" s="363">
        <v>2.794</v>
      </c>
      <c r="BA14" s="364" t="s">
        <v>113</v>
      </c>
      <c r="BB14" s="365">
        <v>2</v>
      </c>
      <c r="BC14" s="366" t="s">
        <v>114</v>
      </c>
      <c r="BD14" s="34"/>
      <c r="BE14" s="35"/>
      <c r="BF14" s="31"/>
      <c r="BG14" s="32"/>
      <c r="BH14" s="33"/>
      <c r="BI14" s="34"/>
      <c r="BJ14" s="35"/>
      <c r="BK14" s="31"/>
      <c r="BL14" s="32"/>
      <c r="BM14" s="33"/>
      <c r="BN14" s="34"/>
      <c r="BO14" s="35"/>
      <c r="BP14" s="31"/>
      <c r="BQ14" s="32"/>
      <c r="BR14" s="33"/>
      <c r="BW14" s="27"/>
      <c r="BX14" s="27"/>
      <c r="BY14" s="27"/>
      <c r="BZ14" s="27"/>
      <c r="CA14" s="27"/>
      <c r="CB14" s="27"/>
      <c r="CC14" s="27"/>
      <c r="CD14" s="27"/>
      <c r="CE14" s="27"/>
    </row>
    <row r="15" spans="1:83" ht="15" hidden="1" customHeight="1" x14ac:dyDescent="0.25">
      <c r="A15" s="121"/>
      <c r="B15" s="121"/>
      <c r="C15" s="121"/>
      <c r="D15" s="31"/>
      <c r="E15" s="121"/>
      <c r="F15" s="121"/>
      <c r="G15" s="121"/>
      <c r="H15" s="121"/>
      <c r="I15" s="31"/>
      <c r="J15" s="121"/>
      <c r="K15" s="121"/>
      <c r="L15" s="121"/>
      <c r="M15" s="121"/>
      <c r="N15" s="31"/>
      <c r="O15" s="121"/>
      <c r="P15" s="121"/>
      <c r="Q15" s="121"/>
      <c r="R15" s="121"/>
      <c r="S15" s="31"/>
      <c r="T15" s="121"/>
      <c r="U15" s="121"/>
      <c r="V15" s="121"/>
      <c r="W15" s="121"/>
      <c r="X15" s="31"/>
      <c r="Y15" s="121"/>
      <c r="Z15" s="121"/>
      <c r="AA15" s="121"/>
      <c r="AB15" s="121"/>
      <c r="AC15" s="31"/>
      <c r="AD15" s="121"/>
      <c r="AE15" s="121"/>
      <c r="AF15" s="121"/>
      <c r="AG15" s="121"/>
      <c r="AH15" s="31"/>
      <c r="AI15" s="121"/>
      <c r="AJ15" s="121"/>
      <c r="AK15" s="121"/>
      <c r="AL15" s="121"/>
      <c r="AM15" s="31"/>
      <c r="AN15" s="121"/>
      <c r="AO15" s="121"/>
      <c r="AP15" s="121"/>
      <c r="AQ15" s="121"/>
      <c r="AR15" s="31"/>
      <c r="AS15" s="121"/>
      <c r="AT15" s="121"/>
      <c r="AU15" s="121"/>
      <c r="AV15" s="121"/>
      <c r="AW15" s="31"/>
      <c r="AX15" s="121"/>
      <c r="AY15" s="121"/>
      <c r="AZ15" s="121"/>
      <c r="BA15" s="121"/>
      <c r="BB15" s="31"/>
      <c r="BC15" s="121"/>
      <c r="BD15" s="121"/>
      <c r="BE15" s="121"/>
      <c r="BF15" s="121"/>
      <c r="BG15" s="121"/>
      <c r="BH15" s="31"/>
      <c r="BI15" s="121"/>
      <c r="BJ15" s="121"/>
      <c r="BK15" s="121"/>
      <c r="BL15" s="121"/>
      <c r="BM15" s="121"/>
      <c r="BN15" s="31"/>
      <c r="BO15" s="121"/>
      <c r="BP15" s="121"/>
      <c r="BQ15" s="121"/>
      <c r="BR15" s="121"/>
    </row>
    <row r="16" spans="1:83" ht="15" hidden="1" customHeight="1" x14ac:dyDescent="0.25">
      <c r="A16" s="34"/>
      <c r="B16" s="35"/>
      <c r="C16" s="31"/>
      <c r="D16" s="32"/>
      <c r="E16" s="33"/>
      <c r="F16" s="34"/>
      <c r="G16" s="35"/>
      <c r="H16" s="31"/>
      <c r="I16" s="32"/>
      <c r="J16" s="33"/>
      <c r="K16" s="34"/>
      <c r="L16" s="35"/>
      <c r="M16" s="31"/>
      <c r="N16" s="32"/>
      <c r="O16" s="33"/>
      <c r="P16" s="34"/>
      <c r="Q16" s="35"/>
      <c r="R16" s="31"/>
      <c r="S16" s="32"/>
      <c r="T16" s="33"/>
      <c r="U16" s="34"/>
      <c r="V16" s="35"/>
      <c r="W16" s="31"/>
      <c r="X16" s="32"/>
      <c r="Y16" s="33"/>
      <c r="Z16" s="34"/>
      <c r="AA16" s="35"/>
      <c r="AB16" s="31"/>
      <c r="AC16" s="32"/>
      <c r="AD16" s="33"/>
      <c r="AE16" s="34"/>
      <c r="AF16" s="35"/>
      <c r="AG16" s="31"/>
      <c r="AH16" s="32"/>
      <c r="AI16" s="33"/>
      <c r="AJ16" s="34"/>
      <c r="AK16" s="35"/>
      <c r="AL16" s="31"/>
      <c r="AM16" s="32"/>
      <c r="AN16" s="33"/>
      <c r="AO16" s="34"/>
      <c r="AP16" s="35"/>
      <c r="AQ16" s="31"/>
      <c r="AR16" s="32"/>
      <c r="AS16" s="33"/>
      <c r="AT16" s="34"/>
      <c r="AU16" s="35"/>
      <c r="AV16" s="31"/>
      <c r="AW16" s="32"/>
      <c r="AX16" s="33"/>
      <c r="AY16" s="34"/>
      <c r="AZ16" s="35"/>
      <c r="BA16" s="31"/>
      <c r="BB16" s="32"/>
      <c r="BC16" s="33"/>
      <c r="BD16" s="34"/>
      <c r="BE16" s="34"/>
      <c r="BF16" s="35"/>
      <c r="BG16" s="31"/>
      <c r="BH16" s="32"/>
      <c r="BI16" s="33"/>
      <c r="BJ16" s="34"/>
      <c r="BK16" s="34"/>
      <c r="BL16" s="35"/>
      <c r="BM16" s="31"/>
      <c r="BN16" s="32"/>
      <c r="BO16" s="33"/>
      <c r="BP16" s="34"/>
      <c r="BQ16" s="34"/>
      <c r="BR16" s="35"/>
    </row>
    <row r="17" spans="1:83" ht="15" hidden="1" customHeight="1" x14ac:dyDescent="0.25">
      <c r="A17" s="34"/>
      <c r="B17" s="35"/>
      <c r="C17" s="31"/>
      <c r="D17" s="32"/>
      <c r="E17" s="33"/>
      <c r="F17" s="34"/>
      <c r="G17" s="35"/>
      <c r="H17" s="31"/>
      <c r="I17" s="32"/>
      <c r="J17" s="33"/>
      <c r="K17" s="34"/>
      <c r="L17" s="35"/>
      <c r="M17" s="31"/>
      <c r="N17" s="32"/>
      <c r="O17" s="33"/>
      <c r="P17" s="34"/>
      <c r="Q17" s="35"/>
      <c r="R17" s="31"/>
      <c r="S17" s="32"/>
      <c r="T17" s="33"/>
      <c r="U17" s="34"/>
      <c r="V17" s="35"/>
      <c r="W17" s="31"/>
      <c r="X17" s="32"/>
      <c r="Y17" s="33"/>
      <c r="Z17" s="34"/>
      <c r="AA17" s="35"/>
      <c r="AB17" s="31"/>
      <c r="AC17" s="32"/>
      <c r="AD17" s="33"/>
      <c r="AE17" s="34"/>
      <c r="AF17" s="35"/>
      <c r="AG17" s="31"/>
      <c r="AH17" s="32"/>
      <c r="AI17" s="33"/>
      <c r="AJ17" s="34"/>
      <c r="AK17" s="35"/>
      <c r="AL17" s="31"/>
      <c r="AM17" s="32"/>
      <c r="AN17" s="33"/>
      <c r="AO17" s="34"/>
      <c r="AP17" s="35"/>
      <c r="AQ17" s="31"/>
      <c r="AR17" s="32"/>
      <c r="AS17" s="33"/>
      <c r="AT17" s="34"/>
      <c r="AU17" s="35"/>
      <c r="AV17" s="31"/>
      <c r="AW17" s="32"/>
      <c r="AX17" s="33"/>
      <c r="AY17" s="34"/>
      <c r="AZ17" s="35"/>
      <c r="BA17" s="31"/>
      <c r="BB17" s="32"/>
      <c r="BC17" s="33"/>
      <c r="BD17" s="34"/>
      <c r="BE17" s="34"/>
      <c r="BF17" s="35"/>
      <c r="BG17" s="31"/>
      <c r="BH17" s="32"/>
      <c r="BI17" s="33"/>
      <c r="BJ17" s="34"/>
      <c r="BK17" s="34"/>
      <c r="BL17" s="35"/>
      <c r="BM17" s="31"/>
      <c r="BN17" s="32"/>
      <c r="BO17" s="33"/>
      <c r="BP17" s="34"/>
      <c r="BQ17" s="34"/>
      <c r="BR17" s="35"/>
    </row>
    <row r="18" spans="1:83" ht="24.95" hidden="1" customHeight="1" x14ac:dyDescent="0.25">
      <c r="A18" s="121"/>
      <c r="B18" s="121"/>
      <c r="C18" s="121"/>
      <c r="D18" s="31"/>
      <c r="E18" s="121"/>
      <c r="F18" s="121"/>
      <c r="G18" s="121"/>
      <c r="H18" s="121"/>
      <c r="I18" s="31"/>
      <c r="J18" s="121"/>
      <c r="K18" s="121"/>
      <c r="L18" s="121"/>
      <c r="M18" s="121"/>
      <c r="N18" s="31"/>
      <c r="O18" s="121"/>
      <c r="P18" s="121"/>
      <c r="Q18" s="121"/>
      <c r="R18" s="121"/>
      <c r="S18" s="31"/>
      <c r="T18" s="121"/>
      <c r="U18" s="121"/>
      <c r="V18" s="121"/>
      <c r="W18" s="121"/>
      <c r="X18" s="31"/>
      <c r="Y18" s="121"/>
      <c r="Z18" s="121"/>
      <c r="AA18" s="121"/>
      <c r="AB18" s="121"/>
      <c r="AC18" s="31"/>
      <c r="AD18" s="121"/>
      <c r="AE18" s="121"/>
      <c r="AF18" s="121"/>
      <c r="AG18" s="121"/>
      <c r="AH18" s="31"/>
      <c r="AI18" s="121"/>
      <c r="AJ18" s="121"/>
      <c r="AK18" s="121"/>
      <c r="AL18" s="121"/>
      <c r="AM18" s="31"/>
      <c r="AN18" s="121"/>
      <c r="AO18" s="121"/>
      <c r="AP18" s="121"/>
      <c r="AQ18" s="121"/>
      <c r="AR18" s="31"/>
      <c r="AS18" s="121"/>
      <c r="AT18" s="121"/>
      <c r="AU18" s="121"/>
      <c r="AV18" s="121"/>
      <c r="AW18" s="31"/>
      <c r="AX18" s="121"/>
      <c r="AY18" s="121"/>
      <c r="AZ18" s="121"/>
      <c r="BA18" s="121"/>
      <c r="BB18" s="31"/>
      <c r="BC18" s="121"/>
      <c r="BD18" s="121"/>
      <c r="BE18" s="121"/>
      <c r="BF18" s="121"/>
      <c r="BG18" s="121"/>
      <c r="BH18" s="31"/>
      <c r="BI18" s="121"/>
      <c r="BJ18" s="121"/>
      <c r="BK18" s="121"/>
      <c r="BL18" s="121"/>
      <c r="BM18" s="121"/>
      <c r="BN18" s="31"/>
      <c r="BO18" s="121"/>
      <c r="BP18" s="121"/>
      <c r="BQ18" s="121"/>
      <c r="BR18" s="121"/>
    </row>
    <row r="19" spans="1:83" s="22" customFormat="1" ht="80.099999999999994" hidden="1" customHeight="1" x14ac:dyDescent="1.35">
      <c r="A19" s="34"/>
      <c r="B19" s="35"/>
      <c r="C19" s="31"/>
      <c r="D19" s="32"/>
      <c r="E19" s="33"/>
      <c r="F19" s="34"/>
      <c r="G19" s="35"/>
      <c r="H19" s="31"/>
      <c r="I19" s="32"/>
      <c r="J19" s="33"/>
      <c r="K19" s="34"/>
      <c r="L19" s="35"/>
      <c r="M19" s="31"/>
      <c r="N19" s="32"/>
      <c r="O19" s="33"/>
      <c r="P19" s="34"/>
      <c r="Q19" s="35"/>
      <c r="R19" s="31"/>
      <c r="S19" s="32"/>
      <c r="T19" s="33"/>
      <c r="U19" s="34"/>
      <c r="V19" s="35"/>
      <c r="W19" s="31"/>
      <c r="X19" s="32"/>
      <c r="Y19" s="33"/>
      <c r="Z19" s="34"/>
      <c r="AA19" s="35"/>
      <c r="AB19" s="31"/>
      <c r="AC19" s="32"/>
      <c r="AD19" s="33"/>
      <c r="AE19" s="34"/>
      <c r="AF19" s="35"/>
      <c r="AG19" s="31"/>
      <c r="AH19" s="32"/>
      <c r="AI19" s="33"/>
      <c r="AJ19" s="34"/>
      <c r="AK19" s="35"/>
      <c r="AL19" s="31"/>
      <c r="AM19" s="32"/>
      <c r="AN19" s="33"/>
      <c r="AO19" s="34"/>
      <c r="AP19" s="35"/>
      <c r="AQ19" s="31"/>
      <c r="AR19" s="32"/>
      <c r="AS19" s="33"/>
      <c r="AT19" s="34"/>
      <c r="AU19" s="35"/>
      <c r="AV19" s="31"/>
      <c r="AW19" s="32"/>
      <c r="AX19" s="33"/>
      <c r="AY19" s="34"/>
      <c r="AZ19" s="35"/>
      <c r="BA19" s="31"/>
      <c r="BB19" s="32"/>
      <c r="BC19" s="33"/>
      <c r="BD19" s="34"/>
      <c r="BE19" s="34"/>
      <c r="BF19" s="35"/>
      <c r="BG19" s="31"/>
      <c r="BH19" s="32"/>
      <c r="BI19" s="33"/>
      <c r="BJ19" s="34"/>
      <c r="BK19" s="34"/>
      <c r="BL19" s="35"/>
      <c r="BM19" s="31"/>
      <c r="BN19" s="32"/>
      <c r="BO19" s="33"/>
      <c r="BP19" s="34"/>
      <c r="BQ19" s="34"/>
      <c r="BR19" s="35"/>
    </row>
    <row r="20" spans="1:83" ht="26.25" hidden="1" x14ac:dyDescent="0.25">
      <c r="A20" s="34"/>
      <c r="B20" s="35"/>
      <c r="C20" s="31"/>
      <c r="D20" s="32"/>
      <c r="E20" s="33"/>
      <c r="F20" s="34"/>
      <c r="G20" s="35"/>
      <c r="H20" s="31"/>
      <c r="I20" s="32"/>
      <c r="J20" s="33"/>
      <c r="K20" s="34"/>
      <c r="L20" s="35"/>
      <c r="M20" s="31"/>
      <c r="N20" s="32"/>
      <c r="O20" s="33"/>
      <c r="P20" s="34"/>
      <c r="Q20" s="35"/>
      <c r="R20" s="31"/>
      <c r="S20" s="32"/>
      <c r="T20" s="33"/>
      <c r="U20" s="34"/>
      <c r="V20" s="35"/>
      <c r="W20" s="31"/>
      <c r="X20" s="32"/>
      <c r="Y20" s="33"/>
      <c r="Z20" s="34"/>
      <c r="AA20" s="35"/>
      <c r="AB20" s="31"/>
      <c r="AC20" s="32"/>
      <c r="AD20" s="33"/>
      <c r="AE20" s="34"/>
      <c r="AF20" s="35"/>
      <c r="AG20" s="31"/>
      <c r="AH20" s="32"/>
      <c r="AI20" s="33"/>
      <c r="AJ20" s="34"/>
      <c r="AK20" s="35"/>
      <c r="AL20" s="31"/>
      <c r="AM20" s="32"/>
      <c r="AN20" s="33"/>
      <c r="AO20" s="34"/>
      <c r="AP20" s="35"/>
      <c r="AQ20" s="31"/>
      <c r="AR20" s="32"/>
      <c r="AS20" s="33"/>
      <c r="AT20" s="34"/>
      <c r="AU20" s="35"/>
      <c r="AV20" s="31"/>
      <c r="AW20" s="32"/>
      <c r="AX20" s="33"/>
      <c r="AY20" s="34"/>
      <c r="AZ20" s="35"/>
      <c r="BA20" s="31"/>
      <c r="BB20" s="32"/>
      <c r="BC20" s="33"/>
      <c r="BD20" s="34"/>
      <c r="BE20" s="34"/>
      <c r="BF20" s="35"/>
      <c r="BG20" s="31"/>
      <c r="BH20" s="32"/>
      <c r="BI20" s="33"/>
      <c r="BJ20" s="34"/>
      <c r="BK20" s="34"/>
      <c r="BL20" s="35"/>
      <c r="BM20" s="31"/>
      <c r="BN20" s="32"/>
      <c r="BO20" s="33"/>
      <c r="BP20" s="34"/>
      <c r="BQ20" s="34"/>
      <c r="BR20" s="35"/>
      <c r="BW20" s="27"/>
      <c r="BX20" s="27"/>
      <c r="BY20" s="27"/>
      <c r="BZ20" s="27"/>
      <c r="CA20" s="27"/>
      <c r="CB20" s="27"/>
      <c r="CC20" s="27"/>
      <c r="CD20" s="27"/>
      <c r="CE20" s="27"/>
    </row>
    <row r="21" spans="1:83" ht="26.1" hidden="1" customHeight="1" x14ac:dyDescent="0.25">
      <c r="A21" s="121"/>
      <c r="B21" s="121"/>
      <c r="C21" s="121"/>
      <c r="D21" s="31"/>
      <c r="E21" s="121"/>
      <c r="F21" s="121"/>
      <c r="G21" s="121"/>
      <c r="H21" s="121"/>
      <c r="I21" s="121"/>
      <c r="J21" s="31"/>
      <c r="K21" s="121"/>
      <c r="L21" s="121"/>
      <c r="M21" s="121"/>
      <c r="N21" s="121"/>
      <c r="O21" s="121"/>
      <c r="P21" s="31"/>
      <c r="Q21" s="121"/>
      <c r="R21" s="121"/>
      <c r="S21" s="121"/>
      <c r="T21" s="121"/>
      <c r="U21" s="121"/>
      <c r="V21" s="31"/>
      <c r="W21" s="121"/>
      <c r="X21" s="121"/>
      <c r="Y21" s="121"/>
      <c r="Z21" s="121"/>
      <c r="AA21" s="121"/>
      <c r="AB21" s="31"/>
      <c r="AC21" s="121"/>
      <c r="AD21" s="121"/>
      <c r="AE21" s="121"/>
      <c r="AF21" s="121"/>
      <c r="AG21" s="121"/>
      <c r="AH21" s="31"/>
      <c r="AI21" s="121"/>
      <c r="AJ21" s="121"/>
      <c r="AK21" s="121"/>
      <c r="AL21" s="121"/>
      <c r="AM21" s="121"/>
      <c r="AN21" s="31"/>
      <c r="AO21" s="121"/>
      <c r="AP21" s="121"/>
      <c r="AQ21" s="121"/>
      <c r="AR21" s="121"/>
      <c r="AS21" s="121"/>
      <c r="AT21" s="31"/>
      <c r="AU21" s="121"/>
      <c r="AV21" s="121"/>
      <c r="AW21" s="121"/>
      <c r="AX21" s="121"/>
      <c r="AY21" s="121"/>
      <c r="AZ21" s="121"/>
      <c r="BA21" s="121"/>
      <c r="BB21" s="31"/>
      <c r="BC21" s="121"/>
      <c r="BD21" s="121"/>
      <c r="BE21" s="121"/>
      <c r="BF21" s="121"/>
      <c r="BG21" s="121"/>
      <c r="BH21" s="31"/>
      <c r="BI21" s="121"/>
      <c r="BJ21" s="121"/>
      <c r="BK21" s="121"/>
      <c r="BL21" s="121"/>
      <c r="BM21" s="121"/>
      <c r="BN21" s="31"/>
      <c r="BO21" s="121"/>
      <c r="BP21" s="121"/>
      <c r="BQ21" s="121"/>
      <c r="BR21" s="121"/>
    </row>
    <row r="22" spans="1:83" ht="6.75" hidden="1" customHeight="1" x14ac:dyDescent="0.25">
      <c r="A22" s="34"/>
      <c r="B22" s="35"/>
      <c r="C22" s="31"/>
      <c r="D22" s="32"/>
      <c r="E22" s="33"/>
      <c r="F22" s="34"/>
      <c r="G22" s="34"/>
      <c r="H22" s="35"/>
      <c r="I22" s="31"/>
      <c r="J22" s="32"/>
      <c r="K22" s="33"/>
      <c r="L22" s="34"/>
      <c r="M22" s="34"/>
      <c r="N22" s="35"/>
      <c r="O22" s="31"/>
      <c r="P22" s="32"/>
      <c r="Q22" s="33"/>
      <c r="R22" s="34"/>
      <c r="S22" s="34"/>
      <c r="T22" s="35"/>
      <c r="U22" s="31"/>
      <c r="V22" s="32"/>
      <c r="W22" s="33"/>
      <c r="X22" s="34"/>
      <c r="Y22" s="34"/>
      <c r="Z22" s="35"/>
      <c r="AA22" s="31"/>
      <c r="AB22" s="32"/>
      <c r="AC22" s="33"/>
      <c r="AD22" s="34"/>
      <c r="AE22" s="34"/>
      <c r="AF22" s="35"/>
      <c r="AG22" s="31"/>
      <c r="AH22" s="32"/>
      <c r="AI22" s="33"/>
      <c r="AJ22" s="34"/>
      <c r="AK22" s="34"/>
      <c r="AL22" s="35"/>
      <c r="AM22" s="31"/>
      <c r="AN22" s="32"/>
      <c r="AO22" s="33"/>
      <c r="AP22" s="34"/>
      <c r="AQ22" s="34"/>
      <c r="AR22" s="35"/>
      <c r="AS22" s="31"/>
      <c r="AT22" s="32"/>
      <c r="AU22" s="33"/>
      <c r="AV22" s="34"/>
      <c r="AW22" s="34"/>
      <c r="AX22" s="35"/>
      <c r="AY22" s="34"/>
      <c r="AZ22" s="35"/>
      <c r="BA22" s="31"/>
      <c r="BB22" s="32"/>
      <c r="BC22" s="33"/>
      <c r="BD22" s="34"/>
      <c r="BE22" s="34"/>
      <c r="BF22" s="35"/>
      <c r="BG22" s="31"/>
      <c r="BH22" s="32"/>
      <c r="BI22" s="33"/>
      <c r="BJ22" s="34"/>
      <c r="BK22" s="34"/>
      <c r="BL22" s="35"/>
      <c r="BM22" s="31"/>
      <c r="BN22" s="32"/>
      <c r="BO22" s="33"/>
      <c r="BP22" s="34"/>
      <c r="BQ22" s="34"/>
      <c r="BR22" s="35"/>
    </row>
    <row r="23" spans="1:83" ht="21.95" hidden="1" customHeight="1" x14ac:dyDescent="0.25">
      <c r="A23" s="34"/>
      <c r="B23" s="35"/>
      <c r="C23" s="31"/>
      <c r="D23" s="32"/>
      <c r="E23" s="33"/>
      <c r="F23" s="34"/>
      <c r="G23" s="34"/>
      <c r="H23" s="35"/>
      <c r="I23" s="31"/>
      <c r="J23" s="32"/>
      <c r="K23" s="33"/>
      <c r="L23" s="34"/>
      <c r="M23" s="34"/>
      <c r="N23" s="35"/>
      <c r="O23" s="31"/>
      <c r="P23" s="32"/>
      <c r="Q23" s="33"/>
      <c r="R23" s="34"/>
      <c r="S23" s="34"/>
      <c r="T23" s="35"/>
      <c r="U23" s="31"/>
      <c r="V23" s="32"/>
      <c r="W23" s="33"/>
      <c r="X23" s="34"/>
      <c r="Y23" s="34"/>
      <c r="Z23" s="35"/>
      <c r="AA23" s="31"/>
      <c r="AB23" s="32"/>
      <c r="AC23" s="33"/>
      <c r="AD23" s="34"/>
      <c r="AE23" s="34"/>
      <c r="AF23" s="35"/>
      <c r="AG23" s="31"/>
      <c r="AH23" s="32"/>
      <c r="AI23" s="33"/>
      <c r="AJ23" s="34"/>
      <c r="AK23" s="34"/>
      <c r="AL23" s="35"/>
      <c r="AM23" s="31"/>
      <c r="AN23" s="32"/>
      <c r="AO23" s="33"/>
      <c r="AP23" s="34"/>
      <c r="AQ23" s="34"/>
      <c r="AR23" s="35"/>
      <c r="AS23" s="31"/>
      <c r="AT23" s="32"/>
      <c r="AU23" s="33"/>
      <c r="AV23" s="34"/>
      <c r="AW23" s="34"/>
      <c r="AX23" s="35"/>
      <c r="AY23" s="34"/>
      <c r="AZ23" s="35"/>
      <c r="BA23" s="31"/>
      <c r="BB23" s="32"/>
      <c r="BC23" s="33"/>
      <c r="BD23" s="34"/>
      <c r="BE23" s="34"/>
      <c r="BF23" s="35"/>
      <c r="BG23" s="31"/>
      <c r="BH23" s="32"/>
      <c r="BI23" s="33"/>
      <c r="BJ23" s="34"/>
      <c r="BK23" s="34"/>
      <c r="BL23" s="35"/>
      <c r="BM23" s="31"/>
      <c r="BN23" s="32"/>
      <c r="BO23" s="33"/>
      <c r="BP23" s="34"/>
      <c r="BQ23" s="34"/>
      <c r="BR23" s="35"/>
    </row>
    <row r="24" spans="1:83" ht="6" hidden="1" customHeight="1" x14ac:dyDescent="0.25">
      <c r="A24" s="121"/>
      <c r="B24" s="121"/>
      <c r="C24" s="121"/>
      <c r="D24" s="31"/>
      <c r="E24" s="121"/>
      <c r="F24" s="121"/>
      <c r="G24" s="121"/>
      <c r="H24" s="121"/>
      <c r="I24" s="121"/>
      <c r="J24" s="31"/>
      <c r="K24" s="121"/>
      <c r="L24" s="121"/>
      <c r="M24" s="121"/>
      <c r="N24" s="121"/>
      <c r="O24" s="121"/>
      <c r="P24" s="31"/>
      <c r="Q24" s="121"/>
      <c r="R24" s="121"/>
      <c r="S24" s="121"/>
      <c r="T24" s="121"/>
      <c r="U24" s="121"/>
      <c r="V24" s="31"/>
      <c r="W24" s="121"/>
      <c r="X24" s="121"/>
      <c r="Y24" s="121"/>
      <c r="Z24" s="121"/>
      <c r="AA24" s="121"/>
      <c r="AB24" s="121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21"/>
      <c r="AQ24" s="121"/>
      <c r="AR24" s="121"/>
      <c r="AS24" s="121"/>
      <c r="AT24" s="31"/>
      <c r="AU24" s="121"/>
      <c r="AV24" s="121"/>
      <c r="AW24" s="121"/>
      <c r="AX24" s="121"/>
      <c r="AY24" s="121"/>
      <c r="AZ24" s="121"/>
      <c r="BA24" s="121"/>
      <c r="BB24" s="31"/>
      <c r="BC24" s="121"/>
      <c r="BD24" s="121"/>
      <c r="BE24" s="121"/>
      <c r="BF24" s="121"/>
      <c r="BG24" s="121"/>
      <c r="BH24" s="31"/>
      <c r="BI24" s="121"/>
      <c r="BJ24" s="121"/>
      <c r="BK24" s="121"/>
      <c r="BL24" s="121"/>
      <c r="BM24" s="121"/>
      <c r="BN24" s="31"/>
      <c r="BO24" s="121"/>
      <c r="BP24" s="121"/>
      <c r="BQ24" s="121"/>
      <c r="BR24" s="121"/>
    </row>
    <row r="25" spans="1:83" s="22" customFormat="1" ht="80.099999999999994" hidden="1" customHeight="1" x14ac:dyDescent="1.35">
      <c r="A25" s="34"/>
      <c r="B25" s="121"/>
      <c r="C25" s="121"/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35"/>
      <c r="U25" s="31"/>
      <c r="V25" s="32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3"/>
      <c r="AP25" s="34"/>
      <c r="AQ25" s="34"/>
      <c r="AR25" s="35"/>
      <c r="AS25" s="31"/>
      <c r="AT25" s="32"/>
      <c r="AU25" s="33"/>
      <c r="AV25" s="34"/>
      <c r="AW25" s="34"/>
      <c r="AX25" s="35"/>
      <c r="AY25" s="34"/>
      <c r="AZ25" s="35"/>
      <c r="BA25" s="31"/>
      <c r="BB25" s="32"/>
      <c r="BC25" s="33"/>
      <c r="BD25" s="34"/>
      <c r="BE25" s="34"/>
      <c r="BF25" s="35"/>
      <c r="BG25" s="31"/>
      <c r="BH25" s="32"/>
      <c r="BI25" s="33"/>
      <c r="BJ25" s="34"/>
      <c r="BK25" s="34"/>
      <c r="BL25" s="35"/>
      <c r="BM25" s="31"/>
      <c r="BN25" s="32"/>
      <c r="BO25" s="33"/>
      <c r="BP25" s="34"/>
      <c r="BQ25" s="34"/>
      <c r="BR25" s="35"/>
    </row>
    <row r="26" spans="1:83" ht="27" customHeight="1" x14ac:dyDescent="0.25">
      <c r="A26" s="34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1"/>
      <c r="V26" s="32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3"/>
      <c r="AP26" s="34"/>
      <c r="AQ26" s="34"/>
      <c r="AR26" s="35"/>
      <c r="AS26" s="31"/>
      <c r="AT26" s="32"/>
      <c r="AU26" s="33"/>
      <c r="AV26" s="34"/>
      <c r="AW26" s="34"/>
      <c r="AX26" s="35"/>
      <c r="AY26" s="34"/>
      <c r="AZ26" s="35"/>
      <c r="BA26" s="31"/>
      <c r="BB26" s="32"/>
      <c r="BC26" s="33"/>
      <c r="BD26" s="34"/>
      <c r="BE26" s="34"/>
      <c r="BF26" s="35"/>
      <c r="BG26" s="31"/>
      <c r="BH26" s="32"/>
      <c r="BI26" s="33"/>
      <c r="BJ26" s="34"/>
      <c r="BK26" s="34"/>
      <c r="BL26" s="35"/>
      <c r="BM26" s="31"/>
      <c r="BN26" s="32"/>
      <c r="BO26" s="33"/>
      <c r="BP26" s="34"/>
      <c r="BQ26" s="34"/>
      <c r="BR26" s="35"/>
      <c r="BW26" s="27"/>
      <c r="BX26" s="27"/>
      <c r="BY26" s="27"/>
      <c r="BZ26" s="27"/>
      <c r="CA26" s="27"/>
      <c r="CB26" s="27"/>
      <c r="CC26" s="27"/>
      <c r="CD26" s="27"/>
      <c r="CE26" s="27"/>
    </row>
    <row r="27" spans="1:83" ht="26.1" customHeight="1" x14ac:dyDescent="0.25">
      <c r="A27" s="12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121"/>
      <c r="U27" s="121"/>
      <c r="V27" s="31"/>
      <c r="W27" s="121"/>
      <c r="X27" s="121"/>
      <c r="Y27" s="121"/>
      <c r="Z27" s="121"/>
      <c r="AA27" s="121"/>
      <c r="AB27" s="31"/>
      <c r="AC27" s="121"/>
      <c r="AD27" s="121"/>
      <c r="AE27" s="121"/>
      <c r="AF27" s="121"/>
      <c r="AG27" s="121"/>
      <c r="AH27" s="31"/>
      <c r="AI27" s="121"/>
      <c r="AJ27" s="121"/>
      <c r="AK27" s="121"/>
      <c r="AL27" s="121"/>
      <c r="AM27" s="121"/>
      <c r="AN27" s="31"/>
      <c r="AO27" s="121"/>
      <c r="AP27" s="121"/>
      <c r="AQ27" s="121"/>
      <c r="AR27" s="121"/>
      <c r="AS27" s="121"/>
      <c r="AT27" s="31"/>
      <c r="AU27" s="121"/>
      <c r="AV27" s="121"/>
      <c r="AW27" s="121"/>
      <c r="AX27" s="121"/>
      <c r="AY27" s="121"/>
      <c r="AZ27" s="121"/>
      <c r="BA27" s="121"/>
      <c r="BB27" s="31"/>
      <c r="BC27" s="121"/>
      <c r="BD27" s="121"/>
      <c r="BE27" s="121"/>
      <c r="BF27" s="121"/>
      <c r="BG27" s="121"/>
      <c r="BH27" s="31"/>
      <c r="BI27" s="121"/>
      <c r="BJ27" s="121"/>
      <c r="BK27" s="121"/>
      <c r="BL27" s="121"/>
      <c r="BM27" s="121"/>
      <c r="BN27" s="31"/>
      <c r="BO27" s="121"/>
      <c r="BP27" s="121"/>
      <c r="BQ27" s="121"/>
      <c r="BR27" s="121"/>
    </row>
    <row r="28" spans="1:83" ht="6.75" customHeight="1" x14ac:dyDescent="0.25">
      <c r="A28" s="34"/>
      <c r="B28" s="35"/>
      <c r="C28" s="31"/>
      <c r="D28" s="32"/>
      <c r="E28" s="33"/>
      <c r="F28" s="34"/>
      <c r="G28" s="34"/>
      <c r="H28" s="35"/>
      <c r="I28" s="31"/>
      <c r="J28" s="32"/>
      <c r="K28" s="33"/>
      <c r="L28" s="34"/>
      <c r="M28" s="34"/>
      <c r="N28" s="35"/>
      <c r="O28" s="31"/>
      <c r="P28" s="32"/>
      <c r="Q28" s="33"/>
      <c r="R28" s="34"/>
      <c r="S28" s="34"/>
      <c r="T28" s="35"/>
      <c r="U28" s="31"/>
      <c r="V28" s="32"/>
      <c r="W28" s="33"/>
      <c r="X28" s="34"/>
      <c r="Y28" s="34"/>
      <c r="Z28" s="35"/>
      <c r="AA28" s="31"/>
      <c r="AB28" s="32"/>
      <c r="AC28" s="33"/>
      <c r="AD28" s="34"/>
      <c r="AE28" s="34"/>
      <c r="AF28" s="35"/>
      <c r="AG28" s="31"/>
      <c r="AH28" s="32"/>
      <c r="AI28" s="33"/>
      <c r="AJ28" s="34"/>
      <c r="AK28" s="34"/>
      <c r="AL28" s="35"/>
      <c r="AM28" s="31"/>
      <c r="AN28" s="32"/>
      <c r="AO28" s="33"/>
      <c r="AP28" s="34"/>
      <c r="AQ28" s="34"/>
      <c r="AR28" s="35"/>
      <c r="AS28" s="31"/>
      <c r="AT28" s="32"/>
      <c r="AU28" s="33"/>
      <c r="AV28" s="34"/>
      <c r="AW28" s="34"/>
      <c r="AX28" s="35"/>
      <c r="AY28" s="34"/>
      <c r="AZ28" s="35"/>
      <c r="BA28" s="31"/>
      <c r="BB28" s="32"/>
      <c r="BC28" s="33"/>
      <c r="BD28" s="34"/>
      <c r="BE28" s="34"/>
      <c r="BF28" s="35"/>
      <c r="BG28" s="31"/>
      <c r="BH28" s="32"/>
      <c r="BI28" s="33"/>
      <c r="BJ28" s="34"/>
      <c r="BK28" s="34"/>
      <c r="BL28" s="35"/>
      <c r="BM28" s="31"/>
      <c r="BN28" s="32"/>
      <c r="BO28" s="33"/>
      <c r="BP28" s="34"/>
      <c r="BQ28" s="34"/>
      <c r="BR28" s="35"/>
    </row>
    <row r="29" spans="1:83" ht="21.95" customHeight="1" x14ac:dyDescent="0.25">
      <c r="A29" s="34"/>
      <c r="B29" s="35"/>
      <c r="C29" s="31"/>
      <c r="D29" s="32"/>
      <c r="E29" s="33"/>
      <c r="F29" s="34"/>
      <c r="G29" s="34"/>
      <c r="H29" s="35"/>
      <c r="I29" s="31"/>
      <c r="J29" s="32"/>
      <c r="K29" s="33"/>
      <c r="L29" s="34"/>
      <c r="M29" s="34"/>
      <c r="N29" s="35"/>
      <c r="O29" s="31"/>
      <c r="P29" s="32"/>
      <c r="Q29" s="33"/>
      <c r="R29" s="34"/>
      <c r="S29" s="34"/>
      <c r="T29" s="35"/>
      <c r="U29" s="31"/>
      <c r="V29" s="32"/>
      <c r="W29" s="33"/>
      <c r="X29" s="34"/>
      <c r="Y29" s="34"/>
      <c r="Z29" s="35"/>
      <c r="AA29" s="31"/>
      <c r="AB29" s="32"/>
      <c r="AC29" s="33"/>
      <c r="AD29" s="34"/>
      <c r="AE29" s="34"/>
      <c r="AF29" s="35"/>
      <c r="AG29" s="31"/>
      <c r="AH29" s="2354"/>
      <c r="AI29" s="2354"/>
      <c r="AJ29" s="2354"/>
      <c r="AK29" s="2354"/>
      <c r="AL29" s="2354"/>
      <c r="AM29" s="2354"/>
      <c r="AN29" s="2354"/>
      <c r="AO29" s="2354"/>
      <c r="AP29" s="2354"/>
      <c r="AQ29" s="2354"/>
      <c r="AR29" s="2354"/>
      <c r="AS29" s="2354"/>
      <c r="AT29" s="2354"/>
      <c r="AU29" s="2354"/>
      <c r="AV29" s="2354"/>
      <c r="AW29" s="2354"/>
      <c r="AX29" s="2354"/>
      <c r="AY29" s="2354"/>
      <c r="AZ29" s="2354"/>
      <c r="BA29" s="2354"/>
      <c r="BB29" s="2354"/>
      <c r="BC29" s="2354"/>
      <c r="BD29" s="2354"/>
      <c r="BE29" s="2354"/>
      <c r="BF29" s="2354"/>
      <c r="BG29" s="2354"/>
      <c r="BH29" s="2354"/>
      <c r="BI29" s="2354"/>
      <c r="BJ29" s="2354"/>
      <c r="BK29" s="2354"/>
      <c r="BL29" s="2354"/>
      <c r="BM29" s="2354"/>
      <c r="BN29" s="2354"/>
      <c r="BO29" s="2354"/>
      <c r="BP29" s="34"/>
      <c r="BQ29" s="34"/>
      <c r="BR29" s="35"/>
    </row>
    <row r="30" spans="1:83" ht="157.5" customHeight="1" x14ac:dyDescent="0.25">
      <c r="A30" s="121"/>
      <c r="B30" s="121"/>
      <c r="C30" s="121"/>
      <c r="D30" s="31"/>
      <c r="E30" s="121"/>
      <c r="F30" s="121"/>
      <c r="G30" s="121"/>
      <c r="H30" s="121"/>
      <c r="I30" s="121"/>
      <c r="J30" s="31"/>
      <c r="K30" s="121"/>
      <c r="L30" s="121"/>
      <c r="M30" s="121"/>
      <c r="N30" s="121"/>
      <c r="O30" s="121"/>
      <c r="P30" s="31"/>
      <c r="Q30" s="121"/>
      <c r="R30" s="121"/>
      <c r="S30" s="121"/>
      <c r="T30" s="121"/>
      <c r="U30" s="121"/>
      <c r="V30" s="31"/>
      <c r="W30" s="121"/>
      <c r="X30" s="121"/>
      <c r="Y30" s="121"/>
      <c r="Z30" s="121"/>
      <c r="AA30" s="121"/>
      <c r="AB30" s="31"/>
      <c r="AC30" s="121"/>
      <c r="AD30" s="121"/>
      <c r="AE30" s="121"/>
      <c r="AF30" s="121"/>
      <c r="AG30" s="121"/>
      <c r="AH30" s="2354"/>
      <c r="AI30" s="2354"/>
      <c r="AJ30" s="2354"/>
      <c r="AK30" s="2354"/>
      <c r="AL30" s="2354"/>
      <c r="AM30" s="2354"/>
      <c r="AN30" s="2354"/>
      <c r="AO30" s="2354"/>
      <c r="AP30" s="2354"/>
      <c r="AQ30" s="2354"/>
      <c r="AR30" s="2354"/>
      <c r="AS30" s="2354"/>
      <c r="AT30" s="2354"/>
      <c r="AU30" s="2354"/>
      <c r="AV30" s="2354"/>
      <c r="AW30" s="2354"/>
      <c r="AX30" s="2354"/>
      <c r="AY30" s="2354"/>
      <c r="AZ30" s="2354"/>
      <c r="BA30" s="2354"/>
      <c r="BB30" s="2354"/>
      <c r="BC30" s="2354"/>
      <c r="BD30" s="2354"/>
      <c r="BE30" s="2354"/>
      <c r="BF30" s="2354"/>
      <c r="BG30" s="2354"/>
      <c r="BH30" s="2354"/>
      <c r="BI30" s="2354"/>
      <c r="BJ30" s="2354"/>
      <c r="BK30" s="2354"/>
      <c r="BL30" s="2354"/>
      <c r="BM30" s="2354"/>
      <c r="BN30" s="2354"/>
      <c r="BO30" s="2354"/>
      <c r="BP30" s="121"/>
      <c r="BQ30" s="121"/>
      <c r="BR30" s="121"/>
    </row>
    <row r="31" spans="1:83" s="22" customFormat="1" ht="80.099999999999994" customHeight="1" x14ac:dyDescent="1.35">
      <c r="A31" s="34"/>
      <c r="B31" s="35"/>
      <c r="C31" s="31"/>
      <c r="D31" s="32"/>
      <c r="E31" s="33"/>
      <c r="F31" s="34"/>
      <c r="G31" s="34"/>
      <c r="H31" s="35"/>
      <c r="I31" s="31"/>
      <c r="J31" s="1797"/>
      <c r="K31" s="1797"/>
      <c r="L31" s="1797"/>
      <c r="M31" s="1797"/>
      <c r="N31" s="35"/>
      <c r="O31" s="31"/>
      <c r="P31" s="32"/>
      <c r="Q31" s="33"/>
      <c r="R31" s="34"/>
      <c r="S31" s="34"/>
      <c r="T31" s="35"/>
      <c r="U31" s="31"/>
      <c r="V31" s="32"/>
      <c r="W31" s="33"/>
      <c r="X31" s="34"/>
      <c r="Y31" s="34"/>
      <c r="Z31" s="35"/>
      <c r="AA31" s="31"/>
      <c r="AB31" s="32"/>
      <c r="AC31" s="33"/>
      <c r="AD31" s="34"/>
      <c r="AE31" s="34"/>
      <c r="AF31" s="35"/>
      <c r="AG31" s="31"/>
      <c r="AH31" s="32"/>
      <c r="AI31" s="33"/>
      <c r="AJ31" s="34"/>
      <c r="AK31" s="34"/>
      <c r="AL31" s="35"/>
      <c r="AM31" s="31"/>
      <c r="AN31" s="32"/>
      <c r="AO31" s="33"/>
      <c r="AP31" s="34"/>
      <c r="AQ31" s="34"/>
      <c r="AR31" s="35"/>
      <c r="AS31" s="31"/>
      <c r="AT31" s="32"/>
      <c r="AU31" s="33"/>
      <c r="AV31" s="34"/>
      <c r="AW31" s="34"/>
      <c r="AX31" s="35"/>
      <c r="AY31" s="34"/>
      <c r="AZ31" s="35"/>
      <c r="BA31" s="31"/>
      <c r="BB31" s="32"/>
      <c r="BC31" s="33"/>
      <c r="BD31" s="34"/>
      <c r="BE31" s="34"/>
      <c r="BF31" s="35"/>
      <c r="BG31" s="31"/>
      <c r="BH31" s="32"/>
      <c r="BI31" s="33"/>
      <c r="BJ31" s="34"/>
      <c r="BK31" s="34"/>
      <c r="BL31" s="35"/>
      <c r="BM31" s="31"/>
      <c r="BN31" s="32"/>
      <c r="BO31" s="33"/>
      <c r="BP31" s="34"/>
      <c r="BQ31" s="34"/>
      <c r="BR31" s="35"/>
    </row>
    <row r="32" spans="1:83" ht="26.25" customHeight="1" x14ac:dyDescent="0.25">
      <c r="A32" s="34"/>
      <c r="B32" s="35"/>
      <c r="C32" s="31"/>
      <c r="D32" s="32"/>
      <c r="E32" s="33"/>
      <c r="F32" s="34"/>
      <c r="G32" s="34"/>
      <c r="H32" s="35"/>
      <c r="I32" s="31"/>
      <c r="J32" s="1923" cm="1">
        <f t="array" aca="1" ref="J32" ca="1">SUM(COUNTIF(INDIRECT({"B7","G7","L7","Q7","V7","AA7","AF7","AK7","AP7","AU7","AZ7","BE7","BJ7","BO7","B13","G13","L13","Q13","V13","AA13","AF13","AK13","AP13","AU13","AZ13","BE13","BJ13","BO13","B19","G19","L19","Q19","V19","AA19","AF19","AK19","AP19","AU19","AZ19"}),"&gt;0"))</f>
        <v>25</v>
      </c>
      <c r="K32" s="1923"/>
      <c r="L32" s="1923"/>
      <c r="M32" s="1923"/>
      <c r="N32" s="35"/>
      <c r="O32" s="31"/>
      <c r="P32" s="32"/>
      <c r="Q32" s="33"/>
      <c r="R32" s="34"/>
      <c r="S32" s="34"/>
      <c r="T32" s="35"/>
      <c r="U32" s="33"/>
      <c r="V32" s="34"/>
      <c r="W32" s="34"/>
      <c r="X32" s="33"/>
      <c r="Y32" s="717" cm="1">
        <f t="array" aca="1" ref="Y32" ca="1">SUM(COUNTIF(INDIRECT({"B8","G8","L8","Q8","V8","AA8","AF8","AK8","AP8","AU8","AZ8","BE8","BJ8","BO8","B14","G14","L14","Q14","V14","AA14","AF14","AK14","AP14","AU14","AZ14","BE14","BJ14","BO14","B20","G20","L20","Q20","V20","AA20","AF20","AK20","AP20","AU20","AZ20"}),"&gt;0"))</f>
        <v>25</v>
      </c>
      <c r="Z32" s="717"/>
      <c r="AA32" s="717"/>
      <c r="AB32" s="717"/>
      <c r="AC32" s="34"/>
      <c r="AD32" s="33"/>
      <c r="AE32" s="34"/>
      <c r="AF32" s="34"/>
      <c r="AG32" s="33"/>
      <c r="AH32" s="34"/>
      <c r="AI32" s="34"/>
      <c r="AJ32" s="33"/>
      <c r="AK32" s="34"/>
      <c r="AL32" s="34"/>
      <c r="AM32" s="33"/>
      <c r="AN32" s="34"/>
      <c r="AO32" s="34"/>
      <c r="AP32" s="1988"/>
      <c r="AQ32" s="1988"/>
      <c r="AR32" s="1988"/>
      <c r="AS32" s="1988"/>
      <c r="AT32" s="34"/>
      <c r="AU32" s="34"/>
      <c r="AV32" s="33"/>
      <c r="AW32" s="34"/>
      <c r="AX32" s="34"/>
      <c r="AY32" s="33"/>
      <c r="AZ32" s="34"/>
      <c r="BA32" s="34"/>
      <c r="BB32" s="33"/>
      <c r="BC32" s="34"/>
      <c r="BD32" s="34"/>
      <c r="BE32" s="33"/>
      <c r="BF32" s="717"/>
      <c r="BG32" s="717"/>
      <c r="BH32" s="717"/>
      <c r="BI32" s="717"/>
      <c r="BJ32" s="717"/>
      <c r="BK32" s="33"/>
      <c r="BL32" s="34"/>
      <c r="BM32" s="34"/>
      <c r="BN32" s="33"/>
      <c r="BO32" s="34"/>
      <c r="BP32" s="34"/>
      <c r="BQ32" s="33"/>
      <c r="BR32" s="34"/>
      <c r="BW32" s="27"/>
      <c r="BX32" s="27"/>
      <c r="BY32" s="27"/>
      <c r="BZ32" s="27"/>
      <c r="CA32" s="27"/>
      <c r="CB32" s="27"/>
      <c r="CC32" s="27"/>
      <c r="CD32" s="27"/>
      <c r="CE32" s="27"/>
    </row>
    <row r="33" spans="1:83" ht="26.1" customHeight="1" x14ac:dyDescent="0.25">
      <c r="A33" s="30"/>
      <c r="B33" s="29"/>
      <c r="C33" s="28"/>
      <c r="D33" s="28"/>
      <c r="E33" s="28"/>
      <c r="F33" s="30"/>
      <c r="G33" s="29"/>
      <c r="H33" s="28"/>
      <c r="I33" s="28"/>
      <c r="J33" s="1923"/>
      <c r="K33" s="1923"/>
      <c r="L33" s="1923"/>
      <c r="M33" s="1923"/>
      <c r="N33" s="28"/>
      <c r="O33" s="28"/>
      <c r="P33" s="30"/>
      <c r="Q33" s="29"/>
      <c r="R33" s="28"/>
      <c r="S33" s="28"/>
      <c r="T33" s="28"/>
      <c r="U33" s="29"/>
      <c r="V33" s="28"/>
      <c r="W33" s="28"/>
      <c r="X33" s="29"/>
      <c r="Y33" s="717"/>
      <c r="Z33" s="717"/>
      <c r="AA33" s="717"/>
      <c r="AB33" s="717"/>
      <c r="AC33" s="28"/>
      <c r="AD33" s="29"/>
      <c r="AE33" s="28"/>
      <c r="AF33" s="28"/>
      <c r="AG33" s="29"/>
      <c r="AH33" s="28"/>
      <c r="AI33" s="28"/>
      <c r="AJ33" s="29"/>
      <c r="AK33" s="28"/>
      <c r="AL33" s="28"/>
      <c r="AM33" s="29"/>
      <c r="AN33" s="28"/>
      <c r="AO33" s="28"/>
      <c r="AP33" s="1988"/>
      <c r="AQ33" s="1988"/>
      <c r="AR33" s="1988"/>
      <c r="AS33" s="1988"/>
      <c r="AT33" s="28"/>
      <c r="AU33" s="28"/>
      <c r="AV33" s="29"/>
      <c r="AW33" s="28"/>
      <c r="AX33" s="28"/>
      <c r="AY33" s="29"/>
      <c r="AZ33" s="28"/>
      <c r="BA33" s="28"/>
      <c r="BB33" s="29"/>
      <c r="BC33" s="28"/>
      <c r="BD33" s="28"/>
      <c r="BE33" s="29"/>
      <c r="BF33" s="717"/>
      <c r="BG33" s="717"/>
      <c r="BH33" s="717"/>
      <c r="BI33" s="717"/>
      <c r="BJ33" s="717"/>
      <c r="BK33" s="29"/>
      <c r="BL33" s="28"/>
      <c r="BM33" s="28"/>
      <c r="BN33" s="29"/>
      <c r="BO33" s="28"/>
      <c r="BP33" s="28"/>
      <c r="BQ33" s="29"/>
      <c r="BR33" s="28"/>
    </row>
    <row r="34" spans="1:83" ht="6.75" customHeight="1" x14ac:dyDescent="0.25">
      <c r="A34" s="29"/>
      <c r="B34" s="29"/>
      <c r="C34" s="28"/>
      <c r="D34" s="28"/>
      <c r="E34" s="28"/>
      <c r="F34" s="29"/>
      <c r="G34" s="29"/>
      <c r="H34" s="28"/>
      <c r="I34" s="28"/>
      <c r="J34" s="1923"/>
      <c r="K34" s="1923"/>
      <c r="L34" s="1923"/>
      <c r="M34" s="1923"/>
      <c r="N34" s="28"/>
      <c r="O34" s="28"/>
      <c r="P34" s="29"/>
      <c r="Q34" s="29"/>
      <c r="R34" s="28"/>
      <c r="S34" s="28"/>
      <c r="T34" s="28"/>
      <c r="U34" s="28"/>
      <c r="V34" s="29"/>
      <c r="W34" s="29"/>
      <c r="X34" s="28"/>
      <c r="Y34" s="717"/>
      <c r="Z34" s="717"/>
      <c r="AA34" s="717"/>
      <c r="AB34" s="717"/>
      <c r="AC34" s="28"/>
      <c r="AD34" s="28"/>
      <c r="AE34" s="28"/>
      <c r="AF34" s="29"/>
      <c r="AG34" s="29"/>
      <c r="AH34" s="28"/>
      <c r="AI34" s="28"/>
      <c r="AJ34" s="28"/>
      <c r="AK34" s="29"/>
      <c r="AL34" s="29"/>
      <c r="AM34" s="28"/>
      <c r="AN34" s="28"/>
      <c r="AO34" s="28"/>
      <c r="AP34" s="1988"/>
      <c r="AQ34" s="1988"/>
      <c r="AR34" s="1988"/>
      <c r="AS34" s="1988"/>
      <c r="AT34" s="28"/>
      <c r="AU34" s="29"/>
      <c r="AV34" s="29"/>
      <c r="AW34" s="28"/>
      <c r="AX34" s="28"/>
      <c r="AY34" s="28"/>
      <c r="AZ34" s="29"/>
      <c r="BA34" s="29"/>
      <c r="BB34" s="28"/>
      <c r="BC34" s="28"/>
      <c r="BD34" s="28"/>
      <c r="BE34" s="28"/>
      <c r="BF34" s="717"/>
      <c r="BG34" s="717"/>
      <c r="BH34" s="717"/>
      <c r="BI34" s="717"/>
      <c r="BJ34" s="717"/>
      <c r="BK34" s="29"/>
      <c r="BL34" s="29"/>
      <c r="BM34" s="28"/>
      <c r="BN34" s="28"/>
      <c r="BO34" s="28"/>
      <c r="BP34" s="29"/>
      <c r="BQ34" s="29"/>
      <c r="BR34" s="28"/>
    </row>
    <row r="35" spans="1:83" ht="21.95" customHeight="1" x14ac:dyDescent="0.25">
      <c r="A35" s="121"/>
      <c r="B35" s="121"/>
      <c r="C35" s="31"/>
      <c r="D35" s="121"/>
      <c r="E35" s="121"/>
      <c r="F35" s="121"/>
      <c r="G35" s="121"/>
      <c r="H35" s="31"/>
      <c r="I35" s="121"/>
      <c r="J35" s="1923"/>
      <c r="K35" s="1923"/>
      <c r="L35" s="1923"/>
      <c r="M35" s="1923"/>
      <c r="N35" s="121"/>
      <c r="O35" s="121"/>
      <c r="P35" s="121"/>
      <c r="Q35" s="121"/>
      <c r="R35" s="31"/>
      <c r="S35" s="121"/>
      <c r="T35" s="121"/>
      <c r="U35" s="28"/>
      <c r="V35" s="30"/>
      <c r="W35" s="29"/>
      <c r="X35" s="28"/>
      <c r="Y35" s="717"/>
      <c r="Z35" s="717"/>
      <c r="AA35" s="717"/>
      <c r="AB35" s="717"/>
      <c r="AC35" s="28"/>
      <c r="AD35" s="28"/>
      <c r="AE35" s="28"/>
      <c r="AF35" s="30"/>
      <c r="AG35" s="29"/>
      <c r="AH35" s="28"/>
      <c r="AI35" s="28"/>
      <c r="AJ35" s="28"/>
      <c r="AK35" s="30"/>
      <c r="AL35" s="29"/>
      <c r="AM35" s="28"/>
      <c r="AN35" s="28"/>
      <c r="AO35" s="28"/>
      <c r="AP35" s="1988"/>
      <c r="AQ35" s="1988"/>
      <c r="AR35" s="1988"/>
      <c r="AS35" s="1988"/>
      <c r="AT35" s="28"/>
      <c r="AU35" s="30"/>
      <c r="AV35" s="29"/>
      <c r="AW35" s="28"/>
      <c r="AX35" s="28"/>
      <c r="AY35" s="28"/>
      <c r="AZ35" s="30"/>
      <c r="BA35" s="29"/>
      <c r="BB35" s="28"/>
      <c r="BC35" s="28"/>
      <c r="BD35" s="28"/>
      <c r="BE35" s="28"/>
      <c r="BF35" s="717"/>
      <c r="BG35" s="717"/>
      <c r="BH35" s="717"/>
      <c r="BI35" s="717"/>
      <c r="BJ35" s="717"/>
      <c r="BK35" s="30"/>
      <c r="BL35" s="29"/>
      <c r="BM35" s="28"/>
      <c r="BN35" s="28"/>
      <c r="BO35" s="28"/>
      <c r="BP35" s="30"/>
      <c r="BQ35" s="29"/>
      <c r="BR35" s="28"/>
    </row>
    <row r="36" spans="1:83" ht="6" customHeight="1" x14ac:dyDescent="0.25">
      <c r="A36" s="35"/>
      <c r="B36" s="31"/>
      <c r="C36" s="32"/>
      <c r="D36" s="33"/>
      <c r="E36" s="34"/>
      <c r="F36" s="35"/>
      <c r="G36" s="31"/>
      <c r="H36" s="32"/>
      <c r="I36" s="33"/>
      <c r="J36" s="34"/>
      <c r="K36" s="35"/>
      <c r="L36" s="31"/>
      <c r="M36" s="32"/>
      <c r="N36" s="33"/>
      <c r="O36" s="34"/>
      <c r="P36" s="35"/>
      <c r="Q36" s="31"/>
      <c r="R36" s="32"/>
      <c r="S36" s="33"/>
      <c r="T36" s="34"/>
      <c r="U36" s="28"/>
      <c r="V36" s="697" t="s">
        <v>116</v>
      </c>
      <c r="W36" s="697"/>
      <c r="X36" s="697"/>
      <c r="Y36" s="697"/>
      <c r="Z36" s="697"/>
      <c r="AA36" s="697"/>
      <c r="AB36" s="697"/>
      <c r="AC36" s="697"/>
      <c r="AD36" s="697"/>
      <c r="AE36" s="697"/>
      <c r="AF36" s="697"/>
      <c r="AG36" s="697"/>
      <c r="AH36" s="697" t="s">
        <v>117</v>
      </c>
      <c r="AI36" s="697"/>
      <c r="AJ36" s="697"/>
      <c r="AK36" s="697"/>
      <c r="AL36" s="697"/>
      <c r="AM36" s="697"/>
      <c r="AN36" s="697"/>
      <c r="AO36" s="697"/>
      <c r="AP36" s="697"/>
      <c r="AQ36" s="697"/>
      <c r="AR36" s="697"/>
      <c r="AS36" s="698" t="s">
        <v>118</v>
      </c>
      <c r="AT36" s="698"/>
      <c r="AU36" s="698"/>
      <c r="AV36" s="698"/>
      <c r="AW36" s="698"/>
      <c r="AX36" s="698"/>
      <c r="AY36" s="698"/>
      <c r="AZ36" s="698"/>
      <c r="BA36" s="698"/>
      <c r="BB36" s="698"/>
      <c r="BC36" s="698"/>
      <c r="BD36" s="698"/>
      <c r="BE36" s="699" t="s">
        <v>119</v>
      </c>
      <c r="BF36" s="699"/>
      <c r="BG36" s="699"/>
      <c r="BH36" s="699"/>
      <c r="BI36" s="699"/>
      <c r="BJ36" s="1924">
        <f>D8+I8+N8+S8+X8+AC8+AH8+AM8+AR8+AW8+BB8+BG8+BL8+BQ8+D14+I14+N14+S14+X14+AC14+AH14+AM14+AR14+AW14</f>
        <v>25</v>
      </c>
      <c r="BK36" s="1925"/>
      <c r="BL36" s="1925"/>
      <c r="BM36" s="1925"/>
      <c r="BN36" s="701" t="s">
        <v>120</v>
      </c>
      <c r="BO36" s="701"/>
      <c r="BP36" s="701"/>
      <c r="BQ36" s="29"/>
      <c r="BR36" s="28"/>
    </row>
    <row r="37" spans="1:83" s="22" customFormat="1" ht="80.099999999999994" customHeight="1" x14ac:dyDescent="1.35">
      <c r="A37" s="35"/>
      <c r="B37" s="31"/>
      <c r="C37" s="32"/>
      <c r="D37" s="33"/>
      <c r="E37" s="34"/>
      <c r="F37" s="35"/>
      <c r="G37" s="31"/>
      <c r="H37" s="32"/>
      <c r="I37" s="33"/>
      <c r="J37" s="34"/>
      <c r="K37" s="35"/>
      <c r="L37" s="31"/>
      <c r="M37" s="32"/>
      <c r="N37" s="33"/>
      <c r="O37" s="34"/>
      <c r="P37" s="35"/>
      <c r="Q37" s="31"/>
      <c r="R37" s="32"/>
      <c r="S37" s="33"/>
      <c r="T37" s="34"/>
      <c r="U37" s="121"/>
      <c r="V37" s="697"/>
      <c r="W37" s="697"/>
      <c r="X37" s="697"/>
      <c r="Y37" s="697"/>
      <c r="Z37" s="697"/>
      <c r="AA37" s="697"/>
      <c r="AB37" s="697"/>
      <c r="AC37" s="697"/>
      <c r="AD37" s="697"/>
      <c r="AE37" s="697"/>
      <c r="AF37" s="697"/>
      <c r="AG37" s="697"/>
      <c r="AH37" s="697"/>
      <c r="AI37" s="697"/>
      <c r="AJ37" s="697"/>
      <c r="AK37" s="697"/>
      <c r="AL37" s="697"/>
      <c r="AM37" s="697"/>
      <c r="AN37" s="697"/>
      <c r="AO37" s="697"/>
      <c r="AP37" s="697"/>
      <c r="AQ37" s="697"/>
      <c r="AR37" s="697"/>
      <c r="AS37" s="698"/>
      <c r="AT37" s="698"/>
      <c r="AU37" s="698"/>
      <c r="AV37" s="698"/>
      <c r="AW37" s="698"/>
      <c r="AX37" s="698"/>
      <c r="AY37" s="698"/>
      <c r="AZ37" s="698"/>
      <c r="BA37" s="698"/>
      <c r="BB37" s="698"/>
      <c r="BC37" s="698"/>
      <c r="BD37" s="698"/>
      <c r="BE37" s="699"/>
      <c r="BF37" s="699"/>
      <c r="BG37" s="699"/>
      <c r="BH37" s="699"/>
      <c r="BI37" s="699"/>
      <c r="BJ37" s="1925"/>
      <c r="BK37" s="1925"/>
      <c r="BL37" s="1925"/>
      <c r="BM37" s="1925"/>
      <c r="BN37" s="701"/>
      <c r="BO37" s="701"/>
      <c r="BP37" s="701"/>
      <c r="BQ37" s="121"/>
      <c r="BR37" s="31"/>
    </row>
    <row r="38" spans="1:83" ht="26.25" customHeight="1" x14ac:dyDescent="0.25">
      <c r="A38" s="34"/>
      <c r="B38" s="35"/>
      <c r="C38" s="31"/>
      <c r="D38" s="32"/>
      <c r="E38" s="33"/>
      <c r="F38" s="34"/>
      <c r="G38" s="34"/>
      <c r="H38" s="35"/>
      <c r="I38" s="31"/>
      <c r="J38" s="32"/>
      <c r="K38" s="33"/>
      <c r="L38" s="34"/>
      <c r="M38" s="34"/>
      <c r="N38" s="35"/>
      <c r="O38" s="31"/>
      <c r="P38" s="32"/>
      <c r="Q38" s="33"/>
      <c r="R38" s="34"/>
      <c r="S38" s="34"/>
      <c r="T38" s="35"/>
      <c r="U38" s="31"/>
      <c r="V38" s="697"/>
      <c r="W38" s="697"/>
      <c r="X38" s="697"/>
      <c r="Y38" s="697"/>
      <c r="Z38" s="697"/>
      <c r="AA38" s="697"/>
      <c r="AB38" s="697"/>
      <c r="AC38" s="697"/>
      <c r="AD38" s="697"/>
      <c r="AE38" s="697"/>
      <c r="AF38" s="697"/>
      <c r="AG38" s="697"/>
      <c r="AH38" s="697"/>
      <c r="AI38" s="697"/>
      <c r="AJ38" s="697"/>
      <c r="AK38" s="697"/>
      <c r="AL38" s="697"/>
      <c r="AM38" s="697"/>
      <c r="AN38" s="697"/>
      <c r="AO38" s="697"/>
      <c r="AP38" s="697"/>
      <c r="AQ38" s="697"/>
      <c r="AR38" s="697"/>
      <c r="AS38" s="698"/>
      <c r="AT38" s="698"/>
      <c r="AU38" s="698"/>
      <c r="AV38" s="698"/>
      <c r="AW38" s="698"/>
      <c r="AX38" s="698"/>
      <c r="AY38" s="698"/>
      <c r="AZ38" s="698"/>
      <c r="BA38" s="698"/>
      <c r="BB38" s="698"/>
      <c r="BC38" s="698"/>
      <c r="BD38" s="698"/>
      <c r="BE38" s="699"/>
      <c r="BF38" s="699"/>
      <c r="BG38" s="699"/>
      <c r="BH38" s="699"/>
      <c r="BI38" s="699"/>
      <c r="BJ38" s="1925"/>
      <c r="BK38" s="1925"/>
      <c r="BL38" s="1925"/>
      <c r="BM38" s="1925"/>
      <c r="BN38" s="701"/>
      <c r="BO38" s="701"/>
      <c r="BP38" s="701"/>
      <c r="BQ38" s="32"/>
      <c r="BR38" s="33"/>
      <c r="BW38" s="27"/>
      <c r="BX38" s="27"/>
      <c r="BY38" s="27"/>
      <c r="BZ38" s="27"/>
      <c r="CA38" s="27"/>
      <c r="CB38" s="27"/>
      <c r="CC38" s="27"/>
      <c r="CD38" s="27"/>
      <c r="CE38" s="27"/>
    </row>
    <row r="39" spans="1:83" ht="26.1" customHeight="1" x14ac:dyDescent="0.25">
      <c r="A39" s="34"/>
      <c r="B39" s="35"/>
      <c r="C39" s="31"/>
      <c r="D39" s="32"/>
      <c r="E39" s="33"/>
      <c r="F39" s="34"/>
      <c r="G39" s="34"/>
      <c r="H39" s="35"/>
      <c r="I39" s="31"/>
      <c r="J39" s="32"/>
      <c r="K39" s="33"/>
      <c r="L39" s="34"/>
      <c r="M39" s="34"/>
      <c r="N39" s="35"/>
      <c r="O39" s="31"/>
      <c r="P39" s="32"/>
      <c r="Q39" s="33"/>
      <c r="R39" s="34"/>
      <c r="S39" s="34"/>
      <c r="T39" s="35"/>
      <c r="U39" s="31"/>
      <c r="V39" s="697"/>
      <c r="W39" s="697"/>
      <c r="X39" s="697"/>
      <c r="Y39" s="697"/>
      <c r="Z39" s="697"/>
      <c r="AA39" s="697"/>
      <c r="AB39" s="697"/>
      <c r="AC39" s="697"/>
      <c r="AD39" s="697"/>
      <c r="AE39" s="697"/>
      <c r="AF39" s="697"/>
      <c r="AG39" s="697"/>
      <c r="AH39" s="697"/>
      <c r="AI39" s="697"/>
      <c r="AJ39" s="697"/>
      <c r="AK39" s="697"/>
      <c r="AL39" s="697"/>
      <c r="AM39" s="697"/>
      <c r="AN39" s="697"/>
      <c r="AO39" s="697"/>
      <c r="AP39" s="697"/>
      <c r="AQ39" s="697"/>
      <c r="AR39" s="697"/>
      <c r="AS39" s="698"/>
      <c r="AT39" s="698"/>
      <c r="AU39" s="698"/>
      <c r="AV39" s="698"/>
      <c r="AW39" s="698"/>
      <c r="AX39" s="698"/>
      <c r="AY39" s="698"/>
      <c r="AZ39" s="698"/>
      <c r="BA39" s="698"/>
      <c r="BB39" s="698"/>
      <c r="BC39" s="698"/>
      <c r="BD39" s="698"/>
      <c r="BE39" s="699"/>
      <c r="BF39" s="699"/>
      <c r="BG39" s="699"/>
      <c r="BH39" s="699"/>
      <c r="BI39" s="699"/>
      <c r="BJ39" s="1925"/>
      <c r="BK39" s="1925"/>
      <c r="BL39" s="1925"/>
      <c r="BM39" s="1925"/>
      <c r="BN39" s="701"/>
      <c r="BO39" s="701"/>
      <c r="BP39" s="701"/>
      <c r="BQ39" s="32"/>
      <c r="BR39" s="33"/>
    </row>
    <row r="40" spans="1:83" ht="6.75" customHeight="1" x14ac:dyDescent="0.25">
      <c r="A40" s="28"/>
      <c r="B40" s="28"/>
      <c r="C40" s="28"/>
      <c r="D40" s="29"/>
      <c r="E40" s="29"/>
      <c r="F40" s="28"/>
      <c r="G40" s="28"/>
      <c r="H40" s="28"/>
      <c r="I40" s="29"/>
      <c r="J40" s="29"/>
      <c r="K40" s="28"/>
      <c r="L40" s="28"/>
      <c r="M40" s="28"/>
      <c r="N40" s="29"/>
      <c r="O40" s="29"/>
      <c r="P40" s="28"/>
      <c r="Q40" s="28"/>
      <c r="R40" s="28"/>
      <c r="S40" s="29"/>
      <c r="T40" s="29"/>
      <c r="U40" s="28"/>
      <c r="V40" s="722" t="s">
        <v>13</v>
      </c>
      <c r="W40" s="722"/>
      <c r="X40" s="722"/>
      <c r="Y40" s="722"/>
      <c r="Z40" s="722"/>
      <c r="AA40" s="722"/>
      <c r="AB40" s="722"/>
      <c r="AC40" s="722"/>
      <c r="AD40" s="722"/>
      <c r="AE40" s="722"/>
      <c r="AF40" s="722"/>
      <c r="AG40" s="722"/>
      <c r="AH40" s="723">
        <f>AS40-AD76</f>
        <v>2.8000000000005798E-3</v>
      </c>
      <c r="AI40" s="723"/>
      <c r="AJ40" s="723"/>
      <c r="AK40" s="723"/>
      <c r="AL40" s="723"/>
      <c r="AM40" s="723"/>
      <c r="AN40" s="723"/>
      <c r="AO40" s="723"/>
      <c r="AP40" s="723"/>
      <c r="AQ40" s="723"/>
      <c r="AR40" s="723"/>
      <c r="AS40" s="707">
        <f>B8+G8+L8+Q8+V8+AA8+AF8+AK8+AP8+AU8+AZ8+BE8+BJ8+BO8+B14+G14+L14+Q14+V14+AA14+AF14+AK14+AP14+AU14</f>
        <v>52.992800000000003</v>
      </c>
      <c r="AT40" s="707"/>
      <c r="AU40" s="707"/>
      <c r="AV40" s="707"/>
      <c r="AW40" s="707"/>
      <c r="AX40" s="707"/>
      <c r="AY40" s="707"/>
      <c r="AZ40" s="707"/>
      <c r="BA40" s="707"/>
      <c r="BB40" s="707"/>
      <c r="BC40" s="707"/>
      <c r="BD40" s="707"/>
      <c r="BE40" s="699"/>
      <c r="BF40" s="699"/>
      <c r="BG40" s="699"/>
      <c r="BH40" s="699"/>
      <c r="BI40" s="699"/>
      <c r="BJ40" s="1925"/>
      <c r="BK40" s="1925"/>
      <c r="BL40" s="1925"/>
      <c r="BM40" s="1925"/>
      <c r="BN40" s="701"/>
      <c r="BO40" s="701"/>
      <c r="BP40" s="701"/>
      <c r="BQ40" s="29"/>
      <c r="BR40" s="29"/>
    </row>
    <row r="41" spans="1:83" ht="21.95" customHeight="1" x14ac:dyDescent="0.25">
      <c r="A41" s="28"/>
      <c r="B41" s="28"/>
      <c r="C41" s="28"/>
      <c r="D41" s="30"/>
      <c r="E41" s="29"/>
      <c r="F41" s="28"/>
      <c r="G41" s="28"/>
      <c r="H41" s="28"/>
      <c r="I41" s="30"/>
      <c r="J41" s="29"/>
      <c r="K41" s="28"/>
      <c r="L41" s="28"/>
      <c r="M41" s="28"/>
      <c r="N41" s="30"/>
      <c r="O41" s="29"/>
      <c r="P41" s="28"/>
      <c r="Q41" s="28"/>
      <c r="R41" s="28"/>
      <c r="S41" s="30"/>
      <c r="T41" s="29"/>
      <c r="U41" s="28"/>
      <c r="V41" s="722"/>
      <c r="W41" s="722"/>
      <c r="X41" s="722"/>
      <c r="Y41" s="722"/>
      <c r="Z41" s="722"/>
      <c r="AA41" s="722"/>
      <c r="AB41" s="722"/>
      <c r="AC41" s="722"/>
      <c r="AD41" s="722"/>
      <c r="AE41" s="722"/>
      <c r="AF41" s="722"/>
      <c r="AG41" s="722"/>
      <c r="AH41" s="723"/>
      <c r="AI41" s="723"/>
      <c r="AJ41" s="723"/>
      <c r="AK41" s="723"/>
      <c r="AL41" s="723"/>
      <c r="AM41" s="723"/>
      <c r="AN41" s="723"/>
      <c r="AO41" s="723"/>
      <c r="AP41" s="723"/>
      <c r="AQ41" s="723"/>
      <c r="AR41" s="723"/>
      <c r="AS41" s="707"/>
      <c r="AT41" s="707"/>
      <c r="AU41" s="707"/>
      <c r="AV41" s="707"/>
      <c r="AW41" s="707"/>
      <c r="AX41" s="707"/>
      <c r="AY41" s="707"/>
      <c r="AZ41" s="707"/>
      <c r="BA41" s="707"/>
      <c r="BB41" s="707"/>
      <c r="BC41" s="707"/>
      <c r="BD41" s="707"/>
      <c r="BE41" s="699"/>
      <c r="BF41" s="699"/>
      <c r="BG41" s="699"/>
      <c r="BH41" s="699"/>
      <c r="BI41" s="699"/>
      <c r="BJ41" s="1925"/>
      <c r="BK41" s="1925"/>
      <c r="BL41" s="1925"/>
      <c r="BM41" s="1925"/>
      <c r="BN41" s="701"/>
      <c r="BO41" s="701"/>
      <c r="BP41" s="701"/>
      <c r="BQ41" s="30"/>
      <c r="BR41" s="29"/>
    </row>
    <row r="42" spans="1:83" ht="6" customHeight="1" x14ac:dyDescent="0.25">
      <c r="A42" s="28"/>
      <c r="B42" s="28"/>
      <c r="C42" s="28"/>
      <c r="D42" s="29"/>
      <c r="E42" s="29"/>
      <c r="F42" s="28"/>
      <c r="G42" s="28"/>
      <c r="H42" s="28"/>
      <c r="I42" s="29"/>
      <c r="J42" s="29"/>
      <c r="K42" s="28"/>
      <c r="L42" s="28"/>
      <c r="M42" s="28"/>
      <c r="N42" s="29"/>
      <c r="O42" s="29"/>
      <c r="P42" s="28"/>
      <c r="Q42" s="28"/>
      <c r="R42" s="28"/>
      <c r="S42" s="29"/>
      <c r="T42" s="29"/>
      <c r="U42" s="28"/>
      <c r="V42" s="722"/>
      <c r="W42" s="722"/>
      <c r="X42" s="722"/>
      <c r="Y42" s="722"/>
      <c r="Z42" s="722"/>
      <c r="AA42" s="722"/>
      <c r="AB42" s="722"/>
      <c r="AC42" s="722"/>
      <c r="AD42" s="722"/>
      <c r="AE42" s="722"/>
      <c r="AF42" s="722"/>
      <c r="AG42" s="722"/>
      <c r="AH42" s="723"/>
      <c r="AI42" s="723"/>
      <c r="AJ42" s="723"/>
      <c r="AK42" s="723"/>
      <c r="AL42" s="723"/>
      <c r="AM42" s="723"/>
      <c r="AN42" s="723"/>
      <c r="AO42" s="723"/>
      <c r="AP42" s="723"/>
      <c r="AQ42" s="723"/>
      <c r="AR42" s="723"/>
      <c r="AS42" s="707"/>
      <c r="AT42" s="707"/>
      <c r="AU42" s="707"/>
      <c r="AV42" s="707"/>
      <c r="AW42" s="707"/>
      <c r="AX42" s="707"/>
      <c r="AY42" s="707"/>
      <c r="AZ42" s="707"/>
      <c r="BA42" s="707"/>
      <c r="BB42" s="707"/>
      <c r="BC42" s="707"/>
      <c r="BD42" s="707"/>
      <c r="BE42" s="699"/>
      <c r="BF42" s="699"/>
      <c r="BG42" s="699"/>
      <c r="BH42" s="699"/>
      <c r="BI42" s="699"/>
      <c r="BJ42" s="708">
        <f>BJ36*1.5</f>
        <v>37.5</v>
      </c>
      <c r="BK42" s="708"/>
      <c r="BL42" s="708"/>
      <c r="BM42" s="708"/>
      <c r="BN42" s="708"/>
      <c r="BO42" s="708"/>
      <c r="BP42" s="708"/>
      <c r="BQ42" s="29"/>
      <c r="BR42" s="29"/>
    </row>
    <row r="43" spans="1:83" s="22" customFormat="1" ht="80.099999999999994" customHeight="1" x14ac:dyDescent="1.35">
      <c r="A43" s="31"/>
      <c r="B43" s="121"/>
      <c r="C43" s="121"/>
      <c r="D43" s="121"/>
      <c r="E43" s="121"/>
      <c r="F43" s="702"/>
      <c r="G43" s="702"/>
      <c r="H43" s="121"/>
      <c r="I43" s="121"/>
      <c r="J43" s="121"/>
      <c r="K43" s="31"/>
      <c r="L43" s="121"/>
      <c r="M43" s="121"/>
      <c r="N43" s="121"/>
      <c r="O43" s="121"/>
      <c r="P43" s="31"/>
      <c r="Q43" s="121"/>
      <c r="R43" s="121"/>
      <c r="S43" s="121"/>
      <c r="T43" s="121"/>
      <c r="U43" s="31"/>
      <c r="V43" s="722"/>
      <c r="W43" s="722"/>
      <c r="X43" s="722"/>
      <c r="Y43" s="722"/>
      <c r="Z43" s="722"/>
      <c r="AA43" s="722"/>
      <c r="AB43" s="722"/>
      <c r="AC43" s="722"/>
      <c r="AD43" s="722"/>
      <c r="AE43" s="722"/>
      <c r="AF43" s="722"/>
      <c r="AG43" s="722"/>
      <c r="AH43" s="723"/>
      <c r="AI43" s="723"/>
      <c r="AJ43" s="723"/>
      <c r="AK43" s="723"/>
      <c r="AL43" s="723"/>
      <c r="AM43" s="723"/>
      <c r="AN43" s="723"/>
      <c r="AO43" s="723"/>
      <c r="AP43" s="723"/>
      <c r="AQ43" s="723"/>
      <c r="AR43" s="723"/>
      <c r="AS43" s="707"/>
      <c r="AT43" s="707"/>
      <c r="AU43" s="707"/>
      <c r="AV43" s="707"/>
      <c r="AW43" s="707"/>
      <c r="AX43" s="707"/>
      <c r="AY43" s="707"/>
      <c r="AZ43" s="707"/>
      <c r="BA43" s="707"/>
      <c r="BB43" s="707"/>
      <c r="BC43" s="707"/>
      <c r="BD43" s="707"/>
      <c r="BE43" s="699"/>
      <c r="BF43" s="699"/>
      <c r="BG43" s="699"/>
      <c r="BH43" s="699"/>
      <c r="BI43" s="699"/>
      <c r="BJ43" s="708"/>
      <c r="BK43" s="708"/>
      <c r="BL43" s="708"/>
      <c r="BM43" s="708"/>
      <c r="BN43" s="708"/>
      <c r="BO43" s="708"/>
      <c r="BP43" s="708"/>
      <c r="BQ43" s="121"/>
      <c r="BR43" s="121"/>
    </row>
    <row r="44" spans="1:83" ht="26.25" customHeight="1" x14ac:dyDescent="0.25">
      <c r="A44" s="34"/>
      <c r="B44" s="35"/>
      <c r="C44" s="31"/>
      <c r="D44" s="32"/>
      <c r="E44" s="33"/>
      <c r="F44" s="703"/>
      <c r="G44" s="703"/>
      <c r="H44" s="31"/>
      <c r="I44" s="32"/>
      <c r="J44" s="33"/>
      <c r="K44" s="34"/>
      <c r="L44" s="35"/>
      <c r="M44" s="31"/>
      <c r="N44" s="32"/>
      <c r="O44" s="33"/>
      <c r="P44" s="34"/>
      <c r="Q44" s="35"/>
      <c r="R44" s="31"/>
      <c r="S44" s="32"/>
      <c r="T44" s="33"/>
      <c r="U44" s="34"/>
      <c r="V44" s="722"/>
      <c r="W44" s="722"/>
      <c r="X44" s="722"/>
      <c r="Y44" s="722"/>
      <c r="Z44" s="722"/>
      <c r="AA44" s="722"/>
      <c r="AB44" s="722"/>
      <c r="AC44" s="722"/>
      <c r="AD44" s="722"/>
      <c r="AE44" s="722"/>
      <c r="AF44" s="722"/>
      <c r="AG44" s="722"/>
      <c r="AH44" s="723"/>
      <c r="AI44" s="723"/>
      <c r="AJ44" s="723"/>
      <c r="AK44" s="723"/>
      <c r="AL44" s="723"/>
      <c r="AM44" s="723"/>
      <c r="AN44" s="723"/>
      <c r="AO44" s="723"/>
      <c r="AP44" s="723"/>
      <c r="AQ44" s="723"/>
      <c r="AR44" s="723"/>
      <c r="AS44" s="707"/>
      <c r="AT44" s="707"/>
      <c r="AU44" s="707"/>
      <c r="AV44" s="707"/>
      <c r="AW44" s="707"/>
      <c r="AX44" s="707"/>
      <c r="AY44" s="707"/>
      <c r="AZ44" s="707"/>
      <c r="BA44" s="707"/>
      <c r="BB44" s="707"/>
      <c r="BC44" s="707"/>
      <c r="BD44" s="707"/>
      <c r="BE44" s="699"/>
      <c r="BF44" s="699"/>
      <c r="BG44" s="699"/>
      <c r="BH44" s="699"/>
      <c r="BI44" s="699"/>
      <c r="BJ44" s="708"/>
      <c r="BK44" s="708"/>
      <c r="BL44" s="708"/>
      <c r="BM44" s="708"/>
      <c r="BN44" s="708"/>
      <c r="BO44" s="708"/>
      <c r="BP44" s="708"/>
      <c r="BQ44" s="31"/>
      <c r="BR44" s="32"/>
      <c r="BW44" s="27"/>
      <c r="BX44" s="27"/>
      <c r="BY44" s="27"/>
      <c r="BZ44" s="27"/>
      <c r="CA44" s="27"/>
      <c r="CB44" s="27"/>
      <c r="CC44" s="27"/>
      <c r="CD44" s="27"/>
      <c r="CE44" s="27"/>
    </row>
    <row r="45" spans="1:83" ht="26.1" customHeight="1" x14ac:dyDescent="0.25">
      <c r="A45" s="34"/>
      <c r="B45" s="35"/>
      <c r="C45" s="31"/>
      <c r="D45" s="32"/>
      <c r="E45" s="33"/>
      <c r="F45" s="703"/>
      <c r="G45" s="703"/>
      <c r="H45" s="31"/>
      <c r="I45" s="32"/>
      <c r="J45" s="33"/>
      <c r="K45" s="34"/>
      <c r="L45" s="35"/>
      <c r="M45" s="31"/>
      <c r="N45" s="32"/>
      <c r="O45" s="33"/>
      <c r="P45" s="34"/>
      <c r="Q45" s="35"/>
      <c r="R45" s="31"/>
      <c r="S45" s="32"/>
      <c r="T45" s="33"/>
      <c r="U45" s="34"/>
      <c r="V45" s="722"/>
      <c r="W45" s="722"/>
      <c r="X45" s="722"/>
      <c r="Y45" s="722"/>
      <c r="Z45" s="722"/>
      <c r="AA45" s="722"/>
      <c r="AB45" s="722"/>
      <c r="AC45" s="722"/>
      <c r="AD45" s="722"/>
      <c r="AE45" s="722"/>
      <c r="AF45" s="722"/>
      <c r="AG45" s="722"/>
      <c r="AH45" s="723"/>
      <c r="AI45" s="723"/>
      <c r="AJ45" s="723"/>
      <c r="AK45" s="723"/>
      <c r="AL45" s="723"/>
      <c r="AM45" s="723"/>
      <c r="AN45" s="723"/>
      <c r="AO45" s="723"/>
      <c r="AP45" s="723"/>
      <c r="AQ45" s="723"/>
      <c r="AR45" s="723"/>
      <c r="AS45" s="707"/>
      <c r="AT45" s="707"/>
      <c r="AU45" s="707"/>
      <c r="AV45" s="707"/>
      <c r="AW45" s="707"/>
      <c r="AX45" s="707"/>
      <c r="AY45" s="707"/>
      <c r="AZ45" s="707"/>
      <c r="BA45" s="707"/>
      <c r="BB45" s="707"/>
      <c r="BC45" s="707"/>
      <c r="BD45" s="707"/>
      <c r="BE45" s="699"/>
      <c r="BF45" s="699"/>
      <c r="BG45" s="699"/>
      <c r="BH45" s="699"/>
      <c r="BI45" s="699"/>
      <c r="BJ45" s="708"/>
      <c r="BK45" s="708"/>
      <c r="BL45" s="708"/>
      <c r="BM45" s="708"/>
      <c r="BN45" s="708"/>
      <c r="BO45" s="708"/>
      <c r="BP45" s="708"/>
      <c r="BQ45" s="31"/>
      <c r="BR45" s="32"/>
    </row>
    <row r="46" spans="1:83" ht="6.75" customHeight="1" x14ac:dyDescent="0.25">
      <c r="A46" s="28"/>
      <c r="B46" s="28"/>
      <c r="C46" s="28"/>
      <c r="D46" s="29"/>
      <c r="E46" s="29"/>
      <c r="F46" s="703"/>
      <c r="G46" s="703"/>
      <c r="H46" s="28"/>
      <c r="I46" s="29"/>
      <c r="J46" s="29"/>
      <c r="K46" s="28"/>
      <c r="L46" s="28"/>
      <c r="M46" s="28"/>
      <c r="N46" s="29"/>
      <c r="O46" s="29"/>
      <c r="P46" s="28"/>
      <c r="Q46" s="28"/>
      <c r="R46" s="28"/>
      <c r="S46" s="29"/>
      <c r="T46" s="29"/>
      <c r="U46" s="28"/>
      <c r="V46" s="722"/>
      <c r="W46" s="722"/>
      <c r="X46" s="722"/>
      <c r="Y46" s="722"/>
      <c r="Z46" s="722"/>
      <c r="AA46" s="722"/>
      <c r="AB46" s="722"/>
      <c r="AC46" s="722"/>
      <c r="AD46" s="722"/>
      <c r="AE46" s="722"/>
      <c r="AF46" s="722"/>
      <c r="AG46" s="722"/>
      <c r="AH46" s="723"/>
      <c r="AI46" s="723"/>
      <c r="AJ46" s="723"/>
      <c r="AK46" s="723"/>
      <c r="AL46" s="723"/>
      <c r="AM46" s="723"/>
      <c r="AN46" s="723"/>
      <c r="AO46" s="723"/>
      <c r="AP46" s="723"/>
      <c r="AQ46" s="723"/>
      <c r="AR46" s="723"/>
      <c r="AS46" s="707"/>
      <c r="AT46" s="707"/>
      <c r="AU46" s="707"/>
      <c r="AV46" s="707"/>
      <c r="AW46" s="707"/>
      <c r="AX46" s="707"/>
      <c r="AY46" s="707"/>
      <c r="AZ46" s="707"/>
      <c r="BA46" s="707"/>
      <c r="BB46" s="707"/>
      <c r="BC46" s="707"/>
      <c r="BD46" s="707"/>
      <c r="BE46" s="699"/>
      <c r="BF46" s="699"/>
      <c r="BG46" s="699"/>
      <c r="BH46" s="699"/>
      <c r="BI46" s="699"/>
      <c r="BJ46" s="699" t="s">
        <v>121</v>
      </c>
      <c r="BK46" s="699"/>
      <c r="BL46" s="699"/>
      <c r="BM46" s="699"/>
      <c r="BN46" s="699"/>
      <c r="BO46" s="699"/>
      <c r="BP46" s="699"/>
      <c r="BQ46" s="31"/>
      <c r="BR46" s="32"/>
    </row>
    <row r="47" spans="1:83" ht="21.95" customHeight="1" x14ac:dyDescent="0.25">
      <c r="A47" s="28"/>
      <c r="B47" s="28"/>
      <c r="C47" s="28"/>
      <c r="D47" s="30"/>
      <c r="E47" s="29"/>
      <c r="F47" s="703"/>
      <c r="G47" s="703"/>
      <c r="H47" s="28"/>
      <c r="I47" s="30"/>
      <c r="J47" s="29"/>
      <c r="K47" s="28"/>
      <c r="L47" s="28"/>
      <c r="M47" s="28"/>
      <c r="N47" s="30"/>
      <c r="O47" s="29"/>
      <c r="P47" s="28"/>
      <c r="Q47" s="28"/>
      <c r="R47" s="28"/>
      <c r="S47" s="30"/>
      <c r="T47" s="29"/>
      <c r="U47" s="28"/>
      <c r="V47" s="722"/>
      <c r="W47" s="722"/>
      <c r="X47" s="722"/>
      <c r="Y47" s="722"/>
      <c r="Z47" s="722"/>
      <c r="AA47" s="722"/>
      <c r="AB47" s="722"/>
      <c r="AC47" s="722"/>
      <c r="AD47" s="722"/>
      <c r="AE47" s="722"/>
      <c r="AF47" s="722"/>
      <c r="AG47" s="722"/>
      <c r="AH47" s="723"/>
      <c r="AI47" s="723"/>
      <c r="AJ47" s="723"/>
      <c r="AK47" s="723"/>
      <c r="AL47" s="723"/>
      <c r="AM47" s="723"/>
      <c r="AN47" s="723"/>
      <c r="AO47" s="723"/>
      <c r="AP47" s="723"/>
      <c r="AQ47" s="723"/>
      <c r="AR47" s="723"/>
      <c r="AS47" s="707"/>
      <c r="AT47" s="707"/>
      <c r="AU47" s="707"/>
      <c r="AV47" s="707"/>
      <c r="AW47" s="707"/>
      <c r="AX47" s="707"/>
      <c r="AY47" s="707"/>
      <c r="AZ47" s="707"/>
      <c r="BA47" s="707"/>
      <c r="BB47" s="707"/>
      <c r="BC47" s="707"/>
      <c r="BD47" s="707"/>
      <c r="BE47" s="699"/>
      <c r="BF47" s="699"/>
      <c r="BG47" s="699"/>
      <c r="BH47" s="699"/>
      <c r="BI47" s="699"/>
      <c r="BJ47" s="699"/>
      <c r="BK47" s="699"/>
      <c r="BL47" s="699"/>
      <c r="BM47" s="699"/>
      <c r="BN47" s="699"/>
      <c r="BO47" s="699"/>
      <c r="BP47" s="699"/>
      <c r="BQ47" s="30"/>
      <c r="BR47" s="29"/>
    </row>
    <row r="48" spans="1:83" ht="6" customHeight="1" x14ac:dyDescent="0.25">
      <c r="A48" s="28"/>
      <c r="B48" s="28"/>
      <c r="C48" s="28"/>
      <c r="D48" s="29"/>
      <c r="E48" s="29"/>
      <c r="F48" s="28"/>
      <c r="G48" s="28"/>
      <c r="H48" s="28"/>
      <c r="I48" s="29"/>
      <c r="J48" s="29"/>
      <c r="K48" s="28"/>
      <c r="L48" s="28"/>
      <c r="M48" s="28"/>
      <c r="N48" s="29"/>
      <c r="O48" s="29"/>
      <c r="P48" s="28"/>
      <c r="Q48" s="28"/>
      <c r="R48" s="28"/>
      <c r="S48" s="29"/>
      <c r="T48" s="29"/>
      <c r="U48" s="28"/>
      <c r="V48" s="28"/>
      <c r="W48" s="28"/>
      <c r="X48" s="29"/>
      <c r="Y48" s="29"/>
      <c r="Z48" s="28"/>
      <c r="AA48" s="28"/>
      <c r="AB48" s="28"/>
      <c r="AC48" s="29"/>
      <c r="AD48" s="29"/>
      <c r="AE48" s="28"/>
      <c r="AF48" s="28"/>
      <c r="AG48" s="28"/>
      <c r="AH48" s="29"/>
      <c r="AI48" s="29"/>
      <c r="AJ48" s="28"/>
      <c r="AK48" s="28"/>
      <c r="AL48" s="28"/>
      <c r="AM48" s="29"/>
      <c r="AN48" s="29"/>
      <c r="AO48" s="28"/>
      <c r="AP48" s="28"/>
      <c r="AQ48" s="28"/>
      <c r="AR48" s="29"/>
      <c r="AS48" s="29"/>
      <c r="AT48" s="28"/>
      <c r="AU48" s="28"/>
      <c r="AV48" s="28"/>
      <c r="AW48" s="29"/>
      <c r="AX48" s="29"/>
      <c r="AY48" s="28"/>
      <c r="AZ48" s="28"/>
      <c r="BA48" s="28"/>
      <c r="BB48" s="29"/>
      <c r="BC48" s="29"/>
      <c r="BD48" s="28"/>
      <c r="BE48" s="28"/>
      <c r="BF48" s="28"/>
      <c r="BG48" s="29"/>
      <c r="BH48" s="29"/>
      <c r="BI48" s="28"/>
      <c r="BJ48" s="699"/>
      <c r="BK48" s="699"/>
      <c r="BL48" s="699"/>
      <c r="BM48" s="699"/>
      <c r="BN48" s="699"/>
      <c r="BO48" s="699"/>
      <c r="BP48" s="699"/>
      <c r="BQ48" s="29"/>
      <c r="BR48" s="29"/>
    </row>
    <row r="49" spans="1:83" s="22" customFormat="1" ht="80.099999999999994" customHeight="1" x14ac:dyDescent="1.35">
      <c r="A49" s="31"/>
      <c r="B49" s="121"/>
      <c r="C49" s="121"/>
      <c r="D49" s="121"/>
      <c r="E49" s="121"/>
      <c r="F49" s="31"/>
      <c r="G49" s="121"/>
      <c r="H49" s="121"/>
      <c r="I49" s="121"/>
      <c r="J49" s="121"/>
      <c r="K49" s="31"/>
      <c r="L49" s="121"/>
      <c r="M49" s="121"/>
      <c r="N49" s="121"/>
      <c r="O49" s="121"/>
      <c r="P49" s="31"/>
      <c r="Q49" s="121"/>
      <c r="R49" s="121"/>
      <c r="S49" s="121"/>
      <c r="T49" s="121"/>
      <c r="U49" s="31"/>
      <c r="V49" s="121"/>
      <c r="W49" s="121"/>
      <c r="X49" s="121"/>
      <c r="Y49" s="121"/>
      <c r="Z49" s="31"/>
      <c r="AA49" s="121"/>
      <c r="AB49" s="121"/>
      <c r="AC49" s="121"/>
      <c r="AD49" s="121"/>
      <c r="AE49" s="31"/>
      <c r="AF49" s="121"/>
      <c r="AG49" s="121"/>
      <c r="AH49" s="121"/>
      <c r="AI49" s="121"/>
      <c r="AJ49" s="31"/>
      <c r="AK49" s="121"/>
      <c r="AL49" s="121"/>
      <c r="AM49" s="121"/>
      <c r="AN49" s="121"/>
      <c r="AO49" s="31"/>
      <c r="AP49" s="121"/>
      <c r="AQ49" s="121"/>
      <c r="AR49" s="121"/>
      <c r="AS49" s="121"/>
      <c r="AT49" s="31"/>
      <c r="AU49" s="121"/>
      <c r="AV49" s="121"/>
      <c r="AW49" s="121"/>
      <c r="AX49" s="121"/>
      <c r="AY49" s="31"/>
      <c r="AZ49" s="121"/>
      <c r="BA49" s="121"/>
      <c r="BB49" s="121"/>
      <c r="BC49" s="121"/>
      <c r="BD49" s="31"/>
      <c r="BE49" s="121"/>
      <c r="BF49" s="121"/>
      <c r="BG49" s="121"/>
      <c r="BH49" s="121"/>
      <c r="BI49" s="31"/>
      <c r="BJ49" s="121"/>
      <c r="BK49" s="121"/>
      <c r="BL49" s="121"/>
      <c r="BM49" s="121"/>
      <c r="BN49" s="31"/>
      <c r="BO49" s="121"/>
      <c r="BP49" s="121"/>
      <c r="BQ49" s="121"/>
      <c r="BR49" s="121"/>
    </row>
    <row r="50" spans="1:83" ht="25.5" customHeight="1" x14ac:dyDescent="0.25">
      <c r="A50" s="31"/>
      <c r="B50" s="32"/>
      <c r="C50" s="33"/>
      <c r="D50" s="34"/>
      <c r="E50" s="35"/>
      <c r="F50" s="31"/>
      <c r="G50" s="32"/>
      <c r="H50" s="33"/>
      <c r="I50" s="34"/>
      <c r="J50" s="35"/>
      <c r="K50" s="31"/>
      <c r="L50" s="32"/>
      <c r="M50" s="33"/>
      <c r="N50" s="34"/>
      <c r="O50" s="35"/>
      <c r="P50" s="31"/>
      <c r="Q50" s="32"/>
      <c r="R50" s="33"/>
      <c r="S50" s="34"/>
      <c r="T50" s="35"/>
      <c r="U50" s="31"/>
      <c r="V50" s="32"/>
      <c r="W50" s="33"/>
      <c r="X50" s="34"/>
      <c r="Y50" s="35"/>
      <c r="Z50" s="31"/>
      <c r="AA50" s="32"/>
      <c r="AB50" s="33"/>
      <c r="AC50" s="34"/>
      <c r="AD50" s="35"/>
      <c r="AE50" s="31"/>
      <c r="AF50" s="32"/>
      <c r="AG50" s="33"/>
      <c r="AH50" s="34"/>
      <c r="AI50" s="35"/>
      <c r="AJ50" s="31"/>
      <c r="AK50" s="32"/>
      <c r="AL50" s="33"/>
      <c r="AM50" s="34"/>
      <c r="AN50" s="35"/>
      <c r="AO50" s="31"/>
      <c r="AP50" s="32"/>
      <c r="AQ50" s="33"/>
      <c r="AR50" s="34"/>
      <c r="AS50" s="35"/>
      <c r="AT50" s="31"/>
      <c r="AU50" s="32"/>
      <c r="AV50" s="33"/>
      <c r="AW50" s="34"/>
      <c r="AX50" s="35"/>
      <c r="AY50" s="31"/>
      <c r="AZ50" s="32"/>
      <c r="BA50" s="33"/>
      <c r="BB50" s="34"/>
      <c r="BC50" s="35"/>
      <c r="BD50" s="31"/>
      <c r="BE50" s="32"/>
      <c r="BF50" s="33"/>
      <c r="BG50" s="34"/>
      <c r="BH50" s="35"/>
      <c r="BI50" s="31"/>
      <c r="BJ50" s="32"/>
      <c r="BK50" s="33"/>
      <c r="BL50" s="34"/>
      <c r="BM50" s="35"/>
      <c r="BN50" s="31"/>
      <c r="BO50" s="32"/>
      <c r="BP50" s="33"/>
      <c r="BQ50" s="34"/>
      <c r="BR50" s="35"/>
      <c r="BW50" s="27"/>
      <c r="BX50" s="27"/>
      <c r="BY50" s="27"/>
      <c r="BZ50" s="27"/>
      <c r="CA50" s="27"/>
      <c r="CB50" s="27"/>
      <c r="CC50" s="27"/>
      <c r="CD50" s="27"/>
      <c r="CE50" s="27"/>
    </row>
    <row r="51" spans="1:83" ht="26.1" hidden="1" customHeight="1" thickTop="1" x14ac:dyDescent="0.25">
      <c r="A51" s="672"/>
      <c r="B51" s="672"/>
      <c r="C51" s="672"/>
      <c r="D51" s="673"/>
      <c r="E51" s="673"/>
      <c r="F51" s="672"/>
      <c r="G51" s="672"/>
      <c r="H51" s="672"/>
      <c r="I51" s="673"/>
      <c r="J51" s="673"/>
      <c r="K51" s="672"/>
      <c r="L51" s="672"/>
      <c r="M51" s="672"/>
      <c r="N51" s="673"/>
      <c r="O51" s="673"/>
      <c r="P51" s="672"/>
      <c r="Q51" s="672"/>
      <c r="R51" s="672"/>
      <c r="S51" s="673"/>
      <c r="T51" s="673"/>
      <c r="U51" s="674"/>
      <c r="V51" s="674"/>
      <c r="W51" s="674"/>
      <c r="X51" s="675"/>
      <c r="Y51" s="675"/>
      <c r="Z51" s="44"/>
      <c r="AA51" s="44"/>
      <c r="AB51" s="44"/>
      <c r="AC51" s="69"/>
      <c r="AD51" s="69"/>
      <c r="AE51" s="44"/>
      <c r="AF51" s="44"/>
      <c r="AG51" s="44"/>
      <c r="AH51" s="69"/>
      <c r="AI51" s="69"/>
      <c r="AJ51" s="44"/>
      <c r="AK51" s="44"/>
      <c r="AL51" s="44"/>
      <c r="AM51" s="69"/>
      <c r="AN51" s="69"/>
      <c r="AO51" s="44"/>
      <c r="AP51" s="44"/>
      <c r="AQ51" s="44"/>
      <c r="AR51" s="69"/>
      <c r="AS51" s="69"/>
      <c r="AT51" s="44"/>
      <c r="AU51" s="44"/>
      <c r="AV51" s="44"/>
      <c r="AW51" s="69"/>
      <c r="AX51" s="69"/>
      <c r="AY51" s="44"/>
      <c r="AZ51" s="44"/>
      <c r="BA51" s="44"/>
      <c r="BB51" s="69"/>
      <c r="BC51" s="69"/>
      <c r="BD51" s="44"/>
      <c r="BE51" s="44"/>
      <c r="BF51" s="44"/>
      <c r="BG51" s="69"/>
      <c r="BH51" s="69"/>
      <c r="BI51" s="674"/>
      <c r="BJ51" s="674"/>
      <c r="BK51" s="674"/>
      <c r="BL51" s="675"/>
      <c r="BM51" s="675"/>
      <c r="BN51" s="674"/>
      <c r="BO51" s="674"/>
      <c r="BP51" s="674"/>
      <c r="BQ51" s="675"/>
      <c r="BR51" s="675"/>
    </row>
    <row r="52" spans="1:83" ht="6.75" hidden="1" customHeight="1" x14ac:dyDescent="0.25">
      <c r="A52" s="676"/>
      <c r="B52" s="676"/>
      <c r="C52" s="676"/>
      <c r="D52" s="29"/>
      <c r="E52" s="29"/>
      <c r="F52" s="676"/>
      <c r="G52" s="676"/>
      <c r="H52" s="676"/>
      <c r="I52" s="29"/>
      <c r="J52" s="29"/>
      <c r="K52" s="676"/>
      <c r="L52" s="676"/>
      <c r="M52" s="676"/>
      <c r="N52" s="29"/>
      <c r="O52" s="29"/>
      <c r="P52" s="676"/>
      <c r="Q52" s="676"/>
      <c r="R52" s="676"/>
      <c r="S52" s="29"/>
      <c r="T52" s="29"/>
      <c r="U52" s="676"/>
      <c r="V52" s="676"/>
      <c r="W52" s="676"/>
      <c r="X52" s="29"/>
      <c r="Y52" s="29"/>
      <c r="Z52" s="47"/>
      <c r="AA52" s="47"/>
      <c r="AB52" s="47"/>
      <c r="AC52" s="29"/>
      <c r="AD52" s="29"/>
      <c r="AE52" s="47"/>
      <c r="AF52" s="47"/>
      <c r="AG52" s="47"/>
      <c r="AH52" s="29"/>
      <c r="AI52" s="29"/>
      <c r="AJ52" s="47"/>
      <c r="AK52" s="47"/>
      <c r="AL52" s="47"/>
      <c r="AM52" s="29"/>
      <c r="AN52" s="29"/>
      <c r="AO52" s="47"/>
      <c r="AP52" s="47"/>
      <c r="AQ52" s="47"/>
      <c r="AR52" s="29"/>
      <c r="AS52" s="29"/>
      <c r="AT52" s="47"/>
      <c r="AU52" s="47"/>
      <c r="AV52" s="47"/>
      <c r="AW52" s="29"/>
      <c r="AX52" s="29"/>
      <c r="AY52" s="47"/>
      <c r="AZ52" s="47"/>
      <c r="BA52" s="47"/>
      <c r="BB52" s="29"/>
      <c r="BC52" s="29"/>
      <c r="BD52" s="47"/>
      <c r="BE52" s="47"/>
      <c r="BF52" s="47"/>
      <c r="BG52" s="29"/>
      <c r="BH52" s="29"/>
      <c r="BI52" s="676"/>
      <c r="BJ52" s="676"/>
      <c r="BK52" s="676"/>
      <c r="BL52" s="29"/>
      <c r="BM52" s="29"/>
      <c r="BN52" s="676"/>
      <c r="BO52" s="676"/>
      <c r="BP52" s="676"/>
      <c r="BQ52" s="29"/>
      <c r="BR52" s="29"/>
    </row>
    <row r="53" spans="1:83" ht="21.95" hidden="1" customHeight="1" x14ac:dyDescent="0.25">
      <c r="A53" s="676"/>
      <c r="B53" s="676"/>
      <c r="C53" s="676"/>
      <c r="D53" s="30"/>
      <c r="E53" s="29"/>
      <c r="F53" s="676"/>
      <c r="G53" s="676"/>
      <c r="H53" s="676"/>
      <c r="I53" s="30"/>
      <c r="J53" s="29"/>
      <c r="K53" s="676"/>
      <c r="L53" s="676"/>
      <c r="M53" s="676"/>
      <c r="N53" s="30"/>
      <c r="O53" s="29"/>
      <c r="P53" s="676"/>
      <c r="Q53" s="676"/>
      <c r="R53" s="676"/>
      <c r="S53" s="30"/>
      <c r="T53" s="29"/>
      <c r="U53" s="676"/>
      <c r="V53" s="676"/>
      <c r="W53" s="676"/>
      <c r="X53" s="30"/>
      <c r="Y53" s="29"/>
      <c r="Z53" s="47"/>
      <c r="AA53" s="47"/>
      <c r="AB53" s="47"/>
      <c r="AC53" s="30"/>
      <c r="AD53" s="29"/>
      <c r="AE53" s="47"/>
      <c r="AF53" s="47"/>
      <c r="AG53" s="47"/>
      <c r="AH53" s="30"/>
      <c r="AI53" s="29"/>
      <c r="AJ53" s="47"/>
      <c r="AK53" s="47"/>
      <c r="AL53" s="47"/>
      <c r="AM53" s="30"/>
      <c r="AN53" s="29"/>
      <c r="AO53" s="47"/>
      <c r="AP53" s="47"/>
      <c r="AQ53" s="47"/>
      <c r="AR53" s="30"/>
      <c r="AS53" s="29"/>
      <c r="AT53" s="47"/>
      <c r="AU53" s="47"/>
      <c r="AV53" s="47"/>
      <c r="AW53" s="30"/>
      <c r="AX53" s="29"/>
      <c r="AY53" s="47"/>
      <c r="AZ53" s="47"/>
      <c r="BA53" s="47"/>
      <c r="BB53" s="30"/>
      <c r="BC53" s="29"/>
      <c r="BD53" s="47"/>
      <c r="BE53" s="47"/>
      <c r="BF53" s="47"/>
      <c r="BG53" s="30"/>
      <c r="BH53" s="29"/>
      <c r="BI53" s="676"/>
      <c r="BJ53" s="676"/>
      <c r="BK53" s="676"/>
      <c r="BL53" s="30"/>
      <c r="BM53" s="29"/>
      <c r="BN53" s="676"/>
      <c r="BO53" s="676"/>
      <c r="BP53" s="676"/>
      <c r="BQ53" s="30"/>
      <c r="BR53" s="29"/>
    </row>
    <row r="54" spans="1:83" ht="6" hidden="1" customHeight="1" x14ac:dyDescent="0.25">
      <c r="A54" s="676"/>
      <c r="B54" s="676"/>
      <c r="C54" s="676"/>
      <c r="D54" s="675"/>
      <c r="E54" s="675"/>
      <c r="F54" s="676"/>
      <c r="G54" s="676"/>
      <c r="H54" s="676"/>
      <c r="I54" s="675"/>
      <c r="J54" s="675"/>
      <c r="K54" s="676"/>
      <c r="L54" s="676"/>
      <c r="M54" s="676"/>
      <c r="N54" s="675"/>
      <c r="O54" s="675"/>
      <c r="P54" s="676"/>
      <c r="Q54" s="676"/>
      <c r="R54" s="676"/>
      <c r="S54" s="675"/>
      <c r="T54" s="675"/>
      <c r="U54" s="676"/>
      <c r="V54" s="676"/>
      <c r="W54" s="676"/>
      <c r="X54" s="675"/>
      <c r="Y54" s="675"/>
      <c r="Z54" s="47"/>
      <c r="AA54" s="47"/>
      <c r="AB54" s="47"/>
      <c r="AC54" s="69"/>
      <c r="AD54" s="69"/>
      <c r="AE54" s="47"/>
      <c r="AF54" s="47"/>
      <c r="AG54" s="47"/>
      <c r="AH54" s="69"/>
      <c r="AI54" s="69"/>
      <c r="AJ54" s="47"/>
      <c r="AK54" s="47"/>
      <c r="AL54" s="47"/>
      <c r="AM54" s="69"/>
      <c r="AN54" s="69"/>
      <c r="AO54" s="47"/>
      <c r="AP54" s="47"/>
      <c r="AQ54" s="47"/>
      <c r="AR54" s="69"/>
      <c r="AS54" s="69"/>
      <c r="AT54" s="47"/>
      <c r="AU54" s="47"/>
      <c r="AV54" s="47"/>
      <c r="AW54" s="69"/>
      <c r="AX54" s="69"/>
      <c r="AY54" s="47"/>
      <c r="AZ54" s="47"/>
      <c r="BA54" s="47"/>
      <c r="BB54" s="69"/>
      <c r="BC54" s="69"/>
      <c r="BD54" s="47"/>
      <c r="BE54" s="47"/>
      <c r="BF54" s="47"/>
      <c r="BG54" s="69"/>
      <c r="BH54" s="69"/>
      <c r="BI54" s="676"/>
      <c r="BJ54" s="676"/>
      <c r="BK54" s="676"/>
      <c r="BL54" s="675"/>
      <c r="BM54" s="675"/>
      <c r="BN54" s="676"/>
      <c r="BO54" s="676"/>
      <c r="BP54" s="676"/>
      <c r="BQ54" s="675"/>
      <c r="BR54" s="675"/>
    </row>
    <row r="55" spans="1:83" ht="59.25" hidden="1" customHeight="1" thickBot="1" x14ac:dyDescent="0.3">
      <c r="A55" s="677"/>
      <c r="B55" s="678"/>
      <c r="C55" s="678"/>
      <c r="D55" s="678"/>
      <c r="E55" s="678"/>
      <c r="F55" s="677"/>
      <c r="G55" s="678"/>
      <c r="H55" s="678"/>
      <c r="I55" s="678"/>
      <c r="J55" s="678"/>
      <c r="K55" s="677"/>
      <c r="L55" s="678"/>
      <c r="M55" s="678"/>
      <c r="N55" s="678"/>
      <c r="O55" s="678"/>
      <c r="P55" s="677"/>
      <c r="Q55" s="678"/>
      <c r="R55" s="678"/>
      <c r="S55" s="678"/>
      <c r="T55" s="678"/>
      <c r="U55" s="677"/>
      <c r="V55" s="678"/>
      <c r="W55" s="678"/>
      <c r="X55" s="678"/>
      <c r="Y55" s="678"/>
      <c r="Z55" s="70"/>
      <c r="AA55" s="71"/>
      <c r="AB55" s="71"/>
      <c r="AC55" s="71"/>
      <c r="AD55" s="71"/>
      <c r="AE55" s="70"/>
      <c r="AF55" s="71"/>
      <c r="AG55" s="71"/>
      <c r="AH55" s="71"/>
      <c r="AI55" s="71"/>
      <c r="AJ55" s="70"/>
      <c r="AK55" s="71"/>
      <c r="AL55" s="71"/>
      <c r="AM55" s="71"/>
      <c r="AN55" s="71"/>
      <c r="AO55" s="70"/>
      <c r="AP55" s="71"/>
      <c r="AQ55" s="71"/>
      <c r="AR55" s="71"/>
      <c r="AS55" s="71"/>
      <c r="AT55" s="70"/>
      <c r="AU55" s="71"/>
      <c r="AV55" s="71"/>
      <c r="AW55" s="71"/>
      <c r="AX55" s="71"/>
      <c r="AY55" s="70"/>
      <c r="AZ55" s="71"/>
      <c r="BA55" s="71"/>
      <c r="BB55" s="71"/>
      <c r="BC55" s="71"/>
      <c r="BD55" s="70"/>
      <c r="BE55" s="71"/>
      <c r="BF55" s="71"/>
      <c r="BG55" s="71"/>
      <c r="BH55" s="71"/>
      <c r="BI55" s="677"/>
      <c r="BJ55" s="678"/>
      <c r="BK55" s="678"/>
      <c r="BL55" s="678"/>
      <c r="BM55" s="678"/>
      <c r="BN55" s="677"/>
      <c r="BO55" s="678"/>
      <c r="BP55" s="678"/>
      <c r="BQ55" s="678"/>
      <c r="BR55" s="678"/>
    </row>
    <row r="56" spans="1:83" ht="27" hidden="1" customHeight="1" thickBot="1" x14ac:dyDescent="0.3">
      <c r="A56" s="677"/>
      <c r="B56" s="32"/>
      <c r="C56" s="33"/>
      <c r="D56" s="34"/>
      <c r="E56" s="35"/>
      <c r="F56" s="677"/>
      <c r="G56" s="32"/>
      <c r="H56" s="33"/>
      <c r="I56" s="34"/>
      <c r="J56" s="35"/>
      <c r="K56" s="677"/>
      <c r="L56" s="32"/>
      <c r="M56" s="33"/>
      <c r="N56" s="34"/>
      <c r="O56" s="35"/>
      <c r="P56" s="677"/>
      <c r="Q56" s="32"/>
      <c r="R56" s="33"/>
      <c r="S56" s="34"/>
      <c r="T56" s="35"/>
      <c r="U56" s="677"/>
      <c r="V56" s="32"/>
      <c r="W56" s="33"/>
      <c r="X56" s="34"/>
      <c r="Y56" s="35"/>
      <c r="Z56" s="70"/>
      <c r="AA56" s="32"/>
      <c r="AB56" s="33"/>
      <c r="AC56" s="34"/>
      <c r="AD56" s="35"/>
      <c r="AE56" s="70"/>
      <c r="AF56" s="32"/>
      <c r="AG56" s="33"/>
      <c r="AH56" s="34"/>
      <c r="AI56" s="35"/>
      <c r="AJ56" s="70"/>
      <c r="AK56" s="32"/>
      <c r="AL56" s="33"/>
      <c r="AM56" s="34"/>
      <c r="AN56" s="35"/>
      <c r="AO56" s="70"/>
      <c r="AP56" s="32"/>
      <c r="AQ56" s="33"/>
      <c r="AR56" s="34"/>
      <c r="AS56" s="35"/>
      <c r="AT56" s="70"/>
      <c r="AU56" s="32"/>
      <c r="AV56" s="33"/>
      <c r="AW56" s="34"/>
      <c r="AX56" s="35"/>
      <c r="AY56" s="70"/>
      <c r="AZ56" s="32"/>
      <c r="BA56" s="33"/>
      <c r="BB56" s="34"/>
      <c r="BC56" s="35"/>
      <c r="BD56" s="70"/>
      <c r="BE56" s="32"/>
      <c r="BF56" s="33"/>
      <c r="BG56" s="34"/>
      <c r="BH56" s="35"/>
      <c r="BI56" s="677"/>
      <c r="BJ56" s="32"/>
      <c r="BK56" s="33"/>
      <c r="BL56" s="34"/>
      <c r="BM56" s="35"/>
      <c r="BN56" s="677"/>
      <c r="BO56" s="32"/>
      <c r="BP56" s="33"/>
      <c r="BQ56" s="34"/>
      <c r="BR56" s="35"/>
      <c r="BW56" s="27"/>
      <c r="BX56" s="27"/>
      <c r="BY56" s="27"/>
      <c r="BZ56" s="27"/>
      <c r="CA56" s="27"/>
      <c r="CB56" s="27"/>
      <c r="CC56" s="27"/>
      <c r="CD56" s="27"/>
      <c r="CE56" s="27"/>
    </row>
    <row r="57" spans="1:83" ht="26.1" hidden="1" customHeight="1" x14ac:dyDescent="0.25">
      <c r="A57" s="674"/>
      <c r="B57" s="674"/>
      <c r="C57" s="674"/>
      <c r="D57" s="675"/>
      <c r="E57" s="675"/>
      <c r="F57" s="674"/>
      <c r="G57" s="674"/>
      <c r="H57" s="674"/>
      <c r="I57" s="675"/>
      <c r="J57" s="675"/>
      <c r="K57" s="674"/>
      <c r="L57" s="674"/>
      <c r="M57" s="674"/>
      <c r="N57" s="675"/>
      <c r="O57" s="675"/>
      <c r="P57" s="674"/>
      <c r="Q57" s="674"/>
      <c r="R57" s="674"/>
      <c r="S57" s="675"/>
      <c r="T57" s="675"/>
      <c r="U57" s="674"/>
      <c r="V57" s="674"/>
      <c r="W57" s="674"/>
      <c r="X57" s="675"/>
      <c r="Y57" s="675"/>
      <c r="Z57" s="44"/>
      <c r="AA57" s="44"/>
      <c r="AB57" s="44"/>
      <c r="AC57" s="69"/>
      <c r="AD57" s="69"/>
      <c r="AE57" s="44"/>
      <c r="AF57" s="44"/>
      <c r="AG57" s="44"/>
      <c r="AH57" s="69"/>
      <c r="AI57" s="69"/>
      <c r="AJ57" s="44"/>
      <c r="AK57" s="44"/>
      <c r="AL57" s="44"/>
      <c r="AM57" s="69"/>
      <c r="AN57" s="69"/>
      <c r="AO57" s="44"/>
      <c r="AP57" s="44"/>
      <c r="AQ57" s="44"/>
      <c r="AR57" s="69"/>
      <c r="AS57" s="69"/>
      <c r="AT57" s="44"/>
      <c r="AU57" s="44"/>
      <c r="AV57" s="44"/>
      <c r="AW57" s="69"/>
      <c r="AX57" s="69"/>
      <c r="AY57" s="44"/>
      <c r="AZ57" s="44"/>
      <c r="BA57" s="44"/>
      <c r="BB57" s="69"/>
      <c r="BC57" s="69"/>
      <c r="BD57" s="44"/>
      <c r="BE57" s="44"/>
      <c r="BF57" s="44"/>
      <c r="BG57" s="69"/>
      <c r="BH57" s="69"/>
      <c r="BI57" s="674"/>
      <c r="BJ57" s="674"/>
      <c r="BK57" s="674"/>
      <c r="BL57" s="675"/>
      <c r="BM57" s="675"/>
      <c r="BN57" s="674"/>
      <c r="BO57" s="674"/>
      <c r="BP57" s="674"/>
      <c r="BQ57" s="675"/>
      <c r="BR57" s="675"/>
    </row>
    <row r="58" spans="1:83" ht="6.75" hidden="1" customHeight="1" x14ac:dyDescent="0.25">
      <c r="A58" s="676"/>
      <c r="B58" s="676"/>
      <c r="C58" s="676"/>
      <c r="D58" s="29"/>
      <c r="E58" s="29"/>
      <c r="F58" s="676"/>
      <c r="G58" s="676"/>
      <c r="H58" s="676"/>
      <c r="I58" s="29"/>
      <c r="J58" s="29"/>
      <c r="K58" s="676"/>
      <c r="L58" s="676"/>
      <c r="M58" s="676"/>
      <c r="N58" s="29"/>
      <c r="O58" s="29"/>
      <c r="P58" s="676"/>
      <c r="Q58" s="676"/>
      <c r="R58" s="676"/>
      <c r="S58" s="29"/>
      <c r="T58" s="29"/>
      <c r="U58" s="676"/>
      <c r="V58" s="676"/>
      <c r="W58" s="676"/>
      <c r="X58" s="29"/>
      <c r="Y58" s="29"/>
      <c r="Z58" s="47"/>
      <c r="AA58" s="47"/>
      <c r="AB58" s="47"/>
      <c r="AC58" s="29"/>
      <c r="AD58" s="29"/>
      <c r="AE58" s="47"/>
      <c r="AF58" s="47"/>
      <c r="AG58" s="47"/>
      <c r="AH58" s="29"/>
      <c r="AI58" s="29"/>
      <c r="AJ58" s="47"/>
      <c r="AK58" s="47"/>
      <c r="AL58" s="47"/>
      <c r="AM58" s="29"/>
      <c r="AN58" s="29"/>
      <c r="AO58" s="47"/>
      <c r="AP58" s="47"/>
      <c r="AQ58" s="47"/>
      <c r="AR58" s="29"/>
      <c r="AS58" s="29"/>
      <c r="AT58" s="47"/>
      <c r="AU58" s="47"/>
      <c r="AV58" s="47"/>
      <c r="AW58" s="29"/>
      <c r="AX58" s="29"/>
      <c r="AY58" s="47"/>
      <c r="AZ58" s="47"/>
      <c r="BA58" s="47"/>
      <c r="BB58" s="29"/>
      <c r="BC58" s="29"/>
      <c r="BD58" s="47"/>
      <c r="BE58" s="47"/>
      <c r="BF58" s="47"/>
      <c r="BG58" s="29"/>
      <c r="BH58" s="29"/>
      <c r="BI58" s="676"/>
      <c r="BJ58" s="676"/>
      <c r="BK58" s="676"/>
      <c r="BL58" s="29"/>
      <c r="BM58" s="29"/>
      <c r="BN58" s="676"/>
      <c r="BO58" s="676"/>
      <c r="BP58" s="676"/>
      <c r="BQ58" s="29"/>
      <c r="BR58" s="29"/>
    </row>
    <row r="59" spans="1:83" ht="21.95" hidden="1" customHeight="1" x14ac:dyDescent="0.25">
      <c r="A59" s="676"/>
      <c r="B59" s="676"/>
      <c r="C59" s="676"/>
      <c r="D59" s="30"/>
      <c r="E59" s="29"/>
      <c r="F59" s="676"/>
      <c r="G59" s="676"/>
      <c r="H59" s="676"/>
      <c r="I59" s="30"/>
      <c r="J59" s="29"/>
      <c r="K59" s="676"/>
      <c r="L59" s="676"/>
      <c r="M59" s="676"/>
      <c r="N59" s="30"/>
      <c r="O59" s="29"/>
      <c r="P59" s="676"/>
      <c r="Q59" s="676"/>
      <c r="R59" s="676"/>
      <c r="S59" s="30"/>
      <c r="T59" s="29"/>
      <c r="U59" s="676"/>
      <c r="V59" s="676"/>
      <c r="W59" s="676"/>
      <c r="X59" s="30"/>
      <c r="Y59" s="29"/>
      <c r="Z59" s="47"/>
      <c r="AA59" s="47"/>
      <c r="AB59" s="47"/>
      <c r="AC59" s="30"/>
      <c r="AD59" s="29"/>
      <c r="AE59" s="47"/>
      <c r="AF59" s="47"/>
      <c r="AG59" s="47"/>
      <c r="AH59" s="30"/>
      <c r="AI59" s="29"/>
      <c r="AJ59" s="47"/>
      <c r="AK59" s="47"/>
      <c r="AL59" s="47"/>
      <c r="AM59" s="30"/>
      <c r="AN59" s="29"/>
      <c r="AO59" s="47"/>
      <c r="AP59" s="47"/>
      <c r="AQ59" s="47"/>
      <c r="AR59" s="30"/>
      <c r="AS59" s="29"/>
      <c r="AT59" s="47"/>
      <c r="AU59" s="47"/>
      <c r="AV59" s="47"/>
      <c r="AW59" s="30"/>
      <c r="AX59" s="29"/>
      <c r="AY59" s="47"/>
      <c r="AZ59" s="47"/>
      <c r="BA59" s="47"/>
      <c r="BB59" s="30"/>
      <c r="BC59" s="29"/>
      <c r="BD59" s="47"/>
      <c r="BE59" s="47"/>
      <c r="BF59" s="47"/>
      <c r="BG59" s="30"/>
      <c r="BH59" s="29"/>
      <c r="BI59" s="676"/>
      <c r="BJ59" s="676"/>
      <c r="BK59" s="676"/>
      <c r="BL59" s="30"/>
      <c r="BM59" s="29"/>
      <c r="BN59" s="676"/>
      <c r="BO59" s="676"/>
      <c r="BP59" s="676"/>
      <c r="BQ59" s="30"/>
      <c r="BR59" s="29"/>
    </row>
    <row r="60" spans="1:83" ht="6" hidden="1" customHeight="1" x14ac:dyDescent="0.25">
      <c r="A60" s="676"/>
      <c r="B60" s="676"/>
      <c r="C60" s="676"/>
      <c r="D60" s="675"/>
      <c r="E60" s="675"/>
      <c r="F60" s="676"/>
      <c r="G60" s="676"/>
      <c r="H60" s="676"/>
      <c r="I60" s="675"/>
      <c r="J60" s="675"/>
      <c r="K60" s="676"/>
      <c r="L60" s="676"/>
      <c r="M60" s="676"/>
      <c r="N60" s="675"/>
      <c r="O60" s="675"/>
      <c r="P60" s="676"/>
      <c r="Q60" s="676"/>
      <c r="R60" s="676"/>
      <c r="S60" s="675"/>
      <c r="T60" s="675"/>
      <c r="U60" s="676"/>
      <c r="V60" s="676"/>
      <c r="W60" s="676"/>
      <c r="X60" s="675"/>
      <c r="Y60" s="675"/>
      <c r="Z60" s="47"/>
      <c r="AA60" s="47"/>
      <c r="AB60" s="47"/>
      <c r="AC60" s="69"/>
      <c r="AD60" s="69"/>
      <c r="AE60" s="47"/>
      <c r="AF60" s="47"/>
      <c r="AG60" s="47"/>
      <c r="AH60" s="69"/>
      <c r="AI60" s="69"/>
      <c r="AJ60" s="47"/>
      <c r="AK60" s="47"/>
      <c r="AL60" s="47"/>
      <c r="AM60" s="69"/>
      <c r="AN60" s="69"/>
      <c r="AO60" s="47"/>
      <c r="AP60" s="47"/>
      <c r="AQ60" s="47"/>
      <c r="AR60" s="69"/>
      <c r="AS60" s="69"/>
      <c r="AT60" s="47"/>
      <c r="AU60" s="47"/>
      <c r="AV60" s="47"/>
      <c r="AW60" s="69"/>
      <c r="AX60" s="69"/>
      <c r="AY60" s="47"/>
      <c r="AZ60" s="47"/>
      <c r="BA60" s="47"/>
      <c r="BB60" s="69"/>
      <c r="BC60" s="69"/>
      <c r="BD60" s="47"/>
      <c r="BE60" s="47"/>
      <c r="BF60" s="47"/>
      <c r="BG60" s="69"/>
      <c r="BH60" s="69"/>
      <c r="BI60" s="676"/>
      <c r="BJ60" s="676"/>
      <c r="BK60" s="676"/>
      <c r="BL60" s="675"/>
      <c r="BM60" s="675"/>
      <c r="BN60" s="676"/>
      <c r="BO60" s="676"/>
      <c r="BP60" s="676"/>
      <c r="BQ60" s="675"/>
      <c r="BR60" s="675"/>
    </row>
    <row r="61" spans="1:83" ht="59.25" hidden="1" customHeight="1" thickBot="1" x14ac:dyDescent="0.3">
      <c r="A61" s="677"/>
      <c r="B61" s="678"/>
      <c r="C61" s="678"/>
      <c r="D61" s="678"/>
      <c r="E61" s="678"/>
      <c r="F61" s="677"/>
      <c r="G61" s="678"/>
      <c r="H61" s="678"/>
      <c r="I61" s="678"/>
      <c r="J61" s="678"/>
      <c r="K61" s="677"/>
      <c r="L61" s="678"/>
      <c r="M61" s="678"/>
      <c r="N61" s="678"/>
      <c r="O61" s="678"/>
      <c r="P61" s="677"/>
      <c r="Q61" s="678"/>
      <c r="R61" s="678"/>
      <c r="S61" s="678"/>
      <c r="T61" s="678"/>
      <c r="U61" s="677"/>
      <c r="V61" s="678"/>
      <c r="W61" s="678"/>
      <c r="X61" s="678"/>
      <c r="Y61" s="678"/>
      <c r="Z61" s="70"/>
      <c r="AA61" s="71"/>
      <c r="AB61" s="71"/>
      <c r="AC61" s="71"/>
      <c r="AD61" s="71"/>
      <c r="AE61" s="70"/>
      <c r="AF61" s="71"/>
      <c r="AG61" s="71"/>
      <c r="AH61" s="71"/>
      <c r="AI61" s="71"/>
      <c r="AJ61" s="70"/>
      <c r="AK61" s="71"/>
      <c r="AL61" s="71"/>
      <c r="AM61" s="71"/>
      <c r="AN61" s="71"/>
      <c r="AO61" s="70"/>
      <c r="AP61" s="71"/>
      <c r="AQ61" s="71"/>
      <c r="AR61" s="71"/>
      <c r="AS61" s="71"/>
      <c r="AT61" s="70"/>
      <c r="AU61" s="71"/>
      <c r="AV61" s="71"/>
      <c r="AW61" s="71"/>
      <c r="AX61" s="71"/>
      <c r="AY61" s="70"/>
      <c r="AZ61" s="71"/>
      <c r="BA61" s="71"/>
      <c r="BB61" s="71"/>
      <c r="BC61" s="71"/>
      <c r="BD61" s="70"/>
      <c r="BE61" s="71"/>
      <c r="BF61" s="71"/>
      <c r="BG61" s="71"/>
      <c r="BH61" s="71"/>
      <c r="BI61" s="677"/>
      <c r="BJ61" s="678"/>
      <c r="BK61" s="678"/>
      <c r="BL61" s="678"/>
      <c r="BM61" s="678"/>
      <c r="BN61" s="677"/>
      <c r="BO61" s="678"/>
      <c r="BP61" s="678"/>
      <c r="BQ61" s="678"/>
      <c r="BR61" s="678"/>
    </row>
    <row r="62" spans="1:83" ht="27" hidden="1" customHeight="1" thickBot="1" x14ac:dyDescent="0.3">
      <c r="A62" s="677"/>
      <c r="B62" s="32"/>
      <c r="C62" s="33"/>
      <c r="D62" s="34"/>
      <c r="E62" s="35"/>
      <c r="F62" s="677"/>
      <c r="G62" s="32"/>
      <c r="H62" s="33"/>
      <c r="I62" s="34"/>
      <c r="J62" s="35"/>
      <c r="K62" s="677"/>
      <c r="L62" s="32"/>
      <c r="M62" s="33"/>
      <c r="N62" s="34"/>
      <c r="O62" s="35"/>
      <c r="P62" s="677"/>
      <c r="Q62" s="32"/>
      <c r="R62" s="33"/>
      <c r="S62" s="34"/>
      <c r="T62" s="35"/>
      <c r="U62" s="677"/>
      <c r="V62" s="32"/>
      <c r="W62" s="33"/>
      <c r="X62" s="34"/>
      <c r="Y62" s="35"/>
      <c r="Z62" s="70"/>
      <c r="AA62" s="32"/>
      <c r="AB62" s="33"/>
      <c r="AC62" s="34"/>
      <c r="AD62" s="35"/>
      <c r="AE62" s="70"/>
      <c r="AF62" s="32"/>
      <c r="AG62" s="33"/>
      <c r="AH62" s="34"/>
      <c r="AI62" s="35"/>
      <c r="AJ62" s="70"/>
      <c r="AK62" s="32"/>
      <c r="AL62" s="33"/>
      <c r="AM62" s="34"/>
      <c r="AN62" s="35"/>
      <c r="AO62" s="70"/>
      <c r="AP62" s="32"/>
      <c r="AQ62" s="33"/>
      <c r="AR62" s="34"/>
      <c r="AS62" s="35"/>
      <c r="AT62" s="70"/>
      <c r="AU62" s="32"/>
      <c r="AV62" s="33"/>
      <c r="AW62" s="34"/>
      <c r="AX62" s="35"/>
      <c r="AY62" s="70"/>
      <c r="AZ62" s="32"/>
      <c r="BA62" s="33"/>
      <c r="BB62" s="34"/>
      <c r="BC62" s="35"/>
      <c r="BD62" s="70"/>
      <c r="BE62" s="32"/>
      <c r="BF62" s="33"/>
      <c r="BG62" s="34"/>
      <c r="BH62" s="35"/>
      <c r="BI62" s="677"/>
      <c r="BJ62" s="32"/>
      <c r="BK62" s="33"/>
      <c r="BL62" s="34"/>
      <c r="BM62" s="35"/>
      <c r="BN62" s="677"/>
      <c r="BO62" s="32"/>
      <c r="BP62" s="33"/>
      <c r="BQ62" s="34"/>
      <c r="BR62" s="35"/>
      <c r="BW62" s="27"/>
      <c r="BX62" s="27"/>
      <c r="BY62" s="27"/>
      <c r="BZ62" s="27"/>
      <c r="CA62" s="27"/>
      <c r="CB62" s="27"/>
      <c r="CC62" s="27"/>
      <c r="CD62" s="27"/>
      <c r="CE62" s="27"/>
    </row>
    <row r="63" spans="1:83" s="42" customFormat="1" ht="30" hidden="1" customHeight="1" thickTop="1" x14ac:dyDescent="0.25">
      <c r="A63" s="37"/>
      <c r="B63" s="38"/>
      <c r="C63" s="39"/>
      <c r="D63" s="40"/>
      <c r="E63" s="41"/>
      <c r="F63" s="37"/>
      <c r="G63" s="38"/>
      <c r="H63" s="39"/>
      <c r="I63" s="40"/>
      <c r="J63" s="41"/>
      <c r="K63" s="37"/>
      <c r="L63" s="38"/>
      <c r="M63" s="39"/>
      <c r="N63" s="40"/>
      <c r="O63" s="41"/>
      <c r="P63" s="37"/>
      <c r="Q63" s="38"/>
      <c r="R63" s="39"/>
      <c r="S63" s="40"/>
      <c r="T63" s="41"/>
      <c r="U63" s="37"/>
      <c r="V63" s="38"/>
      <c r="W63" s="38"/>
      <c r="X63" s="39"/>
      <c r="Y63" s="40"/>
      <c r="Z63" s="41"/>
      <c r="AA63" s="37"/>
      <c r="AB63" s="38"/>
      <c r="AC63" s="39"/>
      <c r="AD63" s="40"/>
      <c r="AE63" s="41"/>
      <c r="AF63" s="38"/>
      <c r="AG63" s="39"/>
      <c r="AH63" s="40"/>
      <c r="AI63" s="41"/>
      <c r="AJ63" s="37"/>
      <c r="AK63" s="38"/>
      <c r="AL63" s="39"/>
      <c r="AM63" s="40"/>
      <c r="AN63" s="41"/>
      <c r="AO63" s="38"/>
      <c r="AP63" s="39"/>
      <c r="AQ63" s="40"/>
      <c r="AR63" s="41"/>
      <c r="AS63" s="37"/>
      <c r="AT63" s="38"/>
      <c r="AU63" s="39"/>
      <c r="AV63" s="40"/>
      <c r="AW63" s="41"/>
      <c r="AX63" s="38"/>
      <c r="AY63" s="39"/>
      <c r="AZ63" s="40"/>
      <c r="BA63" s="41"/>
      <c r="BB63" s="37"/>
      <c r="BC63" s="38"/>
      <c r="BD63" s="39"/>
      <c r="BE63" s="40"/>
      <c r="BF63" s="41"/>
      <c r="BG63" s="38"/>
      <c r="BH63" s="39"/>
      <c r="BI63" s="40"/>
      <c r="BJ63" s="41"/>
      <c r="BK63" s="37"/>
      <c r="BL63" s="38"/>
      <c r="BM63" s="39"/>
      <c r="BN63" s="40"/>
      <c r="BO63" s="41"/>
      <c r="BP63" s="38"/>
      <c r="BQ63" s="39"/>
      <c r="BR63" s="40"/>
      <c r="BW63" s="43"/>
      <c r="BX63" s="43"/>
      <c r="BY63" s="43"/>
      <c r="BZ63" s="43"/>
      <c r="CA63" s="43"/>
      <c r="CB63" s="43"/>
      <c r="CC63" s="43"/>
      <c r="CD63" s="43"/>
      <c r="CE63" s="43"/>
    </row>
    <row r="64" spans="1:83" ht="21.95" hidden="1" customHeight="1" x14ac:dyDescent="0.25">
      <c r="A64" s="674"/>
      <c r="B64" s="674"/>
      <c r="C64" s="674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45"/>
      <c r="BD64" s="45"/>
      <c r="BE64" s="45"/>
      <c r="BF64" s="45"/>
      <c r="BG64" s="45"/>
      <c r="BH64" s="45"/>
      <c r="BI64" s="45"/>
      <c r="BJ64" s="45"/>
      <c r="BK64" s="45"/>
      <c r="BL64" s="45"/>
      <c r="BM64" s="45"/>
      <c r="BN64" s="45"/>
      <c r="BO64" s="45"/>
      <c r="BP64" s="45"/>
      <c r="BQ64" s="45"/>
      <c r="BR64" s="45"/>
    </row>
    <row r="65" spans="1:90" ht="6.75" customHeight="1" x14ac:dyDescent="0.25">
      <c r="A65" s="676"/>
      <c r="B65" s="676"/>
      <c r="C65" s="676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5"/>
      <c r="AW65" s="45"/>
      <c r="AX65" s="45"/>
      <c r="AY65" s="45"/>
      <c r="AZ65" s="45"/>
      <c r="BA65" s="45"/>
      <c r="BB65" s="45"/>
      <c r="BC65" s="45"/>
      <c r="BD65" s="45"/>
      <c r="BE65" s="45"/>
      <c r="BF65" s="45"/>
      <c r="BG65" s="45"/>
      <c r="BH65" s="45"/>
      <c r="BI65" s="45"/>
      <c r="BJ65" s="45"/>
      <c r="BK65" s="45"/>
      <c r="BL65" s="45"/>
      <c r="BM65" s="45"/>
      <c r="BN65" s="45"/>
      <c r="BO65" s="45"/>
      <c r="BP65" s="45"/>
      <c r="BQ65" s="45"/>
      <c r="BR65" s="45"/>
    </row>
    <row r="66" spans="1:90" ht="37.5" hidden="1" customHeight="1" x14ac:dyDescent="0.25">
      <c r="A66" s="676"/>
      <c r="B66" s="676"/>
      <c r="C66" s="676"/>
      <c r="D66" s="49"/>
      <c r="E66" s="49"/>
      <c r="F66" s="49"/>
      <c r="G66" s="49"/>
      <c r="H66" s="49"/>
      <c r="I66" s="49"/>
      <c r="J66" s="49"/>
      <c r="K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5"/>
      <c r="BF66" s="45"/>
      <c r="BG66" s="45"/>
      <c r="BH66" s="45"/>
      <c r="BI66" s="45"/>
      <c r="BJ66" s="45"/>
      <c r="BK66" s="45"/>
      <c r="BL66" s="45"/>
      <c r="BM66" s="45"/>
      <c r="BN66" s="45"/>
      <c r="BO66" s="45"/>
      <c r="BP66" s="45"/>
      <c r="BQ66" s="45"/>
      <c r="BR66" s="45"/>
    </row>
    <row r="67" spans="1:90" ht="6" hidden="1" customHeight="1" x14ac:dyDescent="0.25">
      <c r="A67" s="676"/>
      <c r="B67" s="676"/>
      <c r="C67" s="676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  <c r="AT67" s="45"/>
      <c r="AU67" s="45"/>
      <c r="AV67" s="45"/>
      <c r="AW67" s="45"/>
      <c r="AX67" s="45"/>
      <c r="AY67" s="45"/>
      <c r="AZ67" s="45"/>
      <c r="BA67" s="45"/>
      <c r="BB67" s="45"/>
      <c r="BC67" s="45"/>
      <c r="BD67" s="45"/>
      <c r="BE67" s="45"/>
      <c r="BF67" s="45"/>
      <c r="BG67" s="45"/>
      <c r="BH67" s="45"/>
      <c r="BI67" s="45"/>
      <c r="BJ67" s="45"/>
      <c r="BK67" s="45"/>
      <c r="BL67" s="45"/>
      <c r="BM67" s="45"/>
      <c r="BN67" s="45"/>
      <c r="BO67" s="45"/>
      <c r="BP67" s="45"/>
      <c r="BQ67" s="45"/>
      <c r="BR67" s="45"/>
    </row>
    <row r="68" spans="1:90" ht="30" hidden="1" customHeight="1" x14ac:dyDescent="0.25">
      <c r="B68" s="17"/>
      <c r="D68" s="45"/>
      <c r="E68" s="45"/>
      <c r="F68" s="45"/>
      <c r="G68" s="45"/>
      <c r="H68" s="45"/>
      <c r="I68" s="45"/>
      <c r="J68" s="45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49"/>
      <c r="BC68" s="49"/>
      <c r="BD68" s="49"/>
      <c r="BE68" s="49"/>
      <c r="BF68" s="49"/>
      <c r="BG68" s="49"/>
      <c r="BH68" s="49"/>
      <c r="BI68" s="49"/>
      <c r="BJ68" s="49"/>
      <c r="BK68" s="49"/>
      <c r="BL68" s="49"/>
      <c r="BM68" s="49"/>
      <c r="BN68" s="49"/>
      <c r="BO68" s="49"/>
      <c r="BP68" s="49"/>
      <c r="BQ68" s="49"/>
      <c r="BR68" s="49"/>
      <c r="BS68" s="50"/>
      <c r="BT68" s="50"/>
      <c r="BW68" s="51"/>
      <c r="BX68" s="51"/>
      <c r="BY68" s="51"/>
      <c r="BZ68" s="51"/>
      <c r="CA68" s="51"/>
      <c r="CB68" s="51"/>
      <c r="CC68" s="27"/>
      <c r="CD68" s="27"/>
      <c r="CE68" s="27"/>
      <c r="CG68" s="27"/>
      <c r="CH68" s="27"/>
      <c r="CI68" s="27"/>
      <c r="CJ68" s="27"/>
      <c r="CK68" s="27"/>
      <c r="CL68" s="27"/>
    </row>
    <row r="69" spans="1:90" ht="34.5" hidden="1" customHeight="1" x14ac:dyDescent="0.25"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5"/>
      <c r="AW69" s="45"/>
      <c r="AX69" s="45"/>
      <c r="AY69" s="45"/>
      <c r="AZ69" s="45"/>
      <c r="BA69" s="45"/>
      <c r="BB69" s="45"/>
      <c r="BC69" s="45"/>
      <c r="BD69" s="45"/>
      <c r="BE69" s="45"/>
      <c r="BF69" s="45"/>
      <c r="BG69" s="45"/>
      <c r="BH69" s="45"/>
      <c r="BI69" s="45"/>
      <c r="BJ69" s="45"/>
      <c r="BK69" s="45"/>
      <c r="BL69" s="45"/>
      <c r="BM69" s="45"/>
      <c r="BN69" s="45"/>
      <c r="BO69" s="45"/>
      <c r="BP69" s="45"/>
      <c r="BQ69" s="45"/>
      <c r="BR69" s="45"/>
      <c r="BS69" s="50"/>
      <c r="BT69" s="50"/>
      <c r="BW69" s="27"/>
      <c r="BX69" s="27"/>
      <c r="BY69" s="27"/>
      <c r="BZ69" s="27"/>
      <c r="CA69" s="27"/>
      <c r="CB69" s="27"/>
      <c r="CC69" s="27"/>
      <c r="CD69" s="27"/>
      <c r="CE69" s="27"/>
      <c r="CG69" s="27"/>
      <c r="CH69" s="27"/>
      <c r="CI69" s="27"/>
      <c r="CJ69" s="27"/>
      <c r="CK69" s="27"/>
      <c r="CL69" s="27"/>
    </row>
    <row r="70" spans="1:90" ht="15" hidden="1" customHeight="1" x14ac:dyDescent="0.25">
      <c r="G70" s="45"/>
      <c r="H70" s="45"/>
      <c r="I70" s="45"/>
      <c r="J70" s="52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5"/>
      <c r="AW70" s="45"/>
      <c r="AX70" s="45"/>
      <c r="AY70" s="45"/>
      <c r="AZ70" s="45"/>
      <c r="BA70" s="45"/>
      <c r="BB70" s="45"/>
      <c r="BC70" s="45"/>
      <c r="BD70" s="45"/>
      <c r="BE70" s="45"/>
      <c r="BF70" s="45"/>
      <c r="BG70" s="45"/>
      <c r="BH70" s="45"/>
      <c r="BI70" s="45"/>
      <c r="BJ70" s="45"/>
      <c r="BK70" s="45"/>
      <c r="BL70" s="45"/>
      <c r="BM70" s="45"/>
      <c r="BN70" s="45"/>
      <c r="BO70" s="45"/>
      <c r="BP70" s="45"/>
      <c r="BQ70" s="45"/>
      <c r="BR70" s="45"/>
      <c r="BS70" s="50"/>
      <c r="BT70" s="50"/>
      <c r="BW70" s="27"/>
      <c r="BX70" s="27"/>
      <c r="BY70" s="27"/>
      <c r="BZ70" s="27"/>
      <c r="CA70" s="27"/>
      <c r="CB70" s="27"/>
      <c r="CC70" s="27"/>
      <c r="CD70" s="27"/>
      <c r="CE70" s="27"/>
      <c r="CG70" s="27"/>
      <c r="CH70" s="27"/>
      <c r="CI70" s="27"/>
      <c r="CJ70" s="27"/>
      <c r="CK70" s="27"/>
      <c r="CL70" s="27"/>
    </row>
    <row r="71" spans="1:90" ht="16.5" customHeight="1" x14ac:dyDescent="0.25">
      <c r="G71" s="45"/>
      <c r="H71" s="45"/>
      <c r="I71" s="45"/>
      <c r="J71" s="52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38"/>
      <c r="X71" s="39"/>
      <c r="Y71" s="40"/>
      <c r="Z71" s="41"/>
      <c r="AA71" s="37"/>
      <c r="AB71" s="38"/>
      <c r="AC71" s="39"/>
      <c r="AD71" s="40"/>
      <c r="AE71" s="41"/>
      <c r="AF71" s="38"/>
      <c r="AG71" s="39"/>
      <c r="AH71" s="40"/>
      <c r="AI71" s="41"/>
      <c r="AJ71" s="37"/>
      <c r="AK71" s="38"/>
      <c r="AL71" s="39"/>
      <c r="AM71" s="40"/>
      <c r="AN71" s="41"/>
      <c r="AO71" s="38"/>
      <c r="AP71" s="39"/>
      <c r="AQ71" s="40"/>
      <c r="AR71" s="41"/>
      <c r="AS71" s="37"/>
      <c r="AT71" s="38"/>
      <c r="AU71" s="39"/>
      <c r="AV71" s="40"/>
      <c r="AW71" s="41"/>
      <c r="AX71" s="38"/>
      <c r="AY71" s="39"/>
      <c r="AZ71" s="40"/>
      <c r="BA71" s="41"/>
      <c r="BB71" s="37"/>
      <c r="BC71" s="38"/>
      <c r="BD71" s="39"/>
      <c r="BE71" s="40"/>
      <c r="BF71" s="41"/>
      <c r="BG71" s="38"/>
      <c r="BH71" s="39"/>
      <c r="BI71" s="40"/>
      <c r="BJ71" s="41"/>
      <c r="BK71" s="37"/>
      <c r="BL71" s="38"/>
      <c r="BM71" s="39"/>
      <c r="BN71" s="40"/>
      <c r="BO71" s="41"/>
      <c r="BP71" s="38"/>
      <c r="BQ71" s="39"/>
      <c r="BR71" s="40"/>
      <c r="BS71" s="50"/>
      <c r="BT71" s="50"/>
      <c r="BW71" s="27"/>
      <c r="BX71" s="27"/>
      <c r="BY71" s="27"/>
      <c r="BZ71" s="27"/>
      <c r="CA71" s="27"/>
      <c r="CB71" s="27"/>
      <c r="CC71" s="27"/>
      <c r="CD71" s="27"/>
      <c r="CE71" s="27"/>
      <c r="CG71" s="27"/>
      <c r="CH71" s="27"/>
      <c r="CI71" s="27"/>
      <c r="CJ71" s="27"/>
      <c r="CK71" s="27"/>
      <c r="CL71" s="27"/>
    </row>
    <row r="72" spans="1:90" ht="15" hidden="1" customHeight="1" x14ac:dyDescent="0.25">
      <c r="G72" s="49"/>
      <c r="H72" s="49"/>
      <c r="I72" s="49"/>
      <c r="J72" s="52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  <c r="BC72" s="45"/>
      <c r="BD72" s="45"/>
      <c r="BE72" s="45"/>
      <c r="BF72" s="45"/>
      <c r="BG72" s="45"/>
      <c r="BH72" s="45"/>
      <c r="BI72" s="45"/>
      <c r="BJ72" s="45"/>
      <c r="BK72" s="45"/>
      <c r="BL72" s="45"/>
      <c r="BM72" s="45"/>
      <c r="BN72" s="45"/>
      <c r="BO72" s="45"/>
      <c r="BP72" s="45"/>
      <c r="BQ72" s="45"/>
      <c r="BR72" s="45"/>
      <c r="BS72" s="53"/>
      <c r="BT72" s="53"/>
    </row>
    <row r="73" spans="1:90" ht="22.5" hidden="1" customHeight="1" x14ac:dyDescent="0.25">
      <c r="G73" s="45"/>
      <c r="H73" s="45"/>
      <c r="I73" s="45"/>
      <c r="J73" s="52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45"/>
      <c r="AW73" s="45"/>
      <c r="AX73" s="45"/>
      <c r="AY73" s="45"/>
      <c r="AZ73" s="45"/>
      <c r="BA73" s="45"/>
      <c r="BB73" s="45"/>
      <c r="BC73" s="45"/>
      <c r="BD73" s="45"/>
      <c r="BE73" s="45"/>
      <c r="BF73" s="45"/>
      <c r="BG73" s="45"/>
      <c r="BH73" s="45"/>
      <c r="BI73" s="45"/>
      <c r="BJ73" s="45"/>
      <c r="BK73" s="45"/>
      <c r="BL73" s="45"/>
      <c r="BM73" s="45"/>
      <c r="BN73" s="45"/>
      <c r="BO73" s="45"/>
      <c r="BP73" s="45"/>
      <c r="BQ73" s="45"/>
      <c r="BR73" s="45"/>
      <c r="BS73" s="53"/>
      <c r="BT73" s="53"/>
    </row>
    <row r="74" spans="1:90" ht="23.25" x14ac:dyDescent="0.35">
      <c r="A74" s="54"/>
      <c r="E74" s="54"/>
      <c r="F74" s="54"/>
      <c r="G74" s="54"/>
      <c r="H74" s="54"/>
      <c r="I74" s="54"/>
      <c r="J74" s="54"/>
      <c r="K74" s="54"/>
    </row>
    <row r="75" spans="1:90" ht="24" thickBot="1" x14ac:dyDescent="0.4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X75" s="55"/>
    </row>
    <row r="76" spans="1:90" ht="15.75" customHeight="1" thickTop="1" x14ac:dyDescent="0.25">
      <c r="AD76" s="775">
        <v>52.99</v>
      </c>
      <c r="AE76" s="776"/>
      <c r="AF76" s="776"/>
      <c r="AG76" s="776"/>
      <c r="AH76" s="777"/>
      <c r="AL76" s="727" t="s">
        <v>122</v>
      </c>
      <c r="AM76" s="727"/>
      <c r="AN76" s="727"/>
      <c r="AO76" s="727" t="s">
        <v>123</v>
      </c>
      <c r="AP76" s="727"/>
      <c r="AQ76" s="727"/>
      <c r="AR76" s="727" t="s">
        <v>124</v>
      </c>
      <c r="AS76" s="727"/>
      <c r="AT76" s="727" t="s">
        <v>125</v>
      </c>
      <c r="AU76" s="727"/>
      <c r="AY76" s="739" t="s">
        <v>126</v>
      </c>
      <c r="AZ76" s="740"/>
      <c r="BA76" s="740"/>
      <c r="BB76" s="740"/>
      <c r="BC76" s="740"/>
      <c r="BD76" s="740"/>
      <c r="BE76" s="740"/>
      <c r="BF76" s="740"/>
      <c r="BG76" s="740"/>
      <c r="BH76" s="741"/>
      <c r="BI76" s="13"/>
      <c r="BJ76" s="13"/>
      <c r="BK76" s="13"/>
      <c r="BL76" s="13"/>
      <c r="BM76" s="13"/>
      <c r="BN76" s="13"/>
      <c r="BO76" s="13"/>
      <c r="BP76" s="13"/>
      <c r="BQ76" s="13"/>
      <c r="BR76" s="13"/>
    </row>
    <row r="77" spans="1:90" ht="15" customHeight="1" x14ac:dyDescent="0.25">
      <c r="O77" s="114" t="s">
        <v>127</v>
      </c>
      <c r="P77" s="114"/>
      <c r="Q77" s="114"/>
      <c r="R77" s="114"/>
      <c r="S77" s="114"/>
      <c r="T77" s="114"/>
      <c r="U77" s="114"/>
      <c r="V77" s="114"/>
      <c r="AD77" s="778"/>
      <c r="AE77" s="779"/>
      <c r="AF77" s="779"/>
      <c r="AG77" s="779"/>
      <c r="AH77" s="780"/>
      <c r="AL77" s="727"/>
      <c r="AM77" s="727"/>
      <c r="AN77" s="727"/>
      <c r="AO77" s="727"/>
      <c r="AP77" s="727"/>
      <c r="AQ77" s="727"/>
      <c r="AR77" s="727"/>
      <c r="AS77" s="727"/>
      <c r="AT77" s="727"/>
      <c r="AU77" s="727"/>
      <c r="AY77" s="750"/>
      <c r="AZ77" s="751"/>
      <c r="BA77" s="751"/>
      <c r="BB77" s="751"/>
      <c r="BC77" s="751"/>
      <c r="BD77" s="751"/>
      <c r="BE77" s="751"/>
      <c r="BF77" s="751"/>
      <c r="BG77" s="751"/>
      <c r="BH77" s="752"/>
      <c r="BI77" s="13"/>
      <c r="BJ77" s="13"/>
      <c r="BK77" s="13"/>
      <c r="BL77" s="13"/>
      <c r="BM77" s="13"/>
      <c r="BN77" s="13"/>
      <c r="BO77" s="13"/>
      <c r="BP77" s="13"/>
      <c r="BQ77" s="13"/>
      <c r="BR77" s="13"/>
    </row>
    <row r="78" spans="1:90" ht="15" customHeight="1" x14ac:dyDescent="0.25">
      <c r="O78" s="114"/>
      <c r="P78" s="114"/>
      <c r="Q78" s="114"/>
      <c r="R78" s="114"/>
      <c r="S78" s="114"/>
      <c r="T78" s="114"/>
      <c r="U78" s="114"/>
      <c r="V78" s="114"/>
      <c r="AA78" s="56"/>
      <c r="AD78" s="778"/>
      <c r="AE78" s="779"/>
      <c r="AF78" s="779"/>
      <c r="AG78" s="779"/>
      <c r="AH78" s="780"/>
      <c r="AL78" s="727"/>
      <c r="AM78" s="727"/>
      <c r="AN78" s="727"/>
      <c r="AO78" s="727"/>
      <c r="AP78" s="727"/>
      <c r="AQ78" s="727"/>
      <c r="AR78" s="727"/>
      <c r="AS78" s="727"/>
      <c r="AT78" s="727"/>
      <c r="AU78" s="727"/>
      <c r="AY78" s="742"/>
      <c r="AZ78" s="743"/>
      <c r="BA78" s="743"/>
      <c r="BB78" s="743"/>
      <c r="BC78" s="743"/>
      <c r="BD78" s="743"/>
      <c r="BE78" s="743"/>
      <c r="BF78" s="743"/>
      <c r="BG78" s="743"/>
      <c r="BH78" s="744"/>
      <c r="BI78" s="13"/>
      <c r="BJ78" s="13"/>
      <c r="BK78" s="13"/>
      <c r="BL78" s="13"/>
      <c r="BM78" s="13"/>
      <c r="BN78" s="13"/>
      <c r="BO78" s="13"/>
      <c r="BP78" s="13"/>
      <c r="BQ78" s="13"/>
      <c r="BR78" s="13"/>
    </row>
    <row r="79" spans="1:90" ht="15" customHeight="1" x14ac:dyDescent="0.25">
      <c r="O79" s="114"/>
      <c r="P79" s="114"/>
      <c r="Q79" s="114"/>
      <c r="R79" s="114"/>
      <c r="S79" s="114"/>
      <c r="T79" s="114"/>
      <c r="U79" s="114"/>
      <c r="V79" s="114"/>
      <c r="AD79" s="778"/>
      <c r="AE79" s="779"/>
      <c r="AF79" s="779"/>
      <c r="AG79" s="779"/>
      <c r="AH79" s="780"/>
      <c r="AL79" s="774">
        <v>3125</v>
      </c>
      <c r="AM79" s="774"/>
      <c r="AN79" s="774"/>
      <c r="AO79" s="774">
        <f ca="1">AT95</f>
        <v>3125</v>
      </c>
      <c r="AP79" s="774"/>
      <c r="AQ79" s="774"/>
      <c r="AR79" s="726">
        <f>AS40</f>
        <v>52.992800000000003</v>
      </c>
      <c r="AS79" s="726"/>
      <c r="AT79" s="726">
        <f>AS40+BJ42</f>
        <v>90.492800000000003</v>
      </c>
      <c r="AU79" s="726"/>
      <c r="AY79" s="727" t="s">
        <v>128</v>
      </c>
      <c r="AZ79" s="727"/>
      <c r="BA79" s="727"/>
      <c r="BB79" s="727"/>
      <c r="BC79" s="727"/>
      <c r="BD79" s="727"/>
      <c r="BE79" s="727"/>
      <c r="BF79" s="727"/>
      <c r="BG79" s="727"/>
      <c r="BH79" s="727"/>
      <c r="BI79" s="13"/>
      <c r="BJ79" s="13"/>
      <c r="BK79" s="13"/>
      <c r="BL79" s="13"/>
      <c r="BM79" s="13"/>
      <c r="BN79" s="13"/>
      <c r="BO79" s="13"/>
      <c r="BP79" s="13"/>
      <c r="BQ79" s="13"/>
      <c r="BR79" s="13"/>
    </row>
    <row r="80" spans="1:90" ht="15" customHeight="1" x14ac:dyDescent="0.25">
      <c r="O80" s="114"/>
      <c r="P80" s="114"/>
      <c r="Q80" s="114"/>
      <c r="R80" s="114"/>
      <c r="S80" s="114"/>
      <c r="T80" s="114"/>
      <c r="U80" s="114"/>
      <c r="V80" s="114"/>
      <c r="AD80" s="778"/>
      <c r="AE80" s="779"/>
      <c r="AF80" s="779"/>
      <c r="AG80" s="779"/>
      <c r="AH80" s="780"/>
      <c r="AL80" s="774"/>
      <c r="AM80" s="774"/>
      <c r="AN80" s="774"/>
      <c r="AO80" s="774"/>
      <c r="AP80" s="774"/>
      <c r="AQ80" s="774"/>
      <c r="AR80" s="726"/>
      <c r="AS80" s="726"/>
      <c r="AT80" s="726"/>
      <c r="AU80" s="726"/>
      <c r="AY80" s="727"/>
      <c r="AZ80" s="727"/>
      <c r="BA80" s="727"/>
      <c r="BB80" s="727"/>
      <c r="BC80" s="727"/>
      <c r="BD80" s="727"/>
      <c r="BE80" s="727"/>
      <c r="BF80" s="727"/>
      <c r="BG80" s="727"/>
      <c r="BH80" s="727"/>
      <c r="BI80" s="13"/>
      <c r="BJ80" s="13"/>
      <c r="BK80" s="13"/>
      <c r="BL80" s="13"/>
      <c r="BM80" s="13"/>
      <c r="BN80" s="13"/>
      <c r="BO80" s="13"/>
      <c r="BP80" s="13"/>
      <c r="BQ80" s="13"/>
      <c r="BR80" s="13"/>
    </row>
    <row r="81" spans="15:70" ht="15" customHeight="1" x14ac:dyDescent="0.25">
      <c r="O81" s="114"/>
      <c r="P81" s="114"/>
      <c r="Q81" s="114"/>
      <c r="R81" s="114"/>
      <c r="S81" s="114"/>
      <c r="T81" s="114"/>
      <c r="U81" s="114"/>
      <c r="V81" s="114"/>
      <c r="AD81" s="778"/>
      <c r="AE81" s="779"/>
      <c r="AF81" s="779"/>
      <c r="AG81" s="779"/>
      <c r="AH81" s="780"/>
      <c r="AL81" s="774"/>
      <c r="AM81" s="774"/>
      <c r="AN81" s="774"/>
      <c r="AO81" s="774"/>
      <c r="AP81" s="774"/>
      <c r="AQ81" s="774"/>
      <c r="AR81" s="726"/>
      <c r="AS81" s="726"/>
      <c r="AT81" s="726"/>
      <c r="AU81" s="726"/>
      <c r="AY81" s="728">
        <f ca="1">AR79/((66*3.1415/59)*(AO79/3.281))</f>
        <v>1.5832302818013011E-2</v>
      </c>
      <c r="AZ81" s="729"/>
      <c r="BA81" s="729"/>
      <c r="BB81" s="729"/>
      <c r="BC81" s="729"/>
      <c r="BD81" s="729"/>
      <c r="BE81" s="729"/>
      <c r="BF81" s="729"/>
      <c r="BG81" s="729"/>
      <c r="BH81" s="730"/>
      <c r="BI81" s="57"/>
      <c r="BJ81" s="57"/>
      <c r="BK81" s="57"/>
      <c r="BL81" s="57"/>
      <c r="BM81" s="57"/>
      <c r="BN81" s="57"/>
      <c r="BO81" s="57"/>
      <c r="BP81" s="57"/>
      <c r="BQ81" s="57"/>
      <c r="BR81" s="57"/>
    </row>
    <row r="82" spans="15:70" ht="15.75" customHeight="1" thickBot="1" x14ac:dyDescent="0.3">
      <c r="AD82" s="781"/>
      <c r="AE82" s="782"/>
      <c r="AF82" s="782"/>
      <c r="AG82" s="782"/>
      <c r="AH82" s="783"/>
      <c r="AL82" s="774"/>
      <c r="AM82" s="774"/>
      <c r="AN82" s="774"/>
      <c r="AO82" s="774"/>
      <c r="AP82" s="774"/>
      <c r="AQ82" s="774"/>
      <c r="AR82" s="726"/>
      <c r="AS82" s="726"/>
      <c r="AT82" s="726"/>
      <c r="AU82" s="726"/>
      <c r="AY82" s="731"/>
      <c r="AZ82" s="732"/>
      <c r="BA82" s="732"/>
      <c r="BB82" s="732"/>
      <c r="BC82" s="732"/>
      <c r="BD82" s="732"/>
      <c r="BE82" s="732"/>
      <c r="BF82" s="732"/>
      <c r="BG82" s="732"/>
      <c r="BH82" s="733"/>
      <c r="BI82" s="57"/>
      <c r="BJ82" s="57"/>
      <c r="BK82" s="57"/>
      <c r="BL82" s="57"/>
      <c r="BM82" s="57"/>
      <c r="BN82" s="57"/>
      <c r="BO82" s="57"/>
      <c r="BP82" s="57"/>
      <c r="BQ82" s="57"/>
      <c r="BR82" s="57"/>
    </row>
    <row r="83" spans="15:70" ht="15.75" customHeight="1" thickTop="1" x14ac:dyDescent="0.25">
      <c r="AY83" s="734"/>
      <c r="AZ83" s="735"/>
      <c r="BA83" s="735"/>
      <c r="BB83" s="735"/>
      <c r="BC83" s="735"/>
      <c r="BD83" s="735"/>
      <c r="BE83" s="735"/>
      <c r="BF83" s="735"/>
      <c r="BG83" s="735"/>
      <c r="BH83" s="736"/>
      <c r="BI83" s="57"/>
      <c r="BJ83" s="57"/>
      <c r="BK83" s="57"/>
      <c r="BL83" s="57"/>
      <c r="BM83" s="57"/>
      <c r="BN83" s="57"/>
      <c r="BO83" s="57"/>
      <c r="BP83" s="57"/>
      <c r="BQ83" s="57"/>
      <c r="BR83" s="57"/>
    </row>
    <row r="84" spans="15:70" x14ac:dyDescent="0.25">
      <c r="AY84" s="739" t="s">
        <v>129</v>
      </c>
      <c r="AZ84" s="740"/>
      <c r="BA84" s="740"/>
      <c r="BB84" s="740"/>
      <c r="BC84" s="740"/>
      <c r="BD84" s="740"/>
      <c r="BE84" s="740"/>
      <c r="BF84" s="740"/>
      <c r="BG84" s="740"/>
      <c r="BH84" s="741"/>
      <c r="BI84" s="13"/>
      <c r="BJ84" s="13"/>
      <c r="BK84" s="13"/>
      <c r="BL84" s="13"/>
      <c r="BM84" s="13"/>
      <c r="BN84" s="13"/>
      <c r="BO84" s="13"/>
      <c r="BP84" s="13"/>
      <c r="BQ84" s="13"/>
      <c r="BR84" s="13"/>
    </row>
    <row r="85" spans="15:70" x14ac:dyDescent="0.25">
      <c r="AY85" s="742"/>
      <c r="AZ85" s="743"/>
      <c r="BA85" s="743"/>
      <c r="BB85" s="743"/>
      <c r="BC85" s="743"/>
      <c r="BD85" s="743"/>
      <c r="BE85" s="743"/>
      <c r="BF85" s="743"/>
      <c r="BG85" s="743"/>
      <c r="BH85" s="744"/>
      <c r="BI85" s="13"/>
      <c r="BJ85" s="13"/>
      <c r="BK85" s="13"/>
      <c r="BL85" s="13"/>
      <c r="BM85" s="13"/>
      <c r="BN85" s="13"/>
      <c r="BO85" s="13"/>
      <c r="BP85" s="13"/>
      <c r="BQ85" s="13"/>
      <c r="BR85" s="13"/>
    </row>
    <row r="86" spans="15:70" ht="15" customHeight="1" x14ac:dyDescent="0.25">
      <c r="AN86" s="1255">
        <v>125</v>
      </c>
      <c r="AO86" s="1255"/>
      <c r="AP86" s="1255"/>
      <c r="AQ86" s="746" cm="1">
        <f t="array" aca="1" ref="AQ86" ca="1">SUM(COUNTIF(INDIRECT({"B8","G8","L8","Q8","V8","AA8","AF8","AK8","AP8","AU8","AZ8","BE8","BJ8","BO8","B14","G14","L14","Q14","V14","AA14","AF14","AK14","AP14","AU14","AZ14","BE14","BJ14","BO14","B20","G20","L20","Q20","V20","AA20","AF20","AK20","AP20","AU20","AZ20"}),"&gt;0"))</f>
        <v>25</v>
      </c>
      <c r="AR86" s="746"/>
      <c r="AS86" s="746"/>
      <c r="AT86" s="747">
        <f ca="1">AQ86*AN86</f>
        <v>3125</v>
      </c>
      <c r="AU86" s="748"/>
      <c r="AV86" s="748"/>
      <c r="AW86" s="749"/>
      <c r="AY86" s="739" t="s">
        <v>130</v>
      </c>
      <c r="AZ86" s="740"/>
      <c r="BA86" s="740"/>
      <c r="BB86" s="740"/>
      <c r="BC86" s="740"/>
      <c r="BD86" s="740"/>
      <c r="BE86" s="740"/>
      <c r="BF86" s="740"/>
      <c r="BG86" s="740"/>
      <c r="BH86" s="741"/>
      <c r="BI86" s="13"/>
      <c r="BJ86" s="13"/>
      <c r="BK86" s="13"/>
      <c r="BL86" s="13"/>
      <c r="BM86" s="13"/>
      <c r="BN86" s="13"/>
      <c r="BO86" s="13"/>
      <c r="BP86" s="13"/>
      <c r="BQ86" s="13"/>
      <c r="BR86" s="13"/>
    </row>
    <row r="87" spans="15:70" ht="15" customHeight="1" x14ac:dyDescent="0.25">
      <c r="AN87" s="1255"/>
      <c r="AO87" s="1255"/>
      <c r="AP87" s="1255"/>
      <c r="AQ87" s="746"/>
      <c r="AR87" s="746"/>
      <c r="AS87" s="746"/>
      <c r="AT87" s="747"/>
      <c r="AU87" s="748"/>
      <c r="AV87" s="748"/>
      <c r="AW87" s="749"/>
      <c r="AY87" s="750"/>
      <c r="AZ87" s="751"/>
      <c r="BA87" s="751"/>
      <c r="BB87" s="751"/>
      <c r="BC87" s="751"/>
      <c r="BD87" s="751"/>
      <c r="BE87" s="751"/>
      <c r="BF87" s="751"/>
      <c r="BG87" s="751"/>
      <c r="BH87" s="752"/>
      <c r="BI87" s="13"/>
      <c r="BJ87" s="13"/>
      <c r="BK87" s="13"/>
      <c r="BL87" s="13"/>
      <c r="BM87" s="13"/>
      <c r="BN87" s="13"/>
      <c r="BO87" s="13"/>
      <c r="BP87" s="13"/>
      <c r="BQ87" s="13"/>
      <c r="BR87" s="13"/>
    </row>
    <row r="88" spans="15:70" ht="15" customHeight="1" x14ac:dyDescent="0.25">
      <c r="AN88" s="1255"/>
      <c r="AO88" s="1255"/>
      <c r="AP88" s="1255"/>
      <c r="AQ88" s="746"/>
      <c r="AR88" s="746"/>
      <c r="AS88" s="746"/>
      <c r="AT88" s="747"/>
      <c r="AU88" s="748"/>
      <c r="AV88" s="748"/>
      <c r="AW88" s="749"/>
      <c r="AY88" s="750"/>
      <c r="AZ88" s="751"/>
      <c r="BA88" s="751"/>
      <c r="BB88" s="751"/>
      <c r="BC88" s="751"/>
      <c r="BD88" s="751"/>
      <c r="BE88" s="751"/>
      <c r="BF88" s="751"/>
      <c r="BG88" s="751"/>
      <c r="BH88" s="752"/>
      <c r="BI88" s="13"/>
      <c r="BJ88" s="13"/>
      <c r="BK88" s="13"/>
      <c r="BL88" s="13"/>
      <c r="BM88" s="13"/>
      <c r="BN88" s="13"/>
      <c r="BO88" s="13"/>
      <c r="BP88" s="13"/>
      <c r="BQ88" s="13"/>
      <c r="BR88" s="13"/>
    </row>
    <row r="89" spans="15:70" ht="15" customHeight="1" x14ac:dyDescent="0.25">
      <c r="AN89" s="727"/>
      <c r="AO89" s="727"/>
      <c r="AP89" s="727"/>
      <c r="AQ89" s="746"/>
      <c r="AR89" s="746"/>
      <c r="AS89" s="746"/>
      <c r="AT89" s="747"/>
      <c r="AU89" s="748"/>
      <c r="AV89" s="748"/>
      <c r="AW89" s="749"/>
      <c r="AY89" s="742"/>
      <c r="AZ89" s="743"/>
      <c r="BA89" s="743"/>
      <c r="BB89" s="743"/>
      <c r="BC89" s="743"/>
      <c r="BD89" s="743"/>
      <c r="BE89" s="743"/>
      <c r="BF89" s="743"/>
      <c r="BG89" s="743"/>
      <c r="BH89" s="744"/>
      <c r="BI89" s="13"/>
      <c r="BJ89" s="13"/>
      <c r="BK89" s="13"/>
      <c r="BL89" s="13"/>
      <c r="BM89" s="13"/>
      <c r="BN89" s="13"/>
      <c r="BO89" s="13"/>
      <c r="BP89" s="13"/>
      <c r="BQ89" s="13"/>
      <c r="BR89" s="13"/>
    </row>
    <row r="90" spans="15:70" ht="26.25" x14ac:dyDescent="0.25">
      <c r="AN90" s="727"/>
      <c r="AO90" s="727"/>
      <c r="AP90" s="727"/>
      <c r="AQ90" s="746"/>
      <c r="AR90" s="746"/>
      <c r="AS90" s="746"/>
      <c r="AT90" s="747"/>
      <c r="AU90" s="748"/>
      <c r="AV90" s="748"/>
      <c r="AW90" s="749"/>
      <c r="AY90" s="728">
        <f ca="1">AT79/((66*3.1415/59)*(AO79/3.281))</f>
        <v>2.7035925870116089E-2</v>
      </c>
      <c r="AZ90" s="729"/>
      <c r="BA90" s="729"/>
      <c r="BB90" s="729"/>
      <c r="BC90" s="729"/>
      <c r="BD90" s="729"/>
      <c r="BE90" s="729"/>
      <c r="BF90" s="729"/>
      <c r="BG90" s="729"/>
      <c r="BH90" s="730"/>
      <c r="BI90" s="57"/>
      <c r="BJ90" s="57"/>
      <c r="BK90" s="57"/>
      <c r="BL90" s="57"/>
      <c r="BM90" s="57"/>
      <c r="BN90" s="57"/>
      <c r="BO90" s="57"/>
      <c r="BP90" s="57"/>
      <c r="BQ90" s="57"/>
      <c r="BR90" s="57"/>
    </row>
    <row r="91" spans="15:70" ht="26.25" x14ac:dyDescent="0.25">
      <c r="AN91" s="727"/>
      <c r="AO91" s="727"/>
      <c r="AP91" s="727"/>
      <c r="AQ91" s="746"/>
      <c r="AR91" s="746"/>
      <c r="AS91" s="746"/>
      <c r="AT91" s="747"/>
      <c r="AU91" s="748"/>
      <c r="AV91" s="748"/>
      <c r="AW91" s="749"/>
      <c r="AY91" s="731"/>
      <c r="AZ91" s="732"/>
      <c r="BA91" s="732"/>
      <c r="BB91" s="732"/>
      <c r="BC91" s="732"/>
      <c r="BD91" s="732"/>
      <c r="BE91" s="732"/>
      <c r="BF91" s="732"/>
      <c r="BG91" s="732"/>
      <c r="BH91" s="733"/>
      <c r="BI91" s="57"/>
      <c r="BJ91" s="57"/>
      <c r="BK91" s="57"/>
      <c r="BL91" s="57"/>
      <c r="BM91" s="57"/>
      <c r="BN91" s="57"/>
      <c r="BO91" s="57"/>
      <c r="BP91" s="57"/>
      <c r="BQ91" s="57"/>
      <c r="BR91" s="57"/>
    </row>
    <row r="92" spans="15:70" ht="15" customHeight="1" x14ac:dyDescent="0.25">
      <c r="AN92" s="727"/>
      <c r="AO92" s="727"/>
      <c r="AP92" s="727"/>
      <c r="AQ92" s="746"/>
      <c r="AR92" s="746"/>
      <c r="AS92" s="746"/>
      <c r="AT92" s="747"/>
      <c r="AU92" s="748"/>
      <c r="AV92" s="748"/>
      <c r="AW92" s="749"/>
      <c r="AY92" s="731"/>
      <c r="AZ92" s="732"/>
      <c r="BA92" s="732"/>
      <c r="BB92" s="732"/>
      <c r="BC92" s="732"/>
      <c r="BD92" s="732"/>
      <c r="BE92" s="732"/>
      <c r="BF92" s="732"/>
      <c r="BG92" s="732"/>
      <c r="BH92" s="733"/>
      <c r="BI92" s="57"/>
      <c r="BJ92" s="57"/>
      <c r="BK92" s="57"/>
      <c r="BL92" s="57"/>
      <c r="BM92" s="57"/>
      <c r="BN92" s="57"/>
      <c r="BO92" s="57"/>
      <c r="BP92" s="57"/>
      <c r="BQ92" s="57"/>
      <c r="BR92" s="57"/>
    </row>
    <row r="93" spans="15:70" ht="15" customHeight="1" x14ac:dyDescent="0.25">
      <c r="AN93" s="727"/>
      <c r="AO93" s="727"/>
      <c r="AP93" s="727"/>
      <c r="AQ93" s="746"/>
      <c r="AR93" s="746"/>
      <c r="AS93" s="746"/>
      <c r="AT93" s="747"/>
      <c r="AU93" s="748"/>
      <c r="AV93" s="748"/>
      <c r="AW93" s="749"/>
      <c r="AY93" s="731"/>
      <c r="AZ93" s="732"/>
      <c r="BA93" s="732"/>
      <c r="BB93" s="732"/>
      <c r="BC93" s="732"/>
      <c r="BD93" s="732"/>
      <c r="BE93" s="732"/>
      <c r="BF93" s="732"/>
      <c r="BG93" s="732"/>
      <c r="BH93" s="733"/>
      <c r="BI93" s="57"/>
      <c r="BJ93" s="57"/>
      <c r="BK93" s="57"/>
      <c r="BL93" s="57"/>
      <c r="BM93" s="57"/>
      <c r="BN93" s="57"/>
      <c r="BO93" s="57"/>
      <c r="BP93" s="57"/>
      <c r="BQ93" s="57"/>
      <c r="BR93" s="57"/>
    </row>
    <row r="94" spans="15:70" ht="15" customHeight="1" x14ac:dyDescent="0.25">
      <c r="AN94" s="727"/>
      <c r="AO94" s="727"/>
      <c r="AP94" s="727"/>
      <c r="AQ94" s="746"/>
      <c r="AR94" s="746"/>
      <c r="AS94" s="746"/>
      <c r="AT94" s="747"/>
      <c r="AU94" s="748"/>
      <c r="AV94" s="748"/>
      <c r="AW94" s="749"/>
      <c r="AY94" s="734"/>
      <c r="AZ94" s="735"/>
      <c r="BA94" s="735"/>
      <c r="BB94" s="735"/>
      <c r="BC94" s="735"/>
      <c r="BD94" s="735"/>
      <c r="BE94" s="735"/>
      <c r="BF94" s="735"/>
      <c r="BG94" s="735"/>
      <c r="BH94" s="736"/>
      <c r="BI94" s="57"/>
      <c r="BJ94" s="57"/>
      <c r="BK94" s="57"/>
      <c r="BL94" s="57"/>
      <c r="BM94" s="57"/>
      <c r="BN94" s="57"/>
      <c r="BO94" s="57"/>
      <c r="BP94" s="57"/>
      <c r="BQ94" s="57"/>
      <c r="BR94" s="57"/>
    </row>
    <row r="95" spans="15:70" ht="15" customHeight="1" x14ac:dyDescent="0.25">
      <c r="AQ95" s="1254">
        <f ca="1">AQ92+AQ89+AQ86</f>
        <v>25</v>
      </c>
      <c r="AR95" s="1254"/>
      <c r="AS95" s="1254"/>
      <c r="AT95" s="747">
        <f ca="1">AT89+AT92+AT86</f>
        <v>3125</v>
      </c>
      <c r="AU95" s="748"/>
      <c r="AV95" s="748"/>
      <c r="AW95" s="749"/>
    </row>
    <row r="96" spans="15:70" ht="15" customHeight="1" x14ac:dyDescent="0.25">
      <c r="AQ96" s="1254"/>
      <c r="AR96" s="1254"/>
      <c r="AS96" s="1254"/>
      <c r="AT96" s="747"/>
      <c r="AU96" s="748"/>
      <c r="AV96" s="748"/>
      <c r="AW96" s="749"/>
    </row>
    <row r="97" spans="43:49" ht="15" customHeight="1" x14ac:dyDescent="0.25">
      <c r="AQ97" s="1254"/>
      <c r="AR97" s="1254"/>
      <c r="AS97" s="1254"/>
      <c r="AT97" s="747"/>
      <c r="AU97" s="748"/>
      <c r="AV97" s="748"/>
      <c r="AW97" s="749"/>
    </row>
    <row r="99" spans="43:49" ht="15" customHeight="1" x14ac:dyDescent="0.25"/>
    <row r="100" spans="43:49" ht="15" customHeight="1" x14ac:dyDescent="0.25"/>
    <row r="101" spans="43:49" ht="15" customHeight="1" x14ac:dyDescent="0.25"/>
    <row r="102" spans="43:49" ht="15" customHeight="1" x14ac:dyDescent="0.25"/>
    <row r="103" spans="43:49" ht="15" customHeight="1" x14ac:dyDescent="0.25"/>
    <row r="104" spans="43:49" ht="15" customHeight="1" x14ac:dyDescent="0.25"/>
    <row r="105" spans="43:49" ht="15" customHeight="1" x14ac:dyDescent="0.25"/>
    <row r="106" spans="43:49" ht="15" customHeight="1" x14ac:dyDescent="0.25"/>
    <row r="107" spans="43:49" ht="15" customHeight="1" x14ac:dyDescent="0.25"/>
    <row r="108" spans="43:49" ht="15" customHeight="1" x14ac:dyDescent="0.25">
      <c r="AS108" s="27"/>
      <c r="AT108" s="27"/>
      <c r="AU108" s="27"/>
    </row>
  </sheetData>
  <mergeCells count="281">
    <mergeCell ref="A7:A8"/>
    <mergeCell ref="B7:E7"/>
    <mergeCell ref="F7:F8"/>
    <mergeCell ref="G7:J7"/>
    <mergeCell ref="K7:K8"/>
    <mergeCell ref="L7:O7"/>
    <mergeCell ref="AT3:AU4"/>
    <mergeCell ref="AV3:AX4"/>
    <mergeCell ref="AY3:AZ4"/>
    <mergeCell ref="AQ3:AS4"/>
    <mergeCell ref="AE5:AF6"/>
    <mergeCell ref="AG5:AI6"/>
    <mergeCell ref="AJ5:AK6"/>
    <mergeCell ref="R3:T4"/>
    <mergeCell ref="U3:V4"/>
    <mergeCell ref="W3:Y4"/>
    <mergeCell ref="Z3:AA4"/>
    <mergeCell ref="A3:B4"/>
    <mergeCell ref="C3:E4"/>
    <mergeCell ref="A5:B6"/>
    <mergeCell ref="AE7:AE8"/>
    <mergeCell ref="AF7:AI7"/>
    <mergeCell ref="AJ7:AJ8"/>
    <mergeCell ref="AK7:AN7"/>
    <mergeCell ref="BJ7:BM7"/>
    <mergeCell ref="BN7:BN8"/>
    <mergeCell ref="BO7:BR7"/>
    <mergeCell ref="AT7:AT8"/>
    <mergeCell ref="AU7:AX7"/>
    <mergeCell ref="AY7:AY8"/>
    <mergeCell ref="AZ7:BC7"/>
    <mergeCell ref="BD7:BD8"/>
    <mergeCell ref="BE7:BH7"/>
    <mergeCell ref="BI7:BI8"/>
    <mergeCell ref="A13:A14"/>
    <mergeCell ref="B13:E13"/>
    <mergeCell ref="F13:F14"/>
    <mergeCell ref="G13:J13"/>
    <mergeCell ref="K13:K14"/>
    <mergeCell ref="L13:O13"/>
    <mergeCell ref="P13:P14"/>
    <mergeCell ref="Q13:T13"/>
    <mergeCell ref="AE9:AF10"/>
    <mergeCell ref="W9:Y10"/>
    <mergeCell ref="Z9:AA10"/>
    <mergeCell ref="AB9:AD10"/>
    <mergeCell ref="P11:Q12"/>
    <mergeCell ref="A11:B12"/>
    <mergeCell ref="C11:E12"/>
    <mergeCell ref="F11:G12"/>
    <mergeCell ref="H11:J12"/>
    <mergeCell ref="K11:L12"/>
    <mergeCell ref="M11:O12"/>
    <mergeCell ref="R11:T12"/>
    <mergeCell ref="U11:V12"/>
    <mergeCell ref="W11:Y12"/>
    <mergeCell ref="Z11:AA12"/>
    <mergeCell ref="AB11:AD12"/>
    <mergeCell ref="J31:M31"/>
    <mergeCell ref="J32:M35"/>
    <mergeCell ref="Y32:AB35"/>
    <mergeCell ref="AP32:AS35"/>
    <mergeCell ref="BF32:BJ35"/>
    <mergeCell ref="AJ13:AJ14"/>
    <mergeCell ref="AK13:AN13"/>
    <mergeCell ref="AO13:AO14"/>
    <mergeCell ref="AP13:AS13"/>
    <mergeCell ref="AT13:AT14"/>
    <mergeCell ref="AU13:AX13"/>
    <mergeCell ref="U13:U14"/>
    <mergeCell ref="V13:Y13"/>
    <mergeCell ref="Z13:Z14"/>
    <mergeCell ref="AA13:AD13"/>
    <mergeCell ref="AE13:AE14"/>
    <mergeCell ref="AF13:AI13"/>
    <mergeCell ref="V36:AG39"/>
    <mergeCell ref="AH36:AR39"/>
    <mergeCell ref="AS36:BD39"/>
    <mergeCell ref="BE36:BI47"/>
    <mergeCell ref="BJ36:BM41"/>
    <mergeCell ref="BN36:BP41"/>
    <mergeCell ref="V40:AG47"/>
    <mergeCell ref="AH40:AR47"/>
    <mergeCell ref="AS40:BD47"/>
    <mergeCell ref="BJ42:BP45"/>
    <mergeCell ref="F43:G43"/>
    <mergeCell ref="F44:G47"/>
    <mergeCell ref="BJ46:BP48"/>
    <mergeCell ref="A51:C51"/>
    <mergeCell ref="D51:E51"/>
    <mergeCell ref="F51:H51"/>
    <mergeCell ref="I51:J51"/>
    <mergeCell ref="K51:M51"/>
    <mergeCell ref="N51:O51"/>
    <mergeCell ref="P51:R51"/>
    <mergeCell ref="BQ51:BR51"/>
    <mergeCell ref="A52:C54"/>
    <mergeCell ref="F52:H54"/>
    <mergeCell ref="K52:M54"/>
    <mergeCell ref="P52:R54"/>
    <mergeCell ref="U52:W54"/>
    <mergeCell ref="BI52:BK54"/>
    <mergeCell ref="BN52:BP54"/>
    <mergeCell ref="D54:E54"/>
    <mergeCell ref="I54:J54"/>
    <mergeCell ref="S51:T51"/>
    <mergeCell ref="U51:W51"/>
    <mergeCell ref="X51:Y51"/>
    <mergeCell ref="BI51:BK51"/>
    <mergeCell ref="BL51:BM51"/>
    <mergeCell ref="BN51:BP51"/>
    <mergeCell ref="N54:O54"/>
    <mergeCell ref="S54:T54"/>
    <mergeCell ref="X54:Y54"/>
    <mergeCell ref="BL54:BM54"/>
    <mergeCell ref="BQ54:BR54"/>
    <mergeCell ref="A55:A56"/>
    <mergeCell ref="B55:E55"/>
    <mergeCell ref="F55:F56"/>
    <mergeCell ref="G55:J55"/>
    <mergeCell ref="K55:K56"/>
    <mergeCell ref="BJ55:BM55"/>
    <mergeCell ref="BN55:BN56"/>
    <mergeCell ref="BO55:BR55"/>
    <mergeCell ref="A57:C57"/>
    <mergeCell ref="D57:E57"/>
    <mergeCell ref="F57:H57"/>
    <mergeCell ref="I57:J57"/>
    <mergeCell ref="K57:M57"/>
    <mergeCell ref="N57:O57"/>
    <mergeCell ref="P57:R57"/>
    <mergeCell ref="L55:O55"/>
    <mergeCell ref="P55:P56"/>
    <mergeCell ref="Q55:T55"/>
    <mergeCell ref="U55:U56"/>
    <mergeCell ref="V55:Y55"/>
    <mergeCell ref="BI55:BI56"/>
    <mergeCell ref="BQ57:BR57"/>
    <mergeCell ref="S57:T57"/>
    <mergeCell ref="U57:W57"/>
    <mergeCell ref="A58:C60"/>
    <mergeCell ref="F58:H60"/>
    <mergeCell ref="K58:M60"/>
    <mergeCell ref="P58:R60"/>
    <mergeCell ref="U58:W60"/>
    <mergeCell ref="BI58:BK60"/>
    <mergeCell ref="BN58:BP60"/>
    <mergeCell ref="D60:E60"/>
    <mergeCell ref="I60:J60"/>
    <mergeCell ref="X57:Y57"/>
    <mergeCell ref="BI57:BK57"/>
    <mergeCell ref="BL57:BM57"/>
    <mergeCell ref="BN57:BP57"/>
    <mergeCell ref="N60:O60"/>
    <mergeCell ref="S60:T60"/>
    <mergeCell ref="X60:Y60"/>
    <mergeCell ref="BL60:BM60"/>
    <mergeCell ref="BQ60:BR60"/>
    <mergeCell ref="A61:A62"/>
    <mergeCell ref="B61:E61"/>
    <mergeCell ref="F61:F62"/>
    <mergeCell ref="G61:J61"/>
    <mergeCell ref="K61:K62"/>
    <mergeCell ref="A64:C64"/>
    <mergeCell ref="A65:C67"/>
    <mergeCell ref="AD76:AH82"/>
    <mergeCell ref="AL76:AN78"/>
    <mergeCell ref="AQ92:AS94"/>
    <mergeCell ref="AT92:AW94"/>
    <mergeCell ref="AO76:AQ78"/>
    <mergeCell ref="AR76:AS78"/>
    <mergeCell ref="AT76:AU78"/>
    <mergeCell ref="L61:O61"/>
    <mergeCell ref="P61:P62"/>
    <mergeCell ref="Q61:T61"/>
    <mergeCell ref="U61:U62"/>
    <mergeCell ref="V61:Y61"/>
    <mergeCell ref="AL79:AN82"/>
    <mergeCell ref="AO79:AQ82"/>
    <mergeCell ref="AR79:AS82"/>
    <mergeCell ref="AT79:AU82"/>
    <mergeCell ref="AQ95:AS97"/>
    <mergeCell ref="AT95:AW97"/>
    <mergeCell ref="AY13:AY14"/>
    <mergeCell ref="AZ13:BC13"/>
    <mergeCell ref="AV11:AX12"/>
    <mergeCell ref="AY11:AZ12"/>
    <mergeCell ref="AY84:BH85"/>
    <mergeCell ref="AY76:BH78"/>
    <mergeCell ref="AH29:BO30"/>
    <mergeCell ref="AY79:BH80"/>
    <mergeCell ref="AY81:BH83"/>
    <mergeCell ref="BJ61:BM61"/>
    <mergeCell ref="BN61:BN62"/>
    <mergeCell ref="BO61:BR61"/>
    <mergeCell ref="BI61:BI62"/>
    <mergeCell ref="AN86:AP88"/>
    <mergeCell ref="AQ86:AS88"/>
    <mergeCell ref="AT86:AW88"/>
    <mergeCell ref="AY86:BH89"/>
    <mergeCell ref="AN89:AP91"/>
    <mergeCell ref="AQ89:AS91"/>
    <mergeCell ref="AT89:AW91"/>
    <mergeCell ref="AY90:BH94"/>
    <mergeCell ref="AN92:AP94"/>
    <mergeCell ref="BP3:BR4"/>
    <mergeCell ref="AB3:AD4"/>
    <mergeCell ref="AE3:AF4"/>
    <mergeCell ref="AG3:AI4"/>
    <mergeCell ref="AJ3:AK4"/>
    <mergeCell ref="AL3:AN4"/>
    <mergeCell ref="AO3:AP4"/>
    <mergeCell ref="BA3:BC4"/>
    <mergeCell ref="C5:E6"/>
    <mergeCell ref="F3:G4"/>
    <mergeCell ref="H3:J4"/>
    <mergeCell ref="K3:L4"/>
    <mergeCell ref="M3:O4"/>
    <mergeCell ref="P3:Q4"/>
    <mergeCell ref="F5:G6"/>
    <mergeCell ref="H5:J6"/>
    <mergeCell ref="K5:L6"/>
    <mergeCell ref="M5:O6"/>
    <mergeCell ref="U5:V6"/>
    <mergeCell ref="W5:Y6"/>
    <mergeCell ref="Z5:AA6"/>
    <mergeCell ref="AB5:AD6"/>
    <mergeCell ref="BD3:BE4"/>
    <mergeCell ref="BF3:BH4"/>
    <mergeCell ref="BI3:BJ4"/>
    <mergeCell ref="BK3:BM4"/>
    <mergeCell ref="BN3:BO4"/>
    <mergeCell ref="BP5:BR6"/>
    <mergeCell ref="A9:B10"/>
    <mergeCell ref="C9:E10"/>
    <mergeCell ref="F9:G10"/>
    <mergeCell ref="H9:J10"/>
    <mergeCell ref="K9:L10"/>
    <mergeCell ref="M9:O10"/>
    <mergeCell ref="P9:Q10"/>
    <mergeCell ref="R9:T10"/>
    <mergeCell ref="U9:V10"/>
    <mergeCell ref="BA5:BC6"/>
    <mergeCell ref="BD5:BE6"/>
    <mergeCell ref="BF5:BH6"/>
    <mergeCell ref="BI5:BJ6"/>
    <mergeCell ref="BK5:BM6"/>
    <mergeCell ref="BN5:BO6"/>
    <mergeCell ref="AL5:AN6"/>
    <mergeCell ref="AO5:AP6"/>
    <mergeCell ref="AQ5:AS6"/>
    <mergeCell ref="AT5:AU6"/>
    <mergeCell ref="AV5:AX6"/>
    <mergeCell ref="AY5:AZ6"/>
    <mergeCell ref="P5:Q6"/>
    <mergeCell ref="R5:T6"/>
    <mergeCell ref="AE11:AF12"/>
    <mergeCell ref="AO9:AP10"/>
    <mergeCell ref="AQ9:AS10"/>
    <mergeCell ref="AT9:AU10"/>
    <mergeCell ref="AG9:AI10"/>
    <mergeCell ref="AJ9:AK10"/>
    <mergeCell ref="AL9:AN10"/>
    <mergeCell ref="AO7:AO8"/>
    <mergeCell ref="AP7:AS7"/>
    <mergeCell ref="P7:P8"/>
    <mergeCell ref="Q7:T7"/>
    <mergeCell ref="U7:U8"/>
    <mergeCell ref="V7:Y7"/>
    <mergeCell ref="Z7:Z8"/>
    <mergeCell ref="AA7:AD7"/>
    <mergeCell ref="BA11:BC12"/>
    <mergeCell ref="AG11:AI12"/>
    <mergeCell ref="AJ11:AK12"/>
    <mergeCell ref="AL11:AN12"/>
    <mergeCell ref="AO11:AP12"/>
    <mergeCell ref="AQ11:AS12"/>
    <mergeCell ref="AT11:AU12"/>
    <mergeCell ref="AV9:AX10"/>
    <mergeCell ref="AY9:AZ10"/>
    <mergeCell ref="BA9:BC10"/>
  </mergeCells>
  <pageMargins left="0.25" right="0" top="0.7" bottom="0" header="0.3" footer="0.3"/>
  <pageSetup paperSize="8" scale="48" orientation="landscape" r:id="rId1"/>
  <headerFooter>
    <oddFooter>&amp;C&amp;"-,Bold Italic"&amp;16Prepared by Emir Cebecioglu&amp;RQuality Control Department</oddFooter>
  </headerFooter>
  <colBreaks count="1" manualBreakCount="1">
    <brk id="70" max="50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F1820-A9FF-41D3-BF46-B9D4836A1290}">
  <sheetPr>
    <tabColor rgb="FFFFC000"/>
    <pageSetUpPr fitToPage="1"/>
  </sheetPr>
  <dimension ref="A1:FP175"/>
  <sheetViews>
    <sheetView view="pageBreakPreview" topLeftCell="A28" zoomScale="40" zoomScaleNormal="55" zoomScaleSheetLayoutView="40" zoomScalePageLayoutView="25" workbookViewId="0">
      <selection activeCell="F15" sqref="F15:J17"/>
    </sheetView>
  </sheetViews>
  <sheetFormatPr defaultRowHeight="15" x14ac:dyDescent="0.25"/>
  <cols>
    <col min="1" max="1" width="5.5703125" customWidth="1"/>
    <col min="2" max="2" width="10.7109375" customWidth="1"/>
    <col min="3" max="3" width="4.28515625" customWidth="1"/>
    <col min="4" max="4" width="10" customWidth="1"/>
    <col min="5" max="5" width="10.28515625" customWidth="1"/>
    <col min="6" max="6" width="5.5703125" customWidth="1"/>
    <col min="7" max="7" width="10.7109375" customWidth="1"/>
    <col min="8" max="8" width="4.28515625" customWidth="1"/>
    <col min="9" max="9" width="10" customWidth="1"/>
    <col min="10" max="10" width="7.7109375" customWidth="1"/>
    <col min="11" max="11" width="5.5703125" customWidth="1"/>
    <col min="12" max="12" width="10.7109375" customWidth="1"/>
    <col min="13" max="13" width="4.28515625" customWidth="1"/>
    <col min="14" max="14" width="10" customWidth="1"/>
    <col min="15" max="15" width="9.85546875" customWidth="1"/>
    <col min="16" max="16" width="5.5703125" customWidth="1"/>
    <col min="17" max="17" width="10.7109375" customWidth="1"/>
    <col min="18" max="18" width="5" customWidth="1"/>
    <col min="19" max="19" width="10" customWidth="1"/>
    <col min="20" max="20" width="7.42578125" customWidth="1"/>
    <col min="21" max="21" width="5.5703125" customWidth="1"/>
    <col min="22" max="22" width="10.7109375" customWidth="1"/>
    <col min="23" max="23" width="4.28515625" customWidth="1"/>
    <col min="24" max="25" width="10" customWidth="1"/>
    <col min="26" max="26" width="5.5703125" customWidth="1"/>
    <col min="27" max="27" width="10.7109375" customWidth="1"/>
    <col min="28" max="28" width="4.28515625" customWidth="1"/>
    <col min="29" max="29" width="10" customWidth="1"/>
    <col min="30" max="31" width="5.5703125" customWidth="1"/>
    <col min="32" max="32" width="10.7109375" customWidth="1"/>
    <col min="33" max="33" width="4.28515625" customWidth="1"/>
    <col min="34" max="34" width="10" customWidth="1"/>
    <col min="35" max="36" width="5.5703125" customWidth="1"/>
    <col min="37" max="37" width="10.7109375" customWidth="1"/>
    <col min="38" max="38" width="8.5703125" customWidth="1"/>
    <col min="39" max="39" width="10" customWidth="1"/>
    <col min="40" max="41" width="5.5703125" customWidth="1"/>
    <col min="42" max="42" width="10.7109375" customWidth="1"/>
    <col min="43" max="43" width="5.7109375" customWidth="1"/>
    <col min="44" max="44" width="10" customWidth="1"/>
    <col min="45" max="45" width="8.7109375" customWidth="1"/>
    <col min="46" max="46" width="5.5703125" customWidth="1"/>
    <col min="47" max="47" width="10.7109375" customWidth="1"/>
    <col min="48" max="48" width="4.28515625" customWidth="1"/>
    <col min="49" max="49" width="10" customWidth="1"/>
    <col min="50" max="50" width="9.140625" customWidth="1"/>
    <col min="51" max="51" width="5.5703125" customWidth="1"/>
    <col min="52" max="52" width="10.7109375" customWidth="1"/>
    <col min="53" max="53" width="5.42578125" customWidth="1"/>
    <col min="54" max="54" width="10" customWidth="1"/>
    <col min="55" max="56" width="5.5703125" customWidth="1"/>
    <col min="57" max="57" width="10.7109375" customWidth="1"/>
    <col min="58" max="58" width="4.28515625" customWidth="1"/>
    <col min="59" max="59" width="10" customWidth="1"/>
    <col min="60" max="60" width="9.85546875" customWidth="1"/>
    <col min="61" max="61" width="5.5703125" customWidth="1"/>
    <col min="62" max="62" width="10.7109375" customWidth="1"/>
    <col min="63" max="63" width="4.28515625" customWidth="1"/>
    <col min="64" max="64" width="10" customWidth="1"/>
    <col min="65" max="65" width="10.28515625" customWidth="1"/>
    <col min="66" max="66" width="5.5703125" customWidth="1"/>
    <col min="67" max="67" width="14" customWidth="1"/>
    <col min="68" max="68" width="4.28515625" customWidth="1"/>
    <col min="69" max="69" width="10" customWidth="1"/>
    <col min="70" max="70" width="5.5703125" customWidth="1"/>
    <col min="71" max="71" width="1" customWidth="1"/>
    <col min="72" max="72" width="56.7109375" customWidth="1"/>
    <col min="73" max="73" width="13" customWidth="1"/>
    <col min="74" max="74" width="7" customWidth="1"/>
  </cols>
  <sheetData>
    <row r="1" spans="1:83" ht="114.75" customHeight="1" thickBot="1" x14ac:dyDescent="0.3"/>
    <row r="2" spans="1:83" ht="44.25" customHeight="1" thickTop="1" x14ac:dyDescent="0.25">
      <c r="A2" s="2098" t="s">
        <v>110</v>
      </c>
      <c r="B2" s="2099"/>
      <c r="C2" s="2100">
        <f>B7/((68*3.1415/64)*(30/3.281))</f>
        <v>5.6586301660565552E-2</v>
      </c>
      <c r="D2" s="2100"/>
      <c r="E2" s="2101"/>
      <c r="F2" s="2098" t="s">
        <v>110</v>
      </c>
      <c r="G2" s="2099"/>
      <c r="H2" s="2100">
        <f>G7/((68*3.1415/64)*(30/3.281))</f>
        <v>3.9115649636585495E-2</v>
      </c>
      <c r="I2" s="2100"/>
      <c r="J2" s="2101"/>
      <c r="K2" s="2098" t="s">
        <v>110</v>
      </c>
      <c r="L2" s="2099"/>
      <c r="M2" s="2100">
        <f>L7/((68*3.1415/64)*(30/3.281))</f>
        <v>3.2765663960952832E-9</v>
      </c>
      <c r="N2" s="2100"/>
      <c r="O2" s="2101"/>
      <c r="P2" s="1900" t="s">
        <v>110</v>
      </c>
      <c r="Q2" s="2083"/>
      <c r="R2" s="2084">
        <f>Q7/((68*3.1415/64)*(35/3.281))</f>
        <v>2.8084854823673863E-20</v>
      </c>
      <c r="S2" s="2084"/>
      <c r="T2" s="2085"/>
      <c r="U2" s="1900" t="s">
        <v>110</v>
      </c>
      <c r="V2" s="2083"/>
      <c r="W2" s="2084">
        <f t="shared" ref="W2" si="0">V7/((68*3.1415/64)*(35/3.281))</f>
        <v>2.8084854823673862E-15</v>
      </c>
      <c r="X2" s="2084"/>
      <c r="Y2" s="2085"/>
      <c r="Z2" s="1900" t="s">
        <v>110</v>
      </c>
      <c r="AA2" s="2083"/>
      <c r="AB2" s="2084">
        <f t="shared" ref="AB2" si="1">AA7/((68*3.1415/64)*(35/3.281))</f>
        <v>2.808485482367386E-14</v>
      </c>
      <c r="AC2" s="2084"/>
      <c r="AD2" s="2085"/>
      <c r="AE2" s="1900" t="s">
        <v>110</v>
      </c>
      <c r="AF2" s="2083"/>
      <c r="AG2" s="2084">
        <f t="shared" ref="AG2" si="2">AF7/((68*3.1415/64)*(35/3.281))</f>
        <v>2.8084854823673859E-13</v>
      </c>
      <c r="AH2" s="2084"/>
      <c r="AI2" s="2085"/>
      <c r="AJ2" s="1900" t="s">
        <v>110</v>
      </c>
      <c r="AK2" s="2083"/>
      <c r="AL2" s="2084">
        <f t="shared" ref="AL2" si="3">AK7/((68*3.1415/64)*(35/3.281))</f>
        <v>2.067045315022396E-2</v>
      </c>
      <c r="AM2" s="2084"/>
      <c r="AN2" s="2085"/>
      <c r="AO2" s="1900" t="s">
        <v>110</v>
      </c>
      <c r="AP2" s="2083"/>
      <c r="AQ2" s="2084">
        <f t="shared" ref="AQ2" si="4">AP7/((68*3.1415/64)*(35/3.281))</f>
        <v>2.8084854823673863E-11</v>
      </c>
      <c r="AR2" s="2084"/>
      <c r="AS2" s="2085"/>
      <c r="AT2" s="2370" t="s">
        <v>110</v>
      </c>
      <c r="AU2" s="2371"/>
      <c r="AV2" s="2372">
        <f>AU7/((68*3.1415/64)*(37.5/3.281))</f>
        <v>2.6212531168762266E-8</v>
      </c>
      <c r="AW2" s="2372"/>
      <c r="AX2" s="2404"/>
      <c r="AY2" s="2370" t="s">
        <v>110</v>
      </c>
      <c r="AZ2" s="2371"/>
      <c r="BA2" s="2372">
        <f>AZ7/((68*3.1415/64)*(37.5/3.281))</f>
        <v>2.621253116876227E-11</v>
      </c>
      <c r="BB2" s="2372"/>
      <c r="BC2" s="2404"/>
      <c r="BD2" s="2370" t="s">
        <v>110</v>
      </c>
      <c r="BE2" s="2371"/>
      <c r="BF2" s="2372">
        <f>BE7/((68*3.1415/64)*(37.5/3.281))</f>
        <v>2.6212531168762266E-8</v>
      </c>
      <c r="BG2" s="2372"/>
      <c r="BH2" s="2404"/>
      <c r="BI2" s="2370" t="s">
        <v>110</v>
      </c>
      <c r="BJ2" s="2371"/>
      <c r="BK2" s="2372">
        <f>BJ7/((68*3.1415/64)*(37.5/3.281))</f>
        <v>2.6212531168762267E-19</v>
      </c>
      <c r="BL2" s="2372"/>
      <c r="BM2" s="2404"/>
      <c r="BN2" s="2391" t="s">
        <v>110</v>
      </c>
      <c r="BO2" s="2392"/>
      <c r="BP2" s="2393">
        <f>BO7/((68*3.1415/64)*(40/3.281))</f>
        <v>2.4574247970714627E-10</v>
      </c>
      <c r="BQ2" s="2393"/>
      <c r="BR2" s="2394"/>
    </row>
    <row r="3" spans="1:83" ht="6.75" customHeight="1" x14ac:dyDescent="0.25">
      <c r="A3" s="2360" t="s">
        <v>489</v>
      </c>
      <c r="B3" s="1632"/>
      <c r="C3" s="1632"/>
      <c r="D3" s="1632"/>
      <c r="E3" s="1633"/>
      <c r="F3" s="2360" t="s">
        <v>489</v>
      </c>
      <c r="G3" s="1632"/>
      <c r="H3" s="1632"/>
      <c r="I3" s="1632"/>
      <c r="J3" s="1633"/>
      <c r="K3" s="2360" t="s">
        <v>489</v>
      </c>
      <c r="L3" s="1632"/>
      <c r="M3" s="1632"/>
      <c r="N3" s="1632"/>
      <c r="O3" s="1633"/>
      <c r="P3" s="1791" t="s">
        <v>489</v>
      </c>
      <c r="Q3" s="1792"/>
      <c r="R3" s="1792"/>
      <c r="S3" s="1792"/>
      <c r="T3" s="1793"/>
      <c r="U3" s="2395" t="s">
        <v>544</v>
      </c>
      <c r="V3" s="2396"/>
      <c r="W3" s="2396"/>
      <c r="X3" s="2396"/>
      <c r="Y3" s="2397"/>
      <c r="Z3" s="2395" t="s">
        <v>544</v>
      </c>
      <c r="AA3" s="2396"/>
      <c r="AB3" s="2396"/>
      <c r="AC3" s="2396"/>
      <c r="AD3" s="2397"/>
      <c r="AE3" s="2360" t="s">
        <v>489</v>
      </c>
      <c r="AF3" s="1632"/>
      <c r="AG3" s="1632"/>
      <c r="AH3" s="1632"/>
      <c r="AI3" s="1633"/>
      <c r="AJ3" s="2395" t="s">
        <v>544</v>
      </c>
      <c r="AK3" s="2396"/>
      <c r="AL3" s="2396"/>
      <c r="AM3" s="2396"/>
      <c r="AN3" s="2397"/>
      <c r="AO3" s="2360" t="s">
        <v>489</v>
      </c>
      <c r="AP3" s="1632"/>
      <c r="AQ3" s="1632"/>
      <c r="AR3" s="1632"/>
      <c r="AS3" s="1633"/>
      <c r="AT3" s="2360" t="s">
        <v>489</v>
      </c>
      <c r="AU3" s="1632"/>
      <c r="AV3" s="1632"/>
      <c r="AW3" s="1632"/>
      <c r="AX3" s="1633"/>
      <c r="AY3" s="2360" t="s">
        <v>489</v>
      </c>
      <c r="AZ3" s="1632"/>
      <c r="BA3" s="1632"/>
      <c r="BB3" s="1632"/>
      <c r="BC3" s="1633"/>
      <c r="BD3" s="2395" t="s">
        <v>544</v>
      </c>
      <c r="BE3" s="2396"/>
      <c r="BF3" s="2396"/>
      <c r="BG3" s="2396"/>
      <c r="BH3" s="2397"/>
      <c r="BI3" s="2395" t="s">
        <v>544</v>
      </c>
      <c r="BJ3" s="2396"/>
      <c r="BK3" s="2396"/>
      <c r="BL3" s="2396"/>
      <c r="BM3" s="2397"/>
      <c r="BN3" s="1791" t="s">
        <v>489</v>
      </c>
      <c r="BO3" s="1792"/>
      <c r="BP3" s="1792"/>
      <c r="BQ3" s="1792"/>
      <c r="BR3" s="1793"/>
    </row>
    <row r="4" spans="1:83" ht="18" customHeight="1" x14ac:dyDescent="0.25">
      <c r="A4" s="2361"/>
      <c r="B4" s="1635"/>
      <c r="C4" s="1635"/>
      <c r="D4" s="1635"/>
      <c r="E4" s="1636"/>
      <c r="F4" s="2361"/>
      <c r="G4" s="1635"/>
      <c r="H4" s="1635"/>
      <c r="I4" s="1635"/>
      <c r="J4" s="1636"/>
      <c r="K4" s="2361"/>
      <c r="L4" s="1635"/>
      <c r="M4" s="1635"/>
      <c r="N4" s="1635"/>
      <c r="O4" s="1636"/>
      <c r="P4" s="2363"/>
      <c r="Q4" s="2364"/>
      <c r="R4" s="2364"/>
      <c r="S4" s="2364"/>
      <c r="T4" s="2365"/>
      <c r="U4" s="2398"/>
      <c r="V4" s="2399"/>
      <c r="W4" s="2399"/>
      <c r="X4" s="2399"/>
      <c r="Y4" s="2400"/>
      <c r="Z4" s="2398"/>
      <c r="AA4" s="2399"/>
      <c r="AB4" s="2399"/>
      <c r="AC4" s="2399"/>
      <c r="AD4" s="2400"/>
      <c r="AE4" s="2361"/>
      <c r="AF4" s="1635"/>
      <c r="AG4" s="1635"/>
      <c r="AH4" s="1635"/>
      <c r="AI4" s="1636"/>
      <c r="AJ4" s="2398"/>
      <c r="AK4" s="2399"/>
      <c r="AL4" s="2399"/>
      <c r="AM4" s="2399"/>
      <c r="AN4" s="2400"/>
      <c r="AO4" s="2361"/>
      <c r="AP4" s="1635"/>
      <c r="AQ4" s="1635"/>
      <c r="AR4" s="1635"/>
      <c r="AS4" s="1636"/>
      <c r="AT4" s="2361"/>
      <c r="AU4" s="1635"/>
      <c r="AV4" s="1635"/>
      <c r="AW4" s="1635"/>
      <c r="AX4" s="1636"/>
      <c r="AY4" s="2361"/>
      <c r="AZ4" s="1635"/>
      <c r="BA4" s="1635"/>
      <c r="BB4" s="1635"/>
      <c r="BC4" s="1636"/>
      <c r="BD4" s="2398"/>
      <c r="BE4" s="2399"/>
      <c r="BF4" s="2399"/>
      <c r="BG4" s="2399"/>
      <c r="BH4" s="2400"/>
      <c r="BI4" s="2398"/>
      <c r="BJ4" s="2399"/>
      <c r="BK4" s="2399"/>
      <c r="BL4" s="2399"/>
      <c r="BM4" s="2400"/>
      <c r="BN4" s="2363"/>
      <c r="BO4" s="2364"/>
      <c r="BP4" s="2364"/>
      <c r="BQ4" s="2364"/>
      <c r="BR4" s="2365"/>
    </row>
    <row r="5" spans="1:83" ht="6" customHeight="1" x14ac:dyDescent="0.25">
      <c r="A5" s="2362"/>
      <c r="B5" s="1638"/>
      <c r="C5" s="1638"/>
      <c r="D5" s="1638"/>
      <c r="E5" s="1639"/>
      <c r="F5" s="2362"/>
      <c r="G5" s="1638"/>
      <c r="H5" s="1638"/>
      <c r="I5" s="1638"/>
      <c r="J5" s="1639"/>
      <c r="K5" s="2362"/>
      <c r="L5" s="1638"/>
      <c r="M5" s="1638"/>
      <c r="N5" s="1638"/>
      <c r="O5" s="1639"/>
      <c r="P5" s="1794"/>
      <c r="Q5" s="1795"/>
      <c r="R5" s="1795"/>
      <c r="S5" s="1795"/>
      <c r="T5" s="1796"/>
      <c r="U5" s="2401"/>
      <c r="V5" s="2402"/>
      <c r="W5" s="2402"/>
      <c r="X5" s="2402"/>
      <c r="Y5" s="2403"/>
      <c r="Z5" s="2401"/>
      <c r="AA5" s="2402"/>
      <c r="AB5" s="2402"/>
      <c r="AC5" s="2402"/>
      <c r="AD5" s="2403"/>
      <c r="AE5" s="2362"/>
      <c r="AF5" s="1638"/>
      <c r="AG5" s="1638"/>
      <c r="AH5" s="1638"/>
      <c r="AI5" s="1639"/>
      <c r="AJ5" s="2401"/>
      <c r="AK5" s="2402"/>
      <c r="AL5" s="2402"/>
      <c r="AM5" s="2402"/>
      <c r="AN5" s="2403"/>
      <c r="AO5" s="2362"/>
      <c r="AP5" s="1638"/>
      <c r="AQ5" s="1638"/>
      <c r="AR5" s="1638"/>
      <c r="AS5" s="1639"/>
      <c r="AT5" s="2362"/>
      <c r="AU5" s="1638"/>
      <c r="AV5" s="1638"/>
      <c r="AW5" s="1638"/>
      <c r="AX5" s="1639"/>
      <c r="AY5" s="2362"/>
      <c r="AZ5" s="1638"/>
      <c r="BA5" s="1638"/>
      <c r="BB5" s="1638"/>
      <c r="BC5" s="1639"/>
      <c r="BD5" s="2401"/>
      <c r="BE5" s="2402"/>
      <c r="BF5" s="2402"/>
      <c r="BG5" s="2402"/>
      <c r="BH5" s="2403"/>
      <c r="BI5" s="2401"/>
      <c r="BJ5" s="2402"/>
      <c r="BK5" s="2402"/>
      <c r="BL5" s="2402"/>
      <c r="BM5" s="2403"/>
      <c r="BN5" s="1794"/>
      <c r="BO5" s="1795"/>
      <c r="BP5" s="1795"/>
      <c r="BQ5" s="1795"/>
      <c r="BR5" s="1796"/>
    </row>
    <row r="6" spans="1:83" s="22" customFormat="1" ht="111.75" customHeight="1" x14ac:dyDescent="1.35">
      <c r="A6" s="2092" t="s">
        <v>266</v>
      </c>
      <c r="B6" s="588">
        <v>71</v>
      </c>
      <c r="C6" s="589"/>
      <c r="D6" s="589"/>
      <c r="E6" s="590"/>
      <c r="F6" s="2092" t="s">
        <v>266</v>
      </c>
      <c r="G6" s="588">
        <v>72</v>
      </c>
      <c r="H6" s="589"/>
      <c r="I6" s="589"/>
      <c r="J6" s="590"/>
      <c r="K6" s="2092" t="s">
        <v>266</v>
      </c>
      <c r="L6" s="588">
        <v>73</v>
      </c>
      <c r="M6" s="589"/>
      <c r="N6" s="589"/>
      <c r="O6" s="590"/>
      <c r="P6" s="1898" t="s">
        <v>490</v>
      </c>
      <c r="Q6" s="588">
        <v>65</v>
      </c>
      <c r="R6" s="589"/>
      <c r="S6" s="589"/>
      <c r="T6" s="590"/>
      <c r="U6" s="1898" t="s">
        <v>490</v>
      </c>
      <c r="V6" s="588">
        <v>66</v>
      </c>
      <c r="W6" s="589"/>
      <c r="X6" s="589"/>
      <c r="Y6" s="590"/>
      <c r="Z6" s="1898" t="s">
        <v>490</v>
      </c>
      <c r="AA6" s="588">
        <v>74</v>
      </c>
      <c r="AB6" s="589"/>
      <c r="AC6" s="589"/>
      <c r="AD6" s="590"/>
      <c r="AE6" s="1898" t="s">
        <v>490</v>
      </c>
      <c r="AF6" s="588">
        <v>75</v>
      </c>
      <c r="AG6" s="589"/>
      <c r="AH6" s="589"/>
      <c r="AI6" s="590"/>
      <c r="AJ6" s="1898" t="s">
        <v>490</v>
      </c>
      <c r="AK6" s="588">
        <v>76</v>
      </c>
      <c r="AL6" s="589"/>
      <c r="AM6" s="589"/>
      <c r="AN6" s="590"/>
      <c r="AO6" s="1898" t="s">
        <v>490</v>
      </c>
      <c r="AP6" s="588">
        <v>77</v>
      </c>
      <c r="AQ6" s="589"/>
      <c r="AR6" s="589"/>
      <c r="AS6" s="590"/>
      <c r="AT6" s="2356" t="s">
        <v>516</v>
      </c>
      <c r="AU6" s="588">
        <v>84</v>
      </c>
      <c r="AV6" s="589"/>
      <c r="AW6" s="589"/>
      <c r="AX6" s="590"/>
      <c r="AY6" s="2356" t="s">
        <v>516</v>
      </c>
      <c r="AZ6" s="588">
        <v>85</v>
      </c>
      <c r="BA6" s="589"/>
      <c r="BB6" s="589"/>
      <c r="BC6" s="590"/>
      <c r="BD6" s="2356" t="s">
        <v>516</v>
      </c>
      <c r="BE6" s="588">
        <v>86</v>
      </c>
      <c r="BF6" s="589"/>
      <c r="BG6" s="589"/>
      <c r="BH6" s="590"/>
      <c r="BI6" s="2356" t="s">
        <v>516</v>
      </c>
      <c r="BJ6" s="588">
        <v>100</v>
      </c>
      <c r="BK6" s="589"/>
      <c r="BL6" s="589"/>
      <c r="BM6" s="590"/>
      <c r="BN6" s="2389" t="s">
        <v>491</v>
      </c>
      <c r="BO6" s="588">
        <v>18</v>
      </c>
      <c r="BP6" s="589"/>
      <c r="BQ6" s="589"/>
      <c r="BR6" s="590"/>
    </row>
    <row r="7" spans="1:83" ht="50.25" customHeight="1" thickBot="1" x14ac:dyDescent="0.3">
      <c r="A7" s="2093"/>
      <c r="B7" s="61">
        <v>1.7270000000000001</v>
      </c>
      <c r="C7" s="62" t="s">
        <v>113</v>
      </c>
      <c r="D7" s="63"/>
      <c r="E7" s="64" t="s">
        <v>114</v>
      </c>
      <c r="F7" s="2093"/>
      <c r="G7" s="61">
        <v>1.1938</v>
      </c>
      <c r="H7" s="62" t="s">
        <v>113</v>
      </c>
      <c r="I7" s="63">
        <v>1</v>
      </c>
      <c r="J7" s="64" t="s">
        <v>114</v>
      </c>
      <c r="K7" s="2093"/>
      <c r="L7" s="61">
        <v>9.9999999999999995E-8</v>
      </c>
      <c r="M7" s="62" t="s">
        <v>113</v>
      </c>
      <c r="N7" s="63"/>
      <c r="O7" s="64" t="s">
        <v>114</v>
      </c>
      <c r="P7" s="1899"/>
      <c r="Q7" s="61">
        <v>1.0000000000000001E-18</v>
      </c>
      <c r="R7" s="62" t="s">
        <v>113</v>
      </c>
      <c r="S7" s="63"/>
      <c r="T7" s="64" t="s">
        <v>114</v>
      </c>
      <c r="U7" s="1899"/>
      <c r="V7" s="61">
        <v>1E-13</v>
      </c>
      <c r="W7" s="62" t="s">
        <v>113</v>
      </c>
      <c r="X7" s="63">
        <v>1</v>
      </c>
      <c r="Y7" s="64" t="s">
        <v>114</v>
      </c>
      <c r="Z7" s="1899"/>
      <c r="AA7" s="61">
        <v>9.9999999999999998E-13</v>
      </c>
      <c r="AB7" s="62" t="s">
        <v>113</v>
      </c>
      <c r="AC7" s="63"/>
      <c r="AD7" s="64" t="s">
        <v>114</v>
      </c>
      <c r="AE7" s="1899"/>
      <c r="AF7" s="61">
        <v>9.9999999999999994E-12</v>
      </c>
      <c r="AG7" s="62" t="s">
        <v>113</v>
      </c>
      <c r="AH7" s="63"/>
      <c r="AI7" s="64" t="s">
        <v>114</v>
      </c>
      <c r="AJ7" s="1899"/>
      <c r="AK7" s="61">
        <v>0.73599999999999999</v>
      </c>
      <c r="AL7" s="62" t="s">
        <v>113</v>
      </c>
      <c r="AM7" s="63"/>
      <c r="AN7" s="64" t="s">
        <v>114</v>
      </c>
      <c r="AO7" s="1899"/>
      <c r="AP7" s="61">
        <v>1.0000000000000001E-9</v>
      </c>
      <c r="AQ7" s="62" t="s">
        <v>113</v>
      </c>
      <c r="AR7" s="63"/>
      <c r="AS7" s="64" t="s">
        <v>114</v>
      </c>
      <c r="AT7" s="2357"/>
      <c r="AU7" s="61">
        <v>9.9999999999999995E-7</v>
      </c>
      <c r="AV7" s="62" t="s">
        <v>113</v>
      </c>
      <c r="AW7" s="63"/>
      <c r="AX7" s="64" t="s">
        <v>114</v>
      </c>
      <c r="AY7" s="2357"/>
      <c r="AZ7" s="61">
        <v>1.0000000000000001E-9</v>
      </c>
      <c r="BA7" s="62" t="s">
        <v>113</v>
      </c>
      <c r="BB7" s="63"/>
      <c r="BC7" s="64" t="s">
        <v>114</v>
      </c>
      <c r="BD7" s="2357"/>
      <c r="BE7" s="61">
        <v>9.9999999999999995E-7</v>
      </c>
      <c r="BF7" s="62" t="s">
        <v>113</v>
      </c>
      <c r="BG7" s="63"/>
      <c r="BH7" s="64" t="s">
        <v>114</v>
      </c>
      <c r="BI7" s="2357"/>
      <c r="BJ7" s="61">
        <v>1.0000000000000001E-17</v>
      </c>
      <c r="BK7" s="62" t="s">
        <v>113</v>
      </c>
      <c r="BL7" s="63"/>
      <c r="BM7" s="64" t="s">
        <v>114</v>
      </c>
      <c r="BN7" s="2390"/>
      <c r="BO7" s="61">
        <v>1E-8</v>
      </c>
      <c r="BP7" s="62" t="s">
        <v>113</v>
      </c>
      <c r="BQ7" s="63"/>
      <c r="BR7" s="64" t="s">
        <v>114</v>
      </c>
      <c r="BW7" s="27"/>
      <c r="BX7" s="27"/>
      <c r="BY7" s="27"/>
      <c r="BZ7" s="27"/>
      <c r="CA7" s="27"/>
      <c r="CB7" s="27"/>
      <c r="CC7" s="27"/>
      <c r="CD7" s="27"/>
      <c r="CE7" s="27"/>
    </row>
    <row r="8" spans="1:83" ht="44.25" customHeight="1" thickTop="1" x14ac:dyDescent="0.25">
      <c r="A8" s="2391" t="s">
        <v>110</v>
      </c>
      <c r="B8" s="2392"/>
      <c r="C8" s="2393">
        <f t="shared" ref="C8" si="5">B13/((68*3.1415/64)*(40/3.281))</f>
        <v>2.4574247970714625E-8</v>
      </c>
      <c r="D8" s="2393"/>
      <c r="E8" s="2394"/>
      <c r="F8" s="2391" t="s">
        <v>110</v>
      </c>
      <c r="G8" s="2392"/>
      <c r="H8" s="2393">
        <f t="shared" ref="H8" si="6">G13/((68*3.1415/64)*(40/3.281))</f>
        <v>6.4291147540983598E-2</v>
      </c>
      <c r="I8" s="2393"/>
      <c r="J8" s="2394"/>
      <c r="K8" s="2391" t="s">
        <v>110</v>
      </c>
      <c r="L8" s="2392"/>
      <c r="M8" s="2393">
        <f t="shared" ref="M8" si="7">L13/((68*3.1415/64)*(40/3.281))</f>
        <v>2.4574247970714623E-13</v>
      </c>
      <c r="N8" s="2393"/>
      <c r="O8" s="2394"/>
      <c r="P8" s="2391" t="s">
        <v>110</v>
      </c>
      <c r="Q8" s="2392"/>
      <c r="R8" s="2393">
        <f t="shared" ref="R8" si="8">Q13/((68*3.1415/64)*(40/3.281))</f>
        <v>2.4574247970714623E-14</v>
      </c>
      <c r="S8" s="2393"/>
      <c r="T8" s="2394"/>
      <c r="U8" s="2391" t="s">
        <v>110</v>
      </c>
      <c r="V8" s="2392"/>
      <c r="W8" s="2393">
        <f t="shared" ref="W8" si="9">V13/((68*3.1415/64)*(40/3.281))</f>
        <v>2.4574247970714627E-10</v>
      </c>
      <c r="X8" s="2393"/>
      <c r="Y8" s="2394"/>
      <c r="Z8" s="2391" t="s">
        <v>110</v>
      </c>
      <c r="AA8" s="2392"/>
      <c r="AB8" s="2393">
        <f t="shared" ref="AB8" si="10">AA13/((68*3.1415/64)*(40/3.281))</f>
        <v>2.4574247970714626E-11</v>
      </c>
      <c r="AC8" s="2393"/>
      <c r="AD8" s="2394"/>
      <c r="AE8" s="2391" t="s">
        <v>110</v>
      </c>
      <c r="AF8" s="2392"/>
      <c r="AG8" s="2393">
        <f t="shared" ref="AG8" si="11">AF13/((68*3.1415/64)*(40/3.281))</f>
        <v>2.4574247970714627E-15</v>
      </c>
      <c r="AH8" s="2393"/>
      <c r="AI8" s="2394"/>
      <c r="AJ8" s="2391" t="s">
        <v>110</v>
      </c>
      <c r="AK8" s="2392"/>
      <c r="AL8" s="2393">
        <f t="shared" ref="AL8" si="12">AK13/((68*3.1415/64)*(40/3.281))</f>
        <v>2.4574247970714628E-17</v>
      </c>
      <c r="AM8" s="2393"/>
      <c r="AN8" s="2394"/>
      <c r="AO8" s="2391" t="s">
        <v>110</v>
      </c>
      <c r="AP8" s="2392"/>
      <c r="AQ8" s="2393">
        <f t="shared" ref="AQ8" si="13">AP13/((68*3.1415/64)*(40/3.281))</f>
        <v>1.5604647461403788E-2</v>
      </c>
      <c r="AR8" s="2393"/>
      <c r="AS8" s="2394"/>
      <c r="AT8" s="2391" t="s">
        <v>110</v>
      </c>
      <c r="AU8" s="2392"/>
      <c r="AV8" s="2393">
        <f t="shared" ref="AV8" si="14">AU13/((68*3.1415/64)*(40/3.281))</f>
        <v>2.4574247970714623E-18</v>
      </c>
      <c r="AW8" s="2393"/>
      <c r="AX8" s="2394"/>
      <c r="AY8" s="2391" t="s">
        <v>110</v>
      </c>
      <c r="AZ8" s="2392"/>
      <c r="BA8" s="2393">
        <f t="shared" ref="BA8" si="15">AZ13/((68*3.1415/64)*(40/3.281))</f>
        <v>2.4574247970714626E-12</v>
      </c>
      <c r="BB8" s="2393"/>
      <c r="BC8" s="2394"/>
      <c r="BD8" s="2391" t="s">
        <v>110</v>
      </c>
      <c r="BE8" s="2392"/>
      <c r="BF8" s="2393">
        <f t="shared" ref="BF8" si="16">BE13/((68*3.1415/64)*(40/3.281))</f>
        <v>2.4574247970714623E-14</v>
      </c>
      <c r="BG8" s="2393"/>
      <c r="BH8" s="2394"/>
      <c r="BI8" s="2391" t="s">
        <v>110</v>
      </c>
      <c r="BJ8" s="2392"/>
      <c r="BK8" s="2393">
        <f t="shared" ref="BK8" si="17">BJ13/((68*3.1415/64)*(40/3.281))</f>
        <v>2.4574247970714624E-9</v>
      </c>
      <c r="BL8" s="2393"/>
      <c r="BM8" s="2394"/>
      <c r="BN8" s="2385" t="s">
        <v>110</v>
      </c>
      <c r="BO8" s="2386"/>
      <c r="BP8" s="2387">
        <f>BO13/((68*3.1415/64)*(45/3.281))</f>
        <v>3.3289914584328081E-3</v>
      </c>
      <c r="BQ8" s="2387"/>
      <c r="BR8" s="2388"/>
    </row>
    <row r="9" spans="1:83" ht="6.75" customHeight="1" x14ac:dyDescent="0.25">
      <c r="A9" s="1791" t="s">
        <v>489</v>
      </c>
      <c r="B9" s="1792"/>
      <c r="C9" s="1792"/>
      <c r="D9" s="1792"/>
      <c r="E9" s="1793"/>
      <c r="F9" s="1791" t="s">
        <v>489</v>
      </c>
      <c r="G9" s="1792"/>
      <c r="H9" s="1792"/>
      <c r="I9" s="1792"/>
      <c r="J9" s="1793"/>
      <c r="K9" s="1791" t="s">
        <v>489</v>
      </c>
      <c r="L9" s="1792"/>
      <c r="M9" s="1792"/>
      <c r="N9" s="1792"/>
      <c r="O9" s="1793"/>
      <c r="P9" s="1791" t="s">
        <v>489</v>
      </c>
      <c r="Q9" s="1792"/>
      <c r="R9" s="1792"/>
      <c r="S9" s="1792"/>
      <c r="T9" s="1793"/>
      <c r="U9" s="1791" t="s">
        <v>489</v>
      </c>
      <c r="V9" s="1792"/>
      <c r="W9" s="1792"/>
      <c r="X9" s="1792"/>
      <c r="Y9" s="1793"/>
      <c r="Z9" s="1791" t="s">
        <v>489</v>
      </c>
      <c r="AA9" s="1792"/>
      <c r="AB9" s="1792"/>
      <c r="AC9" s="1792"/>
      <c r="AD9" s="1793"/>
      <c r="AE9" s="1791" t="s">
        <v>489</v>
      </c>
      <c r="AF9" s="1792"/>
      <c r="AG9" s="1792"/>
      <c r="AH9" s="1792"/>
      <c r="AI9" s="1793"/>
      <c r="AJ9" s="1791" t="s">
        <v>489</v>
      </c>
      <c r="AK9" s="1792"/>
      <c r="AL9" s="1792"/>
      <c r="AM9" s="1792"/>
      <c r="AN9" s="1793"/>
      <c r="AO9" s="1791" t="s">
        <v>489</v>
      </c>
      <c r="AP9" s="1792"/>
      <c r="AQ9" s="1792"/>
      <c r="AR9" s="1792"/>
      <c r="AS9" s="1793"/>
      <c r="AT9" s="1791" t="s">
        <v>489</v>
      </c>
      <c r="AU9" s="1792"/>
      <c r="AV9" s="1792"/>
      <c r="AW9" s="1792"/>
      <c r="AX9" s="1793"/>
      <c r="AY9" s="1791" t="s">
        <v>489</v>
      </c>
      <c r="AZ9" s="1792"/>
      <c r="BA9" s="1792"/>
      <c r="BB9" s="1792"/>
      <c r="BC9" s="1793"/>
      <c r="BD9" s="1791" t="s">
        <v>489</v>
      </c>
      <c r="BE9" s="1792"/>
      <c r="BF9" s="1792"/>
      <c r="BG9" s="1792"/>
      <c r="BH9" s="1793"/>
      <c r="BI9" s="1791" t="s">
        <v>489</v>
      </c>
      <c r="BJ9" s="1792"/>
      <c r="BK9" s="1792"/>
      <c r="BL9" s="1792"/>
      <c r="BM9" s="1793"/>
      <c r="BN9" s="1791" t="s">
        <v>489</v>
      </c>
      <c r="BO9" s="1792"/>
      <c r="BP9" s="1792"/>
      <c r="BQ9" s="1792"/>
      <c r="BR9" s="1793"/>
    </row>
    <row r="10" spans="1:83" ht="15.75" customHeight="1" x14ac:dyDescent="0.25">
      <c r="A10" s="2363"/>
      <c r="B10" s="2364"/>
      <c r="C10" s="2364"/>
      <c r="D10" s="2364"/>
      <c r="E10" s="2365"/>
      <c r="F10" s="2363"/>
      <c r="G10" s="2364"/>
      <c r="H10" s="2364"/>
      <c r="I10" s="2364"/>
      <c r="J10" s="2365"/>
      <c r="K10" s="2363"/>
      <c r="L10" s="2364"/>
      <c r="M10" s="2364"/>
      <c r="N10" s="2364"/>
      <c r="O10" s="2365"/>
      <c r="P10" s="2363"/>
      <c r="Q10" s="2364"/>
      <c r="R10" s="2364"/>
      <c r="S10" s="2364"/>
      <c r="T10" s="2365"/>
      <c r="U10" s="2363"/>
      <c r="V10" s="2364"/>
      <c r="W10" s="2364"/>
      <c r="X10" s="2364"/>
      <c r="Y10" s="2365"/>
      <c r="Z10" s="2363"/>
      <c r="AA10" s="2364"/>
      <c r="AB10" s="2364"/>
      <c r="AC10" s="2364"/>
      <c r="AD10" s="2365"/>
      <c r="AE10" s="2363"/>
      <c r="AF10" s="2364"/>
      <c r="AG10" s="2364"/>
      <c r="AH10" s="2364"/>
      <c r="AI10" s="2365"/>
      <c r="AJ10" s="2363"/>
      <c r="AK10" s="2364"/>
      <c r="AL10" s="2364"/>
      <c r="AM10" s="2364"/>
      <c r="AN10" s="2365"/>
      <c r="AO10" s="2363"/>
      <c r="AP10" s="2364"/>
      <c r="AQ10" s="2364"/>
      <c r="AR10" s="2364"/>
      <c r="AS10" s="2365"/>
      <c r="AT10" s="2363"/>
      <c r="AU10" s="2364"/>
      <c r="AV10" s="2364"/>
      <c r="AW10" s="2364"/>
      <c r="AX10" s="2365"/>
      <c r="AY10" s="2363"/>
      <c r="AZ10" s="2364"/>
      <c r="BA10" s="2364"/>
      <c r="BB10" s="2364"/>
      <c r="BC10" s="2365"/>
      <c r="BD10" s="2363"/>
      <c r="BE10" s="2364"/>
      <c r="BF10" s="2364"/>
      <c r="BG10" s="2364"/>
      <c r="BH10" s="2365"/>
      <c r="BI10" s="2363"/>
      <c r="BJ10" s="2364"/>
      <c r="BK10" s="2364"/>
      <c r="BL10" s="2364"/>
      <c r="BM10" s="2365"/>
      <c r="BN10" s="2363"/>
      <c r="BO10" s="2364"/>
      <c r="BP10" s="2364"/>
      <c r="BQ10" s="2364"/>
      <c r="BR10" s="2365"/>
    </row>
    <row r="11" spans="1:83" ht="6" customHeight="1" x14ac:dyDescent="0.25">
      <c r="A11" s="1794"/>
      <c r="B11" s="1795"/>
      <c r="C11" s="1795"/>
      <c r="D11" s="1795"/>
      <c r="E11" s="1796"/>
      <c r="F11" s="1794"/>
      <c r="G11" s="1795"/>
      <c r="H11" s="1795"/>
      <c r="I11" s="1795"/>
      <c r="J11" s="1796"/>
      <c r="K11" s="1794"/>
      <c r="L11" s="1795"/>
      <c r="M11" s="1795"/>
      <c r="N11" s="1795"/>
      <c r="O11" s="1796"/>
      <c r="P11" s="1794"/>
      <c r="Q11" s="1795"/>
      <c r="R11" s="1795"/>
      <c r="S11" s="1795"/>
      <c r="T11" s="1796"/>
      <c r="U11" s="1794"/>
      <c r="V11" s="1795"/>
      <c r="W11" s="1795"/>
      <c r="X11" s="1795"/>
      <c r="Y11" s="1796"/>
      <c r="Z11" s="1794"/>
      <c r="AA11" s="1795"/>
      <c r="AB11" s="1795"/>
      <c r="AC11" s="1795"/>
      <c r="AD11" s="1796"/>
      <c r="AE11" s="1794"/>
      <c r="AF11" s="1795"/>
      <c r="AG11" s="1795"/>
      <c r="AH11" s="1795"/>
      <c r="AI11" s="1796"/>
      <c r="AJ11" s="1794"/>
      <c r="AK11" s="1795"/>
      <c r="AL11" s="1795"/>
      <c r="AM11" s="1795"/>
      <c r="AN11" s="1796"/>
      <c r="AO11" s="1794"/>
      <c r="AP11" s="1795"/>
      <c r="AQ11" s="1795"/>
      <c r="AR11" s="1795"/>
      <c r="AS11" s="1796"/>
      <c r="AT11" s="1794"/>
      <c r="AU11" s="1795"/>
      <c r="AV11" s="1795"/>
      <c r="AW11" s="1795"/>
      <c r="AX11" s="1796"/>
      <c r="AY11" s="1794"/>
      <c r="AZ11" s="1795"/>
      <c r="BA11" s="1795"/>
      <c r="BB11" s="1795"/>
      <c r="BC11" s="1796"/>
      <c r="BD11" s="1794"/>
      <c r="BE11" s="1795"/>
      <c r="BF11" s="1795"/>
      <c r="BG11" s="1795"/>
      <c r="BH11" s="1796"/>
      <c r="BI11" s="1794"/>
      <c r="BJ11" s="1795"/>
      <c r="BK11" s="1795"/>
      <c r="BL11" s="1795"/>
      <c r="BM11" s="1796"/>
      <c r="BN11" s="1794"/>
      <c r="BO11" s="1795"/>
      <c r="BP11" s="1795"/>
      <c r="BQ11" s="1795"/>
      <c r="BR11" s="1796"/>
    </row>
    <row r="12" spans="1:83" s="22" customFormat="1" ht="111.75" customHeight="1" x14ac:dyDescent="1.35">
      <c r="A12" s="2389" t="s">
        <v>491</v>
      </c>
      <c r="B12" s="588">
        <v>19</v>
      </c>
      <c r="C12" s="589"/>
      <c r="D12" s="589"/>
      <c r="E12" s="590"/>
      <c r="F12" s="2389" t="s">
        <v>491</v>
      </c>
      <c r="G12" s="588">
        <v>20</v>
      </c>
      <c r="H12" s="589"/>
      <c r="I12" s="589"/>
      <c r="J12" s="590"/>
      <c r="K12" s="2389" t="s">
        <v>491</v>
      </c>
      <c r="L12" s="588">
        <v>21</v>
      </c>
      <c r="M12" s="589"/>
      <c r="N12" s="589"/>
      <c r="O12" s="590"/>
      <c r="P12" s="2389" t="s">
        <v>491</v>
      </c>
      <c r="Q12" s="588">
        <v>22</v>
      </c>
      <c r="R12" s="589"/>
      <c r="S12" s="589"/>
      <c r="T12" s="590"/>
      <c r="U12" s="2389" t="s">
        <v>491</v>
      </c>
      <c r="V12" s="588">
        <v>37</v>
      </c>
      <c r="W12" s="589"/>
      <c r="X12" s="589"/>
      <c r="Y12" s="590"/>
      <c r="Z12" s="2389" t="s">
        <v>491</v>
      </c>
      <c r="AA12" s="588">
        <v>38</v>
      </c>
      <c r="AB12" s="589"/>
      <c r="AC12" s="589"/>
      <c r="AD12" s="590"/>
      <c r="AE12" s="2389" t="s">
        <v>491</v>
      </c>
      <c r="AF12" s="588">
        <v>39</v>
      </c>
      <c r="AG12" s="589"/>
      <c r="AH12" s="589"/>
      <c r="AI12" s="590"/>
      <c r="AJ12" s="2389" t="s">
        <v>491</v>
      </c>
      <c r="AK12" s="588">
        <v>40</v>
      </c>
      <c r="AL12" s="589"/>
      <c r="AM12" s="589"/>
      <c r="AN12" s="590"/>
      <c r="AO12" s="2389" t="s">
        <v>491</v>
      </c>
      <c r="AP12" s="588">
        <v>41</v>
      </c>
      <c r="AQ12" s="589"/>
      <c r="AR12" s="589"/>
      <c r="AS12" s="590"/>
      <c r="AT12" s="2389" t="s">
        <v>491</v>
      </c>
      <c r="AU12" s="588">
        <v>42</v>
      </c>
      <c r="AV12" s="589"/>
      <c r="AW12" s="589"/>
      <c r="AX12" s="590"/>
      <c r="AY12" s="2389" t="s">
        <v>491</v>
      </c>
      <c r="AZ12" s="588">
        <v>43</v>
      </c>
      <c r="BA12" s="589"/>
      <c r="BB12" s="589"/>
      <c r="BC12" s="590"/>
      <c r="BD12" s="2389" t="s">
        <v>491</v>
      </c>
      <c r="BE12" s="588">
        <v>44</v>
      </c>
      <c r="BF12" s="589"/>
      <c r="BG12" s="589"/>
      <c r="BH12" s="590"/>
      <c r="BI12" s="2389" t="s">
        <v>491</v>
      </c>
      <c r="BJ12" s="588">
        <v>45</v>
      </c>
      <c r="BK12" s="589"/>
      <c r="BL12" s="589"/>
      <c r="BM12" s="590"/>
      <c r="BN12" s="2383" t="s">
        <v>133</v>
      </c>
      <c r="BO12" s="588">
        <v>12</v>
      </c>
      <c r="BP12" s="589"/>
      <c r="BQ12" s="589"/>
      <c r="BR12" s="590"/>
    </row>
    <row r="13" spans="1:83" ht="50.25" customHeight="1" thickBot="1" x14ac:dyDescent="0.3">
      <c r="A13" s="2390"/>
      <c r="B13" s="61">
        <v>9.9999999999999995E-7</v>
      </c>
      <c r="C13" s="62" t="s">
        <v>113</v>
      </c>
      <c r="D13" s="63"/>
      <c r="E13" s="64" t="s">
        <v>114</v>
      </c>
      <c r="F13" s="2390"/>
      <c r="G13" s="61">
        <v>2.6162000000000001</v>
      </c>
      <c r="H13" s="62" t="s">
        <v>113</v>
      </c>
      <c r="I13" s="63">
        <v>1</v>
      </c>
      <c r="J13" s="64" t="s">
        <v>114</v>
      </c>
      <c r="K13" s="2390"/>
      <c r="L13" s="61">
        <v>9.9999999999999994E-12</v>
      </c>
      <c r="M13" s="62" t="s">
        <v>113</v>
      </c>
      <c r="N13" s="63"/>
      <c r="O13" s="64" t="s">
        <v>114</v>
      </c>
      <c r="P13" s="2390"/>
      <c r="Q13" s="61">
        <v>9.9999999999999998E-13</v>
      </c>
      <c r="R13" s="62" t="s">
        <v>113</v>
      </c>
      <c r="S13" s="63"/>
      <c r="T13" s="64" t="s">
        <v>114</v>
      </c>
      <c r="U13" s="2390"/>
      <c r="V13" s="61">
        <v>1E-8</v>
      </c>
      <c r="W13" s="62" t="s">
        <v>113</v>
      </c>
      <c r="X13" s="63"/>
      <c r="Y13" s="64" t="s">
        <v>114</v>
      </c>
      <c r="Z13" s="2390"/>
      <c r="AA13" s="61">
        <v>1.0000000000000001E-9</v>
      </c>
      <c r="AB13" s="62" t="s">
        <v>113</v>
      </c>
      <c r="AC13" s="63"/>
      <c r="AD13" s="64" t="s">
        <v>114</v>
      </c>
      <c r="AE13" s="2390"/>
      <c r="AF13" s="61">
        <v>1E-13</v>
      </c>
      <c r="AG13" s="62" t="s">
        <v>113</v>
      </c>
      <c r="AH13" s="63"/>
      <c r="AI13" s="64" t="s">
        <v>114</v>
      </c>
      <c r="AJ13" s="2390"/>
      <c r="AK13" s="61">
        <v>1.0000000000000001E-15</v>
      </c>
      <c r="AL13" s="62" t="s">
        <v>113</v>
      </c>
      <c r="AM13" s="63"/>
      <c r="AN13" s="64" t="s">
        <v>114</v>
      </c>
      <c r="AO13" s="2390"/>
      <c r="AP13" s="61">
        <v>0.63500000000000001</v>
      </c>
      <c r="AQ13" s="62" t="s">
        <v>113</v>
      </c>
      <c r="AR13" s="63">
        <v>1</v>
      </c>
      <c r="AS13" s="64" t="s">
        <v>114</v>
      </c>
      <c r="AT13" s="2390"/>
      <c r="AU13" s="61">
        <v>9.9999999999999998E-17</v>
      </c>
      <c r="AV13" s="62" t="s">
        <v>113</v>
      </c>
      <c r="AW13" s="63"/>
      <c r="AX13" s="64" t="s">
        <v>114</v>
      </c>
      <c r="AY13" s="2390"/>
      <c r="AZ13" s="61">
        <v>1E-10</v>
      </c>
      <c r="BA13" s="62" t="s">
        <v>113</v>
      </c>
      <c r="BB13" s="63"/>
      <c r="BC13" s="64" t="s">
        <v>114</v>
      </c>
      <c r="BD13" s="2390"/>
      <c r="BE13" s="61">
        <v>9.9999999999999998E-13</v>
      </c>
      <c r="BF13" s="62" t="s">
        <v>113</v>
      </c>
      <c r="BG13" s="63"/>
      <c r="BH13" s="64" t="s">
        <v>114</v>
      </c>
      <c r="BI13" s="2390"/>
      <c r="BJ13" s="61">
        <v>9.9999999999999995E-8</v>
      </c>
      <c r="BK13" s="62" t="s">
        <v>113</v>
      </c>
      <c r="BL13" s="63"/>
      <c r="BM13" s="64" t="s">
        <v>114</v>
      </c>
      <c r="BN13" s="2384"/>
      <c r="BO13" s="61">
        <v>0.15240000000000001</v>
      </c>
      <c r="BP13" s="62" t="s">
        <v>113</v>
      </c>
      <c r="BQ13" s="63"/>
      <c r="BR13" s="64" t="s">
        <v>114</v>
      </c>
      <c r="BW13" s="27"/>
      <c r="BX13" s="27"/>
      <c r="BY13" s="27"/>
      <c r="BZ13" s="27"/>
      <c r="CA13" s="27"/>
      <c r="CB13" s="27"/>
      <c r="CC13" s="27"/>
      <c r="CD13" s="27"/>
      <c r="CE13" s="27"/>
    </row>
    <row r="14" spans="1:83" ht="42.75" customHeight="1" thickTop="1" x14ac:dyDescent="0.25">
      <c r="A14" s="2385" t="s">
        <v>110</v>
      </c>
      <c r="B14" s="2386"/>
      <c r="C14" s="2387">
        <f t="shared" ref="C14" si="18">B19/((68*3.1415/64)*(45/3.281))</f>
        <v>2.1843775973968559E-7</v>
      </c>
      <c r="D14" s="2387"/>
      <c r="E14" s="2388"/>
      <c r="F14" s="2385" t="s">
        <v>110</v>
      </c>
      <c r="G14" s="2386"/>
      <c r="H14" s="2387">
        <f t="shared" ref="H14" si="19">G19/((68*3.1415/64)*(45/3.281))</f>
        <v>3.3289914584328081E-3</v>
      </c>
      <c r="I14" s="2387"/>
      <c r="J14" s="2388"/>
      <c r="K14" s="2385" t="s">
        <v>110</v>
      </c>
      <c r="L14" s="2386"/>
      <c r="M14" s="2387">
        <f t="shared" ref="M14" si="20">L19/((68*3.1415/64)*(45/3.281))</f>
        <v>2.1843775973968555E-8</v>
      </c>
      <c r="N14" s="2387"/>
      <c r="O14" s="2388"/>
      <c r="P14" s="2385" t="s">
        <v>110</v>
      </c>
      <c r="Q14" s="2386"/>
      <c r="R14" s="2387">
        <f t="shared" ref="R14" si="21">Q19/((68*3.1415/64)*(45/3.281))</f>
        <v>2.1843775973968556E-10</v>
      </c>
      <c r="S14" s="2387"/>
      <c r="T14" s="2388"/>
      <c r="U14" s="2385" t="s">
        <v>110</v>
      </c>
      <c r="V14" s="2386"/>
      <c r="W14" s="2387">
        <f t="shared" ref="W14" si="22">V19/((68*3.1415/64)*(45/3.281))</f>
        <v>2.1843775973968556E-10</v>
      </c>
      <c r="X14" s="2387"/>
      <c r="Y14" s="2388"/>
      <c r="Z14" s="2385" t="s">
        <v>110</v>
      </c>
      <c r="AA14" s="2386"/>
      <c r="AB14" s="2387">
        <f t="shared" ref="AB14" si="23">AA19/((68*3.1415/64)*(45/3.281))</f>
        <v>1.7754621111641642E-2</v>
      </c>
      <c r="AC14" s="2387"/>
      <c r="AD14" s="2388"/>
      <c r="AE14" s="2385" t="s">
        <v>110</v>
      </c>
      <c r="AF14" s="2386"/>
      <c r="AG14" s="2387">
        <f t="shared" ref="AG14" si="24">AF19/((68*3.1415/64)*(45/3.281))</f>
        <v>2.1843775973968556E-12</v>
      </c>
      <c r="AH14" s="2387"/>
      <c r="AI14" s="2388"/>
      <c r="AJ14" s="2385" t="s">
        <v>110</v>
      </c>
      <c r="AK14" s="2386"/>
      <c r="AL14" s="2387">
        <f t="shared" ref="AL14" si="25">AK19/((68*3.1415/64)*(45/3.281))</f>
        <v>2.1843775973968556E-10</v>
      </c>
      <c r="AM14" s="2387"/>
      <c r="AN14" s="2388"/>
      <c r="AO14" s="2385" t="s">
        <v>110</v>
      </c>
      <c r="AP14" s="2386"/>
      <c r="AQ14" s="2387">
        <f t="shared" ref="AQ14" si="26">AP19/((68*3.1415/64)*(45/3.281))</f>
        <v>2.1843775973968556E-10</v>
      </c>
      <c r="AR14" s="2387"/>
      <c r="AS14" s="2388"/>
      <c r="AT14" s="2385" t="s">
        <v>110</v>
      </c>
      <c r="AU14" s="2386"/>
      <c r="AV14" s="2387">
        <f t="shared" ref="AV14" si="27">AU19/((68*3.1415/64)*(45/3.281))</f>
        <v>2.7741595486940069E-2</v>
      </c>
      <c r="AW14" s="2387"/>
      <c r="AX14" s="2388"/>
      <c r="AY14" s="2385" t="s">
        <v>110</v>
      </c>
      <c r="AZ14" s="2386"/>
      <c r="BA14" s="2387">
        <f t="shared" ref="BA14" si="28">AZ19/((68*3.1415/64)*(45/3.281))</f>
        <v>1.5530924717491642E-2</v>
      </c>
      <c r="BB14" s="2387"/>
      <c r="BC14" s="2388"/>
      <c r="BD14" s="2385" t="s">
        <v>110</v>
      </c>
      <c r="BE14" s="2386"/>
      <c r="BF14" s="2387">
        <f t="shared" ref="BF14" si="29">BE19/((68*3.1415/64)*(45/3.281))</f>
        <v>4.7706806727147333E-2</v>
      </c>
      <c r="BG14" s="2387"/>
      <c r="BH14" s="2388"/>
      <c r="BI14" s="2385" t="s">
        <v>110</v>
      </c>
      <c r="BJ14" s="2386"/>
      <c r="BK14" s="2387">
        <f t="shared" ref="BK14" si="30">BJ19/((68*3.1415/64)*(45/3.281))</f>
        <v>2.9406091216156473E-2</v>
      </c>
      <c r="BL14" s="2387"/>
      <c r="BM14" s="2388"/>
      <c r="BN14" s="2385" t="s">
        <v>110</v>
      </c>
      <c r="BO14" s="2386"/>
      <c r="BP14" s="2387">
        <f t="shared" ref="BP14" si="31">BO19/((68*3.1415/64)*(45/3.281))</f>
        <v>2.1843775973968555E-9</v>
      </c>
      <c r="BQ14" s="2387"/>
      <c r="BR14" s="2388"/>
    </row>
    <row r="15" spans="1:83" ht="10.5" customHeight="1" x14ac:dyDescent="0.25">
      <c r="A15" s="1791" t="s">
        <v>489</v>
      </c>
      <c r="B15" s="1792"/>
      <c r="C15" s="1792"/>
      <c r="D15" s="1792"/>
      <c r="E15" s="1793"/>
      <c r="F15" s="1791" t="s">
        <v>489</v>
      </c>
      <c r="G15" s="1792"/>
      <c r="H15" s="1792"/>
      <c r="I15" s="1792"/>
      <c r="J15" s="1793"/>
      <c r="K15" s="1791" t="s">
        <v>489</v>
      </c>
      <c r="L15" s="1792"/>
      <c r="M15" s="1792"/>
      <c r="N15" s="1792"/>
      <c r="O15" s="1793"/>
      <c r="P15" s="1791" t="s">
        <v>489</v>
      </c>
      <c r="Q15" s="1792"/>
      <c r="R15" s="1792"/>
      <c r="S15" s="1792"/>
      <c r="T15" s="1793"/>
      <c r="U15" s="1791" t="s">
        <v>489</v>
      </c>
      <c r="V15" s="1792"/>
      <c r="W15" s="1792"/>
      <c r="X15" s="1792"/>
      <c r="Y15" s="1793"/>
      <c r="Z15" s="1791" t="s">
        <v>489</v>
      </c>
      <c r="AA15" s="1792"/>
      <c r="AB15" s="1792"/>
      <c r="AC15" s="1792"/>
      <c r="AD15" s="1793"/>
      <c r="AE15" s="1791" t="s">
        <v>489</v>
      </c>
      <c r="AF15" s="1792"/>
      <c r="AG15" s="1792"/>
      <c r="AH15" s="1792"/>
      <c r="AI15" s="1793"/>
      <c r="AJ15" s="1791" t="s">
        <v>489</v>
      </c>
      <c r="AK15" s="1792"/>
      <c r="AL15" s="1792"/>
      <c r="AM15" s="1792"/>
      <c r="AN15" s="1793"/>
      <c r="AO15" s="1791" t="s">
        <v>489</v>
      </c>
      <c r="AP15" s="1792"/>
      <c r="AQ15" s="1792"/>
      <c r="AR15" s="1792"/>
      <c r="AS15" s="1793"/>
      <c r="AT15" s="2360" t="s">
        <v>489</v>
      </c>
      <c r="AU15" s="1632"/>
      <c r="AV15" s="1632"/>
      <c r="AW15" s="1632"/>
      <c r="AX15" s="1633"/>
      <c r="AY15" s="2360" t="s">
        <v>489</v>
      </c>
      <c r="AZ15" s="1632"/>
      <c r="BA15" s="1632"/>
      <c r="BB15" s="1632"/>
      <c r="BC15" s="1633"/>
      <c r="BD15" s="2360" t="s">
        <v>489</v>
      </c>
      <c r="BE15" s="1632"/>
      <c r="BF15" s="1632"/>
      <c r="BG15" s="1632"/>
      <c r="BH15" s="1633"/>
      <c r="BI15" s="2360" t="s">
        <v>489</v>
      </c>
      <c r="BJ15" s="1632"/>
      <c r="BK15" s="1632"/>
      <c r="BL15" s="1632"/>
      <c r="BM15" s="1633"/>
      <c r="BN15" s="2360" t="s">
        <v>489</v>
      </c>
      <c r="BO15" s="1632"/>
      <c r="BP15" s="1632"/>
      <c r="BQ15" s="1632"/>
      <c r="BR15" s="1633"/>
    </row>
    <row r="16" spans="1:83" ht="12" customHeight="1" x14ac:dyDescent="0.25">
      <c r="A16" s="2363"/>
      <c r="B16" s="2364"/>
      <c r="C16" s="2364"/>
      <c r="D16" s="2364"/>
      <c r="E16" s="2365"/>
      <c r="F16" s="2363"/>
      <c r="G16" s="2364"/>
      <c r="H16" s="2364"/>
      <c r="I16" s="2364"/>
      <c r="J16" s="2365"/>
      <c r="K16" s="2363"/>
      <c r="L16" s="2364"/>
      <c r="M16" s="2364"/>
      <c r="N16" s="2364"/>
      <c r="O16" s="2365"/>
      <c r="P16" s="2363"/>
      <c r="Q16" s="2364"/>
      <c r="R16" s="2364"/>
      <c r="S16" s="2364"/>
      <c r="T16" s="2365"/>
      <c r="U16" s="2363"/>
      <c r="V16" s="2364"/>
      <c r="W16" s="2364"/>
      <c r="X16" s="2364"/>
      <c r="Y16" s="2365"/>
      <c r="Z16" s="2363"/>
      <c r="AA16" s="2364"/>
      <c r="AB16" s="2364"/>
      <c r="AC16" s="2364"/>
      <c r="AD16" s="2365"/>
      <c r="AE16" s="2363"/>
      <c r="AF16" s="2364"/>
      <c r="AG16" s="2364"/>
      <c r="AH16" s="2364"/>
      <c r="AI16" s="2365"/>
      <c r="AJ16" s="2363"/>
      <c r="AK16" s="2364"/>
      <c r="AL16" s="2364"/>
      <c r="AM16" s="2364"/>
      <c r="AN16" s="2365"/>
      <c r="AO16" s="2363"/>
      <c r="AP16" s="2364"/>
      <c r="AQ16" s="2364"/>
      <c r="AR16" s="2364"/>
      <c r="AS16" s="2365"/>
      <c r="AT16" s="2361"/>
      <c r="AU16" s="1635"/>
      <c r="AV16" s="1635"/>
      <c r="AW16" s="1635"/>
      <c r="AX16" s="1636"/>
      <c r="AY16" s="2361"/>
      <c r="AZ16" s="1635"/>
      <c r="BA16" s="1635"/>
      <c r="BB16" s="1635"/>
      <c r="BC16" s="1636"/>
      <c r="BD16" s="2361"/>
      <c r="BE16" s="1635"/>
      <c r="BF16" s="1635"/>
      <c r="BG16" s="1635"/>
      <c r="BH16" s="1636"/>
      <c r="BI16" s="2361"/>
      <c r="BJ16" s="1635"/>
      <c r="BK16" s="1635"/>
      <c r="BL16" s="1635"/>
      <c r="BM16" s="1636"/>
      <c r="BN16" s="2361"/>
      <c r="BO16" s="1635"/>
      <c r="BP16" s="1635"/>
      <c r="BQ16" s="1635"/>
      <c r="BR16" s="1636"/>
    </row>
    <row r="17" spans="1:138" ht="6" customHeight="1" x14ac:dyDescent="0.25">
      <c r="A17" s="1794"/>
      <c r="B17" s="1795"/>
      <c r="C17" s="1795"/>
      <c r="D17" s="1795"/>
      <c r="E17" s="1796"/>
      <c r="F17" s="1794"/>
      <c r="G17" s="1795"/>
      <c r="H17" s="1795"/>
      <c r="I17" s="1795"/>
      <c r="J17" s="1796"/>
      <c r="K17" s="1794"/>
      <c r="L17" s="1795"/>
      <c r="M17" s="1795"/>
      <c r="N17" s="1795"/>
      <c r="O17" s="1796"/>
      <c r="P17" s="1794"/>
      <c r="Q17" s="1795"/>
      <c r="R17" s="1795"/>
      <c r="S17" s="1795"/>
      <c r="T17" s="1796"/>
      <c r="U17" s="1794"/>
      <c r="V17" s="1795"/>
      <c r="W17" s="1795"/>
      <c r="X17" s="1795"/>
      <c r="Y17" s="1796"/>
      <c r="Z17" s="1794"/>
      <c r="AA17" s="1795"/>
      <c r="AB17" s="1795"/>
      <c r="AC17" s="1795"/>
      <c r="AD17" s="1796"/>
      <c r="AE17" s="1794"/>
      <c r="AF17" s="1795"/>
      <c r="AG17" s="1795"/>
      <c r="AH17" s="1795"/>
      <c r="AI17" s="1796"/>
      <c r="AJ17" s="1794"/>
      <c r="AK17" s="1795"/>
      <c r="AL17" s="1795"/>
      <c r="AM17" s="1795"/>
      <c r="AN17" s="1796"/>
      <c r="AO17" s="1794"/>
      <c r="AP17" s="1795"/>
      <c r="AQ17" s="1795"/>
      <c r="AR17" s="1795"/>
      <c r="AS17" s="1796"/>
      <c r="AT17" s="2362"/>
      <c r="AU17" s="1638"/>
      <c r="AV17" s="1638"/>
      <c r="AW17" s="1638"/>
      <c r="AX17" s="1639"/>
      <c r="AY17" s="2362"/>
      <c r="AZ17" s="1638"/>
      <c r="BA17" s="1638"/>
      <c r="BB17" s="1638"/>
      <c r="BC17" s="1639"/>
      <c r="BD17" s="2362"/>
      <c r="BE17" s="1638"/>
      <c r="BF17" s="1638"/>
      <c r="BG17" s="1638"/>
      <c r="BH17" s="1639"/>
      <c r="BI17" s="2362"/>
      <c r="BJ17" s="1638"/>
      <c r="BK17" s="1638"/>
      <c r="BL17" s="1638"/>
      <c r="BM17" s="1639"/>
      <c r="BN17" s="2362"/>
      <c r="BO17" s="1638"/>
      <c r="BP17" s="1638"/>
      <c r="BQ17" s="1638"/>
      <c r="BR17" s="1639"/>
    </row>
    <row r="18" spans="1:138" s="22" customFormat="1" ht="111.75" customHeight="1" x14ac:dyDescent="1.35">
      <c r="A18" s="2383" t="s">
        <v>133</v>
      </c>
      <c r="B18" s="588">
        <v>13</v>
      </c>
      <c r="C18" s="589"/>
      <c r="D18" s="589"/>
      <c r="E18" s="590"/>
      <c r="F18" s="2383" t="s">
        <v>133</v>
      </c>
      <c r="G18" s="588">
        <v>14</v>
      </c>
      <c r="H18" s="589"/>
      <c r="I18" s="589"/>
      <c r="J18" s="590"/>
      <c r="K18" s="2383" t="s">
        <v>133</v>
      </c>
      <c r="L18" s="588">
        <v>15</v>
      </c>
      <c r="M18" s="589"/>
      <c r="N18" s="589"/>
      <c r="O18" s="590"/>
      <c r="P18" s="2383" t="s">
        <v>133</v>
      </c>
      <c r="Q18" s="588">
        <v>16</v>
      </c>
      <c r="R18" s="589"/>
      <c r="S18" s="589"/>
      <c r="T18" s="590"/>
      <c r="U18" s="2383" t="s">
        <v>133</v>
      </c>
      <c r="V18" s="588">
        <v>17</v>
      </c>
      <c r="W18" s="589"/>
      <c r="X18" s="589"/>
      <c r="Y18" s="590"/>
      <c r="Z18" s="2383" t="s">
        <v>133</v>
      </c>
      <c r="AA18" s="588">
        <v>46</v>
      </c>
      <c r="AB18" s="589"/>
      <c r="AC18" s="589"/>
      <c r="AD18" s="590"/>
      <c r="AE18" s="2383" t="s">
        <v>133</v>
      </c>
      <c r="AF18" s="588">
        <v>47</v>
      </c>
      <c r="AG18" s="589"/>
      <c r="AH18" s="589"/>
      <c r="AI18" s="590"/>
      <c r="AJ18" s="2383" t="s">
        <v>133</v>
      </c>
      <c r="AK18" s="588">
        <v>48</v>
      </c>
      <c r="AL18" s="589"/>
      <c r="AM18" s="589"/>
      <c r="AN18" s="590"/>
      <c r="AO18" s="2383" t="s">
        <v>133</v>
      </c>
      <c r="AP18" s="588">
        <v>49</v>
      </c>
      <c r="AQ18" s="589"/>
      <c r="AR18" s="589"/>
      <c r="AS18" s="590"/>
      <c r="AT18" s="2383" t="s">
        <v>133</v>
      </c>
      <c r="AU18" s="588">
        <v>87</v>
      </c>
      <c r="AV18" s="589"/>
      <c r="AW18" s="589"/>
      <c r="AX18" s="590"/>
      <c r="AY18" s="2383" t="s">
        <v>133</v>
      </c>
      <c r="AZ18" s="588">
        <v>88</v>
      </c>
      <c r="BA18" s="589"/>
      <c r="BB18" s="589"/>
      <c r="BC18" s="590"/>
      <c r="BD18" s="2383" t="s">
        <v>133</v>
      </c>
      <c r="BE18" s="588">
        <v>89</v>
      </c>
      <c r="BF18" s="589"/>
      <c r="BG18" s="589"/>
      <c r="BH18" s="590"/>
      <c r="BI18" s="2383" t="s">
        <v>133</v>
      </c>
      <c r="BJ18" s="588">
        <v>90</v>
      </c>
      <c r="BK18" s="589"/>
      <c r="BL18" s="589"/>
      <c r="BM18" s="590"/>
      <c r="BN18" s="2383" t="s">
        <v>133</v>
      </c>
      <c r="BO18" s="588">
        <v>91</v>
      </c>
      <c r="BP18" s="589"/>
      <c r="BQ18" s="589"/>
      <c r="BR18" s="590"/>
    </row>
    <row r="19" spans="1:138" ht="50.25" customHeight="1" thickBot="1" x14ac:dyDescent="0.3">
      <c r="A19" s="2384"/>
      <c r="B19" s="61">
        <v>1.0000000000000001E-5</v>
      </c>
      <c r="C19" s="62" t="s">
        <v>113</v>
      </c>
      <c r="D19" s="63"/>
      <c r="E19" s="64" t="s">
        <v>114</v>
      </c>
      <c r="F19" s="2384"/>
      <c r="G19" s="61">
        <v>0.15240000000000001</v>
      </c>
      <c r="H19" s="62" t="s">
        <v>113</v>
      </c>
      <c r="I19" s="63"/>
      <c r="J19" s="64" t="s">
        <v>114</v>
      </c>
      <c r="K19" s="2384"/>
      <c r="L19" s="61">
        <v>9.9999999999999995E-7</v>
      </c>
      <c r="M19" s="62" t="s">
        <v>113</v>
      </c>
      <c r="N19" s="63">
        <v>1</v>
      </c>
      <c r="O19" s="64" t="s">
        <v>114</v>
      </c>
      <c r="P19" s="2384"/>
      <c r="Q19" s="61">
        <v>1E-8</v>
      </c>
      <c r="R19" s="62" t="s">
        <v>113</v>
      </c>
      <c r="S19" s="63"/>
      <c r="T19" s="64" t="s">
        <v>114</v>
      </c>
      <c r="U19" s="2384"/>
      <c r="V19" s="61">
        <v>1E-8</v>
      </c>
      <c r="W19" s="62" t="s">
        <v>113</v>
      </c>
      <c r="X19" s="63"/>
      <c r="Y19" s="64" t="s">
        <v>114</v>
      </c>
      <c r="Z19" s="2384"/>
      <c r="AA19" s="61">
        <v>0.81279999999999997</v>
      </c>
      <c r="AB19" s="62" t="s">
        <v>113</v>
      </c>
      <c r="AC19" s="63">
        <v>1</v>
      </c>
      <c r="AD19" s="64" t="s">
        <v>114</v>
      </c>
      <c r="AE19" s="2384"/>
      <c r="AF19" s="61">
        <v>1E-10</v>
      </c>
      <c r="AG19" s="62" t="s">
        <v>113</v>
      </c>
      <c r="AH19" s="63"/>
      <c r="AI19" s="64" t="s">
        <v>114</v>
      </c>
      <c r="AJ19" s="2384"/>
      <c r="AK19" s="61">
        <v>1E-8</v>
      </c>
      <c r="AL19" s="62" t="s">
        <v>113</v>
      </c>
      <c r="AM19" s="63"/>
      <c r="AN19" s="64" t="s">
        <v>114</v>
      </c>
      <c r="AO19" s="2384"/>
      <c r="AP19" s="61">
        <v>1E-8</v>
      </c>
      <c r="AQ19" s="62" t="s">
        <v>113</v>
      </c>
      <c r="AR19" s="63"/>
      <c r="AS19" s="64" t="s">
        <v>114</v>
      </c>
      <c r="AT19" s="2384"/>
      <c r="AU19" s="61">
        <v>1.27</v>
      </c>
      <c r="AV19" s="62" t="s">
        <v>113</v>
      </c>
      <c r="AW19" s="63">
        <v>1</v>
      </c>
      <c r="AX19" s="64" t="s">
        <v>114</v>
      </c>
      <c r="AY19" s="2384"/>
      <c r="AZ19" s="61">
        <v>0.71099999999999997</v>
      </c>
      <c r="BA19" s="62" t="s">
        <v>113</v>
      </c>
      <c r="BB19" s="63"/>
      <c r="BC19" s="64" t="s">
        <v>114</v>
      </c>
      <c r="BD19" s="2384"/>
      <c r="BE19" s="61">
        <v>2.1840000000000002</v>
      </c>
      <c r="BF19" s="62" t="s">
        <v>113</v>
      </c>
      <c r="BG19" s="63"/>
      <c r="BH19" s="64" t="s">
        <v>114</v>
      </c>
      <c r="BI19" s="2384"/>
      <c r="BJ19" s="61">
        <v>1.3462000000000001</v>
      </c>
      <c r="BK19" s="62" t="s">
        <v>113</v>
      </c>
      <c r="BL19" s="63"/>
      <c r="BM19" s="64" t="s">
        <v>114</v>
      </c>
      <c r="BN19" s="2384"/>
      <c r="BO19" s="61">
        <v>9.9999999999999995E-8</v>
      </c>
      <c r="BP19" s="62" t="s">
        <v>113</v>
      </c>
      <c r="BQ19" s="63"/>
      <c r="BR19" s="64" t="s">
        <v>114</v>
      </c>
      <c r="BW19" s="27"/>
      <c r="BX19" s="27"/>
      <c r="BY19" s="27"/>
      <c r="BZ19" s="27"/>
      <c r="CA19" s="27"/>
      <c r="CB19" s="27"/>
      <c r="CC19" s="27"/>
      <c r="CD19" s="27"/>
      <c r="CE19" s="27"/>
    </row>
    <row r="20" spans="1:138" ht="42.75" customHeight="1" thickTop="1" x14ac:dyDescent="0.25">
      <c r="A20" s="2385" t="s">
        <v>110</v>
      </c>
      <c r="B20" s="2386"/>
      <c r="C20" s="2387">
        <f t="shared" ref="C20" si="32">B25/((68*3.1415/64)*(45/3.281))</f>
        <v>5.5483190973880138E-2</v>
      </c>
      <c r="D20" s="2387"/>
      <c r="E20" s="2388"/>
      <c r="F20" s="2385" t="s">
        <v>110</v>
      </c>
      <c r="G20" s="2386"/>
      <c r="H20" s="2387">
        <f t="shared" ref="H20" si="33">G25/((68*3.1415/64)*(45/3.281))</f>
        <v>2.1843775973968555E-8</v>
      </c>
      <c r="I20" s="2387"/>
      <c r="J20" s="2388"/>
      <c r="K20" s="2385" t="s">
        <v>110</v>
      </c>
      <c r="L20" s="2386"/>
      <c r="M20" s="2387">
        <f t="shared" ref="M20" si="34">L25/((68*3.1415/64)*(45/3.281))</f>
        <v>7.2084460714096242E-3</v>
      </c>
      <c r="N20" s="2387"/>
      <c r="O20" s="2388"/>
      <c r="P20" s="2385" t="s">
        <v>110</v>
      </c>
      <c r="Q20" s="2386"/>
      <c r="R20" s="2387">
        <f t="shared" ref="R20" si="35">Q25/((68*3.1415/64)*(45/3.281))</f>
        <v>6.2123698869966569E-2</v>
      </c>
      <c r="S20" s="2387"/>
      <c r="T20" s="2388"/>
      <c r="U20" s="2385" t="s">
        <v>110</v>
      </c>
      <c r="V20" s="2386"/>
      <c r="W20" s="2387">
        <f t="shared" ref="W20" si="36">V25/((68*3.1415/64)*(45/3.281))</f>
        <v>2.1843775973968559E-15</v>
      </c>
      <c r="X20" s="2387"/>
      <c r="Y20" s="2388"/>
      <c r="Z20" s="2385" t="s">
        <v>110</v>
      </c>
      <c r="AA20" s="2386"/>
      <c r="AB20" s="2387">
        <f t="shared" ref="AB20" si="37">AA25/((68*3.1415/64)*(45/3.281))</f>
        <v>2.1843775973968556E-14</v>
      </c>
      <c r="AC20" s="2387"/>
      <c r="AD20" s="2388"/>
      <c r="AE20" s="2379" t="s">
        <v>110</v>
      </c>
      <c r="AF20" s="2380"/>
      <c r="AG20" s="2381">
        <f>AF25/((68*3.1415/64)*(50/3.281))</f>
        <v>1.9659398376571703E-10</v>
      </c>
      <c r="AH20" s="2381"/>
      <c r="AI20" s="2382"/>
      <c r="AJ20" s="2379" t="s">
        <v>110</v>
      </c>
      <c r="AK20" s="2380"/>
      <c r="AL20" s="2381">
        <f t="shared" ref="AL20" si="38">AK25/((68*3.1415/64)*(50/3.281))</f>
        <v>1.9659398376571703E-10</v>
      </c>
      <c r="AM20" s="2381"/>
      <c r="AN20" s="2382"/>
      <c r="AO20" s="2379" t="s">
        <v>110</v>
      </c>
      <c r="AP20" s="2380"/>
      <c r="AQ20" s="2381">
        <f t="shared" ref="AQ20" si="39">AP25/((68*3.1415/64)*(50/3.281))</f>
        <v>5.9921846251790555E-3</v>
      </c>
      <c r="AR20" s="2381"/>
      <c r="AS20" s="2382"/>
      <c r="AT20" s="2379" t="s">
        <v>110</v>
      </c>
      <c r="AU20" s="2380"/>
      <c r="AV20" s="2381">
        <f t="shared" ref="AV20" si="40">AU25/((68*3.1415/64)*(50/3.281))</f>
        <v>1.9659398376571701E-78</v>
      </c>
      <c r="AW20" s="2381"/>
      <c r="AX20" s="2382"/>
      <c r="AY20" s="2379" t="s">
        <v>110</v>
      </c>
      <c r="AZ20" s="2380"/>
      <c r="BA20" s="2381">
        <f t="shared" ref="BA20" si="41">AZ25/((68*3.1415/64)*(50/3.281))</f>
        <v>1.9659398376571703E-7</v>
      </c>
      <c r="BB20" s="2381"/>
      <c r="BC20" s="2382"/>
      <c r="BD20" s="2379" t="s">
        <v>110</v>
      </c>
      <c r="BE20" s="2380"/>
      <c r="BF20" s="2381">
        <f t="shared" ref="BF20" si="42">BE25/((68*3.1415/64)*(50/3.281))</f>
        <v>1.4980461562947637E-2</v>
      </c>
      <c r="BG20" s="2381"/>
      <c r="BH20" s="2382"/>
      <c r="BI20" s="2379" t="s">
        <v>110</v>
      </c>
      <c r="BJ20" s="2380"/>
      <c r="BK20" s="2381">
        <f t="shared" ref="BK20" si="43">BJ25/((68*3.1415/64)*(50/3.281))</f>
        <v>2.4967435938246063E-3</v>
      </c>
      <c r="BL20" s="2381"/>
      <c r="BM20" s="2382"/>
      <c r="BN20" s="2379" t="s">
        <v>110</v>
      </c>
      <c r="BO20" s="2380"/>
      <c r="BP20" s="2381">
        <f t="shared" ref="BP20" si="44">BO25/((68*3.1415/64)*(50/3.281))</f>
        <v>3.4954410313544487E-3</v>
      </c>
      <c r="BQ20" s="2381"/>
      <c r="BR20" s="2382"/>
    </row>
    <row r="21" spans="1:138" ht="6.75" customHeight="1" x14ac:dyDescent="0.25">
      <c r="A21" s="2360" t="s">
        <v>489</v>
      </c>
      <c r="B21" s="1632"/>
      <c r="C21" s="1632"/>
      <c r="D21" s="1632"/>
      <c r="E21" s="1633"/>
      <c r="F21" s="2360" t="s">
        <v>489</v>
      </c>
      <c r="G21" s="1632"/>
      <c r="H21" s="1632"/>
      <c r="I21" s="1632"/>
      <c r="J21" s="1633"/>
      <c r="K21" s="2360" t="s">
        <v>489</v>
      </c>
      <c r="L21" s="1632"/>
      <c r="M21" s="1632"/>
      <c r="N21" s="1632"/>
      <c r="O21" s="1633"/>
      <c r="P21" s="2360" t="s">
        <v>489</v>
      </c>
      <c r="Q21" s="1632"/>
      <c r="R21" s="1632"/>
      <c r="S21" s="1632"/>
      <c r="T21" s="1633"/>
      <c r="U21" s="2360" t="s">
        <v>489</v>
      </c>
      <c r="V21" s="1632"/>
      <c r="W21" s="1632"/>
      <c r="X21" s="1632"/>
      <c r="Y21" s="1633"/>
      <c r="Z21" s="2360" t="s">
        <v>489</v>
      </c>
      <c r="AA21" s="1632"/>
      <c r="AB21" s="1632"/>
      <c r="AC21" s="1632"/>
      <c r="AD21" s="1633"/>
      <c r="AE21" s="1791" t="s">
        <v>489</v>
      </c>
      <c r="AF21" s="1792"/>
      <c r="AG21" s="1792"/>
      <c r="AH21" s="1792"/>
      <c r="AI21" s="1793"/>
      <c r="AJ21" s="1791" t="s">
        <v>489</v>
      </c>
      <c r="AK21" s="1792"/>
      <c r="AL21" s="1792"/>
      <c r="AM21" s="1792"/>
      <c r="AN21" s="1793"/>
      <c r="AO21" s="1791" t="s">
        <v>489</v>
      </c>
      <c r="AP21" s="1792"/>
      <c r="AQ21" s="1792"/>
      <c r="AR21" s="1792"/>
      <c r="AS21" s="1793"/>
      <c r="AT21" s="1791" t="s">
        <v>489</v>
      </c>
      <c r="AU21" s="1792"/>
      <c r="AV21" s="1792"/>
      <c r="AW21" s="1792"/>
      <c r="AX21" s="1793"/>
      <c r="AY21" s="1791" t="s">
        <v>489</v>
      </c>
      <c r="AZ21" s="1792"/>
      <c r="BA21" s="1792"/>
      <c r="BB21" s="1792"/>
      <c r="BC21" s="1793"/>
      <c r="BD21" s="1791" t="s">
        <v>489</v>
      </c>
      <c r="BE21" s="1792"/>
      <c r="BF21" s="1792"/>
      <c r="BG21" s="1792"/>
      <c r="BH21" s="1793"/>
      <c r="BI21" s="1791" t="s">
        <v>489</v>
      </c>
      <c r="BJ21" s="1792"/>
      <c r="BK21" s="1792"/>
      <c r="BL21" s="1792"/>
      <c r="BM21" s="1793"/>
      <c r="BN21" s="1791" t="s">
        <v>489</v>
      </c>
      <c r="BO21" s="1792"/>
      <c r="BP21" s="1792"/>
      <c r="BQ21" s="1792"/>
      <c r="BR21" s="1793"/>
    </row>
    <row r="22" spans="1:138" ht="18" customHeight="1" x14ac:dyDescent="0.25">
      <c r="A22" s="2361"/>
      <c r="B22" s="1635"/>
      <c r="C22" s="1635"/>
      <c r="D22" s="1635"/>
      <c r="E22" s="1636"/>
      <c r="F22" s="2361"/>
      <c r="G22" s="1635"/>
      <c r="H22" s="1635"/>
      <c r="I22" s="1635"/>
      <c r="J22" s="1636"/>
      <c r="K22" s="2361"/>
      <c r="L22" s="1635"/>
      <c r="M22" s="1635"/>
      <c r="N22" s="1635"/>
      <c r="O22" s="1636"/>
      <c r="P22" s="2361"/>
      <c r="Q22" s="1635"/>
      <c r="R22" s="1635"/>
      <c r="S22" s="1635"/>
      <c r="T22" s="1636"/>
      <c r="U22" s="2361"/>
      <c r="V22" s="1635"/>
      <c r="W22" s="1635"/>
      <c r="X22" s="1635"/>
      <c r="Y22" s="1636"/>
      <c r="Z22" s="2361"/>
      <c r="AA22" s="1635"/>
      <c r="AB22" s="1635"/>
      <c r="AC22" s="1635"/>
      <c r="AD22" s="1636"/>
      <c r="AE22" s="2363"/>
      <c r="AF22" s="2364"/>
      <c r="AG22" s="2364"/>
      <c r="AH22" s="2364"/>
      <c r="AI22" s="2365"/>
      <c r="AJ22" s="2363"/>
      <c r="AK22" s="2364"/>
      <c r="AL22" s="2364"/>
      <c r="AM22" s="2364"/>
      <c r="AN22" s="2365"/>
      <c r="AO22" s="2363"/>
      <c r="AP22" s="2364"/>
      <c r="AQ22" s="2364"/>
      <c r="AR22" s="2364"/>
      <c r="AS22" s="2365"/>
      <c r="AT22" s="2363"/>
      <c r="AU22" s="2364"/>
      <c r="AV22" s="2364"/>
      <c r="AW22" s="2364"/>
      <c r="AX22" s="2365"/>
      <c r="AY22" s="2363"/>
      <c r="AZ22" s="2364"/>
      <c r="BA22" s="2364"/>
      <c r="BB22" s="2364"/>
      <c r="BC22" s="2365"/>
      <c r="BD22" s="2363"/>
      <c r="BE22" s="2364"/>
      <c r="BF22" s="2364"/>
      <c r="BG22" s="2364"/>
      <c r="BH22" s="2365"/>
      <c r="BI22" s="2363"/>
      <c r="BJ22" s="2364"/>
      <c r="BK22" s="2364"/>
      <c r="BL22" s="2364"/>
      <c r="BM22" s="2365"/>
      <c r="BN22" s="2363"/>
      <c r="BO22" s="2364"/>
      <c r="BP22" s="2364"/>
      <c r="BQ22" s="2364"/>
      <c r="BR22" s="2365"/>
    </row>
    <row r="23" spans="1:138" ht="6" customHeight="1" x14ac:dyDescent="0.25">
      <c r="A23" s="2362"/>
      <c r="B23" s="1638"/>
      <c r="C23" s="1638"/>
      <c r="D23" s="1638"/>
      <c r="E23" s="1639"/>
      <c r="F23" s="2362"/>
      <c r="G23" s="1638"/>
      <c r="H23" s="1638"/>
      <c r="I23" s="1638"/>
      <c r="J23" s="1639"/>
      <c r="K23" s="2362"/>
      <c r="L23" s="1638"/>
      <c r="M23" s="1638"/>
      <c r="N23" s="1638"/>
      <c r="O23" s="1639"/>
      <c r="P23" s="2362"/>
      <c r="Q23" s="1638"/>
      <c r="R23" s="1638"/>
      <c r="S23" s="1638"/>
      <c r="T23" s="1639"/>
      <c r="U23" s="2362"/>
      <c r="V23" s="1638"/>
      <c r="W23" s="1638"/>
      <c r="X23" s="1638"/>
      <c r="Y23" s="1639"/>
      <c r="Z23" s="2362"/>
      <c r="AA23" s="1638"/>
      <c r="AB23" s="1638"/>
      <c r="AC23" s="1638"/>
      <c r="AD23" s="1639"/>
      <c r="AE23" s="1794"/>
      <c r="AF23" s="1795"/>
      <c r="AG23" s="1795"/>
      <c r="AH23" s="1795"/>
      <c r="AI23" s="1796"/>
      <c r="AJ23" s="1794"/>
      <c r="AK23" s="1795"/>
      <c r="AL23" s="1795"/>
      <c r="AM23" s="1795"/>
      <c r="AN23" s="1796"/>
      <c r="AO23" s="1794"/>
      <c r="AP23" s="1795"/>
      <c r="AQ23" s="1795"/>
      <c r="AR23" s="1795"/>
      <c r="AS23" s="1796"/>
      <c r="AT23" s="1794"/>
      <c r="AU23" s="1795"/>
      <c r="AV23" s="1795"/>
      <c r="AW23" s="1795"/>
      <c r="AX23" s="1796"/>
      <c r="AY23" s="1794"/>
      <c r="AZ23" s="1795"/>
      <c r="BA23" s="1795"/>
      <c r="BB23" s="1795"/>
      <c r="BC23" s="1796"/>
      <c r="BD23" s="1794"/>
      <c r="BE23" s="1795"/>
      <c r="BF23" s="1795"/>
      <c r="BG23" s="1795"/>
      <c r="BH23" s="1796"/>
      <c r="BI23" s="1794"/>
      <c r="BJ23" s="1795"/>
      <c r="BK23" s="1795"/>
      <c r="BL23" s="1795"/>
      <c r="BM23" s="1796"/>
      <c r="BN23" s="1794"/>
      <c r="BO23" s="1795"/>
      <c r="BP23" s="1795"/>
      <c r="BQ23" s="1795"/>
      <c r="BR23" s="1796"/>
    </row>
    <row r="24" spans="1:138" s="22" customFormat="1" ht="111.75" customHeight="1" x14ac:dyDescent="1.35">
      <c r="A24" s="2383" t="s">
        <v>133</v>
      </c>
      <c r="B24" s="588">
        <v>92</v>
      </c>
      <c r="C24" s="589"/>
      <c r="D24" s="589"/>
      <c r="E24" s="590"/>
      <c r="F24" s="2383" t="s">
        <v>133</v>
      </c>
      <c r="G24" s="588">
        <v>93</v>
      </c>
      <c r="H24" s="589"/>
      <c r="I24" s="589"/>
      <c r="J24" s="590"/>
      <c r="K24" s="2383" t="s">
        <v>133</v>
      </c>
      <c r="L24" s="588">
        <v>94</v>
      </c>
      <c r="M24" s="589"/>
      <c r="N24" s="589"/>
      <c r="O24" s="590"/>
      <c r="P24" s="2383" t="s">
        <v>133</v>
      </c>
      <c r="Q24" s="588">
        <v>95</v>
      </c>
      <c r="R24" s="589"/>
      <c r="S24" s="589"/>
      <c r="T24" s="590"/>
      <c r="U24" s="2383" t="s">
        <v>133</v>
      </c>
      <c r="V24" s="588">
        <v>96</v>
      </c>
      <c r="W24" s="589"/>
      <c r="X24" s="589"/>
      <c r="Y24" s="590"/>
      <c r="Z24" s="2383" t="s">
        <v>133</v>
      </c>
      <c r="AA24" s="588">
        <v>107</v>
      </c>
      <c r="AB24" s="589"/>
      <c r="AC24" s="589"/>
      <c r="AD24" s="590"/>
      <c r="AE24" s="2377" t="s">
        <v>131</v>
      </c>
      <c r="AF24" s="588">
        <v>31</v>
      </c>
      <c r="AG24" s="589"/>
      <c r="AH24" s="589"/>
      <c r="AI24" s="590"/>
      <c r="AJ24" s="2377" t="s">
        <v>131</v>
      </c>
      <c r="AK24" s="588">
        <v>32</v>
      </c>
      <c r="AL24" s="589"/>
      <c r="AM24" s="589"/>
      <c r="AN24" s="590"/>
      <c r="AO24" s="2377" t="s">
        <v>131</v>
      </c>
      <c r="AP24" s="588">
        <v>33</v>
      </c>
      <c r="AQ24" s="589"/>
      <c r="AR24" s="589"/>
      <c r="AS24" s="590"/>
      <c r="AT24" s="2377" t="s">
        <v>131</v>
      </c>
      <c r="AU24" s="588">
        <v>34</v>
      </c>
      <c r="AV24" s="589"/>
      <c r="AW24" s="589"/>
      <c r="AX24" s="590"/>
      <c r="AY24" s="2377" t="s">
        <v>131</v>
      </c>
      <c r="AZ24" s="588">
        <v>50</v>
      </c>
      <c r="BA24" s="589"/>
      <c r="BB24" s="589"/>
      <c r="BC24" s="590"/>
      <c r="BD24" s="2377" t="s">
        <v>131</v>
      </c>
      <c r="BE24" s="588">
        <v>51</v>
      </c>
      <c r="BF24" s="589"/>
      <c r="BG24" s="589"/>
      <c r="BH24" s="590"/>
      <c r="BI24" s="2377" t="s">
        <v>131</v>
      </c>
      <c r="BJ24" s="588">
        <v>52</v>
      </c>
      <c r="BK24" s="589"/>
      <c r="BL24" s="589"/>
      <c r="BM24" s="590"/>
      <c r="BN24" s="2377" t="s">
        <v>131</v>
      </c>
      <c r="BO24" s="588">
        <v>53</v>
      </c>
      <c r="BP24" s="589"/>
      <c r="BQ24" s="589"/>
      <c r="BR24" s="590"/>
    </row>
    <row r="25" spans="1:138" ht="50.25" customHeight="1" thickBot="1" x14ac:dyDescent="0.3">
      <c r="A25" s="2384"/>
      <c r="B25" s="61">
        <v>2.54</v>
      </c>
      <c r="C25" s="62" t="s">
        <v>113</v>
      </c>
      <c r="D25" s="63">
        <v>1</v>
      </c>
      <c r="E25" s="64" t="s">
        <v>114</v>
      </c>
      <c r="F25" s="2384"/>
      <c r="G25" s="61">
        <v>9.9999999999999995E-7</v>
      </c>
      <c r="H25" s="62" t="s">
        <v>113</v>
      </c>
      <c r="I25" s="63"/>
      <c r="J25" s="64" t="s">
        <v>114</v>
      </c>
      <c r="K25" s="2384"/>
      <c r="L25" s="61">
        <v>0.33</v>
      </c>
      <c r="M25" s="62" t="s">
        <v>113</v>
      </c>
      <c r="N25" s="63"/>
      <c r="O25" s="64" t="s">
        <v>114</v>
      </c>
      <c r="P25" s="2384"/>
      <c r="Q25" s="61">
        <v>2.8439999999999999</v>
      </c>
      <c r="R25" s="62" t="s">
        <v>113</v>
      </c>
      <c r="S25" s="63"/>
      <c r="T25" s="64" t="s">
        <v>114</v>
      </c>
      <c r="U25" s="2384"/>
      <c r="V25" s="61">
        <v>1E-13</v>
      </c>
      <c r="W25" s="62" t="s">
        <v>113</v>
      </c>
      <c r="X25" s="63"/>
      <c r="Y25" s="64" t="s">
        <v>114</v>
      </c>
      <c r="Z25" s="2384"/>
      <c r="AA25" s="61">
        <v>9.9999999999999998E-13</v>
      </c>
      <c r="AB25" s="62" t="s">
        <v>113</v>
      </c>
      <c r="AC25" s="63"/>
      <c r="AD25" s="64" t="s">
        <v>114</v>
      </c>
      <c r="AE25" s="2378"/>
      <c r="AF25" s="61">
        <v>1E-8</v>
      </c>
      <c r="AG25" s="62" t="s">
        <v>113</v>
      </c>
      <c r="AH25" s="63"/>
      <c r="AI25" s="64" t="s">
        <v>114</v>
      </c>
      <c r="AJ25" s="2378"/>
      <c r="AK25" s="61">
        <v>1E-8</v>
      </c>
      <c r="AL25" s="62" t="s">
        <v>113</v>
      </c>
      <c r="AM25" s="63">
        <v>1</v>
      </c>
      <c r="AN25" s="64" t="s">
        <v>114</v>
      </c>
      <c r="AO25" s="2378"/>
      <c r="AP25" s="61">
        <v>0.30480000000000002</v>
      </c>
      <c r="AQ25" s="62" t="s">
        <v>113</v>
      </c>
      <c r="AR25" s="63"/>
      <c r="AS25" s="64" t="s">
        <v>114</v>
      </c>
      <c r="AT25" s="2378"/>
      <c r="AU25" s="61">
        <v>9.9999999999999993E-77</v>
      </c>
      <c r="AV25" s="62" t="s">
        <v>113</v>
      </c>
      <c r="AW25" s="63"/>
      <c r="AX25" s="64" t="s">
        <v>114</v>
      </c>
      <c r="AY25" s="2378"/>
      <c r="AZ25" s="61">
        <v>1.0000000000000001E-5</v>
      </c>
      <c r="BA25" s="62" t="s">
        <v>113</v>
      </c>
      <c r="BB25" s="63"/>
      <c r="BC25" s="64" t="s">
        <v>114</v>
      </c>
      <c r="BD25" s="2378"/>
      <c r="BE25" s="61">
        <v>0.76200000000000001</v>
      </c>
      <c r="BF25" s="62" t="s">
        <v>113</v>
      </c>
      <c r="BG25" s="63">
        <v>1</v>
      </c>
      <c r="BH25" s="64" t="s">
        <v>114</v>
      </c>
      <c r="BI25" s="2378"/>
      <c r="BJ25" s="61">
        <v>0.127</v>
      </c>
      <c r="BK25" s="62" t="s">
        <v>113</v>
      </c>
      <c r="BL25" s="63"/>
      <c r="BM25" s="64" t="s">
        <v>114</v>
      </c>
      <c r="BN25" s="2378"/>
      <c r="BO25" s="61">
        <v>0.17780000000000001</v>
      </c>
      <c r="BP25" s="62" t="s">
        <v>113</v>
      </c>
      <c r="BQ25" s="63"/>
      <c r="BR25" s="64" t="s">
        <v>114</v>
      </c>
      <c r="BW25" s="27"/>
      <c r="BX25" s="27"/>
      <c r="BY25" s="27"/>
      <c r="BZ25" s="27"/>
      <c r="CA25" s="27"/>
      <c r="CB25" s="27"/>
      <c r="CC25" s="27"/>
      <c r="CD25" s="27"/>
      <c r="CE25" s="27"/>
    </row>
    <row r="26" spans="1:138" ht="42.75" customHeight="1" thickTop="1" x14ac:dyDescent="0.25">
      <c r="A26" s="2379" t="s">
        <v>110</v>
      </c>
      <c r="B26" s="2380"/>
      <c r="C26" s="2381">
        <f t="shared" ref="C26" si="45">B31/((68*3.1415/64)*(50/3.281))</f>
        <v>2.9960923125895277E-3</v>
      </c>
      <c r="D26" s="2381"/>
      <c r="E26" s="2382"/>
      <c r="F26" s="2379" t="s">
        <v>110</v>
      </c>
      <c r="G26" s="2380"/>
      <c r="H26" s="2381">
        <f t="shared" ref="H26" si="46">G31/((68*3.1415/64)*(50/3.281))</f>
        <v>7.4902307814738184E-3</v>
      </c>
      <c r="I26" s="2381"/>
      <c r="J26" s="2382"/>
      <c r="K26" s="2379" t="s">
        <v>110</v>
      </c>
      <c r="L26" s="2380"/>
      <c r="M26" s="2381">
        <f t="shared" ref="M26" si="47">L31/((68*3.1415/64)*(50/3.281))</f>
        <v>1.9659398376571702E-9</v>
      </c>
      <c r="N26" s="2381"/>
      <c r="O26" s="2382"/>
      <c r="P26" s="2379" t="s">
        <v>110</v>
      </c>
      <c r="Q26" s="2380"/>
      <c r="R26" s="2381">
        <f t="shared" ref="R26" si="48">Q31/((68*3.1415/64)*(50/3.281))</f>
        <v>9.9869743752984252E-3</v>
      </c>
      <c r="S26" s="2381"/>
      <c r="T26" s="2382"/>
      <c r="U26" s="2379" t="s">
        <v>110</v>
      </c>
      <c r="V26" s="2380"/>
      <c r="W26" s="2381">
        <f t="shared" ref="W26" si="49">V31/((68*3.1415/64)*(50/3.281))</f>
        <v>1.9659398376571701E-13</v>
      </c>
      <c r="X26" s="2381"/>
      <c r="Y26" s="2382"/>
      <c r="Z26" s="2379" t="s">
        <v>110</v>
      </c>
      <c r="AA26" s="2380"/>
      <c r="AB26" s="2381">
        <f t="shared" ref="AB26" si="50">AA31/((68*3.1415/64)*(50/3.281))</f>
        <v>1.9659398376571703E-7</v>
      </c>
      <c r="AC26" s="2381"/>
      <c r="AD26" s="2382"/>
      <c r="AE26" s="2379" t="s">
        <v>110</v>
      </c>
      <c r="AF26" s="2380"/>
      <c r="AG26" s="2381">
        <f t="shared" ref="AG26" si="51">AF31/((68*3.1415/64)*(50/3.281))</f>
        <v>1.9659398376571703E-10</v>
      </c>
      <c r="AH26" s="2381"/>
      <c r="AI26" s="2382"/>
      <c r="AJ26" s="1882" t="s">
        <v>110</v>
      </c>
      <c r="AK26" s="1037"/>
      <c r="AL26" s="2375">
        <f>AK31/((68*3.1415/64)*(55/3.281))</f>
        <v>1.4072554801556869E-2</v>
      </c>
      <c r="AM26" s="2375"/>
      <c r="AN26" s="2376"/>
      <c r="AO26" s="1882" t="s">
        <v>110</v>
      </c>
      <c r="AP26" s="1037"/>
      <c r="AQ26" s="2375">
        <f t="shared" ref="AQ26" si="52">AP31/((68*3.1415/64)*(55/3.281))</f>
        <v>1.7872180342337909E-9</v>
      </c>
      <c r="AR26" s="2375"/>
      <c r="AS26" s="2376"/>
      <c r="AT26" s="1882" t="s">
        <v>110</v>
      </c>
      <c r="AU26" s="1037"/>
      <c r="AV26" s="2375">
        <f t="shared" ref="AV26" si="53">AU31/((68*3.1415/64)*(55/3.281))</f>
        <v>1.7872180342337909E-8</v>
      </c>
      <c r="AW26" s="2375"/>
      <c r="AX26" s="2376"/>
      <c r="AY26" s="1882" t="s">
        <v>110</v>
      </c>
      <c r="AZ26" s="1037"/>
      <c r="BA26" s="2375">
        <f t="shared" ref="BA26" si="54">AZ31/((68*3.1415/64)*(55/3.281))</f>
        <v>2.3151622415464531E-2</v>
      </c>
      <c r="BB26" s="2375"/>
      <c r="BC26" s="2376"/>
      <c r="BD26" s="1882" t="s">
        <v>110</v>
      </c>
      <c r="BE26" s="1037"/>
      <c r="BF26" s="2375">
        <f t="shared" ref="BF26" si="55">BE31/((68*3.1415/64)*(55/3.281))</f>
        <v>1.787218034233791E-10</v>
      </c>
      <c r="BG26" s="2375"/>
      <c r="BH26" s="2376"/>
      <c r="BI26" s="1882" t="s">
        <v>110</v>
      </c>
      <c r="BJ26" s="1037"/>
      <c r="BK26" s="2375">
        <f t="shared" ref="BK26" si="56">BJ31/((68*3.1415/64)*(55/3.281))</f>
        <v>1.787218034233791E-6</v>
      </c>
      <c r="BL26" s="2375"/>
      <c r="BM26" s="2376"/>
      <c r="BN26" s="1882" t="s">
        <v>110</v>
      </c>
      <c r="BO26" s="1037"/>
      <c r="BP26" s="2375">
        <f t="shared" ref="BP26" si="57">BO31/((68*3.1415/64)*(55/3.281))</f>
        <v>1.7872180342337909E-8</v>
      </c>
      <c r="BQ26" s="2375"/>
      <c r="BR26" s="2376"/>
    </row>
    <row r="27" spans="1:138" ht="6.75" customHeight="1" x14ac:dyDescent="0.25">
      <c r="A27" s="1791" t="s">
        <v>489</v>
      </c>
      <c r="B27" s="1792"/>
      <c r="C27" s="1792"/>
      <c r="D27" s="1792"/>
      <c r="E27" s="1793"/>
      <c r="F27" s="1791" t="s">
        <v>489</v>
      </c>
      <c r="G27" s="1792"/>
      <c r="H27" s="1792"/>
      <c r="I27" s="1792"/>
      <c r="J27" s="1793"/>
      <c r="K27" s="1791" t="s">
        <v>489</v>
      </c>
      <c r="L27" s="1792"/>
      <c r="M27" s="1792"/>
      <c r="N27" s="1792"/>
      <c r="O27" s="1793"/>
      <c r="P27" s="1791" t="s">
        <v>489</v>
      </c>
      <c r="Q27" s="1792"/>
      <c r="R27" s="1792"/>
      <c r="S27" s="1792"/>
      <c r="T27" s="1793"/>
      <c r="U27" s="2360" t="s">
        <v>489</v>
      </c>
      <c r="V27" s="1632"/>
      <c r="W27" s="1632"/>
      <c r="X27" s="1632"/>
      <c r="Y27" s="1633"/>
      <c r="Z27" s="2360" t="s">
        <v>489</v>
      </c>
      <c r="AA27" s="1632"/>
      <c r="AB27" s="1632"/>
      <c r="AC27" s="1632"/>
      <c r="AD27" s="1633"/>
      <c r="AE27" s="2360" t="s">
        <v>489</v>
      </c>
      <c r="AF27" s="1632"/>
      <c r="AG27" s="1632"/>
      <c r="AH27" s="1632"/>
      <c r="AI27" s="1633"/>
      <c r="AJ27" s="1791" t="s">
        <v>489</v>
      </c>
      <c r="AK27" s="1792"/>
      <c r="AL27" s="1792"/>
      <c r="AM27" s="1792"/>
      <c r="AN27" s="1793"/>
      <c r="AO27" s="1791" t="s">
        <v>489</v>
      </c>
      <c r="AP27" s="1792"/>
      <c r="AQ27" s="1792"/>
      <c r="AR27" s="1792"/>
      <c r="AS27" s="1793"/>
      <c r="AT27" s="1791" t="s">
        <v>489</v>
      </c>
      <c r="AU27" s="1792"/>
      <c r="AV27" s="1792"/>
      <c r="AW27" s="1792"/>
      <c r="AX27" s="1793"/>
      <c r="AY27" s="1791" t="s">
        <v>489</v>
      </c>
      <c r="AZ27" s="1792"/>
      <c r="BA27" s="1792"/>
      <c r="BB27" s="1792"/>
      <c r="BC27" s="1793"/>
      <c r="BD27" s="1791" t="s">
        <v>489</v>
      </c>
      <c r="BE27" s="1792"/>
      <c r="BF27" s="1792"/>
      <c r="BG27" s="1792"/>
      <c r="BH27" s="1793"/>
      <c r="BI27" s="1791" t="s">
        <v>489</v>
      </c>
      <c r="BJ27" s="1792"/>
      <c r="BK27" s="1792"/>
      <c r="BL27" s="1792"/>
      <c r="BM27" s="1793"/>
      <c r="BN27" s="1791" t="s">
        <v>489</v>
      </c>
      <c r="BO27" s="1792"/>
      <c r="BP27" s="1792"/>
      <c r="BQ27" s="1792"/>
      <c r="BR27" s="1793"/>
    </row>
    <row r="28" spans="1:138" ht="14.25" customHeight="1" x14ac:dyDescent="0.25">
      <c r="A28" s="2363"/>
      <c r="B28" s="2364"/>
      <c r="C28" s="2364"/>
      <c r="D28" s="2364"/>
      <c r="E28" s="2365"/>
      <c r="F28" s="2363"/>
      <c r="G28" s="2364"/>
      <c r="H28" s="2364"/>
      <c r="I28" s="2364"/>
      <c r="J28" s="2365"/>
      <c r="K28" s="2363"/>
      <c r="L28" s="2364"/>
      <c r="M28" s="2364"/>
      <c r="N28" s="2364"/>
      <c r="O28" s="2365"/>
      <c r="P28" s="2363"/>
      <c r="Q28" s="2364"/>
      <c r="R28" s="2364"/>
      <c r="S28" s="2364"/>
      <c r="T28" s="2365"/>
      <c r="U28" s="2361"/>
      <c r="V28" s="1635"/>
      <c r="W28" s="1635"/>
      <c r="X28" s="1635"/>
      <c r="Y28" s="1636"/>
      <c r="Z28" s="2361"/>
      <c r="AA28" s="1635"/>
      <c r="AB28" s="1635"/>
      <c r="AC28" s="1635"/>
      <c r="AD28" s="1636"/>
      <c r="AE28" s="2361"/>
      <c r="AF28" s="1635"/>
      <c r="AG28" s="1635"/>
      <c r="AH28" s="1635"/>
      <c r="AI28" s="1636"/>
      <c r="AJ28" s="2363"/>
      <c r="AK28" s="2364"/>
      <c r="AL28" s="2364"/>
      <c r="AM28" s="2364"/>
      <c r="AN28" s="2365"/>
      <c r="AO28" s="2363"/>
      <c r="AP28" s="2364"/>
      <c r="AQ28" s="2364"/>
      <c r="AR28" s="2364"/>
      <c r="AS28" s="2365"/>
      <c r="AT28" s="2363"/>
      <c r="AU28" s="2364"/>
      <c r="AV28" s="2364"/>
      <c r="AW28" s="2364"/>
      <c r="AX28" s="2365"/>
      <c r="AY28" s="2363"/>
      <c r="AZ28" s="2364"/>
      <c r="BA28" s="2364"/>
      <c r="BB28" s="2364"/>
      <c r="BC28" s="2365"/>
      <c r="BD28" s="2363"/>
      <c r="BE28" s="2364"/>
      <c r="BF28" s="2364"/>
      <c r="BG28" s="2364"/>
      <c r="BH28" s="2365"/>
      <c r="BI28" s="2363"/>
      <c r="BJ28" s="2364"/>
      <c r="BK28" s="2364"/>
      <c r="BL28" s="2364"/>
      <c r="BM28" s="2365"/>
      <c r="BN28" s="2363"/>
      <c r="BO28" s="2364"/>
      <c r="BP28" s="2364"/>
      <c r="BQ28" s="2364"/>
      <c r="BR28" s="2365"/>
      <c r="ED28" s="13"/>
      <c r="EE28" s="13"/>
      <c r="EF28" s="13"/>
      <c r="EG28" s="13"/>
      <c r="EH28" s="13"/>
    </row>
    <row r="29" spans="1:138" ht="6" customHeight="1" x14ac:dyDescent="0.25">
      <c r="A29" s="1794"/>
      <c r="B29" s="1795"/>
      <c r="C29" s="1795"/>
      <c r="D29" s="1795"/>
      <c r="E29" s="1796"/>
      <c r="F29" s="1794"/>
      <c r="G29" s="1795"/>
      <c r="H29" s="1795"/>
      <c r="I29" s="1795"/>
      <c r="J29" s="1796"/>
      <c r="K29" s="1794"/>
      <c r="L29" s="1795"/>
      <c r="M29" s="1795"/>
      <c r="N29" s="1795"/>
      <c r="O29" s="1796"/>
      <c r="P29" s="1794"/>
      <c r="Q29" s="1795"/>
      <c r="R29" s="1795"/>
      <c r="S29" s="1795"/>
      <c r="T29" s="1796"/>
      <c r="U29" s="2362"/>
      <c r="V29" s="1638"/>
      <c r="W29" s="1638"/>
      <c r="X29" s="1638"/>
      <c r="Y29" s="1639"/>
      <c r="Z29" s="2362"/>
      <c r="AA29" s="1638"/>
      <c r="AB29" s="1638"/>
      <c r="AC29" s="1638"/>
      <c r="AD29" s="1639"/>
      <c r="AE29" s="2362"/>
      <c r="AF29" s="1638"/>
      <c r="AG29" s="1638"/>
      <c r="AH29" s="1638"/>
      <c r="AI29" s="1639"/>
      <c r="AJ29" s="1794"/>
      <c r="AK29" s="1795"/>
      <c r="AL29" s="1795"/>
      <c r="AM29" s="1795"/>
      <c r="AN29" s="1796"/>
      <c r="AO29" s="1794"/>
      <c r="AP29" s="1795"/>
      <c r="AQ29" s="1795"/>
      <c r="AR29" s="1795"/>
      <c r="AS29" s="1796"/>
      <c r="AT29" s="1794"/>
      <c r="AU29" s="1795"/>
      <c r="AV29" s="1795"/>
      <c r="AW29" s="1795"/>
      <c r="AX29" s="1796"/>
      <c r="AY29" s="1794"/>
      <c r="AZ29" s="1795"/>
      <c r="BA29" s="1795"/>
      <c r="BB29" s="1795"/>
      <c r="BC29" s="1796"/>
      <c r="BD29" s="1794"/>
      <c r="BE29" s="1795"/>
      <c r="BF29" s="1795"/>
      <c r="BG29" s="1795"/>
      <c r="BH29" s="1796"/>
      <c r="BI29" s="1794"/>
      <c r="BJ29" s="1795"/>
      <c r="BK29" s="1795"/>
      <c r="BL29" s="1795"/>
      <c r="BM29" s="1796"/>
      <c r="BN29" s="1794"/>
      <c r="BO29" s="1795"/>
      <c r="BP29" s="1795"/>
      <c r="BQ29" s="1795"/>
      <c r="BR29" s="1796"/>
      <c r="ED29" s="13"/>
      <c r="EE29" s="13"/>
      <c r="EF29" s="13"/>
      <c r="EG29" s="13"/>
      <c r="EH29" s="13"/>
    </row>
    <row r="30" spans="1:138" s="22" customFormat="1" ht="111.75" customHeight="1" x14ac:dyDescent="1.35">
      <c r="A30" s="2377" t="s">
        <v>131</v>
      </c>
      <c r="B30" s="588">
        <v>54</v>
      </c>
      <c r="C30" s="589"/>
      <c r="D30" s="589"/>
      <c r="E30" s="590"/>
      <c r="F30" s="2377" t="s">
        <v>131</v>
      </c>
      <c r="G30" s="588">
        <v>55</v>
      </c>
      <c r="H30" s="589"/>
      <c r="I30" s="589"/>
      <c r="J30" s="590"/>
      <c r="K30" s="2377" t="s">
        <v>131</v>
      </c>
      <c r="L30" s="588">
        <v>56</v>
      </c>
      <c r="M30" s="589"/>
      <c r="N30" s="589"/>
      <c r="O30" s="590"/>
      <c r="P30" s="2377" t="s">
        <v>131</v>
      </c>
      <c r="Q30" s="588">
        <v>57</v>
      </c>
      <c r="R30" s="589"/>
      <c r="S30" s="589"/>
      <c r="T30" s="590"/>
      <c r="U30" s="2377" t="s">
        <v>131</v>
      </c>
      <c r="V30" s="588">
        <v>97</v>
      </c>
      <c r="W30" s="589"/>
      <c r="X30" s="589"/>
      <c r="Y30" s="590"/>
      <c r="Z30" s="2377" t="s">
        <v>131</v>
      </c>
      <c r="AA30" s="588">
        <v>98</v>
      </c>
      <c r="AB30" s="589"/>
      <c r="AC30" s="589"/>
      <c r="AD30" s="590"/>
      <c r="AE30" s="2377" t="s">
        <v>131</v>
      </c>
      <c r="AF30" s="588">
        <v>99</v>
      </c>
      <c r="AG30" s="589"/>
      <c r="AH30" s="589"/>
      <c r="AI30" s="590"/>
      <c r="AJ30" s="1870" t="s">
        <v>492</v>
      </c>
      <c r="AK30" s="588">
        <v>2</v>
      </c>
      <c r="AL30" s="589"/>
      <c r="AM30" s="589"/>
      <c r="AN30" s="590"/>
      <c r="AO30" s="1870" t="s">
        <v>492</v>
      </c>
      <c r="AP30" s="588">
        <v>4</v>
      </c>
      <c r="AQ30" s="589"/>
      <c r="AR30" s="589"/>
      <c r="AS30" s="590"/>
      <c r="AT30" s="1870" t="s">
        <v>492</v>
      </c>
      <c r="AU30" s="588">
        <v>5</v>
      </c>
      <c r="AV30" s="589"/>
      <c r="AW30" s="589"/>
      <c r="AX30" s="590"/>
      <c r="AY30" s="1870" t="s">
        <v>492</v>
      </c>
      <c r="AZ30" s="588">
        <v>6</v>
      </c>
      <c r="BA30" s="589"/>
      <c r="BB30" s="589"/>
      <c r="BC30" s="590"/>
      <c r="BD30" s="1870" t="s">
        <v>492</v>
      </c>
      <c r="BE30" s="588">
        <v>7</v>
      </c>
      <c r="BF30" s="589"/>
      <c r="BG30" s="589"/>
      <c r="BH30" s="590"/>
      <c r="BI30" s="1870" t="s">
        <v>492</v>
      </c>
      <c r="BJ30" s="588">
        <v>8</v>
      </c>
      <c r="BK30" s="589"/>
      <c r="BL30" s="589"/>
      <c r="BM30" s="590"/>
      <c r="BN30" s="1870" t="s">
        <v>492</v>
      </c>
      <c r="BO30" s="588">
        <v>9</v>
      </c>
      <c r="BP30" s="589"/>
      <c r="BQ30" s="589"/>
      <c r="BR30" s="590"/>
      <c r="CU30" s="378"/>
      <c r="ED30" s="317"/>
      <c r="EE30" s="317"/>
      <c r="EF30" s="317"/>
      <c r="EG30" s="317"/>
      <c r="EH30" s="317"/>
    </row>
    <row r="31" spans="1:138" ht="50.25" customHeight="1" thickBot="1" x14ac:dyDescent="0.3">
      <c r="A31" s="2378"/>
      <c r="B31" s="61">
        <v>0.15240000000000001</v>
      </c>
      <c r="C31" s="62" t="s">
        <v>113</v>
      </c>
      <c r="D31" s="63"/>
      <c r="E31" s="64" t="s">
        <v>114</v>
      </c>
      <c r="F31" s="2378"/>
      <c r="G31" s="61">
        <v>0.38100000000000001</v>
      </c>
      <c r="H31" s="62" t="s">
        <v>113</v>
      </c>
      <c r="I31" s="63">
        <v>1</v>
      </c>
      <c r="J31" s="64" t="s">
        <v>114</v>
      </c>
      <c r="K31" s="2378"/>
      <c r="L31" s="61">
        <v>9.9999999999999995E-8</v>
      </c>
      <c r="M31" s="62" t="s">
        <v>113</v>
      </c>
      <c r="N31" s="63"/>
      <c r="O31" s="64" t="s">
        <v>114</v>
      </c>
      <c r="P31" s="2378"/>
      <c r="Q31" s="61">
        <v>0.50800000000000001</v>
      </c>
      <c r="R31" s="62" t="s">
        <v>113</v>
      </c>
      <c r="S31" s="63"/>
      <c r="T31" s="64" t="s">
        <v>114</v>
      </c>
      <c r="U31" s="2378"/>
      <c r="V31" s="61">
        <v>9.9999999999999994E-12</v>
      </c>
      <c r="W31" s="62" t="s">
        <v>113</v>
      </c>
      <c r="X31" s="63">
        <v>1</v>
      </c>
      <c r="Y31" s="64" t="s">
        <v>114</v>
      </c>
      <c r="Z31" s="2378"/>
      <c r="AA31" s="61">
        <v>1.0000000000000001E-5</v>
      </c>
      <c r="AB31" s="62" t="s">
        <v>113</v>
      </c>
      <c r="AC31" s="63"/>
      <c r="AD31" s="64" t="s">
        <v>114</v>
      </c>
      <c r="AE31" s="2378"/>
      <c r="AF31" s="61">
        <v>1E-8</v>
      </c>
      <c r="AG31" s="62" t="s">
        <v>113</v>
      </c>
      <c r="AH31" s="63"/>
      <c r="AI31" s="64" t="s">
        <v>114</v>
      </c>
      <c r="AJ31" s="1871"/>
      <c r="AK31" s="61">
        <v>0.78739999999999999</v>
      </c>
      <c r="AL31" s="62" t="s">
        <v>113</v>
      </c>
      <c r="AM31" s="63"/>
      <c r="AN31" s="64" t="s">
        <v>114</v>
      </c>
      <c r="AO31" s="1871"/>
      <c r="AP31" s="61">
        <v>9.9999999999999995E-8</v>
      </c>
      <c r="AQ31" s="62" t="s">
        <v>113</v>
      </c>
      <c r="AR31" s="63"/>
      <c r="AS31" s="64" t="s">
        <v>114</v>
      </c>
      <c r="AT31" s="1871"/>
      <c r="AU31" s="61">
        <v>9.9999999999999995E-7</v>
      </c>
      <c r="AV31" s="62" t="s">
        <v>113</v>
      </c>
      <c r="AW31" s="63"/>
      <c r="AX31" s="64" t="s">
        <v>114</v>
      </c>
      <c r="AY31" s="1871"/>
      <c r="AZ31" s="61">
        <v>1.2954000000000001</v>
      </c>
      <c r="BA31" s="62" t="s">
        <v>113</v>
      </c>
      <c r="BB31" s="63">
        <v>1</v>
      </c>
      <c r="BC31" s="64" t="s">
        <v>114</v>
      </c>
      <c r="BD31" s="1871"/>
      <c r="BE31" s="61">
        <v>1E-8</v>
      </c>
      <c r="BF31" s="62" t="s">
        <v>113</v>
      </c>
      <c r="BG31" s="63"/>
      <c r="BH31" s="64" t="s">
        <v>114</v>
      </c>
      <c r="BI31" s="1871"/>
      <c r="BJ31" s="61">
        <v>1E-4</v>
      </c>
      <c r="BK31" s="62" t="s">
        <v>113</v>
      </c>
      <c r="BL31" s="63"/>
      <c r="BM31" s="64" t="s">
        <v>114</v>
      </c>
      <c r="BN31" s="1871"/>
      <c r="BO31" s="61">
        <v>9.9999999999999995E-7</v>
      </c>
      <c r="BP31" s="62" t="s">
        <v>113</v>
      </c>
      <c r="BQ31" s="63"/>
      <c r="BR31" s="64" t="s">
        <v>114</v>
      </c>
      <c r="BW31" s="27"/>
      <c r="BX31" s="27"/>
      <c r="BY31" s="27"/>
      <c r="BZ31" s="27"/>
      <c r="CA31" s="27"/>
      <c r="CB31" s="27"/>
      <c r="CC31" s="27"/>
      <c r="CD31" s="27"/>
      <c r="CE31" s="27"/>
      <c r="ED31" s="13"/>
      <c r="EE31" s="13"/>
      <c r="EF31" s="13"/>
      <c r="EG31" s="13"/>
      <c r="EH31" s="13"/>
    </row>
    <row r="32" spans="1:138" ht="42.75" customHeight="1" thickTop="1" x14ac:dyDescent="0.25">
      <c r="A32" s="1882" t="s">
        <v>110</v>
      </c>
      <c r="B32" s="1037"/>
      <c r="C32" s="2375">
        <f t="shared" ref="C32" si="58">B37/((68*3.1415/64)*(55/3.281))</f>
        <v>1.8612088608510699E-2</v>
      </c>
      <c r="D32" s="2375"/>
      <c r="E32" s="2376"/>
      <c r="F32" s="1882" t="s">
        <v>110</v>
      </c>
      <c r="G32" s="1037"/>
      <c r="H32" s="2375">
        <f t="shared" ref="H32" si="59">G37/((68*3.1415/64)*(55/3.281))</f>
        <v>1.3618601420861487E-2</v>
      </c>
      <c r="I32" s="2375"/>
      <c r="J32" s="2376"/>
      <c r="K32" s="1882" t="s">
        <v>110</v>
      </c>
      <c r="L32" s="1037"/>
      <c r="M32" s="2375">
        <f t="shared" ref="M32" si="60">L37/((68*3.1415/64)*(55/3.281))</f>
        <v>7.7172074718215092E-3</v>
      </c>
      <c r="N32" s="2375"/>
      <c r="O32" s="2376"/>
      <c r="P32" s="1882" t="s">
        <v>110</v>
      </c>
      <c r="Q32" s="1037"/>
      <c r="R32" s="2375">
        <f t="shared" ref="R32" si="61">Q37/((68*3.1415/64)*(55/3.281))</f>
        <v>1.4976887126879168E-2</v>
      </c>
      <c r="S32" s="2375"/>
      <c r="T32" s="2376"/>
      <c r="U32" s="1882" t="s">
        <v>110</v>
      </c>
      <c r="V32" s="1037"/>
      <c r="W32" s="2375">
        <f t="shared" ref="W32" si="62">V37/((68*3.1415/64)*(55/3.281))</f>
        <v>5.4474405683445949E-3</v>
      </c>
      <c r="X32" s="2375"/>
      <c r="Y32" s="2376"/>
      <c r="Z32" s="1882" t="s">
        <v>110</v>
      </c>
      <c r="AA32" s="1037"/>
      <c r="AB32" s="2375">
        <f t="shared" ref="AB32" si="63">AA37/((68*3.1415/64)*(55/3.281))</f>
        <v>3.4940112569270612E-2</v>
      </c>
      <c r="AC32" s="2375"/>
      <c r="AD32" s="2376"/>
      <c r="AE32" s="1882" t="s">
        <v>110</v>
      </c>
      <c r="AF32" s="1037"/>
      <c r="AG32" s="2375">
        <f t="shared" ref="AG32" si="64">AF37/((68*3.1415/64)*(55/3.281))</f>
        <v>2.7237202841722975E-3</v>
      </c>
      <c r="AH32" s="2375"/>
      <c r="AI32" s="2376"/>
      <c r="AJ32" s="1882" t="s">
        <v>110</v>
      </c>
      <c r="AK32" s="1037"/>
      <c r="AL32" s="2375">
        <f t="shared" ref="AL32" si="65">AK37/((68*3.1415/64)*(55/3.281))</f>
        <v>1.769345853891453E-2</v>
      </c>
      <c r="AM32" s="2375"/>
      <c r="AN32" s="2376"/>
      <c r="AO32" s="1882" t="s">
        <v>110</v>
      </c>
      <c r="AP32" s="1037"/>
      <c r="AQ32" s="2375">
        <f t="shared" ref="AQ32" si="66">AP37/((68*3.1415/64)*(55/3.281))</f>
        <v>1.787218034233791E-10</v>
      </c>
      <c r="AR32" s="2375"/>
      <c r="AS32" s="2376"/>
      <c r="AT32" s="1882" t="s">
        <v>110</v>
      </c>
      <c r="AU32" s="1037"/>
      <c r="AV32" s="2375">
        <f t="shared" ref="AV32" si="67">AU37/((68*3.1415/64)*(55/3.281))</f>
        <v>1.7872180342337909E-12</v>
      </c>
      <c r="AW32" s="2375"/>
      <c r="AX32" s="2376"/>
      <c r="AY32" s="1882" t="s">
        <v>110</v>
      </c>
      <c r="AZ32" s="1037"/>
      <c r="BA32" s="2375">
        <f t="shared" ref="BA32" si="68">AZ37/((68*3.1415/64)*(55/3.281))</f>
        <v>1.7872180342337909E-12</v>
      </c>
      <c r="BB32" s="2375"/>
      <c r="BC32" s="2376"/>
      <c r="BD32" s="1882" t="s">
        <v>110</v>
      </c>
      <c r="BE32" s="1037"/>
      <c r="BF32" s="2375">
        <f t="shared" ref="BF32" si="69">BE37/((68*3.1415/64)*(55/3.281))</f>
        <v>1.787218034233791E-20</v>
      </c>
      <c r="BG32" s="2375"/>
      <c r="BH32" s="2376"/>
      <c r="BI32" s="1882" t="s">
        <v>110</v>
      </c>
      <c r="BJ32" s="1037"/>
      <c r="BK32" s="2375">
        <f t="shared" ref="BK32" si="70">BJ37/((68*3.1415/64)*(55/3.281))</f>
        <v>1.787218034233791E-20</v>
      </c>
      <c r="BL32" s="2375"/>
      <c r="BM32" s="2376"/>
      <c r="BN32" s="1882" t="s">
        <v>110</v>
      </c>
      <c r="BO32" s="1037"/>
      <c r="BP32" s="2375">
        <f t="shared" ref="BP32" si="71">BO37/((68*3.1415/64)*(55/3.281))</f>
        <v>6.945486724639359E-2</v>
      </c>
      <c r="BQ32" s="2375"/>
      <c r="BR32" s="2376"/>
      <c r="ED32" s="13"/>
      <c r="EE32" s="13"/>
      <c r="EF32" s="13"/>
      <c r="EG32" s="13"/>
      <c r="EH32" s="13"/>
    </row>
    <row r="33" spans="1:138" ht="6.75" customHeight="1" x14ac:dyDescent="0.25">
      <c r="A33" s="1791" t="s">
        <v>489</v>
      </c>
      <c r="B33" s="1792"/>
      <c r="C33" s="1792"/>
      <c r="D33" s="1792"/>
      <c r="E33" s="1793"/>
      <c r="F33" s="1791" t="s">
        <v>489</v>
      </c>
      <c r="G33" s="1792"/>
      <c r="H33" s="1792"/>
      <c r="I33" s="1792"/>
      <c r="J33" s="1793"/>
      <c r="K33" s="1791" t="s">
        <v>489</v>
      </c>
      <c r="L33" s="1792"/>
      <c r="M33" s="1792"/>
      <c r="N33" s="1792"/>
      <c r="O33" s="1793"/>
      <c r="P33" s="1791" t="s">
        <v>489</v>
      </c>
      <c r="Q33" s="1792"/>
      <c r="R33" s="1792"/>
      <c r="S33" s="1792"/>
      <c r="T33" s="1793"/>
      <c r="U33" s="1791" t="s">
        <v>489</v>
      </c>
      <c r="V33" s="1792"/>
      <c r="W33" s="1792"/>
      <c r="X33" s="1792"/>
      <c r="Y33" s="1793"/>
      <c r="Z33" s="1791" t="s">
        <v>489</v>
      </c>
      <c r="AA33" s="1792"/>
      <c r="AB33" s="1792"/>
      <c r="AC33" s="1792"/>
      <c r="AD33" s="1793"/>
      <c r="AE33" s="1791" t="s">
        <v>489</v>
      </c>
      <c r="AF33" s="1792"/>
      <c r="AG33" s="1792"/>
      <c r="AH33" s="1792"/>
      <c r="AI33" s="1793"/>
      <c r="AJ33" s="1791" t="s">
        <v>489</v>
      </c>
      <c r="AK33" s="1792"/>
      <c r="AL33" s="1792"/>
      <c r="AM33" s="1792"/>
      <c r="AN33" s="1793"/>
      <c r="AO33" s="1791" t="s">
        <v>489</v>
      </c>
      <c r="AP33" s="1792"/>
      <c r="AQ33" s="1792"/>
      <c r="AR33" s="1792"/>
      <c r="AS33" s="1793"/>
      <c r="AT33" s="1791" t="s">
        <v>489</v>
      </c>
      <c r="AU33" s="1792"/>
      <c r="AV33" s="1792"/>
      <c r="AW33" s="1792"/>
      <c r="AX33" s="1793"/>
      <c r="AY33" s="1791" t="s">
        <v>489</v>
      </c>
      <c r="AZ33" s="1792"/>
      <c r="BA33" s="1792"/>
      <c r="BB33" s="1792"/>
      <c r="BC33" s="1793"/>
      <c r="BD33" s="1791" t="s">
        <v>489</v>
      </c>
      <c r="BE33" s="1792"/>
      <c r="BF33" s="1792"/>
      <c r="BG33" s="1792"/>
      <c r="BH33" s="1793"/>
      <c r="BI33" s="1791" t="s">
        <v>489</v>
      </c>
      <c r="BJ33" s="1792"/>
      <c r="BK33" s="1792"/>
      <c r="BL33" s="1792"/>
      <c r="BM33" s="1793"/>
      <c r="BN33" s="2360" t="s">
        <v>489</v>
      </c>
      <c r="BO33" s="1632"/>
      <c r="BP33" s="1632"/>
      <c r="BQ33" s="1632"/>
      <c r="BR33" s="1633"/>
      <c r="ED33" s="57"/>
      <c r="EE33" s="57"/>
      <c r="EF33" s="57"/>
      <c r="EG33" s="57"/>
      <c r="EH33" s="57"/>
    </row>
    <row r="34" spans="1:138" ht="18.75" customHeight="1" x14ac:dyDescent="0.25">
      <c r="A34" s="2363"/>
      <c r="B34" s="2364"/>
      <c r="C34" s="2364"/>
      <c r="D34" s="2364"/>
      <c r="E34" s="2365"/>
      <c r="F34" s="2363"/>
      <c r="G34" s="2364"/>
      <c r="H34" s="2364"/>
      <c r="I34" s="2364"/>
      <c r="J34" s="2365"/>
      <c r="K34" s="2363"/>
      <c r="L34" s="2364"/>
      <c r="M34" s="2364"/>
      <c r="N34" s="2364"/>
      <c r="O34" s="2365"/>
      <c r="P34" s="2363"/>
      <c r="Q34" s="2364"/>
      <c r="R34" s="2364"/>
      <c r="S34" s="2364"/>
      <c r="T34" s="2365"/>
      <c r="U34" s="2363"/>
      <c r="V34" s="2364"/>
      <c r="W34" s="2364"/>
      <c r="X34" s="2364"/>
      <c r="Y34" s="2365"/>
      <c r="Z34" s="2363"/>
      <c r="AA34" s="2364"/>
      <c r="AB34" s="2364"/>
      <c r="AC34" s="2364"/>
      <c r="AD34" s="2365"/>
      <c r="AE34" s="2363"/>
      <c r="AF34" s="2364"/>
      <c r="AG34" s="2364"/>
      <c r="AH34" s="2364"/>
      <c r="AI34" s="2365"/>
      <c r="AJ34" s="2363"/>
      <c r="AK34" s="2364"/>
      <c r="AL34" s="2364"/>
      <c r="AM34" s="2364"/>
      <c r="AN34" s="2365"/>
      <c r="AO34" s="2363"/>
      <c r="AP34" s="2364"/>
      <c r="AQ34" s="2364"/>
      <c r="AR34" s="2364"/>
      <c r="AS34" s="2365"/>
      <c r="AT34" s="2363"/>
      <c r="AU34" s="2364"/>
      <c r="AV34" s="2364"/>
      <c r="AW34" s="2364"/>
      <c r="AX34" s="2365"/>
      <c r="AY34" s="2363"/>
      <c r="AZ34" s="2364"/>
      <c r="BA34" s="2364"/>
      <c r="BB34" s="2364"/>
      <c r="BC34" s="2365"/>
      <c r="BD34" s="2363"/>
      <c r="BE34" s="2364"/>
      <c r="BF34" s="2364"/>
      <c r="BG34" s="2364"/>
      <c r="BH34" s="2365"/>
      <c r="BI34" s="2363"/>
      <c r="BJ34" s="2364"/>
      <c r="BK34" s="2364"/>
      <c r="BL34" s="2364"/>
      <c r="BM34" s="2365"/>
      <c r="BN34" s="2361"/>
      <c r="BO34" s="1635"/>
      <c r="BP34" s="1635"/>
      <c r="BQ34" s="1635"/>
      <c r="BR34" s="1636"/>
      <c r="ED34" s="57"/>
      <c r="EE34" s="57"/>
      <c r="EF34" s="57"/>
      <c r="EG34" s="57"/>
      <c r="EH34" s="57"/>
    </row>
    <row r="35" spans="1:138" ht="6" hidden="1" customHeight="1" x14ac:dyDescent="0.25">
      <c r="A35" s="1794"/>
      <c r="B35" s="1795"/>
      <c r="C35" s="1795"/>
      <c r="D35" s="1795"/>
      <c r="E35" s="1796"/>
      <c r="F35" s="1794"/>
      <c r="G35" s="1795"/>
      <c r="H35" s="1795"/>
      <c r="I35" s="1795"/>
      <c r="J35" s="1796"/>
      <c r="K35" s="1794"/>
      <c r="L35" s="1795"/>
      <c r="M35" s="1795"/>
      <c r="N35" s="1795"/>
      <c r="O35" s="1796"/>
      <c r="P35" s="1794"/>
      <c r="Q35" s="1795"/>
      <c r="R35" s="1795"/>
      <c r="S35" s="1795"/>
      <c r="T35" s="1796"/>
      <c r="U35" s="1794"/>
      <c r="V35" s="1795"/>
      <c r="W35" s="1795"/>
      <c r="X35" s="1795"/>
      <c r="Y35" s="1796"/>
      <c r="Z35" s="1794"/>
      <c r="AA35" s="1795"/>
      <c r="AB35" s="1795"/>
      <c r="AC35" s="1795"/>
      <c r="AD35" s="1796"/>
      <c r="AE35" s="1794"/>
      <c r="AF35" s="1795"/>
      <c r="AG35" s="1795"/>
      <c r="AH35" s="1795"/>
      <c r="AI35" s="1796"/>
      <c r="AJ35" s="1794"/>
      <c r="AK35" s="1795"/>
      <c r="AL35" s="1795"/>
      <c r="AM35" s="1795"/>
      <c r="AN35" s="1796"/>
      <c r="AO35" s="1794"/>
      <c r="AP35" s="1795"/>
      <c r="AQ35" s="1795"/>
      <c r="AR35" s="1795"/>
      <c r="AS35" s="1796"/>
      <c r="AT35" s="1794"/>
      <c r="AU35" s="1795"/>
      <c r="AV35" s="1795"/>
      <c r="AW35" s="1795"/>
      <c r="AX35" s="1796"/>
      <c r="AY35" s="1794"/>
      <c r="AZ35" s="1795"/>
      <c r="BA35" s="1795"/>
      <c r="BB35" s="1795"/>
      <c r="BC35" s="1796"/>
      <c r="BD35" s="1794"/>
      <c r="BE35" s="1795"/>
      <c r="BF35" s="1795"/>
      <c r="BG35" s="1795"/>
      <c r="BH35" s="1796"/>
      <c r="BI35" s="1794"/>
      <c r="BJ35" s="1795"/>
      <c r="BK35" s="1795"/>
      <c r="BL35" s="1795"/>
      <c r="BM35" s="1796"/>
      <c r="BN35" s="2362"/>
      <c r="BO35" s="1638"/>
      <c r="BP35" s="1638"/>
      <c r="BQ35" s="1638"/>
      <c r="BR35" s="1639"/>
      <c r="ED35" s="57"/>
      <c r="EE35" s="57"/>
      <c r="EF35" s="57"/>
      <c r="EG35" s="57"/>
      <c r="EH35" s="57"/>
    </row>
    <row r="36" spans="1:138" s="22" customFormat="1" ht="111.75" customHeight="1" x14ac:dyDescent="1.35">
      <c r="A36" s="1870" t="s">
        <v>492</v>
      </c>
      <c r="B36" s="588">
        <v>10</v>
      </c>
      <c r="C36" s="589"/>
      <c r="D36" s="589"/>
      <c r="E36" s="590"/>
      <c r="F36" s="1870" t="s">
        <v>492</v>
      </c>
      <c r="G36" s="588">
        <v>11</v>
      </c>
      <c r="H36" s="589"/>
      <c r="I36" s="589"/>
      <c r="J36" s="590"/>
      <c r="K36" s="1870" t="s">
        <v>492</v>
      </c>
      <c r="L36" s="588">
        <v>23</v>
      </c>
      <c r="M36" s="589"/>
      <c r="N36" s="589"/>
      <c r="O36" s="590"/>
      <c r="P36" s="1870" t="s">
        <v>492</v>
      </c>
      <c r="Q36" s="588">
        <v>24</v>
      </c>
      <c r="R36" s="589"/>
      <c r="S36" s="589"/>
      <c r="T36" s="590"/>
      <c r="U36" s="1870" t="s">
        <v>492</v>
      </c>
      <c r="V36" s="588">
        <v>25</v>
      </c>
      <c r="W36" s="589"/>
      <c r="X36" s="589"/>
      <c r="Y36" s="590"/>
      <c r="Z36" s="1870" t="s">
        <v>492</v>
      </c>
      <c r="AA36" s="588">
        <v>26</v>
      </c>
      <c r="AB36" s="589"/>
      <c r="AC36" s="589"/>
      <c r="AD36" s="590"/>
      <c r="AE36" s="1870" t="s">
        <v>492</v>
      </c>
      <c r="AF36" s="588">
        <v>27</v>
      </c>
      <c r="AG36" s="589"/>
      <c r="AH36" s="589"/>
      <c r="AI36" s="590"/>
      <c r="AJ36" s="1870" t="s">
        <v>492</v>
      </c>
      <c r="AK36" s="588">
        <v>28</v>
      </c>
      <c r="AL36" s="589"/>
      <c r="AM36" s="589"/>
      <c r="AN36" s="590"/>
      <c r="AO36" s="1870" t="s">
        <v>492</v>
      </c>
      <c r="AP36" s="588">
        <v>29</v>
      </c>
      <c r="AQ36" s="589"/>
      <c r="AR36" s="589"/>
      <c r="AS36" s="590"/>
      <c r="AT36" s="1870" t="s">
        <v>492</v>
      </c>
      <c r="AU36" s="588">
        <v>30</v>
      </c>
      <c r="AV36" s="589"/>
      <c r="AW36" s="589"/>
      <c r="AX36" s="590"/>
      <c r="AY36" s="1870" t="s">
        <v>492</v>
      </c>
      <c r="AZ36" s="588">
        <v>35</v>
      </c>
      <c r="BA36" s="589"/>
      <c r="BB36" s="589"/>
      <c r="BC36" s="590"/>
      <c r="BD36" s="1870" t="s">
        <v>492</v>
      </c>
      <c r="BE36" s="588">
        <v>63</v>
      </c>
      <c r="BF36" s="589"/>
      <c r="BG36" s="589"/>
      <c r="BH36" s="590"/>
      <c r="BI36" s="1870" t="s">
        <v>492</v>
      </c>
      <c r="BJ36" s="588">
        <v>64</v>
      </c>
      <c r="BK36" s="589"/>
      <c r="BL36" s="589"/>
      <c r="BM36" s="590"/>
      <c r="BN36" s="1870" t="s">
        <v>492</v>
      </c>
      <c r="BO36" s="588">
        <v>78</v>
      </c>
      <c r="BP36" s="589"/>
      <c r="BQ36" s="589"/>
      <c r="BR36" s="590"/>
      <c r="ED36" s="317"/>
      <c r="EE36" s="317"/>
      <c r="EF36" s="317"/>
      <c r="EG36" s="317"/>
      <c r="EH36" s="317"/>
    </row>
    <row r="37" spans="1:138" ht="50.25" customHeight="1" thickBot="1" x14ac:dyDescent="0.3">
      <c r="A37" s="1871"/>
      <c r="B37" s="61">
        <v>1.0414000000000001</v>
      </c>
      <c r="C37" s="62" t="s">
        <v>113</v>
      </c>
      <c r="D37" s="63">
        <v>1</v>
      </c>
      <c r="E37" s="64" t="s">
        <v>114</v>
      </c>
      <c r="F37" s="1871"/>
      <c r="G37" s="61">
        <v>0.76200000000000001</v>
      </c>
      <c r="H37" s="62" t="s">
        <v>113</v>
      </c>
      <c r="I37" s="63"/>
      <c r="J37" s="64" t="s">
        <v>114</v>
      </c>
      <c r="K37" s="1871"/>
      <c r="L37" s="61">
        <v>0.43180000000000002</v>
      </c>
      <c r="M37" s="62" t="s">
        <v>113</v>
      </c>
      <c r="N37" s="63"/>
      <c r="O37" s="64" t="s">
        <v>114</v>
      </c>
      <c r="P37" s="1871"/>
      <c r="Q37" s="61">
        <v>0.83799999999999997</v>
      </c>
      <c r="R37" s="62" t="s">
        <v>113</v>
      </c>
      <c r="S37" s="63">
        <v>1</v>
      </c>
      <c r="T37" s="64" t="s">
        <v>114</v>
      </c>
      <c r="U37" s="1871"/>
      <c r="V37" s="61">
        <v>0.30480000000000002</v>
      </c>
      <c r="W37" s="62" t="s">
        <v>113</v>
      </c>
      <c r="X37" s="63"/>
      <c r="Y37" s="64" t="s">
        <v>114</v>
      </c>
      <c r="Z37" s="1871"/>
      <c r="AA37" s="61">
        <v>1.9550000000000001</v>
      </c>
      <c r="AB37" s="62" t="s">
        <v>113</v>
      </c>
      <c r="AC37" s="63"/>
      <c r="AD37" s="64" t="s">
        <v>114</v>
      </c>
      <c r="AE37" s="1871"/>
      <c r="AF37" s="61">
        <v>0.15240000000000001</v>
      </c>
      <c r="AG37" s="62" t="s">
        <v>113</v>
      </c>
      <c r="AH37" s="63"/>
      <c r="AI37" s="64" t="s">
        <v>114</v>
      </c>
      <c r="AJ37" s="1871"/>
      <c r="AK37" s="61">
        <v>0.99</v>
      </c>
      <c r="AL37" s="62" t="s">
        <v>113</v>
      </c>
      <c r="AM37" s="63">
        <v>1</v>
      </c>
      <c r="AN37" s="64" t="s">
        <v>114</v>
      </c>
      <c r="AO37" s="1871"/>
      <c r="AP37" s="61">
        <v>1E-8</v>
      </c>
      <c r="AQ37" s="62" t="s">
        <v>113</v>
      </c>
      <c r="AR37" s="63"/>
      <c r="AS37" s="64" t="s">
        <v>114</v>
      </c>
      <c r="AT37" s="1871"/>
      <c r="AU37" s="61">
        <v>1E-10</v>
      </c>
      <c r="AV37" s="62" t="s">
        <v>113</v>
      </c>
      <c r="AW37" s="63"/>
      <c r="AX37" s="64" t="s">
        <v>114</v>
      </c>
      <c r="AY37" s="1871"/>
      <c r="AZ37" s="61">
        <v>1E-10</v>
      </c>
      <c r="BA37" s="62" t="s">
        <v>113</v>
      </c>
      <c r="BB37" s="63"/>
      <c r="BC37" s="64" t="s">
        <v>114</v>
      </c>
      <c r="BD37" s="1871"/>
      <c r="BE37" s="61">
        <v>1.0000000000000001E-18</v>
      </c>
      <c r="BF37" s="62" t="s">
        <v>113</v>
      </c>
      <c r="BG37" s="63"/>
      <c r="BH37" s="64" t="s">
        <v>114</v>
      </c>
      <c r="BI37" s="1871"/>
      <c r="BJ37" s="61">
        <v>1.0000000000000001E-18</v>
      </c>
      <c r="BK37" s="62" t="s">
        <v>113</v>
      </c>
      <c r="BL37" s="63"/>
      <c r="BM37" s="64" t="s">
        <v>114</v>
      </c>
      <c r="BN37" s="1871"/>
      <c r="BO37" s="61">
        <v>3.8862000000000001</v>
      </c>
      <c r="BP37" s="62" t="s">
        <v>113</v>
      </c>
      <c r="BQ37" s="63">
        <v>1</v>
      </c>
      <c r="BR37" s="64" t="s">
        <v>114</v>
      </c>
      <c r="BW37" s="27"/>
      <c r="BX37" s="27"/>
      <c r="BY37" s="27"/>
      <c r="BZ37" s="27"/>
      <c r="CA37" s="27"/>
      <c r="CB37" s="27"/>
      <c r="CC37" s="27"/>
      <c r="CD37" s="27"/>
      <c r="CE37" s="27"/>
      <c r="ED37" s="13"/>
      <c r="EE37" s="13"/>
      <c r="EF37" s="13"/>
      <c r="EG37" s="13"/>
      <c r="EH37" s="13"/>
    </row>
    <row r="38" spans="1:138" ht="36" customHeight="1" thickTop="1" x14ac:dyDescent="0.25">
      <c r="A38" s="1882" t="s">
        <v>110</v>
      </c>
      <c r="B38" s="1037"/>
      <c r="C38" s="2375">
        <f t="shared" ref="C38" si="72">B43/((68*3.1415/64)*(55/3.281))</f>
        <v>1.7872180342337908E-14</v>
      </c>
      <c r="D38" s="2375"/>
      <c r="E38" s="2376"/>
      <c r="F38" s="1882" t="s">
        <v>110</v>
      </c>
      <c r="G38" s="1037"/>
      <c r="H38" s="2375">
        <f t="shared" ref="H38" si="73">G43/((68*3.1415/64)*(55/3.281))</f>
        <v>1.7872180342337909E-11</v>
      </c>
      <c r="I38" s="2375"/>
      <c r="J38" s="2376"/>
      <c r="K38" s="1882" t="s">
        <v>110</v>
      </c>
      <c r="L38" s="1037"/>
      <c r="M38" s="2375">
        <f t="shared" ref="M38" si="74">L43/((68*3.1415/64)*(55/3.281))</f>
        <v>6.3446240215299576E-3</v>
      </c>
      <c r="N38" s="2375"/>
      <c r="O38" s="2376"/>
      <c r="P38" s="1882" t="s">
        <v>110</v>
      </c>
      <c r="Q38" s="1037"/>
      <c r="R38" s="2375">
        <f t="shared" ref="R38" si="75">Q43/((68*3.1415/64)*(55/3.281))</f>
        <v>4.9023390679032885E-2</v>
      </c>
      <c r="S38" s="2375"/>
      <c r="T38" s="2376"/>
      <c r="U38" s="1882" t="s">
        <v>110</v>
      </c>
      <c r="V38" s="1037"/>
      <c r="W38" s="2375">
        <f t="shared" ref="W38" si="76">V43/((68*3.1415/64)*(55/3.281))</f>
        <v>7.7172074718215092E-3</v>
      </c>
      <c r="X38" s="2375"/>
      <c r="Y38" s="2376"/>
      <c r="Z38" s="1882" t="s">
        <v>110</v>
      </c>
      <c r="AA38" s="1037"/>
      <c r="AB38" s="2375">
        <f t="shared" ref="AB38" si="77">AA43/((68*3.1415/64)*(55/3.281))</f>
        <v>1.7872180342337911E-15</v>
      </c>
      <c r="AC38" s="2375"/>
      <c r="AD38" s="2376"/>
      <c r="AE38" s="1882" t="s">
        <v>110</v>
      </c>
      <c r="AF38" s="1037"/>
      <c r="AG38" s="2375">
        <f t="shared" ref="AG38" si="78">AF43/((68*3.1415/64)*(55/3.281))</f>
        <v>1.787218034233791E-6</v>
      </c>
      <c r="AH38" s="2375"/>
      <c r="AI38" s="2376"/>
      <c r="AJ38" s="1882" t="s">
        <v>110</v>
      </c>
      <c r="AK38" s="1037"/>
      <c r="AL38" s="2375">
        <f t="shared" ref="AL38" si="79">AK43/((68*3.1415/64)*(55/3.281))</f>
        <v>1.1563300681492628E-2</v>
      </c>
      <c r="AM38" s="2375"/>
      <c r="AN38" s="2376"/>
      <c r="AO38" s="1882" t="s">
        <v>110</v>
      </c>
      <c r="AP38" s="1037"/>
      <c r="AQ38" s="2375">
        <f t="shared" ref="AQ38" si="80">AP43/((68*3.1415/64)*(55/3.281))</f>
        <v>7.2561052189891919E-3</v>
      </c>
      <c r="AR38" s="2375"/>
      <c r="AS38" s="2376"/>
      <c r="AT38" s="1882" t="s">
        <v>110</v>
      </c>
      <c r="AU38" s="1037"/>
      <c r="AV38" s="2375">
        <f t="shared" ref="AV38" si="81">AU43/((68*3.1415/64)*(55/3.281))</f>
        <v>2.3591278051886041E-2</v>
      </c>
      <c r="AW38" s="2375"/>
      <c r="AX38" s="2376"/>
      <c r="AY38" s="1882" t="s">
        <v>110</v>
      </c>
      <c r="AZ38" s="1037"/>
      <c r="BA38" s="2375">
        <f t="shared" ref="BA38" si="82">AZ43/((68*3.1415/64)*(55/3.281))</f>
        <v>2.4513482557550675E-2</v>
      </c>
      <c r="BB38" s="2375"/>
      <c r="BC38" s="2376"/>
      <c r="BD38" s="1882" t="s">
        <v>110</v>
      </c>
      <c r="BE38" s="1037"/>
      <c r="BF38" s="2375">
        <f t="shared" ref="BF38" si="83">BE43/((68*3.1415/64)*(55/3.281))</f>
        <v>1.7872180342337909E-11</v>
      </c>
      <c r="BG38" s="2375"/>
      <c r="BH38" s="2376"/>
      <c r="BI38" s="1900" t="s">
        <v>110</v>
      </c>
      <c r="BJ38" s="2083"/>
      <c r="BK38" s="2084">
        <f>BJ43/((68*3.1415/64)*(60/3.281))</f>
        <v>7.0741068491697173E-3</v>
      </c>
      <c r="BL38" s="2084"/>
      <c r="BM38" s="2085"/>
      <c r="BN38" s="1900" t="s">
        <v>110</v>
      </c>
      <c r="BO38" s="2083"/>
      <c r="BP38" s="2084">
        <f>BO43/((68*3.1415/64)*(60/3.281))</f>
        <v>1.6382831980476418E-14</v>
      </c>
      <c r="BQ38" s="2084"/>
      <c r="BR38" s="2085"/>
      <c r="ED38" s="13"/>
      <c r="EE38" s="13"/>
      <c r="EF38" s="13"/>
      <c r="EG38" s="13"/>
      <c r="EH38" s="13"/>
    </row>
    <row r="39" spans="1:138" ht="6.75" customHeight="1" x14ac:dyDescent="0.25">
      <c r="A39" s="2360" t="s">
        <v>489</v>
      </c>
      <c r="B39" s="1632"/>
      <c r="C39" s="1632"/>
      <c r="D39" s="1632"/>
      <c r="E39" s="1633"/>
      <c r="F39" s="2360" t="s">
        <v>489</v>
      </c>
      <c r="G39" s="1632"/>
      <c r="H39" s="1632"/>
      <c r="I39" s="1632"/>
      <c r="J39" s="1633"/>
      <c r="K39" s="2360" t="s">
        <v>489</v>
      </c>
      <c r="L39" s="1632"/>
      <c r="M39" s="1632"/>
      <c r="N39" s="1632"/>
      <c r="O39" s="1633"/>
      <c r="P39" s="2360" t="s">
        <v>489</v>
      </c>
      <c r="Q39" s="1632"/>
      <c r="R39" s="1632"/>
      <c r="S39" s="1632"/>
      <c r="T39" s="1633"/>
      <c r="U39" s="2360" t="s">
        <v>489</v>
      </c>
      <c r="V39" s="1632"/>
      <c r="W39" s="1632"/>
      <c r="X39" s="1632"/>
      <c r="Y39" s="1633"/>
      <c r="Z39" s="2360" t="s">
        <v>489</v>
      </c>
      <c r="AA39" s="1632"/>
      <c r="AB39" s="1632"/>
      <c r="AC39" s="1632"/>
      <c r="AD39" s="1633"/>
      <c r="AE39" s="2360" t="s">
        <v>489</v>
      </c>
      <c r="AF39" s="1632"/>
      <c r="AG39" s="1632"/>
      <c r="AH39" s="1632"/>
      <c r="AI39" s="1633"/>
      <c r="AJ39" s="2360" t="s">
        <v>489</v>
      </c>
      <c r="AK39" s="1632"/>
      <c r="AL39" s="1632"/>
      <c r="AM39" s="1632"/>
      <c r="AN39" s="1633"/>
      <c r="AO39" s="2360" t="s">
        <v>489</v>
      </c>
      <c r="AP39" s="1632"/>
      <c r="AQ39" s="1632"/>
      <c r="AR39" s="1632"/>
      <c r="AS39" s="1633"/>
      <c r="AT39" s="2360" t="s">
        <v>489</v>
      </c>
      <c r="AU39" s="1632"/>
      <c r="AV39" s="1632"/>
      <c r="AW39" s="1632"/>
      <c r="AX39" s="1633"/>
      <c r="AY39" s="2360" t="s">
        <v>489</v>
      </c>
      <c r="AZ39" s="1632"/>
      <c r="BA39" s="1632"/>
      <c r="BB39" s="1632"/>
      <c r="BC39" s="1633"/>
      <c r="BD39" s="2360" t="s">
        <v>489</v>
      </c>
      <c r="BE39" s="1632"/>
      <c r="BF39" s="1632"/>
      <c r="BG39" s="1632"/>
      <c r="BH39" s="1633"/>
      <c r="BI39" s="1791" t="s">
        <v>489</v>
      </c>
      <c r="BJ39" s="1792"/>
      <c r="BK39" s="1792"/>
      <c r="BL39" s="1792"/>
      <c r="BM39" s="1793"/>
      <c r="BN39" s="1791" t="s">
        <v>489</v>
      </c>
      <c r="BO39" s="1792"/>
      <c r="BP39" s="1792"/>
      <c r="BQ39" s="1792"/>
      <c r="BR39" s="1793"/>
      <c r="ED39" s="13"/>
      <c r="EE39" s="13"/>
      <c r="EF39" s="13"/>
      <c r="EG39" s="13"/>
      <c r="EH39" s="13"/>
    </row>
    <row r="40" spans="1:138" ht="15.75" customHeight="1" x14ac:dyDescent="0.25">
      <c r="A40" s="2361"/>
      <c r="B40" s="1635"/>
      <c r="C40" s="1635"/>
      <c r="D40" s="1635"/>
      <c r="E40" s="1636"/>
      <c r="F40" s="2361"/>
      <c r="G40" s="1635"/>
      <c r="H40" s="1635"/>
      <c r="I40" s="1635"/>
      <c r="J40" s="1636"/>
      <c r="K40" s="2361"/>
      <c r="L40" s="1635"/>
      <c r="M40" s="1635"/>
      <c r="N40" s="1635"/>
      <c r="O40" s="1636"/>
      <c r="P40" s="2361"/>
      <c r="Q40" s="1635"/>
      <c r="R40" s="1635"/>
      <c r="S40" s="1635"/>
      <c r="T40" s="1636"/>
      <c r="U40" s="2361"/>
      <c r="V40" s="1635"/>
      <c r="W40" s="1635"/>
      <c r="X40" s="1635"/>
      <c r="Y40" s="1636"/>
      <c r="Z40" s="2361"/>
      <c r="AA40" s="1635"/>
      <c r="AB40" s="1635"/>
      <c r="AC40" s="1635"/>
      <c r="AD40" s="1636"/>
      <c r="AE40" s="2361"/>
      <c r="AF40" s="1635"/>
      <c r="AG40" s="1635"/>
      <c r="AH40" s="1635"/>
      <c r="AI40" s="1636"/>
      <c r="AJ40" s="2361"/>
      <c r="AK40" s="1635"/>
      <c r="AL40" s="1635"/>
      <c r="AM40" s="1635"/>
      <c r="AN40" s="1636"/>
      <c r="AO40" s="2361"/>
      <c r="AP40" s="1635"/>
      <c r="AQ40" s="1635"/>
      <c r="AR40" s="1635"/>
      <c r="AS40" s="1636"/>
      <c r="AT40" s="2361"/>
      <c r="AU40" s="1635"/>
      <c r="AV40" s="1635"/>
      <c r="AW40" s="1635"/>
      <c r="AX40" s="1636"/>
      <c r="AY40" s="2361"/>
      <c r="AZ40" s="1635"/>
      <c r="BA40" s="1635"/>
      <c r="BB40" s="1635"/>
      <c r="BC40" s="1636"/>
      <c r="BD40" s="2361"/>
      <c r="BE40" s="1635"/>
      <c r="BF40" s="1635"/>
      <c r="BG40" s="1635"/>
      <c r="BH40" s="1636"/>
      <c r="BI40" s="2363"/>
      <c r="BJ40" s="2364"/>
      <c r="BK40" s="2364"/>
      <c r="BL40" s="2364"/>
      <c r="BM40" s="2365"/>
      <c r="BN40" s="2363"/>
      <c r="BO40" s="2364"/>
      <c r="BP40" s="2364"/>
      <c r="BQ40" s="2364"/>
      <c r="BR40" s="2365"/>
      <c r="ED40" s="13"/>
      <c r="EE40" s="13"/>
      <c r="EF40" s="13"/>
      <c r="EG40" s="13"/>
      <c r="EH40" s="13"/>
    </row>
    <row r="41" spans="1:138" ht="6" customHeight="1" x14ac:dyDescent="0.25">
      <c r="A41" s="2362"/>
      <c r="B41" s="1638"/>
      <c r="C41" s="1638"/>
      <c r="D41" s="1638"/>
      <c r="E41" s="1639"/>
      <c r="F41" s="2362"/>
      <c r="G41" s="1638"/>
      <c r="H41" s="1638"/>
      <c r="I41" s="1638"/>
      <c r="J41" s="1639"/>
      <c r="K41" s="2362"/>
      <c r="L41" s="1638"/>
      <c r="M41" s="1638"/>
      <c r="N41" s="1638"/>
      <c r="O41" s="1639"/>
      <c r="P41" s="2362"/>
      <c r="Q41" s="1638"/>
      <c r="R41" s="1638"/>
      <c r="S41" s="1638"/>
      <c r="T41" s="1639"/>
      <c r="U41" s="2362"/>
      <c r="V41" s="1638"/>
      <c r="W41" s="1638"/>
      <c r="X41" s="1638"/>
      <c r="Y41" s="1639"/>
      <c r="Z41" s="2362"/>
      <c r="AA41" s="1638"/>
      <c r="AB41" s="1638"/>
      <c r="AC41" s="1638"/>
      <c r="AD41" s="1639"/>
      <c r="AE41" s="2362"/>
      <c r="AF41" s="1638"/>
      <c r="AG41" s="1638"/>
      <c r="AH41" s="1638"/>
      <c r="AI41" s="1639"/>
      <c r="AJ41" s="2362"/>
      <c r="AK41" s="1638"/>
      <c r="AL41" s="1638"/>
      <c r="AM41" s="1638"/>
      <c r="AN41" s="1639"/>
      <c r="AO41" s="2362"/>
      <c r="AP41" s="1638"/>
      <c r="AQ41" s="1638"/>
      <c r="AR41" s="1638"/>
      <c r="AS41" s="1639"/>
      <c r="AT41" s="2362"/>
      <c r="AU41" s="1638"/>
      <c r="AV41" s="1638"/>
      <c r="AW41" s="1638"/>
      <c r="AX41" s="1639"/>
      <c r="AY41" s="2362"/>
      <c r="AZ41" s="1638"/>
      <c r="BA41" s="1638"/>
      <c r="BB41" s="1638"/>
      <c r="BC41" s="1639"/>
      <c r="BD41" s="2362"/>
      <c r="BE41" s="1638"/>
      <c r="BF41" s="1638"/>
      <c r="BG41" s="1638"/>
      <c r="BH41" s="1639"/>
      <c r="BI41" s="1794"/>
      <c r="BJ41" s="1795"/>
      <c r="BK41" s="1795"/>
      <c r="BL41" s="1795"/>
      <c r="BM41" s="1796"/>
      <c r="BN41" s="1794"/>
      <c r="BO41" s="1795"/>
      <c r="BP41" s="1795"/>
      <c r="BQ41" s="1795"/>
      <c r="BR41" s="1796"/>
      <c r="ED41" s="13"/>
      <c r="EE41" s="13"/>
      <c r="EF41" s="13"/>
      <c r="EG41" s="13"/>
      <c r="EH41" s="13"/>
    </row>
    <row r="42" spans="1:138" s="22" customFormat="1" ht="111.75" customHeight="1" x14ac:dyDescent="1.35">
      <c r="A42" s="1870" t="s">
        <v>492</v>
      </c>
      <c r="B42" s="588">
        <v>79</v>
      </c>
      <c r="C42" s="589"/>
      <c r="D42" s="589"/>
      <c r="E42" s="590"/>
      <c r="F42" s="1870" t="s">
        <v>492</v>
      </c>
      <c r="G42" s="588">
        <v>80</v>
      </c>
      <c r="H42" s="589"/>
      <c r="I42" s="589"/>
      <c r="J42" s="590"/>
      <c r="K42" s="1870" t="s">
        <v>492</v>
      </c>
      <c r="L42" s="588">
        <v>81</v>
      </c>
      <c r="M42" s="589"/>
      <c r="N42" s="589"/>
      <c r="O42" s="590"/>
      <c r="P42" s="1870" t="s">
        <v>492</v>
      </c>
      <c r="Q42" s="588">
        <v>82</v>
      </c>
      <c r="R42" s="589"/>
      <c r="S42" s="589"/>
      <c r="T42" s="590"/>
      <c r="U42" s="1870" t="s">
        <v>492</v>
      </c>
      <c r="V42" s="588">
        <v>83</v>
      </c>
      <c r="W42" s="589"/>
      <c r="X42" s="589"/>
      <c r="Y42" s="590"/>
      <c r="Z42" s="1870" t="s">
        <v>492</v>
      </c>
      <c r="AA42" s="588">
        <v>101</v>
      </c>
      <c r="AB42" s="589"/>
      <c r="AC42" s="589"/>
      <c r="AD42" s="590"/>
      <c r="AE42" s="1870" t="s">
        <v>492</v>
      </c>
      <c r="AF42" s="588">
        <v>102</v>
      </c>
      <c r="AG42" s="589"/>
      <c r="AH42" s="589"/>
      <c r="AI42" s="590"/>
      <c r="AJ42" s="1870" t="s">
        <v>492</v>
      </c>
      <c r="AK42" s="588">
        <v>103</v>
      </c>
      <c r="AL42" s="589"/>
      <c r="AM42" s="589"/>
      <c r="AN42" s="590"/>
      <c r="AO42" s="1870" t="s">
        <v>492</v>
      </c>
      <c r="AP42" s="588">
        <v>104</v>
      </c>
      <c r="AQ42" s="589"/>
      <c r="AR42" s="589"/>
      <c r="AS42" s="590"/>
      <c r="AT42" s="1870" t="s">
        <v>492</v>
      </c>
      <c r="AU42" s="588">
        <v>105</v>
      </c>
      <c r="AV42" s="589"/>
      <c r="AW42" s="589"/>
      <c r="AX42" s="590"/>
      <c r="AY42" s="1870" t="s">
        <v>492</v>
      </c>
      <c r="AZ42" s="588">
        <v>106</v>
      </c>
      <c r="BA42" s="589"/>
      <c r="BB42" s="589"/>
      <c r="BC42" s="590"/>
      <c r="BD42" s="1870" t="s">
        <v>492</v>
      </c>
      <c r="BE42" s="588">
        <v>108</v>
      </c>
      <c r="BF42" s="589"/>
      <c r="BG42" s="589"/>
      <c r="BH42" s="590"/>
      <c r="BI42" s="1898" t="s">
        <v>169</v>
      </c>
      <c r="BJ42" s="588">
        <v>58</v>
      </c>
      <c r="BK42" s="589"/>
      <c r="BL42" s="589"/>
      <c r="BM42" s="590"/>
      <c r="BN42" s="1898" t="s">
        <v>169</v>
      </c>
      <c r="BO42" s="588">
        <v>59</v>
      </c>
      <c r="BP42" s="589"/>
      <c r="BQ42" s="589"/>
      <c r="BR42" s="590"/>
      <c r="ED42" s="379"/>
      <c r="EE42" s="379"/>
      <c r="EF42" s="379"/>
      <c r="EG42" s="379"/>
      <c r="EH42" s="379"/>
    </row>
    <row r="43" spans="1:138" ht="50.25" customHeight="1" thickBot="1" x14ac:dyDescent="0.3">
      <c r="A43" s="1871"/>
      <c r="B43" s="61">
        <v>9.9999999999999998E-13</v>
      </c>
      <c r="C43" s="62" t="s">
        <v>113</v>
      </c>
      <c r="D43" s="63"/>
      <c r="E43" s="64" t="s">
        <v>114</v>
      </c>
      <c r="F43" s="1871"/>
      <c r="G43" s="61">
        <v>1.0000000000000001E-9</v>
      </c>
      <c r="H43" s="62" t="s">
        <v>113</v>
      </c>
      <c r="I43" s="63"/>
      <c r="J43" s="64" t="s">
        <v>114</v>
      </c>
      <c r="K43" s="1871"/>
      <c r="L43" s="61">
        <v>0.35499999999999998</v>
      </c>
      <c r="M43" s="62" t="s">
        <v>113</v>
      </c>
      <c r="N43" s="63"/>
      <c r="O43" s="64" t="s">
        <v>114</v>
      </c>
      <c r="P43" s="1871"/>
      <c r="Q43" s="61">
        <v>2.7429999999999999</v>
      </c>
      <c r="R43" s="62" t="s">
        <v>113</v>
      </c>
      <c r="S43" s="63">
        <v>1</v>
      </c>
      <c r="T43" s="64" t="s">
        <v>114</v>
      </c>
      <c r="U43" s="1871"/>
      <c r="V43" s="61">
        <v>0.43180000000000002</v>
      </c>
      <c r="W43" s="62" t="s">
        <v>113</v>
      </c>
      <c r="X43" s="63"/>
      <c r="Y43" s="64" t="s">
        <v>114</v>
      </c>
      <c r="Z43" s="1871"/>
      <c r="AA43" s="61">
        <v>1E-13</v>
      </c>
      <c r="AB43" s="62" t="s">
        <v>113</v>
      </c>
      <c r="AC43" s="63">
        <v>1</v>
      </c>
      <c r="AD43" s="64" t="s">
        <v>114</v>
      </c>
      <c r="AE43" s="1871"/>
      <c r="AF43" s="61">
        <v>1E-4</v>
      </c>
      <c r="AG43" s="62" t="s">
        <v>113</v>
      </c>
      <c r="AH43" s="63"/>
      <c r="AI43" s="64" t="s">
        <v>114</v>
      </c>
      <c r="AJ43" s="1871"/>
      <c r="AK43" s="61">
        <v>0.64700000000000002</v>
      </c>
      <c r="AL43" s="62" t="s">
        <v>113</v>
      </c>
      <c r="AM43" s="63"/>
      <c r="AN43" s="64" t="s">
        <v>114</v>
      </c>
      <c r="AO43" s="1871"/>
      <c r="AP43" s="61">
        <v>0.40600000000000003</v>
      </c>
      <c r="AQ43" s="62" t="s">
        <v>113</v>
      </c>
      <c r="AR43" s="63"/>
      <c r="AS43" s="64" t="s">
        <v>114</v>
      </c>
      <c r="AT43" s="1871"/>
      <c r="AU43" s="61">
        <v>1.32</v>
      </c>
      <c r="AV43" s="62" t="s">
        <v>113</v>
      </c>
      <c r="AW43" s="63">
        <v>1</v>
      </c>
      <c r="AX43" s="64" t="s">
        <v>114</v>
      </c>
      <c r="AY43" s="2374"/>
      <c r="AZ43" s="387">
        <v>1.3715999999999999</v>
      </c>
      <c r="BA43" s="388" t="s">
        <v>113</v>
      </c>
      <c r="BB43" s="389"/>
      <c r="BC43" s="390" t="s">
        <v>114</v>
      </c>
      <c r="BD43" s="2374"/>
      <c r="BE43" s="387">
        <v>1.0000000000000001E-9</v>
      </c>
      <c r="BF43" s="388" t="s">
        <v>113</v>
      </c>
      <c r="BG43" s="389"/>
      <c r="BH43" s="390" t="s">
        <v>114</v>
      </c>
      <c r="BI43" s="2373"/>
      <c r="BJ43" s="387">
        <v>0.43180000000000002</v>
      </c>
      <c r="BK43" s="388" t="s">
        <v>113</v>
      </c>
      <c r="BL43" s="389"/>
      <c r="BM43" s="390" t="s">
        <v>114</v>
      </c>
      <c r="BN43" s="2373"/>
      <c r="BO43" s="387">
        <v>9.9999999999999998E-13</v>
      </c>
      <c r="BP43" s="388" t="s">
        <v>113</v>
      </c>
      <c r="BQ43" s="389">
        <v>1</v>
      </c>
      <c r="BR43" s="390" t="s">
        <v>114</v>
      </c>
      <c r="BW43" s="27"/>
      <c r="BX43" s="27"/>
      <c r="BY43" s="27"/>
      <c r="BZ43" s="27"/>
      <c r="CA43" s="27"/>
      <c r="CB43" s="27"/>
      <c r="CC43" s="27"/>
      <c r="CD43" s="27"/>
      <c r="CE43" s="27"/>
      <c r="ED43" s="57"/>
      <c r="EE43" s="57"/>
      <c r="EF43" s="57"/>
      <c r="EG43" s="57"/>
      <c r="EH43" s="57"/>
    </row>
    <row r="44" spans="1:138" ht="36" customHeight="1" thickTop="1" x14ac:dyDescent="0.25">
      <c r="A44" s="1900" t="s">
        <v>110</v>
      </c>
      <c r="B44" s="2083"/>
      <c r="C44" s="2084">
        <f t="shared" ref="C44" si="84">B49/((68*3.1415/64)*(60/3.281))</f>
        <v>1.6382831980476417E-13</v>
      </c>
      <c r="D44" s="2084"/>
      <c r="E44" s="2085"/>
      <c r="F44" s="1900" t="s">
        <v>110</v>
      </c>
      <c r="G44" s="2083"/>
      <c r="H44" s="2084">
        <f t="shared" ref="H44" si="85">G49/((68*3.1415/64)*(60/3.281))</f>
        <v>1.6382831980476418E-10</v>
      </c>
      <c r="I44" s="2084"/>
      <c r="J44" s="2085"/>
      <c r="K44" s="1900" t="s">
        <v>110</v>
      </c>
      <c r="L44" s="2083"/>
      <c r="M44" s="2084">
        <f t="shared" ref="M44" si="86">L49/((68*3.1415/64)*(60/3.281))</f>
        <v>7.5311878614250094E-2</v>
      </c>
      <c r="N44" s="2084"/>
      <c r="O44" s="2085"/>
      <c r="P44" s="1900" t="s">
        <v>110</v>
      </c>
      <c r="Q44" s="2083"/>
      <c r="R44" s="2084">
        <f t="shared" ref="R44" si="87">Q49/((68*3.1415/64)*(60/3.281))</f>
        <v>1.6382831980476417E-13</v>
      </c>
      <c r="S44" s="2084"/>
      <c r="T44" s="2085"/>
      <c r="U44" s="1900" t="s">
        <v>110</v>
      </c>
      <c r="V44" s="2083"/>
      <c r="W44" s="2084">
        <f t="shared" ref="W44" si="88">V49/((68*3.1415/64)*(60/3.281))</f>
        <v>1.6382831980476417E-16</v>
      </c>
      <c r="X44" s="2084"/>
      <c r="Y44" s="2085"/>
      <c r="Z44" s="2366" t="s">
        <v>110</v>
      </c>
      <c r="AA44" s="2367"/>
      <c r="AB44" s="2368">
        <f>AA49/((68*3.1415/64)*(65/3.281))</f>
        <v>2.6888007933495755E-2</v>
      </c>
      <c r="AC44" s="2368"/>
      <c r="AD44" s="2369"/>
      <c r="AE44" s="2366" t="s">
        <v>110</v>
      </c>
      <c r="AF44" s="2367"/>
      <c r="AG44" s="2368">
        <f t="shared" ref="AG44" si="89">AF49/((68*3.1415/64)*(65/3.281))</f>
        <v>6.5299447838489694E-3</v>
      </c>
      <c r="AH44" s="2368"/>
      <c r="AI44" s="2369"/>
      <c r="AJ44" s="2366" t="s">
        <v>110</v>
      </c>
      <c r="AK44" s="2367"/>
      <c r="AL44" s="2368">
        <f t="shared" ref="AL44" si="90">AK49/((68*3.1415/64)*(65/3.281))</f>
        <v>8.0603533343943969E-3</v>
      </c>
      <c r="AM44" s="2368"/>
      <c r="AN44" s="2369"/>
      <c r="AO44" s="2366" t="s">
        <v>110</v>
      </c>
      <c r="AP44" s="2367"/>
      <c r="AQ44" s="2368">
        <f t="shared" ref="AQ44" si="91">AP49/((68*3.1415/64)*(65/3.281))</f>
        <v>5.6080702261291152E-2</v>
      </c>
      <c r="AR44" s="2368"/>
      <c r="AS44" s="2369"/>
      <c r="AT44" s="2370" t="s">
        <v>110</v>
      </c>
      <c r="AU44" s="2371"/>
      <c r="AV44" s="2372">
        <f>AU49/((68*3.1415/64)*(70/3.281))</f>
        <v>6.4201978126918443E-3</v>
      </c>
      <c r="AW44" s="2372"/>
      <c r="AX44" s="2372"/>
      <c r="AY44" s="712"/>
      <c r="AZ44" s="710"/>
      <c r="BA44" s="711"/>
      <c r="BB44" s="711"/>
      <c r="BC44" s="711"/>
      <c r="BD44" s="710"/>
      <c r="BE44" s="710"/>
      <c r="BF44" s="711"/>
      <c r="BG44" s="711"/>
      <c r="BH44" s="711"/>
      <c r="BI44" s="710"/>
      <c r="BJ44" s="710"/>
      <c r="BK44" s="711"/>
      <c r="BL44" s="711"/>
      <c r="BM44" s="711"/>
      <c r="BN44" s="710"/>
      <c r="BO44" s="710"/>
      <c r="BP44" s="711"/>
      <c r="BQ44" s="711"/>
      <c r="BR44" s="711"/>
      <c r="ED44" s="57"/>
      <c r="EE44" s="57"/>
      <c r="EF44" s="57"/>
      <c r="EG44" s="57"/>
      <c r="EH44" s="57"/>
    </row>
    <row r="45" spans="1:138" ht="6.75" customHeight="1" x14ac:dyDescent="0.25">
      <c r="A45" s="1791" t="s">
        <v>489</v>
      </c>
      <c r="B45" s="1792"/>
      <c r="C45" s="1792"/>
      <c r="D45" s="1792"/>
      <c r="E45" s="1793"/>
      <c r="F45" s="1791" t="s">
        <v>489</v>
      </c>
      <c r="G45" s="1792"/>
      <c r="H45" s="1792"/>
      <c r="I45" s="1792"/>
      <c r="J45" s="1793"/>
      <c r="K45" s="2360" t="s">
        <v>489</v>
      </c>
      <c r="L45" s="1632"/>
      <c r="M45" s="1632"/>
      <c r="N45" s="1632"/>
      <c r="O45" s="1633"/>
      <c r="P45" s="2360" t="s">
        <v>489</v>
      </c>
      <c r="Q45" s="1632"/>
      <c r="R45" s="1632"/>
      <c r="S45" s="1632"/>
      <c r="T45" s="1633"/>
      <c r="U45" s="2360" t="s">
        <v>489</v>
      </c>
      <c r="V45" s="1632"/>
      <c r="W45" s="1632"/>
      <c r="X45" s="1632"/>
      <c r="Y45" s="1633"/>
      <c r="Z45" s="1791" t="s">
        <v>489</v>
      </c>
      <c r="AA45" s="1792"/>
      <c r="AB45" s="1792"/>
      <c r="AC45" s="1792"/>
      <c r="AD45" s="1793"/>
      <c r="AE45" s="1791" t="s">
        <v>489</v>
      </c>
      <c r="AF45" s="1792"/>
      <c r="AG45" s="1792"/>
      <c r="AH45" s="1792"/>
      <c r="AI45" s="1793"/>
      <c r="AJ45" s="1791" t="s">
        <v>489</v>
      </c>
      <c r="AK45" s="1792"/>
      <c r="AL45" s="1792"/>
      <c r="AM45" s="1792"/>
      <c r="AN45" s="1793"/>
      <c r="AO45" s="2360" t="s">
        <v>489</v>
      </c>
      <c r="AP45" s="1632"/>
      <c r="AQ45" s="1632"/>
      <c r="AR45" s="1632"/>
      <c r="AS45" s="1633"/>
      <c r="AT45" s="1791" t="s">
        <v>489</v>
      </c>
      <c r="AU45" s="1792"/>
      <c r="AV45" s="1792"/>
      <c r="AW45" s="1792"/>
      <c r="AX45" s="1793"/>
      <c r="AY45" s="721"/>
      <c r="AZ45" s="714"/>
      <c r="BA45" s="714"/>
      <c r="BB45" s="714"/>
      <c r="BC45" s="714"/>
      <c r="BD45" s="714"/>
      <c r="BE45" s="714"/>
      <c r="BF45" s="714"/>
      <c r="BG45" s="714"/>
      <c r="BH45" s="714"/>
      <c r="BI45" s="714"/>
      <c r="BJ45" s="714"/>
      <c r="BK45" s="714"/>
      <c r="BL45" s="714"/>
      <c r="BM45" s="714"/>
      <c r="BN45" s="714"/>
      <c r="BO45" s="714"/>
      <c r="BP45" s="714"/>
      <c r="BQ45" s="714"/>
      <c r="BR45" s="714"/>
      <c r="ED45" s="57"/>
      <c r="EE45" s="57"/>
      <c r="EF45" s="57"/>
      <c r="EG45" s="57"/>
      <c r="EH45" s="57"/>
    </row>
    <row r="46" spans="1:138" ht="18" customHeight="1" x14ac:dyDescent="0.25">
      <c r="A46" s="2363"/>
      <c r="B46" s="2364"/>
      <c r="C46" s="2364"/>
      <c r="D46" s="2364"/>
      <c r="E46" s="2365"/>
      <c r="F46" s="2363"/>
      <c r="G46" s="2364"/>
      <c r="H46" s="2364"/>
      <c r="I46" s="2364"/>
      <c r="J46" s="2365"/>
      <c r="K46" s="2361"/>
      <c r="L46" s="1635"/>
      <c r="M46" s="1635"/>
      <c r="N46" s="1635"/>
      <c r="O46" s="1636"/>
      <c r="P46" s="2361"/>
      <c r="Q46" s="1635"/>
      <c r="R46" s="1635"/>
      <c r="S46" s="1635"/>
      <c r="T46" s="1636"/>
      <c r="U46" s="2361"/>
      <c r="V46" s="1635"/>
      <c r="W46" s="1635"/>
      <c r="X46" s="1635"/>
      <c r="Y46" s="1636"/>
      <c r="Z46" s="2363"/>
      <c r="AA46" s="2364"/>
      <c r="AB46" s="2364"/>
      <c r="AC46" s="2364"/>
      <c r="AD46" s="2365"/>
      <c r="AE46" s="2363"/>
      <c r="AF46" s="2364"/>
      <c r="AG46" s="2364"/>
      <c r="AH46" s="2364"/>
      <c r="AI46" s="2365"/>
      <c r="AJ46" s="2363"/>
      <c r="AK46" s="2364"/>
      <c r="AL46" s="2364"/>
      <c r="AM46" s="2364"/>
      <c r="AN46" s="2365"/>
      <c r="AO46" s="2361"/>
      <c r="AP46" s="1635"/>
      <c r="AQ46" s="1635"/>
      <c r="AR46" s="1635"/>
      <c r="AS46" s="1636"/>
      <c r="AT46" s="2363"/>
      <c r="AU46" s="2364"/>
      <c r="AV46" s="2364"/>
      <c r="AW46" s="2364"/>
      <c r="AX46" s="2365"/>
      <c r="AY46" s="721"/>
      <c r="AZ46" s="714"/>
      <c r="BA46" s="714"/>
      <c r="BB46" s="714"/>
      <c r="BC46" s="714"/>
      <c r="BD46" s="714"/>
      <c r="BE46" s="714"/>
      <c r="BF46" s="714"/>
      <c r="BG46" s="714"/>
      <c r="BH46" s="714"/>
      <c r="BI46" s="714"/>
      <c r="BJ46" s="714"/>
      <c r="BK46" s="714"/>
      <c r="BL46" s="714"/>
      <c r="BM46" s="714"/>
      <c r="BN46" s="714"/>
      <c r="BO46" s="714"/>
      <c r="BP46" s="714"/>
      <c r="BQ46" s="714"/>
      <c r="BR46" s="714"/>
      <c r="ED46" s="57"/>
      <c r="EE46" s="57"/>
      <c r="EF46" s="57"/>
      <c r="EG46" s="57"/>
      <c r="EH46" s="57"/>
    </row>
    <row r="47" spans="1:138" ht="6" customHeight="1" x14ac:dyDescent="0.25">
      <c r="A47" s="1794"/>
      <c r="B47" s="1795"/>
      <c r="C47" s="1795"/>
      <c r="D47" s="1795"/>
      <c r="E47" s="1796"/>
      <c r="F47" s="1794"/>
      <c r="G47" s="1795"/>
      <c r="H47" s="1795"/>
      <c r="I47" s="1795"/>
      <c r="J47" s="1796"/>
      <c r="K47" s="2362"/>
      <c r="L47" s="1638"/>
      <c r="M47" s="1638"/>
      <c r="N47" s="1638"/>
      <c r="O47" s="1639"/>
      <c r="P47" s="2362"/>
      <c r="Q47" s="1638"/>
      <c r="R47" s="1638"/>
      <c r="S47" s="1638"/>
      <c r="T47" s="1639"/>
      <c r="U47" s="2362"/>
      <c r="V47" s="1638"/>
      <c r="W47" s="1638"/>
      <c r="X47" s="1638"/>
      <c r="Y47" s="1639"/>
      <c r="Z47" s="1794"/>
      <c r="AA47" s="1795"/>
      <c r="AB47" s="1795"/>
      <c r="AC47" s="1795"/>
      <c r="AD47" s="1796"/>
      <c r="AE47" s="1794"/>
      <c r="AF47" s="1795"/>
      <c r="AG47" s="1795"/>
      <c r="AH47" s="1795"/>
      <c r="AI47" s="1796"/>
      <c r="AJ47" s="1794"/>
      <c r="AK47" s="1795"/>
      <c r="AL47" s="1795"/>
      <c r="AM47" s="1795"/>
      <c r="AN47" s="1796"/>
      <c r="AO47" s="2362"/>
      <c r="AP47" s="1638"/>
      <c r="AQ47" s="1638"/>
      <c r="AR47" s="1638"/>
      <c r="AS47" s="1639"/>
      <c r="AT47" s="1794"/>
      <c r="AU47" s="1795"/>
      <c r="AV47" s="1795"/>
      <c r="AW47" s="1795"/>
      <c r="AX47" s="1796"/>
      <c r="AY47" s="721"/>
      <c r="AZ47" s="714"/>
      <c r="BA47" s="714"/>
      <c r="BB47" s="714"/>
      <c r="BC47" s="714"/>
      <c r="BD47" s="714"/>
      <c r="BE47" s="714"/>
      <c r="BF47" s="714"/>
      <c r="BG47" s="714"/>
      <c r="BH47" s="714"/>
      <c r="BI47" s="714"/>
      <c r="BJ47" s="714"/>
      <c r="BK47" s="714"/>
      <c r="BL47" s="714"/>
      <c r="BM47" s="714"/>
      <c r="BN47" s="714"/>
      <c r="BO47" s="714"/>
      <c r="BP47" s="714"/>
      <c r="BQ47" s="714"/>
      <c r="BR47" s="714"/>
    </row>
    <row r="48" spans="1:138" s="22" customFormat="1" ht="111.75" customHeight="1" x14ac:dyDescent="1.35">
      <c r="A48" s="1898" t="s">
        <v>169</v>
      </c>
      <c r="B48" s="588">
        <v>60</v>
      </c>
      <c r="C48" s="589"/>
      <c r="D48" s="589"/>
      <c r="E48" s="590"/>
      <c r="F48" s="1898" t="s">
        <v>169</v>
      </c>
      <c r="G48" s="588">
        <v>62</v>
      </c>
      <c r="H48" s="589"/>
      <c r="I48" s="589"/>
      <c r="J48" s="590"/>
      <c r="K48" s="1898" t="s">
        <v>169</v>
      </c>
      <c r="L48" s="588">
        <v>67</v>
      </c>
      <c r="M48" s="589"/>
      <c r="N48" s="589"/>
      <c r="O48" s="590"/>
      <c r="P48" s="1898" t="s">
        <v>169</v>
      </c>
      <c r="Q48" s="588">
        <v>69</v>
      </c>
      <c r="R48" s="589"/>
      <c r="S48" s="589"/>
      <c r="T48" s="590"/>
      <c r="U48" s="1898" t="s">
        <v>169</v>
      </c>
      <c r="V48" s="588">
        <v>70</v>
      </c>
      <c r="W48" s="589"/>
      <c r="X48" s="589"/>
      <c r="Y48" s="590"/>
      <c r="Z48" s="2358" t="s">
        <v>165</v>
      </c>
      <c r="AA48" s="588">
        <v>1</v>
      </c>
      <c r="AB48" s="589"/>
      <c r="AC48" s="589"/>
      <c r="AD48" s="590"/>
      <c r="AE48" s="2358" t="s">
        <v>165</v>
      </c>
      <c r="AF48" s="588">
        <v>3</v>
      </c>
      <c r="AG48" s="589"/>
      <c r="AH48" s="589"/>
      <c r="AI48" s="590"/>
      <c r="AJ48" s="2358" t="s">
        <v>165</v>
      </c>
      <c r="AK48" s="588">
        <v>36</v>
      </c>
      <c r="AL48" s="589"/>
      <c r="AM48" s="589"/>
      <c r="AN48" s="590"/>
      <c r="AO48" s="2358" t="s">
        <v>165</v>
      </c>
      <c r="AP48" s="588">
        <v>68</v>
      </c>
      <c r="AQ48" s="589"/>
      <c r="AR48" s="589"/>
      <c r="AS48" s="590"/>
      <c r="AT48" s="2356" t="s">
        <v>137</v>
      </c>
      <c r="AU48" s="588">
        <v>61</v>
      </c>
      <c r="AV48" s="589"/>
      <c r="AW48" s="589"/>
      <c r="AX48" s="590"/>
      <c r="AY48" s="718"/>
      <c r="AZ48" s="1923"/>
      <c r="BA48" s="1923"/>
      <c r="BB48" s="1923"/>
      <c r="BC48" s="1923"/>
      <c r="BD48" s="716"/>
      <c r="BE48" s="1923"/>
      <c r="BF48" s="1923"/>
      <c r="BG48" s="1923"/>
      <c r="BH48" s="1923"/>
      <c r="BI48" s="716"/>
      <c r="BJ48" s="1923"/>
      <c r="BK48" s="1923"/>
      <c r="BL48" s="1923"/>
      <c r="BM48" s="1923"/>
      <c r="BN48" s="716"/>
      <c r="BO48" s="1923"/>
      <c r="BP48" s="1923"/>
      <c r="BQ48" s="1923"/>
      <c r="BR48" s="1923"/>
    </row>
    <row r="49" spans="1:83" ht="50.25" customHeight="1" thickBot="1" x14ac:dyDescent="0.3">
      <c r="A49" s="1899"/>
      <c r="B49" s="61">
        <v>9.9999999999999994E-12</v>
      </c>
      <c r="C49" s="62" t="s">
        <v>113</v>
      </c>
      <c r="D49" s="63"/>
      <c r="E49" s="64" t="s">
        <v>114</v>
      </c>
      <c r="F49" s="1899"/>
      <c r="G49" s="61">
        <v>1E-8</v>
      </c>
      <c r="H49" s="62" t="s">
        <v>113</v>
      </c>
      <c r="I49" s="63">
        <v>1</v>
      </c>
      <c r="J49" s="64" t="s">
        <v>114</v>
      </c>
      <c r="K49" s="1899"/>
      <c r="L49" s="61">
        <v>4.5970000000000004</v>
      </c>
      <c r="M49" s="62" t="s">
        <v>113</v>
      </c>
      <c r="N49" s="63"/>
      <c r="O49" s="64" t="s">
        <v>114</v>
      </c>
      <c r="P49" s="1899"/>
      <c r="Q49" s="61">
        <v>9.9999999999999994E-12</v>
      </c>
      <c r="R49" s="62" t="s">
        <v>113</v>
      </c>
      <c r="S49" s="63"/>
      <c r="T49" s="64" t="s">
        <v>114</v>
      </c>
      <c r="U49" s="1899"/>
      <c r="V49" s="61">
        <v>1E-14</v>
      </c>
      <c r="W49" s="62" t="s">
        <v>113</v>
      </c>
      <c r="X49" s="63"/>
      <c r="Y49" s="64" t="s">
        <v>114</v>
      </c>
      <c r="Z49" s="2359"/>
      <c r="AA49" s="61">
        <v>1.778</v>
      </c>
      <c r="AB49" s="62" t="s">
        <v>113</v>
      </c>
      <c r="AC49" s="63"/>
      <c r="AD49" s="64" t="s">
        <v>114</v>
      </c>
      <c r="AE49" s="2359"/>
      <c r="AF49" s="61">
        <v>0.43180000000000002</v>
      </c>
      <c r="AG49" s="62" t="s">
        <v>113</v>
      </c>
      <c r="AH49" s="63">
        <v>1</v>
      </c>
      <c r="AI49" s="64" t="s">
        <v>114</v>
      </c>
      <c r="AJ49" s="2359"/>
      <c r="AK49" s="61">
        <v>0.53300000000000003</v>
      </c>
      <c r="AL49" s="62" t="s">
        <v>113</v>
      </c>
      <c r="AM49" s="63">
        <v>1</v>
      </c>
      <c r="AN49" s="64" t="s">
        <v>114</v>
      </c>
      <c r="AO49" s="2359"/>
      <c r="AP49" s="61">
        <v>3.7084000000000001</v>
      </c>
      <c r="AQ49" s="62" t="s">
        <v>113</v>
      </c>
      <c r="AR49" s="63">
        <v>1</v>
      </c>
      <c r="AS49" s="64" t="s">
        <v>114</v>
      </c>
      <c r="AT49" s="2357"/>
      <c r="AU49" s="61">
        <v>0.4572</v>
      </c>
      <c r="AV49" s="62" t="s">
        <v>113</v>
      </c>
      <c r="AW49" s="63"/>
      <c r="AX49" s="64" t="s">
        <v>114</v>
      </c>
      <c r="AY49" s="718"/>
      <c r="AZ49" s="32"/>
      <c r="BA49" s="33"/>
      <c r="BB49" s="34"/>
      <c r="BC49" s="35"/>
      <c r="BD49" s="716"/>
      <c r="BE49" s="32"/>
      <c r="BF49" s="33"/>
      <c r="BG49" s="34"/>
      <c r="BH49" s="35"/>
      <c r="BI49" s="716"/>
      <c r="BJ49" s="32"/>
      <c r="BK49" s="33"/>
      <c r="BL49" s="34"/>
      <c r="BM49" s="35"/>
      <c r="BN49" s="716"/>
      <c r="BO49" s="32"/>
      <c r="BP49" s="33"/>
      <c r="BQ49" s="34"/>
      <c r="BR49" s="35"/>
      <c r="BW49" s="27"/>
      <c r="BX49" s="27"/>
      <c r="BY49" s="27"/>
      <c r="BZ49" s="27"/>
      <c r="CA49" s="27"/>
      <c r="CB49" s="27"/>
      <c r="CC49" s="27"/>
      <c r="CD49" s="27"/>
      <c r="CE49" s="27"/>
    </row>
    <row r="50" spans="1:83" ht="26.1" hidden="1" customHeight="1" thickTop="1" x14ac:dyDescent="0.25">
      <c r="A50" s="672"/>
      <c r="B50" s="672"/>
      <c r="C50" s="672"/>
      <c r="D50" s="673"/>
      <c r="E50" s="673"/>
      <c r="F50" s="672"/>
      <c r="G50" s="672"/>
      <c r="H50" s="672"/>
      <c r="I50" s="673"/>
      <c r="J50" s="673"/>
      <c r="K50" s="672"/>
      <c r="L50" s="672"/>
      <c r="M50" s="672"/>
      <c r="N50" s="673"/>
      <c r="O50" s="673"/>
      <c r="P50" s="672"/>
      <c r="Q50" s="672"/>
      <c r="R50" s="672"/>
      <c r="S50" s="673"/>
      <c r="T50" s="673"/>
      <c r="U50" s="674"/>
      <c r="V50" s="674"/>
      <c r="W50" s="674"/>
      <c r="X50" s="675"/>
      <c r="Y50" s="675"/>
      <c r="Z50" s="674"/>
      <c r="AA50" s="674"/>
      <c r="AB50" s="674"/>
      <c r="AC50" s="675"/>
      <c r="AD50" s="675"/>
      <c r="AE50" s="674"/>
      <c r="AF50" s="674"/>
      <c r="AG50" s="674"/>
      <c r="AH50" s="675"/>
      <c r="AI50" s="675"/>
      <c r="AJ50" s="674"/>
      <c r="AK50" s="674"/>
      <c r="AL50" s="674"/>
      <c r="AM50" s="675"/>
      <c r="AN50" s="675"/>
      <c r="AO50" s="674"/>
      <c r="AP50" s="674"/>
      <c r="AQ50" s="674"/>
      <c r="AR50" s="675"/>
      <c r="AS50" s="675"/>
      <c r="AT50" s="674"/>
      <c r="AU50" s="674"/>
      <c r="AV50" s="674"/>
      <c r="AW50" s="675"/>
      <c r="AX50" s="675"/>
      <c r="AY50" s="674"/>
      <c r="AZ50" s="674"/>
      <c r="BA50" s="674"/>
      <c r="BB50" s="675"/>
      <c r="BC50" s="675"/>
      <c r="BD50" s="674"/>
      <c r="BE50" s="674"/>
      <c r="BF50" s="674"/>
      <c r="BG50" s="675"/>
      <c r="BH50" s="675"/>
      <c r="BI50" s="674"/>
      <c r="BJ50" s="674"/>
      <c r="BK50" s="674"/>
      <c r="BL50" s="675"/>
      <c r="BM50" s="675"/>
      <c r="BN50" s="674"/>
      <c r="BO50" s="674"/>
      <c r="BP50" s="674"/>
      <c r="BQ50" s="675"/>
      <c r="BR50" s="675"/>
    </row>
    <row r="51" spans="1:83" ht="6.75" hidden="1" customHeight="1" x14ac:dyDescent="0.25">
      <c r="A51" s="676"/>
      <c r="B51" s="676"/>
      <c r="C51" s="676"/>
      <c r="D51" s="29"/>
      <c r="E51" s="29"/>
      <c r="F51" s="676"/>
      <c r="G51" s="676"/>
      <c r="H51" s="676"/>
      <c r="I51" s="29"/>
      <c r="J51" s="29"/>
      <c r="K51" s="676"/>
      <c r="L51" s="676"/>
      <c r="M51" s="676"/>
      <c r="N51" s="29"/>
      <c r="O51" s="29"/>
      <c r="P51" s="676"/>
      <c r="Q51" s="676"/>
      <c r="R51" s="676"/>
      <c r="S51" s="29"/>
      <c r="T51" s="29"/>
      <c r="U51" s="676"/>
      <c r="V51" s="676"/>
      <c r="W51" s="676"/>
      <c r="X51" s="29"/>
      <c r="Y51" s="29"/>
      <c r="Z51" s="676"/>
      <c r="AA51" s="676"/>
      <c r="AB51" s="676"/>
      <c r="AC51" s="29"/>
      <c r="AD51" s="29"/>
      <c r="AE51" s="676"/>
      <c r="AF51" s="676"/>
      <c r="AG51" s="676"/>
      <c r="AH51" s="29"/>
      <c r="AI51" s="29"/>
      <c r="AJ51" s="676"/>
      <c r="AK51" s="676"/>
      <c r="AL51" s="676"/>
      <c r="AM51" s="29"/>
      <c r="AN51" s="29"/>
      <c r="AO51" s="676"/>
      <c r="AP51" s="676"/>
      <c r="AQ51" s="676"/>
      <c r="AR51" s="29"/>
      <c r="AS51" s="29"/>
      <c r="AT51" s="676"/>
      <c r="AU51" s="676"/>
      <c r="AV51" s="676"/>
      <c r="AW51" s="29"/>
      <c r="AX51" s="29"/>
      <c r="AY51" s="676"/>
      <c r="AZ51" s="676"/>
      <c r="BA51" s="676"/>
      <c r="BB51" s="29"/>
      <c r="BC51" s="29"/>
      <c r="BD51" s="676"/>
      <c r="BE51" s="676"/>
      <c r="BF51" s="676"/>
      <c r="BG51" s="29"/>
      <c r="BH51" s="29"/>
      <c r="BI51" s="676"/>
      <c r="BJ51" s="676"/>
      <c r="BK51" s="676"/>
      <c r="BL51" s="29"/>
      <c r="BM51" s="29"/>
      <c r="BN51" s="676"/>
      <c r="BO51" s="676"/>
      <c r="BP51" s="676"/>
      <c r="BQ51" s="29"/>
      <c r="BR51" s="29"/>
    </row>
    <row r="52" spans="1:83" ht="21.95" hidden="1" customHeight="1" x14ac:dyDescent="0.25">
      <c r="A52" s="676"/>
      <c r="B52" s="676"/>
      <c r="C52" s="676"/>
      <c r="D52" s="30"/>
      <c r="E52" s="29"/>
      <c r="F52" s="676"/>
      <c r="G52" s="676"/>
      <c r="H52" s="676"/>
      <c r="I52" s="30"/>
      <c r="J52" s="29"/>
      <c r="K52" s="676"/>
      <c r="L52" s="676"/>
      <c r="M52" s="676"/>
      <c r="N52" s="30"/>
      <c r="O52" s="29"/>
      <c r="P52" s="676"/>
      <c r="Q52" s="676"/>
      <c r="R52" s="676"/>
      <c r="S52" s="30"/>
      <c r="T52" s="29"/>
      <c r="U52" s="676"/>
      <c r="V52" s="676"/>
      <c r="W52" s="676"/>
      <c r="X52" s="30"/>
      <c r="Y52" s="29"/>
      <c r="Z52" s="676"/>
      <c r="AA52" s="676"/>
      <c r="AB52" s="676"/>
      <c r="AC52" s="30"/>
      <c r="AD52" s="29"/>
      <c r="AE52" s="676"/>
      <c r="AF52" s="676"/>
      <c r="AG52" s="676"/>
      <c r="AH52" s="30"/>
      <c r="AI52" s="29"/>
      <c r="AJ52" s="676"/>
      <c r="AK52" s="676"/>
      <c r="AL52" s="676"/>
      <c r="AM52" s="30"/>
      <c r="AN52" s="29"/>
      <c r="AO52" s="676"/>
      <c r="AP52" s="676"/>
      <c r="AQ52" s="676"/>
      <c r="AR52" s="30"/>
      <c r="AS52" s="29"/>
      <c r="AT52" s="676"/>
      <c r="AU52" s="676"/>
      <c r="AV52" s="676"/>
      <c r="AW52" s="30"/>
      <c r="AX52" s="29"/>
      <c r="AY52" s="676"/>
      <c r="AZ52" s="676"/>
      <c r="BA52" s="676"/>
      <c r="BB52" s="30"/>
      <c r="BC52" s="29"/>
      <c r="BD52" s="676"/>
      <c r="BE52" s="676"/>
      <c r="BF52" s="676"/>
      <c r="BG52" s="30"/>
      <c r="BH52" s="29"/>
      <c r="BI52" s="676"/>
      <c r="BJ52" s="676"/>
      <c r="BK52" s="676"/>
      <c r="BL52" s="30"/>
      <c r="BM52" s="29"/>
      <c r="BN52" s="676"/>
      <c r="BO52" s="676"/>
      <c r="BP52" s="676"/>
      <c r="BQ52" s="30"/>
      <c r="BR52" s="29"/>
    </row>
    <row r="53" spans="1:83" ht="6" hidden="1" customHeight="1" x14ac:dyDescent="0.25">
      <c r="A53" s="676"/>
      <c r="B53" s="676"/>
      <c r="C53" s="676"/>
      <c r="D53" s="675"/>
      <c r="E53" s="675"/>
      <c r="F53" s="676"/>
      <c r="G53" s="676"/>
      <c r="H53" s="676"/>
      <c r="I53" s="675"/>
      <c r="J53" s="675"/>
      <c r="K53" s="676"/>
      <c r="L53" s="676"/>
      <c r="M53" s="676"/>
      <c r="N53" s="675"/>
      <c r="O53" s="675"/>
      <c r="P53" s="676"/>
      <c r="Q53" s="676"/>
      <c r="R53" s="676"/>
      <c r="S53" s="675"/>
      <c r="T53" s="675"/>
      <c r="U53" s="676"/>
      <c r="V53" s="676"/>
      <c r="W53" s="676"/>
      <c r="X53" s="675"/>
      <c r="Y53" s="675"/>
      <c r="Z53" s="676"/>
      <c r="AA53" s="676"/>
      <c r="AB53" s="676"/>
      <c r="AC53" s="675"/>
      <c r="AD53" s="675"/>
      <c r="AE53" s="676"/>
      <c r="AF53" s="676"/>
      <c r="AG53" s="676"/>
      <c r="AH53" s="675"/>
      <c r="AI53" s="675"/>
      <c r="AJ53" s="676"/>
      <c r="AK53" s="676"/>
      <c r="AL53" s="676"/>
      <c r="AM53" s="675"/>
      <c r="AN53" s="675"/>
      <c r="AO53" s="676"/>
      <c r="AP53" s="676"/>
      <c r="AQ53" s="676"/>
      <c r="AR53" s="675"/>
      <c r="AS53" s="675"/>
      <c r="AT53" s="676"/>
      <c r="AU53" s="676"/>
      <c r="AV53" s="676"/>
      <c r="AW53" s="675"/>
      <c r="AX53" s="675"/>
      <c r="AY53" s="676"/>
      <c r="AZ53" s="676"/>
      <c r="BA53" s="676"/>
      <c r="BB53" s="675"/>
      <c r="BC53" s="675"/>
      <c r="BD53" s="676"/>
      <c r="BE53" s="676"/>
      <c r="BF53" s="676"/>
      <c r="BG53" s="675"/>
      <c r="BH53" s="675"/>
      <c r="BI53" s="676"/>
      <c r="BJ53" s="676"/>
      <c r="BK53" s="676"/>
      <c r="BL53" s="675"/>
      <c r="BM53" s="675"/>
      <c r="BN53" s="676"/>
      <c r="BO53" s="676"/>
      <c r="BP53" s="676"/>
      <c r="BQ53" s="675"/>
      <c r="BR53" s="675"/>
    </row>
    <row r="54" spans="1:83" ht="60" hidden="1" thickTop="1" thickBot="1" x14ac:dyDescent="0.3">
      <c r="A54" s="677"/>
      <c r="B54" s="678"/>
      <c r="C54" s="678"/>
      <c r="D54" s="678"/>
      <c r="E54" s="678"/>
      <c r="F54" s="677"/>
      <c r="G54" s="678"/>
      <c r="H54" s="678"/>
      <c r="I54" s="678"/>
      <c r="J54" s="678"/>
      <c r="K54" s="677"/>
      <c r="L54" s="678"/>
      <c r="M54" s="678"/>
      <c r="N54" s="678"/>
      <c r="O54" s="678"/>
      <c r="P54" s="677"/>
      <c r="Q54" s="678"/>
      <c r="R54" s="678"/>
      <c r="S54" s="678"/>
      <c r="T54" s="678"/>
      <c r="U54" s="677"/>
      <c r="V54" s="678"/>
      <c r="W54" s="678"/>
      <c r="X54" s="678"/>
      <c r="Y54" s="678"/>
      <c r="Z54" s="677"/>
      <c r="AA54" s="678"/>
      <c r="AB54" s="678"/>
      <c r="AC54" s="678"/>
      <c r="AD54" s="678"/>
      <c r="AE54" s="677"/>
      <c r="AF54" s="678"/>
      <c r="AG54" s="678"/>
      <c r="AH54" s="678"/>
      <c r="AI54" s="678"/>
      <c r="AJ54" s="677"/>
      <c r="AK54" s="678"/>
      <c r="AL54" s="678"/>
      <c r="AM54" s="678"/>
      <c r="AN54" s="678"/>
      <c r="AO54" s="677"/>
      <c r="AP54" s="678"/>
      <c r="AQ54" s="678"/>
      <c r="AR54" s="678"/>
      <c r="AS54" s="678"/>
      <c r="AT54" s="677"/>
      <c r="AU54" s="678"/>
      <c r="AV54" s="678"/>
      <c r="AW54" s="678"/>
      <c r="AX54" s="678"/>
      <c r="AY54" s="677"/>
      <c r="AZ54" s="678"/>
      <c r="BA54" s="678"/>
      <c r="BB54" s="678"/>
      <c r="BC54" s="678"/>
      <c r="BD54" s="677"/>
      <c r="BE54" s="678"/>
      <c r="BF54" s="678"/>
      <c r="BG54" s="678"/>
      <c r="BH54" s="678"/>
      <c r="BI54" s="677"/>
      <c r="BJ54" s="678"/>
      <c r="BK54" s="678"/>
      <c r="BL54" s="678"/>
      <c r="BM54" s="678"/>
      <c r="BN54" s="677"/>
      <c r="BO54" s="678"/>
      <c r="BP54" s="678"/>
      <c r="BQ54" s="678"/>
      <c r="BR54" s="678"/>
    </row>
    <row r="55" spans="1:83" ht="27.75" hidden="1" thickTop="1" thickBot="1" x14ac:dyDescent="0.3">
      <c r="A55" s="677"/>
      <c r="B55" s="32"/>
      <c r="C55" s="33"/>
      <c r="D55" s="34"/>
      <c r="E55" s="35"/>
      <c r="F55" s="677"/>
      <c r="G55" s="32"/>
      <c r="H55" s="33"/>
      <c r="I55" s="34"/>
      <c r="J55" s="35"/>
      <c r="K55" s="677"/>
      <c r="L55" s="32"/>
      <c r="M55" s="33"/>
      <c r="N55" s="34"/>
      <c r="O55" s="35"/>
      <c r="P55" s="677"/>
      <c r="Q55" s="32"/>
      <c r="R55" s="33"/>
      <c r="S55" s="34"/>
      <c r="T55" s="35"/>
      <c r="U55" s="677"/>
      <c r="V55" s="32"/>
      <c r="W55" s="33"/>
      <c r="X55" s="34"/>
      <c r="Y55" s="35"/>
      <c r="Z55" s="677"/>
      <c r="AA55" s="32"/>
      <c r="AB55" s="33"/>
      <c r="AC55" s="34"/>
      <c r="AD55" s="35"/>
      <c r="AE55" s="677"/>
      <c r="AF55" s="32"/>
      <c r="AG55" s="33"/>
      <c r="AH55" s="34"/>
      <c r="AI55" s="35"/>
      <c r="AJ55" s="677"/>
      <c r="AK55" s="32"/>
      <c r="AL55" s="33"/>
      <c r="AM55" s="34"/>
      <c r="AN55" s="35"/>
      <c r="AO55" s="677"/>
      <c r="AP55" s="32"/>
      <c r="AQ55" s="33"/>
      <c r="AR55" s="34"/>
      <c r="AS55" s="35"/>
      <c r="AT55" s="677"/>
      <c r="AU55" s="32"/>
      <c r="AV55" s="33"/>
      <c r="AW55" s="34"/>
      <c r="AX55" s="35"/>
      <c r="AY55" s="677"/>
      <c r="AZ55" s="32"/>
      <c r="BA55" s="33"/>
      <c r="BB55" s="34"/>
      <c r="BC55" s="35"/>
      <c r="BD55" s="677"/>
      <c r="BE55" s="32"/>
      <c r="BF55" s="33"/>
      <c r="BG55" s="34"/>
      <c r="BH55" s="35"/>
      <c r="BI55" s="677"/>
      <c r="BJ55" s="32"/>
      <c r="BK55" s="33"/>
      <c r="BL55" s="34"/>
      <c r="BM55" s="35"/>
      <c r="BN55" s="677"/>
      <c r="BO55" s="32"/>
      <c r="BP55" s="33"/>
      <c r="BQ55" s="34"/>
      <c r="BR55" s="35"/>
      <c r="BW55" s="27"/>
      <c r="BX55" s="27"/>
      <c r="BY55" s="27"/>
      <c r="BZ55" s="27"/>
      <c r="CA55" s="27"/>
      <c r="CB55" s="27"/>
      <c r="CC55" s="27"/>
      <c r="CD55" s="27"/>
      <c r="CE55" s="27"/>
    </row>
    <row r="56" spans="1:83" ht="26.1" hidden="1" customHeight="1" x14ac:dyDescent="0.25">
      <c r="A56" s="674"/>
      <c r="B56" s="674"/>
      <c r="C56" s="674"/>
      <c r="D56" s="675"/>
      <c r="E56" s="675"/>
      <c r="F56" s="674"/>
      <c r="G56" s="674"/>
      <c r="H56" s="674"/>
      <c r="I56" s="675"/>
      <c r="J56" s="675"/>
      <c r="K56" s="674"/>
      <c r="L56" s="674"/>
      <c r="M56" s="674"/>
      <c r="N56" s="675"/>
      <c r="O56" s="675"/>
      <c r="P56" s="674"/>
      <c r="Q56" s="674"/>
      <c r="R56" s="674"/>
      <c r="S56" s="675"/>
      <c r="T56" s="675"/>
      <c r="U56" s="674"/>
      <c r="V56" s="674"/>
      <c r="W56" s="674"/>
      <c r="X56" s="675"/>
      <c r="Y56" s="675"/>
      <c r="Z56" s="674"/>
      <c r="AA56" s="674"/>
      <c r="AB56" s="674"/>
      <c r="AC56" s="675"/>
      <c r="AD56" s="675"/>
      <c r="AE56" s="674"/>
      <c r="AF56" s="674"/>
      <c r="AG56" s="674"/>
      <c r="AH56" s="675"/>
      <c r="AI56" s="675"/>
      <c r="AJ56" s="674"/>
      <c r="AK56" s="674"/>
      <c r="AL56" s="674"/>
      <c r="AM56" s="675"/>
      <c r="AN56" s="675"/>
      <c r="AO56" s="674"/>
      <c r="AP56" s="674"/>
      <c r="AQ56" s="674"/>
      <c r="AR56" s="675"/>
      <c r="AS56" s="675"/>
      <c r="AT56" s="674"/>
      <c r="AU56" s="674"/>
      <c r="AV56" s="674"/>
      <c r="AW56" s="675"/>
      <c r="AX56" s="675"/>
      <c r="AY56" s="674"/>
      <c r="AZ56" s="674"/>
      <c r="BA56" s="674"/>
      <c r="BB56" s="675"/>
      <c r="BC56" s="675"/>
      <c r="BD56" s="674"/>
      <c r="BE56" s="674"/>
      <c r="BF56" s="674"/>
      <c r="BG56" s="675"/>
      <c r="BH56" s="675"/>
      <c r="BI56" s="674"/>
      <c r="BJ56" s="674"/>
      <c r="BK56" s="674"/>
      <c r="BL56" s="675"/>
      <c r="BM56" s="675"/>
      <c r="BN56" s="674"/>
      <c r="BO56" s="674"/>
      <c r="BP56" s="674"/>
      <c r="BQ56" s="675"/>
      <c r="BR56" s="675"/>
    </row>
    <row r="57" spans="1:83" ht="6.75" hidden="1" customHeight="1" x14ac:dyDescent="0.25">
      <c r="A57" s="676"/>
      <c r="B57" s="676"/>
      <c r="C57" s="676"/>
      <c r="D57" s="29"/>
      <c r="E57" s="29"/>
      <c r="F57" s="676"/>
      <c r="G57" s="676"/>
      <c r="H57" s="676"/>
      <c r="I57" s="29"/>
      <c r="J57" s="29"/>
      <c r="K57" s="676"/>
      <c r="L57" s="676"/>
      <c r="M57" s="676"/>
      <c r="N57" s="29"/>
      <c r="O57" s="29"/>
      <c r="P57" s="676"/>
      <c r="Q57" s="676"/>
      <c r="R57" s="676"/>
      <c r="S57" s="29"/>
      <c r="T57" s="29"/>
      <c r="U57" s="676"/>
      <c r="V57" s="676"/>
      <c r="W57" s="676"/>
      <c r="X57" s="29"/>
      <c r="Y57" s="29"/>
      <c r="Z57" s="676"/>
      <c r="AA57" s="676"/>
      <c r="AB57" s="676"/>
      <c r="AC57" s="29"/>
      <c r="AD57" s="29"/>
      <c r="AE57" s="676"/>
      <c r="AF57" s="676"/>
      <c r="AG57" s="676"/>
      <c r="AH57" s="29"/>
      <c r="AI57" s="29"/>
      <c r="AJ57" s="676"/>
      <c r="AK57" s="676"/>
      <c r="AL57" s="676"/>
      <c r="AM57" s="29"/>
      <c r="AN57" s="29"/>
      <c r="AO57" s="676"/>
      <c r="AP57" s="676"/>
      <c r="AQ57" s="676"/>
      <c r="AR57" s="29"/>
      <c r="AS57" s="29"/>
      <c r="AT57" s="676"/>
      <c r="AU57" s="676"/>
      <c r="AV57" s="676"/>
      <c r="AW57" s="29"/>
      <c r="AX57" s="29"/>
      <c r="AY57" s="676"/>
      <c r="AZ57" s="676"/>
      <c r="BA57" s="676"/>
      <c r="BB57" s="29"/>
      <c r="BC57" s="29"/>
      <c r="BD57" s="676"/>
      <c r="BE57" s="676"/>
      <c r="BF57" s="676"/>
      <c r="BG57" s="29"/>
      <c r="BH57" s="29"/>
      <c r="BI57" s="676"/>
      <c r="BJ57" s="676"/>
      <c r="BK57" s="676"/>
      <c r="BL57" s="29"/>
      <c r="BM57" s="29"/>
      <c r="BN57" s="676"/>
      <c r="BO57" s="676"/>
      <c r="BP57" s="676"/>
      <c r="BQ57" s="29"/>
      <c r="BR57" s="29"/>
    </row>
    <row r="58" spans="1:83" ht="21.95" hidden="1" customHeight="1" x14ac:dyDescent="0.25">
      <c r="A58" s="676"/>
      <c r="B58" s="676"/>
      <c r="C58" s="676"/>
      <c r="D58" s="30"/>
      <c r="E58" s="29"/>
      <c r="F58" s="676"/>
      <c r="G58" s="676"/>
      <c r="H58" s="676"/>
      <c r="I58" s="30"/>
      <c r="J58" s="29"/>
      <c r="K58" s="676"/>
      <c r="L58" s="676"/>
      <c r="M58" s="676"/>
      <c r="N58" s="30"/>
      <c r="O58" s="29"/>
      <c r="P58" s="676"/>
      <c r="Q58" s="676"/>
      <c r="R58" s="676"/>
      <c r="S58" s="30"/>
      <c r="T58" s="29"/>
      <c r="U58" s="676"/>
      <c r="V58" s="676"/>
      <c r="W58" s="676"/>
      <c r="X58" s="30"/>
      <c r="Y58" s="29"/>
      <c r="Z58" s="676"/>
      <c r="AA58" s="676"/>
      <c r="AB58" s="676"/>
      <c r="AC58" s="30"/>
      <c r="AD58" s="29"/>
      <c r="AE58" s="676"/>
      <c r="AF58" s="676"/>
      <c r="AG58" s="676"/>
      <c r="AH58" s="30"/>
      <c r="AI58" s="29"/>
      <c r="AJ58" s="676"/>
      <c r="AK58" s="676"/>
      <c r="AL58" s="676"/>
      <c r="AM58" s="30"/>
      <c r="AN58" s="29"/>
      <c r="AO58" s="676"/>
      <c r="AP58" s="676"/>
      <c r="AQ58" s="676"/>
      <c r="AR58" s="30"/>
      <c r="AS58" s="29"/>
      <c r="AT58" s="676"/>
      <c r="AU58" s="676"/>
      <c r="AV58" s="676"/>
      <c r="AW58" s="30"/>
      <c r="AX58" s="29"/>
      <c r="AY58" s="676"/>
      <c r="AZ58" s="676"/>
      <c r="BA58" s="676"/>
      <c r="BB58" s="30"/>
      <c r="BC58" s="29"/>
      <c r="BD58" s="676"/>
      <c r="BE58" s="676"/>
      <c r="BF58" s="676"/>
      <c r="BG58" s="30"/>
      <c r="BH58" s="29"/>
      <c r="BI58" s="676"/>
      <c r="BJ58" s="676"/>
      <c r="BK58" s="676"/>
      <c r="BL58" s="30"/>
      <c r="BM58" s="29"/>
      <c r="BN58" s="676"/>
      <c r="BO58" s="676"/>
      <c r="BP58" s="676"/>
      <c r="BQ58" s="30"/>
      <c r="BR58" s="29"/>
    </row>
    <row r="59" spans="1:83" ht="6" hidden="1" customHeight="1" x14ac:dyDescent="0.25">
      <c r="A59" s="676"/>
      <c r="B59" s="676"/>
      <c r="C59" s="676"/>
      <c r="D59" s="675"/>
      <c r="E59" s="675"/>
      <c r="F59" s="676"/>
      <c r="G59" s="676"/>
      <c r="H59" s="676"/>
      <c r="I59" s="675"/>
      <c r="J59" s="675"/>
      <c r="K59" s="676"/>
      <c r="L59" s="676"/>
      <c r="M59" s="676"/>
      <c r="N59" s="675"/>
      <c r="O59" s="675"/>
      <c r="P59" s="676"/>
      <c r="Q59" s="676"/>
      <c r="R59" s="676"/>
      <c r="S59" s="675"/>
      <c r="T59" s="675"/>
      <c r="U59" s="676"/>
      <c r="V59" s="676"/>
      <c r="W59" s="676"/>
      <c r="X59" s="675"/>
      <c r="Y59" s="675"/>
      <c r="Z59" s="676"/>
      <c r="AA59" s="676"/>
      <c r="AB59" s="676"/>
      <c r="AC59" s="675"/>
      <c r="AD59" s="675"/>
      <c r="AE59" s="676"/>
      <c r="AF59" s="676"/>
      <c r="AG59" s="676"/>
      <c r="AH59" s="675"/>
      <c r="AI59" s="675"/>
      <c r="AJ59" s="676"/>
      <c r="AK59" s="676"/>
      <c r="AL59" s="676"/>
      <c r="AM59" s="675"/>
      <c r="AN59" s="675"/>
      <c r="AO59" s="676"/>
      <c r="AP59" s="676"/>
      <c r="AQ59" s="676"/>
      <c r="AR59" s="675"/>
      <c r="AS59" s="675"/>
      <c r="AT59" s="676"/>
      <c r="AU59" s="676"/>
      <c r="AV59" s="676"/>
      <c r="AW59" s="675"/>
      <c r="AX59" s="675"/>
      <c r="AY59" s="676"/>
      <c r="AZ59" s="676"/>
      <c r="BA59" s="676"/>
      <c r="BB59" s="675"/>
      <c r="BC59" s="675"/>
      <c r="BD59" s="676"/>
      <c r="BE59" s="676"/>
      <c r="BF59" s="676"/>
      <c r="BG59" s="675"/>
      <c r="BH59" s="675"/>
      <c r="BI59" s="676"/>
      <c r="BJ59" s="676"/>
      <c r="BK59" s="676"/>
      <c r="BL59" s="675"/>
      <c r="BM59" s="675"/>
      <c r="BN59" s="676"/>
      <c r="BO59" s="676"/>
      <c r="BP59" s="676"/>
      <c r="BQ59" s="675"/>
      <c r="BR59" s="675"/>
    </row>
    <row r="60" spans="1:83" ht="60" hidden="1" thickTop="1" thickBot="1" x14ac:dyDescent="0.3">
      <c r="A60" s="677"/>
      <c r="B60" s="678"/>
      <c r="C60" s="678"/>
      <c r="D60" s="678"/>
      <c r="E60" s="678"/>
      <c r="F60" s="677"/>
      <c r="G60" s="678"/>
      <c r="H60" s="678"/>
      <c r="I60" s="678"/>
      <c r="J60" s="678"/>
      <c r="K60" s="677"/>
      <c r="L60" s="678"/>
      <c r="M60" s="678"/>
      <c r="N60" s="678"/>
      <c r="O60" s="678"/>
      <c r="P60" s="677"/>
      <c r="Q60" s="678"/>
      <c r="R60" s="678"/>
      <c r="S60" s="678"/>
      <c r="T60" s="678"/>
      <c r="U60" s="677"/>
      <c r="V60" s="678"/>
      <c r="W60" s="678"/>
      <c r="X60" s="678"/>
      <c r="Y60" s="678"/>
      <c r="Z60" s="677"/>
      <c r="AA60" s="678"/>
      <c r="AB60" s="678"/>
      <c r="AC60" s="678"/>
      <c r="AD60" s="678"/>
      <c r="AE60" s="677"/>
      <c r="AF60" s="678"/>
      <c r="AG60" s="678"/>
      <c r="AH60" s="678"/>
      <c r="AI60" s="678"/>
      <c r="AJ60" s="677"/>
      <c r="AK60" s="678"/>
      <c r="AL60" s="678"/>
      <c r="AM60" s="678"/>
      <c r="AN60" s="678"/>
      <c r="AO60" s="677"/>
      <c r="AP60" s="678"/>
      <c r="AQ60" s="678"/>
      <c r="AR60" s="678"/>
      <c r="AS60" s="678"/>
      <c r="AT60" s="677"/>
      <c r="AU60" s="678"/>
      <c r="AV60" s="678"/>
      <c r="AW60" s="678"/>
      <c r="AX60" s="678"/>
      <c r="AY60" s="677"/>
      <c r="AZ60" s="678"/>
      <c r="BA60" s="678"/>
      <c r="BB60" s="678"/>
      <c r="BC60" s="678"/>
      <c r="BD60" s="677"/>
      <c r="BE60" s="678"/>
      <c r="BF60" s="678"/>
      <c r="BG60" s="678"/>
      <c r="BH60" s="678"/>
      <c r="BI60" s="677"/>
      <c r="BJ60" s="678"/>
      <c r="BK60" s="678"/>
      <c r="BL60" s="678"/>
      <c r="BM60" s="678"/>
      <c r="BN60" s="677"/>
      <c r="BO60" s="678"/>
      <c r="BP60" s="678"/>
      <c r="BQ60" s="678"/>
      <c r="BR60" s="678"/>
    </row>
    <row r="61" spans="1:83" ht="27.75" hidden="1" thickTop="1" thickBot="1" x14ac:dyDescent="0.3">
      <c r="A61" s="677"/>
      <c r="B61" s="32"/>
      <c r="C61" s="33"/>
      <c r="D61" s="34"/>
      <c r="E61" s="35"/>
      <c r="F61" s="677"/>
      <c r="G61" s="32"/>
      <c r="H61" s="33"/>
      <c r="I61" s="34"/>
      <c r="J61" s="35"/>
      <c r="K61" s="677"/>
      <c r="L61" s="32"/>
      <c r="M61" s="33"/>
      <c r="N61" s="34"/>
      <c r="O61" s="35"/>
      <c r="P61" s="677"/>
      <c r="Q61" s="32"/>
      <c r="R61" s="33"/>
      <c r="S61" s="34"/>
      <c r="T61" s="35"/>
      <c r="U61" s="677"/>
      <c r="V61" s="32"/>
      <c r="W61" s="33"/>
      <c r="X61" s="34"/>
      <c r="Y61" s="35"/>
      <c r="Z61" s="677"/>
      <c r="AA61" s="32"/>
      <c r="AB61" s="33"/>
      <c r="AC61" s="34"/>
      <c r="AD61" s="35"/>
      <c r="AE61" s="677"/>
      <c r="AF61" s="32"/>
      <c r="AG61" s="33"/>
      <c r="AH61" s="34"/>
      <c r="AI61" s="35"/>
      <c r="AJ61" s="677"/>
      <c r="AK61" s="32"/>
      <c r="AL61" s="33"/>
      <c r="AM61" s="34"/>
      <c r="AN61" s="35"/>
      <c r="AO61" s="677"/>
      <c r="AP61" s="32"/>
      <c r="AQ61" s="33"/>
      <c r="AR61" s="34"/>
      <c r="AS61" s="35"/>
      <c r="AT61" s="677"/>
      <c r="AU61" s="32"/>
      <c r="AV61" s="33"/>
      <c r="AW61" s="34"/>
      <c r="AX61" s="35"/>
      <c r="AY61" s="677"/>
      <c r="AZ61" s="32"/>
      <c r="BA61" s="33"/>
      <c r="BB61" s="34"/>
      <c r="BC61" s="35"/>
      <c r="BD61" s="677"/>
      <c r="BE61" s="32"/>
      <c r="BF61" s="33"/>
      <c r="BG61" s="34"/>
      <c r="BH61" s="35"/>
      <c r="BI61" s="677"/>
      <c r="BJ61" s="32"/>
      <c r="BK61" s="33"/>
      <c r="BL61" s="34"/>
      <c r="BM61" s="35"/>
      <c r="BN61" s="677"/>
      <c r="BO61" s="32"/>
      <c r="BP61" s="33"/>
      <c r="BQ61" s="34"/>
      <c r="BR61" s="35"/>
      <c r="BW61" s="27"/>
      <c r="BX61" s="27"/>
      <c r="BY61" s="27"/>
      <c r="BZ61" s="27"/>
      <c r="CA61" s="27"/>
      <c r="CB61" s="27"/>
      <c r="CC61" s="27"/>
      <c r="CD61" s="27"/>
      <c r="CE61" s="27"/>
    </row>
    <row r="62" spans="1:83" s="42" customFormat="1" ht="3" customHeight="1" thickTop="1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W62" s="43"/>
      <c r="BX62" s="43"/>
      <c r="BY62" s="43"/>
      <c r="BZ62" s="43"/>
      <c r="CA62" s="43"/>
      <c r="CB62" s="43"/>
      <c r="CC62" s="43"/>
      <c r="CD62" s="43"/>
      <c r="CE62" s="43"/>
    </row>
    <row r="63" spans="1:83" ht="36" hidden="1" customHeight="1" x14ac:dyDescent="0.25">
      <c r="A63" s="719"/>
      <c r="B63" s="719"/>
      <c r="C63" s="720"/>
      <c r="D63" s="720"/>
      <c r="E63" s="720"/>
      <c r="F63" s="719"/>
      <c r="G63" s="719"/>
      <c r="H63" s="720"/>
      <c r="I63" s="720"/>
      <c r="J63" s="720"/>
      <c r="K63" s="719"/>
      <c r="L63" s="719"/>
      <c r="M63" s="720"/>
      <c r="N63" s="720"/>
      <c r="O63" s="720"/>
      <c r="P63" s="719"/>
      <c r="Q63" s="719"/>
      <c r="R63" s="720"/>
      <c r="S63" s="720"/>
      <c r="T63" s="720"/>
      <c r="U63" s="719"/>
      <c r="V63" s="719"/>
      <c r="W63" s="720"/>
      <c r="X63" s="720"/>
      <c r="Y63" s="720"/>
      <c r="Z63" s="719"/>
      <c r="AA63" s="719"/>
      <c r="AB63" s="720"/>
      <c r="AC63" s="720"/>
      <c r="AD63" s="720"/>
      <c r="AE63" s="719"/>
      <c r="AF63" s="719"/>
      <c r="AG63" s="720"/>
      <c r="AH63" s="720"/>
      <c r="AI63" s="720"/>
      <c r="AJ63" s="719"/>
      <c r="AK63" s="719"/>
      <c r="AL63" s="720"/>
      <c r="AM63" s="720"/>
      <c r="AN63" s="720"/>
      <c r="AO63" s="719"/>
      <c r="AP63" s="719"/>
      <c r="AQ63" s="720"/>
      <c r="AR63" s="720"/>
      <c r="AS63" s="720"/>
      <c r="AT63" s="719"/>
      <c r="AU63" s="719"/>
      <c r="AV63" s="720"/>
      <c r="AW63" s="720"/>
      <c r="AX63" s="720"/>
      <c r="AY63" s="719"/>
      <c r="AZ63" s="719"/>
      <c r="BA63" s="720"/>
      <c r="BB63" s="720"/>
      <c r="BC63" s="720"/>
      <c r="BD63" s="719"/>
      <c r="BE63" s="719"/>
      <c r="BF63" s="720"/>
      <c r="BG63" s="720"/>
      <c r="BH63" s="720"/>
      <c r="BI63" s="719"/>
      <c r="BJ63" s="719"/>
      <c r="BK63" s="720"/>
      <c r="BL63" s="720"/>
      <c r="BM63" s="720"/>
      <c r="BN63" s="719"/>
      <c r="BO63" s="719"/>
      <c r="BP63" s="720"/>
      <c r="BQ63" s="720"/>
      <c r="BR63" s="720"/>
    </row>
    <row r="64" spans="1:83" ht="6.75" hidden="1" customHeight="1" x14ac:dyDescent="0.25">
      <c r="A64" s="714"/>
      <c r="B64" s="714"/>
      <c r="C64" s="714"/>
      <c r="D64" s="714"/>
      <c r="E64" s="714"/>
      <c r="F64" s="714"/>
      <c r="G64" s="714"/>
      <c r="H64" s="714"/>
      <c r="I64" s="714"/>
      <c r="J64" s="714"/>
      <c r="K64" s="714"/>
      <c r="L64" s="714"/>
      <c r="M64" s="714"/>
      <c r="N64" s="714"/>
      <c r="O64" s="714"/>
      <c r="P64" s="714"/>
      <c r="Q64" s="714"/>
      <c r="R64" s="714"/>
      <c r="S64" s="714"/>
      <c r="T64" s="714"/>
      <c r="U64" s="714"/>
      <c r="V64" s="714"/>
      <c r="W64" s="714"/>
      <c r="X64" s="714"/>
      <c r="Y64" s="714"/>
      <c r="Z64" s="714"/>
      <c r="AA64" s="714"/>
      <c r="AB64" s="714"/>
      <c r="AC64" s="714"/>
      <c r="AD64" s="714"/>
      <c r="AE64" s="714"/>
      <c r="AF64" s="714"/>
      <c r="AG64" s="714"/>
      <c r="AH64" s="714"/>
      <c r="AI64" s="714"/>
      <c r="AJ64" s="714"/>
      <c r="AK64" s="714"/>
      <c r="AL64" s="714"/>
      <c r="AM64" s="714"/>
      <c r="AN64" s="714"/>
      <c r="AO64" s="714"/>
      <c r="AP64" s="714"/>
      <c r="AQ64" s="714"/>
      <c r="AR64" s="714"/>
      <c r="AS64" s="714"/>
      <c r="AT64" s="714"/>
      <c r="AU64" s="714"/>
      <c r="AV64" s="714"/>
      <c r="AW64" s="714"/>
      <c r="AX64" s="714"/>
      <c r="AY64" s="714"/>
      <c r="AZ64" s="714"/>
      <c r="BA64" s="714"/>
      <c r="BB64" s="714"/>
      <c r="BC64" s="714"/>
      <c r="BD64" s="714"/>
      <c r="BE64" s="714"/>
      <c r="BF64" s="714"/>
      <c r="BG64" s="714"/>
      <c r="BH64" s="714"/>
      <c r="BI64" s="714"/>
      <c r="BJ64" s="714"/>
      <c r="BK64" s="714"/>
      <c r="BL64" s="714"/>
      <c r="BM64" s="714"/>
      <c r="BN64" s="714"/>
      <c r="BO64" s="714"/>
      <c r="BP64" s="714"/>
      <c r="BQ64" s="714"/>
      <c r="BR64" s="714"/>
    </row>
    <row r="65" spans="1:172" ht="9.75" hidden="1" customHeight="1" x14ac:dyDescent="0.25">
      <c r="A65" s="714"/>
      <c r="B65" s="714"/>
      <c r="C65" s="714"/>
      <c r="D65" s="714"/>
      <c r="E65" s="714"/>
      <c r="F65" s="714"/>
      <c r="G65" s="714"/>
      <c r="H65" s="714"/>
      <c r="I65" s="714"/>
      <c r="J65" s="714"/>
      <c r="K65" s="714"/>
      <c r="L65" s="714"/>
      <c r="M65" s="714"/>
      <c r="N65" s="714"/>
      <c r="O65" s="714"/>
      <c r="P65" s="714"/>
      <c r="Q65" s="714"/>
      <c r="R65" s="714"/>
      <c r="S65" s="714"/>
      <c r="T65" s="714"/>
      <c r="U65" s="714"/>
      <c r="V65" s="714"/>
      <c r="W65" s="714"/>
      <c r="X65" s="714"/>
      <c r="Y65" s="714"/>
      <c r="Z65" s="714"/>
      <c r="AA65" s="714"/>
      <c r="AB65" s="714"/>
      <c r="AC65" s="714"/>
      <c r="AD65" s="714"/>
      <c r="AE65" s="714"/>
      <c r="AF65" s="714"/>
      <c r="AG65" s="714"/>
      <c r="AH65" s="714"/>
      <c r="AI65" s="714"/>
      <c r="AJ65" s="714"/>
      <c r="AK65" s="714"/>
      <c r="AL65" s="714"/>
      <c r="AM65" s="714"/>
      <c r="AN65" s="714"/>
      <c r="AO65" s="714"/>
      <c r="AP65" s="714"/>
      <c r="AQ65" s="714"/>
      <c r="AR65" s="714"/>
      <c r="AS65" s="714"/>
      <c r="AT65" s="714"/>
      <c r="AU65" s="714"/>
      <c r="AV65" s="714"/>
      <c r="AW65" s="714"/>
      <c r="AX65" s="714"/>
      <c r="AY65" s="714"/>
      <c r="AZ65" s="714"/>
      <c r="BA65" s="714"/>
      <c r="BB65" s="714"/>
      <c r="BC65" s="714"/>
      <c r="BD65" s="714"/>
      <c r="BE65" s="714"/>
      <c r="BF65" s="714"/>
      <c r="BG65" s="714"/>
      <c r="BH65" s="714"/>
      <c r="BI65" s="714"/>
      <c r="BJ65" s="714"/>
      <c r="BK65" s="714"/>
      <c r="BL65" s="714"/>
      <c r="BM65" s="714"/>
      <c r="BN65" s="714"/>
      <c r="BO65" s="714"/>
      <c r="BP65" s="714"/>
      <c r="BQ65" s="714"/>
      <c r="BR65" s="714"/>
      <c r="CY65" s="37"/>
      <c r="CZ65" s="38"/>
      <c r="DA65" s="39"/>
      <c r="DB65" s="40"/>
      <c r="DC65" s="41"/>
      <c r="DD65" s="37"/>
      <c r="DE65" s="38"/>
      <c r="DF65" s="39"/>
      <c r="DG65" s="40"/>
      <c r="DH65" s="41"/>
      <c r="DI65" s="37"/>
      <c r="DJ65" s="38"/>
      <c r="DK65" s="39"/>
      <c r="DL65" s="40"/>
      <c r="DM65" s="41"/>
      <c r="DN65" s="37"/>
      <c r="DO65" s="38"/>
      <c r="DP65" s="39"/>
      <c r="DQ65" s="40"/>
      <c r="DR65" s="41"/>
      <c r="DS65" s="37"/>
      <c r="DT65" s="38"/>
      <c r="DU65" s="39"/>
      <c r="DV65" s="697"/>
      <c r="DW65" s="697"/>
      <c r="DX65" s="697"/>
      <c r="DY65" s="697"/>
      <c r="DZ65" s="697"/>
      <c r="EA65" s="697"/>
      <c r="EB65" s="697"/>
      <c r="EC65" s="697"/>
      <c r="ED65" s="697"/>
      <c r="EE65" s="697"/>
      <c r="EF65" s="697"/>
      <c r="EG65" s="697"/>
      <c r="EH65" s="37"/>
      <c r="EI65" s="38"/>
      <c r="EJ65" s="39"/>
      <c r="EK65" s="40"/>
      <c r="EL65" s="41"/>
      <c r="EM65" s="37"/>
      <c r="EN65" s="38"/>
      <c r="EO65" s="39"/>
      <c r="EP65" s="40"/>
      <c r="EQ65" s="41"/>
      <c r="ER65" s="37"/>
      <c r="ES65" s="38"/>
      <c r="ET65" s="39"/>
      <c r="EU65" s="40"/>
      <c r="EV65" s="41"/>
      <c r="EW65" s="37"/>
      <c r="EX65" s="38"/>
      <c r="EY65" s="39"/>
      <c r="EZ65" s="40"/>
      <c r="FA65" s="41"/>
      <c r="FB65" s="37"/>
      <c r="FC65" s="38"/>
      <c r="FD65" s="39"/>
      <c r="FE65" s="40"/>
      <c r="FF65" s="41"/>
      <c r="FG65" s="37"/>
      <c r="FH65" s="38"/>
      <c r="FI65" s="39"/>
      <c r="FJ65" s="40"/>
      <c r="FK65" s="41"/>
      <c r="FL65" s="37"/>
      <c r="FM65" s="38"/>
      <c r="FN65" s="39"/>
      <c r="FO65" s="40"/>
      <c r="FP65" s="41"/>
    </row>
    <row r="66" spans="1:172" ht="6" hidden="1" customHeight="1" x14ac:dyDescent="0.25">
      <c r="A66" s="714"/>
      <c r="B66" s="714"/>
      <c r="C66" s="714"/>
      <c r="D66" s="714"/>
      <c r="E66" s="714"/>
      <c r="F66" s="714"/>
      <c r="G66" s="714"/>
      <c r="H66" s="714"/>
      <c r="I66" s="714"/>
      <c r="J66" s="714"/>
      <c r="K66" s="714"/>
      <c r="L66" s="714"/>
      <c r="M66" s="714"/>
      <c r="N66" s="714"/>
      <c r="O66" s="714"/>
      <c r="P66" s="714"/>
      <c r="Q66" s="714"/>
      <c r="R66" s="714"/>
      <c r="S66" s="714"/>
      <c r="T66" s="714"/>
      <c r="U66" s="714"/>
      <c r="V66" s="714"/>
      <c r="W66" s="714"/>
      <c r="X66" s="714"/>
      <c r="Y66" s="714"/>
      <c r="Z66" s="714"/>
      <c r="AA66" s="714"/>
      <c r="AB66" s="714"/>
      <c r="AC66" s="714"/>
      <c r="AD66" s="714"/>
      <c r="AE66" s="714"/>
      <c r="AF66" s="714"/>
      <c r="AG66" s="714"/>
      <c r="AH66" s="714"/>
      <c r="AI66" s="714"/>
      <c r="AJ66" s="714"/>
      <c r="AK66" s="714"/>
      <c r="AL66" s="714"/>
      <c r="AM66" s="714"/>
      <c r="AN66" s="714"/>
      <c r="AO66" s="714"/>
      <c r="AP66" s="714"/>
      <c r="AQ66" s="714"/>
      <c r="AR66" s="714"/>
      <c r="AS66" s="714"/>
      <c r="AT66" s="714"/>
      <c r="AU66" s="714"/>
      <c r="AV66" s="714"/>
      <c r="AW66" s="714"/>
      <c r="AX66" s="714"/>
      <c r="AY66" s="714"/>
      <c r="AZ66" s="714"/>
      <c r="BA66" s="714"/>
      <c r="BB66" s="714"/>
      <c r="BC66" s="714"/>
      <c r="BD66" s="714"/>
      <c r="BE66" s="714"/>
      <c r="BF66" s="714"/>
      <c r="BG66" s="714"/>
      <c r="BH66" s="714"/>
      <c r="BI66" s="714"/>
      <c r="BJ66" s="714"/>
      <c r="BK66" s="714"/>
      <c r="BL66" s="714"/>
      <c r="BM66" s="714"/>
      <c r="BN66" s="714"/>
      <c r="BO66" s="714"/>
      <c r="BP66" s="714"/>
      <c r="BQ66" s="714"/>
      <c r="BR66" s="714"/>
      <c r="CY66" s="674"/>
      <c r="CZ66" s="674"/>
      <c r="DA66" s="674"/>
      <c r="DB66" s="675"/>
      <c r="DC66" s="675"/>
      <c r="DD66" s="44"/>
      <c r="DE66" s="702"/>
      <c r="DF66" s="702"/>
      <c r="DG66" s="702"/>
      <c r="DI66" s="45"/>
      <c r="DJ66" s="45"/>
      <c r="DK66" s="45"/>
      <c r="DL66" s="45"/>
      <c r="DM66" s="45"/>
      <c r="DN66" s="45"/>
      <c r="DO66" s="45"/>
      <c r="DP66" s="45"/>
      <c r="DQ66" s="45"/>
      <c r="DR66" s="45"/>
      <c r="DS66" s="45"/>
      <c r="DT66" s="45"/>
      <c r="DU66" s="45"/>
      <c r="DV66" s="697"/>
      <c r="DW66" s="697"/>
      <c r="DX66" s="697"/>
      <c r="DY66" s="697"/>
      <c r="DZ66" s="697"/>
      <c r="EA66" s="697"/>
      <c r="EB66" s="697"/>
      <c r="EC66" s="697"/>
      <c r="ED66" s="697"/>
      <c r="EE66" s="697"/>
      <c r="EF66" s="697"/>
      <c r="EG66" s="697"/>
      <c r="EH66" s="697"/>
      <c r="EI66" s="697"/>
      <c r="EJ66" s="697"/>
      <c r="EK66" s="697"/>
      <c r="EL66" s="697"/>
      <c r="EM66" s="697"/>
      <c r="EN66" s="697"/>
      <c r="EO66" s="697"/>
      <c r="EP66" s="697"/>
      <c r="EQ66" s="697"/>
      <c r="ER66" s="46"/>
      <c r="ES66" s="698"/>
      <c r="ET66" s="698"/>
      <c r="EU66" s="698"/>
      <c r="EV66" s="698"/>
      <c r="EW66" s="698"/>
      <c r="EX66" s="698"/>
      <c r="EY66" s="698"/>
      <c r="EZ66" s="698"/>
      <c r="FA66" s="698"/>
      <c r="FB66" s="698"/>
      <c r="FC66" s="698"/>
      <c r="FD66" s="698"/>
      <c r="FE66" s="699"/>
      <c r="FF66" s="699"/>
      <c r="FG66" s="699"/>
      <c r="FH66" s="699"/>
      <c r="FI66" s="699"/>
      <c r="FJ66" s="700"/>
      <c r="FK66" s="700"/>
      <c r="FL66" s="700"/>
      <c r="FM66" s="700"/>
      <c r="FN66" s="701"/>
      <c r="FO66" s="701"/>
      <c r="FP66" s="701"/>
    </row>
    <row r="67" spans="1:172" s="22" customFormat="1" ht="111.75" hidden="1" customHeight="1" x14ac:dyDescent="1.35">
      <c r="A67" s="716"/>
      <c r="B67" s="1923"/>
      <c r="C67" s="1923"/>
      <c r="D67" s="1923"/>
      <c r="E67" s="1923"/>
      <c r="F67" s="716"/>
      <c r="G67" s="1923"/>
      <c r="H67" s="1923"/>
      <c r="I67" s="1923"/>
      <c r="J67" s="1923"/>
      <c r="K67" s="716"/>
      <c r="L67" s="1923"/>
      <c r="M67" s="1923"/>
      <c r="N67" s="1923"/>
      <c r="O67" s="1923"/>
      <c r="P67" s="716"/>
      <c r="Q67" s="1923"/>
      <c r="R67" s="1923"/>
      <c r="S67" s="1923"/>
      <c r="T67" s="1923"/>
      <c r="U67" s="716"/>
      <c r="V67" s="1923"/>
      <c r="W67" s="1923"/>
      <c r="X67" s="1923"/>
      <c r="Y67" s="1923"/>
      <c r="Z67" s="716"/>
      <c r="AA67" s="1923"/>
      <c r="AB67" s="1923"/>
      <c r="AC67" s="1923"/>
      <c r="AD67" s="1923"/>
      <c r="AE67" s="716"/>
      <c r="AF67" s="1923"/>
      <c r="AG67" s="1923"/>
      <c r="AH67" s="1923"/>
      <c r="AI67" s="1923"/>
      <c r="AJ67" s="716"/>
      <c r="AK67" s="1923"/>
      <c r="AL67" s="1923"/>
      <c r="AM67" s="1923"/>
      <c r="AN67" s="1923"/>
      <c r="AO67" s="716"/>
      <c r="AP67" s="1923"/>
      <c r="AQ67" s="1923"/>
      <c r="AR67" s="1923"/>
      <c r="AS67" s="1923"/>
      <c r="AT67" s="716"/>
      <c r="AU67" s="1923"/>
      <c r="AV67" s="1923"/>
      <c r="AW67" s="1923"/>
      <c r="AX67" s="1923"/>
      <c r="AY67" s="716"/>
      <c r="AZ67" s="1923"/>
      <c r="BA67" s="1923"/>
      <c r="BB67" s="1923"/>
      <c r="BC67" s="1923"/>
      <c r="BD67" s="716"/>
      <c r="BE67" s="1923"/>
      <c r="BF67" s="1923"/>
      <c r="BG67" s="1923"/>
      <c r="BH67" s="1923"/>
      <c r="BI67" s="716"/>
      <c r="BJ67" s="1923"/>
      <c r="BK67" s="1923"/>
      <c r="BL67" s="1923"/>
      <c r="BM67" s="1923"/>
      <c r="BN67" s="716"/>
      <c r="BO67" s="1923"/>
      <c r="BP67" s="1923"/>
      <c r="BQ67" s="1923"/>
      <c r="BR67" s="1923"/>
      <c r="BS67" s="367"/>
      <c r="BT67" s="367"/>
      <c r="BW67" s="368"/>
      <c r="BX67" s="368"/>
      <c r="BY67" s="368"/>
      <c r="BZ67" s="368"/>
      <c r="CA67" s="368"/>
      <c r="CB67" s="368"/>
      <c r="CC67" s="369"/>
      <c r="CD67" s="369"/>
      <c r="CE67" s="369"/>
      <c r="CG67" s="369"/>
      <c r="CH67" s="369"/>
      <c r="CI67" s="369"/>
      <c r="CJ67" s="369"/>
      <c r="CK67" s="369"/>
      <c r="CL67" s="369"/>
      <c r="CY67" s="676"/>
      <c r="CZ67" s="676"/>
      <c r="DA67" s="676"/>
      <c r="DB67" s="370"/>
      <c r="DC67" s="370"/>
      <c r="DD67" s="371"/>
      <c r="DE67" s="702"/>
      <c r="DF67" s="702"/>
      <c r="DG67" s="702"/>
      <c r="DH67" s="372"/>
      <c r="DI67" s="373"/>
      <c r="DJ67" s="373"/>
      <c r="DK67" s="373"/>
      <c r="DL67" s="373"/>
      <c r="DM67" s="373"/>
      <c r="DN67" s="373"/>
      <c r="DO67" s="373"/>
      <c r="DP67" s="373"/>
      <c r="DQ67" s="373"/>
      <c r="DR67" s="373"/>
      <c r="DS67" s="373"/>
      <c r="DT67" s="373"/>
      <c r="DU67" s="373"/>
      <c r="DV67" s="697"/>
      <c r="DW67" s="697"/>
      <c r="DX67" s="697"/>
      <c r="DY67" s="697"/>
      <c r="DZ67" s="697"/>
      <c r="EA67" s="697"/>
      <c r="EB67" s="697"/>
      <c r="EC67" s="697"/>
      <c r="ED67" s="697"/>
      <c r="EE67" s="697"/>
      <c r="EF67" s="697"/>
      <c r="EG67" s="697"/>
      <c r="EH67" s="697"/>
      <c r="EI67" s="697"/>
      <c r="EJ67" s="697"/>
      <c r="EK67" s="697"/>
      <c r="EL67" s="697"/>
      <c r="EM67" s="697"/>
      <c r="EN67" s="697"/>
      <c r="EO67" s="697"/>
      <c r="EP67" s="697"/>
      <c r="EQ67" s="697"/>
      <c r="ER67" s="374"/>
      <c r="ES67" s="698"/>
      <c r="ET67" s="698"/>
      <c r="EU67" s="698"/>
      <c r="EV67" s="698"/>
      <c r="EW67" s="698"/>
      <c r="EX67" s="698"/>
      <c r="EY67" s="698"/>
      <c r="EZ67" s="698"/>
      <c r="FA67" s="698"/>
      <c r="FB67" s="698"/>
      <c r="FC67" s="698"/>
      <c r="FD67" s="698"/>
      <c r="FE67" s="699"/>
      <c r="FF67" s="699"/>
      <c r="FG67" s="699"/>
      <c r="FH67" s="699"/>
      <c r="FI67" s="699"/>
      <c r="FJ67" s="700"/>
      <c r="FK67" s="700"/>
      <c r="FL67" s="700"/>
      <c r="FM67" s="700"/>
      <c r="FN67" s="701"/>
      <c r="FO67" s="701"/>
      <c r="FP67" s="701"/>
    </row>
    <row r="68" spans="1:172" ht="50.25" hidden="1" customHeight="1" x14ac:dyDescent="0.25">
      <c r="A68" s="716"/>
      <c r="B68" s="32"/>
      <c r="C68" s="33"/>
      <c r="D68" s="34"/>
      <c r="E68" s="35"/>
      <c r="F68" s="716"/>
      <c r="G68" s="32"/>
      <c r="H68" s="33"/>
      <c r="I68" s="34"/>
      <c r="J68" s="35"/>
      <c r="K68" s="716"/>
      <c r="L68" s="32"/>
      <c r="M68" s="33"/>
      <c r="N68" s="34"/>
      <c r="O68" s="35"/>
      <c r="P68" s="716"/>
      <c r="Q68" s="32"/>
      <c r="R68" s="33"/>
      <c r="S68" s="34"/>
      <c r="T68" s="35"/>
      <c r="U68" s="716"/>
      <c r="V68" s="32"/>
      <c r="W68" s="33"/>
      <c r="X68" s="34"/>
      <c r="Y68" s="35"/>
      <c r="Z68" s="716"/>
      <c r="AA68" s="32"/>
      <c r="AB68" s="33"/>
      <c r="AC68" s="34"/>
      <c r="AD68" s="35"/>
      <c r="AE68" s="716"/>
      <c r="AF68" s="32"/>
      <c r="AG68" s="33"/>
      <c r="AH68" s="34"/>
      <c r="AI68" s="35"/>
      <c r="AJ68" s="716"/>
      <c r="AK68" s="32"/>
      <c r="AL68" s="33"/>
      <c r="AM68" s="34"/>
      <c r="AN68" s="35"/>
      <c r="AO68" s="716"/>
      <c r="AP68" s="32"/>
      <c r="AQ68" s="33"/>
      <c r="AR68" s="34"/>
      <c r="AS68" s="35"/>
      <c r="AT68" s="716"/>
      <c r="AU68" s="32"/>
      <c r="AV68" s="33"/>
      <c r="AW68" s="34"/>
      <c r="AX68" s="35"/>
      <c r="AY68" s="716"/>
      <c r="AZ68" s="32"/>
      <c r="BA68" s="33"/>
      <c r="BB68" s="34"/>
      <c r="BC68" s="35"/>
      <c r="BD68" s="716"/>
      <c r="BE68" s="32"/>
      <c r="BF68" s="33"/>
      <c r="BG68" s="34"/>
      <c r="BH68" s="35"/>
      <c r="BI68" s="716"/>
      <c r="BJ68" s="32"/>
      <c r="BK68" s="33"/>
      <c r="BL68" s="34"/>
      <c r="BM68" s="35"/>
      <c r="BN68" s="716"/>
      <c r="BO68" s="32"/>
      <c r="BP68" s="33"/>
      <c r="BQ68" s="34"/>
      <c r="BR68" s="35"/>
      <c r="BS68" s="50"/>
      <c r="BT68" s="50"/>
      <c r="BW68" s="27"/>
      <c r="BX68" s="27"/>
      <c r="BY68" s="27"/>
      <c r="BZ68" s="27"/>
      <c r="CA68" s="27"/>
      <c r="CB68" s="27"/>
      <c r="CC68" s="27"/>
      <c r="CD68" s="27"/>
      <c r="CE68" s="27"/>
      <c r="CG68" s="27"/>
      <c r="CH68" s="27"/>
      <c r="CI68" s="27"/>
      <c r="CJ68" s="27"/>
      <c r="CK68" s="27"/>
      <c r="CL68" s="27"/>
      <c r="CY68" s="676"/>
      <c r="CZ68" s="676"/>
      <c r="DA68" s="676"/>
      <c r="DB68" s="29"/>
      <c r="DC68" s="29"/>
      <c r="DD68" s="47"/>
      <c r="DE68" s="702"/>
      <c r="DF68" s="702"/>
      <c r="DG68" s="702"/>
      <c r="DH68" s="48"/>
      <c r="DI68" s="45"/>
      <c r="DJ68" s="45"/>
      <c r="DK68" s="45"/>
      <c r="DL68" s="45"/>
      <c r="DM68" s="45"/>
      <c r="DN68" s="45"/>
      <c r="DO68" s="45"/>
      <c r="DP68" s="45"/>
      <c r="DQ68" s="45"/>
      <c r="DR68" s="45"/>
      <c r="DS68" s="45"/>
      <c r="DT68" s="45"/>
      <c r="DU68" s="45"/>
      <c r="DV68" s="697"/>
      <c r="DW68" s="697"/>
      <c r="DX68" s="697"/>
      <c r="DY68" s="697"/>
      <c r="DZ68" s="697"/>
      <c r="EA68" s="697"/>
      <c r="EB68" s="697"/>
      <c r="EC68" s="697"/>
      <c r="ED68" s="697"/>
      <c r="EE68" s="697"/>
      <c r="EF68" s="697"/>
      <c r="EG68" s="697"/>
      <c r="EH68" s="697"/>
      <c r="EI68" s="697"/>
      <c r="EJ68" s="697"/>
      <c r="EK68" s="697"/>
      <c r="EL68" s="697"/>
      <c r="EM68" s="697"/>
      <c r="EN68" s="697"/>
      <c r="EO68" s="697"/>
      <c r="EP68" s="697"/>
      <c r="EQ68" s="697"/>
      <c r="ER68" s="46"/>
      <c r="ES68" s="698"/>
      <c r="ET68" s="698"/>
      <c r="EU68" s="698"/>
      <c r="EV68" s="698"/>
      <c r="EW68" s="698"/>
      <c r="EX68" s="698"/>
      <c r="EY68" s="698"/>
      <c r="EZ68" s="698"/>
      <c r="FA68" s="698"/>
      <c r="FB68" s="698"/>
      <c r="FC68" s="698"/>
      <c r="FD68" s="698"/>
      <c r="FE68" s="699"/>
      <c r="FF68" s="699"/>
      <c r="FG68" s="699"/>
      <c r="FH68" s="699"/>
      <c r="FI68" s="699"/>
      <c r="FJ68" s="700"/>
      <c r="FK68" s="700"/>
      <c r="FL68" s="700"/>
      <c r="FM68" s="700"/>
      <c r="FN68" s="701"/>
      <c r="FO68" s="701"/>
      <c r="FP68" s="701"/>
    </row>
    <row r="69" spans="1:172" ht="53.25" hidden="1" customHeight="1" x14ac:dyDescent="0.25">
      <c r="A69" s="719"/>
      <c r="B69" s="719"/>
      <c r="C69" s="720"/>
      <c r="D69" s="720"/>
      <c r="E69" s="720"/>
      <c r="F69" s="719"/>
      <c r="G69" s="719"/>
      <c r="H69" s="720"/>
      <c r="I69" s="720"/>
      <c r="J69" s="720"/>
      <c r="K69" s="719"/>
      <c r="L69" s="719"/>
      <c r="M69" s="720"/>
      <c r="N69" s="720"/>
      <c r="O69" s="720"/>
      <c r="P69" s="719"/>
      <c r="Q69" s="719"/>
      <c r="R69" s="720"/>
      <c r="S69" s="720"/>
      <c r="T69" s="720"/>
      <c r="U69" s="719"/>
      <c r="V69" s="719"/>
      <c r="W69" s="720"/>
      <c r="X69" s="720"/>
      <c r="Y69" s="720"/>
      <c r="Z69" s="719"/>
      <c r="AA69" s="719"/>
      <c r="AB69" s="720"/>
      <c r="AC69" s="720"/>
      <c r="AD69" s="720"/>
      <c r="AE69" s="719"/>
      <c r="AF69" s="719"/>
      <c r="AG69" s="720"/>
      <c r="AH69" s="720"/>
      <c r="AI69" s="720"/>
      <c r="AJ69" s="719"/>
      <c r="AK69" s="719"/>
      <c r="AL69" s="720"/>
      <c r="AM69" s="720"/>
      <c r="AN69" s="720"/>
      <c r="AO69" s="719"/>
      <c r="AP69" s="719"/>
      <c r="AQ69" s="720"/>
      <c r="AR69" s="720"/>
      <c r="AS69" s="720"/>
      <c r="AT69" s="719"/>
      <c r="AU69" s="719"/>
      <c r="AV69" s="720"/>
      <c r="AW69" s="720"/>
      <c r="AX69" s="720"/>
      <c r="AY69" s="719"/>
      <c r="AZ69" s="719"/>
      <c r="BA69" s="720"/>
      <c r="BB69" s="720"/>
      <c r="BC69" s="720"/>
      <c r="BD69" s="719"/>
      <c r="BE69" s="719"/>
      <c r="BF69" s="720"/>
      <c r="BG69" s="720"/>
      <c r="BH69" s="720"/>
      <c r="BI69" s="719"/>
      <c r="BJ69" s="719"/>
      <c r="BK69" s="720"/>
      <c r="BL69" s="720"/>
      <c r="BM69" s="720"/>
      <c r="BN69" s="719"/>
      <c r="BO69" s="719"/>
      <c r="BP69" s="720"/>
      <c r="BQ69" s="720"/>
      <c r="BR69" s="720"/>
      <c r="BS69" s="50"/>
      <c r="BT69" s="50"/>
      <c r="BW69" s="27"/>
      <c r="BX69" s="27"/>
      <c r="BY69" s="27"/>
      <c r="BZ69" s="27"/>
      <c r="CA69" s="27"/>
      <c r="CB69" s="27"/>
      <c r="CC69" s="27"/>
      <c r="CD69" s="27"/>
      <c r="CE69" s="27"/>
      <c r="CG69" s="27"/>
      <c r="CH69" s="27"/>
      <c r="CI69" s="27"/>
      <c r="CJ69" s="27"/>
      <c r="CK69" s="27"/>
      <c r="CL69" s="27"/>
      <c r="CY69" s="676"/>
      <c r="CZ69" s="676"/>
      <c r="DA69" s="676"/>
      <c r="DB69" s="675"/>
      <c r="DC69" s="675"/>
      <c r="DD69" s="47"/>
      <c r="DE69" s="703"/>
      <c r="DF69" s="703"/>
      <c r="DG69" s="703"/>
      <c r="DH69" s="48"/>
      <c r="DI69" s="45"/>
      <c r="DJ69" s="45"/>
      <c r="DK69" s="45"/>
      <c r="DL69" s="45"/>
      <c r="DM69" s="45"/>
      <c r="DN69" s="45"/>
      <c r="DO69" s="45"/>
      <c r="DP69" s="45"/>
      <c r="DQ69" s="45"/>
      <c r="DR69" s="45"/>
      <c r="DS69" s="45"/>
      <c r="DT69" s="45"/>
      <c r="DU69" s="45"/>
      <c r="DV69" s="697"/>
      <c r="DW69" s="697"/>
      <c r="DX69" s="697"/>
      <c r="DY69" s="697"/>
      <c r="DZ69" s="697"/>
      <c r="EA69" s="697"/>
      <c r="EB69" s="697"/>
      <c r="EC69" s="697"/>
      <c r="ED69" s="697"/>
      <c r="EE69" s="697"/>
      <c r="EF69" s="697"/>
      <c r="EG69" s="697"/>
      <c r="EH69" s="697"/>
      <c r="EI69" s="697"/>
      <c r="EJ69" s="697"/>
      <c r="EK69" s="697"/>
      <c r="EL69" s="697"/>
      <c r="EM69" s="697"/>
      <c r="EN69" s="697"/>
      <c r="EO69" s="697"/>
      <c r="EP69" s="697"/>
      <c r="EQ69" s="697"/>
      <c r="ER69" s="46"/>
      <c r="ES69" s="698"/>
      <c r="ET69" s="698"/>
      <c r="EU69" s="698"/>
      <c r="EV69" s="698"/>
      <c r="EW69" s="698"/>
      <c r="EX69" s="698"/>
      <c r="EY69" s="698"/>
      <c r="EZ69" s="698"/>
      <c r="FA69" s="698"/>
      <c r="FB69" s="698"/>
      <c r="FC69" s="698"/>
      <c r="FD69" s="698"/>
      <c r="FE69" s="699"/>
      <c r="FF69" s="699"/>
      <c r="FG69" s="699"/>
      <c r="FH69" s="699"/>
      <c r="FI69" s="699"/>
      <c r="FJ69" s="700"/>
      <c r="FK69" s="700"/>
      <c r="FL69" s="700"/>
      <c r="FM69" s="700"/>
      <c r="FN69" s="701"/>
      <c r="FO69" s="701"/>
      <c r="FP69" s="701"/>
    </row>
    <row r="70" spans="1:172" ht="15" hidden="1" customHeight="1" x14ac:dyDescent="0.25">
      <c r="A70" s="714"/>
      <c r="B70" s="714"/>
      <c r="C70" s="714"/>
      <c r="D70" s="714"/>
      <c r="E70" s="714"/>
      <c r="F70" s="714"/>
      <c r="G70" s="714"/>
      <c r="H70" s="714"/>
      <c r="I70" s="714"/>
      <c r="J70" s="714"/>
      <c r="K70" s="714"/>
      <c r="L70" s="714"/>
      <c r="M70" s="714"/>
      <c r="N70" s="714"/>
      <c r="O70" s="714"/>
      <c r="P70" s="714"/>
      <c r="Q70" s="714"/>
      <c r="R70" s="714"/>
      <c r="S70" s="714"/>
      <c r="T70" s="714"/>
      <c r="U70" s="714"/>
      <c r="V70" s="714"/>
      <c r="W70" s="714"/>
      <c r="X70" s="714"/>
      <c r="Y70" s="714"/>
      <c r="Z70" s="714"/>
      <c r="AA70" s="714"/>
      <c r="AB70" s="714"/>
      <c r="AC70" s="714"/>
      <c r="AD70" s="714"/>
      <c r="AE70" s="714"/>
      <c r="AF70" s="714"/>
      <c r="AG70" s="714"/>
      <c r="AH70" s="714"/>
      <c r="AI70" s="714"/>
      <c r="AJ70" s="714"/>
      <c r="AK70" s="714"/>
      <c r="AL70" s="714"/>
      <c r="AM70" s="714"/>
      <c r="AN70" s="714"/>
      <c r="AO70" s="714"/>
      <c r="AP70" s="714"/>
      <c r="AQ70" s="714"/>
      <c r="AR70" s="714"/>
      <c r="AS70" s="714"/>
      <c r="AT70" s="714"/>
      <c r="AU70" s="714"/>
      <c r="AV70" s="714"/>
      <c r="AW70" s="714"/>
      <c r="AX70" s="714"/>
      <c r="AY70" s="714"/>
      <c r="AZ70" s="714"/>
      <c r="BA70" s="714"/>
      <c r="BB70" s="714"/>
      <c r="BC70" s="714"/>
      <c r="BD70" s="714"/>
      <c r="BE70" s="714"/>
      <c r="BF70" s="714"/>
      <c r="BG70" s="714"/>
      <c r="BH70" s="714"/>
      <c r="BI70" s="714"/>
      <c r="BJ70" s="714"/>
      <c r="BK70" s="714"/>
      <c r="BL70" s="714"/>
      <c r="BM70" s="714"/>
      <c r="BN70" s="714"/>
      <c r="BO70" s="714"/>
      <c r="BP70" s="714"/>
      <c r="BQ70" s="714"/>
      <c r="BR70" s="714"/>
      <c r="BS70" s="50"/>
      <c r="BT70" s="50"/>
      <c r="BW70" s="27"/>
      <c r="BX70" s="27"/>
      <c r="BY70" s="27"/>
      <c r="BZ70" s="27"/>
      <c r="CA70" s="27"/>
      <c r="CB70" s="27"/>
      <c r="CC70" s="27"/>
      <c r="CD70" s="27"/>
      <c r="CE70" s="27"/>
      <c r="CG70" s="27"/>
      <c r="CH70" s="27"/>
      <c r="CI70" s="27"/>
      <c r="CJ70" s="27"/>
      <c r="CK70" s="27"/>
      <c r="CL70" s="27"/>
      <c r="CZ70" s="17"/>
      <c r="DE70" s="703"/>
      <c r="DF70" s="703"/>
      <c r="DG70" s="703"/>
      <c r="DH70" s="48"/>
      <c r="DI70" s="49"/>
      <c r="DJ70" s="49"/>
      <c r="DK70" s="49"/>
      <c r="DL70" s="49"/>
      <c r="DM70" s="49"/>
      <c r="DN70" s="49"/>
      <c r="DO70" s="49"/>
      <c r="DP70" s="49"/>
      <c r="DQ70" s="49"/>
      <c r="DR70" s="49"/>
      <c r="DS70" s="49"/>
      <c r="DT70" s="49"/>
      <c r="DU70" s="49"/>
      <c r="DV70" s="704"/>
      <c r="DW70" s="705"/>
      <c r="DX70" s="705"/>
      <c r="DY70" s="705"/>
      <c r="DZ70" s="705"/>
      <c r="EA70" s="705"/>
      <c r="EB70" s="705"/>
      <c r="EC70" s="705"/>
      <c r="ED70" s="705"/>
      <c r="EE70" s="705"/>
      <c r="EF70" s="705"/>
      <c r="EG70" s="705"/>
      <c r="EH70" s="706"/>
      <c r="EI70" s="706"/>
      <c r="EJ70" s="706"/>
      <c r="EK70" s="706"/>
      <c r="EL70" s="706"/>
      <c r="EM70" s="706"/>
      <c r="EN70" s="706"/>
      <c r="EO70" s="706"/>
      <c r="EP70" s="706"/>
      <c r="EQ70" s="706"/>
      <c r="ER70" s="706"/>
      <c r="ES70" s="707"/>
      <c r="ET70" s="707"/>
      <c r="EU70" s="707"/>
      <c r="EV70" s="707"/>
      <c r="EW70" s="707"/>
      <c r="EX70" s="707"/>
      <c r="EY70" s="707"/>
      <c r="EZ70" s="707"/>
      <c r="FA70" s="707"/>
      <c r="FB70" s="707"/>
      <c r="FC70" s="707"/>
      <c r="FD70" s="707"/>
      <c r="FE70" s="699"/>
      <c r="FF70" s="699"/>
      <c r="FG70" s="699"/>
      <c r="FH70" s="699"/>
      <c r="FI70" s="699"/>
      <c r="FJ70" s="708"/>
      <c r="FK70" s="708"/>
      <c r="FL70" s="708"/>
      <c r="FM70" s="708"/>
      <c r="FN70" s="708"/>
      <c r="FO70" s="708"/>
      <c r="FP70" s="708"/>
    </row>
    <row r="71" spans="1:172" ht="9" hidden="1" customHeight="1" x14ac:dyDescent="0.25">
      <c r="A71" s="714"/>
      <c r="B71" s="714"/>
      <c r="C71" s="714"/>
      <c r="D71" s="714"/>
      <c r="E71" s="714"/>
      <c r="F71" s="714"/>
      <c r="G71" s="714"/>
      <c r="H71" s="714"/>
      <c r="I71" s="714"/>
      <c r="J71" s="714"/>
      <c r="K71" s="714"/>
      <c r="L71" s="714"/>
      <c r="M71" s="714"/>
      <c r="N71" s="714"/>
      <c r="O71" s="714"/>
      <c r="P71" s="714"/>
      <c r="Q71" s="714"/>
      <c r="R71" s="714"/>
      <c r="S71" s="714"/>
      <c r="T71" s="714"/>
      <c r="U71" s="714"/>
      <c r="V71" s="714"/>
      <c r="W71" s="714"/>
      <c r="X71" s="714"/>
      <c r="Y71" s="714"/>
      <c r="Z71" s="714"/>
      <c r="AA71" s="714"/>
      <c r="AB71" s="714"/>
      <c r="AC71" s="714"/>
      <c r="AD71" s="714"/>
      <c r="AE71" s="714"/>
      <c r="AF71" s="714"/>
      <c r="AG71" s="714"/>
      <c r="AH71" s="714"/>
      <c r="AI71" s="714"/>
      <c r="AJ71" s="714"/>
      <c r="AK71" s="714"/>
      <c r="AL71" s="714"/>
      <c r="AM71" s="714"/>
      <c r="AN71" s="714"/>
      <c r="AO71" s="714"/>
      <c r="AP71" s="714"/>
      <c r="AQ71" s="714"/>
      <c r="AR71" s="714"/>
      <c r="AS71" s="714"/>
      <c r="AT71" s="714"/>
      <c r="AU71" s="714"/>
      <c r="AV71" s="714"/>
      <c r="AW71" s="714"/>
      <c r="AX71" s="714"/>
      <c r="AY71" s="714"/>
      <c r="AZ71" s="714"/>
      <c r="BA71" s="714"/>
      <c r="BB71" s="714"/>
      <c r="BC71" s="714"/>
      <c r="BD71" s="714"/>
      <c r="BE71" s="714"/>
      <c r="BF71" s="714"/>
      <c r="BG71" s="714"/>
      <c r="BH71" s="714"/>
      <c r="BI71" s="714"/>
      <c r="BJ71" s="714"/>
      <c r="BK71" s="714"/>
      <c r="BL71" s="714"/>
      <c r="BM71" s="714"/>
      <c r="BN71" s="714"/>
      <c r="BO71" s="714"/>
      <c r="BP71" s="714"/>
      <c r="BQ71" s="714"/>
      <c r="BR71" s="714"/>
      <c r="BS71" s="53"/>
      <c r="BT71" s="53"/>
      <c r="DE71" s="703"/>
      <c r="DF71" s="703"/>
      <c r="DG71" s="703"/>
      <c r="DH71" s="52"/>
      <c r="DI71" s="45"/>
      <c r="DJ71" s="45"/>
      <c r="DK71" s="45"/>
      <c r="DL71" s="45"/>
      <c r="DM71" s="45"/>
      <c r="DN71" s="45"/>
      <c r="DO71" s="45"/>
      <c r="DP71" s="45"/>
      <c r="DQ71" s="45"/>
      <c r="DR71" s="45"/>
      <c r="DS71" s="45"/>
      <c r="DT71" s="45"/>
      <c r="DU71" s="45"/>
      <c r="DV71" s="705"/>
      <c r="DW71" s="705"/>
      <c r="DX71" s="705"/>
      <c r="DY71" s="705"/>
      <c r="DZ71" s="705"/>
      <c r="EA71" s="705"/>
      <c r="EB71" s="705"/>
      <c r="EC71" s="705"/>
      <c r="ED71" s="705"/>
      <c r="EE71" s="705"/>
      <c r="EF71" s="705"/>
      <c r="EG71" s="705"/>
      <c r="EH71" s="706"/>
      <c r="EI71" s="706"/>
      <c r="EJ71" s="706"/>
      <c r="EK71" s="706"/>
      <c r="EL71" s="706"/>
      <c r="EM71" s="706"/>
      <c r="EN71" s="706"/>
      <c r="EO71" s="706"/>
      <c r="EP71" s="706"/>
      <c r="EQ71" s="706"/>
      <c r="ER71" s="706"/>
      <c r="ES71" s="707"/>
      <c r="ET71" s="707"/>
      <c r="EU71" s="707"/>
      <c r="EV71" s="707"/>
      <c r="EW71" s="707"/>
      <c r="EX71" s="707"/>
      <c r="EY71" s="707"/>
      <c r="EZ71" s="707"/>
      <c r="FA71" s="707"/>
      <c r="FB71" s="707"/>
      <c r="FC71" s="707"/>
      <c r="FD71" s="707"/>
      <c r="FE71" s="699"/>
      <c r="FF71" s="699"/>
      <c r="FG71" s="699"/>
      <c r="FH71" s="699"/>
      <c r="FI71" s="699"/>
      <c r="FJ71" s="708"/>
      <c r="FK71" s="708"/>
      <c r="FL71" s="708"/>
      <c r="FM71" s="708"/>
      <c r="FN71" s="708"/>
      <c r="FO71" s="708"/>
      <c r="FP71" s="708"/>
    </row>
    <row r="72" spans="1:172" ht="3.75" hidden="1" customHeight="1" x14ac:dyDescent="0.25">
      <c r="A72" s="714"/>
      <c r="B72" s="714"/>
      <c r="C72" s="714"/>
      <c r="D72" s="714"/>
      <c r="E72" s="714"/>
      <c r="F72" s="714"/>
      <c r="G72" s="714"/>
      <c r="H72" s="714"/>
      <c r="I72" s="714"/>
      <c r="J72" s="714"/>
      <c r="K72" s="714"/>
      <c r="L72" s="714"/>
      <c r="M72" s="714"/>
      <c r="N72" s="714"/>
      <c r="O72" s="714"/>
      <c r="P72" s="714"/>
      <c r="Q72" s="714"/>
      <c r="R72" s="714"/>
      <c r="S72" s="714"/>
      <c r="T72" s="714"/>
      <c r="U72" s="714"/>
      <c r="V72" s="714"/>
      <c r="W72" s="714"/>
      <c r="X72" s="714"/>
      <c r="Y72" s="714"/>
      <c r="Z72" s="714"/>
      <c r="AA72" s="714"/>
      <c r="AB72" s="714"/>
      <c r="AC72" s="714"/>
      <c r="AD72" s="714"/>
      <c r="AE72" s="714"/>
      <c r="AF72" s="714"/>
      <c r="AG72" s="714"/>
      <c r="AH72" s="714"/>
      <c r="AI72" s="714"/>
      <c r="AJ72" s="714"/>
      <c r="AK72" s="714"/>
      <c r="AL72" s="714"/>
      <c r="AM72" s="714"/>
      <c r="AN72" s="714"/>
      <c r="AO72" s="714"/>
      <c r="AP72" s="714"/>
      <c r="AQ72" s="714"/>
      <c r="AR72" s="714"/>
      <c r="AS72" s="714"/>
      <c r="AT72" s="714"/>
      <c r="AU72" s="714"/>
      <c r="AV72" s="714"/>
      <c r="AW72" s="714"/>
      <c r="AX72" s="714"/>
      <c r="AY72" s="714"/>
      <c r="AZ72" s="714"/>
      <c r="BA72" s="714"/>
      <c r="BB72" s="714"/>
      <c r="BC72" s="714"/>
      <c r="BD72" s="714"/>
      <c r="BE72" s="714"/>
      <c r="BF72" s="714"/>
      <c r="BG72" s="714"/>
      <c r="BH72" s="714"/>
      <c r="BI72" s="714"/>
      <c r="BJ72" s="714"/>
      <c r="BK72" s="714"/>
      <c r="BL72" s="714"/>
      <c r="BM72" s="714"/>
      <c r="BN72" s="714"/>
      <c r="BO72" s="714"/>
      <c r="BP72" s="714"/>
      <c r="BQ72" s="714"/>
      <c r="BR72" s="714"/>
      <c r="BS72" s="53"/>
      <c r="BT72" s="53"/>
      <c r="DE72" s="709"/>
      <c r="DF72" s="709"/>
      <c r="DG72" s="709"/>
      <c r="DH72" s="52"/>
      <c r="DI72" s="45"/>
      <c r="DJ72" s="45"/>
      <c r="DK72" s="45"/>
      <c r="DL72" s="45"/>
      <c r="DM72" s="45"/>
      <c r="DN72" s="45"/>
      <c r="DO72" s="45"/>
      <c r="DP72" s="45"/>
      <c r="DQ72" s="45"/>
      <c r="DR72" s="45"/>
      <c r="DS72" s="45"/>
      <c r="DT72" s="45"/>
      <c r="DU72" s="45"/>
      <c r="DV72" s="705"/>
      <c r="DW72" s="705"/>
      <c r="DX72" s="705"/>
      <c r="DY72" s="705"/>
      <c r="DZ72" s="705"/>
      <c r="EA72" s="705"/>
      <c r="EB72" s="705"/>
      <c r="EC72" s="705"/>
      <c r="ED72" s="705"/>
      <c r="EE72" s="705"/>
      <c r="EF72" s="705"/>
      <c r="EG72" s="705"/>
      <c r="EH72" s="706"/>
      <c r="EI72" s="706"/>
      <c r="EJ72" s="706"/>
      <c r="EK72" s="706"/>
      <c r="EL72" s="706"/>
      <c r="EM72" s="706"/>
      <c r="EN72" s="706"/>
      <c r="EO72" s="706"/>
      <c r="EP72" s="706"/>
      <c r="EQ72" s="706"/>
      <c r="ER72" s="706"/>
      <c r="ES72" s="707"/>
      <c r="ET72" s="707"/>
      <c r="EU72" s="707"/>
      <c r="EV72" s="707"/>
      <c r="EW72" s="707"/>
      <c r="EX72" s="707"/>
      <c r="EY72" s="707"/>
      <c r="EZ72" s="707"/>
      <c r="FA72" s="707"/>
      <c r="FB72" s="707"/>
      <c r="FC72" s="707"/>
      <c r="FD72" s="707"/>
      <c r="FE72" s="699"/>
      <c r="FF72" s="699"/>
      <c r="FG72" s="699"/>
      <c r="FH72" s="699"/>
      <c r="FI72" s="699"/>
      <c r="FJ72" s="708"/>
      <c r="FK72" s="708"/>
      <c r="FL72" s="708"/>
      <c r="FM72" s="708"/>
      <c r="FN72" s="708"/>
      <c r="FO72" s="708"/>
      <c r="FP72" s="708"/>
    </row>
    <row r="73" spans="1:172" s="22" customFormat="1" ht="111.75" hidden="1" customHeight="1" x14ac:dyDescent="1.35">
      <c r="A73" s="716"/>
      <c r="B73" s="1923"/>
      <c r="C73" s="1923"/>
      <c r="D73" s="1923"/>
      <c r="E73" s="1923"/>
      <c r="F73" s="716"/>
      <c r="G73" s="1923"/>
      <c r="H73" s="1923"/>
      <c r="I73" s="1923"/>
      <c r="J73" s="1923"/>
      <c r="K73" s="716"/>
      <c r="L73" s="1923"/>
      <c r="M73" s="1923"/>
      <c r="N73" s="1923"/>
      <c r="O73" s="1923"/>
      <c r="P73" s="716"/>
      <c r="Q73" s="1923"/>
      <c r="R73" s="1923"/>
      <c r="S73" s="1923"/>
      <c r="T73" s="1923"/>
      <c r="U73" s="716"/>
      <c r="V73" s="1923"/>
      <c r="W73" s="1923"/>
      <c r="X73" s="1923"/>
      <c r="Y73" s="1923"/>
      <c r="Z73" s="716"/>
      <c r="AA73" s="1923"/>
      <c r="AB73" s="1923"/>
      <c r="AC73" s="1923"/>
      <c r="AD73" s="1923"/>
      <c r="AE73" s="716"/>
      <c r="AF73" s="1923"/>
      <c r="AG73" s="1923"/>
      <c r="AH73" s="1923"/>
      <c r="AI73" s="1923"/>
      <c r="AJ73" s="716"/>
      <c r="AK73" s="1923"/>
      <c r="AL73" s="1923"/>
      <c r="AM73" s="1923"/>
      <c r="AN73" s="1923"/>
      <c r="AO73" s="716"/>
      <c r="AP73" s="1923"/>
      <c r="AQ73" s="1923"/>
      <c r="AR73" s="1923"/>
      <c r="AS73" s="1923"/>
      <c r="AT73" s="716"/>
      <c r="AU73" s="1923"/>
      <c r="AV73" s="1923"/>
      <c r="AW73" s="1923"/>
      <c r="AX73" s="1923"/>
      <c r="AY73" s="716"/>
      <c r="AZ73" s="1923"/>
      <c r="BA73" s="1923"/>
      <c r="BB73" s="1923"/>
      <c r="BC73" s="1923"/>
      <c r="BD73" s="716"/>
      <c r="BE73" s="1923"/>
      <c r="BF73" s="1923"/>
      <c r="BG73" s="1923"/>
      <c r="BH73" s="1923"/>
      <c r="BI73" s="716"/>
      <c r="BJ73" s="1923"/>
      <c r="BK73" s="1923"/>
      <c r="BL73" s="1923"/>
      <c r="BM73" s="1923"/>
      <c r="BN73" s="716"/>
      <c r="BO73" s="1923"/>
      <c r="BP73" s="1923"/>
      <c r="BQ73" s="1923"/>
      <c r="BR73" s="1923"/>
      <c r="DE73" s="709"/>
      <c r="DF73" s="709"/>
      <c r="DG73" s="709"/>
      <c r="DH73" s="375"/>
      <c r="DI73" s="373"/>
      <c r="DJ73" s="373"/>
      <c r="DK73" s="373"/>
      <c r="DL73" s="373"/>
      <c r="DM73" s="373"/>
      <c r="DN73" s="373"/>
      <c r="DO73" s="373"/>
      <c r="DP73" s="373"/>
      <c r="DQ73" s="373"/>
      <c r="DR73" s="373"/>
      <c r="DS73" s="373"/>
      <c r="DT73" s="373"/>
      <c r="DU73" s="373"/>
      <c r="DV73" s="705"/>
      <c r="DW73" s="705"/>
      <c r="DX73" s="705"/>
      <c r="DY73" s="705"/>
      <c r="DZ73" s="705"/>
      <c r="EA73" s="705"/>
      <c r="EB73" s="705"/>
      <c r="EC73" s="705"/>
      <c r="ED73" s="705"/>
      <c r="EE73" s="705"/>
      <c r="EF73" s="705"/>
      <c r="EG73" s="705"/>
      <c r="EH73" s="706"/>
      <c r="EI73" s="706"/>
      <c r="EJ73" s="706"/>
      <c r="EK73" s="706"/>
      <c r="EL73" s="706"/>
      <c r="EM73" s="706"/>
      <c r="EN73" s="706"/>
      <c r="EO73" s="706"/>
      <c r="EP73" s="706"/>
      <c r="EQ73" s="706"/>
      <c r="ER73" s="706"/>
      <c r="ES73" s="707"/>
      <c r="ET73" s="707"/>
      <c r="EU73" s="707"/>
      <c r="EV73" s="707"/>
      <c r="EW73" s="707"/>
      <c r="EX73" s="707"/>
      <c r="EY73" s="707"/>
      <c r="EZ73" s="707"/>
      <c r="FA73" s="707"/>
      <c r="FB73" s="707"/>
      <c r="FC73" s="707"/>
      <c r="FD73" s="707"/>
      <c r="FE73" s="699"/>
      <c r="FF73" s="699"/>
      <c r="FG73" s="699"/>
      <c r="FH73" s="699"/>
      <c r="FI73" s="699"/>
      <c r="FJ73" s="708"/>
      <c r="FK73" s="708"/>
      <c r="FL73" s="708"/>
      <c r="FM73" s="708"/>
      <c r="FN73" s="708"/>
      <c r="FO73" s="708"/>
      <c r="FP73" s="708"/>
    </row>
    <row r="74" spans="1:172" ht="50.25" hidden="1" customHeight="1" x14ac:dyDescent="0.25">
      <c r="A74" s="716"/>
      <c r="B74" s="32"/>
      <c r="C74" s="33"/>
      <c r="D74" s="34"/>
      <c r="E74" s="35"/>
      <c r="F74" s="716"/>
      <c r="G74" s="32"/>
      <c r="H74" s="33"/>
      <c r="I74" s="34"/>
      <c r="J74" s="35"/>
      <c r="K74" s="716"/>
      <c r="L74" s="32"/>
      <c r="M74" s="33"/>
      <c r="N74" s="34"/>
      <c r="O74" s="35"/>
      <c r="P74" s="716"/>
      <c r="Q74" s="32"/>
      <c r="R74" s="33"/>
      <c r="S74" s="34"/>
      <c r="T74" s="35"/>
      <c r="U74" s="716"/>
      <c r="V74" s="32"/>
      <c r="W74" s="33"/>
      <c r="X74" s="34"/>
      <c r="Y74" s="35"/>
      <c r="Z74" s="716"/>
      <c r="AA74" s="32"/>
      <c r="AB74" s="33"/>
      <c r="AC74" s="34"/>
      <c r="AD74" s="35"/>
      <c r="AE74" s="716"/>
      <c r="AF74" s="32"/>
      <c r="AG74" s="33"/>
      <c r="AH74" s="34"/>
      <c r="AI74" s="35"/>
      <c r="AJ74" s="716"/>
      <c r="AK74" s="32"/>
      <c r="AL74" s="33"/>
      <c r="AM74" s="34"/>
      <c r="AN74" s="35"/>
      <c r="AO74" s="716"/>
      <c r="AP74" s="32"/>
      <c r="AQ74" s="33"/>
      <c r="AR74" s="34"/>
      <c r="AS74" s="35"/>
      <c r="AT74" s="716"/>
      <c r="AU74" s="32"/>
      <c r="AV74" s="33"/>
      <c r="AW74" s="34"/>
      <c r="AX74" s="35"/>
      <c r="AY74" s="716"/>
      <c r="AZ74" s="32"/>
      <c r="BA74" s="33"/>
      <c r="BB74" s="34"/>
      <c r="BC74" s="35"/>
      <c r="BD74" s="716"/>
      <c r="BE74" s="32"/>
      <c r="BF74" s="33"/>
      <c r="BG74" s="34"/>
      <c r="BH74" s="35"/>
      <c r="BI74" s="716"/>
      <c r="BJ74" s="32"/>
      <c r="BK74" s="33"/>
      <c r="BL74" s="34"/>
      <c r="BM74" s="35"/>
      <c r="BN74" s="716"/>
      <c r="BO74" s="32"/>
      <c r="BP74" s="33"/>
      <c r="BQ74" s="34"/>
      <c r="BR74" s="35"/>
      <c r="DE74" s="709"/>
      <c r="DF74" s="709"/>
      <c r="DG74" s="709"/>
      <c r="DH74" s="52"/>
      <c r="DI74" s="45"/>
      <c r="DJ74" s="45"/>
      <c r="DK74" s="45"/>
      <c r="DL74" s="45"/>
      <c r="DM74" s="45"/>
      <c r="DN74" s="45"/>
      <c r="DO74" s="45"/>
      <c r="DP74" s="45"/>
      <c r="DQ74" s="45"/>
      <c r="DR74" s="45"/>
      <c r="DS74" s="45"/>
      <c r="DT74" s="45"/>
      <c r="DU74" s="45"/>
      <c r="DV74" s="705"/>
      <c r="DW74" s="705"/>
      <c r="DX74" s="705"/>
      <c r="DY74" s="705"/>
      <c r="DZ74" s="705"/>
      <c r="EA74" s="705"/>
      <c r="EB74" s="705"/>
      <c r="EC74" s="705"/>
      <c r="ED74" s="705"/>
      <c r="EE74" s="705"/>
      <c r="EF74" s="705"/>
      <c r="EG74" s="705"/>
      <c r="EH74" s="706"/>
      <c r="EI74" s="706"/>
      <c r="EJ74" s="706"/>
      <c r="EK74" s="706"/>
      <c r="EL74" s="706"/>
      <c r="EM74" s="706"/>
      <c r="EN74" s="706"/>
      <c r="EO74" s="706"/>
      <c r="EP74" s="706"/>
      <c r="EQ74" s="706"/>
      <c r="ER74" s="706"/>
      <c r="ES74" s="707"/>
      <c r="ET74" s="707"/>
      <c r="EU74" s="707"/>
      <c r="EV74" s="707"/>
      <c r="EW74" s="707"/>
      <c r="EX74" s="707"/>
      <c r="EY74" s="707"/>
      <c r="EZ74" s="707"/>
      <c r="FA74" s="707"/>
      <c r="FB74" s="707"/>
      <c r="FC74" s="707"/>
      <c r="FD74" s="707"/>
      <c r="FE74" s="699"/>
      <c r="FF74" s="699"/>
      <c r="FG74" s="699"/>
      <c r="FH74" s="699"/>
      <c r="FI74" s="699"/>
      <c r="FJ74" s="699"/>
      <c r="FK74" s="699"/>
      <c r="FL74" s="699"/>
      <c r="FM74" s="699"/>
      <c r="FN74" s="699"/>
      <c r="FO74" s="699"/>
      <c r="FP74" s="699"/>
    </row>
    <row r="75" spans="1:172" ht="45.75" hidden="1" customHeight="1" x14ac:dyDescent="0.25">
      <c r="A75" s="719"/>
      <c r="B75" s="719"/>
      <c r="C75" s="720"/>
      <c r="D75" s="720"/>
      <c r="E75" s="720"/>
      <c r="F75" s="719"/>
      <c r="G75" s="719"/>
      <c r="H75" s="720"/>
      <c r="I75" s="720"/>
      <c r="J75" s="720"/>
      <c r="K75" s="719"/>
      <c r="L75" s="719"/>
      <c r="M75" s="720"/>
      <c r="N75" s="720"/>
      <c r="O75" s="720"/>
      <c r="P75" s="719"/>
      <c r="Q75" s="719"/>
      <c r="R75" s="720"/>
      <c r="S75" s="720"/>
      <c r="T75" s="720"/>
      <c r="U75" s="719"/>
      <c r="V75" s="719"/>
      <c r="W75" s="720"/>
      <c r="X75" s="720"/>
      <c r="Y75" s="720"/>
      <c r="Z75" s="719"/>
      <c r="AA75" s="719"/>
      <c r="AB75" s="720"/>
      <c r="AC75" s="720"/>
      <c r="AD75" s="720"/>
      <c r="AE75" s="719"/>
      <c r="AF75" s="719"/>
      <c r="AG75" s="720"/>
      <c r="AH75" s="720"/>
      <c r="AI75" s="720"/>
      <c r="AJ75" s="719"/>
      <c r="AK75" s="719"/>
      <c r="AL75" s="720"/>
      <c r="AM75" s="720"/>
      <c r="AN75" s="720"/>
      <c r="AO75" s="719"/>
      <c r="AP75" s="719"/>
      <c r="AQ75" s="720"/>
      <c r="AR75" s="720"/>
      <c r="AS75" s="720"/>
      <c r="AT75" s="719"/>
      <c r="AU75" s="719"/>
      <c r="AV75" s="720"/>
      <c r="AW75" s="720"/>
      <c r="AX75" s="720"/>
      <c r="AY75" s="719"/>
      <c r="AZ75" s="719"/>
      <c r="BA75" s="720"/>
      <c r="BB75" s="720"/>
      <c r="BC75" s="720"/>
      <c r="BD75" s="719"/>
      <c r="BE75" s="719"/>
      <c r="BF75" s="720"/>
      <c r="BG75" s="720"/>
      <c r="BH75" s="720"/>
      <c r="BI75" s="719"/>
      <c r="BJ75" s="719"/>
      <c r="BK75" s="720"/>
      <c r="BL75" s="720"/>
      <c r="BM75" s="720"/>
      <c r="BN75" s="719"/>
      <c r="BO75" s="719"/>
      <c r="BP75" s="720"/>
      <c r="BQ75" s="720"/>
      <c r="BR75" s="720"/>
      <c r="DE75" s="709"/>
      <c r="DF75" s="709"/>
      <c r="DG75" s="709"/>
      <c r="DH75" s="52"/>
      <c r="DI75" s="49"/>
      <c r="DJ75" s="49"/>
      <c r="DK75" s="49"/>
      <c r="DL75" s="49"/>
      <c r="DM75" s="49"/>
      <c r="DN75" s="49"/>
      <c r="DO75" s="49"/>
      <c r="DP75" s="49"/>
      <c r="DQ75" s="49"/>
      <c r="DR75" s="49"/>
      <c r="DS75" s="49"/>
      <c r="DT75" s="49"/>
      <c r="DU75" s="49"/>
      <c r="DV75" s="705"/>
      <c r="DW75" s="705"/>
      <c r="DX75" s="705"/>
      <c r="DY75" s="705"/>
      <c r="DZ75" s="705"/>
      <c r="EA75" s="705"/>
      <c r="EB75" s="705"/>
      <c r="EC75" s="705"/>
      <c r="ED75" s="705"/>
      <c r="EE75" s="705"/>
      <c r="EF75" s="705"/>
      <c r="EG75" s="705"/>
      <c r="EH75" s="706"/>
      <c r="EI75" s="706"/>
      <c r="EJ75" s="706"/>
      <c r="EK75" s="706"/>
      <c r="EL75" s="706"/>
      <c r="EM75" s="706"/>
      <c r="EN75" s="706"/>
      <c r="EO75" s="706"/>
      <c r="EP75" s="706"/>
      <c r="EQ75" s="706"/>
      <c r="ER75" s="706"/>
      <c r="ES75" s="707"/>
      <c r="ET75" s="707"/>
      <c r="EU75" s="707"/>
      <c r="EV75" s="707"/>
      <c r="EW75" s="707"/>
      <c r="EX75" s="707"/>
      <c r="EY75" s="707"/>
      <c r="EZ75" s="707"/>
      <c r="FA75" s="707"/>
      <c r="FB75" s="707"/>
      <c r="FC75" s="707"/>
      <c r="FD75" s="707"/>
      <c r="FE75" s="699"/>
      <c r="FF75" s="699"/>
      <c r="FG75" s="699"/>
      <c r="FH75" s="699"/>
      <c r="FI75" s="699"/>
      <c r="FJ75" s="699"/>
      <c r="FK75" s="699"/>
      <c r="FL75" s="699"/>
      <c r="FM75" s="699"/>
      <c r="FN75" s="699"/>
      <c r="FO75" s="699"/>
      <c r="FP75" s="699"/>
    </row>
    <row r="76" spans="1:172" ht="9.75" hidden="1" customHeight="1" x14ac:dyDescent="0.25">
      <c r="A76" s="714"/>
      <c r="B76" s="714"/>
      <c r="C76" s="714"/>
      <c r="D76" s="714"/>
      <c r="E76" s="714"/>
      <c r="F76" s="714"/>
      <c r="G76" s="714"/>
      <c r="H76" s="714"/>
      <c r="I76" s="714"/>
      <c r="J76" s="714"/>
      <c r="K76" s="714"/>
      <c r="L76" s="714"/>
      <c r="M76" s="714"/>
      <c r="N76" s="714"/>
      <c r="O76" s="714"/>
      <c r="P76" s="714"/>
      <c r="Q76" s="714"/>
      <c r="R76" s="714"/>
      <c r="S76" s="714"/>
      <c r="T76" s="714"/>
      <c r="U76" s="714"/>
      <c r="V76" s="714"/>
      <c r="W76" s="714"/>
      <c r="X76" s="714"/>
      <c r="Y76" s="714"/>
      <c r="Z76" s="714"/>
      <c r="AA76" s="714"/>
      <c r="AB76" s="714"/>
      <c r="AC76" s="714"/>
      <c r="AD76" s="714"/>
      <c r="AE76" s="714"/>
      <c r="AF76" s="714"/>
      <c r="AG76" s="714"/>
      <c r="AH76" s="714"/>
      <c r="AI76" s="714"/>
      <c r="AJ76" s="714"/>
      <c r="AK76" s="714"/>
      <c r="AL76" s="714"/>
      <c r="AM76" s="714"/>
      <c r="AN76" s="714"/>
      <c r="AO76" s="714"/>
      <c r="AP76" s="714"/>
      <c r="AQ76" s="714"/>
      <c r="AR76" s="714"/>
      <c r="AS76" s="714"/>
      <c r="AT76" s="714"/>
      <c r="AU76" s="714"/>
      <c r="AV76" s="714"/>
      <c r="AW76" s="714"/>
      <c r="AX76" s="714"/>
      <c r="AY76" s="714"/>
      <c r="AZ76" s="714"/>
      <c r="BA76" s="714"/>
      <c r="BB76" s="714"/>
      <c r="BC76" s="714"/>
      <c r="BD76" s="714"/>
      <c r="BE76" s="714"/>
      <c r="BF76" s="714"/>
      <c r="BG76" s="714"/>
      <c r="BH76" s="714"/>
      <c r="BI76" s="714"/>
      <c r="BJ76" s="714"/>
      <c r="BK76" s="714"/>
      <c r="BL76" s="714"/>
      <c r="BM76" s="714"/>
      <c r="BN76" s="714"/>
      <c r="BO76" s="714"/>
      <c r="BP76" s="714"/>
      <c r="BQ76" s="714"/>
      <c r="BR76" s="714"/>
    </row>
    <row r="77" spans="1:172" ht="9.75" hidden="1" customHeight="1" x14ac:dyDescent="0.25">
      <c r="A77" s="714"/>
      <c r="B77" s="714"/>
      <c r="C77" s="714"/>
      <c r="D77" s="714"/>
      <c r="E77" s="714"/>
      <c r="F77" s="714"/>
      <c r="G77" s="714"/>
      <c r="H77" s="714"/>
      <c r="I77" s="714"/>
      <c r="J77" s="714"/>
      <c r="K77" s="714"/>
      <c r="L77" s="714"/>
      <c r="M77" s="714"/>
      <c r="N77" s="714"/>
      <c r="O77" s="714"/>
      <c r="P77" s="714"/>
      <c r="Q77" s="714"/>
      <c r="R77" s="714"/>
      <c r="S77" s="714"/>
      <c r="T77" s="714"/>
      <c r="U77" s="714"/>
      <c r="V77" s="714"/>
      <c r="W77" s="714"/>
      <c r="X77" s="714"/>
      <c r="Y77" s="714"/>
      <c r="Z77" s="714"/>
      <c r="AA77" s="714"/>
      <c r="AB77" s="714"/>
      <c r="AC77" s="714"/>
      <c r="AD77" s="714"/>
      <c r="AE77" s="714"/>
      <c r="AF77" s="714"/>
      <c r="AG77" s="714"/>
      <c r="AH77" s="714"/>
      <c r="AI77" s="714"/>
      <c r="AJ77" s="714"/>
      <c r="AK77" s="714"/>
      <c r="AL77" s="714"/>
      <c r="AM77" s="714"/>
      <c r="AN77" s="714"/>
      <c r="AO77" s="714"/>
      <c r="AP77" s="714"/>
      <c r="AQ77" s="714"/>
      <c r="AR77" s="714"/>
      <c r="AS77" s="714"/>
      <c r="AT77" s="714"/>
      <c r="AU77" s="714"/>
      <c r="AV77" s="714"/>
      <c r="AW77" s="714"/>
      <c r="AX77" s="714"/>
      <c r="AY77" s="714"/>
      <c r="AZ77" s="714"/>
      <c r="BA77" s="714"/>
      <c r="BB77" s="714"/>
      <c r="BC77" s="714"/>
      <c r="BD77" s="714"/>
      <c r="BE77" s="714"/>
      <c r="BF77" s="714"/>
      <c r="BG77" s="714"/>
      <c r="BH77" s="714"/>
      <c r="BI77" s="714"/>
      <c r="BJ77" s="714"/>
      <c r="BK77" s="714"/>
      <c r="BL77" s="714"/>
      <c r="BM77" s="714"/>
      <c r="BN77" s="714"/>
      <c r="BO77" s="714"/>
      <c r="BP77" s="714"/>
      <c r="BQ77" s="714"/>
      <c r="BR77" s="714"/>
    </row>
    <row r="78" spans="1:172" ht="9.75" hidden="1" customHeight="1" x14ac:dyDescent="0.25">
      <c r="A78" s="714"/>
      <c r="B78" s="714"/>
      <c r="C78" s="714"/>
      <c r="D78" s="714"/>
      <c r="E78" s="714"/>
      <c r="F78" s="714"/>
      <c r="G78" s="714"/>
      <c r="H78" s="714"/>
      <c r="I78" s="714"/>
      <c r="J78" s="714"/>
      <c r="K78" s="714"/>
      <c r="L78" s="714"/>
      <c r="M78" s="714"/>
      <c r="N78" s="714"/>
      <c r="O78" s="714"/>
      <c r="P78" s="714"/>
      <c r="Q78" s="714"/>
      <c r="R78" s="714"/>
      <c r="S78" s="714"/>
      <c r="T78" s="714"/>
      <c r="U78" s="714"/>
      <c r="V78" s="714"/>
      <c r="W78" s="714"/>
      <c r="X78" s="714"/>
      <c r="Y78" s="714"/>
      <c r="Z78" s="714"/>
      <c r="AA78" s="714"/>
      <c r="AB78" s="714"/>
      <c r="AC78" s="714"/>
      <c r="AD78" s="714"/>
      <c r="AE78" s="714"/>
      <c r="AF78" s="714"/>
      <c r="AG78" s="714"/>
      <c r="AH78" s="714"/>
      <c r="AI78" s="714"/>
      <c r="AJ78" s="714"/>
      <c r="AK78" s="714"/>
      <c r="AL78" s="714"/>
      <c r="AM78" s="714"/>
      <c r="AN78" s="714"/>
      <c r="AO78" s="714"/>
      <c r="AP78" s="714"/>
      <c r="AQ78" s="714"/>
      <c r="AR78" s="714"/>
      <c r="AS78" s="714"/>
      <c r="AT78" s="714"/>
      <c r="AU78" s="714"/>
      <c r="AV78" s="714"/>
      <c r="AW78" s="714"/>
      <c r="AX78" s="714"/>
      <c r="AY78" s="714"/>
      <c r="AZ78" s="714"/>
      <c r="BA78" s="714"/>
      <c r="BB78" s="714"/>
      <c r="BC78" s="714"/>
      <c r="BD78" s="714"/>
      <c r="BE78" s="714"/>
      <c r="BF78" s="714"/>
      <c r="BG78" s="714"/>
      <c r="BH78" s="714"/>
      <c r="BI78" s="714"/>
      <c r="BJ78" s="714"/>
      <c r="BK78" s="714"/>
      <c r="BL78" s="714"/>
      <c r="BM78" s="714"/>
      <c r="BN78" s="714"/>
      <c r="BO78" s="714"/>
      <c r="BP78" s="714"/>
      <c r="BQ78" s="714"/>
      <c r="BR78" s="714"/>
    </row>
    <row r="79" spans="1:172" s="22" customFormat="1" ht="111.75" hidden="1" customHeight="1" x14ac:dyDescent="1.35">
      <c r="A79" s="716"/>
      <c r="B79" s="1923"/>
      <c r="C79" s="1923"/>
      <c r="D79" s="1923"/>
      <c r="E79" s="1923"/>
      <c r="F79" s="716"/>
      <c r="G79" s="1923"/>
      <c r="H79" s="1923"/>
      <c r="I79" s="1923"/>
      <c r="J79" s="1923"/>
      <c r="K79" s="716"/>
      <c r="L79" s="1923"/>
      <c r="M79" s="1923"/>
      <c r="N79" s="1923"/>
      <c r="O79" s="1923"/>
      <c r="P79" s="716"/>
      <c r="Q79" s="1923"/>
      <c r="R79" s="1923"/>
      <c r="S79" s="1923"/>
      <c r="T79" s="1923"/>
      <c r="U79" s="716"/>
      <c r="V79" s="1923"/>
      <c r="W79" s="1923"/>
      <c r="X79" s="1923"/>
      <c r="Y79" s="1923"/>
      <c r="Z79" s="716"/>
      <c r="AA79" s="1923"/>
      <c r="AB79" s="1923"/>
      <c r="AC79" s="1923"/>
      <c r="AD79" s="1923"/>
      <c r="AE79" s="716"/>
      <c r="AF79" s="1923"/>
      <c r="AG79" s="1923"/>
      <c r="AH79" s="1923"/>
      <c r="AI79" s="1923"/>
      <c r="AJ79" s="716"/>
      <c r="AK79" s="1923"/>
      <c r="AL79" s="1923"/>
      <c r="AM79" s="1923"/>
      <c r="AN79" s="1923"/>
      <c r="AO79" s="716"/>
      <c r="AP79" s="1923"/>
      <c r="AQ79" s="1923"/>
      <c r="AR79" s="1923"/>
      <c r="AS79" s="1923"/>
      <c r="AT79" s="716"/>
      <c r="AU79" s="1923"/>
      <c r="AV79" s="1923"/>
      <c r="AW79" s="1923"/>
      <c r="AX79" s="1923"/>
      <c r="AY79" s="716"/>
      <c r="AZ79" s="1923"/>
      <c r="BA79" s="1923"/>
      <c r="BB79" s="1923"/>
      <c r="BC79" s="1923"/>
      <c r="BD79" s="716"/>
      <c r="BE79" s="1923"/>
      <c r="BF79" s="1923"/>
      <c r="BG79" s="1923"/>
      <c r="BH79" s="1923"/>
      <c r="BI79" s="716"/>
      <c r="BJ79" s="1923"/>
      <c r="BK79" s="1923"/>
      <c r="BL79" s="1923"/>
      <c r="BM79" s="1923"/>
      <c r="BN79" s="716"/>
      <c r="BO79" s="1923"/>
      <c r="BP79" s="1923"/>
      <c r="BQ79" s="1923"/>
      <c r="BR79" s="1923"/>
    </row>
    <row r="80" spans="1:172" ht="50.25" hidden="1" customHeight="1" x14ac:dyDescent="0.25">
      <c r="A80" s="716"/>
      <c r="B80" s="32"/>
      <c r="C80" s="33"/>
      <c r="D80" s="34"/>
      <c r="E80" s="35"/>
      <c r="F80" s="716"/>
      <c r="G80" s="32"/>
      <c r="H80" s="33"/>
      <c r="I80" s="34"/>
      <c r="J80" s="35"/>
      <c r="K80" s="716"/>
      <c r="L80" s="32"/>
      <c r="M80" s="33"/>
      <c r="N80" s="34"/>
      <c r="O80" s="35"/>
      <c r="P80" s="716"/>
      <c r="Q80" s="32"/>
      <c r="R80" s="33"/>
      <c r="S80" s="34"/>
      <c r="T80" s="35"/>
      <c r="U80" s="716"/>
      <c r="V80" s="32"/>
      <c r="W80" s="33"/>
      <c r="X80" s="34"/>
      <c r="Y80" s="35"/>
      <c r="Z80" s="716"/>
      <c r="AA80" s="32"/>
      <c r="AB80" s="33"/>
      <c r="AC80" s="34"/>
      <c r="AD80" s="35"/>
      <c r="AE80" s="716"/>
      <c r="AF80" s="32"/>
      <c r="AG80" s="33"/>
      <c r="AH80" s="34"/>
      <c r="AI80" s="35"/>
      <c r="AJ80" s="716"/>
      <c r="AK80" s="32"/>
      <c r="AL80" s="33"/>
      <c r="AM80" s="34"/>
      <c r="AN80" s="35"/>
      <c r="AO80" s="716"/>
      <c r="AP80" s="32"/>
      <c r="AQ80" s="33"/>
      <c r="AR80" s="34"/>
      <c r="AS80" s="35"/>
      <c r="AT80" s="716"/>
      <c r="AU80" s="32"/>
      <c r="AV80" s="33"/>
      <c r="AW80" s="34"/>
      <c r="AX80" s="35"/>
      <c r="AY80" s="716"/>
      <c r="AZ80" s="32"/>
      <c r="BA80" s="33"/>
      <c r="BB80" s="34"/>
      <c r="BC80" s="35"/>
      <c r="BD80" s="716"/>
      <c r="BE80" s="32"/>
      <c r="BF80" s="33"/>
      <c r="BG80" s="34"/>
      <c r="BH80" s="35"/>
      <c r="BI80" s="716"/>
      <c r="BJ80" s="32"/>
      <c r="BK80" s="33"/>
      <c r="BL80" s="34"/>
      <c r="BM80" s="35"/>
      <c r="BN80" s="716"/>
      <c r="BO80" s="32"/>
      <c r="BP80" s="33"/>
      <c r="BQ80" s="34"/>
      <c r="BR80" s="35"/>
    </row>
    <row r="81" spans="1:70" ht="53.25" hidden="1" customHeight="1" x14ac:dyDescent="0.25">
      <c r="A81" s="719"/>
      <c r="B81" s="719"/>
      <c r="C81" s="720"/>
      <c r="D81" s="720"/>
      <c r="E81" s="720"/>
      <c r="F81" s="719"/>
      <c r="G81" s="719"/>
      <c r="H81" s="720"/>
      <c r="I81" s="720"/>
      <c r="J81" s="720"/>
      <c r="K81" s="719"/>
      <c r="L81" s="719"/>
      <c r="M81" s="720"/>
      <c r="N81" s="720"/>
      <c r="O81" s="720"/>
      <c r="P81" s="719"/>
      <c r="Q81" s="719"/>
      <c r="R81" s="720"/>
      <c r="S81" s="720"/>
      <c r="T81" s="720"/>
      <c r="U81" s="719"/>
      <c r="V81" s="719"/>
      <c r="W81" s="720"/>
      <c r="X81" s="720"/>
      <c r="Y81" s="720"/>
      <c r="Z81" s="719"/>
      <c r="AA81" s="719"/>
      <c r="AB81" s="720"/>
      <c r="AC81" s="720"/>
      <c r="AD81" s="720"/>
      <c r="AE81" s="719"/>
      <c r="AF81" s="719"/>
      <c r="AG81" s="720"/>
      <c r="AH81" s="720"/>
      <c r="AI81" s="720"/>
      <c r="AJ81" s="719"/>
      <c r="AK81" s="719"/>
      <c r="AL81" s="720"/>
      <c r="AM81" s="720"/>
      <c r="AN81" s="720"/>
      <c r="AO81" s="719"/>
      <c r="AP81" s="719"/>
      <c r="AQ81" s="720"/>
      <c r="AR81" s="720"/>
      <c r="AS81" s="720"/>
      <c r="AT81" s="719"/>
      <c r="AU81" s="719"/>
      <c r="AV81" s="720"/>
      <c r="AW81" s="720"/>
      <c r="AX81" s="720"/>
      <c r="AY81" s="719"/>
      <c r="AZ81" s="719"/>
      <c r="BA81" s="720"/>
      <c r="BB81" s="720"/>
      <c r="BC81" s="720"/>
      <c r="BD81" s="719"/>
      <c r="BE81" s="719"/>
      <c r="BF81" s="720"/>
      <c r="BG81" s="720"/>
      <c r="BH81" s="720"/>
      <c r="BI81" s="719"/>
      <c r="BJ81" s="719"/>
      <c r="BK81" s="720"/>
      <c r="BL81" s="720"/>
      <c r="BM81" s="720"/>
      <c r="BN81" s="719"/>
      <c r="BO81" s="719"/>
      <c r="BP81" s="720"/>
      <c r="BQ81" s="720"/>
      <c r="BR81" s="720"/>
    </row>
    <row r="82" spans="1:70" ht="15.75" hidden="1" customHeight="1" x14ac:dyDescent="0.25">
      <c r="A82" s="714"/>
      <c r="B82" s="714"/>
      <c r="C82" s="714"/>
      <c r="D82" s="714"/>
      <c r="E82" s="714"/>
      <c r="F82" s="714"/>
      <c r="G82" s="714"/>
      <c r="H82" s="714"/>
      <c r="I82" s="714"/>
      <c r="J82" s="714"/>
      <c r="K82" s="714"/>
      <c r="L82" s="714"/>
      <c r="M82" s="714"/>
      <c r="N82" s="714"/>
      <c r="O82" s="714"/>
      <c r="P82" s="714"/>
      <c r="Q82" s="714"/>
      <c r="R82" s="714"/>
      <c r="S82" s="714"/>
      <c r="T82" s="714"/>
      <c r="U82" s="714"/>
      <c r="V82" s="714"/>
      <c r="W82" s="714"/>
      <c r="X82" s="714"/>
      <c r="Y82" s="714"/>
      <c r="Z82" s="714"/>
      <c r="AA82" s="714"/>
      <c r="AB82" s="714"/>
      <c r="AC82" s="714"/>
      <c r="AD82" s="714"/>
      <c r="AE82" s="714"/>
      <c r="AF82" s="714"/>
      <c r="AG82" s="714"/>
      <c r="AH82" s="714"/>
      <c r="AI82" s="714"/>
      <c r="AJ82" s="714"/>
      <c r="AK82" s="714"/>
      <c r="AL82" s="714"/>
      <c r="AM82" s="714"/>
      <c r="AN82" s="714"/>
      <c r="AO82" s="714"/>
      <c r="AP82" s="714"/>
      <c r="AQ82" s="714"/>
      <c r="AR82" s="714"/>
      <c r="AS82" s="714"/>
      <c r="AT82" s="714"/>
      <c r="AU82" s="714"/>
      <c r="AV82" s="714"/>
      <c r="AW82" s="714"/>
      <c r="AX82" s="714"/>
      <c r="AY82" s="714"/>
      <c r="AZ82" s="714"/>
      <c r="BA82" s="714"/>
      <c r="BB82" s="714"/>
      <c r="BC82" s="714"/>
      <c r="BD82" s="714"/>
      <c r="BE82" s="714"/>
      <c r="BF82" s="714"/>
      <c r="BG82" s="714"/>
      <c r="BH82" s="714"/>
      <c r="BI82" s="714"/>
      <c r="BJ82" s="714"/>
      <c r="BK82" s="714"/>
      <c r="BL82" s="714"/>
      <c r="BM82" s="714"/>
      <c r="BN82" s="714"/>
      <c r="BO82" s="714"/>
      <c r="BP82" s="714"/>
      <c r="BQ82" s="714"/>
      <c r="BR82" s="714"/>
    </row>
    <row r="83" spans="1:70" ht="12" hidden="1" customHeight="1" x14ac:dyDescent="0.25">
      <c r="A83" s="714"/>
      <c r="B83" s="714"/>
      <c r="C83" s="714"/>
      <c r="D83" s="714"/>
      <c r="E83" s="714"/>
      <c r="F83" s="714"/>
      <c r="G83" s="714"/>
      <c r="H83" s="714"/>
      <c r="I83" s="714"/>
      <c r="J83" s="714"/>
      <c r="K83" s="714"/>
      <c r="L83" s="714"/>
      <c r="M83" s="714"/>
      <c r="N83" s="714"/>
      <c r="O83" s="714"/>
      <c r="P83" s="714"/>
      <c r="Q83" s="714"/>
      <c r="R83" s="714"/>
      <c r="S83" s="714"/>
      <c r="T83" s="714"/>
      <c r="U83" s="714"/>
      <c r="V83" s="714"/>
      <c r="W83" s="714"/>
      <c r="X83" s="714"/>
      <c r="Y83" s="714"/>
      <c r="Z83" s="714"/>
      <c r="AA83" s="714"/>
      <c r="AB83" s="714"/>
      <c r="AC83" s="714"/>
      <c r="AD83" s="714"/>
      <c r="AE83" s="714"/>
      <c r="AF83" s="714"/>
      <c r="AG83" s="714"/>
      <c r="AH83" s="714"/>
      <c r="AI83" s="714"/>
      <c r="AJ83" s="714"/>
      <c r="AK83" s="714"/>
      <c r="AL83" s="714"/>
      <c r="AM83" s="714"/>
      <c r="AN83" s="714"/>
      <c r="AO83" s="714"/>
      <c r="AP83" s="714"/>
      <c r="AQ83" s="714"/>
      <c r="AR83" s="714"/>
      <c r="AS83" s="714"/>
      <c r="AT83" s="714"/>
      <c r="AU83" s="714"/>
      <c r="AV83" s="714"/>
      <c r="AW83" s="714"/>
      <c r="AX83" s="714"/>
      <c r="AY83" s="714"/>
      <c r="AZ83" s="714"/>
      <c r="BA83" s="714"/>
      <c r="BB83" s="714"/>
      <c r="BC83" s="714"/>
      <c r="BD83" s="714"/>
      <c r="BE83" s="714"/>
      <c r="BF83" s="714"/>
      <c r="BG83" s="714"/>
      <c r="BH83" s="714"/>
      <c r="BI83" s="714"/>
      <c r="BJ83" s="714"/>
      <c r="BK83" s="714"/>
      <c r="BL83" s="714"/>
      <c r="BM83" s="714"/>
      <c r="BN83" s="714"/>
      <c r="BO83" s="714"/>
      <c r="BP83" s="714"/>
      <c r="BQ83" s="714"/>
      <c r="BR83" s="714"/>
    </row>
    <row r="84" spans="1:70" ht="15" hidden="1" customHeight="1" x14ac:dyDescent="0.25">
      <c r="A84" s="714"/>
      <c r="B84" s="714"/>
      <c r="C84" s="714"/>
      <c r="D84" s="714"/>
      <c r="E84" s="714"/>
      <c r="F84" s="714"/>
      <c r="G84" s="714"/>
      <c r="H84" s="714"/>
      <c r="I84" s="714"/>
      <c r="J84" s="714"/>
      <c r="K84" s="714"/>
      <c r="L84" s="714"/>
      <c r="M84" s="714"/>
      <c r="N84" s="714"/>
      <c r="O84" s="714"/>
      <c r="P84" s="714"/>
      <c r="Q84" s="714"/>
      <c r="R84" s="714"/>
      <c r="S84" s="714"/>
      <c r="T84" s="714"/>
      <c r="U84" s="714"/>
      <c r="V84" s="714"/>
      <c r="W84" s="714"/>
      <c r="X84" s="714"/>
      <c r="Y84" s="714"/>
      <c r="Z84" s="714"/>
      <c r="AA84" s="714"/>
      <c r="AB84" s="714"/>
      <c r="AC84" s="714"/>
      <c r="AD84" s="714"/>
      <c r="AE84" s="714"/>
      <c r="AF84" s="714"/>
      <c r="AG84" s="714"/>
      <c r="AH84" s="714"/>
      <c r="AI84" s="714"/>
      <c r="AJ84" s="714"/>
      <c r="AK84" s="714"/>
      <c r="AL84" s="714"/>
      <c r="AM84" s="714"/>
      <c r="AN84" s="714"/>
      <c r="AO84" s="714"/>
      <c r="AP84" s="714"/>
      <c r="AQ84" s="714"/>
      <c r="AR84" s="714"/>
      <c r="AS84" s="714"/>
      <c r="AT84" s="714"/>
      <c r="AU84" s="714"/>
      <c r="AV84" s="714"/>
      <c r="AW84" s="714"/>
      <c r="AX84" s="714"/>
      <c r="AY84" s="714"/>
      <c r="AZ84" s="714"/>
      <c r="BA84" s="714"/>
      <c r="BB84" s="714"/>
      <c r="BC84" s="714"/>
      <c r="BD84" s="714"/>
      <c r="BE84" s="714"/>
      <c r="BF84" s="714"/>
      <c r="BG84" s="714"/>
      <c r="BH84" s="714"/>
      <c r="BI84" s="714"/>
      <c r="BJ84" s="714"/>
      <c r="BK84" s="714"/>
      <c r="BL84" s="714"/>
      <c r="BM84" s="714"/>
      <c r="BN84" s="714"/>
      <c r="BO84" s="714"/>
      <c r="BP84" s="714"/>
      <c r="BQ84" s="714"/>
      <c r="BR84" s="714"/>
    </row>
    <row r="85" spans="1:70" s="22" customFormat="1" ht="111.75" hidden="1" customHeight="1" x14ac:dyDescent="1.35">
      <c r="A85" s="716"/>
      <c r="B85" s="1923"/>
      <c r="C85" s="1923"/>
      <c r="D85" s="1923"/>
      <c r="E85" s="1923"/>
      <c r="F85" s="716"/>
      <c r="G85" s="1923"/>
      <c r="H85" s="1923"/>
      <c r="I85" s="1923"/>
      <c r="J85" s="1923"/>
      <c r="K85" s="716"/>
      <c r="L85" s="1923"/>
      <c r="M85" s="1923"/>
      <c r="N85" s="1923"/>
      <c r="O85" s="1923"/>
      <c r="P85" s="716"/>
      <c r="Q85" s="1923"/>
      <c r="R85" s="1923"/>
      <c r="S85" s="1923"/>
      <c r="T85" s="1923"/>
      <c r="U85" s="716"/>
      <c r="V85" s="1923"/>
      <c r="W85" s="1923"/>
      <c r="X85" s="1923"/>
      <c r="Y85" s="1923"/>
      <c r="Z85" s="716"/>
      <c r="AA85" s="1923"/>
      <c r="AB85" s="1923"/>
      <c r="AC85" s="1923"/>
      <c r="AD85" s="1923"/>
      <c r="AE85" s="716"/>
      <c r="AF85" s="1923"/>
      <c r="AG85" s="1923"/>
      <c r="AH85" s="1923"/>
      <c r="AI85" s="1923"/>
      <c r="AJ85" s="716"/>
      <c r="AK85" s="1923"/>
      <c r="AL85" s="1923"/>
      <c r="AM85" s="1923"/>
      <c r="AN85" s="1923"/>
      <c r="AO85" s="716"/>
      <c r="AP85" s="1923"/>
      <c r="AQ85" s="1923"/>
      <c r="AR85" s="1923"/>
      <c r="AS85" s="1923"/>
      <c r="AT85" s="716"/>
      <c r="AU85" s="1923"/>
      <c r="AV85" s="1923"/>
      <c r="AW85" s="1923"/>
      <c r="AX85" s="1923"/>
      <c r="AY85" s="716"/>
      <c r="AZ85" s="1923"/>
      <c r="BA85" s="1923"/>
      <c r="BB85" s="1923"/>
      <c r="BC85" s="1923"/>
      <c r="BD85" s="716"/>
      <c r="BE85" s="1923"/>
      <c r="BF85" s="1923"/>
      <c r="BG85" s="1923"/>
      <c r="BH85" s="1923"/>
      <c r="BI85" s="716"/>
      <c r="BJ85" s="1923"/>
      <c r="BK85" s="1923"/>
      <c r="BL85" s="1923"/>
      <c r="BM85" s="1923"/>
      <c r="BN85" s="716"/>
      <c r="BO85" s="1923"/>
      <c r="BP85" s="1923"/>
      <c r="BQ85" s="1923"/>
      <c r="BR85" s="1923"/>
    </row>
    <row r="86" spans="1:70" ht="50.25" hidden="1" customHeight="1" x14ac:dyDescent="0.25">
      <c r="A86" s="716"/>
      <c r="B86" s="32"/>
      <c r="C86" s="33"/>
      <c r="D86" s="34"/>
      <c r="E86" s="35"/>
      <c r="F86" s="716"/>
      <c r="G86" s="32"/>
      <c r="H86" s="33"/>
      <c r="I86" s="34"/>
      <c r="J86" s="35"/>
      <c r="K86" s="716"/>
      <c r="L86" s="32"/>
      <c r="M86" s="33"/>
      <c r="N86" s="34"/>
      <c r="O86" s="35"/>
      <c r="P86" s="716"/>
      <c r="Q86" s="32"/>
      <c r="R86" s="33"/>
      <c r="S86" s="34"/>
      <c r="T86" s="35"/>
      <c r="U86" s="716"/>
      <c r="V86" s="32"/>
      <c r="W86" s="33"/>
      <c r="X86" s="34"/>
      <c r="Y86" s="35"/>
      <c r="Z86" s="716"/>
      <c r="AA86" s="32"/>
      <c r="AB86" s="33"/>
      <c r="AC86" s="34"/>
      <c r="AD86" s="35"/>
      <c r="AE86" s="716"/>
      <c r="AF86" s="32"/>
      <c r="AG86" s="33"/>
      <c r="AH86" s="34"/>
      <c r="AI86" s="35"/>
      <c r="AJ86" s="716"/>
      <c r="AK86" s="32"/>
      <c r="AL86" s="33"/>
      <c r="AM86" s="34"/>
      <c r="AN86" s="35"/>
      <c r="AO86" s="716"/>
      <c r="AP86" s="32"/>
      <c r="AQ86" s="33"/>
      <c r="AR86" s="34"/>
      <c r="AS86" s="35"/>
      <c r="AT86" s="716"/>
      <c r="AU86" s="32"/>
      <c r="AV86" s="33"/>
      <c r="AW86" s="34"/>
      <c r="AX86" s="35"/>
      <c r="AY86" s="716"/>
      <c r="AZ86" s="32"/>
      <c r="BA86" s="33"/>
      <c r="BB86" s="34"/>
      <c r="BC86" s="35"/>
      <c r="BD86" s="716"/>
      <c r="BE86" s="32"/>
      <c r="BF86" s="33"/>
      <c r="BG86" s="34"/>
      <c r="BH86" s="35"/>
      <c r="BI86" s="716"/>
      <c r="BJ86" s="32"/>
      <c r="BK86" s="33"/>
      <c r="BL86" s="34"/>
      <c r="BM86" s="35"/>
      <c r="BN86" s="716"/>
      <c r="BO86" s="32"/>
      <c r="BP86" s="33"/>
      <c r="BQ86" s="34"/>
      <c r="BR86" s="35"/>
    </row>
    <row r="87" spans="1:70" ht="53.25" hidden="1" customHeight="1" x14ac:dyDescent="0.25">
      <c r="A87" s="719"/>
      <c r="B87" s="719"/>
      <c r="C87" s="720"/>
      <c r="D87" s="720"/>
      <c r="E87" s="720"/>
      <c r="F87" s="719"/>
      <c r="G87" s="719"/>
      <c r="H87" s="720"/>
      <c r="I87" s="720"/>
      <c r="J87" s="720"/>
      <c r="K87" s="719"/>
      <c r="L87" s="719"/>
      <c r="M87" s="720"/>
      <c r="N87" s="720"/>
      <c r="O87" s="720"/>
      <c r="P87" s="719"/>
      <c r="Q87" s="719"/>
      <c r="R87" s="720"/>
      <c r="S87" s="720"/>
      <c r="T87" s="720"/>
      <c r="U87" s="719"/>
      <c r="V87" s="719"/>
      <c r="W87" s="720"/>
      <c r="X87" s="720"/>
      <c r="Y87" s="720"/>
      <c r="Z87" s="719"/>
      <c r="AA87" s="719"/>
      <c r="AB87" s="720"/>
      <c r="AC87" s="720"/>
      <c r="AD87" s="720"/>
      <c r="AE87" s="719"/>
      <c r="AF87" s="719"/>
      <c r="AG87" s="720"/>
      <c r="AH87" s="720"/>
      <c r="AI87" s="720"/>
      <c r="AJ87" s="719"/>
      <c r="AK87" s="719"/>
      <c r="AL87" s="720"/>
      <c r="AM87" s="720"/>
      <c r="AN87" s="720"/>
      <c r="AO87" s="719"/>
      <c r="AP87" s="719"/>
      <c r="AQ87" s="720"/>
      <c r="AR87" s="720"/>
      <c r="AS87" s="720"/>
      <c r="AT87" s="719"/>
      <c r="AU87" s="719"/>
      <c r="AV87" s="720"/>
      <c r="AW87" s="720"/>
      <c r="AX87" s="720"/>
      <c r="AY87" s="719"/>
      <c r="AZ87" s="719"/>
      <c r="BA87" s="720"/>
      <c r="BB87" s="720"/>
      <c r="BC87" s="720"/>
      <c r="BD87" s="719"/>
      <c r="BE87" s="719"/>
      <c r="BF87" s="720"/>
      <c r="BG87" s="720"/>
      <c r="BH87" s="720"/>
      <c r="BI87" s="719"/>
      <c r="BJ87" s="719"/>
      <c r="BK87" s="720"/>
      <c r="BL87" s="720"/>
      <c r="BM87" s="720"/>
      <c r="BN87" s="719"/>
      <c r="BO87" s="719"/>
      <c r="BP87" s="720"/>
      <c r="BQ87" s="720"/>
      <c r="BR87" s="720"/>
    </row>
    <row r="88" spans="1:70" ht="15" hidden="1" customHeight="1" x14ac:dyDescent="0.25">
      <c r="A88" s="714"/>
      <c r="B88" s="714"/>
      <c r="C88" s="714"/>
      <c r="D88" s="714"/>
      <c r="E88" s="714"/>
      <c r="F88" s="714"/>
      <c r="G88" s="714"/>
      <c r="H88" s="714"/>
      <c r="I88" s="714"/>
      <c r="J88" s="714"/>
      <c r="K88" s="714"/>
      <c r="L88" s="714"/>
      <c r="M88" s="714"/>
      <c r="N88" s="714"/>
      <c r="O88" s="714"/>
      <c r="P88" s="714"/>
      <c r="Q88" s="714"/>
      <c r="R88" s="714"/>
      <c r="S88" s="714"/>
      <c r="T88" s="714"/>
      <c r="U88" s="714"/>
      <c r="V88" s="714"/>
      <c r="W88" s="714"/>
      <c r="X88" s="714"/>
      <c r="Y88" s="714"/>
      <c r="Z88" s="714"/>
      <c r="AA88" s="714"/>
      <c r="AB88" s="714"/>
      <c r="AC88" s="714"/>
      <c r="AD88" s="714"/>
      <c r="AE88" s="714"/>
      <c r="AF88" s="714"/>
      <c r="AG88" s="714"/>
      <c r="AH88" s="714"/>
      <c r="AI88" s="714"/>
      <c r="AJ88" s="714"/>
      <c r="AK88" s="714"/>
      <c r="AL88" s="714"/>
      <c r="AM88" s="714"/>
      <c r="AN88" s="714"/>
      <c r="AO88" s="714"/>
      <c r="AP88" s="714"/>
      <c r="AQ88" s="714"/>
      <c r="AR88" s="714"/>
      <c r="AS88" s="714"/>
      <c r="AT88" s="714"/>
      <c r="AU88" s="714"/>
      <c r="AV88" s="714"/>
      <c r="AW88" s="714"/>
      <c r="AX88" s="714"/>
      <c r="AY88" s="714"/>
      <c r="AZ88" s="714"/>
      <c r="BA88" s="714"/>
      <c r="BB88" s="714"/>
      <c r="BC88" s="714"/>
      <c r="BD88" s="714"/>
      <c r="BE88" s="714"/>
      <c r="BF88" s="714"/>
      <c r="BG88" s="714"/>
      <c r="BH88" s="714"/>
      <c r="BI88" s="714"/>
      <c r="BJ88" s="714"/>
      <c r="BK88" s="714"/>
      <c r="BL88" s="714"/>
      <c r="BM88" s="714"/>
      <c r="BN88" s="714"/>
      <c r="BO88" s="714"/>
      <c r="BP88" s="714"/>
      <c r="BQ88" s="714"/>
      <c r="BR88" s="714"/>
    </row>
    <row r="89" spans="1:70" ht="6" hidden="1" customHeight="1" x14ac:dyDescent="0.25">
      <c r="A89" s="714"/>
      <c r="B89" s="714"/>
      <c r="C89" s="714"/>
      <c r="D89" s="714"/>
      <c r="E89" s="714"/>
      <c r="F89" s="714"/>
      <c r="G89" s="714"/>
      <c r="H89" s="714"/>
      <c r="I89" s="714"/>
      <c r="J89" s="714"/>
      <c r="K89" s="714"/>
      <c r="L89" s="714"/>
      <c r="M89" s="714"/>
      <c r="N89" s="714"/>
      <c r="O89" s="714"/>
      <c r="P89" s="714"/>
      <c r="Q89" s="714"/>
      <c r="R89" s="714"/>
      <c r="S89" s="714"/>
      <c r="T89" s="714"/>
      <c r="U89" s="714"/>
      <c r="V89" s="714"/>
      <c r="W89" s="714"/>
      <c r="X89" s="714"/>
      <c r="Y89" s="714"/>
      <c r="Z89" s="714"/>
      <c r="AA89" s="714"/>
      <c r="AB89" s="714"/>
      <c r="AC89" s="714"/>
      <c r="AD89" s="714"/>
      <c r="AE89" s="714"/>
      <c r="AF89" s="714"/>
      <c r="AG89" s="714"/>
      <c r="AH89" s="714"/>
      <c r="AI89" s="714"/>
      <c r="AJ89" s="714"/>
      <c r="AK89" s="714"/>
      <c r="AL89" s="714"/>
      <c r="AM89" s="714"/>
      <c r="AN89" s="714"/>
      <c r="AO89" s="714"/>
      <c r="AP89" s="714"/>
      <c r="AQ89" s="714"/>
      <c r="AR89" s="714"/>
      <c r="AS89" s="714"/>
      <c r="AT89" s="714"/>
      <c r="AU89" s="714"/>
      <c r="AV89" s="714"/>
      <c r="AW89" s="714"/>
      <c r="AX89" s="714"/>
      <c r="AY89" s="714"/>
      <c r="AZ89" s="714"/>
      <c r="BA89" s="714"/>
      <c r="BB89" s="714"/>
      <c r="BC89" s="714"/>
      <c r="BD89" s="714"/>
      <c r="BE89" s="714"/>
      <c r="BF89" s="714"/>
      <c r="BG89" s="714"/>
      <c r="BH89" s="714"/>
      <c r="BI89" s="714"/>
      <c r="BJ89" s="714"/>
      <c r="BK89" s="714"/>
      <c r="BL89" s="714"/>
      <c r="BM89" s="714"/>
      <c r="BN89" s="714"/>
      <c r="BO89" s="714"/>
      <c r="BP89" s="714"/>
      <c r="BQ89" s="714"/>
      <c r="BR89" s="714"/>
    </row>
    <row r="90" spans="1:70" ht="15" hidden="1" customHeight="1" x14ac:dyDescent="0.25">
      <c r="A90" s="714"/>
      <c r="B90" s="714"/>
      <c r="C90" s="714"/>
      <c r="D90" s="714"/>
      <c r="E90" s="714"/>
      <c r="F90" s="714"/>
      <c r="G90" s="714"/>
      <c r="H90" s="714"/>
      <c r="I90" s="714"/>
      <c r="J90" s="714"/>
      <c r="K90" s="714"/>
      <c r="L90" s="714"/>
      <c r="M90" s="714"/>
      <c r="N90" s="714"/>
      <c r="O90" s="714"/>
      <c r="P90" s="714"/>
      <c r="Q90" s="714"/>
      <c r="R90" s="714"/>
      <c r="S90" s="714"/>
      <c r="T90" s="714"/>
      <c r="U90" s="714"/>
      <c r="V90" s="714"/>
      <c r="W90" s="714"/>
      <c r="X90" s="714"/>
      <c r="Y90" s="714"/>
      <c r="Z90" s="714"/>
      <c r="AA90" s="714"/>
      <c r="AB90" s="714"/>
      <c r="AC90" s="714"/>
      <c r="AD90" s="714"/>
      <c r="AE90" s="714"/>
      <c r="AF90" s="714"/>
      <c r="AG90" s="714"/>
      <c r="AH90" s="714"/>
      <c r="AI90" s="714"/>
      <c r="AJ90" s="714"/>
      <c r="AK90" s="714"/>
      <c r="AL90" s="714"/>
      <c r="AM90" s="714"/>
      <c r="AN90" s="714"/>
      <c r="AO90" s="714"/>
      <c r="AP90" s="714"/>
      <c r="AQ90" s="714"/>
      <c r="AR90" s="714"/>
      <c r="AS90" s="714"/>
      <c r="AT90" s="714"/>
      <c r="AU90" s="714"/>
      <c r="AV90" s="714"/>
      <c r="AW90" s="714"/>
      <c r="AX90" s="714"/>
      <c r="AY90" s="714"/>
      <c r="AZ90" s="714"/>
      <c r="BA90" s="714"/>
      <c r="BB90" s="714"/>
      <c r="BC90" s="714"/>
      <c r="BD90" s="714"/>
      <c r="BE90" s="714"/>
      <c r="BF90" s="714"/>
      <c r="BG90" s="714"/>
      <c r="BH90" s="714"/>
      <c r="BI90" s="714"/>
      <c r="BJ90" s="714"/>
      <c r="BK90" s="714"/>
      <c r="BL90" s="714"/>
      <c r="BM90" s="714"/>
      <c r="BN90" s="714"/>
      <c r="BO90" s="714"/>
      <c r="BP90" s="714"/>
      <c r="BQ90" s="714"/>
      <c r="BR90" s="714"/>
    </row>
    <row r="91" spans="1:70" s="22" customFormat="1" ht="111.75" hidden="1" customHeight="1" x14ac:dyDescent="1.35">
      <c r="A91" s="716"/>
      <c r="B91" s="1923"/>
      <c r="C91" s="1923"/>
      <c r="D91" s="1923"/>
      <c r="E91" s="1923"/>
      <c r="F91" s="716"/>
      <c r="G91" s="1923"/>
      <c r="H91" s="1923"/>
      <c r="I91" s="1923"/>
      <c r="J91" s="1923"/>
      <c r="K91" s="716"/>
      <c r="L91" s="1923"/>
      <c r="M91" s="1923"/>
      <c r="N91" s="1923"/>
      <c r="O91" s="1923"/>
      <c r="P91" s="716"/>
      <c r="Q91" s="1923"/>
      <c r="R91" s="1923"/>
      <c r="S91" s="1923"/>
      <c r="T91" s="1923"/>
      <c r="U91" s="716"/>
      <c r="V91" s="1923"/>
      <c r="W91" s="1923"/>
      <c r="X91" s="1923"/>
      <c r="Y91" s="1923"/>
      <c r="Z91" s="716"/>
      <c r="AA91" s="1923"/>
      <c r="AB91" s="1923"/>
      <c r="AC91" s="1923"/>
      <c r="AD91" s="1923"/>
      <c r="AE91" s="716"/>
      <c r="AF91" s="1923"/>
      <c r="AG91" s="1923"/>
      <c r="AH91" s="1923"/>
      <c r="AI91" s="1923"/>
      <c r="AJ91" s="716"/>
      <c r="AK91" s="1923"/>
      <c r="AL91" s="1923"/>
      <c r="AM91" s="1923"/>
      <c r="AN91" s="1923"/>
      <c r="AO91" s="716"/>
      <c r="AP91" s="1923"/>
      <c r="AQ91" s="1923"/>
      <c r="AR91" s="1923"/>
      <c r="AS91" s="1923"/>
      <c r="AT91" s="716"/>
      <c r="AU91" s="1923"/>
      <c r="AV91" s="1923"/>
      <c r="AW91" s="1923"/>
      <c r="AX91" s="1923"/>
      <c r="AY91" s="716"/>
      <c r="AZ91" s="1923"/>
      <c r="BA91" s="1923"/>
      <c r="BB91" s="1923"/>
      <c r="BC91" s="1923"/>
      <c r="BD91" s="716"/>
      <c r="BE91" s="1923"/>
      <c r="BF91" s="1923"/>
      <c r="BG91" s="1923"/>
      <c r="BH91" s="1923"/>
      <c r="BI91" s="716"/>
      <c r="BJ91" s="1923"/>
      <c r="BK91" s="1923"/>
      <c r="BL91" s="1923"/>
      <c r="BM91" s="1923"/>
      <c r="BN91" s="716"/>
      <c r="BO91" s="1923"/>
      <c r="BP91" s="1923"/>
      <c r="BQ91" s="1923"/>
      <c r="BR91" s="1923"/>
    </row>
    <row r="92" spans="1:70" ht="50.25" hidden="1" customHeight="1" x14ac:dyDescent="0.25">
      <c r="A92" s="716"/>
      <c r="B92" s="32"/>
      <c r="C92" s="33"/>
      <c r="D92" s="34"/>
      <c r="E92" s="35"/>
      <c r="F92" s="716"/>
      <c r="G92" s="32"/>
      <c r="H92" s="33"/>
      <c r="I92" s="34"/>
      <c r="J92" s="35"/>
      <c r="K92" s="716"/>
      <c r="L92" s="32"/>
      <c r="M92" s="33"/>
      <c r="N92" s="34"/>
      <c r="O92" s="35"/>
      <c r="P92" s="716"/>
      <c r="Q92" s="32"/>
      <c r="R92" s="33"/>
      <c r="S92" s="34"/>
      <c r="T92" s="35"/>
      <c r="U92" s="716"/>
      <c r="V92" s="32"/>
      <c r="W92" s="33"/>
      <c r="X92" s="34"/>
      <c r="Y92" s="35"/>
      <c r="Z92" s="716"/>
      <c r="AA92" s="32"/>
      <c r="AB92" s="33"/>
      <c r="AC92" s="34"/>
      <c r="AD92" s="35"/>
      <c r="AE92" s="716"/>
      <c r="AF92" s="32"/>
      <c r="AG92" s="33"/>
      <c r="AH92" s="34"/>
      <c r="AI92" s="35"/>
      <c r="AJ92" s="716"/>
      <c r="AK92" s="32"/>
      <c r="AL92" s="33"/>
      <c r="AM92" s="34"/>
      <c r="AN92" s="35"/>
      <c r="AO92" s="716"/>
      <c r="AP92" s="32"/>
      <c r="AQ92" s="33"/>
      <c r="AR92" s="34"/>
      <c r="AS92" s="35"/>
      <c r="AT92" s="716"/>
      <c r="AU92" s="32"/>
      <c r="AV92" s="33"/>
      <c r="AW92" s="34"/>
      <c r="AX92" s="35"/>
      <c r="AY92" s="716"/>
      <c r="AZ92" s="32"/>
      <c r="BA92" s="33"/>
      <c r="BB92" s="34"/>
      <c r="BC92" s="35"/>
      <c r="BD92" s="716"/>
      <c r="BE92" s="32"/>
      <c r="BF92" s="33"/>
      <c r="BG92" s="34"/>
      <c r="BH92" s="35"/>
      <c r="BI92" s="716"/>
      <c r="BJ92" s="32"/>
      <c r="BK92" s="33"/>
      <c r="BL92" s="34"/>
      <c r="BM92" s="35"/>
      <c r="BN92" s="716"/>
      <c r="BO92" s="32"/>
      <c r="BP92" s="33"/>
      <c r="BQ92" s="34"/>
      <c r="BR92" s="35"/>
    </row>
    <row r="93" spans="1:70" ht="47.25" hidden="1" customHeight="1" x14ac:dyDescent="0.25">
      <c r="A93" s="719"/>
      <c r="B93" s="719"/>
      <c r="C93" s="720"/>
      <c r="D93" s="720"/>
      <c r="E93" s="720"/>
      <c r="F93" s="719"/>
      <c r="G93" s="719"/>
      <c r="H93" s="720"/>
      <c r="I93" s="720"/>
      <c r="J93" s="720"/>
      <c r="K93" s="719"/>
      <c r="L93" s="719"/>
      <c r="M93" s="720"/>
      <c r="N93" s="720"/>
      <c r="O93" s="720"/>
      <c r="P93" s="719"/>
      <c r="Q93" s="719"/>
      <c r="R93" s="720"/>
      <c r="S93" s="720"/>
      <c r="T93" s="720"/>
      <c r="U93" s="719"/>
      <c r="V93" s="719"/>
      <c r="W93" s="720"/>
      <c r="X93" s="720"/>
      <c r="Y93" s="720"/>
      <c r="Z93" s="719"/>
      <c r="AA93" s="719"/>
      <c r="AB93" s="720"/>
      <c r="AC93" s="720"/>
      <c r="AD93" s="720"/>
      <c r="AE93" s="719"/>
      <c r="AF93" s="719"/>
      <c r="AG93" s="720"/>
      <c r="AH93" s="720"/>
      <c r="AI93" s="720"/>
      <c r="AJ93" s="719"/>
      <c r="AK93" s="719"/>
      <c r="AL93" s="720"/>
      <c r="AM93" s="720"/>
      <c r="AN93" s="720"/>
      <c r="AO93" s="719"/>
      <c r="AP93" s="719"/>
      <c r="AQ93" s="720"/>
      <c r="AR93" s="720"/>
      <c r="AS93" s="720"/>
      <c r="AT93" s="719"/>
      <c r="AU93" s="719"/>
      <c r="AV93" s="720"/>
      <c r="AW93" s="720"/>
      <c r="AX93" s="720"/>
      <c r="AY93" s="719"/>
      <c r="AZ93" s="719"/>
      <c r="BA93" s="720"/>
      <c r="BB93" s="720"/>
      <c r="BC93" s="720"/>
      <c r="BD93" s="719"/>
      <c r="BE93" s="719"/>
      <c r="BF93" s="720"/>
      <c r="BG93" s="720"/>
      <c r="BH93" s="720"/>
      <c r="BI93" s="719"/>
      <c r="BJ93" s="719"/>
      <c r="BK93" s="720"/>
      <c r="BL93" s="720"/>
      <c r="BM93" s="720"/>
      <c r="BN93" s="719"/>
      <c r="BO93" s="719"/>
      <c r="BP93" s="720"/>
      <c r="BQ93" s="720"/>
      <c r="BR93" s="720"/>
    </row>
    <row r="94" spans="1:70" ht="20.25" hidden="1" customHeight="1" x14ac:dyDescent="0.25">
      <c r="A94" s="714"/>
      <c r="B94" s="714"/>
      <c r="C94" s="714"/>
      <c r="D94" s="714"/>
      <c r="E94" s="714"/>
      <c r="F94" s="714"/>
      <c r="G94" s="714"/>
      <c r="H94" s="714"/>
      <c r="I94" s="714"/>
      <c r="J94" s="714"/>
      <c r="K94" s="714"/>
      <c r="L94" s="714"/>
      <c r="M94" s="714"/>
      <c r="N94" s="714"/>
      <c r="O94" s="714"/>
      <c r="P94" s="714"/>
      <c r="Q94" s="714"/>
      <c r="R94" s="714"/>
      <c r="S94" s="714"/>
      <c r="T94" s="714"/>
      <c r="U94" s="714"/>
      <c r="V94" s="714"/>
      <c r="W94" s="714"/>
      <c r="X94" s="714"/>
      <c r="Y94" s="714"/>
      <c r="Z94" s="714"/>
      <c r="AA94" s="714"/>
      <c r="AB94" s="714"/>
      <c r="AC94" s="714"/>
      <c r="AD94" s="714"/>
      <c r="AE94" s="714"/>
      <c r="AF94" s="714"/>
      <c r="AG94" s="714"/>
      <c r="AH94" s="714"/>
      <c r="AI94" s="714"/>
      <c r="AJ94" s="714"/>
      <c r="AK94" s="714"/>
      <c r="AL94" s="714"/>
      <c r="AM94" s="714"/>
      <c r="AN94" s="714"/>
      <c r="AO94" s="714"/>
      <c r="AP94" s="714"/>
      <c r="AQ94" s="714"/>
      <c r="AR94" s="714"/>
      <c r="AS94" s="714"/>
      <c r="AT94" s="714"/>
      <c r="AU94" s="714"/>
      <c r="AV94" s="714"/>
      <c r="AW94" s="714"/>
      <c r="AX94" s="714"/>
      <c r="AY94" s="714"/>
      <c r="AZ94" s="714"/>
      <c r="BA94" s="714"/>
      <c r="BB94" s="714"/>
      <c r="BC94" s="714"/>
      <c r="BD94" s="714"/>
      <c r="BE94" s="714"/>
      <c r="BF94" s="714"/>
      <c r="BG94" s="714"/>
      <c r="BH94" s="714"/>
      <c r="BI94" s="714"/>
      <c r="BJ94" s="714"/>
      <c r="BK94" s="714"/>
      <c r="BL94" s="714"/>
      <c r="BM94" s="714"/>
      <c r="BN94" s="714"/>
      <c r="BO94" s="714"/>
      <c r="BP94" s="714"/>
      <c r="BQ94" s="714"/>
      <c r="BR94" s="714"/>
    </row>
    <row r="95" spans="1:70" ht="3.75" hidden="1" customHeight="1" x14ac:dyDescent="0.25">
      <c r="A95" s="714"/>
      <c r="B95" s="714"/>
      <c r="C95" s="714"/>
      <c r="D95" s="714"/>
      <c r="E95" s="714"/>
      <c r="F95" s="714"/>
      <c r="G95" s="714"/>
      <c r="H95" s="714"/>
      <c r="I95" s="714"/>
      <c r="J95" s="714"/>
      <c r="K95" s="714"/>
      <c r="L95" s="714"/>
      <c r="M95" s="714"/>
      <c r="N95" s="714"/>
      <c r="O95" s="714"/>
      <c r="P95" s="714"/>
      <c r="Q95" s="714"/>
      <c r="R95" s="714"/>
      <c r="S95" s="714"/>
      <c r="T95" s="714"/>
      <c r="U95" s="714"/>
      <c r="V95" s="714"/>
      <c r="W95" s="714"/>
      <c r="X95" s="714"/>
      <c r="Y95" s="714"/>
      <c r="Z95" s="714"/>
      <c r="AA95" s="714"/>
      <c r="AB95" s="714"/>
      <c r="AC95" s="714"/>
      <c r="AD95" s="714"/>
      <c r="AE95" s="714"/>
      <c r="AF95" s="714"/>
      <c r="AG95" s="714"/>
      <c r="AH95" s="714"/>
      <c r="AI95" s="714"/>
      <c r="AJ95" s="714"/>
      <c r="AK95" s="714"/>
      <c r="AL95" s="714"/>
      <c r="AM95" s="714"/>
      <c r="AN95" s="714"/>
      <c r="AO95" s="714"/>
      <c r="AP95" s="714"/>
      <c r="AQ95" s="714"/>
      <c r="AR95" s="714"/>
      <c r="AS95" s="714"/>
      <c r="AT95" s="714"/>
      <c r="AU95" s="714"/>
      <c r="AV95" s="714"/>
      <c r="AW95" s="714"/>
      <c r="AX95" s="714"/>
      <c r="AY95" s="714"/>
      <c r="AZ95" s="714"/>
      <c r="BA95" s="714"/>
      <c r="BB95" s="714"/>
      <c r="BC95" s="714"/>
      <c r="BD95" s="714"/>
      <c r="BE95" s="714"/>
      <c r="BF95" s="714"/>
      <c r="BG95" s="714"/>
      <c r="BH95" s="714"/>
      <c r="BI95" s="714"/>
      <c r="BJ95" s="714"/>
      <c r="BK95" s="714"/>
      <c r="BL95" s="714"/>
      <c r="BM95" s="714"/>
      <c r="BN95" s="714"/>
      <c r="BO95" s="714"/>
      <c r="BP95" s="714"/>
      <c r="BQ95" s="714"/>
      <c r="BR95" s="714"/>
    </row>
    <row r="96" spans="1:70" ht="15" hidden="1" customHeight="1" x14ac:dyDescent="0.25">
      <c r="A96" s="714"/>
      <c r="B96" s="714"/>
      <c r="C96" s="714"/>
      <c r="D96" s="714"/>
      <c r="E96" s="714"/>
      <c r="F96" s="714"/>
      <c r="G96" s="714"/>
      <c r="H96" s="714"/>
      <c r="I96" s="714"/>
      <c r="J96" s="714"/>
      <c r="K96" s="714"/>
      <c r="L96" s="714"/>
      <c r="M96" s="714"/>
      <c r="N96" s="714"/>
      <c r="O96" s="714"/>
      <c r="P96" s="714"/>
      <c r="Q96" s="714"/>
      <c r="R96" s="714"/>
      <c r="S96" s="714"/>
      <c r="T96" s="714"/>
      <c r="U96" s="714"/>
      <c r="V96" s="714"/>
      <c r="W96" s="714"/>
      <c r="X96" s="714"/>
      <c r="Y96" s="714"/>
      <c r="Z96" s="714"/>
      <c r="AA96" s="714"/>
      <c r="AB96" s="714"/>
      <c r="AC96" s="714"/>
      <c r="AD96" s="714"/>
      <c r="AE96" s="714"/>
      <c r="AF96" s="714"/>
      <c r="AG96" s="714"/>
      <c r="AH96" s="714"/>
      <c r="AI96" s="714"/>
      <c r="AJ96" s="714"/>
      <c r="AK96" s="714"/>
      <c r="AL96" s="714"/>
      <c r="AM96" s="714"/>
      <c r="AN96" s="714"/>
      <c r="AO96" s="714"/>
      <c r="AP96" s="714"/>
      <c r="AQ96" s="714"/>
      <c r="AR96" s="714"/>
      <c r="AS96" s="714"/>
      <c r="AT96" s="714"/>
      <c r="AU96" s="714"/>
      <c r="AV96" s="714"/>
      <c r="AW96" s="714"/>
      <c r="AX96" s="714"/>
      <c r="AY96" s="714"/>
      <c r="AZ96" s="714"/>
      <c r="BA96" s="714"/>
      <c r="BB96" s="714"/>
      <c r="BC96" s="714"/>
      <c r="BD96" s="714"/>
      <c r="BE96" s="714"/>
      <c r="BF96" s="714"/>
      <c r="BG96" s="714"/>
      <c r="BH96" s="714"/>
      <c r="BI96" s="714"/>
      <c r="BJ96" s="714"/>
      <c r="BK96" s="714"/>
      <c r="BL96" s="714"/>
      <c r="BM96" s="714"/>
      <c r="BN96" s="714"/>
      <c r="BO96" s="714"/>
      <c r="BP96" s="714"/>
      <c r="BQ96" s="714"/>
      <c r="BR96" s="714"/>
    </row>
    <row r="97" spans="1:70" s="22" customFormat="1" ht="111.75" hidden="1" customHeight="1" x14ac:dyDescent="1.35">
      <c r="A97" s="716"/>
      <c r="B97" s="1923"/>
      <c r="C97" s="1923"/>
      <c r="D97" s="1923"/>
      <c r="E97" s="1923"/>
      <c r="F97" s="716"/>
      <c r="G97" s="1923"/>
      <c r="H97" s="1923"/>
      <c r="I97" s="1923"/>
      <c r="J97" s="1923"/>
      <c r="K97" s="716"/>
      <c r="L97" s="1923"/>
      <c r="M97" s="1923"/>
      <c r="N97" s="1923"/>
      <c r="O97" s="1923"/>
      <c r="P97" s="716"/>
      <c r="Q97" s="1923"/>
      <c r="R97" s="1923"/>
      <c r="S97" s="1923"/>
      <c r="T97" s="1923"/>
      <c r="U97" s="716"/>
      <c r="V97" s="1923"/>
      <c r="W97" s="1923"/>
      <c r="X97" s="1923"/>
      <c r="Y97" s="1923"/>
      <c r="Z97" s="716"/>
      <c r="AA97" s="1923"/>
      <c r="AB97" s="1923"/>
      <c r="AC97" s="1923"/>
      <c r="AD97" s="1923"/>
      <c r="AE97" s="716"/>
      <c r="AF97" s="1923"/>
      <c r="AG97" s="1923"/>
      <c r="AH97" s="1923"/>
      <c r="AI97" s="1923"/>
      <c r="AJ97" s="716"/>
      <c r="AK97" s="1923"/>
      <c r="AL97" s="1923"/>
      <c r="AM97" s="1923"/>
      <c r="AN97" s="1923"/>
      <c r="AO97" s="716"/>
      <c r="AP97" s="1923"/>
      <c r="AQ97" s="1923"/>
      <c r="AR97" s="1923"/>
      <c r="AS97" s="1923"/>
      <c r="AT97" s="716"/>
      <c r="AU97" s="1923"/>
      <c r="AV97" s="1923"/>
      <c r="AW97" s="1923"/>
      <c r="AX97" s="1923"/>
      <c r="AY97" s="716"/>
      <c r="AZ97" s="1923"/>
      <c r="BA97" s="1923"/>
      <c r="BB97" s="1923"/>
      <c r="BC97" s="1923"/>
      <c r="BD97" s="716"/>
      <c r="BE97" s="1923"/>
      <c r="BF97" s="1923"/>
      <c r="BG97" s="1923"/>
      <c r="BH97" s="1923"/>
      <c r="BI97" s="716"/>
      <c r="BJ97" s="1923"/>
      <c r="BK97" s="1923"/>
      <c r="BL97" s="1923"/>
      <c r="BM97" s="1923"/>
      <c r="BN97" s="716"/>
      <c r="BO97" s="1923"/>
      <c r="BP97" s="1923"/>
      <c r="BQ97" s="1923"/>
      <c r="BR97" s="1923"/>
    </row>
    <row r="98" spans="1:70" ht="50.25" hidden="1" customHeight="1" x14ac:dyDescent="0.25">
      <c r="A98" s="716"/>
      <c r="B98" s="32"/>
      <c r="C98" s="33"/>
      <c r="D98" s="34"/>
      <c r="E98" s="35"/>
      <c r="F98" s="716"/>
      <c r="G98" s="32"/>
      <c r="H98" s="33"/>
      <c r="I98" s="34"/>
      <c r="J98" s="35"/>
      <c r="K98" s="716"/>
      <c r="L98" s="32"/>
      <c r="M98" s="33"/>
      <c r="N98" s="34"/>
      <c r="O98" s="35"/>
      <c r="P98" s="716"/>
      <c r="Q98" s="32"/>
      <c r="R98" s="33"/>
      <c r="S98" s="34"/>
      <c r="T98" s="35"/>
      <c r="U98" s="716"/>
      <c r="V98" s="32"/>
      <c r="W98" s="33"/>
      <c r="X98" s="34"/>
      <c r="Y98" s="35"/>
      <c r="Z98" s="716"/>
      <c r="AA98" s="32"/>
      <c r="AB98" s="33"/>
      <c r="AC98" s="34"/>
      <c r="AD98" s="35"/>
      <c r="AE98" s="716"/>
      <c r="AF98" s="32"/>
      <c r="AG98" s="33"/>
      <c r="AH98" s="34"/>
      <c r="AI98" s="35"/>
      <c r="AJ98" s="716"/>
      <c r="AK98" s="32"/>
      <c r="AL98" s="33"/>
      <c r="AM98" s="34"/>
      <c r="AN98" s="35"/>
      <c r="AO98" s="716"/>
      <c r="AP98" s="32"/>
      <c r="AQ98" s="33"/>
      <c r="AR98" s="34"/>
      <c r="AS98" s="35"/>
      <c r="AT98" s="716"/>
      <c r="AU98" s="32"/>
      <c r="AV98" s="33"/>
      <c r="AW98" s="34"/>
      <c r="AX98" s="35"/>
      <c r="AY98" s="716"/>
      <c r="AZ98" s="32"/>
      <c r="BA98" s="33"/>
      <c r="BB98" s="34"/>
      <c r="BC98" s="35"/>
      <c r="BD98" s="716"/>
      <c r="BE98" s="32"/>
      <c r="BF98" s="33"/>
      <c r="BG98" s="34"/>
      <c r="BH98" s="35"/>
      <c r="BI98" s="716"/>
      <c r="BJ98" s="32"/>
      <c r="BK98" s="33"/>
      <c r="BL98" s="34"/>
      <c r="BM98" s="35"/>
      <c r="BN98" s="716"/>
      <c r="BO98" s="32"/>
      <c r="BP98" s="33"/>
      <c r="BQ98" s="34"/>
      <c r="BR98" s="35"/>
    </row>
    <row r="99" spans="1:70" ht="53.25" hidden="1" customHeight="1" x14ac:dyDescent="0.25">
      <c r="A99" s="719"/>
      <c r="B99" s="719"/>
      <c r="C99" s="720"/>
      <c r="D99" s="720"/>
      <c r="E99" s="720"/>
      <c r="F99" s="719"/>
      <c r="G99" s="719"/>
      <c r="H99" s="720"/>
      <c r="I99" s="720"/>
      <c r="J99" s="720"/>
      <c r="K99" s="719"/>
      <c r="L99" s="719"/>
      <c r="M99" s="720"/>
      <c r="N99" s="720"/>
      <c r="O99" s="720"/>
      <c r="P99" s="719"/>
      <c r="Q99" s="719"/>
      <c r="R99" s="720"/>
      <c r="S99" s="720"/>
      <c r="T99" s="720"/>
      <c r="U99" s="719"/>
      <c r="V99" s="719"/>
      <c r="W99" s="720"/>
      <c r="X99" s="720"/>
      <c r="Y99" s="720"/>
      <c r="Z99" s="719"/>
      <c r="AA99" s="719"/>
      <c r="AB99" s="720"/>
      <c r="AC99" s="720"/>
      <c r="AD99" s="720"/>
      <c r="AE99" s="719"/>
      <c r="AF99" s="719"/>
      <c r="AG99" s="720"/>
      <c r="AH99" s="720"/>
      <c r="AI99" s="720"/>
      <c r="AJ99" s="719"/>
      <c r="AK99" s="719"/>
      <c r="AL99" s="720"/>
      <c r="AM99" s="720"/>
      <c r="AN99" s="720"/>
      <c r="AO99" s="719"/>
      <c r="AP99" s="719"/>
      <c r="AQ99" s="720"/>
      <c r="AR99" s="720"/>
      <c r="AS99" s="720"/>
      <c r="AT99" s="719"/>
      <c r="AU99" s="719"/>
      <c r="AV99" s="720"/>
      <c r="AW99" s="720"/>
      <c r="AX99" s="720"/>
      <c r="AY99" s="719"/>
      <c r="AZ99" s="719"/>
      <c r="BA99" s="720"/>
      <c r="BB99" s="720"/>
      <c r="BC99" s="720"/>
      <c r="BD99" s="719"/>
      <c r="BE99" s="719"/>
      <c r="BF99" s="720"/>
      <c r="BG99" s="720"/>
      <c r="BH99" s="720"/>
      <c r="BI99" s="719"/>
      <c r="BJ99" s="719"/>
      <c r="BK99" s="720"/>
      <c r="BL99" s="720"/>
      <c r="BM99" s="720"/>
      <c r="BN99" s="719"/>
      <c r="BO99" s="719"/>
      <c r="BP99" s="720"/>
      <c r="BQ99" s="720"/>
      <c r="BR99" s="720"/>
    </row>
    <row r="100" spans="1:70" ht="15" hidden="1" customHeight="1" x14ac:dyDescent="0.25">
      <c r="A100" s="714"/>
      <c r="B100" s="714"/>
      <c r="C100" s="714"/>
      <c r="D100" s="714"/>
      <c r="E100" s="714"/>
      <c r="F100" s="714"/>
      <c r="G100" s="714"/>
      <c r="H100" s="714"/>
      <c r="I100" s="714"/>
      <c r="J100" s="714"/>
      <c r="K100" s="714"/>
      <c r="L100" s="714"/>
      <c r="M100" s="714"/>
      <c r="N100" s="714"/>
      <c r="O100" s="714"/>
      <c r="P100" s="714"/>
      <c r="Q100" s="714"/>
      <c r="R100" s="714"/>
      <c r="S100" s="714"/>
      <c r="T100" s="714"/>
      <c r="U100" s="714"/>
      <c r="V100" s="714"/>
      <c r="W100" s="714"/>
      <c r="X100" s="714"/>
      <c r="Y100" s="714"/>
      <c r="Z100" s="714"/>
      <c r="AA100" s="714"/>
      <c r="AB100" s="714"/>
      <c r="AC100" s="714"/>
      <c r="AD100" s="714"/>
      <c r="AE100" s="714"/>
      <c r="AF100" s="714"/>
      <c r="AG100" s="714"/>
      <c r="AH100" s="714"/>
      <c r="AI100" s="714"/>
      <c r="AJ100" s="714"/>
      <c r="AK100" s="714"/>
      <c r="AL100" s="714"/>
      <c r="AM100" s="714"/>
      <c r="AN100" s="714"/>
      <c r="AO100" s="714"/>
      <c r="AP100" s="714"/>
      <c r="AQ100" s="714"/>
      <c r="AR100" s="714"/>
      <c r="AS100" s="714"/>
      <c r="AT100" s="714"/>
      <c r="AU100" s="714"/>
      <c r="AV100" s="714"/>
      <c r="AW100" s="714"/>
      <c r="AX100" s="714"/>
      <c r="AY100" s="714"/>
      <c r="AZ100" s="714"/>
      <c r="BA100" s="714"/>
      <c r="BB100" s="714"/>
      <c r="BC100" s="714"/>
      <c r="BD100" s="714"/>
      <c r="BE100" s="714"/>
      <c r="BF100" s="714"/>
      <c r="BG100" s="714"/>
      <c r="BH100" s="714"/>
      <c r="BI100" s="714"/>
      <c r="BJ100" s="714"/>
      <c r="BK100" s="714"/>
      <c r="BL100" s="714"/>
      <c r="BM100" s="714"/>
      <c r="BN100" s="714"/>
      <c r="BO100" s="714"/>
      <c r="BP100" s="714"/>
      <c r="BQ100" s="714"/>
      <c r="BR100" s="714"/>
    </row>
    <row r="101" spans="1:70" ht="6" hidden="1" customHeight="1" x14ac:dyDescent="0.25">
      <c r="A101" s="714"/>
      <c r="B101" s="714"/>
      <c r="C101" s="714"/>
      <c r="D101" s="714"/>
      <c r="E101" s="714"/>
      <c r="F101" s="714"/>
      <c r="G101" s="714"/>
      <c r="H101" s="714"/>
      <c r="I101" s="714"/>
      <c r="J101" s="714"/>
      <c r="K101" s="714"/>
      <c r="L101" s="714"/>
      <c r="M101" s="714"/>
      <c r="N101" s="714"/>
      <c r="O101" s="714"/>
      <c r="P101" s="714"/>
      <c r="Q101" s="714"/>
      <c r="R101" s="714"/>
      <c r="S101" s="714"/>
      <c r="T101" s="714"/>
      <c r="U101" s="714"/>
      <c r="V101" s="714"/>
      <c r="W101" s="714"/>
      <c r="X101" s="714"/>
      <c r="Y101" s="714"/>
      <c r="Z101" s="714"/>
      <c r="AA101" s="714"/>
      <c r="AB101" s="714"/>
      <c r="AC101" s="714"/>
      <c r="AD101" s="714"/>
      <c r="AE101" s="714"/>
      <c r="AF101" s="714"/>
      <c r="AG101" s="714"/>
      <c r="AH101" s="714"/>
      <c r="AI101" s="714"/>
      <c r="AJ101" s="714"/>
      <c r="AK101" s="714"/>
      <c r="AL101" s="714"/>
      <c r="AM101" s="714"/>
      <c r="AN101" s="714"/>
      <c r="AO101" s="714"/>
      <c r="AP101" s="714"/>
      <c r="AQ101" s="714"/>
      <c r="AR101" s="714"/>
      <c r="AS101" s="714"/>
      <c r="AT101" s="714"/>
      <c r="AU101" s="714"/>
      <c r="AV101" s="714"/>
      <c r="AW101" s="714"/>
      <c r="AX101" s="714"/>
      <c r="AY101" s="714"/>
      <c r="AZ101" s="714"/>
      <c r="BA101" s="714"/>
      <c r="BB101" s="714"/>
      <c r="BC101" s="714"/>
      <c r="BD101" s="714"/>
      <c r="BE101" s="714"/>
      <c r="BF101" s="714"/>
      <c r="BG101" s="714"/>
      <c r="BH101" s="714"/>
      <c r="BI101" s="714"/>
      <c r="BJ101" s="714"/>
      <c r="BK101" s="714"/>
      <c r="BL101" s="714"/>
      <c r="BM101" s="714"/>
      <c r="BN101" s="714"/>
      <c r="BO101" s="714"/>
      <c r="BP101" s="714"/>
      <c r="BQ101" s="714"/>
      <c r="BR101" s="714"/>
    </row>
    <row r="102" spans="1:70" ht="15" hidden="1" customHeight="1" x14ac:dyDescent="0.25">
      <c r="A102" s="714"/>
      <c r="B102" s="714"/>
      <c r="C102" s="714"/>
      <c r="D102" s="714"/>
      <c r="E102" s="714"/>
      <c r="F102" s="714"/>
      <c r="G102" s="714"/>
      <c r="H102" s="714"/>
      <c r="I102" s="714"/>
      <c r="J102" s="714"/>
      <c r="K102" s="714"/>
      <c r="L102" s="714"/>
      <c r="M102" s="714"/>
      <c r="N102" s="714"/>
      <c r="O102" s="714"/>
      <c r="P102" s="714"/>
      <c r="Q102" s="714"/>
      <c r="R102" s="714"/>
      <c r="S102" s="714"/>
      <c r="T102" s="714"/>
      <c r="U102" s="714"/>
      <c r="V102" s="714"/>
      <c r="W102" s="714"/>
      <c r="X102" s="714"/>
      <c r="Y102" s="714"/>
      <c r="Z102" s="714"/>
      <c r="AA102" s="714"/>
      <c r="AB102" s="714"/>
      <c r="AC102" s="714"/>
      <c r="AD102" s="714"/>
      <c r="AE102" s="714"/>
      <c r="AF102" s="714"/>
      <c r="AG102" s="714"/>
      <c r="AH102" s="714"/>
      <c r="AI102" s="714"/>
      <c r="AJ102" s="714"/>
      <c r="AK102" s="714"/>
      <c r="AL102" s="714"/>
      <c r="AM102" s="714"/>
      <c r="AN102" s="714"/>
      <c r="AO102" s="714"/>
      <c r="AP102" s="714"/>
      <c r="AQ102" s="714"/>
      <c r="AR102" s="714"/>
      <c r="AS102" s="714"/>
      <c r="AT102" s="714"/>
      <c r="AU102" s="714"/>
      <c r="AV102" s="714"/>
      <c r="AW102" s="714"/>
      <c r="AX102" s="714"/>
      <c r="AY102" s="714"/>
      <c r="AZ102" s="714"/>
      <c r="BA102" s="714"/>
      <c r="BB102" s="714"/>
      <c r="BC102" s="714"/>
      <c r="BD102" s="714"/>
      <c r="BE102" s="714"/>
      <c r="BF102" s="714"/>
      <c r="BG102" s="714"/>
      <c r="BH102" s="714"/>
      <c r="BI102" s="714"/>
      <c r="BJ102" s="714"/>
      <c r="BK102" s="714"/>
      <c r="BL102" s="714"/>
      <c r="BM102" s="714"/>
      <c r="BN102" s="714"/>
      <c r="BO102" s="714"/>
      <c r="BP102" s="714"/>
      <c r="BQ102" s="714"/>
      <c r="BR102" s="714"/>
    </row>
    <row r="103" spans="1:70" ht="111.75" hidden="1" customHeight="1" x14ac:dyDescent="0.25">
      <c r="A103" s="716"/>
      <c r="B103" s="1923"/>
      <c r="C103" s="1923"/>
      <c r="D103" s="1923"/>
      <c r="E103" s="1923"/>
      <c r="F103" s="716"/>
      <c r="G103" s="1923"/>
      <c r="H103" s="1923"/>
      <c r="I103" s="1923"/>
      <c r="J103" s="1923"/>
      <c r="K103" s="716"/>
      <c r="L103" s="1923"/>
      <c r="M103" s="1923"/>
      <c r="N103" s="1923"/>
      <c r="O103" s="1923"/>
      <c r="P103" s="716"/>
      <c r="Q103" s="1923"/>
      <c r="R103" s="1923"/>
      <c r="S103" s="1923"/>
      <c r="T103" s="1923"/>
      <c r="U103" s="716"/>
      <c r="V103" s="1923"/>
      <c r="W103" s="1923"/>
      <c r="X103" s="1923"/>
      <c r="Y103" s="1923"/>
      <c r="Z103" s="716"/>
      <c r="AA103" s="1923"/>
      <c r="AB103" s="1923"/>
      <c r="AC103" s="1923"/>
      <c r="AD103" s="1923"/>
      <c r="AE103" s="716"/>
      <c r="AF103" s="1923"/>
      <c r="AG103" s="1923"/>
      <c r="AH103" s="1923"/>
      <c r="AI103" s="1923"/>
      <c r="AJ103" s="716"/>
      <c r="AK103" s="1923"/>
      <c r="AL103" s="1923"/>
      <c r="AM103" s="1923"/>
      <c r="AN103" s="1923"/>
      <c r="AO103" s="716"/>
      <c r="AP103" s="1923"/>
      <c r="AQ103" s="1923"/>
      <c r="AR103" s="1923"/>
      <c r="AS103" s="1923"/>
      <c r="AT103" s="716"/>
      <c r="AU103" s="1923"/>
      <c r="AV103" s="1923"/>
      <c r="AW103" s="1923"/>
      <c r="AX103" s="1923"/>
      <c r="AY103" s="716"/>
      <c r="AZ103" s="1923"/>
      <c r="BA103" s="1923"/>
      <c r="BB103" s="1923"/>
      <c r="BC103" s="1923"/>
      <c r="BD103" s="716"/>
      <c r="BE103" s="1923"/>
      <c r="BF103" s="1923"/>
      <c r="BG103" s="1923"/>
      <c r="BH103" s="1923"/>
      <c r="BI103" s="716"/>
      <c r="BJ103" s="1923"/>
      <c r="BK103" s="1923"/>
      <c r="BL103" s="1923"/>
      <c r="BM103" s="1923"/>
      <c r="BN103" s="716"/>
      <c r="BO103" s="1923"/>
      <c r="BP103" s="1923"/>
      <c r="BQ103" s="1923"/>
      <c r="BR103" s="1923"/>
    </row>
    <row r="104" spans="1:70" ht="50.25" hidden="1" customHeight="1" x14ac:dyDescent="0.25">
      <c r="A104" s="716"/>
      <c r="B104" s="32"/>
      <c r="C104" s="33"/>
      <c r="D104" s="34"/>
      <c r="E104" s="35"/>
      <c r="F104" s="716"/>
      <c r="G104" s="32"/>
      <c r="H104" s="33"/>
      <c r="I104" s="34"/>
      <c r="J104" s="35"/>
      <c r="K104" s="716"/>
      <c r="L104" s="32"/>
      <c r="M104" s="33"/>
      <c r="N104" s="34"/>
      <c r="O104" s="35"/>
      <c r="P104" s="716"/>
      <c r="Q104" s="32"/>
      <c r="R104" s="33"/>
      <c r="S104" s="34"/>
      <c r="T104" s="35"/>
      <c r="U104" s="716"/>
      <c r="V104" s="32"/>
      <c r="W104" s="33"/>
      <c r="X104" s="34"/>
      <c r="Y104" s="35"/>
      <c r="Z104" s="716"/>
      <c r="AA104" s="32"/>
      <c r="AB104" s="33"/>
      <c r="AC104" s="34"/>
      <c r="AD104" s="35"/>
      <c r="AE104" s="716"/>
      <c r="AF104" s="32"/>
      <c r="AG104" s="33"/>
      <c r="AH104" s="34"/>
      <c r="AI104" s="35"/>
      <c r="AJ104" s="716"/>
      <c r="AK104" s="32"/>
      <c r="AL104" s="33"/>
      <c r="AM104" s="34"/>
      <c r="AN104" s="35"/>
      <c r="AO104" s="716"/>
      <c r="AP104" s="32"/>
      <c r="AQ104" s="33"/>
      <c r="AR104" s="34"/>
      <c r="AS104" s="35"/>
      <c r="AT104" s="716"/>
      <c r="AU104" s="32"/>
      <c r="AV104" s="33"/>
      <c r="AW104" s="34"/>
      <c r="AX104" s="35"/>
      <c r="AY104" s="716"/>
      <c r="AZ104" s="32"/>
      <c r="BA104" s="33"/>
      <c r="BB104" s="34"/>
      <c r="BC104" s="35"/>
      <c r="BD104" s="716"/>
      <c r="BE104" s="32"/>
      <c r="BF104" s="33"/>
      <c r="BG104" s="34"/>
      <c r="BH104" s="35"/>
      <c r="BI104" s="716"/>
      <c r="BJ104" s="32"/>
      <c r="BK104" s="33"/>
      <c r="BL104" s="34"/>
      <c r="BM104" s="35"/>
      <c r="BN104" s="716"/>
      <c r="BO104" s="32"/>
      <c r="BP104" s="33"/>
      <c r="BQ104" s="34"/>
      <c r="BR104" s="35"/>
    </row>
    <row r="105" spans="1:70" ht="15" customHeight="1" x14ac:dyDescent="0.25"/>
    <row r="106" spans="1:70" ht="20.25" customHeight="1" x14ac:dyDescent="0.25"/>
    <row r="107" spans="1:70" ht="3.75" customHeight="1" x14ac:dyDescent="0.25"/>
    <row r="108" spans="1:70" ht="15" hidden="1" customHeight="1" x14ac:dyDescent="0.25"/>
    <row r="109" spans="1:70" ht="111.75" hidden="1" customHeight="1" x14ac:dyDescent="0.25"/>
    <row r="110" spans="1:70" ht="50.25" hidden="1" customHeight="1" x14ac:dyDescent="0.25"/>
    <row r="111" spans="1:70" ht="123" hidden="1" customHeight="1" x14ac:dyDescent="0.25">
      <c r="A111" s="37"/>
      <c r="B111" s="38"/>
      <c r="C111" s="39"/>
      <c r="D111" s="40"/>
      <c r="E111" s="41"/>
      <c r="F111" s="37"/>
      <c r="G111" s="38"/>
      <c r="H111" s="39"/>
      <c r="I111" s="40"/>
      <c r="J111" s="41"/>
      <c r="K111" s="37"/>
      <c r="L111" s="38"/>
      <c r="M111" s="39"/>
      <c r="N111" s="40"/>
      <c r="O111" s="41"/>
      <c r="P111" s="37"/>
      <c r="Q111" s="38"/>
      <c r="R111" s="39"/>
      <c r="S111" s="40"/>
      <c r="T111" s="41"/>
      <c r="U111" s="37"/>
      <c r="V111" s="38"/>
      <c r="W111" s="39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37"/>
      <c r="AK111" s="38"/>
      <c r="AL111" s="39"/>
      <c r="AM111" s="40"/>
      <c r="AN111" s="41"/>
      <c r="AO111" s="37"/>
      <c r="AP111" s="38"/>
      <c r="AQ111" s="39"/>
      <c r="AR111" s="40"/>
      <c r="AS111" s="41"/>
      <c r="AT111" s="37"/>
      <c r="AU111" s="38"/>
      <c r="AV111" s="39"/>
      <c r="AW111" s="40"/>
      <c r="AX111" s="41"/>
      <c r="AY111" s="37"/>
      <c r="AZ111" s="38"/>
      <c r="BA111" s="39"/>
      <c r="BB111" s="40"/>
      <c r="BC111" s="41"/>
      <c r="BD111" s="37"/>
      <c r="BE111" s="38"/>
      <c r="BF111" s="39"/>
      <c r="BG111" s="40"/>
      <c r="BH111" s="41"/>
      <c r="BI111" s="37"/>
      <c r="BJ111" s="38"/>
      <c r="BK111" s="39"/>
      <c r="BL111" s="40"/>
      <c r="BM111" s="41"/>
      <c r="BN111" s="37"/>
      <c r="BO111" s="38"/>
      <c r="BP111" s="39"/>
      <c r="BQ111" s="40"/>
      <c r="BR111" s="41"/>
    </row>
    <row r="112" spans="1:70" ht="33.75" x14ac:dyDescent="0.25">
      <c r="A112" s="674"/>
      <c r="B112" s="674"/>
      <c r="C112" s="674"/>
      <c r="D112" s="675"/>
      <c r="E112" s="675"/>
      <c r="F112" s="44"/>
      <c r="G112" s="702" cm="1">
        <f t="array" aca="1" ref="G112" ca="1">SUM(COUNTIF(INDIRECT({"B6","G6","L6","Q6","V6","AA6","AF6","AK6","AP6","AU6","AZ6","BE6","BJ6","BO6","B12","G12","L12","Q12","V12","AA12","AF12","AK12","AP12","AU12","AZ12","BE12","BJ12","BO12","B18","G18","L18","Q18","V18","AA18","AF18","AK18","AP18","AU18","AZ18","BE18","BJ18","BO18","B24","G24","L24","Q24","V24","AA24","AF24","AK24","AP24","AU24","AZ24","BE24","BJ24","BO24","B30","G30","L30","Q30","V30","AA30","AF30","AK30","AP30","AU30","AZ30","BE30","BJ30","BO30","B36","G36","L36","Q36","V36","AA36","AF36","AK36","AP36","AU36","AZ36","BE36","BJ36","BO36","B42","G42","L42","Q42","V42","AA42","AF42","AK42","AP42","AU42","AZ42","BE42","BJ42","BO42","B48","G48","L48","Q48","V48","AA48","AF48","AK48","AP48","AU48","AZ48","BE48","BJ48","BO48","B67","G67","L67","Q67","V67","AA67","AF67","AK67","AP67","AU67","AZ67","BE67","BJ67","BO67","B73","G73","L73","Q73","V73","AA73","AF73","AK73","AP73","AU73","AZ73","BE73","BJ73","BO73","B79","G79","L79","Q79","V79","AA79","AF79","AK79","AP79","AU79","AZ79","BE79","BJ79","BO79","B85","G85","L85","Q85","V85","AA85","AF85","AK85","AP85","AU85","AZ85","BE85","BJ85","BO85","B91","G91","L91","Q91","V91","AA91","AF91","AK91","AP91","AU91","AZ91","BE91","BJ91","BO91","B97","G97","L97","Q97","V97","AA97","AF97","AK97","AP97","AU97","AZ97","BE97","BJ97","BO97","B103","G103","L103","Q103","V103","AA103"}),"&gt;0"))</f>
        <v>108</v>
      </c>
      <c r="H112" s="702"/>
      <c r="I112" s="702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699" t="s">
        <v>521</v>
      </c>
      <c r="Y112" s="699"/>
      <c r="Z112" s="699"/>
      <c r="AA112" s="699"/>
      <c r="AB112" s="699"/>
      <c r="AC112" s="699"/>
      <c r="AD112" s="699"/>
      <c r="AE112" s="699"/>
      <c r="AF112" s="699"/>
      <c r="AG112" s="699"/>
      <c r="AH112" s="699"/>
      <c r="AI112" s="699"/>
      <c r="AJ112" s="697" t="s">
        <v>117</v>
      </c>
      <c r="AK112" s="697"/>
      <c r="AL112" s="697"/>
      <c r="AM112" s="697"/>
      <c r="AN112" s="697"/>
      <c r="AO112" s="697"/>
      <c r="AP112" s="697"/>
      <c r="AQ112" s="697"/>
      <c r="AR112" s="697"/>
      <c r="AS112" s="697"/>
      <c r="AT112" s="46"/>
      <c r="AU112" s="698" t="s">
        <v>118</v>
      </c>
      <c r="AV112" s="698"/>
      <c r="AW112" s="698"/>
      <c r="AX112" s="698"/>
      <c r="AY112" s="698"/>
      <c r="AZ112" s="698"/>
      <c r="BA112" s="698"/>
      <c r="BB112" s="698"/>
      <c r="BC112" s="698"/>
      <c r="BD112" s="698"/>
      <c r="BE112" s="698"/>
      <c r="BF112" s="698"/>
      <c r="BG112" s="699" t="s">
        <v>119</v>
      </c>
      <c r="BH112" s="699"/>
      <c r="BI112" s="699"/>
      <c r="BJ112" s="699"/>
      <c r="BK112" s="699"/>
      <c r="BL112" s="700">
        <f>D7+I7+N7+S7+X7+AH7+AM7+AR7+AW7+BB7+BG7+BL7+BQ7+D13+I13+N13+S13+X13+AC13+AH13+AM13+AR13+AW13+BB13+BG13+BL13+BQ13+D19+I19+N19+S19+X19+AC19+AH19+AM19+AR19+AW19+BB19+BG19+BL19+BQ19+D25+I25+N25+S25+X25+AC25+AH25+AM25+AR25+AW25+BB25+BG25+BL25+D31+I31+BQ25+N31+S31+X31+AC31+AH31+AM31+AR31+AW31+BB31+BG31+BL31+BQ31+BQ37+BL37+BG37+BB37+AW37+AR37+AM37+AH37+AC37+X37+S37+N37+I37+D37+D43+I43+N43+S43+X43+AC43+AH43+AM43+AR43+AW43+BB43+BG43+BL43+BQ43+BQ49+BL49+BG49+BB49+AW49+AR49+AM49+AH49+AC49+X49+S49+N49+I49+D49+D68+I68+N68+S68+X68+AC68+AH68+AM68+AR68+AW68+BB68+BG68+BL68+BQ68+BQ74+BL74+BG74+BB74+AW74+AR74+AM74+AH74+AC74+X74+S74+N74+I74+D74+D80+I80+N80+S80+X80+AC80+AH80+AM80+AR80+AW80+BB80+BG80+BL80+BQ80+BQ86+BL86+BG86+BB86+AW86+AR98+AW98+BB98+BG98+BL98+BQ98+D104+I104++AR86+AM86+AH86+AC86+X86+S86+N86+I86+D86+D92+I92+N92+S92+X92+AC92+AH92+AM92+AR92+AW92+BB92+BG92+BL92+BQ92+AM98+AH98+AC98+X98+S98+N98+I98+D98+N104+S104+X104+AC104+AH104+AM104</f>
        <v>25</v>
      </c>
      <c r="BM112" s="700"/>
      <c r="BN112" s="700"/>
      <c r="BO112" s="700"/>
      <c r="BP112" s="701" t="s">
        <v>120</v>
      </c>
      <c r="BQ112" s="701"/>
      <c r="BR112" s="701"/>
    </row>
    <row r="113" spans="1:70" ht="25.5" customHeight="1" x14ac:dyDescent="0.25">
      <c r="A113" s="676"/>
      <c r="B113" s="676"/>
      <c r="C113" s="676"/>
      <c r="D113" s="29"/>
      <c r="E113" s="29"/>
      <c r="F113" s="47"/>
      <c r="G113" s="702"/>
      <c r="H113" s="702"/>
      <c r="I113" s="702"/>
      <c r="J113" s="48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699"/>
      <c r="Y113" s="699"/>
      <c r="Z113" s="699"/>
      <c r="AA113" s="699"/>
      <c r="AB113" s="699"/>
      <c r="AC113" s="699"/>
      <c r="AD113" s="699"/>
      <c r="AE113" s="699"/>
      <c r="AF113" s="699"/>
      <c r="AG113" s="699"/>
      <c r="AH113" s="699"/>
      <c r="AI113" s="699"/>
      <c r="AJ113" s="697"/>
      <c r="AK113" s="697"/>
      <c r="AL113" s="697"/>
      <c r="AM113" s="697"/>
      <c r="AN113" s="697"/>
      <c r="AO113" s="697"/>
      <c r="AP113" s="697"/>
      <c r="AQ113" s="697"/>
      <c r="AR113" s="697"/>
      <c r="AS113" s="697"/>
      <c r="AT113" s="46"/>
      <c r="AU113" s="698"/>
      <c r="AV113" s="698"/>
      <c r="AW113" s="698"/>
      <c r="AX113" s="698"/>
      <c r="AY113" s="698"/>
      <c r="AZ113" s="698"/>
      <c r="BA113" s="698"/>
      <c r="BB113" s="698"/>
      <c r="BC113" s="698"/>
      <c r="BD113" s="698"/>
      <c r="BE113" s="698"/>
      <c r="BF113" s="698"/>
      <c r="BG113" s="699"/>
      <c r="BH113" s="699"/>
      <c r="BI113" s="699"/>
      <c r="BJ113" s="699"/>
      <c r="BK113" s="699"/>
      <c r="BL113" s="700"/>
      <c r="BM113" s="700"/>
      <c r="BN113" s="700"/>
      <c r="BO113" s="700"/>
      <c r="BP113" s="701"/>
      <c r="BQ113" s="701"/>
      <c r="BR113" s="701"/>
    </row>
    <row r="114" spans="1:70" ht="24" customHeight="1" x14ac:dyDescent="0.25">
      <c r="A114" s="676"/>
      <c r="B114" s="676"/>
      <c r="C114" s="676"/>
      <c r="D114" s="29"/>
      <c r="E114" s="29"/>
      <c r="F114" s="47"/>
      <c r="G114" s="702"/>
      <c r="H114" s="702"/>
      <c r="I114" s="702"/>
      <c r="J114" s="48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699"/>
      <c r="Y114" s="699"/>
      <c r="Z114" s="699"/>
      <c r="AA114" s="699"/>
      <c r="AB114" s="699"/>
      <c r="AC114" s="699"/>
      <c r="AD114" s="699"/>
      <c r="AE114" s="699"/>
      <c r="AF114" s="699"/>
      <c r="AG114" s="699"/>
      <c r="AH114" s="699"/>
      <c r="AI114" s="699"/>
      <c r="AJ114" s="697"/>
      <c r="AK114" s="697"/>
      <c r="AL114" s="697"/>
      <c r="AM114" s="697"/>
      <c r="AN114" s="697"/>
      <c r="AO114" s="697"/>
      <c r="AP114" s="697"/>
      <c r="AQ114" s="697"/>
      <c r="AR114" s="697"/>
      <c r="AS114" s="697"/>
      <c r="AT114" s="46"/>
      <c r="AU114" s="698"/>
      <c r="AV114" s="698"/>
      <c r="AW114" s="698"/>
      <c r="AX114" s="698"/>
      <c r="AY114" s="698"/>
      <c r="AZ114" s="698"/>
      <c r="BA114" s="698"/>
      <c r="BB114" s="698"/>
      <c r="BC114" s="698"/>
      <c r="BD114" s="698"/>
      <c r="BE114" s="698"/>
      <c r="BF114" s="698"/>
      <c r="BG114" s="699"/>
      <c r="BH114" s="699"/>
      <c r="BI114" s="699"/>
      <c r="BJ114" s="699"/>
      <c r="BK114" s="699"/>
      <c r="BL114" s="700"/>
      <c r="BM114" s="700"/>
      <c r="BN114" s="700"/>
      <c r="BO114" s="700"/>
      <c r="BP114" s="701"/>
      <c r="BQ114" s="701"/>
      <c r="BR114" s="701"/>
    </row>
    <row r="115" spans="1:70" ht="21.75" customHeight="1" x14ac:dyDescent="0.25">
      <c r="A115" s="676"/>
      <c r="B115" s="676"/>
      <c r="C115" s="676"/>
      <c r="D115" s="675"/>
      <c r="E115" s="675"/>
      <c r="F115" s="47"/>
      <c r="G115" s="703" cm="1">
        <f t="array" aca="1" ref="G115" ca="1">SUM(COUNTIF(INDIRECT({"B7","G7","L7","Q7","V7","AA7","AF7","AK7","AP7","AU7","AZ7","BE7","BJ7","BO7","B13","G13","L13","Q13","V13","AA13","AF13","AK13","AP13","AU13","AZ13","BE13","BJ13","BO13","B19","G19","L19","Q19","V19","AA19","AF19","AK19","AP19","AU19","AZ19","BE19","BJ19","BO19","B25","G25","L25","Q25","V25","AA25","AF25","AK25","AP25","AU25","AZ25","BE25","BJ25","BO25","B31","G31","L31","Q31","V31","AA31","AF31","AK31","AP31","AU31","AZ31","BE31","BJ31","BO31","B37","G37","L37","Q37","V37","AA37","AF37","AK37","AP37","AU37","AZ37","BE37","BJ37","BO37","B43","G43","L43","Q43","V43","AA43","AF43","AK43","AP43","AU43","AZ43","BE43","BJ43","BO43","B49","G49","L49","Q49","V49","AA49","AF49","AK49","AP49","AU49","AZ49","BE49","BJ49","BO49","B68","G68","L68","Q68","V68","AA68","AF68","AK68","AP68","AU68","AZ68","BE68","BJ68","BO68","B74","G74","L74","Q74","V74","AA74","AF74","AK74","AP74","AU74","AZ74","BE74","BJ74","BO74","B80","G80","L80","Q80","V80","AA80","AF80","AK80","AP80","AU80","AZ80","BE80","BJ80","BO80","B86","G86","L86","Q86","V86","AA86","AF86","AK86","AP86","AU86","AZ86","BE86","BJ86","BO86","B92","G92","L92","Q92","V92","AA92","AF92","AK92","AP92","AU92","AZ92","BE92","BJ92","BO92","B98","G98","L98","Q98","V98","AA98","AF98","AK98","AP98","AU98","AZ98","BE98","BJ98","BO98","B104","G104","L104","Q104","V104","AA104"}),"&gt;0"))</f>
        <v>108</v>
      </c>
      <c r="H115" s="703"/>
      <c r="I115" s="703"/>
      <c r="J115" s="48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699"/>
      <c r="Y115" s="699"/>
      <c r="Z115" s="699"/>
      <c r="AA115" s="699"/>
      <c r="AB115" s="699"/>
      <c r="AC115" s="699"/>
      <c r="AD115" s="699"/>
      <c r="AE115" s="699"/>
      <c r="AF115" s="699"/>
      <c r="AG115" s="699"/>
      <c r="AH115" s="699"/>
      <c r="AI115" s="699"/>
      <c r="AJ115" s="697"/>
      <c r="AK115" s="697"/>
      <c r="AL115" s="697"/>
      <c r="AM115" s="697"/>
      <c r="AN115" s="697"/>
      <c r="AO115" s="697"/>
      <c r="AP115" s="697"/>
      <c r="AQ115" s="697"/>
      <c r="AR115" s="697"/>
      <c r="AS115" s="697"/>
      <c r="AT115" s="46"/>
      <c r="AU115" s="698"/>
      <c r="AV115" s="698"/>
      <c r="AW115" s="698"/>
      <c r="AX115" s="698"/>
      <c r="AY115" s="698"/>
      <c r="AZ115" s="698"/>
      <c r="BA115" s="698"/>
      <c r="BB115" s="698"/>
      <c r="BC115" s="698"/>
      <c r="BD115" s="698"/>
      <c r="BE115" s="698"/>
      <c r="BF115" s="698"/>
      <c r="BG115" s="699"/>
      <c r="BH115" s="699"/>
      <c r="BI115" s="699"/>
      <c r="BJ115" s="699"/>
      <c r="BK115" s="699"/>
      <c r="BL115" s="700"/>
      <c r="BM115" s="700"/>
      <c r="BN115" s="700"/>
      <c r="BO115" s="700"/>
      <c r="BP115" s="701"/>
      <c r="BQ115" s="701"/>
      <c r="BR115" s="701"/>
    </row>
    <row r="116" spans="1:70" ht="21.75" customHeight="1" x14ac:dyDescent="0.25">
      <c r="B116" s="17"/>
      <c r="G116" s="703"/>
      <c r="H116" s="703"/>
      <c r="I116" s="703"/>
      <c r="J116" s="48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2355" t="s">
        <v>13</v>
      </c>
      <c r="Y116" s="2355"/>
      <c r="Z116" s="2355"/>
      <c r="AA116" s="2355"/>
      <c r="AB116" s="2355"/>
      <c r="AC116" s="2355"/>
      <c r="AD116" s="2355"/>
      <c r="AE116" s="2355"/>
      <c r="AF116" s="2355"/>
      <c r="AG116" s="2355"/>
      <c r="AH116" s="2355"/>
      <c r="AI116" s="2355"/>
      <c r="AJ116" s="723">
        <f>AU116-Z128</f>
        <v>0</v>
      </c>
      <c r="AK116" s="723"/>
      <c r="AL116" s="723"/>
      <c r="AM116" s="723"/>
      <c r="AN116" s="723"/>
      <c r="AO116" s="723"/>
      <c r="AP116" s="723"/>
      <c r="AQ116" s="723"/>
      <c r="AR116" s="723"/>
      <c r="AS116" s="723"/>
      <c r="AT116" s="723"/>
      <c r="AU116" s="707">
        <f>B7+G7+L7+Q7+V7+AA7+AF7+AK7+AP7+AU7+AZ7+BE7+BJ7+BO7+BO13+BJ13+BE13+AZ13+AU13+AP13+AK13+AF13+AA13+V13+Q13+L13+G13+B13+B19+G19+L19+Q19+V19+AA19+AF19+AK19+AP19+AU19+AZ19+BE19+BJ19+BO19+BO25+BJ25+BE25+AZ25+AU25+AP25+AK25+AF25+AA25+V25+Q25+L25+G25+B31+B25+G31+L31+Q31+V31+AA31+AF31+AK31+AP31+AU31+AZ31+BE31+BJ31+BO31+BO37+BJ37+BE37+AZ37+AU37+AP37+AK37+AF37+AA37+V37+Q37+L37+G37+B37+B43+G43+L43+Q43+V43+AA43+AF43+AK43+AP43+AU43+AZ43+BE43+BJ43+BO43+BO49+BJ49+BE49+AZ49+AU49+AP49+AK49+AF49+AA49+V49+Q49+L49+G49+B49+B68+G68+L68+Q68+V68+AA68+AF68+AK68+AP68+AU68+AZ68+BE68+BJ68+BO68+BO74+BJ74+BE74+AZ74+AU74+AP74+AK74+AF74+AA74+V74+Q74+L74+G74+B74+B80+G80+L80+Q80+V80+AA80+AF80+AK80+AP80+AU80+AZ80+BE80+BJ80+BO80+BO86+BJ86+BE86+AZ86+AU86+AP86+AK86+AF86+AA86+V86+Q86+L86+G86+B86+B92+G92+L92+Q92+V92+AA92+AF92+AK92+AP92+AU92+AZ92+BE92+BJ92+BO92+B98+G98+L98+Q98+V98+AA98+AF98+AK98+AP98+AU98+AZ98+BE98+BJ98+BO98+B104+G104+L104+Q104+V104+AA104+AF104+AK104</f>
        <v>53.320037625456422</v>
      </c>
      <c r="AV116" s="707"/>
      <c r="AW116" s="707"/>
      <c r="AX116" s="707"/>
      <c r="AY116" s="707"/>
      <c r="AZ116" s="707"/>
      <c r="BA116" s="707"/>
      <c r="BB116" s="707"/>
      <c r="BC116" s="707"/>
      <c r="BD116" s="707"/>
      <c r="BE116" s="707"/>
      <c r="BF116" s="707"/>
      <c r="BG116" s="699"/>
      <c r="BH116" s="699"/>
      <c r="BI116" s="699"/>
      <c r="BJ116" s="699"/>
      <c r="BK116" s="699"/>
      <c r="BL116" s="708">
        <f>BL112*1.5</f>
        <v>37.5</v>
      </c>
      <c r="BM116" s="708"/>
      <c r="BN116" s="708"/>
      <c r="BO116" s="708"/>
      <c r="BP116" s="708"/>
      <c r="BQ116" s="708"/>
      <c r="BR116" s="708"/>
    </row>
    <row r="117" spans="1:70" ht="21.75" customHeight="1" x14ac:dyDescent="0.25">
      <c r="G117" s="703"/>
      <c r="H117" s="703"/>
      <c r="I117" s="703"/>
      <c r="J117" s="52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2355"/>
      <c r="Y117" s="2355"/>
      <c r="Z117" s="2355"/>
      <c r="AA117" s="2355"/>
      <c r="AB117" s="2355"/>
      <c r="AC117" s="2355"/>
      <c r="AD117" s="2355"/>
      <c r="AE117" s="2355"/>
      <c r="AF117" s="2355"/>
      <c r="AG117" s="2355"/>
      <c r="AH117" s="2355"/>
      <c r="AI117" s="2355"/>
      <c r="AJ117" s="723"/>
      <c r="AK117" s="723"/>
      <c r="AL117" s="723"/>
      <c r="AM117" s="723"/>
      <c r="AN117" s="723"/>
      <c r="AO117" s="723"/>
      <c r="AP117" s="723"/>
      <c r="AQ117" s="723"/>
      <c r="AR117" s="723"/>
      <c r="AS117" s="723"/>
      <c r="AT117" s="723"/>
      <c r="AU117" s="707"/>
      <c r="AV117" s="707"/>
      <c r="AW117" s="707"/>
      <c r="AX117" s="707"/>
      <c r="AY117" s="707"/>
      <c r="AZ117" s="707"/>
      <c r="BA117" s="707"/>
      <c r="BB117" s="707"/>
      <c r="BC117" s="707"/>
      <c r="BD117" s="707"/>
      <c r="BE117" s="707"/>
      <c r="BF117" s="707"/>
      <c r="BG117" s="699"/>
      <c r="BH117" s="699"/>
      <c r="BI117" s="699"/>
      <c r="BJ117" s="699"/>
      <c r="BK117" s="699"/>
      <c r="BL117" s="708"/>
      <c r="BM117" s="708"/>
      <c r="BN117" s="708"/>
      <c r="BO117" s="708"/>
      <c r="BP117" s="708"/>
      <c r="BQ117" s="708"/>
      <c r="BR117" s="708"/>
    </row>
    <row r="118" spans="1:70" ht="25.5" customHeight="1" x14ac:dyDescent="0.25">
      <c r="G118" s="703">
        <v>103</v>
      </c>
      <c r="H118" s="703"/>
      <c r="I118" s="703"/>
      <c r="J118" s="52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2355"/>
      <c r="Y118" s="2355"/>
      <c r="Z118" s="2355"/>
      <c r="AA118" s="2355"/>
      <c r="AB118" s="2355"/>
      <c r="AC118" s="2355"/>
      <c r="AD118" s="2355"/>
      <c r="AE118" s="2355"/>
      <c r="AF118" s="2355"/>
      <c r="AG118" s="2355"/>
      <c r="AH118" s="2355"/>
      <c r="AI118" s="2355"/>
      <c r="AJ118" s="723"/>
      <c r="AK118" s="723"/>
      <c r="AL118" s="723"/>
      <c r="AM118" s="723"/>
      <c r="AN118" s="723"/>
      <c r="AO118" s="723"/>
      <c r="AP118" s="723"/>
      <c r="AQ118" s="723"/>
      <c r="AR118" s="723"/>
      <c r="AS118" s="723"/>
      <c r="AT118" s="723"/>
      <c r="AU118" s="707"/>
      <c r="AV118" s="707"/>
      <c r="AW118" s="707"/>
      <c r="AX118" s="707"/>
      <c r="AY118" s="707"/>
      <c r="AZ118" s="707"/>
      <c r="BA118" s="707"/>
      <c r="BB118" s="707"/>
      <c r="BC118" s="707"/>
      <c r="BD118" s="707"/>
      <c r="BE118" s="707"/>
      <c r="BF118" s="707"/>
      <c r="BG118" s="699"/>
      <c r="BH118" s="699"/>
      <c r="BI118" s="699"/>
      <c r="BJ118" s="699"/>
      <c r="BK118" s="699"/>
      <c r="BL118" s="708"/>
      <c r="BM118" s="708"/>
      <c r="BN118" s="708"/>
      <c r="BO118" s="708"/>
      <c r="BP118" s="708"/>
      <c r="BQ118" s="708"/>
      <c r="BR118" s="708"/>
    </row>
    <row r="119" spans="1:70" ht="26.25" customHeight="1" x14ac:dyDescent="0.25">
      <c r="G119" s="703"/>
      <c r="H119" s="703"/>
      <c r="I119" s="703"/>
      <c r="J119" s="52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2355"/>
      <c r="Y119" s="2355"/>
      <c r="Z119" s="2355"/>
      <c r="AA119" s="2355"/>
      <c r="AB119" s="2355"/>
      <c r="AC119" s="2355"/>
      <c r="AD119" s="2355"/>
      <c r="AE119" s="2355"/>
      <c r="AF119" s="2355"/>
      <c r="AG119" s="2355"/>
      <c r="AH119" s="2355"/>
      <c r="AI119" s="2355"/>
      <c r="AJ119" s="723"/>
      <c r="AK119" s="723"/>
      <c r="AL119" s="723"/>
      <c r="AM119" s="723"/>
      <c r="AN119" s="723"/>
      <c r="AO119" s="723"/>
      <c r="AP119" s="723"/>
      <c r="AQ119" s="723"/>
      <c r="AR119" s="723"/>
      <c r="AS119" s="723"/>
      <c r="AT119" s="723"/>
      <c r="AU119" s="707"/>
      <c r="AV119" s="707"/>
      <c r="AW119" s="707"/>
      <c r="AX119" s="707"/>
      <c r="AY119" s="707"/>
      <c r="AZ119" s="707"/>
      <c r="BA119" s="707"/>
      <c r="BB119" s="707"/>
      <c r="BC119" s="707"/>
      <c r="BD119" s="707"/>
      <c r="BE119" s="707"/>
      <c r="BF119" s="707"/>
      <c r="BG119" s="699"/>
      <c r="BH119" s="699"/>
      <c r="BI119" s="699"/>
      <c r="BJ119" s="699"/>
      <c r="BK119" s="699"/>
      <c r="BL119" s="708"/>
      <c r="BM119" s="708"/>
      <c r="BN119" s="708"/>
      <c r="BO119" s="708"/>
      <c r="BP119" s="708"/>
      <c r="BQ119" s="708"/>
      <c r="BR119" s="708"/>
    </row>
    <row r="120" spans="1:70" ht="41.25" customHeight="1" x14ac:dyDescent="0.25">
      <c r="G120" s="703"/>
      <c r="H120" s="703"/>
      <c r="I120" s="703"/>
      <c r="J120" s="52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2355"/>
      <c r="Y120" s="2355"/>
      <c r="Z120" s="2355"/>
      <c r="AA120" s="2355"/>
      <c r="AB120" s="2355"/>
      <c r="AC120" s="2355"/>
      <c r="AD120" s="2355"/>
      <c r="AE120" s="2355"/>
      <c r="AF120" s="2355"/>
      <c r="AG120" s="2355"/>
      <c r="AH120" s="2355"/>
      <c r="AI120" s="2355"/>
      <c r="AJ120" s="723"/>
      <c r="AK120" s="723"/>
      <c r="AL120" s="723"/>
      <c r="AM120" s="723"/>
      <c r="AN120" s="723"/>
      <c r="AO120" s="723"/>
      <c r="AP120" s="723"/>
      <c r="AQ120" s="723"/>
      <c r="AR120" s="723"/>
      <c r="AS120" s="723"/>
      <c r="AT120" s="723"/>
      <c r="AU120" s="707"/>
      <c r="AV120" s="707"/>
      <c r="AW120" s="707"/>
      <c r="AX120" s="707"/>
      <c r="AY120" s="707"/>
      <c r="AZ120" s="707"/>
      <c r="BA120" s="707"/>
      <c r="BB120" s="707"/>
      <c r="BC120" s="707"/>
      <c r="BD120" s="707"/>
      <c r="BE120" s="707"/>
      <c r="BF120" s="707"/>
      <c r="BG120" s="699"/>
      <c r="BH120" s="699"/>
      <c r="BI120" s="699"/>
      <c r="BJ120" s="699"/>
      <c r="BK120" s="699"/>
      <c r="BL120" s="699" t="s">
        <v>121</v>
      </c>
      <c r="BM120" s="699"/>
      <c r="BN120" s="699"/>
      <c r="BO120" s="699"/>
      <c r="BP120" s="699"/>
      <c r="BQ120" s="699"/>
      <c r="BR120" s="699"/>
    </row>
    <row r="121" spans="1:70" ht="58.5" x14ac:dyDescent="0.25">
      <c r="G121" s="703"/>
      <c r="H121" s="703"/>
      <c r="I121" s="703"/>
      <c r="J121" s="52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2355"/>
      <c r="Y121" s="2355"/>
      <c r="Z121" s="2355"/>
      <c r="AA121" s="2355"/>
      <c r="AB121" s="2355"/>
      <c r="AC121" s="2355"/>
      <c r="AD121" s="2355"/>
      <c r="AE121" s="2355"/>
      <c r="AF121" s="2355"/>
      <c r="AG121" s="2355"/>
      <c r="AH121" s="2355"/>
      <c r="AI121" s="2355"/>
      <c r="AJ121" s="723"/>
      <c r="AK121" s="723"/>
      <c r="AL121" s="723"/>
      <c r="AM121" s="723"/>
      <c r="AN121" s="723"/>
      <c r="AO121" s="723"/>
      <c r="AP121" s="723"/>
      <c r="AQ121" s="723"/>
      <c r="AR121" s="723"/>
      <c r="AS121" s="723"/>
      <c r="AT121" s="723"/>
      <c r="AU121" s="707"/>
      <c r="AV121" s="707"/>
      <c r="AW121" s="707"/>
      <c r="AX121" s="707"/>
      <c r="AY121" s="707"/>
      <c r="AZ121" s="707"/>
      <c r="BA121" s="707"/>
      <c r="BB121" s="707"/>
      <c r="BC121" s="707"/>
      <c r="BD121" s="707"/>
      <c r="BE121" s="707"/>
      <c r="BF121" s="707"/>
      <c r="BG121" s="699"/>
      <c r="BH121" s="699"/>
      <c r="BI121" s="699"/>
      <c r="BJ121" s="699"/>
      <c r="BK121" s="699"/>
      <c r="BL121" s="699"/>
      <c r="BM121" s="699"/>
      <c r="BN121" s="699"/>
      <c r="BO121" s="699"/>
      <c r="BP121" s="699"/>
      <c r="BQ121" s="699"/>
      <c r="BR121" s="699"/>
    </row>
    <row r="126" spans="1:70" x14ac:dyDescent="0.25">
      <c r="AJ126" s="1419">
        <v>30</v>
      </c>
      <c r="AK126" s="1419"/>
      <c r="AL126" s="1419"/>
      <c r="AM126" s="746">
        <v>3</v>
      </c>
      <c r="AN126" s="746"/>
      <c r="AO126" s="746"/>
      <c r="AP126" s="747">
        <f>AM126*AJ126</f>
        <v>90</v>
      </c>
      <c r="AQ126" s="748"/>
      <c r="AR126" s="748"/>
      <c r="AS126" s="749"/>
    </row>
    <row r="127" spans="1:70" ht="15.75" thickBot="1" x14ac:dyDescent="0.3">
      <c r="AJ127" s="1419"/>
      <c r="AK127" s="1419"/>
      <c r="AL127" s="1419"/>
      <c r="AM127" s="746"/>
      <c r="AN127" s="746"/>
      <c r="AO127" s="746"/>
      <c r="AP127" s="747"/>
      <c r="AQ127" s="748"/>
      <c r="AR127" s="748"/>
      <c r="AS127" s="749"/>
    </row>
    <row r="128" spans="1:70" ht="15.75" thickTop="1" x14ac:dyDescent="0.25">
      <c r="Z128" s="775">
        <v>53.320037625456422</v>
      </c>
      <c r="AA128" s="776"/>
      <c r="AB128" s="776"/>
      <c r="AC128" s="776"/>
      <c r="AD128" s="777"/>
      <c r="AH128" s="348"/>
      <c r="AI128" s="348"/>
      <c r="AJ128" s="1419"/>
      <c r="AK128" s="1419"/>
      <c r="AL128" s="1419"/>
      <c r="AM128" s="746"/>
      <c r="AN128" s="746"/>
      <c r="AO128" s="746"/>
      <c r="AP128" s="747"/>
      <c r="AQ128" s="748"/>
      <c r="AR128" s="748"/>
      <c r="AS128" s="749"/>
      <c r="AU128" s="739"/>
      <c r="AV128" s="740"/>
      <c r="AW128" s="740"/>
      <c r="AX128" s="740"/>
      <c r="AY128" s="740"/>
      <c r="AZ128" s="740"/>
      <c r="BA128" s="740"/>
      <c r="BB128" s="740"/>
      <c r="BC128" s="740"/>
      <c r="BD128" s="741"/>
      <c r="BE128" s="13"/>
    </row>
    <row r="129" spans="26:84" ht="15" customHeight="1" x14ac:dyDescent="0.25">
      <c r="Z129" s="778"/>
      <c r="AA129" s="779"/>
      <c r="AB129" s="779"/>
      <c r="AC129" s="779"/>
      <c r="AD129" s="780"/>
      <c r="AH129" s="348"/>
      <c r="AI129" s="348"/>
      <c r="AJ129" s="1419">
        <v>35</v>
      </c>
      <c r="AK129" s="1419"/>
      <c r="AL129" s="1419"/>
      <c r="AM129" s="746">
        <v>6</v>
      </c>
      <c r="AN129" s="746"/>
      <c r="AO129" s="746"/>
      <c r="AP129" s="747">
        <f t="shared" ref="AP129" si="92">AM129*AJ129</f>
        <v>210</v>
      </c>
      <c r="AQ129" s="748"/>
      <c r="AR129" s="748"/>
      <c r="AS129" s="749"/>
      <c r="AU129" s="750"/>
      <c r="AV129" s="751"/>
      <c r="AW129" s="751"/>
      <c r="AX129" s="751"/>
      <c r="AY129" s="751"/>
      <c r="AZ129" s="751"/>
      <c r="BA129" s="751"/>
      <c r="BB129" s="751"/>
      <c r="BC129" s="751"/>
      <c r="BD129" s="752"/>
      <c r="BE129" s="13"/>
    </row>
    <row r="130" spans="26:84" ht="15" customHeight="1" x14ac:dyDescent="0.25">
      <c r="Z130" s="778"/>
      <c r="AA130" s="779"/>
      <c r="AB130" s="779"/>
      <c r="AC130" s="779"/>
      <c r="AD130" s="780"/>
      <c r="AH130" s="348"/>
      <c r="AI130" s="348"/>
      <c r="AJ130" s="1419"/>
      <c r="AK130" s="1419"/>
      <c r="AL130" s="1419"/>
      <c r="AM130" s="746"/>
      <c r="AN130" s="746"/>
      <c r="AO130" s="746"/>
      <c r="AP130" s="747"/>
      <c r="AQ130" s="748"/>
      <c r="AR130" s="748"/>
      <c r="AS130" s="749"/>
      <c r="AU130" s="742"/>
      <c r="AV130" s="743"/>
      <c r="AW130" s="743"/>
      <c r="AX130" s="743"/>
      <c r="AY130" s="743"/>
      <c r="AZ130" s="743"/>
      <c r="BA130" s="743"/>
      <c r="BB130" s="743"/>
      <c r="BC130" s="743"/>
      <c r="BD130" s="744"/>
      <c r="BE130" s="13"/>
    </row>
    <row r="131" spans="26:84" ht="15" customHeight="1" x14ac:dyDescent="0.25">
      <c r="Z131" s="778"/>
      <c r="AA131" s="779"/>
      <c r="AB131" s="779"/>
      <c r="AC131" s="779"/>
      <c r="AD131" s="780"/>
      <c r="AH131" s="338"/>
      <c r="AI131" s="338"/>
      <c r="AJ131" s="1419"/>
      <c r="AK131" s="1419"/>
      <c r="AL131" s="1419"/>
      <c r="AM131" s="746"/>
      <c r="AN131" s="746"/>
      <c r="AO131" s="746"/>
      <c r="AP131" s="747"/>
      <c r="AQ131" s="748"/>
      <c r="AR131" s="748"/>
      <c r="AS131" s="749"/>
      <c r="AU131" s="727"/>
      <c r="AV131" s="727"/>
      <c r="AW131" s="727"/>
      <c r="AX131" s="727"/>
      <c r="AY131" s="727"/>
      <c r="AZ131" s="727"/>
      <c r="BA131" s="727"/>
      <c r="BB131" s="727"/>
      <c r="BC131" s="727"/>
      <c r="BD131" s="727"/>
      <c r="BE131" s="13"/>
    </row>
    <row r="132" spans="26:84" ht="15" customHeight="1" x14ac:dyDescent="0.25">
      <c r="Z132" s="778"/>
      <c r="AA132" s="779"/>
      <c r="AB132" s="779"/>
      <c r="AC132" s="779"/>
      <c r="AD132" s="780"/>
      <c r="AH132" s="338"/>
      <c r="AI132" s="338"/>
      <c r="AJ132" s="1419">
        <v>37.5</v>
      </c>
      <c r="AK132" s="1419"/>
      <c r="AL132" s="1419"/>
      <c r="AM132" s="746">
        <v>4</v>
      </c>
      <c r="AN132" s="746"/>
      <c r="AO132" s="746"/>
      <c r="AP132" s="747">
        <f t="shared" ref="AP132" si="93">AM132*AJ132</f>
        <v>150</v>
      </c>
      <c r="AQ132" s="748"/>
      <c r="AR132" s="748"/>
      <c r="AS132" s="749"/>
      <c r="AU132" s="727"/>
      <c r="AV132" s="727"/>
      <c r="AW132" s="727"/>
      <c r="AX132" s="727"/>
      <c r="AY132" s="727"/>
      <c r="AZ132" s="727"/>
      <c r="BA132" s="727"/>
      <c r="BB132" s="727"/>
      <c r="BC132" s="727"/>
      <c r="BD132" s="727"/>
      <c r="BE132" s="13"/>
    </row>
    <row r="133" spans="26:84" ht="26.25" x14ac:dyDescent="0.25">
      <c r="Z133" s="778"/>
      <c r="AA133" s="779"/>
      <c r="AB133" s="779"/>
      <c r="AC133" s="779"/>
      <c r="AD133" s="780"/>
      <c r="AH133" s="338"/>
      <c r="AI133" s="338"/>
      <c r="AJ133" s="1419"/>
      <c r="AK133" s="1419"/>
      <c r="AL133" s="1419"/>
      <c r="AM133" s="746"/>
      <c r="AN133" s="746"/>
      <c r="AO133" s="746"/>
      <c r="AP133" s="747"/>
      <c r="AQ133" s="748"/>
      <c r="AR133" s="748"/>
      <c r="AS133" s="749"/>
      <c r="AU133" s="728"/>
      <c r="AV133" s="729"/>
      <c r="AW133" s="729"/>
      <c r="AX133" s="729"/>
      <c r="AY133" s="729"/>
      <c r="AZ133" s="729"/>
      <c r="BA133" s="729"/>
      <c r="BB133" s="729"/>
      <c r="BC133" s="729"/>
      <c r="BD133" s="730"/>
      <c r="BE133" s="57"/>
    </row>
    <row r="134" spans="26:84" ht="27" thickBot="1" x14ac:dyDescent="0.3">
      <c r="Z134" s="781"/>
      <c r="AA134" s="782"/>
      <c r="AB134" s="782"/>
      <c r="AC134" s="782"/>
      <c r="AD134" s="783"/>
      <c r="AH134" s="338"/>
      <c r="AI134" s="338"/>
      <c r="AJ134" s="1419"/>
      <c r="AK134" s="1419"/>
      <c r="AL134" s="1419"/>
      <c r="AM134" s="746"/>
      <c r="AN134" s="746"/>
      <c r="AO134" s="746"/>
      <c r="AP134" s="747"/>
      <c r="AQ134" s="748"/>
      <c r="AR134" s="748"/>
      <c r="AS134" s="749"/>
      <c r="AU134" s="731"/>
      <c r="AV134" s="732"/>
      <c r="AW134" s="732"/>
      <c r="AX134" s="732"/>
      <c r="AY134" s="732"/>
      <c r="AZ134" s="732"/>
      <c r="BA134" s="732"/>
      <c r="BB134" s="732"/>
      <c r="BC134" s="732"/>
      <c r="BD134" s="733"/>
      <c r="BE134" s="57"/>
    </row>
    <row r="135" spans="26:84" ht="27" thickTop="1" x14ac:dyDescent="0.25">
      <c r="AJ135" s="1419">
        <v>40</v>
      </c>
      <c r="AK135" s="1419"/>
      <c r="AL135" s="1419"/>
      <c r="AM135" s="746">
        <v>14</v>
      </c>
      <c r="AN135" s="746"/>
      <c r="AO135" s="746"/>
      <c r="AP135" s="747">
        <f t="shared" ref="AP135" si="94">AM135*AJ135</f>
        <v>560</v>
      </c>
      <c r="AQ135" s="748"/>
      <c r="AR135" s="748"/>
      <c r="AS135" s="749"/>
      <c r="AU135" s="734"/>
      <c r="AV135" s="735"/>
      <c r="AW135" s="735"/>
      <c r="AX135" s="735"/>
      <c r="AY135" s="735"/>
      <c r="AZ135" s="735"/>
      <c r="BA135" s="735"/>
      <c r="BB135" s="735"/>
      <c r="BC135" s="735"/>
      <c r="BD135" s="736"/>
      <c r="BE135" s="57"/>
      <c r="BW135" s="737" t="s">
        <v>135</v>
      </c>
      <c r="BX135" s="737"/>
      <c r="BY135" s="737"/>
      <c r="BZ135" s="737"/>
      <c r="CA135" s="737"/>
      <c r="CB135" s="737"/>
      <c r="CC135" s="737"/>
      <c r="CD135" s="737"/>
      <c r="CE135" s="737"/>
      <c r="CF135" s="737"/>
    </row>
    <row r="136" spans="26:84" ht="15" customHeight="1" x14ac:dyDescent="0.25">
      <c r="AJ136" s="1419"/>
      <c r="AK136" s="1419"/>
      <c r="AL136" s="1419"/>
      <c r="AM136" s="746"/>
      <c r="AN136" s="746"/>
      <c r="AO136" s="746"/>
      <c r="AP136" s="747"/>
      <c r="AQ136" s="748"/>
      <c r="AR136" s="748"/>
      <c r="AS136" s="749"/>
      <c r="AU136" s="739"/>
      <c r="AV136" s="740"/>
      <c r="AW136" s="740"/>
      <c r="AX136" s="740"/>
      <c r="AY136" s="740"/>
      <c r="AZ136" s="740"/>
      <c r="BA136" s="740"/>
      <c r="BB136" s="740"/>
      <c r="BC136" s="740"/>
      <c r="BD136" s="741"/>
      <c r="BE136" s="13"/>
      <c r="BW136" s="737"/>
      <c r="BX136" s="737"/>
      <c r="BY136" s="737"/>
      <c r="BZ136" s="737"/>
      <c r="CA136" s="737"/>
      <c r="CB136" s="737"/>
      <c r="CC136" s="737"/>
      <c r="CD136" s="737"/>
      <c r="CE136" s="737"/>
      <c r="CF136" s="737"/>
    </row>
    <row r="137" spans="26:84" ht="15" customHeight="1" x14ac:dyDescent="0.25">
      <c r="AJ137" s="1419"/>
      <c r="AK137" s="1419"/>
      <c r="AL137" s="1419"/>
      <c r="AM137" s="746"/>
      <c r="AN137" s="746"/>
      <c r="AO137" s="746"/>
      <c r="AP137" s="747"/>
      <c r="AQ137" s="748"/>
      <c r="AR137" s="748"/>
      <c r="AS137" s="749"/>
      <c r="AU137" s="742"/>
      <c r="AV137" s="743"/>
      <c r="AW137" s="743"/>
      <c r="AX137" s="743"/>
      <c r="AY137" s="743"/>
      <c r="AZ137" s="743"/>
      <c r="BA137" s="743"/>
      <c r="BB137" s="743"/>
      <c r="BC137" s="743"/>
      <c r="BD137" s="744"/>
      <c r="BE137" s="13"/>
      <c r="BW137" s="738"/>
      <c r="BX137" s="738"/>
      <c r="BY137" s="738"/>
      <c r="BZ137" s="738"/>
      <c r="CA137" s="738"/>
      <c r="CB137" s="738"/>
      <c r="CC137" s="738"/>
      <c r="CD137" s="738"/>
      <c r="CE137" s="738"/>
      <c r="CF137" s="738"/>
    </row>
    <row r="138" spans="26:84" ht="15" customHeight="1" x14ac:dyDescent="0.25">
      <c r="AJ138" s="1419">
        <v>45</v>
      </c>
      <c r="AK138" s="1419"/>
      <c r="AL138" s="1419"/>
      <c r="AM138" s="746">
        <v>21</v>
      </c>
      <c r="AN138" s="746"/>
      <c r="AO138" s="746"/>
      <c r="AP138" s="747">
        <f t="shared" ref="AP138" si="95">AM138*AJ138</f>
        <v>945</v>
      </c>
      <c r="AQ138" s="748"/>
      <c r="AR138" s="748"/>
      <c r="AS138" s="749"/>
      <c r="AU138" s="2111">
        <f>AP126+AP129+AP132+AP135+AP138+AP141+AP144+AP147+AP150+AP153</f>
        <v>5270</v>
      </c>
      <c r="AV138" s="2112"/>
      <c r="AW138" s="2112"/>
      <c r="AX138" s="2112"/>
      <c r="AY138" s="2112"/>
      <c r="AZ138" s="2112"/>
      <c r="BA138" s="2112"/>
      <c r="BB138" s="2112"/>
      <c r="BC138" s="2112"/>
      <c r="BD138" s="2113"/>
      <c r="BE138" s="13"/>
      <c r="BK138" s="727" t="s">
        <v>122</v>
      </c>
      <c r="BL138" s="727"/>
      <c r="BM138" s="727"/>
      <c r="BN138" s="727" t="s">
        <v>123</v>
      </c>
      <c r="BO138" s="727"/>
      <c r="BP138" s="727"/>
      <c r="BQ138" s="727" t="s">
        <v>124</v>
      </c>
      <c r="BR138" s="727"/>
      <c r="BS138" s="727" t="s">
        <v>125</v>
      </c>
      <c r="BT138" s="727"/>
      <c r="BW138" s="739" t="s">
        <v>126</v>
      </c>
      <c r="BX138" s="740"/>
      <c r="BY138" s="740"/>
      <c r="BZ138" s="740"/>
      <c r="CA138" s="740"/>
      <c r="CB138" s="740"/>
      <c r="CC138" s="740"/>
      <c r="CD138" s="740"/>
      <c r="CE138" s="740"/>
      <c r="CF138" s="741"/>
    </row>
    <row r="139" spans="26:84" ht="15" customHeight="1" x14ac:dyDescent="0.25">
      <c r="AJ139" s="1419"/>
      <c r="AK139" s="1419"/>
      <c r="AL139" s="1419"/>
      <c r="AM139" s="746"/>
      <c r="AN139" s="746"/>
      <c r="AO139" s="746"/>
      <c r="AP139" s="747"/>
      <c r="AQ139" s="748"/>
      <c r="AR139" s="748"/>
      <c r="AS139" s="749"/>
      <c r="AU139" s="2114"/>
      <c r="AV139" s="2115"/>
      <c r="AW139" s="2115"/>
      <c r="AX139" s="2115"/>
      <c r="AY139" s="2115"/>
      <c r="AZ139" s="2115"/>
      <c r="BA139" s="2115"/>
      <c r="BB139" s="2115"/>
      <c r="BC139" s="2115"/>
      <c r="BD139" s="2116"/>
      <c r="BE139" s="13"/>
      <c r="BK139" s="727"/>
      <c r="BL139" s="727"/>
      <c r="BM139" s="727"/>
      <c r="BN139" s="727"/>
      <c r="BO139" s="727"/>
      <c r="BP139" s="727"/>
      <c r="BQ139" s="727"/>
      <c r="BR139" s="727"/>
      <c r="BS139" s="727"/>
      <c r="BT139" s="727"/>
      <c r="BW139" s="750"/>
      <c r="BX139" s="751"/>
      <c r="BY139" s="751"/>
      <c r="BZ139" s="751"/>
      <c r="CA139" s="751"/>
      <c r="CB139" s="751"/>
      <c r="CC139" s="751"/>
      <c r="CD139" s="751"/>
      <c r="CE139" s="751"/>
      <c r="CF139" s="752"/>
    </row>
    <row r="140" spans="26:84" ht="15" customHeight="1" x14ac:dyDescent="0.25">
      <c r="AJ140" s="1419"/>
      <c r="AK140" s="1419"/>
      <c r="AL140" s="1419"/>
      <c r="AM140" s="746"/>
      <c r="AN140" s="746"/>
      <c r="AO140" s="746"/>
      <c r="AP140" s="747"/>
      <c r="AQ140" s="748"/>
      <c r="AR140" s="748"/>
      <c r="AS140" s="749"/>
      <c r="AU140" s="2114"/>
      <c r="AV140" s="2115"/>
      <c r="AW140" s="2115"/>
      <c r="AX140" s="2115"/>
      <c r="AY140" s="2115"/>
      <c r="AZ140" s="2115"/>
      <c r="BA140" s="2115"/>
      <c r="BB140" s="2115"/>
      <c r="BC140" s="2115"/>
      <c r="BD140" s="2116"/>
      <c r="BE140" s="13"/>
      <c r="BK140" s="727"/>
      <c r="BL140" s="727"/>
      <c r="BM140" s="727"/>
      <c r="BN140" s="727"/>
      <c r="BO140" s="727"/>
      <c r="BP140" s="727"/>
      <c r="BQ140" s="727"/>
      <c r="BR140" s="727"/>
      <c r="BS140" s="727"/>
      <c r="BT140" s="727"/>
      <c r="BW140" s="742"/>
      <c r="BX140" s="743"/>
      <c r="BY140" s="743"/>
      <c r="BZ140" s="743"/>
      <c r="CA140" s="743"/>
      <c r="CB140" s="743"/>
      <c r="CC140" s="743"/>
      <c r="CD140" s="743"/>
      <c r="CE140" s="743"/>
      <c r="CF140" s="744"/>
    </row>
    <row r="141" spans="26:84" ht="15" customHeight="1" x14ac:dyDescent="0.25">
      <c r="AJ141" s="1419">
        <v>50</v>
      </c>
      <c r="AK141" s="1419"/>
      <c r="AL141" s="1419"/>
      <c r="AM141" s="746">
        <v>15</v>
      </c>
      <c r="AN141" s="746"/>
      <c r="AO141" s="746"/>
      <c r="AP141" s="747">
        <f t="shared" ref="AP141" si="96">AM141*AJ141</f>
        <v>750</v>
      </c>
      <c r="AQ141" s="748"/>
      <c r="AR141" s="748"/>
      <c r="AS141" s="749"/>
      <c r="AU141" s="2117"/>
      <c r="AV141" s="2118"/>
      <c r="AW141" s="2118"/>
      <c r="AX141" s="2118"/>
      <c r="AY141" s="2118"/>
      <c r="AZ141" s="2118"/>
      <c r="BA141" s="2118"/>
      <c r="BB141" s="2118"/>
      <c r="BC141" s="2118"/>
      <c r="BD141" s="2119"/>
      <c r="BE141" s="13"/>
      <c r="BK141" s="774">
        <v>5270</v>
      </c>
      <c r="BL141" s="774"/>
      <c r="BM141" s="774"/>
      <c r="BN141" s="774">
        <f>AU138</f>
        <v>5270</v>
      </c>
      <c r="BO141" s="774"/>
      <c r="BP141" s="774"/>
      <c r="BQ141" s="726">
        <f>AU116</f>
        <v>53.320037625456422</v>
      </c>
      <c r="BR141" s="726"/>
      <c r="BS141" s="726">
        <f>BL116+BQ141</f>
        <v>90.820037625456422</v>
      </c>
      <c r="BT141" s="726"/>
      <c r="BW141" s="727" t="s">
        <v>128</v>
      </c>
      <c r="BX141" s="727"/>
      <c r="BY141" s="727"/>
      <c r="BZ141" s="727"/>
      <c r="CA141" s="727"/>
      <c r="CB141" s="727"/>
      <c r="CC141" s="727"/>
      <c r="CD141" s="727"/>
      <c r="CE141" s="727"/>
      <c r="CF141" s="727"/>
    </row>
    <row r="142" spans="26:84" ht="26.25" x14ac:dyDescent="0.25">
      <c r="AJ142" s="1419"/>
      <c r="AK142" s="1419"/>
      <c r="AL142" s="1419"/>
      <c r="AM142" s="746"/>
      <c r="AN142" s="746"/>
      <c r="AO142" s="746"/>
      <c r="AP142" s="747"/>
      <c r="AQ142" s="748"/>
      <c r="AR142" s="748"/>
      <c r="AS142" s="749"/>
      <c r="AU142" s="728"/>
      <c r="AV142" s="729"/>
      <c r="AW142" s="729"/>
      <c r="AX142" s="729"/>
      <c r="AY142" s="729"/>
      <c r="AZ142" s="729"/>
      <c r="BA142" s="729"/>
      <c r="BB142" s="729"/>
      <c r="BC142" s="729"/>
      <c r="BD142" s="730"/>
      <c r="BE142" s="57"/>
      <c r="BK142" s="774"/>
      <c r="BL142" s="774"/>
      <c r="BM142" s="774"/>
      <c r="BN142" s="774"/>
      <c r="BO142" s="774"/>
      <c r="BP142" s="774"/>
      <c r="BQ142" s="726"/>
      <c r="BR142" s="726"/>
      <c r="BS142" s="726"/>
      <c r="BT142" s="726"/>
      <c r="BW142" s="727"/>
      <c r="BX142" s="727"/>
      <c r="BY142" s="727"/>
      <c r="BZ142" s="727"/>
      <c r="CA142" s="727"/>
      <c r="CB142" s="727"/>
      <c r="CC142" s="727"/>
      <c r="CD142" s="727"/>
      <c r="CE142" s="727"/>
      <c r="CF142" s="727"/>
    </row>
    <row r="143" spans="26:84" ht="26.25" x14ac:dyDescent="0.25">
      <c r="AJ143" s="1419"/>
      <c r="AK143" s="1419"/>
      <c r="AL143" s="1419"/>
      <c r="AM143" s="746"/>
      <c r="AN143" s="746"/>
      <c r="AO143" s="746"/>
      <c r="AP143" s="747"/>
      <c r="AQ143" s="748"/>
      <c r="AR143" s="748"/>
      <c r="AS143" s="749"/>
      <c r="AU143" s="731"/>
      <c r="AV143" s="732"/>
      <c r="AW143" s="732"/>
      <c r="AX143" s="732"/>
      <c r="AY143" s="732"/>
      <c r="AZ143" s="732"/>
      <c r="BA143" s="732"/>
      <c r="BB143" s="732"/>
      <c r="BC143" s="732"/>
      <c r="BD143" s="733"/>
      <c r="BE143" s="57"/>
      <c r="BK143" s="774"/>
      <c r="BL143" s="774"/>
      <c r="BM143" s="774"/>
      <c r="BN143" s="774"/>
      <c r="BO143" s="774"/>
      <c r="BP143" s="774"/>
      <c r="BQ143" s="726"/>
      <c r="BR143" s="726"/>
      <c r="BS143" s="726"/>
      <c r="BT143" s="726"/>
      <c r="BW143" s="728">
        <f>BQ141/((68*3.1415/64)*(BN141/3.281))</f>
        <v>9.9453497261161299E-3</v>
      </c>
      <c r="BX143" s="729"/>
      <c r="BY143" s="729"/>
      <c r="BZ143" s="729"/>
      <c r="CA143" s="729"/>
      <c r="CB143" s="729"/>
      <c r="CC143" s="729"/>
      <c r="CD143" s="729"/>
      <c r="CE143" s="729"/>
      <c r="CF143" s="730"/>
    </row>
    <row r="144" spans="26:84" ht="26.25" x14ac:dyDescent="0.25">
      <c r="AJ144" s="1419">
        <v>55</v>
      </c>
      <c r="AK144" s="1419"/>
      <c r="AL144" s="1419"/>
      <c r="AM144" s="746">
        <v>33</v>
      </c>
      <c r="AN144" s="746"/>
      <c r="AO144" s="746"/>
      <c r="AP144" s="747">
        <f t="shared" ref="AP144" si="97">AM144*AJ144</f>
        <v>1815</v>
      </c>
      <c r="AQ144" s="748"/>
      <c r="AR144" s="748"/>
      <c r="AS144" s="749"/>
      <c r="AU144" s="731"/>
      <c r="AV144" s="732"/>
      <c r="AW144" s="732"/>
      <c r="AX144" s="732"/>
      <c r="AY144" s="732"/>
      <c r="AZ144" s="732"/>
      <c r="BA144" s="732"/>
      <c r="BB144" s="732"/>
      <c r="BC144" s="732"/>
      <c r="BD144" s="733"/>
      <c r="BE144" s="57"/>
      <c r="BK144" s="774"/>
      <c r="BL144" s="774"/>
      <c r="BM144" s="774"/>
      <c r="BN144" s="774"/>
      <c r="BO144" s="774"/>
      <c r="BP144" s="774"/>
      <c r="BQ144" s="726"/>
      <c r="BR144" s="726"/>
      <c r="BS144" s="726"/>
      <c r="BT144" s="726"/>
      <c r="BW144" s="731"/>
      <c r="BX144" s="732"/>
      <c r="BY144" s="732"/>
      <c r="BZ144" s="732"/>
      <c r="CA144" s="732"/>
      <c r="CB144" s="732"/>
      <c r="CC144" s="732"/>
      <c r="CD144" s="732"/>
      <c r="CE144" s="732"/>
      <c r="CF144" s="733"/>
    </row>
    <row r="145" spans="26:84" ht="26.25" x14ac:dyDescent="0.25">
      <c r="AJ145" s="1419"/>
      <c r="AK145" s="1419"/>
      <c r="AL145" s="1419"/>
      <c r="AM145" s="746"/>
      <c r="AN145" s="746"/>
      <c r="AO145" s="746"/>
      <c r="AP145" s="747"/>
      <c r="AQ145" s="748"/>
      <c r="AR145" s="748"/>
      <c r="AS145" s="749"/>
      <c r="AU145" s="731"/>
      <c r="AV145" s="732"/>
      <c r="AW145" s="732"/>
      <c r="AX145" s="732"/>
      <c r="AY145" s="732"/>
      <c r="AZ145" s="732"/>
      <c r="BA145" s="732"/>
      <c r="BB145" s="732"/>
      <c r="BC145" s="732"/>
      <c r="BD145" s="733"/>
      <c r="BE145" s="57"/>
      <c r="BW145" s="734"/>
      <c r="BX145" s="735"/>
      <c r="BY145" s="735"/>
      <c r="BZ145" s="735"/>
      <c r="CA145" s="735"/>
      <c r="CB145" s="735"/>
      <c r="CC145" s="735"/>
      <c r="CD145" s="735"/>
      <c r="CE145" s="735"/>
      <c r="CF145" s="736"/>
    </row>
    <row r="146" spans="26:84" ht="26.25" x14ac:dyDescent="0.25">
      <c r="AJ146" s="1419"/>
      <c r="AK146" s="1419"/>
      <c r="AL146" s="1419"/>
      <c r="AM146" s="746"/>
      <c r="AN146" s="746"/>
      <c r="AO146" s="746"/>
      <c r="AP146" s="747"/>
      <c r="AQ146" s="748"/>
      <c r="AR146" s="748"/>
      <c r="AS146" s="749"/>
      <c r="AU146" s="734"/>
      <c r="AV146" s="735"/>
      <c r="AW146" s="735"/>
      <c r="AX146" s="735"/>
      <c r="AY146" s="735"/>
      <c r="AZ146" s="735"/>
      <c r="BA146" s="735"/>
      <c r="BB146" s="735"/>
      <c r="BC146" s="735"/>
      <c r="BD146" s="736"/>
      <c r="BE146" s="57"/>
      <c r="BW146" s="739" t="s">
        <v>129</v>
      </c>
      <c r="BX146" s="740"/>
      <c r="BY146" s="740"/>
      <c r="BZ146" s="740"/>
      <c r="CA146" s="740"/>
      <c r="CB146" s="740"/>
      <c r="CC146" s="740"/>
      <c r="CD146" s="740"/>
      <c r="CE146" s="740"/>
      <c r="CF146" s="741"/>
    </row>
    <row r="147" spans="26:84" ht="15" customHeight="1" x14ac:dyDescent="0.25">
      <c r="AJ147" s="1419">
        <v>60</v>
      </c>
      <c r="AK147" s="1419"/>
      <c r="AL147" s="1419"/>
      <c r="AM147" s="746">
        <v>7</v>
      </c>
      <c r="AN147" s="746"/>
      <c r="AO147" s="746"/>
      <c r="AP147" s="747">
        <f t="shared" ref="AP147" si="98">AM147*AJ147</f>
        <v>420</v>
      </c>
      <c r="AQ147" s="748"/>
      <c r="AR147" s="748"/>
      <c r="AS147" s="749"/>
      <c r="BW147" s="742"/>
      <c r="BX147" s="743"/>
      <c r="BY147" s="743"/>
      <c r="BZ147" s="743"/>
      <c r="CA147" s="743"/>
      <c r="CB147" s="743"/>
      <c r="CC147" s="743"/>
      <c r="CD147" s="743"/>
      <c r="CE147" s="743"/>
      <c r="CF147" s="744"/>
    </row>
    <row r="148" spans="26:84" ht="15" customHeight="1" x14ac:dyDescent="0.25">
      <c r="AJ148" s="1419"/>
      <c r="AK148" s="1419"/>
      <c r="AL148" s="1419"/>
      <c r="AM148" s="746"/>
      <c r="AN148" s="746"/>
      <c r="AO148" s="746"/>
      <c r="AP148" s="747"/>
      <c r="AQ148" s="748"/>
      <c r="AR148" s="748"/>
      <c r="AS148" s="749"/>
      <c r="BW148" s="739" t="s">
        <v>130</v>
      </c>
      <c r="BX148" s="740"/>
      <c r="BY148" s="740"/>
      <c r="BZ148" s="740"/>
      <c r="CA148" s="740"/>
      <c r="CB148" s="740"/>
      <c r="CC148" s="740"/>
      <c r="CD148" s="740"/>
      <c r="CE148" s="740"/>
      <c r="CF148" s="741"/>
    </row>
    <row r="149" spans="26:84" ht="15" customHeight="1" x14ac:dyDescent="0.25">
      <c r="AJ149" s="1419"/>
      <c r="AK149" s="1419"/>
      <c r="AL149" s="1419"/>
      <c r="AM149" s="746"/>
      <c r="AN149" s="746"/>
      <c r="AO149" s="746"/>
      <c r="AP149" s="747"/>
      <c r="AQ149" s="748"/>
      <c r="AR149" s="748"/>
      <c r="AS149" s="749"/>
      <c r="BW149" s="750"/>
      <c r="BX149" s="751"/>
      <c r="BY149" s="751"/>
      <c r="BZ149" s="751"/>
      <c r="CA149" s="751"/>
      <c r="CB149" s="751"/>
      <c r="CC149" s="751"/>
      <c r="CD149" s="751"/>
      <c r="CE149" s="751"/>
      <c r="CF149" s="752"/>
    </row>
    <row r="150" spans="26:84" ht="15.75" customHeight="1" thickBot="1" x14ac:dyDescent="0.3">
      <c r="AJ150" s="1419">
        <v>65</v>
      </c>
      <c r="AK150" s="1419"/>
      <c r="AL150" s="1419"/>
      <c r="AM150" s="746">
        <v>4</v>
      </c>
      <c r="AN150" s="746"/>
      <c r="AO150" s="746"/>
      <c r="AP150" s="747">
        <f t="shared" ref="AP150" si="99">AM150*AJ150</f>
        <v>260</v>
      </c>
      <c r="AQ150" s="748"/>
      <c r="AR150" s="748"/>
      <c r="AS150" s="749"/>
      <c r="BW150" s="750"/>
      <c r="BX150" s="751"/>
      <c r="BY150" s="751"/>
      <c r="BZ150" s="751"/>
      <c r="CA150" s="751"/>
      <c r="CB150" s="751"/>
      <c r="CC150" s="751"/>
      <c r="CD150" s="751"/>
      <c r="CE150" s="751"/>
      <c r="CF150" s="752"/>
    </row>
    <row r="151" spans="26:84" ht="15.75" customHeight="1" thickBot="1" x14ac:dyDescent="0.3">
      <c r="Z151" s="81"/>
      <c r="AA151" s="82"/>
      <c r="AB151" s="82"/>
      <c r="AC151" s="82"/>
      <c r="AD151" s="82"/>
      <c r="AE151" s="82"/>
      <c r="AF151" s="82"/>
      <c r="AG151" s="82"/>
      <c r="AH151" s="82"/>
      <c r="AI151" s="82"/>
      <c r="AJ151" s="1419"/>
      <c r="AK151" s="1419"/>
      <c r="AL151" s="1419"/>
      <c r="AM151" s="746"/>
      <c r="AN151" s="746"/>
      <c r="AO151" s="746"/>
      <c r="AP151" s="747"/>
      <c r="AQ151" s="748"/>
      <c r="AR151" s="748"/>
      <c r="AS151" s="749"/>
      <c r="AT151" s="82"/>
      <c r="AU151" s="82"/>
      <c r="AV151" s="82"/>
      <c r="AW151" s="82"/>
      <c r="AX151" s="82"/>
      <c r="AY151" s="82"/>
      <c r="AZ151" s="82"/>
      <c r="BA151" s="82"/>
      <c r="BB151" s="82"/>
      <c r="BC151" s="82"/>
      <c r="BD151" s="82"/>
      <c r="BE151" s="82"/>
      <c r="BF151" s="82"/>
      <c r="BG151" s="82"/>
      <c r="BH151" s="83"/>
      <c r="BW151" s="742"/>
      <c r="BX151" s="743"/>
      <c r="BY151" s="743"/>
      <c r="BZ151" s="743"/>
      <c r="CA151" s="743"/>
      <c r="CB151" s="743"/>
      <c r="CC151" s="743"/>
      <c r="CD151" s="743"/>
      <c r="CE151" s="743"/>
      <c r="CF151" s="744"/>
    </row>
    <row r="152" spans="26:84" ht="15.75" customHeight="1" thickTop="1" x14ac:dyDescent="0.25">
      <c r="Z152" s="84"/>
      <c r="AA152" s="73"/>
      <c r="AB152" s="74"/>
      <c r="AC152" s="74"/>
      <c r="AD152" s="74"/>
      <c r="AE152" s="75"/>
      <c r="AI152" s="348"/>
      <c r="AJ152" s="1419"/>
      <c r="AK152" s="1419"/>
      <c r="AL152" s="1419"/>
      <c r="AM152" s="746"/>
      <c r="AN152" s="746"/>
      <c r="AO152" s="746"/>
      <c r="AP152" s="747"/>
      <c r="AQ152" s="748"/>
      <c r="AR152" s="748"/>
      <c r="AS152" s="749"/>
      <c r="AV152" s="354"/>
      <c r="AW152" s="355"/>
      <c r="AX152" s="355"/>
      <c r="AY152" s="355"/>
      <c r="AZ152" s="355"/>
      <c r="BA152" s="355"/>
      <c r="BB152" s="355"/>
      <c r="BC152" s="355"/>
      <c r="BD152" s="355"/>
      <c r="BE152" s="356"/>
      <c r="BF152" s="13"/>
      <c r="BG152" s="13"/>
      <c r="BH152" s="85"/>
      <c r="BW152" s="728">
        <f>BS141/((68*3.1415/64)*(BN141/3.281))</f>
        <v>1.6939917459716118E-2</v>
      </c>
      <c r="BX152" s="729"/>
      <c r="BY152" s="729"/>
      <c r="BZ152" s="729"/>
      <c r="CA152" s="729"/>
      <c r="CB152" s="729"/>
      <c r="CC152" s="729"/>
      <c r="CD152" s="729"/>
      <c r="CE152" s="729"/>
      <c r="CF152" s="730"/>
    </row>
    <row r="153" spans="26:84" ht="15" customHeight="1" x14ac:dyDescent="0.25">
      <c r="Z153" s="84"/>
      <c r="AA153" s="76"/>
      <c r="AB153" s="86"/>
      <c r="AC153" s="86"/>
      <c r="AD153" s="86"/>
      <c r="AE153" s="77"/>
      <c r="AI153" s="348"/>
      <c r="AJ153" s="1419">
        <v>70</v>
      </c>
      <c r="AK153" s="1419"/>
      <c r="AL153" s="1419"/>
      <c r="AM153" s="746">
        <v>1</v>
      </c>
      <c r="AN153" s="746"/>
      <c r="AO153" s="746"/>
      <c r="AP153" s="747">
        <f t="shared" ref="AP153" si="100">AM153*AJ153</f>
        <v>70</v>
      </c>
      <c r="AQ153" s="748"/>
      <c r="AR153" s="748"/>
      <c r="AS153" s="749"/>
      <c r="AV153" s="361"/>
      <c r="AW153" s="27"/>
      <c r="AX153" s="27"/>
      <c r="AY153" s="27"/>
      <c r="AZ153" s="27"/>
      <c r="BA153" s="27"/>
      <c r="BB153" s="27"/>
      <c r="BC153" s="27"/>
      <c r="BD153" s="27"/>
      <c r="BE153" s="362"/>
      <c r="BF153" s="13"/>
      <c r="BG153" s="13"/>
      <c r="BH153" s="85"/>
      <c r="BW153" s="731"/>
      <c r="BX153" s="732"/>
      <c r="BY153" s="732"/>
      <c r="BZ153" s="732"/>
      <c r="CA153" s="732"/>
      <c r="CB153" s="732"/>
      <c r="CC153" s="732"/>
      <c r="CD153" s="732"/>
      <c r="CE153" s="732"/>
      <c r="CF153" s="733"/>
    </row>
    <row r="154" spans="26:84" ht="15" customHeight="1" x14ac:dyDescent="0.25">
      <c r="Z154" s="84"/>
      <c r="AA154" s="76"/>
      <c r="AB154" s="86"/>
      <c r="AC154" s="86"/>
      <c r="AD154" s="86"/>
      <c r="AE154" s="77"/>
      <c r="AI154" s="348"/>
      <c r="AJ154" s="1419"/>
      <c r="AK154" s="1419"/>
      <c r="AL154" s="1419"/>
      <c r="AM154" s="746"/>
      <c r="AN154" s="746"/>
      <c r="AO154" s="746"/>
      <c r="AP154" s="747"/>
      <c r="AQ154" s="748"/>
      <c r="AR154" s="748"/>
      <c r="AS154" s="749"/>
      <c r="AV154" s="357"/>
      <c r="AW154" s="358"/>
      <c r="AX154" s="358"/>
      <c r="AY154" s="358"/>
      <c r="AZ154" s="358"/>
      <c r="BA154" s="358"/>
      <c r="BB154" s="358"/>
      <c r="BC154" s="358"/>
      <c r="BD154" s="358"/>
      <c r="BE154" s="359"/>
      <c r="BF154" s="13"/>
      <c r="BG154" s="13"/>
      <c r="BH154" s="85"/>
      <c r="BW154" s="731"/>
      <c r="BX154" s="732"/>
      <c r="BY154" s="732"/>
      <c r="BZ154" s="732"/>
      <c r="CA154" s="732"/>
      <c r="CB154" s="732"/>
      <c r="CC154" s="732"/>
      <c r="CD154" s="732"/>
      <c r="CE154" s="732"/>
      <c r="CF154" s="733"/>
    </row>
    <row r="155" spans="26:84" ht="15" customHeight="1" x14ac:dyDescent="0.25">
      <c r="Z155" s="84"/>
      <c r="AA155" s="76"/>
      <c r="AB155" s="86"/>
      <c r="AC155" s="86"/>
      <c r="AD155" s="86"/>
      <c r="AE155" s="77"/>
      <c r="AI155" s="338"/>
      <c r="AJ155" s="1419"/>
      <c r="AK155" s="1419"/>
      <c r="AL155" s="1419"/>
      <c r="AM155" s="746"/>
      <c r="AN155" s="746"/>
      <c r="AO155" s="746"/>
      <c r="AP155" s="747"/>
      <c r="AQ155" s="748"/>
      <c r="AR155" s="748"/>
      <c r="AS155" s="749"/>
      <c r="AV155" s="348"/>
      <c r="AW155" s="348"/>
      <c r="AX155" s="348"/>
      <c r="AY155" s="348"/>
      <c r="AZ155" s="348"/>
      <c r="BA155" s="348"/>
      <c r="BB155" s="348"/>
      <c r="BC155" s="348"/>
      <c r="BD155" s="348"/>
      <c r="BE155" s="348"/>
      <c r="BF155" s="13"/>
      <c r="BG155" s="13"/>
      <c r="BH155" s="85"/>
      <c r="BW155" s="731"/>
      <c r="BX155" s="732"/>
      <c r="BY155" s="732"/>
      <c r="BZ155" s="732"/>
      <c r="CA155" s="732"/>
      <c r="CB155" s="732"/>
      <c r="CC155" s="732"/>
      <c r="CD155" s="732"/>
      <c r="CE155" s="732"/>
      <c r="CF155" s="733"/>
    </row>
    <row r="156" spans="26:84" ht="15" customHeight="1" x14ac:dyDescent="0.25">
      <c r="Z156" s="84"/>
      <c r="AA156" s="76"/>
      <c r="AB156" s="86"/>
      <c r="AC156" s="86"/>
      <c r="AD156" s="86"/>
      <c r="AE156" s="77"/>
      <c r="AI156" s="338"/>
      <c r="AJ156" s="338"/>
      <c r="AK156" s="338"/>
      <c r="AL156" s="338"/>
      <c r="AM156" s="338"/>
      <c r="AN156" s="338"/>
      <c r="AO156" s="339"/>
      <c r="AP156" s="339"/>
      <c r="AQ156" s="339"/>
      <c r="AR156" s="339"/>
      <c r="AV156" s="348"/>
      <c r="AW156" s="348"/>
      <c r="AX156" s="348"/>
      <c r="AY156" s="348"/>
      <c r="AZ156" s="348"/>
      <c r="BA156" s="348"/>
      <c r="BB156" s="348"/>
      <c r="BC156" s="348"/>
      <c r="BD156" s="348"/>
      <c r="BE156" s="348"/>
      <c r="BF156" s="13"/>
      <c r="BG156" s="13"/>
      <c r="BH156" s="85"/>
      <c r="BW156" s="734"/>
      <c r="BX156" s="735"/>
      <c r="BY156" s="735"/>
      <c r="BZ156" s="735"/>
      <c r="CA156" s="735"/>
      <c r="CB156" s="735"/>
      <c r="CC156" s="735"/>
      <c r="CD156" s="735"/>
      <c r="CE156" s="735"/>
      <c r="CF156" s="736"/>
    </row>
    <row r="157" spans="26:84" ht="26.25" customHeight="1" x14ac:dyDescent="0.25">
      <c r="Z157" s="84"/>
      <c r="AA157" s="76"/>
      <c r="AB157" s="86"/>
      <c r="AC157" s="86"/>
      <c r="AD157" s="86"/>
      <c r="AE157" s="77"/>
      <c r="AI157" s="338"/>
      <c r="AJ157" s="338"/>
      <c r="AK157" s="338"/>
      <c r="AL157" s="338"/>
      <c r="AM157" s="338"/>
      <c r="AN157" s="338"/>
      <c r="AO157" s="339"/>
      <c r="AP157" s="339"/>
      <c r="AQ157" s="339"/>
      <c r="AR157" s="339"/>
      <c r="AV157" s="340"/>
      <c r="AW157" s="341"/>
      <c r="AX157" s="341"/>
      <c r="AY157" s="341"/>
      <c r="AZ157" s="341"/>
      <c r="BA157" s="341"/>
      <c r="BB157" s="341"/>
      <c r="BC157" s="341"/>
      <c r="BD157" s="341"/>
      <c r="BE157" s="342"/>
      <c r="BF157" s="57"/>
      <c r="BG157" s="57"/>
      <c r="BH157" s="85"/>
    </row>
    <row r="158" spans="26:84" ht="27" customHeight="1" thickBot="1" x14ac:dyDescent="0.3">
      <c r="Z158" s="84"/>
      <c r="AA158" s="78"/>
      <c r="AB158" s="79"/>
      <c r="AC158" s="79"/>
      <c r="AD158" s="79"/>
      <c r="AE158" s="80"/>
      <c r="AI158" s="338"/>
      <c r="AJ158" s="338"/>
      <c r="AK158" s="338"/>
      <c r="AL158" s="338"/>
      <c r="AM158" s="338"/>
      <c r="AN158" s="338"/>
      <c r="AO158" s="339"/>
      <c r="AP158" s="339"/>
      <c r="AQ158" s="339"/>
      <c r="AR158" s="339"/>
      <c r="AV158" s="343"/>
      <c r="AW158" s="51"/>
      <c r="AX158" s="51"/>
      <c r="AY158" s="51"/>
      <c r="AZ158" s="51"/>
      <c r="BA158" s="51"/>
      <c r="BB158" s="51"/>
      <c r="BC158" s="51"/>
      <c r="BD158" s="51"/>
      <c r="BE158" s="344"/>
      <c r="BF158" s="57"/>
      <c r="BG158" s="57"/>
      <c r="BH158" s="85"/>
    </row>
    <row r="159" spans="26:84" ht="27" thickTop="1" x14ac:dyDescent="0.25">
      <c r="Z159" s="84"/>
      <c r="AV159" s="345"/>
      <c r="AW159" s="346"/>
      <c r="AX159" s="346"/>
      <c r="AY159" s="346"/>
      <c r="AZ159" s="346"/>
      <c r="BA159" s="346"/>
      <c r="BB159" s="346"/>
      <c r="BC159" s="346"/>
      <c r="BD159" s="346"/>
      <c r="BE159" s="347"/>
      <c r="BF159" s="57"/>
      <c r="BG159" s="57"/>
      <c r="BH159" s="85"/>
    </row>
    <row r="160" spans="26:84" x14ac:dyDescent="0.25">
      <c r="Z160" s="84"/>
      <c r="AV160" s="354"/>
      <c r="AW160" s="355"/>
      <c r="AX160" s="355"/>
      <c r="AY160" s="355"/>
      <c r="AZ160" s="355"/>
      <c r="BA160" s="355"/>
      <c r="BB160" s="355"/>
      <c r="BC160" s="355"/>
      <c r="BD160" s="355"/>
      <c r="BE160" s="356"/>
      <c r="BF160" s="13"/>
      <c r="BG160" s="13"/>
      <c r="BH160" s="85"/>
    </row>
    <row r="161" spans="26:60" x14ac:dyDescent="0.25">
      <c r="Z161" s="84"/>
      <c r="AV161" s="357"/>
      <c r="AW161" s="358"/>
      <c r="AX161" s="358"/>
      <c r="AY161" s="358"/>
      <c r="AZ161" s="358"/>
      <c r="BA161" s="358"/>
      <c r="BB161" s="358"/>
      <c r="BC161" s="358"/>
      <c r="BD161" s="358"/>
      <c r="BE161" s="359"/>
      <c r="BF161" s="13"/>
      <c r="BG161" s="13"/>
      <c r="BH161" s="85"/>
    </row>
    <row r="162" spans="26:60" ht="15" customHeight="1" x14ac:dyDescent="0.25">
      <c r="Z162" s="84"/>
      <c r="AK162" s="360"/>
      <c r="AL162" s="360"/>
      <c r="AM162" s="360"/>
      <c r="AN162" s="349"/>
      <c r="AO162" s="349"/>
      <c r="AP162" s="349"/>
      <c r="AQ162" s="350"/>
      <c r="AR162" s="351"/>
      <c r="AS162" s="351"/>
      <c r="AT162" s="352"/>
      <c r="AV162" s="354"/>
      <c r="AW162" s="355"/>
      <c r="AX162" s="355"/>
      <c r="AY162" s="355"/>
      <c r="AZ162" s="355"/>
      <c r="BA162" s="355"/>
      <c r="BB162" s="355"/>
      <c r="BC162" s="355"/>
      <c r="BD162" s="355"/>
      <c r="BE162" s="356"/>
      <c r="BF162" s="13"/>
      <c r="BG162" s="13"/>
      <c r="BH162" s="85"/>
    </row>
    <row r="163" spans="26:60" ht="15" customHeight="1" x14ac:dyDescent="0.25">
      <c r="Z163" s="84"/>
      <c r="AK163" s="360"/>
      <c r="AL163" s="360"/>
      <c r="AM163" s="360"/>
      <c r="AN163" s="349"/>
      <c r="AO163" s="349"/>
      <c r="AP163" s="349"/>
      <c r="AQ163" s="350"/>
      <c r="AR163" s="351"/>
      <c r="AS163" s="351"/>
      <c r="AT163" s="352"/>
      <c r="AV163" s="361"/>
      <c r="AW163" s="27"/>
      <c r="AX163" s="27"/>
      <c r="AY163" s="27"/>
      <c r="AZ163" s="27"/>
      <c r="BA163" s="27"/>
      <c r="BB163" s="27"/>
      <c r="BC163" s="27"/>
      <c r="BD163" s="27"/>
      <c r="BE163" s="362"/>
      <c r="BF163" s="13"/>
      <c r="BG163" s="13"/>
      <c r="BH163" s="85"/>
    </row>
    <row r="164" spans="26:60" ht="15" customHeight="1" x14ac:dyDescent="0.25">
      <c r="Z164" s="84"/>
      <c r="AK164" s="360"/>
      <c r="AL164" s="360"/>
      <c r="AM164" s="360"/>
      <c r="AN164" s="349"/>
      <c r="AO164" s="349"/>
      <c r="AP164" s="349"/>
      <c r="AQ164" s="350"/>
      <c r="AR164" s="351"/>
      <c r="AS164" s="351"/>
      <c r="AT164" s="352"/>
      <c r="AV164" s="361"/>
      <c r="AW164" s="27"/>
      <c r="AX164" s="27"/>
      <c r="AY164" s="27"/>
      <c r="AZ164" s="27"/>
      <c r="BA164" s="27"/>
      <c r="BB164" s="27"/>
      <c r="BC164" s="27"/>
      <c r="BD164" s="27"/>
      <c r="BE164" s="362"/>
      <c r="BF164" s="13"/>
      <c r="BG164" s="13"/>
      <c r="BH164" s="85"/>
    </row>
    <row r="165" spans="26:60" ht="15" customHeight="1" x14ac:dyDescent="0.25">
      <c r="Z165" s="84"/>
      <c r="AK165" s="348"/>
      <c r="AL165" s="348"/>
      <c r="AM165" s="348"/>
      <c r="AN165" s="349"/>
      <c r="AO165" s="349"/>
      <c r="AP165" s="349"/>
      <c r="AQ165" s="350"/>
      <c r="AR165" s="351"/>
      <c r="AS165" s="351"/>
      <c r="AT165" s="352"/>
      <c r="AV165" s="357"/>
      <c r="AW165" s="358"/>
      <c r="AX165" s="358"/>
      <c r="AY165" s="358"/>
      <c r="AZ165" s="358"/>
      <c r="BA165" s="358"/>
      <c r="BB165" s="358"/>
      <c r="BC165" s="358"/>
      <c r="BD165" s="358"/>
      <c r="BE165" s="359"/>
      <c r="BF165" s="13"/>
      <c r="BG165" s="13"/>
      <c r="BH165" s="85"/>
    </row>
    <row r="166" spans="26:60" ht="26.25" x14ac:dyDescent="0.25">
      <c r="Z166" s="84"/>
      <c r="AK166" s="348"/>
      <c r="AL166" s="348"/>
      <c r="AM166" s="348"/>
      <c r="AN166" s="349"/>
      <c r="AO166" s="349"/>
      <c r="AP166" s="349"/>
      <c r="AQ166" s="350"/>
      <c r="AR166" s="351"/>
      <c r="AS166" s="351"/>
      <c r="AT166" s="352"/>
      <c r="AV166" s="340"/>
      <c r="AW166" s="341"/>
      <c r="AX166" s="341"/>
      <c r="AY166" s="341"/>
      <c r="AZ166" s="341"/>
      <c r="BA166" s="341"/>
      <c r="BB166" s="341"/>
      <c r="BC166" s="341"/>
      <c r="BD166" s="341"/>
      <c r="BE166" s="342"/>
      <c r="BF166" s="57"/>
      <c r="BG166" s="57"/>
      <c r="BH166" s="85"/>
    </row>
    <row r="167" spans="26:60" ht="26.25" x14ac:dyDescent="0.25">
      <c r="Z167" s="84"/>
      <c r="AK167" s="348"/>
      <c r="AL167" s="348"/>
      <c r="AM167" s="348"/>
      <c r="AN167" s="349"/>
      <c r="AO167" s="349"/>
      <c r="AP167" s="349"/>
      <c r="AQ167" s="350"/>
      <c r="AR167" s="351"/>
      <c r="AS167" s="351"/>
      <c r="AT167" s="352"/>
      <c r="AV167" s="343"/>
      <c r="AW167" s="51"/>
      <c r="AX167" s="51"/>
      <c r="AY167" s="51"/>
      <c r="AZ167" s="51"/>
      <c r="BA167" s="51"/>
      <c r="BB167" s="51"/>
      <c r="BC167" s="51"/>
      <c r="BD167" s="51"/>
      <c r="BE167" s="344"/>
      <c r="BF167" s="57"/>
      <c r="BG167" s="57"/>
      <c r="BH167" s="85"/>
    </row>
    <row r="168" spans="26:60" ht="26.25" x14ac:dyDescent="0.25">
      <c r="Z168" s="84"/>
      <c r="AK168" s="348"/>
      <c r="AL168" s="348"/>
      <c r="AM168" s="348"/>
      <c r="AN168" s="349"/>
      <c r="AO168" s="349"/>
      <c r="AP168" s="349"/>
      <c r="AQ168" s="350"/>
      <c r="AR168" s="351"/>
      <c r="AS168" s="351"/>
      <c r="AT168" s="352"/>
      <c r="AV168" s="343"/>
      <c r="AW168" s="51"/>
      <c r="AX168" s="51"/>
      <c r="AY168" s="51"/>
      <c r="AZ168" s="51"/>
      <c r="BA168" s="51"/>
      <c r="BB168" s="51"/>
      <c r="BC168" s="51"/>
      <c r="BD168" s="51"/>
      <c r="BE168" s="344"/>
      <c r="BF168" s="57"/>
      <c r="BG168" s="57"/>
      <c r="BH168" s="85"/>
    </row>
    <row r="169" spans="26:60" ht="26.25" x14ac:dyDescent="0.25">
      <c r="Z169" s="84"/>
      <c r="AK169" s="348"/>
      <c r="AL169" s="348"/>
      <c r="AM169" s="348"/>
      <c r="AN169" s="349"/>
      <c r="AO169" s="349"/>
      <c r="AP169" s="349"/>
      <c r="AQ169" s="350"/>
      <c r="AR169" s="351"/>
      <c r="AS169" s="351"/>
      <c r="AT169" s="352"/>
      <c r="AV169" s="343"/>
      <c r="AW169" s="51"/>
      <c r="AX169" s="51"/>
      <c r="AY169" s="51"/>
      <c r="AZ169" s="51"/>
      <c r="BA169" s="51"/>
      <c r="BB169" s="51"/>
      <c r="BC169" s="51"/>
      <c r="BD169" s="51"/>
      <c r="BE169" s="344"/>
      <c r="BF169" s="57"/>
      <c r="BG169" s="57"/>
      <c r="BH169" s="85"/>
    </row>
    <row r="170" spans="26:60" ht="26.25" x14ac:dyDescent="0.25">
      <c r="Z170" s="84"/>
      <c r="AK170" s="348"/>
      <c r="AL170" s="348"/>
      <c r="AM170" s="348"/>
      <c r="AN170" s="349"/>
      <c r="AO170" s="349"/>
      <c r="AP170" s="349"/>
      <c r="AQ170" s="350"/>
      <c r="AR170" s="351"/>
      <c r="AS170" s="351"/>
      <c r="AT170" s="352"/>
      <c r="AV170" s="345"/>
      <c r="AW170" s="346"/>
      <c r="AX170" s="346"/>
      <c r="AY170" s="346"/>
      <c r="AZ170" s="346"/>
      <c r="BA170" s="346"/>
      <c r="BB170" s="346"/>
      <c r="BC170" s="346"/>
      <c r="BD170" s="346"/>
      <c r="BE170" s="347"/>
      <c r="BF170" s="57"/>
      <c r="BG170" s="57"/>
      <c r="BH170" s="85"/>
    </row>
    <row r="171" spans="26:60" ht="15" customHeight="1" x14ac:dyDescent="0.25">
      <c r="Z171" s="84"/>
      <c r="AN171" s="353"/>
      <c r="AO171" s="353"/>
      <c r="AP171" s="353"/>
      <c r="AQ171" s="350"/>
      <c r="AR171" s="351"/>
      <c r="AS171" s="351"/>
      <c r="AT171" s="352"/>
      <c r="BH171" s="85"/>
    </row>
    <row r="172" spans="26:60" ht="15" customHeight="1" x14ac:dyDescent="0.25">
      <c r="Z172" s="84"/>
      <c r="AN172" s="353"/>
      <c r="AO172" s="353"/>
      <c r="AP172" s="353"/>
      <c r="AQ172" s="350"/>
      <c r="AR172" s="351"/>
      <c r="AS172" s="351"/>
      <c r="AT172" s="352"/>
      <c r="BH172" s="85"/>
    </row>
    <row r="173" spans="26:60" ht="15" customHeight="1" x14ac:dyDescent="0.25">
      <c r="Z173" s="84"/>
      <c r="AN173" s="353"/>
      <c r="AO173" s="353"/>
      <c r="AP173" s="353"/>
      <c r="AQ173" s="350"/>
      <c r="AR173" s="351"/>
      <c r="AS173" s="351"/>
      <c r="AT173" s="352"/>
      <c r="BH173" s="85"/>
    </row>
    <row r="174" spans="26:60" x14ac:dyDescent="0.25">
      <c r="Z174" s="84"/>
      <c r="BH174" s="85"/>
    </row>
    <row r="175" spans="26:60" ht="15.75" thickBot="1" x14ac:dyDescent="0.3">
      <c r="Z175" s="87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  <c r="AQ175" s="88"/>
      <c r="AR175" s="88"/>
      <c r="AS175" s="88"/>
      <c r="AT175" s="88"/>
      <c r="AU175" s="88"/>
      <c r="AV175" s="88"/>
      <c r="AW175" s="88"/>
      <c r="AX175" s="88"/>
      <c r="AY175" s="88"/>
      <c r="AZ175" s="88"/>
      <c r="BA175" s="88"/>
      <c r="BB175" s="88"/>
      <c r="BC175" s="88"/>
      <c r="BD175" s="88"/>
      <c r="BE175" s="88"/>
      <c r="BF175" s="88"/>
      <c r="BG175" s="88"/>
      <c r="BH175" s="89"/>
    </row>
  </sheetData>
  <mergeCells count="1306">
    <mergeCell ref="AE2:AF2"/>
    <mergeCell ref="AG2:AI2"/>
    <mergeCell ref="AJ2:AK2"/>
    <mergeCell ref="AL2:AN2"/>
    <mergeCell ref="AO2:AP2"/>
    <mergeCell ref="AQ2:AS2"/>
    <mergeCell ref="P2:Q2"/>
    <mergeCell ref="R2:T2"/>
    <mergeCell ref="U2:V2"/>
    <mergeCell ref="W2:Y2"/>
    <mergeCell ref="Z2:AA2"/>
    <mergeCell ref="AB2:AD2"/>
    <mergeCell ref="A2:B2"/>
    <mergeCell ref="C2:E2"/>
    <mergeCell ref="F2:G2"/>
    <mergeCell ref="H2:J2"/>
    <mergeCell ref="K2:L2"/>
    <mergeCell ref="M2:O2"/>
    <mergeCell ref="BI3:BM5"/>
    <mergeCell ref="BN3:BR5"/>
    <mergeCell ref="A6:A7"/>
    <mergeCell ref="B6:E6"/>
    <mergeCell ref="F6:F7"/>
    <mergeCell ref="G6:J6"/>
    <mergeCell ref="K6:K7"/>
    <mergeCell ref="L6:O6"/>
    <mergeCell ref="P6:P7"/>
    <mergeCell ref="Q6:T6"/>
    <mergeCell ref="AE3:AI5"/>
    <mergeCell ref="AJ3:AN5"/>
    <mergeCell ref="AO3:AS5"/>
    <mergeCell ref="AT3:AX5"/>
    <mergeCell ref="AY3:BC5"/>
    <mergeCell ref="BD3:BH5"/>
    <mergeCell ref="BI2:BJ2"/>
    <mergeCell ref="BK2:BM2"/>
    <mergeCell ref="BN2:BO2"/>
    <mergeCell ref="BP2:BR2"/>
    <mergeCell ref="A3:E5"/>
    <mergeCell ref="F3:J5"/>
    <mergeCell ref="K3:O5"/>
    <mergeCell ref="P3:T5"/>
    <mergeCell ref="U3:Y5"/>
    <mergeCell ref="Z3:AD5"/>
    <mergeCell ref="AT2:AU2"/>
    <mergeCell ref="AV2:AX2"/>
    <mergeCell ref="AY2:AZ2"/>
    <mergeCell ref="BA2:BC2"/>
    <mergeCell ref="BD2:BE2"/>
    <mergeCell ref="BF2:BH2"/>
    <mergeCell ref="BN6:BN7"/>
    <mergeCell ref="BO6:BR6"/>
    <mergeCell ref="A8:B8"/>
    <mergeCell ref="C8:E8"/>
    <mergeCell ref="F8:G8"/>
    <mergeCell ref="H8:J8"/>
    <mergeCell ref="K8:L8"/>
    <mergeCell ref="M8:O8"/>
    <mergeCell ref="P8:Q8"/>
    <mergeCell ref="R8:T8"/>
    <mergeCell ref="AY6:AY7"/>
    <mergeCell ref="AZ6:BC6"/>
    <mergeCell ref="BD6:BD7"/>
    <mergeCell ref="BE6:BH6"/>
    <mergeCell ref="BI6:BI7"/>
    <mergeCell ref="BJ6:BM6"/>
    <mergeCell ref="AJ6:AJ7"/>
    <mergeCell ref="AK6:AN6"/>
    <mergeCell ref="AO6:AO7"/>
    <mergeCell ref="AP6:AS6"/>
    <mergeCell ref="AT6:AT7"/>
    <mergeCell ref="AU6:AX6"/>
    <mergeCell ref="U6:U7"/>
    <mergeCell ref="V6:Y6"/>
    <mergeCell ref="Z6:Z7"/>
    <mergeCell ref="AA6:AD6"/>
    <mergeCell ref="AE6:AE7"/>
    <mergeCell ref="AF6:AI6"/>
    <mergeCell ref="BD9:BH11"/>
    <mergeCell ref="BI9:BM11"/>
    <mergeCell ref="BN9:BR11"/>
    <mergeCell ref="BN8:BO8"/>
    <mergeCell ref="BP8:BR8"/>
    <mergeCell ref="A9:E11"/>
    <mergeCell ref="F9:J11"/>
    <mergeCell ref="K9:O11"/>
    <mergeCell ref="P9:T11"/>
    <mergeCell ref="U9:Y11"/>
    <mergeCell ref="Z9:AD11"/>
    <mergeCell ref="AE9:AI11"/>
    <mergeCell ref="AJ9:AN11"/>
    <mergeCell ref="AY8:AZ8"/>
    <mergeCell ref="BA8:BC8"/>
    <mergeCell ref="BD8:BE8"/>
    <mergeCell ref="BF8:BH8"/>
    <mergeCell ref="BI8:BJ8"/>
    <mergeCell ref="BK8:BM8"/>
    <mergeCell ref="AJ8:AK8"/>
    <mergeCell ref="AL8:AN8"/>
    <mergeCell ref="AO8:AP8"/>
    <mergeCell ref="AQ8:AS8"/>
    <mergeCell ref="AT8:AU8"/>
    <mergeCell ref="AV8:AX8"/>
    <mergeCell ref="U8:V8"/>
    <mergeCell ref="W8:Y8"/>
    <mergeCell ref="Z8:AA8"/>
    <mergeCell ref="AB8:AD8"/>
    <mergeCell ref="AE8:AF8"/>
    <mergeCell ref="AG8:AI8"/>
    <mergeCell ref="AO12:AO13"/>
    <mergeCell ref="AP12:AS12"/>
    <mergeCell ref="P12:P13"/>
    <mergeCell ref="Q12:T12"/>
    <mergeCell ref="U12:U13"/>
    <mergeCell ref="V12:Y12"/>
    <mergeCell ref="Z12:Z13"/>
    <mergeCell ref="AA12:AD12"/>
    <mergeCell ref="A12:A13"/>
    <mergeCell ref="B12:E12"/>
    <mergeCell ref="F12:F13"/>
    <mergeCell ref="G12:J12"/>
    <mergeCell ref="K12:K13"/>
    <mergeCell ref="L12:O12"/>
    <mergeCell ref="AO9:AS11"/>
    <mergeCell ref="AT9:AX11"/>
    <mergeCell ref="AY9:BC11"/>
    <mergeCell ref="AE14:AF14"/>
    <mergeCell ref="AG14:AI14"/>
    <mergeCell ref="AJ14:AK14"/>
    <mergeCell ref="AL14:AN14"/>
    <mergeCell ref="AO14:AP14"/>
    <mergeCell ref="AQ14:AS14"/>
    <mergeCell ref="P14:Q14"/>
    <mergeCell ref="R14:T14"/>
    <mergeCell ref="U14:V14"/>
    <mergeCell ref="W14:Y14"/>
    <mergeCell ref="Z14:AA14"/>
    <mergeCell ref="AB14:AD14"/>
    <mergeCell ref="BI12:BI13"/>
    <mergeCell ref="BJ12:BM12"/>
    <mergeCell ref="BN12:BN13"/>
    <mergeCell ref="BO12:BR12"/>
    <mergeCell ref="A14:B14"/>
    <mergeCell ref="C14:E14"/>
    <mergeCell ref="F14:G14"/>
    <mergeCell ref="H14:J14"/>
    <mergeCell ref="K14:L14"/>
    <mergeCell ref="M14:O14"/>
    <mergeCell ref="AT12:AT13"/>
    <mergeCell ref="AU12:AX12"/>
    <mergeCell ref="AY12:AY13"/>
    <mergeCell ref="AZ12:BC12"/>
    <mergeCell ref="BD12:BD13"/>
    <mergeCell ref="BE12:BH12"/>
    <mergeCell ref="AE12:AE13"/>
    <mergeCell ref="AF12:AI12"/>
    <mergeCell ref="AJ12:AJ13"/>
    <mergeCell ref="AK12:AN12"/>
    <mergeCell ref="BI15:BM17"/>
    <mergeCell ref="BN15:BR17"/>
    <mergeCell ref="A18:A19"/>
    <mergeCell ref="B18:E18"/>
    <mergeCell ref="F18:F19"/>
    <mergeCell ref="G18:J18"/>
    <mergeCell ref="K18:K19"/>
    <mergeCell ref="L18:O18"/>
    <mergeCell ref="P18:P19"/>
    <mergeCell ref="Q18:T18"/>
    <mergeCell ref="AE15:AI17"/>
    <mergeCell ref="AJ15:AN17"/>
    <mergeCell ref="AO15:AS17"/>
    <mergeCell ref="AT15:AX17"/>
    <mergeCell ref="AY15:BC17"/>
    <mergeCell ref="BD15:BH17"/>
    <mergeCell ref="BI14:BJ14"/>
    <mergeCell ref="BK14:BM14"/>
    <mergeCell ref="BN14:BO14"/>
    <mergeCell ref="BP14:BR14"/>
    <mergeCell ref="A15:E17"/>
    <mergeCell ref="F15:J17"/>
    <mergeCell ref="K15:O17"/>
    <mergeCell ref="P15:T17"/>
    <mergeCell ref="U15:Y17"/>
    <mergeCell ref="Z15:AD17"/>
    <mergeCell ref="AT14:AU14"/>
    <mergeCell ref="AV14:AX14"/>
    <mergeCell ref="AY14:AZ14"/>
    <mergeCell ref="BA14:BC14"/>
    <mergeCell ref="BD14:BE14"/>
    <mergeCell ref="BF14:BH14"/>
    <mergeCell ref="BN18:BN19"/>
    <mergeCell ref="BO18:BR18"/>
    <mergeCell ref="A20:B20"/>
    <mergeCell ref="C20:E20"/>
    <mergeCell ref="F20:G20"/>
    <mergeCell ref="H20:J20"/>
    <mergeCell ref="K20:L20"/>
    <mergeCell ref="M20:O20"/>
    <mergeCell ref="P20:Q20"/>
    <mergeCell ref="R20:T20"/>
    <mergeCell ref="AY18:AY19"/>
    <mergeCell ref="AZ18:BC18"/>
    <mergeCell ref="BD18:BD19"/>
    <mergeCell ref="BE18:BH18"/>
    <mergeCell ref="BI18:BI19"/>
    <mergeCell ref="BJ18:BM18"/>
    <mergeCell ref="AJ18:AJ19"/>
    <mergeCell ref="AK18:AN18"/>
    <mergeCell ref="AO18:AO19"/>
    <mergeCell ref="AP18:AS18"/>
    <mergeCell ref="AT18:AT19"/>
    <mergeCell ref="AU18:AX18"/>
    <mergeCell ref="U18:U19"/>
    <mergeCell ref="V18:Y18"/>
    <mergeCell ref="Z18:Z19"/>
    <mergeCell ref="AA18:AD18"/>
    <mergeCell ref="AE18:AE19"/>
    <mergeCell ref="AF18:AI18"/>
    <mergeCell ref="BD21:BH23"/>
    <mergeCell ref="BI21:BM23"/>
    <mergeCell ref="BN21:BR23"/>
    <mergeCell ref="BN20:BO20"/>
    <mergeCell ref="BP20:BR20"/>
    <mergeCell ref="A21:E23"/>
    <mergeCell ref="F21:J23"/>
    <mergeCell ref="K21:O23"/>
    <mergeCell ref="P21:T23"/>
    <mergeCell ref="U21:Y23"/>
    <mergeCell ref="Z21:AD23"/>
    <mergeCell ref="AE21:AI23"/>
    <mergeCell ref="AJ21:AN23"/>
    <mergeCell ref="AY20:AZ20"/>
    <mergeCell ref="BA20:BC20"/>
    <mergeCell ref="BD20:BE20"/>
    <mergeCell ref="BF20:BH20"/>
    <mergeCell ref="BI20:BJ20"/>
    <mergeCell ref="BK20:BM20"/>
    <mergeCell ref="AJ20:AK20"/>
    <mergeCell ref="AL20:AN20"/>
    <mergeCell ref="AO20:AP20"/>
    <mergeCell ref="AQ20:AS20"/>
    <mergeCell ref="AT20:AU20"/>
    <mergeCell ref="AV20:AX20"/>
    <mergeCell ref="U20:V20"/>
    <mergeCell ref="W20:Y20"/>
    <mergeCell ref="Z20:AA20"/>
    <mergeCell ref="AB20:AD20"/>
    <mergeCell ref="AE20:AF20"/>
    <mergeCell ref="AG20:AI20"/>
    <mergeCell ref="AO24:AO25"/>
    <mergeCell ref="AP24:AS24"/>
    <mergeCell ref="P24:P25"/>
    <mergeCell ref="Q24:T24"/>
    <mergeCell ref="U24:U25"/>
    <mergeCell ref="V24:Y24"/>
    <mergeCell ref="Z24:Z25"/>
    <mergeCell ref="AA24:AD24"/>
    <mergeCell ref="A24:A25"/>
    <mergeCell ref="B24:E24"/>
    <mergeCell ref="F24:F25"/>
    <mergeCell ref="G24:J24"/>
    <mergeCell ref="K24:K25"/>
    <mergeCell ref="L24:O24"/>
    <mergeCell ref="AO21:AS23"/>
    <mergeCell ref="AT21:AX23"/>
    <mergeCell ref="AY21:BC23"/>
    <mergeCell ref="AE26:AF26"/>
    <mergeCell ref="AG26:AI26"/>
    <mergeCell ref="AJ26:AK26"/>
    <mergeCell ref="AL26:AN26"/>
    <mergeCell ref="AO26:AP26"/>
    <mergeCell ref="AQ26:AS26"/>
    <mergeCell ref="P26:Q26"/>
    <mergeCell ref="R26:T26"/>
    <mergeCell ref="U26:V26"/>
    <mergeCell ref="W26:Y26"/>
    <mergeCell ref="Z26:AA26"/>
    <mergeCell ref="AB26:AD26"/>
    <mergeCell ref="BI24:BI25"/>
    <mergeCell ref="BJ24:BM24"/>
    <mergeCell ref="BN24:BN25"/>
    <mergeCell ref="BO24:BR24"/>
    <mergeCell ref="A26:B26"/>
    <mergeCell ref="C26:E26"/>
    <mergeCell ref="F26:G26"/>
    <mergeCell ref="H26:J26"/>
    <mergeCell ref="K26:L26"/>
    <mergeCell ref="M26:O26"/>
    <mergeCell ref="AT24:AT25"/>
    <mergeCell ref="AU24:AX24"/>
    <mergeCell ref="AY24:AY25"/>
    <mergeCell ref="AZ24:BC24"/>
    <mergeCell ref="BD24:BD25"/>
    <mergeCell ref="BE24:BH24"/>
    <mergeCell ref="AE24:AE25"/>
    <mergeCell ref="AF24:AI24"/>
    <mergeCell ref="AJ24:AJ25"/>
    <mergeCell ref="AK24:AN24"/>
    <mergeCell ref="BI27:BM29"/>
    <mergeCell ref="BN27:BR29"/>
    <mergeCell ref="A30:A31"/>
    <mergeCell ref="B30:E30"/>
    <mergeCell ref="F30:F31"/>
    <mergeCell ref="G30:J30"/>
    <mergeCell ref="K30:K31"/>
    <mergeCell ref="L30:O30"/>
    <mergeCell ref="P30:P31"/>
    <mergeCell ref="Q30:T30"/>
    <mergeCell ref="AE27:AI29"/>
    <mergeCell ref="AJ27:AN29"/>
    <mergeCell ref="AO27:AS29"/>
    <mergeCell ref="AT27:AX29"/>
    <mergeCell ref="AY27:BC29"/>
    <mergeCell ref="BD27:BH29"/>
    <mergeCell ref="BI26:BJ26"/>
    <mergeCell ref="BK26:BM26"/>
    <mergeCell ref="BN26:BO26"/>
    <mergeCell ref="BP26:BR26"/>
    <mergeCell ref="A27:E29"/>
    <mergeCell ref="F27:J29"/>
    <mergeCell ref="K27:O29"/>
    <mergeCell ref="P27:T29"/>
    <mergeCell ref="U27:Y29"/>
    <mergeCell ref="Z27:AD29"/>
    <mergeCell ref="AT26:AU26"/>
    <mergeCell ref="AV26:AX26"/>
    <mergeCell ref="AY26:AZ26"/>
    <mergeCell ref="BA26:BC26"/>
    <mergeCell ref="BD26:BE26"/>
    <mergeCell ref="BF26:BH26"/>
    <mergeCell ref="BN30:BN31"/>
    <mergeCell ref="BO30:BR30"/>
    <mergeCell ref="A32:B32"/>
    <mergeCell ref="C32:E32"/>
    <mergeCell ref="F32:G32"/>
    <mergeCell ref="H32:J32"/>
    <mergeCell ref="K32:L32"/>
    <mergeCell ref="M32:O32"/>
    <mergeCell ref="P32:Q32"/>
    <mergeCell ref="R32:T32"/>
    <mergeCell ref="AY30:AY31"/>
    <mergeCell ref="AZ30:BC30"/>
    <mergeCell ref="BD30:BD31"/>
    <mergeCell ref="BE30:BH30"/>
    <mergeCell ref="BI30:BI31"/>
    <mergeCell ref="BJ30:BM30"/>
    <mergeCell ref="AJ30:AJ31"/>
    <mergeCell ref="AK30:AN30"/>
    <mergeCell ref="AO30:AO31"/>
    <mergeCell ref="AP30:AS30"/>
    <mergeCell ref="AT30:AT31"/>
    <mergeCell ref="AU30:AX30"/>
    <mergeCell ref="U30:U31"/>
    <mergeCell ref="V30:Y30"/>
    <mergeCell ref="Z30:Z31"/>
    <mergeCell ref="AA30:AD30"/>
    <mergeCell ref="AE30:AE31"/>
    <mergeCell ref="AF30:AI30"/>
    <mergeCell ref="BD33:BH35"/>
    <mergeCell ref="BI33:BM35"/>
    <mergeCell ref="BN33:BR35"/>
    <mergeCell ref="BN32:BO32"/>
    <mergeCell ref="BP32:BR32"/>
    <mergeCell ref="A33:E35"/>
    <mergeCell ref="F33:J35"/>
    <mergeCell ref="K33:O35"/>
    <mergeCell ref="P33:T35"/>
    <mergeCell ref="U33:Y35"/>
    <mergeCell ref="Z33:AD35"/>
    <mergeCell ref="AE33:AI35"/>
    <mergeCell ref="AJ33:AN35"/>
    <mergeCell ref="AY32:AZ32"/>
    <mergeCell ref="BA32:BC32"/>
    <mergeCell ref="BD32:BE32"/>
    <mergeCell ref="BF32:BH32"/>
    <mergeCell ref="BI32:BJ32"/>
    <mergeCell ref="BK32:BM32"/>
    <mergeCell ref="AJ32:AK32"/>
    <mergeCell ref="AL32:AN32"/>
    <mergeCell ref="AO32:AP32"/>
    <mergeCell ref="AQ32:AS32"/>
    <mergeCell ref="AT32:AU32"/>
    <mergeCell ref="AV32:AX32"/>
    <mergeCell ref="U32:V32"/>
    <mergeCell ref="W32:Y32"/>
    <mergeCell ref="Z32:AA32"/>
    <mergeCell ref="AB32:AD32"/>
    <mergeCell ref="AE32:AF32"/>
    <mergeCell ref="AG32:AI32"/>
    <mergeCell ref="AO36:AO37"/>
    <mergeCell ref="AP36:AS36"/>
    <mergeCell ref="P36:P37"/>
    <mergeCell ref="Q36:T36"/>
    <mergeCell ref="U36:U37"/>
    <mergeCell ref="V36:Y36"/>
    <mergeCell ref="Z36:Z37"/>
    <mergeCell ref="AA36:AD36"/>
    <mergeCell ref="A36:A37"/>
    <mergeCell ref="B36:E36"/>
    <mergeCell ref="F36:F37"/>
    <mergeCell ref="G36:J36"/>
    <mergeCell ref="K36:K37"/>
    <mergeCell ref="L36:O36"/>
    <mergeCell ref="AO33:AS35"/>
    <mergeCell ref="AT33:AX35"/>
    <mergeCell ref="AY33:BC35"/>
    <mergeCell ref="AE38:AF38"/>
    <mergeCell ref="AG38:AI38"/>
    <mergeCell ref="AJ38:AK38"/>
    <mergeCell ref="AL38:AN38"/>
    <mergeCell ref="AO38:AP38"/>
    <mergeCell ref="AQ38:AS38"/>
    <mergeCell ref="P38:Q38"/>
    <mergeCell ref="R38:T38"/>
    <mergeCell ref="U38:V38"/>
    <mergeCell ref="W38:Y38"/>
    <mergeCell ref="Z38:AA38"/>
    <mergeCell ref="AB38:AD38"/>
    <mergeCell ref="BI36:BI37"/>
    <mergeCell ref="BJ36:BM36"/>
    <mergeCell ref="BN36:BN37"/>
    <mergeCell ref="BO36:BR36"/>
    <mergeCell ref="A38:B38"/>
    <mergeCell ref="C38:E38"/>
    <mergeCell ref="F38:G38"/>
    <mergeCell ref="H38:J38"/>
    <mergeCell ref="K38:L38"/>
    <mergeCell ref="M38:O38"/>
    <mergeCell ref="AT36:AT37"/>
    <mergeCell ref="AU36:AX36"/>
    <mergeCell ref="AY36:AY37"/>
    <mergeCell ref="AZ36:BC36"/>
    <mergeCell ref="BD36:BD37"/>
    <mergeCell ref="BE36:BH36"/>
    <mergeCell ref="AE36:AE37"/>
    <mergeCell ref="AF36:AI36"/>
    <mergeCell ref="AJ36:AJ37"/>
    <mergeCell ref="AK36:AN36"/>
    <mergeCell ref="BI39:BM41"/>
    <mergeCell ref="BN39:BR41"/>
    <mergeCell ref="A42:A43"/>
    <mergeCell ref="B42:E42"/>
    <mergeCell ref="F42:F43"/>
    <mergeCell ref="G42:J42"/>
    <mergeCell ref="K42:K43"/>
    <mergeCell ref="L42:O42"/>
    <mergeCell ref="P42:P43"/>
    <mergeCell ref="Q42:T42"/>
    <mergeCell ref="AE39:AI41"/>
    <mergeCell ref="AJ39:AN41"/>
    <mergeCell ref="AO39:AS41"/>
    <mergeCell ref="AT39:AX41"/>
    <mergeCell ref="AY39:BC41"/>
    <mergeCell ref="BD39:BH41"/>
    <mergeCell ref="BI38:BJ38"/>
    <mergeCell ref="BK38:BM38"/>
    <mergeCell ref="BN38:BO38"/>
    <mergeCell ref="BP38:BR38"/>
    <mergeCell ref="A39:E41"/>
    <mergeCell ref="F39:J41"/>
    <mergeCell ref="K39:O41"/>
    <mergeCell ref="P39:T41"/>
    <mergeCell ref="U39:Y41"/>
    <mergeCell ref="Z39:AD41"/>
    <mergeCell ref="AT38:AU38"/>
    <mergeCell ref="AV38:AX38"/>
    <mergeCell ref="AY38:AZ38"/>
    <mergeCell ref="BA38:BC38"/>
    <mergeCell ref="BD38:BE38"/>
    <mergeCell ref="BF38:BH38"/>
    <mergeCell ref="Z44:AA44"/>
    <mergeCell ref="AB44:AD44"/>
    <mergeCell ref="AE44:AF44"/>
    <mergeCell ref="AG44:AI44"/>
    <mergeCell ref="BN42:BN43"/>
    <mergeCell ref="BO42:BR42"/>
    <mergeCell ref="A44:B44"/>
    <mergeCell ref="C44:E44"/>
    <mergeCell ref="F44:G44"/>
    <mergeCell ref="H44:J44"/>
    <mergeCell ref="K44:L44"/>
    <mergeCell ref="M44:O44"/>
    <mergeCell ref="P44:Q44"/>
    <mergeCell ref="R44:T44"/>
    <mergeCell ref="AY42:AY43"/>
    <mergeCell ref="AZ42:BC42"/>
    <mergeCell ref="BD42:BD43"/>
    <mergeCell ref="BE42:BH42"/>
    <mergeCell ref="BI42:BI43"/>
    <mergeCell ref="BJ42:BM42"/>
    <mergeCell ref="AJ42:AJ43"/>
    <mergeCell ref="AK42:AN42"/>
    <mergeCell ref="AO42:AO43"/>
    <mergeCell ref="AP42:AS42"/>
    <mergeCell ref="AT42:AT43"/>
    <mergeCell ref="AU42:AX42"/>
    <mergeCell ref="U42:U43"/>
    <mergeCell ref="V42:Y42"/>
    <mergeCell ref="Z42:Z43"/>
    <mergeCell ref="AA42:AD42"/>
    <mergeCell ref="AE42:AE43"/>
    <mergeCell ref="AF42:AI42"/>
    <mergeCell ref="K48:K49"/>
    <mergeCell ref="L48:O48"/>
    <mergeCell ref="AO45:AS47"/>
    <mergeCell ref="AT45:AX47"/>
    <mergeCell ref="AY45:BC47"/>
    <mergeCell ref="BD45:BH47"/>
    <mergeCell ref="BI45:BM47"/>
    <mergeCell ref="BN45:BR47"/>
    <mergeCell ref="BN44:BO44"/>
    <mergeCell ref="BP44:BR44"/>
    <mergeCell ref="A45:E47"/>
    <mergeCell ref="F45:J47"/>
    <mergeCell ref="K45:O47"/>
    <mergeCell ref="P45:T47"/>
    <mergeCell ref="U45:Y47"/>
    <mergeCell ref="Z45:AD47"/>
    <mergeCell ref="AE45:AI47"/>
    <mergeCell ref="AJ45:AN47"/>
    <mergeCell ref="AY44:AZ44"/>
    <mergeCell ref="BA44:BC44"/>
    <mergeCell ref="BD44:BE44"/>
    <mergeCell ref="BF44:BH44"/>
    <mergeCell ref="BI44:BJ44"/>
    <mergeCell ref="BK44:BM44"/>
    <mergeCell ref="AJ44:AK44"/>
    <mergeCell ref="AL44:AN44"/>
    <mergeCell ref="AO44:AP44"/>
    <mergeCell ref="AQ44:AS44"/>
    <mergeCell ref="AT44:AU44"/>
    <mergeCell ref="AV44:AX44"/>
    <mergeCell ref="U44:V44"/>
    <mergeCell ref="W44:Y44"/>
    <mergeCell ref="BI48:BI49"/>
    <mergeCell ref="BJ48:BM48"/>
    <mergeCell ref="BN48:BN49"/>
    <mergeCell ref="BO48:BR48"/>
    <mergeCell ref="A50:C50"/>
    <mergeCell ref="D50:E50"/>
    <mergeCell ref="F50:H50"/>
    <mergeCell ref="I50:J50"/>
    <mergeCell ref="K50:M50"/>
    <mergeCell ref="N50:O50"/>
    <mergeCell ref="AT48:AT49"/>
    <mergeCell ref="AU48:AX48"/>
    <mergeCell ref="AY48:AY49"/>
    <mergeCell ref="AZ48:BC48"/>
    <mergeCell ref="BD48:BD49"/>
    <mergeCell ref="BE48:BH48"/>
    <mergeCell ref="AE48:AE49"/>
    <mergeCell ref="AF48:AI48"/>
    <mergeCell ref="AJ48:AJ49"/>
    <mergeCell ref="AK48:AN48"/>
    <mergeCell ref="AO48:AO49"/>
    <mergeCell ref="AP48:AS48"/>
    <mergeCell ref="P48:P49"/>
    <mergeCell ref="Q48:T48"/>
    <mergeCell ref="U48:U49"/>
    <mergeCell ref="V48:Y48"/>
    <mergeCell ref="Z48:Z49"/>
    <mergeCell ref="AA48:AD48"/>
    <mergeCell ref="A48:A49"/>
    <mergeCell ref="B48:E48"/>
    <mergeCell ref="F48:F49"/>
    <mergeCell ref="G48:J48"/>
    <mergeCell ref="BI50:BK50"/>
    <mergeCell ref="BL50:BM50"/>
    <mergeCell ref="BN50:BP50"/>
    <mergeCell ref="BQ50:BR50"/>
    <mergeCell ref="A51:C53"/>
    <mergeCell ref="F51:H53"/>
    <mergeCell ref="K51:M53"/>
    <mergeCell ref="P51:R53"/>
    <mergeCell ref="U51:W53"/>
    <mergeCell ref="Z51:AB53"/>
    <mergeCell ref="AT50:AV50"/>
    <mergeCell ref="AW50:AX50"/>
    <mergeCell ref="AY50:BA50"/>
    <mergeCell ref="BB50:BC50"/>
    <mergeCell ref="BD50:BF50"/>
    <mergeCell ref="BG50:BH50"/>
    <mergeCell ref="AE50:AG50"/>
    <mergeCell ref="AH50:AI50"/>
    <mergeCell ref="AJ50:AL50"/>
    <mergeCell ref="AM50:AN50"/>
    <mergeCell ref="AO50:AQ50"/>
    <mergeCell ref="AR50:AS50"/>
    <mergeCell ref="P50:R50"/>
    <mergeCell ref="S50:T50"/>
    <mergeCell ref="U50:W50"/>
    <mergeCell ref="X50:Y50"/>
    <mergeCell ref="Z50:AB50"/>
    <mergeCell ref="AC50:AD50"/>
    <mergeCell ref="BG53:BH53"/>
    <mergeCell ref="BL53:BM53"/>
    <mergeCell ref="BQ53:BR53"/>
    <mergeCell ref="A54:A55"/>
    <mergeCell ref="B54:E54"/>
    <mergeCell ref="F54:F55"/>
    <mergeCell ref="G54:J54"/>
    <mergeCell ref="K54:K55"/>
    <mergeCell ref="L54:O54"/>
    <mergeCell ref="P54:P55"/>
    <mergeCell ref="BI51:BK53"/>
    <mergeCell ref="BN51:BP53"/>
    <mergeCell ref="D53:E53"/>
    <mergeCell ref="I53:J53"/>
    <mergeCell ref="N53:O53"/>
    <mergeCell ref="S53:T53"/>
    <mergeCell ref="X53:Y53"/>
    <mergeCell ref="AC53:AD53"/>
    <mergeCell ref="AH53:AI53"/>
    <mergeCell ref="AM53:AN53"/>
    <mergeCell ref="AE51:AG53"/>
    <mergeCell ref="AJ51:AL53"/>
    <mergeCell ref="AO51:AQ53"/>
    <mergeCell ref="AT51:AV53"/>
    <mergeCell ref="AY51:BA53"/>
    <mergeCell ref="BD51:BF53"/>
    <mergeCell ref="AR53:AS53"/>
    <mergeCell ref="AW53:AX53"/>
    <mergeCell ref="BB53:BC53"/>
    <mergeCell ref="BJ54:BM54"/>
    <mergeCell ref="BN54:BN55"/>
    <mergeCell ref="BO54:BR54"/>
    <mergeCell ref="F56:H56"/>
    <mergeCell ref="I56:J56"/>
    <mergeCell ref="K56:M56"/>
    <mergeCell ref="N56:O56"/>
    <mergeCell ref="P56:R56"/>
    <mergeCell ref="AU54:AX54"/>
    <mergeCell ref="AY54:AY55"/>
    <mergeCell ref="AZ54:BC54"/>
    <mergeCell ref="BD54:BD55"/>
    <mergeCell ref="BE54:BH54"/>
    <mergeCell ref="BI54:BI55"/>
    <mergeCell ref="AF54:AI54"/>
    <mergeCell ref="AJ54:AJ55"/>
    <mergeCell ref="AK54:AN54"/>
    <mergeCell ref="AO54:AO55"/>
    <mergeCell ref="AP54:AS54"/>
    <mergeCell ref="AT54:AT55"/>
    <mergeCell ref="Q54:T54"/>
    <mergeCell ref="U54:U55"/>
    <mergeCell ref="V54:Y54"/>
    <mergeCell ref="Z54:Z55"/>
    <mergeCell ref="AA54:AD54"/>
    <mergeCell ref="AE54:AE55"/>
    <mergeCell ref="BL56:BM56"/>
    <mergeCell ref="BN56:BP56"/>
    <mergeCell ref="BQ56:BR56"/>
    <mergeCell ref="A57:C59"/>
    <mergeCell ref="F57:H59"/>
    <mergeCell ref="K57:M59"/>
    <mergeCell ref="P57:R59"/>
    <mergeCell ref="U57:W59"/>
    <mergeCell ref="Z57:AB59"/>
    <mergeCell ref="AE57:AG59"/>
    <mergeCell ref="AW56:AX56"/>
    <mergeCell ref="AY56:BA56"/>
    <mergeCell ref="BB56:BC56"/>
    <mergeCell ref="BD56:BF56"/>
    <mergeCell ref="BG56:BH56"/>
    <mergeCell ref="BI56:BK56"/>
    <mergeCell ref="AH56:AI56"/>
    <mergeCell ref="AJ56:AL56"/>
    <mergeCell ref="AM56:AN56"/>
    <mergeCell ref="AO56:AQ56"/>
    <mergeCell ref="AR56:AS56"/>
    <mergeCell ref="AT56:AV56"/>
    <mergeCell ref="S56:T56"/>
    <mergeCell ref="U56:W56"/>
    <mergeCell ref="X56:Y56"/>
    <mergeCell ref="Z56:AB56"/>
    <mergeCell ref="AC56:AD56"/>
    <mergeCell ref="AE56:AG56"/>
    <mergeCell ref="BL59:BM59"/>
    <mergeCell ref="BQ59:BR59"/>
    <mergeCell ref="A56:C56"/>
    <mergeCell ref="D56:E56"/>
    <mergeCell ref="A60:A61"/>
    <mergeCell ref="B60:E60"/>
    <mergeCell ref="F60:F61"/>
    <mergeCell ref="G60:J60"/>
    <mergeCell ref="K60:K61"/>
    <mergeCell ref="L60:O60"/>
    <mergeCell ref="P60:P61"/>
    <mergeCell ref="Q60:T60"/>
    <mergeCell ref="BN57:BP59"/>
    <mergeCell ref="D59:E59"/>
    <mergeCell ref="I59:J59"/>
    <mergeCell ref="N59:O59"/>
    <mergeCell ref="S59:T59"/>
    <mergeCell ref="X59:Y59"/>
    <mergeCell ref="AC59:AD59"/>
    <mergeCell ref="AH59:AI59"/>
    <mergeCell ref="AM59:AN59"/>
    <mergeCell ref="AR59:AS59"/>
    <mergeCell ref="AJ57:AL59"/>
    <mergeCell ref="AO57:AQ59"/>
    <mergeCell ref="AT57:AV59"/>
    <mergeCell ref="AY57:BA59"/>
    <mergeCell ref="BD57:BF59"/>
    <mergeCell ref="BI57:BK59"/>
    <mergeCell ref="AW59:AX59"/>
    <mergeCell ref="BB59:BC59"/>
    <mergeCell ref="BG59:BH59"/>
    <mergeCell ref="BN60:BN61"/>
    <mergeCell ref="BO60:BR60"/>
    <mergeCell ref="K63:L63"/>
    <mergeCell ref="M63:O63"/>
    <mergeCell ref="P63:Q63"/>
    <mergeCell ref="R63:T63"/>
    <mergeCell ref="AY60:AY61"/>
    <mergeCell ref="AZ60:BC60"/>
    <mergeCell ref="BD60:BD61"/>
    <mergeCell ref="BE60:BH60"/>
    <mergeCell ref="BI60:BI61"/>
    <mergeCell ref="BJ60:BM60"/>
    <mergeCell ref="AJ60:AJ61"/>
    <mergeCell ref="AK60:AN60"/>
    <mergeCell ref="AO60:AO61"/>
    <mergeCell ref="AP60:AS60"/>
    <mergeCell ref="AT60:AT61"/>
    <mergeCell ref="AU60:AX60"/>
    <mergeCell ref="U60:U61"/>
    <mergeCell ref="V60:Y60"/>
    <mergeCell ref="Z60:Z61"/>
    <mergeCell ref="AA60:AD60"/>
    <mergeCell ref="AE60:AE61"/>
    <mergeCell ref="AF60:AI60"/>
    <mergeCell ref="BN63:BO63"/>
    <mergeCell ref="BP63:BR63"/>
    <mergeCell ref="A64:E66"/>
    <mergeCell ref="F64:J66"/>
    <mergeCell ref="K64:O66"/>
    <mergeCell ref="P64:T66"/>
    <mergeCell ref="U64:Y66"/>
    <mergeCell ref="Z64:AD66"/>
    <mergeCell ref="AE64:AI66"/>
    <mergeCell ref="AJ64:AN66"/>
    <mergeCell ref="AY63:AZ63"/>
    <mergeCell ref="BA63:BC63"/>
    <mergeCell ref="BD63:BE63"/>
    <mergeCell ref="BF63:BH63"/>
    <mergeCell ref="BI63:BJ63"/>
    <mergeCell ref="BK63:BM63"/>
    <mergeCell ref="AJ63:AK63"/>
    <mergeCell ref="AL63:AN63"/>
    <mergeCell ref="AO63:AP63"/>
    <mergeCell ref="AQ63:AS63"/>
    <mergeCell ref="AT63:AU63"/>
    <mergeCell ref="AV63:AX63"/>
    <mergeCell ref="U63:V63"/>
    <mergeCell ref="W63:Y63"/>
    <mergeCell ref="Z63:AA63"/>
    <mergeCell ref="AB63:AD63"/>
    <mergeCell ref="AE63:AF63"/>
    <mergeCell ref="AG63:AI63"/>
    <mergeCell ref="A63:B63"/>
    <mergeCell ref="C63:E63"/>
    <mergeCell ref="F63:G63"/>
    <mergeCell ref="H63:J63"/>
    <mergeCell ref="DE66:DG68"/>
    <mergeCell ref="EH66:EQ69"/>
    <mergeCell ref="ES66:FD69"/>
    <mergeCell ref="AO64:AS66"/>
    <mergeCell ref="AT64:AX66"/>
    <mergeCell ref="AY64:BC66"/>
    <mergeCell ref="BD64:BH66"/>
    <mergeCell ref="BI64:BM66"/>
    <mergeCell ref="BN64:BR66"/>
    <mergeCell ref="P69:Q69"/>
    <mergeCell ref="R69:T69"/>
    <mergeCell ref="U69:V69"/>
    <mergeCell ref="W69:Y69"/>
    <mergeCell ref="Z69:AA69"/>
    <mergeCell ref="AB69:AD69"/>
    <mergeCell ref="BJ67:BM67"/>
    <mergeCell ref="BN67:BN68"/>
    <mergeCell ref="BO67:BR67"/>
    <mergeCell ref="CY67:DA69"/>
    <mergeCell ref="BK69:BM69"/>
    <mergeCell ref="BN69:BO69"/>
    <mergeCell ref="BP69:BR69"/>
    <mergeCell ref="A69:B69"/>
    <mergeCell ref="C69:E69"/>
    <mergeCell ref="F69:G69"/>
    <mergeCell ref="H69:J69"/>
    <mergeCell ref="K69:L69"/>
    <mergeCell ref="M69:O69"/>
    <mergeCell ref="AU67:AX67"/>
    <mergeCell ref="AY67:AY68"/>
    <mergeCell ref="AZ67:BC67"/>
    <mergeCell ref="BD67:BD68"/>
    <mergeCell ref="BE67:BH67"/>
    <mergeCell ref="BI67:BI68"/>
    <mergeCell ref="AF67:AI67"/>
    <mergeCell ref="AJ67:AJ68"/>
    <mergeCell ref="AK67:AN67"/>
    <mergeCell ref="AO67:AO68"/>
    <mergeCell ref="AP67:AS67"/>
    <mergeCell ref="AT67:AT68"/>
    <mergeCell ref="Q67:T67"/>
    <mergeCell ref="U67:U68"/>
    <mergeCell ref="V67:Y67"/>
    <mergeCell ref="Z67:Z68"/>
    <mergeCell ref="BI69:BJ69"/>
    <mergeCell ref="AA67:AD67"/>
    <mergeCell ref="AE67:AE68"/>
    <mergeCell ref="A67:A68"/>
    <mergeCell ref="B67:E67"/>
    <mergeCell ref="F67:F68"/>
    <mergeCell ref="G67:J67"/>
    <mergeCell ref="K67:K68"/>
    <mergeCell ref="L67:O67"/>
    <mergeCell ref="P67:P68"/>
    <mergeCell ref="A75:B75"/>
    <mergeCell ref="C75:E75"/>
    <mergeCell ref="F75:G75"/>
    <mergeCell ref="H75:J75"/>
    <mergeCell ref="K75:L75"/>
    <mergeCell ref="M75:O75"/>
    <mergeCell ref="BE73:BH73"/>
    <mergeCell ref="BI73:BI74"/>
    <mergeCell ref="BJ73:BM73"/>
    <mergeCell ref="BN73:BN74"/>
    <mergeCell ref="DB69:DC69"/>
    <mergeCell ref="DE69:DG71"/>
    <mergeCell ref="BI70:BM72"/>
    <mergeCell ref="BN70:BR72"/>
    <mergeCell ref="AT69:AU69"/>
    <mergeCell ref="AV69:AX69"/>
    <mergeCell ref="AY69:AZ69"/>
    <mergeCell ref="BA69:BC69"/>
    <mergeCell ref="BD69:BE69"/>
    <mergeCell ref="BF69:BH69"/>
    <mergeCell ref="AE69:AF69"/>
    <mergeCell ref="AG69:AI69"/>
    <mergeCell ref="AJ69:AK69"/>
    <mergeCell ref="AL69:AN69"/>
    <mergeCell ref="AO69:AP69"/>
    <mergeCell ref="AQ69:AS69"/>
    <mergeCell ref="V73:Y73"/>
    <mergeCell ref="Z73:Z74"/>
    <mergeCell ref="BO73:BR73"/>
    <mergeCell ref="A73:A74"/>
    <mergeCell ref="B73:E73"/>
    <mergeCell ref="F73:F74"/>
    <mergeCell ref="G73:J73"/>
    <mergeCell ref="K73:K74"/>
    <mergeCell ref="AE70:AI72"/>
    <mergeCell ref="AJ70:AN72"/>
    <mergeCell ref="AO70:AS72"/>
    <mergeCell ref="AT70:AX72"/>
    <mergeCell ref="AY70:BC72"/>
    <mergeCell ref="BD70:BH72"/>
    <mergeCell ref="A70:E72"/>
    <mergeCell ref="F70:J72"/>
    <mergeCell ref="K70:O72"/>
    <mergeCell ref="P70:T72"/>
    <mergeCell ref="U70:Y72"/>
    <mergeCell ref="Z70:AD72"/>
    <mergeCell ref="FJ74:FP75"/>
    <mergeCell ref="BI75:BJ75"/>
    <mergeCell ref="BK75:BM75"/>
    <mergeCell ref="BN75:BO75"/>
    <mergeCell ref="BP75:BR75"/>
    <mergeCell ref="AP73:AS73"/>
    <mergeCell ref="AT73:AT74"/>
    <mergeCell ref="AU73:AX73"/>
    <mergeCell ref="AY73:AY74"/>
    <mergeCell ref="AZ73:BC73"/>
    <mergeCell ref="BD73:BD74"/>
    <mergeCell ref="AA73:AD73"/>
    <mergeCell ref="AE73:AE74"/>
    <mergeCell ref="AF73:AI73"/>
    <mergeCell ref="AJ73:AJ74"/>
    <mergeCell ref="AK73:AN73"/>
    <mergeCell ref="AO73:AO74"/>
    <mergeCell ref="DV70:EG75"/>
    <mergeCell ref="EH70:ER75"/>
    <mergeCell ref="ES70:FD75"/>
    <mergeCell ref="FJ70:FP73"/>
    <mergeCell ref="DE72:DG75"/>
    <mergeCell ref="FE66:FI75"/>
    <mergeCell ref="FJ66:FM69"/>
    <mergeCell ref="FN66:FP69"/>
    <mergeCell ref="L73:O73"/>
    <mergeCell ref="P73:P74"/>
    <mergeCell ref="Q73:T73"/>
    <mergeCell ref="U73:U74"/>
    <mergeCell ref="AT75:AU75"/>
    <mergeCell ref="AV75:AX75"/>
    <mergeCell ref="AY75:AZ75"/>
    <mergeCell ref="BA75:BC75"/>
    <mergeCell ref="BD75:BE75"/>
    <mergeCell ref="BF75:BH75"/>
    <mergeCell ref="AE75:AF75"/>
    <mergeCell ref="AG75:AI75"/>
    <mergeCell ref="AJ75:AK75"/>
    <mergeCell ref="AL75:AN75"/>
    <mergeCell ref="AO75:AP75"/>
    <mergeCell ref="AQ75:AS75"/>
    <mergeCell ref="P75:Q75"/>
    <mergeCell ref="R75:T75"/>
    <mergeCell ref="U75:V75"/>
    <mergeCell ref="W75:Y75"/>
    <mergeCell ref="Z75:AA75"/>
    <mergeCell ref="AB75:AD75"/>
    <mergeCell ref="DV65:EG69"/>
    <mergeCell ref="CY66:DA66"/>
    <mergeCell ref="DB66:DC66"/>
    <mergeCell ref="BI76:BM78"/>
    <mergeCell ref="BN76:BR78"/>
    <mergeCell ref="A79:A80"/>
    <mergeCell ref="B79:E79"/>
    <mergeCell ref="F79:F80"/>
    <mergeCell ref="G79:J79"/>
    <mergeCell ref="K79:K80"/>
    <mergeCell ref="L79:O79"/>
    <mergeCell ref="P79:P80"/>
    <mergeCell ref="Q79:T79"/>
    <mergeCell ref="AE76:AI78"/>
    <mergeCell ref="AJ76:AN78"/>
    <mergeCell ref="AO76:AS78"/>
    <mergeCell ref="AT76:AX78"/>
    <mergeCell ref="AY76:BC78"/>
    <mergeCell ref="BD76:BH78"/>
    <mergeCell ref="A76:E78"/>
    <mergeCell ref="F76:J78"/>
    <mergeCell ref="K76:O78"/>
    <mergeCell ref="P76:T78"/>
    <mergeCell ref="U76:Y78"/>
    <mergeCell ref="Z76:AD78"/>
    <mergeCell ref="BN79:BN80"/>
    <mergeCell ref="BO79:BR79"/>
    <mergeCell ref="C81:E81"/>
    <mergeCell ref="F81:G81"/>
    <mergeCell ref="H81:J81"/>
    <mergeCell ref="K81:L81"/>
    <mergeCell ref="M81:O81"/>
    <mergeCell ref="P81:Q81"/>
    <mergeCell ref="R81:T81"/>
    <mergeCell ref="AY79:AY80"/>
    <mergeCell ref="AZ79:BC79"/>
    <mergeCell ref="BD79:BD80"/>
    <mergeCell ref="BE79:BH79"/>
    <mergeCell ref="BI79:BI80"/>
    <mergeCell ref="BJ79:BM79"/>
    <mergeCell ref="AJ79:AJ80"/>
    <mergeCell ref="AK79:AN79"/>
    <mergeCell ref="AO79:AO80"/>
    <mergeCell ref="AP79:AS79"/>
    <mergeCell ref="AT79:AT80"/>
    <mergeCell ref="AU79:AX79"/>
    <mergeCell ref="U79:U80"/>
    <mergeCell ref="V79:Y79"/>
    <mergeCell ref="Z79:Z80"/>
    <mergeCell ref="AA79:AD79"/>
    <mergeCell ref="AE79:AE80"/>
    <mergeCell ref="AF79:AI79"/>
    <mergeCell ref="BD82:BH84"/>
    <mergeCell ref="BI82:BM84"/>
    <mergeCell ref="BN82:BR84"/>
    <mergeCell ref="BN81:BO81"/>
    <mergeCell ref="BP81:BR81"/>
    <mergeCell ref="A82:E84"/>
    <mergeCell ref="F82:J84"/>
    <mergeCell ref="K82:O84"/>
    <mergeCell ref="P82:T84"/>
    <mergeCell ref="U82:Y84"/>
    <mergeCell ref="Z82:AD84"/>
    <mergeCell ref="AE82:AI84"/>
    <mergeCell ref="AJ82:AN84"/>
    <mergeCell ref="AY81:AZ81"/>
    <mergeCell ref="BA81:BC81"/>
    <mergeCell ref="BD81:BE81"/>
    <mergeCell ref="BF81:BH81"/>
    <mergeCell ref="BI81:BJ81"/>
    <mergeCell ref="BK81:BM81"/>
    <mergeCell ref="AJ81:AK81"/>
    <mergeCell ref="AL81:AN81"/>
    <mergeCell ref="AO81:AP81"/>
    <mergeCell ref="AQ81:AS81"/>
    <mergeCell ref="AT81:AU81"/>
    <mergeCell ref="AV81:AX81"/>
    <mergeCell ref="U81:V81"/>
    <mergeCell ref="W81:Y81"/>
    <mergeCell ref="Z81:AA81"/>
    <mergeCell ref="AB81:AD81"/>
    <mergeCell ref="AE81:AF81"/>
    <mergeCell ref="AG81:AI81"/>
    <mergeCell ref="A81:B81"/>
    <mergeCell ref="AO85:AO86"/>
    <mergeCell ref="AP85:AS85"/>
    <mergeCell ref="P85:P86"/>
    <mergeCell ref="Q85:T85"/>
    <mergeCell ref="U85:U86"/>
    <mergeCell ref="V85:Y85"/>
    <mergeCell ref="Z85:Z86"/>
    <mergeCell ref="AA85:AD85"/>
    <mergeCell ref="A85:A86"/>
    <mergeCell ref="B85:E85"/>
    <mergeCell ref="F85:F86"/>
    <mergeCell ref="G85:J85"/>
    <mergeCell ref="K85:K86"/>
    <mergeCell ref="L85:O85"/>
    <mergeCell ref="AO82:AS84"/>
    <mergeCell ref="AT82:AX84"/>
    <mergeCell ref="AY82:BC84"/>
    <mergeCell ref="AE87:AF87"/>
    <mergeCell ref="AG87:AI87"/>
    <mergeCell ref="AJ87:AK87"/>
    <mergeCell ref="AL87:AN87"/>
    <mergeCell ref="AO87:AP87"/>
    <mergeCell ref="AQ87:AS87"/>
    <mergeCell ref="P87:Q87"/>
    <mergeCell ref="R87:T87"/>
    <mergeCell ref="U87:V87"/>
    <mergeCell ref="W87:Y87"/>
    <mergeCell ref="Z87:AA87"/>
    <mergeCell ref="AB87:AD87"/>
    <mergeCell ref="BI85:BI86"/>
    <mergeCell ref="BJ85:BM85"/>
    <mergeCell ref="BN85:BN86"/>
    <mergeCell ref="BO85:BR85"/>
    <mergeCell ref="A87:B87"/>
    <mergeCell ref="C87:E87"/>
    <mergeCell ref="F87:G87"/>
    <mergeCell ref="H87:J87"/>
    <mergeCell ref="K87:L87"/>
    <mergeCell ref="M87:O87"/>
    <mergeCell ref="AT85:AT86"/>
    <mergeCell ref="AU85:AX85"/>
    <mergeCell ref="AY85:AY86"/>
    <mergeCell ref="AZ85:BC85"/>
    <mergeCell ref="BD85:BD86"/>
    <mergeCell ref="BE85:BH85"/>
    <mergeCell ref="AE85:AE86"/>
    <mergeCell ref="AF85:AI85"/>
    <mergeCell ref="AJ85:AJ86"/>
    <mergeCell ref="AK85:AN85"/>
    <mergeCell ref="BI88:BM90"/>
    <mergeCell ref="BN88:BR90"/>
    <mergeCell ref="A91:A92"/>
    <mergeCell ref="B91:E91"/>
    <mergeCell ref="F91:F92"/>
    <mergeCell ref="G91:J91"/>
    <mergeCell ref="K91:K92"/>
    <mergeCell ref="L91:O91"/>
    <mergeCell ref="P91:P92"/>
    <mergeCell ref="Q91:T91"/>
    <mergeCell ref="AE88:AI90"/>
    <mergeCell ref="AJ88:AN90"/>
    <mergeCell ref="AO88:AS90"/>
    <mergeCell ref="AT88:AX90"/>
    <mergeCell ref="AY88:BC90"/>
    <mergeCell ref="BD88:BH90"/>
    <mergeCell ref="BI87:BJ87"/>
    <mergeCell ref="BK87:BM87"/>
    <mergeCell ref="BN87:BO87"/>
    <mergeCell ref="BP87:BR87"/>
    <mergeCell ref="A88:E90"/>
    <mergeCell ref="F88:J90"/>
    <mergeCell ref="K88:O90"/>
    <mergeCell ref="P88:T90"/>
    <mergeCell ref="U88:Y90"/>
    <mergeCell ref="Z88:AD90"/>
    <mergeCell ref="AT87:AU87"/>
    <mergeCell ref="AV87:AX87"/>
    <mergeCell ref="AY87:AZ87"/>
    <mergeCell ref="BA87:BC87"/>
    <mergeCell ref="BD87:BE87"/>
    <mergeCell ref="BF87:BH87"/>
    <mergeCell ref="Z93:AA93"/>
    <mergeCell ref="AB93:AD93"/>
    <mergeCell ref="AE93:AF93"/>
    <mergeCell ref="AG93:AI93"/>
    <mergeCell ref="BN91:BN92"/>
    <mergeCell ref="BO91:BR91"/>
    <mergeCell ref="A93:B93"/>
    <mergeCell ref="C93:E93"/>
    <mergeCell ref="F93:G93"/>
    <mergeCell ref="H93:J93"/>
    <mergeCell ref="K93:L93"/>
    <mergeCell ref="M93:O93"/>
    <mergeCell ref="P93:Q93"/>
    <mergeCell ref="R93:T93"/>
    <mergeCell ref="AY91:AY92"/>
    <mergeCell ref="AZ91:BC91"/>
    <mergeCell ref="BD91:BD92"/>
    <mergeCell ref="BE91:BH91"/>
    <mergeCell ref="BI91:BI92"/>
    <mergeCell ref="BJ91:BM91"/>
    <mergeCell ref="AJ91:AJ92"/>
    <mergeCell ref="AK91:AN91"/>
    <mergeCell ref="AO91:AO92"/>
    <mergeCell ref="AP91:AS91"/>
    <mergeCell ref="AT91:AT92"/>
    <mergeCell ref="AU91:AX91"/>
    <mergeCell ref="U91:U92"/>
    <mergeCell ref="V91:Y91"/>
    <mergeCell ref="Z91:Z92"/>
    <mergeCell ref="AA91:AD91"/>
    <mergeCell ref="AE91:AE92"/>
    <mergeCell ref="AF91:AI91"/>
    <mergeCell ref="K97:K98"/>
    <mergeCell ref="L97:O97"/>
    <mergeCell ref="AO94:AS96"/>
    <mergeCell ref="AT94:AX96"/>
    <mergeCell ref="AY94:BC96"/>
    <mergeCell ref="BD94:BH96"/>
    <mergeCell ref="BI94:BM96"/>
    <mergeCell ref="BN94:BR96"/>
    <mergeCell ref="BN93:BO93"/>
    <mergeCell ref="BP93:BR93"/>
    <mergeCell ref="A94:E96"/>
    <mergeCell ref="F94:J96"/>
    <mergeCell ref="K94:O96"/>
    <mergeCell ref="P94:T96"/>
    <mergeCell ref="U94:Y96"/>
    <mergeCell ref="Z94:AD96"/>
    <mergeCell ref="AE94:AI96"/>
    <mergeCell ref="AJ94:AN96"/>
    <mergeCell ref="AY93:AZ93"/>
    <mergeCell ref="BA93:BC93"/>
    <mergeCell ref="BD93:BE93"/>
    <mergeCell ref="BF93:BH93"/>
    <mergeCell ref="BI93:BJ93"/>
    <mergeCell ref="BK93:BM93"/>
    <mergeCell ref="AJ93:AK93"/>
    <mergeCell ref="AL93:AN93"/>
    <mergeCell ref="AO93:AP93"/>
    <mergeCell ref="AQ93:AS93"/>
    <mergeCell ref="AT93:AU93"/>
    <mergeCell ref="AV93:AX93"/>
    <mergeCell ref="U93:V93"/>
    <mergeCell ref="W93:Y93"/>
    <mergeCell ref="BI97:BI98"/>
    <mergeCell ref="BJ97:BM97"/>
    <mergeCell ref="BN97:BN98"/>
    <mergeCell ref="BO97:BR97"/>
    <mergeCell ref="A99:B99"/>
    <mergeCell ref="C99:E99"/>
    <mergeCell ref="F99:G99"/>
    <mergeCell ref="H99:J99"/>
    <mergeCell ref="K99:L99"/>
    <mergeCell ref="M99:O99"/>
    <mergeCell ref="AT97:AT98"/>
    <mergeCell ref="AU97:AX97"/>
    <mergeCell ref="AY97:AY98"/>
    <mergeCell ref="AZ97:BC97"/>
    <mergeCell ref="BD97:BD98"/>
    <mergeCell ref="BE97:BH97"/>
    <mergeCell ref="AE97:AE98"/>
    <mergeCell ref="AF97:AI97"/>
    <mergeCell ref="AJ97:AJ98"/>
    <mergeCell ref="AK97:AN97"/>
    <mergeCell ref="AO97:AO98"/>
    <mergeCell ref="AP97:AS97"/>
    <mergeCell ref="P97:P98"/>
    <mergeCell ref="Q97:T97"/>
    <mergeCell ref="U97:U98"/>
    <mergeCell ref="V97:Y97"/>
    <mergeCell ref="Z97:Z98"/>
    <mergeCell ref="AA97:AD97"/>
    <mergeCell ref="A97:A98"/>
    <mergeCell ref="B97:E97"/>
    <mergeCell ref="F97:F98"/>
    <mergeCell ref="G97:J97"/>
    <mergeCell ref="AE100:AI102"/>
    <mergeCell ref="AJ100:AN102"/>
    <mergeCell ref="A103:A104"/>
    <mergeCell ref="B103:E103"/>
    <mergeCell ref="F103:F104"/>
    <mergeCell ref="G103:J103"/>
    <mergeCell ref="K103:K104"/>
    <mergeCell ref="L103:O103"/>
    <mergeCell ref="P103:P104"/>
    <mergeCell ref="Q103:T103"/>
    <mergeCell ref="AE99:AF99"/>
    <mergeCell ref="AG99:AI99"/>
    <mergeCell ref="AJ99:AK99"/>
    <mergeCell ref="AL99:AN99"/>
    <mergeCell ref="A100:E102"/>
    <mergeCell ref="F100:J102"/>
    <mergeCell ref="K100:O102"/>
    <mergeCell ref="P100:T102"/>
    <mergeCell ref="U100:Y102"/>
    <mergeCell ref="Z100:AD102"/>
    <mergeCell ref="P99:Q99"/>
    <mergeCell ref="R99:T99"/>
    <mergeCell ref="U99:V99"/>
    <mergeCell ref="W99:Y99"/>
    <mergeCell ref="Z99:AA99"/>
    <mergeCell ref="AB99:AD99"/>
    <mergeCell ref="A113:C115"/>
    <mergeCell ref="D115:E115"/>
    <mergeCell ref="G115:I117"/>
    <mergeCell ref="X116:AI121"/>
    <mergeCell ref="AJ116:AT121"/>
    <mergeCell ref="AU116:BF121"/>
    <mergeCell ref="AJ103:AJ104"/>
    <mergeCell ref="AK103:AN103"/>
    <mergeCell ref="A112:C112"/>
    <mergeCell ref="D112:E112"/>
    <mergeCell ref="G112:I114"/>
    <mergeCell ref="X112:AI115"/>
    <mergeCell ref="AJ112:AS115"/>
    <mergeCell ref="AO103:AO104"/>
    <mergeCell ref="AP103:AS103"/>
    <mergeCell ref="U103:U104"/>
    <mergeCell ref="V103:Y103"/>
    <mergeCell ref="Z103:Z104"/>
    <mergeCell ref="AA103:AD103"/>
    <mergeCell ref="AE103:AE104"/>
    <mergeCell ref="AF103:AI103"/>
    <mergeCell ref="BS138:BT140"/>
    <mergeCell ref="AP129:AS131"/>
    <mergeCell ref="AU131:BD132"/>
    <mergeCell ref="AJ132:AL134"/>
    <mergeCell ref="AM132:AO134"/>
    <mergeCell ref="AP132:AS134"/>
    <mergeCell ref="AU133:BD135"/>
    <mergeCell ref="AJ135:AL137"/>
    <mergeCell ref="AM135:AO137"/>
    <mergeCell ref="AP135:AS137"/>
    <mergeCell ref="BL116:BR119"/>
    <mergeCell ref="G118:I121"/>
    <mergeCell ref="BL120:BR121"/>
    <mergeCell ref="AJ126:AL128"/>
    <mergeCell ref="AM126:AO128"/>
    <mergeCell ref="AP126:AS128"/>
    <mergeCell ref="Z128:AD134"/>
    <mergeCell ref="AU128:BD130"/>
    <mergeCell ref="AJ129:AL131"/>
    <mergeCell ref="AM129:AO131"/>
    <mergeCell ref="BG112:BK121"/>
    <mergeCell ref="BL112:BO115"/>
    <mergeCell ref="BP112:BR115"/>
    <mergeCell ref="BW152:CF156"/>
    <mergeCell ref="AO99:AP99"/>
    <mergeCell ref="AQ99:AS99"/>
    <mergeCell ref="AT99:AU99"/>
    <mergeCell ref="AV99:AX99"/>
    <mergeCell ref="AY99:AZ99"/>
    <mergeCell ref="BA99:BC99"/>
    <mergeCell ref="BD99:BE99"/>
    <mergeCell ref="BF99:BH99"/>
    <mergeCell ref="BI99:BJ99"/>
    <mergeCell ref="BW143:CF145"/>
    <mergeCell ref="AJ144:AL146"/>
    <mergeCell ref="AM144:AO146"/>
    <mergeCell ref="AP144:AS146"/>
    <mergeCell ref="BW146:CF147"/>
    <mergeCell ref="AJ147:AL149"/>
    <mergeCell ref="AM147:AO149"/>
    <mergeCell ref="AP147:AS149"/>
    <mergeCell ref="BW148:CF151"/>
    <mergeCell ref="BW138:CF140"/>
    <mergeCell ref="AJ141:AL143"/>
    <mergeCell ref="AM141:AO143"/>
    <mergeCell ref="AP141:AS143"/>
    <mergeCell ref="BK141:BM144"/>
    <mergeCell ref="BN141:BP144"/>
    <mergeCell ref="BQ141:BR144"/>
    <mergeCell ref="BS141:BT144"/>
    <mergeCell ref="BW141:CF142"/>
    <mergeCell ref="AU142:BD146"/>
    <mergeCell ref="BW135:CF137"/>
    <mergeCell ref="AU136:BD137"/>
    <mergeCell ref="AJ138:AL140"/>
    <mergeCell ref="AJ153:AL155"/>
    <mergeCell ref="AM153:AO155"/>
    <mergeCell ref="AP153:AS155"/>
    <mergeCell ref="BI103:BI104"/>
    <mergeCell ref="BJ103:BM103"/>
    <mergeCell ref="BN103:BN104"/>
    <mergeCell ref="BO103:BR103"/>
    <mergeCell ref="AJ150:AL152"/>
    <mergeCell ref="AM150:AO152"/>
    <mergeCell ref="AP150:AS152"/>
    <mergeCell ref="AT103:AT104"/>
    <mergeCell ref="AU103:AX103"/>
    <mergeCell ref="AY103:AY104"/>
    <mergeCell ref="AZ103:BC103"/>
    <mergeCell ref="BD103:BD104"/>
    <mergeCell ref="BE103:BH103"/>
    <mergeCell ref="BK99:BM99"/>
    <mergeCell ref="BN99:BO99"/>
    <mergeCell ref="BP99:BR99"/>
    <mergeCell ref="AO100:AS102"/>
    <mergeCell ref="AT100:AX102"/>
    <mergeCell ref="AY100:BC102"/>
    <mergeCell ref="BD100:BH102"/>
    <mergeCell ref="BI100:BM102"/>
    <mergeCell ref="BN100:BR102"/>
    <mergeCell ref="AM138:AO140"/>
    <mergeCell ref="AP138:AS140"/>
    <mergeCell ref="AU138:BD141"/>
    <mergeCell ref="BK138:BM140"/>
    <mergeCell ref="BN138:BP140"/>
    <mergeCell ref="BQ138:BR140"/>
    <mergeCell ref="AU112:BF115"/>
  </mergeCells>
  <pageMargins left="0.75" right="0.5" top="1" bottom="0.5" header="0.3" footer="0.3"/>
  <pageSetup paperSize="8" scale="32" orientation="landscape" r:id="rId1"/>
  <headerFooter>
    <oddFooter>&amp;C&amp;"-,Bold Italic"&amp;16Prepared by Emir Cebecioglu&amp;RQuality Control Department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72858-1B72-4FB3-9A48-67BAC3BBCEA7}">
  <sheetPr>
    <pageSetUpPr fitToPage="1"/>
  </sheetPr>
  <dimension ref="A1:CB77"/>
  <sheetViews>
    <sheetView view="pageBreakPreview" zoomScale="55" zoomScaleNormal="70" zoomScaleSheetLayoutView="55" zoomScalePageLayoutView="55" workbookViewId="0">
      <selection activeCell="S7" sqref="P6:T13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42578125" customWidth="1"/>
    <col min="47" max="47" width="9.855468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1" customWidth="1"/>
    <col min="62" max="62" width="56.7109375" customWidth="1"/>
    <col min="63" max="63" width="13" customWidth="1"/>
    <col min="64" max="64" width="7" customWidth="1"/>
  </cols>
  <sheetData>
    <row r="1" spans="1:80" ht="283.5" customHeight="1" thickBot="1" x14ac:dyDescent="0.3"/>
    <row r="2" spans="1:80" ht="36" customHeight="1" thickTop="1" x14ac:dyDescent="0.25">
      <c r="A2" s="2000" t="s">
        <v>250</v>
      </c>
      <c r="B2" s="2001"/>
      <c r="C2" s="2001"/>
      <c r="D2" s="2006">
        <f>B7/((36*3.1415/59)*(60/3.281))</f>
        <v>5.0722328623387034E-3</v>
      </c>
      <c r="E2" s="2007"/>
      <c r="F2" s="2000" t="s">
        <v>250</v>
      </c>
      <c r="G2" s="2001"/>
      <c r="H2" s="2001"/>
      <c r="I2" s="2006">
        <f>G7/((36*3.1415/59)*(60/3.281))</f>
        <v>1.3750372551446878E-2</v>
      </c>
      <c r="J2" s="2007"/>
      <c r="K2" s="2000" t="s">
        <v>250</v>
      </c>
      <c r="L2" s="2001"/>
      <c r="M2" s="2001"/>
      <c r="N2" s="2006">
        <f t="shared" ref="N2" si="0">L7/((36*3.1415/59)*(60/3.281))</f>
        <v>8.7665756951444518E-2</v>
      </c>
      <c r="O2" s="2007"/>
      <c r="P2" s="2000" t="s">
        <v>250</v>
      </c>
      <c r="Q2" s="2001"/>
      <c r="R2" s="2001"/>
      <c r="S2" s="2006">
        <f t="shared" ref="S2" si="1">Q7/((36*3.1415/59)*(60/3.281))</f>
        <v>2.8527743882669873E-12</v>
      </c>
      <c r="T2" s="2007"/>
      <c r="U2" s="2000" t="s">
        <v>250</v>
      </c>
      <c r="V2" s="2001"/>
      <c r="W2" s="2001"/>
      <c r="X2" s="2006">
        <f t="shared" ref="X2" si="2">V7/((36*3.1415/59)*(60/3.281))</f>
        <v>2.852774388266987E-13</v>
      </c>
      <c r="Y2" s="2007"/>
      <c r="Z2" s="2000" t="s">
        <v>250</v>
      </c>
      <c r="AA2" s="2001"/>
      <c r="AB2" s="2001"/>
      <c r="AC2" s="2006">
        <f t="shared" ref="AC2" si="3">AA7/((36*3.1415/59)*(60/3.281))</f>
        <v>3.4781025341751114E-2</v>
      </c>
      <c r="AD2" s="2007"/>
      <c r="AE2" s="2000" t="s">
        <v>250</v>
      </c>
      <c r="AF2" s="2001"/>
      <c r="AG2" s="2001"/>
      <c r="AH2" s="2425">
        <f t="shared" ref="AH2" si="4">AF7/((36*3.1415/59)*(60/3.281))</f>
        <v>0.10215785084384081</v>
      </c>
      <c r="AI2" s="2426"/>
      <c r="AJ2" s="2000" t="s">
        <v>250</v>
      </c>
      <c r="AK2" s="2001"/>
      <c r="AL2" s="2001"/>
      <c r="AM2" s="2006">
        <f t="shared" ref="AM2" si="5">AK7/((36*3.1415/59)*(60/3.281))</f>
        <v>4.637470045566814E-2</v>
      </c>
      <c r="AN2" s="2007"/>
      <c r="AO2" s="2000" t="s">
        <v>250</v>
      </c>
      <c r="AP2" s="2001"/>
      <c r="AQ2" s="2001"/>
      <c r="AR2" s="2006">
        <f t="shared" ref="AR2" si="6">AP7/((36*3.1415/59)*(60/3.281))</f>
        <v>5.7968375569585175E-3</v>
      </c>
      <c r="AS2" s="2007"/>
      <c r="AT2" s="2000" t="s">
        <v>250</v>
      </c>
      <c r="AU2" s="2001"/>
      <c r="AV2" s="2001"/>
      <c r="AW2" s="2006">
        <f t="shared" ref="AW2" si="7">AU7/((36*3.1415/59)*(60/3.281))</f>
        <v>8.3329539881278697E-2</v>
      </c>
      <c r="AX2" s="2007"/>
      <c r="AY2" s="674"/>
      <c r="AZ2" s="674"/>
      <c r="BA2" s="674"/>
      <c r="BB2" s="1300"/>
      <c r="BC2" s="1300"/>
      <c r="BD2" s="674"/>
      <c r="BE2" s="674"/>
      <c r="BF2" s="674"/>
      <c r="BG2" s="1300"/>
      <c r="BH2" s="1300"/>
      <c r="BM2" s="27"/>
      <c r="BN2" s="27"/>
      <c r="BO2" s="27"/>
      <c r="BP2" s="27"/>
      <c r="BQ2" s="27"/>
      <c r="BR2" s="27"/>
      <c r="BW2" s="27"/>
      <c r="BX2" s="27"/>
      <c r="BY2" s="27"/>
      <c r="BZ2" s="27"/>
      <c r="CA2" s="27"/>
      <c r="CB2" s="27"/>
    </row>
    <row r="3" spans="1:80" ht="9.9499999999999993" hidden="1" customHeight="1" x14ac:dyDescent="0.25">
      <c r="A3" s="468"/>
      <c r="B3" s="469"/>
      <c r="C3" s="469"/>
      <c r="D3" s="470"/>
      <c r="E3" s="471"/>
      <c r="F3" s="468"/>
      <c r="G3" s="469"/>
      <c r="H3" s="469"/>
      <c r="I3" s="470"/>
      <c r="J3" s="471"/>
      <c r="K3" s="468"/>
      <c r="L3" s="469"/>
      <c r="M3" s="469"/>
      <c r="N3" s="470"/>
      <c r="O3" s="471"/>
      <c r="P3" s="468"/>
      <c r="Q3" s="469"/>
      <c r="R3" s="469"/>
      <c r="S3" s="470"/>
      <c r="T3" s="471"/>
      <c r="U3" s="468"/>
      <c r="V3" s="469"/>
      <c r="W3" s="469"/>
      <c r="X3" s="470"/>
      <c r="Y3" s="471"/>
      <c r="Z3" s="468"/>
      <c r="AA3" s="469"/>
      <c r="AB3" s="469"/>
      <c r="AC3" s="470"/>
      <c r="AD3" s="471"/>
      <c r="AE3" s="468"/>
      <c r="AF3" s="469"/>
      <c r="AG3" s="469"/>
      <c r="AH3" s="470"/>
      <c r="AI3" s="471"/>
      <c r="AJ3" s="468"/>
      <c r="AK3" s="469"/>
      <c r="AL3" s="469"/>
      <c r="AM3" s="470"/>
      <c r="AN3" s="471"/>
      <c r="AO3" s="468"/>
      <c r="AP3" s="469"/>
      <c r="AQ3" s="469"/>
      <c r="AR3" s="470"/>
      <c r="AS3" s="471"/>
      <c r="AT3" s="468"/>
      <c r="AU3" s="469"/>
      <c r="AV3" s="469"/>
      <c r="AW3" s="470"/>
      <c r="AX3" s="471"/>
      <c r="AY3" s="676"/>
      <c r="AZ3" s="676"/>
      <c r="BA3" s="676"/>
      <c r="BB3" s="36"/>
      <c r="BC3" s="36"/>
      <c r="BD3" s="676"/>
      <c r="BE3" s="676"/>
      <c r="BF3" s="676"/>
      <c r="BG3" s="36"/>
      <c r="BH3" s="36"/>
    </row>
    <row r="4" spans="1:80" ht="24.95" hidden="1" customHeight="1" x14ac:dyDescent="0.25">
      <c r="A4" s="468"/>
      <c r="B4" s="469"/>
      <c r="C4" s="469"/>
      <c r="D4" s="470"/>
      <c r="E4" s="471"/>
      <c r="F4" s="468"/>
      <c r="G4" s="469"/>
      <c r="H4" s="469"/>
      <c r="I4" s="470"/>
      <c r="J4" s="471"/>
      <c r="K4" s="468"/>
      <c r="L4" s="469"/>
      <c r="M4" s="469"/>
      <c r="N4" s="470"/>
      <c r="O4" s="471"/>
      <c r="P4" s="468"/>
      <c r="Q4" s="469"/>
      <c r="R4" s="469"/>
      <c r="S4" s="470"/>
      <c r="T4" s="471"/>
      <c r="U4" s="468"/>
      <c r="V4" s="469"/>
      <c r="W4" s="469"/>
      <c r="X4" s="470"/>
      <c r="Y4" s="471"/>
      <c r="Z4" s="468"/>
      <c r="AA4" s="469"/>
      <c r="AB4" s="469"/>
      <c r="AC4" s="470"/>
      <c r="AD4" s="471"/>
      <c r="AE4" s="468"/>
      <c r="AF4" s="469"/>
      <c r="AG4" s="469"/>
      <c r="AH4" s="470"/>
      <c r="AI4" s="471"/>
      <c r="AJ4" s="468"/>
      <c r="AK4" s="469"/>
      <c r="AL4" s="469"/>
      <c r="AM4" s="470"/>
      <c r="AN4" s="471"/>
      <c r="AO4" s="468"/>
      <c r="AP4" s="469"/>
      <c r="AQ4" s="469"/>
      <c r="AR4" s="470"/>
      <c r="AS4" s="471"/>
      <c r="AT4" s="468"/>
      <c r="AU4" s="469"/>
      <c r="AV4" s="469"/>
      <c r="AW4" s="470"/>
      <c r="AX4" s="471"/>
      <c r="AY4" s="676"/>
      <c r="AZ4" s="676"/>
      <c r="BA4" s="676"/>
      <c r="BB4" s="36"/>
      <c r="BC4" s="36"/>
      <c r="BD4" s="676"/>
      <c r="BE4" s="676"/>
      <c r="BF4" s="676"/>
      <c r="BG4" s="36"/>
      <c r="BH4" s="36"/>
    </row>
    <row r="5" spans="1:80" ht="25.5" customHeight="1" x14ac:dyDescent="0.25">
      <c r="A5" s="2412" t="s">
        <v>489</v>
      </c>
      <c r="B5" s="2413"/>
      <c r="C5" s="2413"/>
      <c r="D5" s="2413"/>
      <c r="E5" s="2414"/>
      <c r="F5" s="2412" t="s">
        <v>489</v>
      </c>
      <c r="G5" s="2413"/>
      <c r="H5" s="2413"/>
      <c r="I5" s="2413"/>
      <c r="J5" s="2414"/>
      <c r="K5" s="2412" t="s">
        <v>489</v>
      </c>
      <c r="L5" s="2413"/>
      <c r="M5" s="2413"/>
      <c r="N5" s="2413"/>
      <c r="O5" s="2414"/>
      <c r="P5" s="2412" t="s">
        <v>489</v>
      </c>
      <c r="Q5" s="2413"/>
      <c r="R5" s="2413"/>
      <c r="S5" s="2413"/>
      <c r="T5" s="2414"/>
      <c r="U5" s="2412" t="s">
        <v>489</v>
      </c>
      <c r="V5" s="2413"/>
      <c r="W5" s="2413"/>
      <c r="X5" s="2413"/>
      <c r="Y5" s="2414"/>
      <c r="Z5" s="2412" t="s">
        <v>489</v>
      </c>
      <c r="AA5" s="2413"/>
      <c r="AB5" s="2413"/>
      <c r="AC5" s="2413"/>
      <c r="AD5" s="2414"/>
      <c r="AE5" s="2412" t="s">
        <v>489</v>
      </c>
      <c r="AF5" s="2413"/>
      <c r="AG5" s="2413"/>
      <c r="AH5" s="2413"/>
      <c r="AI5" s="2414"/>
      <c r="AJ5" s="2412" t="s">
        <v>489</v>
      </c>
      <c r="AK5" s="2413"/>
      <c r="AL5" s="2413"/>
      <c r="AM5" s="2413"/>
      <c r="AN5" s="2414"/>
      <c r="AO5" s="2412" t="s">
        <v>489</v>
      </c>
      <c r="AP5" s="2413"/>
      <c r="AQ5" s="2413"/>
      <c r="AR5" s="2413"/>
      <c r="AS5" s="2414"/>
      <c r="AT5" s="2412" t="s">
        <v>489</v>
      </c>
      <c r="AU5" s="2413"/>
      <c r="AV5" s="2413"/>
      <c r="AW5" s="2413"/>
      <c r="AX5" s="2414"/>
      <c r="AY5" s="676"/>
      <c r="AZ5" s="676"/>
      <c r="BA5" s="676"/>
      <c r="BB5" s="36"/>
      <c r="BC5" s="36"/>
      <c r="BD5" s="676"/>
      <c r="BE5" s="676"/>
      <c r="BF5" s="676"/>
      <c r="BG5" s="36"/>
      <c r="BH5" s="36"/>
    </row>
    <row r="6" spans="1:80" ht="72" customHeight="1" x14ac:dyDescent="0.25">
      <c r="A6" s="1721" t="s">
        <v>474</v>
      </c>
      <c r="B6" s="1714">
        <v>6</v>
      </c>
      <c r="C6" s="1715"/>
      <c r="D6" s="1715"/>
      <c r="E6" s="1716"/>
      <c r="F6" s="1721" t="s">
        <v>474</v>
      </c>
      <c r="G6" s="1714">
        <v>7</v>
      </c>
      <c r="H6" s="1715"/>
      <c r="I6" s="1715"/>
      <c r="J6" s="1716"/>
      <c r="K6" s="1721" t="s">
        <v>474</v>
      </c>
      <c r="L6" s="1714">
        <v>8</v>
      </c>
      <c r="M6" s="1715"/>
      <c r="N6" s="1715"/>
      <c r="O6" s="1716"/>
      <c r="P6" s="1721" t="s">
        <v>474</v>
      </c>
      <c r="Q6" s="1714">
        <v>9</v>
      </c>
      <c r="R6" s="1715"/>
      <c r="S6" s="1715"/>
      <c r="T6" s="1716"/>
      <c r="U6" s="1721" t="s">
        <v>474</v>
      </c>
      <c r="V6" s="1714">
        <v>10</v>
      </c>
      <c r="W6" s="1715"/>
      <c r="X6" s="1715"/>
      <c r="Y6" s="1716"/>
      <c r="Z6" s="1721" t="s">
        <v>474</v>
      </c>
      <c r="AA6" s="1714">
        <v>11</v>
      </c>
      <c r="AB6" s="1715"/>
      <c r="AC6" s="1715"/>
      <c r="AD6" s="1716"/>
      <c r="AE6" s="1721" t="s">
        <v>474</v>
      </c>
      <c r="AF6" s="1714">
        <v>12</v>
      </c>
      <c r="AG6" s="1715"/>
      <c r="AH6" s="1715"/>
      <c r="AI6" s="1716"/>
      <c r="AJ6" s="1721" t="s">
        <v>474</v>
      </c>
      <c r="AK6" s="1714">
        <v>13</v>
      </c>
      <c r="AL6" s="1715"/>
      <c r="AM6" s="1715"/>
      <c r="AN6" s="1716"/>
      <c r="AO6" s="1721" t="s">
        <v>474</v>
      </c>
      <c r="AP6" s="1714">
        <v>14</v>
      </c>
      <c r="AQ6" s="1715"/>
      <c r="AR6" s="1715"/>
      <c r="AS6" s="1716"/>
      <c r="AT6" s="1721" t="s">
        <v>474</v>
      </c>
      <c r="AU6" s="1714">
        <v>15</v>
      </c>
      <c r="AV6" s="1715"/>
      <c r="AW6" s="1715"/>
      <c r="AX6" s="1716"/>
      <c r="AY6" s="677"/>
      <c r="AZ6" s="1332"/>
      <c r="BA6" s="1332"/>
      <c r="BB6" s="1332"/>
      <c r="BC6" s="1332"/>
      <c r="BD6" s="677"/>
      <c r="BE6" s="1332"/>
      <c r="BF6" s="1332"/>
      <c r="BG6" s="1332"/>
      <c r="BH6" s="1332"/>
      <c r="BM6" s="27"/>
      <c r="BN6" s="27"/>
      <c r="BO6" s="27"/>
      <c r="BP6" s="27"/>
      <c r="BQ6" s="27"/>
      <c r="BR6" s="27"/>
      <c r="BW6" s="27"/>
      <c r="BX6" s="27"/>
      <c r="BY6" s="27"/>
      <c r="BZ6" s="27"/>
      <c r="CA6" s="27"/>
      <c r="CB6" s="27"/>
    </row>
    <row r="7" spans="1:80" ht="35.1" customHeight="1" thickBot="1" x14ac:dyDescent="0.3">
      <c r="A7" s="1722"/>
      <c r="B7" s="241">
        <v>0.17780000000000001</v>
      </c>
      <c r="C7" s="242" t="s">
        <v>113</v>
      </c>
      <c r="D7" s="243"/>
      <c r="E7" s="244" t="s">
        <v>114</v>
      </c>
      <c r="F7" s="1722"/>
      <c r="G7" s="241">
        <v>0.48199999999999998</v>
      </c>
      <c r="H7" s="242" t="s">
        <v>113</v>
      </c>
      <c r="I7" s="243"/>
      <c r="J7" s="244" t="s">
        <v>114</v>
      </c>
      <c r="K7" s="1722"/>
      <c r="L7" s="241">
        <v>3.073</v>
      </c>
      <c r="M7" s="242" t="s">
        <v>113</v>
      </c>
      <c r="N7" s="243">
        <v>1</v>
      </c>
      <c r="O7" s="244" t="s">
        <v>114</v>
      </c>
      <c r="P7" s="1722"/>
      <c r="Q7" s="241">
        <v>1E-10</v>
      </c>
      <c r="R7" s="242" t="s">
        <v>113</v>
      </c>
      <c r="S7" s="243"/>
      <c r="T7" s="244" t="s">
        <v>114</v>
      </c>
      <c r="U7" s="1722"/>
      <c r="V7" s="241">
        <v>9.9999999999999994E-12</v>
      </c>
      <c r="W7" s="242" t="s">
        <v>113</v>
      </c>
      <c r="X7" s="243"/>
      <c r="Y7" s="244" t="s">
        <v>114</v>
      </c>
      <c r="Z7" s="1722"/>
      <c r="AA7" s="241">
        <v>1.2192000000000001</v>
      </c>
      <c r="AB7" s="242" t="s">
        <v>113</v>
      </c>
      <c r="AC7" s="243"/>
      <c r="AD7" s="244" t="s">
        <v>114</v>
      </c>
      <c r="AE7" s="1722"/>
      <c r="AF7" s="241">
        <v>3.581</v>
      </c>
      <c r="AG7" s="242" t="s">
        <v>113</v>
      </c>
      <c r="AH7" s="243">
        <v>1</v>
      </c>
      <c r="AI7" s="244" t="s">
        <v>114</v>
      </c>
      <c r="AJ7" s="1722"/>
      <c r="AK7" s="241">
        <v>1.6255999999999999</v>
      </c>
      <c r="AL7" s="242" t="s">
        <v>113</v>
      </c>
      <c r="AM7" s="243"/>
      <c r="AN7" s="244" t="s">
        <v>114</v>
      </c>
      <c r="AO7" s="1722"/>
      <c r="AP7" s="241">
        <v>0.20319999999999999</v>
      </c>
      <c r="AQ7" s="242" t="s">
        <v>113</v>
      </c>
      <c r="AR7" s="243"/>
      <c r="AS7" s="244" t="s">
        <v>114</v>
      </c>
      <c r="AT7" s="1722"/>
      <c r="AU7" s="241">
        <v>2.9209999999999998</v>
      </c>
      <c r="AV7" s="242" t="s">
        <v>113</v>
      </c>
      <c r="AW7" s="243">
        <v>1</v>
      </c>
      <c r="AX7" s="244" t="s">
        <v>114</v>
      </c>
      <c r="AY7" s="677"/>
      <c r="AZ7" s="137"/>
      <c r="BA7" s="33"/>
      <c r="BB7" s="138"/>
      <c r="BC7" s="35"/>
      <c r="BD7" s="677"/>
      <c r="BE7" s="137"/>
      <c r="BF7" s="33"/>
      <c r="BG7" s="138"/>
      <c r="BH7" s="35"/>
      <c r="BM7" s="27"/>
      <c r="BN7" s="27"/>
      <c r="BO7" s="27"/>
      <c r="BP7" s="27"/>
      <c r="BQ7" s="27"/>
      <c r="BR7" s="27"/>
      <c r="BW7" s="27"/>
      <c r="BX7" s="27"/>
      <c r="BY7" s="27"/>
      <c r="BZ7" s="27"/>
      <c r="CA7" s="27"/>
      <c r="CB7" s="27"/>
    </row>
    <row r="8" spans="1:80" ht="38.25" customHeight="1" thickTop="1" x14ac:dyDescent="0.25">
      <c r="A8" s="2000" t="s">
        <v>250</v>
      </c>
      <c r="B8" s="2001"/>
      <c r="C8" s="2001"/>
      <c r="D8" s="2006">
        <f t="shared" ref="D8" si="8">B13/((36*3.1415/59)*(60/3.281))</f>
        <v>2.4636559617073703E-2</v>
      </c>
      <c r="E8" s="2007"/>
      <c r="F8" s="2000" t="s">
        <v>250</v>
      </c>
      <c r="G8" s="2001"/>
      <c r="H8" s="2001"/>
      <c r="I8" s="2006">
        <f t="shared" ref="I8" si="9">G13/((36*3.1415/59)*(60/3.281))</f>
        <v>2.3164528032727939E-2</v>
      </c>
      <c r="J8" s="2007"/>
      <c r="K8" s="2415" t="s">
        <v>250</v>
      </c>
      <c r="L8" s="2416"/>
      <c r="M8" s="2416"/>
      <c r="N8" s="2405">
        <f>L13/((36*3.1415/59)*(45/3.281))</f>
        <v>0.11110605317503826</v>
      </c>
      <c r="O8" s="2406"/>
      <c r="P8" s="2415" t="s">
        <v>250</v>
      </c>
      <c r="Q8" s="2416"/>
      <c r="R8" s="2416"/>
      <c r="S8" s="2405">
        <f t="shared" ref="S8" si="10">Q13/((36*3.1415/59)*(45/3.281))</f>
        <v>6.9531621090027376E-2</v>
      </c>
      <c r="T8" s="2406"/>
      <c r="U8" s="2415" t="s">
        <v>250</v>
      </c>
      <c r="V8" s="2416"/>
      <c r="W8" s="2416"/>
      <c r="X8" s="2405">
        <f t="shared" ref="X8" si="11">V13/((36*3.1415/59)*(45/3.281))</f>
        <v>5.0239258826973825E-2</v>
      </c>
      <c r="Y8" s="2406"/>
      <c r="Z8" s="2415" t="s">
        <v>250</v>
      </c>
      <c r="AA8" s="2416"/>
      <c r="AB8" s="2416"/>
      <c r="AC8" s="2405">
        <f t="shared" ref="AC8" si="12">AA13/((36*3.1415/59)*(45/3.281))</f>
        <v>3.8036991843559829E-10</v>
      </c>
      <c r="AD8" s="2406"/>
      <c r="AE8" s="2415" t="s">
        <v>250</v>
      </c>
      <c r="AF8" s="2416"/>
      <c r="AG8" s="2416"/>
      <c r="AH8" s="2405">
        <f t="shared" ref="AH8" si="13">AF13/((36*3.1415/59)*(45/3.281))</f>
        <v>9.6613959282641979E-3</v>
      </c>
      <c r="AI8" s="2406"/>
      <c r="AJ8" s="2415" t="s">
        <v>250</v>
      </c>
      <c r="AK8" s="2416"/>
      <c r="AL8" s="2416"/>
      <c r="AM8" s="2405">
        <f t="shared" ref="AM8" si="14">AK13/((36*3.1415/59)*(45/3.281))</f>
        <v>3.8036991843559836E-11</v>
      </c>
      <c r="AN8" s="2406"/>
      <c r="AO8" s="2422"/>
      <c r="AP8" s="672"/>
      <c r="AQ8" s="672"/>
      <c r="AR8" s="1368"/>
      <c r="AS8" s="1368"/>
      <c r="AT8" s="672"/>
      <c r="AU8" s="672"/>
      <c r="AV8" s="672"/>
      <c r="AW8" s="1368"/>
      <c r="AX8" s="1368"/>
      <c r="AY8" s="674"/>
      <c r="AZ8" s="674"/>
      <c r="BA8" s="674"/>
      <c r="BB8" s="1300"/>
      <c r="BC8" s="1300"/>
      <c r="BD8" s="674"/>
      <c r="BE8" s="674"/>
      <c r="BF8" s="674"/>
      <c r="BG8" s="1300"/>
      <c r="BH8" s="1300"/>
      <c r="BM8" s="27"/>
      <c r="BN8" s="27"/>
      <c r="BO8" s="27"/>
      <c r="BP8" s="27"/>
      <c r="BQ8" s="27"/>
      <c r="BR8" s="27"/>
      <c r="BW8" s="27"/>
      <c r="BX8" s="27"/>
      <c r="BY8" s="27"/>
      <c r="BZ8" s="27"/>
      <c r="CA8" s="27"/>
      <c r="CB8" s="27"/>
    </row>
    <row r="9" spans="1:80" ht="5.25" customHeight="1" x14ac:dyDescent="0.25">
      <c r="A9" s="2409" t="s">
        <v>489</v>
      </c>
      <c r="B9" s="2410"/>
      <c r="C9" s="2410"/>
      <c r="D9" s="2410"/>
      <c r="E9" s="2411"/>
      <c r="F9" s="2409" t="s">
        <v>489</v>
      </c>
      <c r="G9" s="2410"/>
      <c r="H9" s="2410"/>
      <c r="I9" s="2410"/>
      <c r="J9" s="2411"/>
      <c r="K9" s="2409" t="s">
        <v>489</v>
      </c>
      <c r="L9" s="2410"/>
      <c r="M9" s="2410"/>
      <c r="N9" s="2410"/>
      <c r="O9" s="2411"/>
      <c r="P9" s="2409" t="s">
        <v>489</v>
      </c>
      <c r="Q9" s="2410"/>
      <c r="R9" s="2410"/>
      <c r="S9" s="2410"/>
      <c r="T9" s="2411"/>
      <c r="U9" s="2409" t="s">
        <v>489</v>
      </c>
      <c r="V9" s="2410"/>
      <c r="W9" s="2410"/>
      <c r="X9" s="2410"/>
      <c r="Y9" s="2411"/>
      <c r="Z9" s="2409" t="s">
        <v>489</v>
      </c>
      <c r="AA9" s="2410"/>
      <c r="AB9" s="2410"/>
      <c r="AC9" s="2410"/>
      <c r="AD9" s="2411"/>
      <c r="AE9" s="2409" t="s">
        <v>489</v>
      </c>
      <c r="AF9" s="2410"/>
      <c r="AG9" s="2410"/>
      <c r="AH9" s="2410"/>
      <c r="AI9" s="2411"/>
      <c r="AJ9" s="2409" t="s">
        <v>489</v>
      </c>
      <c r="AK9" s="2410"/>
      <c r="AL9" s="2410"/>
      <c r="AM9" s="2410"/>
      <c r="AN9" s="2411"/>
      <c r="AO9" s="2423"/>
      <c r="AP9" s="674"/>
      <c r="AQ9" s="674"/>
      <c r="AR9" s="1776"/>
      <c r="AS9" s="1776"/>
      <c r="AT9" s="674"/>
      <c r="AU9" s="674"/>
      <c r="AV9" s="674"/>
      <c r="AW9" s="1776"/>
      <c r="AX9" s="1776"/>
      <c r="AY9" s="676"/>
      <c r="AZ9" s="676"/>
      <c r="BA9" s="676"/>
      <c r="BB9" s="36"/>
      <c r="BC9" s="36"/>
      <c r="BD9" s="676"/>
      <c r="BE9" s="676"/>
      <c r="BF9" s="676"/>
      <c r="BG9" s="36"/>
      <c r="BH9" s="36"/>
    </row>
    <row r="10" spans="1:80" ht="20.25" customHeight="1" x14ac:dyDescent="0.25">
      <c r="A10" s="2412"/>
      <c r="B10" s="2413"/>
      <c r="C10" s="2413"/>
      <c r="D10" s="2413"/>
      <c r="E10" s="2414"/>
      <c r="F10" s="2412"/>
      <c r="G10" s="2413"/>
      <c r="H10" s="2413"/>
      <c r="I10" s="2413"/>
      <c r="J10" s="2414"/>
      <c r="K10" s="2412"/>
      <c r="L10" s="2413"/>
      <c r="M10" s="2413"/>
      <c r="N10" s="2413"/>
      <c r="O10" s="2414"/>
      <c r="P10" s="2412"/>
      <c r="Q10" s="2413"/>
      <c r="R10" s="2413"/>
      <c r="S10" s="2413"/>
      <c r="T10" s="2414"/>
      <c r="U10" s="2412"/>
      <c r="V10" s="2413"/>
      <c r="W10" s="2413"/>
      <c r="X10" s="2413"/>
      <c r="Y10" s="2414"/>
      <c r="Z10" s="2412"/>
      <c r="AA10" s="2413"/>
      <c r="AB10" s="2413"/>
      <c r="AC10" s="2413"/>
      <c r="AD10" s="2414"/>
      <c r="AE10" s="2412"/>
      <c r="AF10" s="2413"/>
      <c r="AG10" s="2413"/>
      <c r="AH10" s="2413"/>
      <c r="AI10" s="2414"/>
      <c r="AJ10" s="2412"/>
      <c r="AK10" s="2413"/>
      <c r="AL10" s="2413"/>
      <c r="AM10" s="2413"/>
      <c r="AN10" s="2414"/>
      <c r="AO10" s="2423"/>
      <c r="AP10" s="674"/>
      <c r="AQ10" s="674"/>
      <c r="AR10" s="1776"/>
      <c r="AS10" s="1776"/>
      <c r="AT10" s="674"/>
      <c r="AU10" s="674"/>
      <c r="AV10" s="674"/>
      <c r="AW10" s="1776"/>
      <c r="AX10" s="1776"/>
      <c r="AY10" s="676"/>
      <c r="AZ10" s="676"/>
      <c r="BA10" s="676"/>
      <c r="BB10" s="36"/>
      <c r="BC10" s="36"/>
      <c r="BD10" s="676"/>
      <c r="BE10" s="676"/>
      <c r="BF10" s="676"/>
      <c r="BG10" s="36"/>
      <c r="BH10" s="36"/>
    </row>
    <row r="11" spans="1:80" ht="4.5" hidden="1" customHeight="1" x14ac:dyDescent="0.25">
      <c r="A11" s="2418" t="s">
        <v>489</v>
      </c>
      <c r="B11" s="2419"/>
      <c r="C11" s="2419"/>
      <c r="D11" s="2419"/>
      <c r="E11" s="2420"/>
      <c r="F11" s="2418" t="s">
        <v>489</v>
      </c>
      <c r="G11" s="2419"/>
      <c r="H11" s="2419"/>
      <c r="I11" s="2419"/>
      <c r="J11" s="2420"/>
      <c r="K11" s="2418" t="s">
        <v>489</v>
      </c>
      <c r="L11" s="2419"/>
      <c r="M11" s="2419"/>
      <c r="N11" s="2419"/>
      <c r="O11" s="2420"/>
      <c r="P11" s="2418" t="s">
        <v>489</v>
      </c>
      <c r="Q11" s="2419"/>
      <c r="R11" s="2419"/>
      <c r="S11" s="2419"/>
      <c r="T11" s="2420"/>
      <c r="U11" s="2418" t="s">
        <v>489</v>
      </c>
      <c r="V11" s="2419"/>
      <c r="W11" s="2419"/>
      <c r="X11" s="2419"/>
      <c r="Y11" s="2420"/>
      <c r="Z11" s="2418" t="s">
        <v>489</v>
      </c>
      <c r="AA11" s="2419"/>
      <c r="AB11" s="2419"/>
      <c r="AC11" s="2419"/>
      <c r="AD11" s="2420"/>
      <c r="AE11" s="2418" t="s">
        <v>489</v>
      </c>
      <c r="AF11" s="2419"/>
      <c r="AG11" s="2419"/>
      <c r="AH11" s="2419"/>
      <c r="AI11" s="2420"/>
      <c r="AJ11" s="2418" t="s">
        <v>489</v>
      </c>
      <c r="AK11" s="2419"/>
      <c r="AL11" s="2419"/>
      <c r="AM11" s="2419"/>
      <c r="AN11" s="2420"/>
      <c r="AO11" s="2423"/>
      <c r="AP11" s="674"/>
      <c r="AQ11" s="674"/>
      <c r="AR11" s="1776"/>
      <c r="AS11" s="1776"/>
      <c r="AT11" s="674"/>
      <c r="AU11" s="674"/>
      <c r="AV11" s="674"/>
      <c r="AW11" s="1776"/>
      <c r="AX11" s="1776"/>
      <c r="AY11" s="676"/>
      <c r="AZ11" s="676"/>
      <c r="BA11" s="676"/>
      <c r="BB11" s="36"/>
      <c r="BC11" s="36"/>
      <c r="BD11" s="676"/>
      <c r="BE11" s="676"/>
      <c r="BF11" s="676"/>
      <c r="BG11" s="36"/>
      <c r="BH11" s="36"/>
    </row>
    <row r="12" spans="1:80" ht="81" customHeight="1" x14ac:dyDescent="0.25">
      <c r="A12" s="1721" t="s">
        <v>474</v>
      </c>
      <c r="B12" s="1714">
        <v>16</v>
      </c>
      <c r="C12" s="1715"/>
      <c r="D12" s="1715"/>
      <c r="E12" s="1716"/>
      <c r="F12" s="1721" t="s">
        <v>474</v>
      </c>
      <c r="G12" s="1714">
        <v>18</v>
      </c>
      <c r="H12" s="1715"/>
      <c r="I12" s="1715"/>
      <c r="J12" s="1716"/>
      <c r="K12" s="2407" t="s">
        <v>479</v>
      </c>
      <c r="L12" s="1714">
        <v>1</v>
      </c>
      <c r="M12" s="1715"/>
      <c r="N12" s="1715"/>
      <c r="O12" s="1716"/>
      <c r="P12" s="2407" t="s">
        <v>479</v>
      </c>
      <c r="Q12" s="1714">
        <v>2</v>
      </c>
      <c r="R12" s="1715"/>
      <c r="S12" s="1715"/>
      <c r="T12" s="1716"/>
      <c r="U12" s="2407" t="s">
        <v>479</v>
      </c>
      <c r="V12" s="1714">
        <v>3</v>
      </c>
      <c r="W12" s="1715"/>
      <c r="X12" s="1715"/>
      <c r="Y12" s="1716"/>
      <c r="Z12" s="2407" t="s">
        <v>479</v>
      </c>
      <c r="AA12" s="1714">
        <v>4</v>
      </c>
      <c r="AB12" s="1715"/>
      <c r="AC12" s="1715"/>
      <c r="AD12" s="1716"/>
      <c r="AE12" s="2407" t="s">
        <v>479</v>
      </c>
      <c r="AF12" s="1714">
        <v>5</v>
      </c>
      <c r="AG12" s="1715"/>
      <c r="AH12" s="1715"/>
      <c r="AI12" s="1716"/>
      <c r="AJ12" s="2407" t="s">
        <v>479</v>
      </c>
      <c r="AK12" s="1714">
        <v>17</v>
      </c>
      <c r="AL12" s="1715"/>
      <c r="AM12" s="1715"/>
      <c r="AN12" s="1716"/>
      <c r="AO12" s="2421"/>
      <c r="AP12" s="1371"/>
      <c r="AQ12" s="1371"/>
      <c r="AR12" s="1371"/>
      <c r="AS12" s="1371"/>
      <c r="AT12" s="1370"/>
      <c r="AU12" s="1371"/>
      <c r="AV12" s="1371"/>
      <c r="AW12" s="1371"/>
      <c r="AX12" s="1371"/>
      <c r="AY12" s="677"/>
      <c r="AZ12" s="1332"/>
      <c r="BA12" s="1332"/>
      <c r="BB12" s="1332"/>
      <c r="BC12" s="1332"/>
      <c r="BD12" s="677"/>
      <c r="BE12" s="1332"/>
      <c r="BF12" s="1332"/>
      <c r="BG12" s="1332"/>
      <c r="BH12" s="1332"/>
      <c r="BM12" s="51"/>
      <c r="BN12" s="51"/>
      <c r="BO12" s="51"/>
      <c r="BP12" s="51"/>
      <c r="BQ12" s="51"/>
      <c r="BR12" s="51"/>
      <c r="BW12" s="27"/>
      <c r="BX12" s="27"/>
      <c r="BY12" s="27"/>
      <c r="BZ12" s="27"/>
      <c r="CA12" s="27"/>
      <c r="CB12" s="27"/>
    </row>
    <row r="13" spans="1:80" ht="30" customHeight="1" thickBot="1" x14ac:dyDescent="0.3">
      <c r="A13" s="1722"/>
      <c r="B13" s="241">
        <v>0.86360000000000003</v>
      </c>
      <c r="C13" s="242" t="s">
        <v>113</v>
      </c>
      <c r="D13" s="243"/>
      <c r="E13" s="244" t="s">
        <v>114</v>
      </c>
      <c r="F13" s="1722"/>
      <c r="G13" s="241">
        <v>0.81200000000000006</v>
      </c>
      <c r="H13" s="242" t="s">
        <v>113</v>
      </c>
      <c r="I13" s="243"/>
      <c r="J13" s="244" t="s">
        <v>114</v>
      </c>
      <c r="K13" s="2408"/>
      <c r="L13" s="241">
        <v>2.9209999999999998</v>
      </c>
      <c r="M13" s="242" t="s">
        <v>113</v>
      </c>
      <c r="N13" s="243"/>
      <c r="O13" s="244" t="s">
        <v>114</v>
      </c>
      <c r="P13" s="2408"/>
      <c r="Q13" s="241">
        <v>1.8280000000000001</v>
      </c>
      <c r="R13" s="242" t="s">
        <v>113</v>
      </c>
      <c r="S13" s="243"/>
      <c r="T13" s="244" t="s">
        <v>114</v>
      </c>
      <c r="U13" s="2408"/>
      <c r="V13" s="241">
        <v>1.3208</v>
      </c>
      <c r="W13" s="242" t="s">
        <v>113</v>
      </c>
      <c r="X13" s="243"/>
      <c r="Y13" s="244" t="s">
        <v>114</v>
      </c>
      <c r="Z13" s="2408"/>
      <c r="AA13" s="241">
        <v>1E-8</v>
      </c>
      <c r="AB13" s="242" t="s">
        <v>113</v>
      </c>
      <c r="AC13" s="243">
        <v>1</v>
      </c>
      <c r="AD13" s="244" t="s">
        <v>114</v>
      </c>
      <c r="AE13" s="2408"/>
      <c r="AF13" s="241">
        <v>0.254</v>
      </c>
      <c r="AG13" s="242" t="s">
        <v>113</v>
      </c>
      <c r="AH13" s="243"/>
      <c r="AI13" s="244" t="s">
        <v>114</v>
      </c>
      <c r="AJ13" s="2408"/>
      <c r="AK13" s="241">
        <v>1.0000000000000001E-9</v>
      </c>
      <c r="AL13" s="242" t="s">
        <v>113</v>
      </c>
      <c r="AM13" s="243"/>
      <c r="AN13" s="244" t="s">
        <v>114</v>
      </c>
      <c r="AO13" s="2421"/>
      <c r="AP13" s="32"/>
      <c r="AQ13" s="33"/>
      <c r="AR13" s="34"/>
      <c r="AS13" s="35"/>
      <c r="AT13" s="1370"/>
      <c r="AU13" s="32"/>
      <c r="AV13" s="33"/>
      <c r="AW13" s="34"/>
      <c r="AX13" s="35"/>
      <c r="AY13" s="677"/>
      <c r="AZ13" s="137"/>
      <c r="BA13" s="33"/>
      <c r="BB13" s="138"/>
      <c r="BC13" s="35"/>
      <c r="BD13" s="677"/>
      <c r="BE13" s="137"/>
      <c r="BF13" s="33"/>
      <c r="BG13" s="138"/>
      <c r="BH13" s="35"/>
      <c r="BM13" s="51"/>
      <c r="BN13" s="51"/>
      <c r="BO13" s="51"/>
      <c r="BP13" s="51"/>
      <c r="BQ13" s="51"/>
      <c r="BR13" s="51"/>
      <c r="BW13" s="27"/>
      <c r="BX13" s="27"/>
      <c r="BY13" s="27"/>
      <c r="BZ13" s="27"/>
      <c r="CA13" s="27"/>
      <c r="CB13" s="27"/>
    </row>
    <row r="14" spans="1:80" ht="39.950000000000003" hidden="1" customHeight="1" thickTop="1" x14ac:dyDescent="0.25">
      <c r="A14" s="1695" t="s">
        <v>250</v>
      </c>
      <c r="B14" s="1696"/>
      <c r="C14" s="1696"/>
      <c r="D14" s="1697">
        <f>B19/((42*3.1415/59)*(30/3.281))</f>
        <v>0</v>
      </c>
      <c r="E14" s="1698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Z14" s="44"/>
      <c r="AA14" s="44"/>
      <c r="AB14" s="44"/>
      <c r="AC14" s="44"/>
      <c r="AD14" s="44"/>
      <c r="AE14" s="44"/>
      <c r="AF14" s="44"/>
      <c r="AG14" s="44"/>
      <c r="AH14" s="69"/>
      <c r="AI14" s="69"/>
      <c r="AJ14" s="44"/>
      <c r="AK14" s="44"/>
      <c r="AL14" s="44"/>
      <c r="AM14" s="69"/>
      <c r="AN14" s="69"/>
      <c r="AO14" s="674"/>
      <c r="AP14" s="674"/>
      <c r="AQ14" s="674"/>
      <c r="AR14" s="1300"/>
      <c r="AS14" s="1300"/>
      <c r="AT14" s="1389"/>
      <c r="AU14" s="1389"/>
      <c r="AV14" s="1389"/>
      <c r="AW14" s="1390"/>
      <c r="AX14" s="1390"/>
      <c r="AY14" s="674"/>
      <c r="AZ14" s="674"/>
      <c r="BA14" s="674"/>
      <c r="BB14" s="1300"/>
      <c r="BC14" s="1300"/>
      <c r="BD14" s="674"/>
      <c r="BE14" s="674"/>
      <c r="BF14" s="674"/>
      <c r="BG14" s="1300"/>
      <c r="BH14" s="1300"/>
      <c r="BM14" s="51"/>
      <c r="BN14" s="51"/>
      <c r="BO14" s="51"/>
      <c r="BP14" s="51"/>
      <c r="BQ14" s="51"/>
      <c r="BR14" s="51"/>
      <c r="BW14" s="27"/>
      <c r="BX14" s="27"/>
      <c r="BY14" s="27"/>
      <c r="BZ14" s="27"/>
      <c r="CA14" s="27"/>
      <c r="CB14" s="27"/>
    </row>
    <row r="15" spans="1:80" ht="9.9499999999999993" hidden="1" customHeight="1" x14ac:dyDescent="0.25">
      <c r="A15" s="1379" t="s">
        <v>252</v>
      </c>
      <c r="B15" s="1380"/>
      <c r="C15" s="1380"/>
      <c r="D15" s="1380"/>
      <c r="E15" s="1381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Z15" s="47"/>
      <c r="AA15" s="47"/>
      <c r="AB15" s="47"/>
      <c r="AC15" s="47"/>
      <c r="AD15" s="47"/>
      <c r="AE15" s="47"/>
      <c r="AF15" s="47"/>
      <c r="AG15" s="47"/>
      <c r="AH15" s="36"/>
      <c r="AI15" s="36"/>
      <c r="AJ15" s="47"/>
      <c r="AK15" s="47"/>
      <c r="AL15" s="47"/>
      <c r="AM15" s="36"/>
      <c r="AN15" s="36"/>
      <c r="AO15" s="676"/>
      <c r="AP15" s="676"/>
      <c r="AQ15" s="676"/>
      <c r="AR15" s="36"/>
      <c r="AS15" s="36"/>
      <c r="AT15" s="1388"/>
      <c r="AU15" s="1388"/>
      <c r="AV15" s="1388"/>
      <c r="AW15" s="139"/>
      <c r="AX15" s="139"/>
      <c r="AY15" s="676"/>
      <c r="AZ15" s="676"/>
      <c r="BA15" s="676"/>
      <c r="BB15" s="36"/>
      <c r="BC15" s="36"/>
      <c r="BD15" s="676"/>
      <c r="BE15" s="676"/>
      <c r="BF15" s="676"/>
      <c r="BG15" s="36"/>
      <c r="BH15" s="36"/>
    </row>
    <row r="16" spans="1:80" ht="24.95" hidden="1" customHeight="1" x14ac:dyDescent="0.25">
      <c r="A16" s="1382"/>
      <c r="B16" s="1383"/>
      <c r="C16" s="1383"/>
      <c r="D16" s="1383"/>
      <c r="E16" s="1384"/>
      <c r="F16" s="47"/>
      <c r="G16" s="47"/>
      <c r="H16" s="47"/>
      <c r="I16" s="47"/>
      <c r="J16" s="47"/>
      <c r="K16" s="47"/>
      <c r="L16" s="47"/>
      <c r="M16" s="285"/>
      <c r="N16" s="285"/>
      <c r="O16" s="285"/>
      <c r="P16" s="285"/>
      <c r="Q16" s="285"/>
      <c r="R16" s="47"/>
      <c r="S16" s="47"/>
      <c r="T16" s="47"/>
      <c r="Z16" s="47"/>
      <c r="AA16" s="47"/>
      <c r="AB16" s="47"/>
      <c r="AC16" s="47"/>
      <c r="AD16" s="47"/>
      <c r="AE16" s="47"/>
      <c r="AF16" s="47"/>
      <c r="AG16" s="47"/>
      <c r="AH16" s="140"/>
      <c r="AI16" s="36"/>
      <c r="AJ16" s="47"/>
      <c r="AK16" s="47"/>
      <c r="AL16" s="47"/>
      <c r="AM16" s="140"/>
      <c r="AN16" s="36"/>
      <c r="AO16" s="676"/>
      <c r="AP16" s="676"/>
      <c r="AQ16" s="676"/>
      <c r="AR16" s="140"/>
      <c r="AS16" s="36"/>
      <c r="AT16" s="1388"/>
      <c r="AU16" s="1388"/>
      <c r="AV16" s="1388"/>
      <c r="AW16" s="141"/>
      <c r="AX16" s="139"/>
      <c r="AY16" s="676"/>
      <c r="AZ16" s="676"/>
      <c r="BA16" s="676"/>
      <c r="BB16" s="36"/>
      <c r="BC16" s="36"/>
      <c r="BD16" s="676"/>
      <c r="BE16" s="676"/>
      <c r="BF16" s="676"/>
      <c r="BG16" s="36"/>
      <c r="BH16" s="36"/>
    </row>
    <row r="17" spans="1:80" ht="9.9499999999999993" hidden="1" customHeight="1" x14ac:dyDescent="0.25">
      <c r="A17" s="1385"/>
      <c r="B17" s="1386"/>
      <c r="C17" s="1386"/>
      <c r="D17" s="1386"/>
      <c r="E17" s="138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Z17" s="47"/>
      <c r="AA17" s="47"/>
      <c r="AB17" s="47"/>
      <c r="AC17" s="47"/>
      <c r="AD17" s="47"/>
      <c r="AE17" s="47"/>
      <c r="AF17" s="47"/>
      <c r="AG17" s="47"/>
      <c r="AH17" s="36"/>
      <c r="AI17" s="36"/>
      <c r="AJ17" s="47"/>
      <c r="AK17" s="47"/>
      <c r="AL17" s="47"/>
      <c r="AM17" s="36"/>
      <c r="AN17" s="36"/>
      <c r="AO17" s="676"/>
      <c r="AP17" s="676"/>
      <c r="AQ17" s="676"/>
      <c r="AR17" s="36"/>
      <c r="AS17" s="36"/>
      <c r="AT17" s="1388"/>
      <c r="AU17" s="1388"/>
      <c r="AV17" s="1388"/>
      <c r="AW17" s="139"/>
      <c r="AX17" s="139"/>
      <c r="AY17" s="676"/>
      <c r="AZ17" s="676"/>
      <c r="BA17" s="676"/>
      <c r="BB17" s="36"/>
      <c r="BC17" s="36"/>
      <c r="BD17" s="676"/>
      <c r="BE17" s="676"/>
      <c r="BF17" s="676"/>
      <c r="BG17" s="36"/>
      <c r="BH17" s="36"/>
    </row>
    <row r="18" spans="1:80" ht="72" hidden="1" customHeight="1" x14ac:dyDescent="0.25">
      <c r="A18" s="1374" t="s">
        <v>253</v>
      </c>
      <c r="B18" s="1376"/>
      <c r="C18" s="1377"/>
      <c r="D18" s="1377"/>
      <c r="E18" s="1378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3"/>
      <c r="AU18" s="143"/>
      <c r="AV18" s="143"/>
      <c r="AW18" s="143"/>
      <c r="AX18" s="143"/>
      <c r="AY18" s="677"/>
      <c r="AZ18" s="1332"/>
      <c r="BA18" s="1332"/>
      <c r="BB18" s="1332"/>
      <c r="BC18" s="1332"/>
      <c r="BD18" s="677"/>
      <c r="BE18" s="1332" t="s">
        <v>16</v>
      </c>
      <c r="BF18" s="1332"/>
      <c r="BG18" s="1332"/>
      <c r="BH18" s="1332"/>
      <c r="BM18" s="51"/>
      <c r="BN18" s="51"/>
      <c r="BO18" s="51"/>
      <c r="BP18" s="51"/>
      <c r="BQ18" s="51"/>
      <c r="BR18" s="51"/>
      <c r="BW18" s="27"/>
      <c r="BX18" s="27"/>
      <c r="BY18" s="27"/>
      <c r="BZ18" s="27"/>
      <c r="CA18" s="27"/>
      <c r="CB18" s="27"/>
    </row>
    <row r="19" spans="1:80" ht="35.1" hidden="1" customHeight="1" thickBot="1" x14ac:dyDescent="0.3">
      <c r="A19" s="1375"/>
      <c r="B19" s="144"/>
      <c r="C19" s="145" t="s">
        <v>113</v>
      </c>
      <c r="D19" s="146"/>
      <c r="E19" s="147" t="s">
        <v>114</v>
      </c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148"/>
      <c r="AU19" s="148"/>
      <c r="AV19" s="148"/>
      <c r="AW19" s="148"/>
      <c r="AX19" s="148"/>
      <c r="AY19" s="677"/>
      <c r="AZ19" s="137"/>
      <c r="BA19" s="33"/>
      <c r="BB19" s="138"/>
      <c r="BC19" s="35"/>
      <c r="BD19" s="677"/>
      <c r="BE19" s="137"/>
      <c r="BF19" s="33"/>
      <c r="BG19" s="138"/>
      <c r="BH19" s="35"/>
      <c r="BM19" s="51"/>
      <c r="BN19" s="51"/>
      <c r="BO19" s="51"/>
      <c r="BP19" s="51"/>
      <c r="BQ19" s="51"/>
      <c r="BR19" s="51"/>
      <c r="BW19" s="27"/>
      <c r="BX19" s="27"/>
      <c r="BY19" s="27"/>
      <c r="BZ19" s="27"/>
      <c r="CA19" s="27"/>
      <c r="CB19" s="27"/>
    </row>
    <row r="20" spans="1:80" ht="26.25" hidden="1" customHeight="1" x14ac:dyDescent="0.25">
      <c r="A20" s="1396"/>
      <c r="B20" s="1396"/>
      <c r="C20" s="1396"/>
      <c r="D20" s="1397"/>
      <c r="E20" s="1397"/>
      <c r="F20" s="674"/>
      <c r="G20" s="674"/>
      <c r="H20" s="674"/>
      <c r="I20" s="1300"/>
      <c r="J20" s="1300"/>
      <c r="K20" s="44"/>
      <c r="L20" s="44"/>
      <c r="M20" s="44"/>
      <c r="N20" s="69"/>
      <c r="O20" s="69"/>
      <c r="P20" s="44"/>
      <c r="Q20" s="44"/>
      <c r="R20" s="44"/>
      <c r="S20" s="69"/>
      <c r="T20" s="69"/>
      <c r="U20" s="44"/>
      <c r="V20" s="44"/>
      <c r="W20" s="44"/>
      <c r="X20" s="69"/>
      <c r="Y20" s="69"/>
      <c r="Z20" s="44"/>
      <c r="AA20" s="44"/>
      <c r="AB20" s="44"/>
      <c r="AC20" s="69"/>
      <c r="AD20" s="69"/>
      <c r="AE20" s="44"/>
      <c r="AF20" s="44"/>
      <c r="AG20" s="44"/>
      <c r="AH20" s="69"/>
      <c r="AI20" s="69"/>
      <c r="AJ20" s="44"/>
      <c r="AK20" s="44"/>
      <c r="AL20" s="44"/>
      <c r="AM20" s="69"/>
      <c r="AN20" s="69"/>
      <c r="AO20" s="674"/>
      <c r="AP20" s="674"/>
      <c r="AQ20" s="674"/>
      <c r="AR20" s="1300"/>
      <c r="AS20" s="1300"/>
      <c r="AT20" s="1389"/>
      <c r="AU20" s="1389"/>
      <c r="AV20" s="1389"/>
      <c r="AW20" s="1390"/>
      <c r="AX20" s="1390"/>
      <c r="AY20" s="674"/>
      <c r="AZ20" s="674"/>
      <c r="BA20" s="674"/>
      <c r="BB20" s="1300"/>
      <c r="BC20" s="1300"/>
      <c r="BD20" s="674"/>
      <c r="BE20" s="674"/>
      <c r="BF20" s="674"/>
      <c r="BG20" s="1300"/>
      <c r="BH20" s="1300"/>
      <c r="BM20" s="51"/>
      <c r="BN20" s="51"/>
      <c r="BO20" s="51"/>
      <c r="BP20" s="51"/>
      <c r="BQ20" s="51"/>
      <c r="BR20" s="51"/>
      <c r="BW20" s="27"/>
      <c r="BX20" s="27"/>
      <c r="BY20" s="27"/>
      <c r="BZ20" s="27"/>
      <c r="CA20" s="27"/>
      <c r="CB20" s="27"/>
    </row>
    <row r="21" spans="1:80" ht="18.75" hidden="1" customHeight="1" x14ac:dyDescent="0.25">
      <c r="A21" s="1395"/>
      <c r="B21" s="1395"/>
      <c r="C21" s="1395"/>
      <c r="D21" s="149"/>
      <c r="E21" s="149"/>
      <c r="F21" s="676"/>
      <c r="G21" s="676"/>
      <c r="H21" s="676"/>
      <c r="I21" s="36"/>
      <c r="J21" s="36"/>
      <c r="K21" s="47"/>
      <c r="L21" s="47"/>
      <c r="M21" s="47"/>
      <c r="N21" s="36"/>
      <c r="O21" s="36"/>
      <c r="P21" s="47"/>
      <c r="Q21" s="47"/>
      <c r="R21" s="47"/>
      <c r="S21" s="36"/>
      <c r="T21" s="36"/>
      <c r="U21" s="47"/>
      <c r="V21" s="47"/>
      <c r="W21" s="47"/>
      <c r="X21" s="36"/>
      <c r="Y21" s="36"/>
      <c r="Z21" s="47"/>
      <c r="AA21" s="47"/>
      <c r="AB21" s="47"/>
      <c r="AC21" s="36"/>
      <c r="AD21" s="36"/>
      <c r="AE21" s="47"/>
      <c r="AF21" s="47"/>
      <c r="AG21" s="47"/>
      <c r="AH21" s="36"/>
      <c r="AI21" s="36"/>
      <c r="AJ21" s="47"/>
      <c r="AK21" s="47"/>
      <c r="AL21" s="47"/>
      <c r="AM21" s="36"/>
      <c r="AN21" s="36"/>
      <c r="AO21" s="676"/>
      <c r="AP21" s="676"/>
      <c r="AQ21" s="676"/>
      <c r="AR21" s="36"/>
      <c r="AS21" s="36"/>
      <c r="AT21" s="1388"/>
      <c r="AU21" s="1388"/>
      <c r="AV21" s="1388"/>
      <c r="AW21" s="139"/>
      <c r="AX21" s="139"/>
      <c r="AY21" s="676"/>
      <c r="AZ21" s="676"/>
      <c r="BA21" s="676"/>
      <c r="BB21" s="36"/>
      <c r="BC21" s="36"/>
      <c r="BD21" s="676"/>
      <c r="BE21" s="676"/>
      <c r="BF21" s="676"/>
      <c r="BG21" s="36"/>
      <c r="BH21" s="36"/>
    </row>
    <row r="22" spans="1:80" ht="36" hidden="1" customHeight="1" x14ac:dyDescent="0.25">
      <c r="A22" s="1395"/>
      <c r="B22" s="1395"/>
      <c r="C22" s="1395"/>
      <c r="D22" s="150"/>
      <c r="E22" s="149"/>
      <c r="F22" s="676"/>
      <c r="G22" s="676"/>
      <c r="H22" s="676"/>
      <c r="I22" s="140"/>
      <c r="J22" s="36"/>
      <c r="K22" s="47"/>
      <c r="L22" s="47"/>
      <c r="M22" s="47"/>
      <c r="N22" s="140"/>
      <c r="O22" s="36"/>
      <c r="P22" s="47"/>
      <c r="Q22" s="47"/>
      <c r="R22" s="47"/>
      <c r="S22" s="140"/>
      <c r="T22" s="36"/>
      <c r="U22" s="47"/>
      <c r="V22" s="47"/>
      <c r="W22" s="47"/>
      <c r="X22" s="140"/>
      <c r="Y22" s="36"/>
      <c r="Z22" s="47"/>
      <c r="AA22" s="47"/>
      <c r="AB22" s="47"/>
      <c r="AC22" s="140"/>
      <c r="AD22" s="36"/>
      <c r="AE22" s="47"/>
      <c r="AF22" s="47"/>
      <c r="AG22" s="47"/>
      <c r="AH22" s="140"/>
      <c r="AI22" s="36"/>
      <c r="AJ22" s="47"/>
      <c r="AK22" s="47"/>
      <c r="AL22" s="47"/>
      <c r="AM22" s="140"/>
      <c r="AN22" s="36"/>
      <c r="AO22" s="676"/>
      <c r="AP22" s="676"/>
      <c r="AQ22" s="676"/>
      <c r="AR22" s="140"/>
      <c r="AS22" s="36"/>
      <c r="AT22" s="1388"/>
      <c r="AU22" s="1388"/>
      <c r="AV22" s="1388"/>
      <c r="AW22" s="141"/>
      <c r="AX22" s="139"/>
      <c r="AY22" s="676"/>
      <c r="AZ22" s="676"/>
      <c r="BA22" s="676"/>
      <c r="BB22" s="36"/>
      <c r="BC22" s="36"/>
      <c r="BD22" s="676"/>
      <c r="BE22" s="676"/>
      <c r="BF22" s="676"/>
      <c r="BG22" s="36"/>
      <c r="BH22" s="36"/>
    </row>
    <row r="23" spans="1:80" ht="18.75" hidden="1" customHeight="1" x14ac:dyDescent="0.25">
      <c r="A23" s="1395"/>
      <c r="B23" s="1395"/>
      <c r="C23" s="1395"/>
      <c r="D23" s="149"/>
      <c r="E23" s="149"/>
      <c r="F23" s="676"/>
      <c r="G23" s="676"/>
      <c r="H23" s="676"/>
      <c r="I23" s="36"/>
      <c r="J23" s="36"/>
      <c r="K23" s="47"/>
      <c r="L23" s="47"/>
      <c r="M23" s="47"/>
      <c r="N23" s="36"/>
      <c r="O23" s="36"/>
      <c r="P23" s="47"/>
      <c r="Q23" s="47"/>
      <c r="R23" s="47"/>
      <c r="S23" s="36"/>
      <c r="T23" s="36"/>
      <c r="U23" s="47"/>
      <c r="V23" s="47"/>
      <c r="W23" s="47"/>
      <c r="X23" s="36"/>
      <c r="Y23" s="36"/>
      <c r="Z23" s="47"/>
      <c r="AA23" s="47"/>
      <c r="AB23" s="47"/>
      <c r="AC23" s="36"/>
      <c r="AD23" s="36"/>
      <c r="AE23" s="47"/>
      <c r="AF23" s="47"/>
      <c r="AG23" s="47"/>
      <c r="AH23" s="36"/>
      <c r="AI23" s="36"/>
      <c r="AJ23" s="47"/>
      <c r="AK23" s="47"/>
      <c r="AL23" s="47"/>
      <c r="AM23" s="36"/>
      <c r="AN23" s="36"/>
      <c r="AO23" s="676"/>
      <c r="AP23" s="676"/>
      <c r="AQ23" s="676"/>
      <c r="AR23" s="36"/>
      <c r="AS23" s="36"/>
      <c r="AT23" s="1388"/>
      <c r="AU23" s="1388"/>
      <c r="AV23" s="1388"/>
      <c r="AW23" s="139"/>
      <c r="AX23" s="139"/>
      <c r="AY23" s="676"/>
      <c r="AZ23" s="676"/>
      <c r="BA23" s="676"/>
      <c r="BB23" s="36"/>
      <c r="BC23" s="36"/>
      <c r="BD23" s="676"/>
      <c r="BE23" s="676"/>
      <c r="BF23" s="676"/>
      <c r="BG23" s="36"/>
      <c r="BH23" s="36"/>
    </row>
    <row r="24" spans="1:80" ht="77.25" hidden="1" customHeight="1" x14ac:dyDescent="0.25">
      <c r="A24" s="1398"/>
      <c r="B24" s="1399"/>
      <c r="C24" s="1399"/>
      <c r="D24" s="1399"/>
      <c r="E24" s="1399"/>
      <c r="F24" s="1370"/>
      <c r="G24" s="1371"/>
      <c r="H24" s="1371"/>
      <c r="I24" s="1371"/>
      <c r="J24" s="1371"/>
      <c r="K24" s="230"/>
      <c r="L24" s="142"/>
      <c r="M24" s="142"/>
      <c r="N24" s="142"/>
      <c r="O24" s="142"/>
      <c r="P24" s="230"/>
      <c r="Q24" s="142"/>
      <c r="R24" s="142"/>
      <c r="S24" s="142"/>
      <c r="T24" s="142"/>
      <c r="U24" s="230"/>
      <c r="V24" s="142"/>
      <c r="W24" s="142"/>
      <c r="X24" s="142"/>
      <c r="Y24" s="142"/>
      <c r="Z24" s="230"/>
      <c r="AA24" s="142"/>
      <c r="AB24" s="142"/>
      <c r="AC24" s="142"/>
      <c r="AD24" s="142"/>
      <c r="AE24" s="230"/>
      <c r="AF24" s="142"/>
      <c r="AG24" s="142"/>
      <c r="AH24" s="142"/>
      <c r="AI24" s="142"/>
      <c r="AJ24" s="230"/>
      <c r="AK24" s="142"/>
      <c r="AL24" s="142"/>
      <c r="AM24" s="142"/>
      <c r="AN24" s="142"/>
      <c r="AO24" s="1370"/>
      <c r="AP24" s="1371"/>
      <c r="AQ24" s="1371"/>
      <c r="AR24" s="1371"/>
      <c r="AS24" s="1371"/>
      <c r="AT24" s="1439"/>
      <c r="AU24" s="1440"/>
      <c r="AV24" s="1440"/>
      <c r="AW24" s="1440"/>
      <c r="AX24" s="1440"/>
      <c r="AY24" s="677"/>
      <c r="AZ24" s="1332"/>
      <c r="BA24" s="1332"/>
      <c r="BB24" s="1332"/>
      <c r="BC24" s="1332"/>
      <c r="BD24" s="677"/>
      <c r="BE24" s="1332"/>
      <c r="BF24" s="1332"/>
      <c r="BG24" s="1332"/>
      <c r="BH24" s="1332"/>
      <c r="BM24" s="51"/>
      <c r="BN24" s="51"/>
      <c r="BO24" s="51"/>
      <c r="BP24" s="51"/>
      <c r="BQ24" s="51"/>
      <c r="BR24" s="51"/>
      <c r="BW24" s="27"/>
      <c r="BX24" s="27"/>
      <c r="BY24" s="27"/>
      <c r="BZ24" s="27"/>
      <c r="CA24" s="27"/>
      <c r="CB24" s="27"/>
    </row>
    <row r="25" spans="1:80" ht="26.25" hidden="1" customHeight="1" x14ac:dyDescent="0.25">
      <c r="A25" s="1398"/>
      <c r="B25" s="151"/>
      <c r="C25" s="152"/>
      <c r="D25" s="153"/>
      <c r="E25" s="154"/>
      <c r="F25" s="1370"/>
      <c r="G25" s="32"/>
      <c r="H25" s="33"/>
      <c r="I25" s="34"/>
      <c r="J25" s="35"/>
      <c r="K25" s="230"/>
      <c r="L25" s="32"/>
      <c r="M25" s="33"/>
      <c r="N25" s="34"/>
      <c r="O25" s="35"/>
      <c r="P25" s="230"/>
      <c r="Q25" s="32"/>
      <c r="R25" s="33"/>
      <c r="S25" s="34"/>
      <c r="T25" s="35"/>
      <c r="U25" s="230"/>
      <c r="V25" s="32"/>
      <c r="W25" s="33"/>
      <c r="X25" s="34"/>
      <c r="Y25" s="35"/>
      <c r="Z25" s="230"/>
      <c r="AA25" s="32"/>
      <c r="AB25" s="33"/>
      <c r="AC25" s="34"/>
      <c r="AD25" s="35"/>
      <c r="AE25" s="230"/>
      <c r="AF25" s="32"/>
      <c r="AG25" s="33"/>
      <c r="AH25" s="34"/>
      <c r="AI25" s="35"/>
      <c r="AJ25" s="230"/>
      <c r="AK25" s="32"/>
      <c r="AL25" s="33"/>
      <c r="AM25" s="34"/>
      <c r="AN25" s="35"/>
      <c r="AO25" s="1370"/>
      <c r="AP25" s="32"/>
      <c r="AQ25" s="33"/>
      <c r="AR25" s="34"/>
      <c r="AS25" s="35"/>
      <c r="AT25" s="1439"/>
      <c r="AU25" s="155"/>
      <c r="AV25" s="148"/>
      <c r="AW25" s="156"/>
      <c r="AX25" s="157"/>
      <c r="AY25" s="677"/>
      <c r="AZ25" s="137"/>
      <c r="BA25" s="33"/>
      <c r="BB25" s="138"/>
      <c r="BC25" s="35"/>
      <c r="BD25" s="677"/>
      <c r="BE25" s="137"/>
      <c r="BF25" s="33"/>
      <c r="BG25" s="138"/>
      <c r="BH25" s="35"/>
      <c r="BM25" s="51"/>
      <c r="BN25" s="51"/>
      <c r="BO25" s="51"/>
      <c r="BP25" s="51"/>
      <c r="BQ25" s="51"/>
      <c r="BR25" s="51"/>
      <c r="BW25" s="27"/>
      <c r="BX25" s="27"/>
      <c r="BY25" s="27"/>
      <c r="BZ25" s="27"/>
      <c r="CA25" s="27"/>
      <c r="CB25" s="27"/>
    </row>
    <row r="26" spans="1:80" ht="26.25" hidden="1" customHeight="1" x14ac:dyDescent="0.25">
      <c r="A26" s="1396"/>
      <c r="B26" s="1396"/>
      <c r="C26" s="1396"/>
      <c r="D26" s="1397"/>
      <c r="E26" s="1397"/>
      <c r="F26" s="674"/>
      <c r="G26" s="674"/>
      <c r="H26" s="674"/>
      <c r="I26" s="1300"/>
      <c r="J26" s="1300"/>
      <c r="K26" s="44"/>
      <c r="L26" s="44"/>
      <c r="M26" s="44"/>
      <c r="N26" s="69"/>
      <c r="O26" s="69"/>
      <c r="P26" s="44"/>
      <c r="Q26" s="44"/>
      <c r="R26" s="44"/>
      <c r="S26" s="69"/>
      <c r="T26" s="69"/>
      <c r="U26" s="44"/>
      <c r="V26" s="44"/>
      <c r="W26" s="44"/>
      <c r="X26" s="69"/>
      <c r="Y26" s="69"/>
      <c r="Z26" s="44"/>
      <c r="AA26" s="44"/>
      <c r="AB26" s="44"/>
      <c r="AC26" s="69"/>
      <c r="AD26" s="69"/>
      <c r="AE26" s="44"/>
      <c r="AF26" s="44"/>
      <c r="AG26" s="44"/>
      <c r="AH26" s="69"/>
      <c r="AI26" s="69"/>
      <c r="AJ26" s="44"/>
      <c r="AK26" s="44"/>
      <c r="AP26" s="44"/>
      <c r="AQ26" s="44"/>
      <c r="AT26" s="1389"/>
      <c r="AU26" s="1389"/>
      <c r="AV26" s="1389"/>
      <c r="AW26" s="1390"/>
      <c r="AX26" s="1390"/>
      <c r="AY26" s="674"/>
      <c r="AZ26" s="674"/>
      <c r="BA26" s="674"/>
      <c r="BB26" s="1300"/>
      <c r="BC26" s="1300"/>
      <c r="BD26" s="674"/>
      <c r="BE26" s="674"/>
      <c r="BF26" s="674"/>
      <c r="BG26" s="1300"/>
      <c r="BH26" s="1300"/>
      <c r="BM26" s="51"/>
      <c r="BN26" s="51"/>
      <c r="BO26" s="51"/>
      <c r="BP26" s="51"/>
      <c r="BQ26" s="51"/>
      <c r="BR26" s="51"/>
      <c r="BW26" s="27"/>
      <c r="BX26" s="27"/>
      <c r="BY26" s="27"/>
      <c r="BZ26" s="27"/>
      <c r="CA26" s="27"/>
      <c r="CB26" s="27"/>
    </row>
    <row r="27" spans="1:80" ht="21" hidden="1" customHeight="1" x14ac:dyDescent="0.25">
      <c r="A27" s="1395"/>
      <c r="B27" s="1395"/>
      <c r="C27" s="1395"/>
      <c r="D27" s="149"/>
      <c r="E27" s="149"/>
      <c r="F27" s="676"/>
      <c r="G27" s="676"/>
      <c r="H27" s="676"/>
      <c r="I27" s="36"/>
      <c r="J27" s="36"/>
      <c r="K27" s="47"/>
      <c r="L27" s="47"/>
      <c r="M27" s="47"/>
      <c r="N27" s="36"/>
      <c r="O27" s="36"/>
      <c r="P27" s="47"/>
      <c r="Q27" s="47"/>
      <c r="R27" s="47"/>
      <c r="S27" s="36"/>
      <c r="T27" s="36"/>
      <c r="U27" s="47"/>
      <c r="V27" s="47"/>
      <c r="W27" s="47"/>
      <c r="X27" s="36"/>
      <c r="Y27" s="36"/>
      <c r="Z27" s="47"/>
      <c r="AA27" s="47"/>
      <c r="AB27" s="47"/>
      <c r="AC27" s="36"/>
      <c r="AD27" s="36"/>
      <c r="AE27" s="47"/>
      <c r="AF27" s="47"/>
      <c r="AG27" s="47"/>
      <c r="AH27" s="36"/>
      <c r="AI27" s="36"/>
      <c r="AJ27" s="47"/>
      <c r="AK27" s="47"/>
      <c r="AP27" s="47"/>
      <c r="AQ27" s="47"/>
      <c r="AT27" s="1388"/>
      <c r="AU27" s="1388"/>
      <c r="AV27" s="1388"/>
      <c r="AW27" s="139"/>
      <c r="AX27" s="139"/>
      <c r="AY27" s="676"/>
      <c r="AZ27" s="676"/>
      <c r="BA27" s="676"/>
      <c r="BB27" s="36"/>
      <c r="BC27" s="36"/>
      <c r="BD27" s="676"/>
      <c r="BE27" s="676"/>
      <c r="BF27" s="676"/>
      <c r="BG27" s="36"/>
      <c r="BH27" s="36"/>
    </row>
    <row r="28" spans="1:80" ht="36" hidden="1" customHeight="1" x14ac:dyDescent="0.25">
      <c r="A28" s="1395"/>
      <c r="B28" s="1395"/>
      <c r="C28" s="1395"/>
      <c r="D28" s="150"/>
      <c r="E28" s="149"/>
      <c r="F28" s="676"/>
      <c r="G28" s="676"/>
      <c r="H28" s="676"/>
      <c r="I28" s="140"/>
      <c r="J28" s="36"/>
      <c r="K28" s="47"/>
      <c r="L28" s="47"/>
      <c r="M28" s="47"/>
      <c r="N28" s="140"/>
      <c r="O28" s="36"/>
      <c r="P28" s="47"/>
      <c r="Q28" s="47"/>
      <c r="R28" s="47"/>
      <c r="S28" s="140"/>
      <c r="T28" s="36"/>
      <c r="U28" s="47"/>
      <c r="V28" s="47"/>
      <c r="W28" s="47"/>
      <c r="X28" s="140"/>
      <c r="Y28" s="36"/>
      <c r="Z28" s="47"/>
      <c r="AA28" s="47"/>
      <c r="AB28" s="47"/>
      <c r="AC28" s="140"/>
      <c r="AD28" s="36"/>
      <c r="AE28" s="47"/>
      <c r="AF28" s="47"/>
      <c r="AG28" s="47"/>
      <c r="AH28" s="36"/>
      <c r="AI28" s="36"/>
      <c r="AJ28" s="47"/>
      <c r="AK28" s="47"/>
      <c r="AP28" s="47"/>
      <c r="AQ28" s="47"/>
      <c r="AT28" s="1388"/>
      <c r="AU28" s="1388"/>
      <c r="AV28" s="1388"/>
      <c r="AW28" s="139"/>
      <c r="AX28" s="139"/>
      <c r="AY28" s="676"/>
      <c r="AZ28" s="676"/>
      <c r="BA28" s="676"/>
      <c r="BB28" s="36"/>
      <c r="BC28" s="36"/>
      <c r="BD28" s="676"/>
      <c r="BE28" s="676"/>
      <c r="BF28" s="676"/>
      <c r="BG28" s="36"/>
      <c r="BH28" s="36"/>
    </row>
    <row r="29" spans="1:80" ht="21" hidden="1" customHeight="1" x14ac:dyDescent="0.25">
      <c r="A29" s="1395"/>
      <c r="B29" s="1395"/>
      <c r="C29" s="1395"/>
      <c r="D29" s="149"/>
      <c r="E29" s="149"/>
      <c r="F29" s="676"/>
      <c r="G29" s="676"/>
      <c r="H29" s="676"/>
      <c r="I29" s="36"/>
      <c r="J29" s="36"/>
      <c r="K29" s="47"/>
      <c r="L29" s="47"/>
      <c r="M29" s="47"/>
      <c r="N29" s="36"/>
      <c r="O29" s="36"/>
      <c r="P29" s="47"/>
      <c r="Q29" s="47"/>
      <c r="R29" s="47"/>
      <c r="S29" s="36"/>
      <c r="T29" s="36"/>
      <c r="U29" s="47"/>
      <c r="V29" s="47"/>
      <c r="W29" s="47"/>
      <c r="X29" s="36"/>
      <c r="Y29" s="36"/>
      <c r="Z29" s="47"/>
      <c r="AA29" s="47"/>
      <c r="AB29" s="47"/>
      <c r="AC29" s="36"/>
      <c r="AD29" s="36"/>
      <c r="AE29" s="47"/>
      <c r="AF29" s="47"/>
      <c r="AG29" s="47"/>
      <c r="AH29" s="36"/>
      <c r="AI29" s="36"/>
      <c r="AJ29" s="47"/>
      <c r="AK29" s="47"/>
      <c r="AP29" s="47"/>
      <c r="AQ29" s="47"/>
      <c r="AR29" s="36"/>
      <c r="AS29" s="36"/>
      <c r="AT29" s="1388"/>
      <c r="AU29" s="1388"/>
      <c r="AV29" s="1388"/>
      <c r="AW29" s="139"/>
      <c r="AX29" s="139"/>
      <c r="AY29" s="676"/>
      <c r="AZ29" s="676"/>
      <c r="BA29" s="676"/>
      <c r="BB29" s="36"/>
      <c r="BC29" s="36"/>
      <c r="BD29" s="676"/>
      <c r="BE29" s="676"/>
      <c r="BF29" s="676"/>
      <c r="BG29" s="36"/>
      <c r="BH29" s="36"/>
    </row>
    <row r="30" spans="1:80" ht="60.75" customHeight="1" thickTop="1" x14ac:dyDescent="0.25">
      <c r="A30" s="1400"/>
      <c r="B30" s="1401"/>
      <c r="C30" s="1401"/>
      <c r="D30" s="1401"/>
      <c r="E30" s="1401"/>
      <c r="F30" s="1370"/>
      <c r="G30" s="1371"/>
      <c r="H30" s="1371"/>
      <c r="I30" s="1371"/>
      <c r="J30" s="1371"/>
      <c r="K30" s="230"/>
      <c r="L30" s="142"/>
      <c r="M30" s="142"/>
      <c r="N30" s="142"/>
      <c r="O30" s="142"/>
      <c r="P30" s="230"/>
      <c r="Q30" s="142"/>
      <c r="R30" s="142"/>
      <c r="S30" s="142"/>
      <c r="T30" s="142"/>
      <c r="U30" s="230"/>
      <c r="V30" s="142"/>
      <c r="W30" s="142"/>
      <c r="X30" s="142"/>
      <c r="Y30" s="142"/>
      <c r="Z30" s="230"/>
      <c r="AA30" s="142"/>
      <c r="AB30" s="142"/>
      <c r="AC30" s="142"/>
      <c r="AD30" s="142"/>
      <c r="AE30" s="70"/>
      <c r="AF30" s="231"/>
      <c r="AG30" s="231"/>
      <c r="AH30" s="231"/>
      <c r="AI30" s="231"/>
      <c r="AJ30" s="70"/>
      <c r="AR30" s="132"/>
      <c r="AS30" s="132"/>
      <c r="AT30" s="677"/>
      <c r="AU30" s="1332"/>
      <c r="AV30" s="1332"/>
      <c r="AW30" s="1332"/>
      <c r="AX30" s="1332"/>
      <c r="AY30" s="677"/>
      <c r="AZ30" s="1332"/>
      <c r="BA30" s="1332"/>
      <c r="BB30" s="1332"/>
      <c r="BC30" s="1332"/>
      <c r="BD30" s="677" t="s">
        <v>254</v>
      </c>
      <c r="BE30" s="1332"/>
      <c r="BF30" s="1332"/>
      <c r="BG30" s="1332"/>
      <c r="BH30" s="1332"/>
      <c r="BM30" s="51"/>
      <c r="BN30" s="51"/>
      <c r="BO30" s="51"/>
      <c r="BP30" s="51"/>
      <c r="BQ30" s="51"/>
      <c r="BR30" s="51"/>
      <c r="BW30" s="27"/>
      <c r="BX30" s="27"/>
      <c r="BY30" s="27"/>
      <c r="BZ30" s="27"/>
      <c r="CA30" s="27"/>
      <c r="CB30" s="27"/>
    </row>
    <row r="31" spans="1:80" ht="54.75" customHeight="1" x14ac:dyDescent="0.25">
      <c r="A31" s="1400"/>
      <c r="B31" s="158"/>
      <c r="C31" s="159"/>
      <c r="D31" s="160"/>
      <c r="E31" s="161"/>
      <c r="F31" s="1370"/>
      <c r="G31" s="32"/>
      <c r="H31" s="33"/>
      <c r="I31" s="34"/>
      <c r="J31" s="35"/>
      <c r="K31" s="230"/>
      <c r="L31" s="32"/>
      <c r="M31" s="33"/>
      <c r="N31" s="34"/>
      <c r="O31" s="35"/>
      <c r="P31" s="230"/>
      <c r="Q31" s="32"/>
      <c r="R31" s="33"/>
      <c r="S31" s="34"/>
      <c r="T31" s="35"/>
      <c r="U31" s="230"/>
      <c r="V31" s="32"/>
      <c r="W31" s="33"/>
      <c r="X31" s="34"/>
      <c r="Y31" s="35"/>
      <c r="Z31" s="230"/>
      <c r="AA31" s="32"/>
      <c r="AB31" s="33"/>
      <c r="AC31" s="34"/>
      <c r="AD31" s="35"/>
      <c r="AE31" s="70"/>
      <c r="AF31" s="137"/>
      <c r="AG31" s="33"/>
      <c r="AH31" s="138"/>
      <c r="AI31" s="35"/>
      <c r="AJ31" s="70"/>
      <c r="AK31" s="137"/>
      <c r="AL31" s="33"/>
      <c r="AM31" s="138"/>
      <c r="AN31" s="35"/>
      <c r="AO31" s="70"/>
      <c r="AP31" s="137"/>
      <c r="AQ31" s="33"/>
      <c r="AR31" s="138"/>
      <c r="AS31" s="35"/>
      <c r="AT31" s="677"/>
      <c r="AU31" s="137"/>
      <c r="AV31" s="33"/>
      <c r="AW31" s="138"/>
      <c r="AX31" s="35"/>
      <c r="AY31" s="677"/>
      <c r="AZ31" s="137" t="s">
        <v>16</v>
      </c>
      <c r="BA31" s="33"/>
      <c r="BB31" s="138"/>
      <c r="BC31" s="35"/>
      <c r="BD31" s="677"/>
      <c r="BE31" s="137" t="s">
        <v>15</v>
      </c>
      <c r="BF31" s="33"/>
      <c r="BG31" s="138"/>
      <c r="BH31" s="35"/>
      <c r="BM31" s="51"/>
      <c r="BN31" s="51"/>
      <c r="BO31" s="51"/>
      <c r="BP31" s="51"/>
      <c r="BQ31" s="51"/>
      <c r="BR31" s="51"/>
      <c r="BW31" s="27"/>
      <c r="BX31" s="27"/>
      <c r="BY31" s="27"/>
      <c r="BZ31" s="27"/>
      <c r="CA31" s="27"/>
      <c r="CB31" s="27"/>
    </row>
    <row r="32" spans="1:80" ht="59.25" customHeight="1" x14ac:dyDescent="0.25">
      <c r="A32" s="31"/>
      <c r="B32" s="162"/>
      <c r="C32" s="162"/>
      <c r="D32" s="162"/>
      <c r="F32" s="163"/>
      <c r="G32" s="163"/>
      <c r="H32" s="1413">
        <v>18</v>
      </c>
      <c r="I32" s="1413"/>
      <c r="J32" s="1413"/>
      <c r="K32" s="164"/>
      <c r="L32" s="160"/>
      <c r="M32" s="160"/>
      <c r="N32" s="160"/>
      <c r="O32" s="160"/>
      <c r="P32" s="160"/>
      <c r="Q32" s="1414" t="s">
        <v>255</v>
      </c>
      <c r="R32" s="1414"/>
      <c r="S32" s="1414"/>
      <c r="T32" s="1414"/>
      <c r="U32" s="1414"/>
      <c r="V32" s="1414"/>
      <c r="W32" s="165"/>
      <c r="X32" s="1690" t="s">
        <v>256</v>
      </c>
      <c r="Y32" s="1690"/>
      <c r="Z32" s="1690"/>
      <c r="AA32" s="1690"/>
      <c r="AB32" s="1690"/>
      <c r="AC32" s="1691">
        <f>B7+G7+L7+Q7+V7+AA7+AF7+AK7+AP7+AU7+B13+G13+L13+Q13+V13+AA13+AF13+AK13</f>
        <v>21.28220001111</v>
      </c>
      <c r="AD32" s="1691"/>
      <c r="AE32" s="1691"/>
      <c r="AF32" s="1691"/>
      <c r="AG32" s="1691"/>
      <c r="AH32" s="1691"/>
      <c r="AI32" s="166"/>
      <c r="AJ32" s="1416" t="s">
        <v>119</v>
      </c>
      <c r="AK32" s="1416"/>
      <c r="AL32" s="1416"/>
      <c r="AM32" s="1416"/>
      <c r="AN32" s="1416"/>
      <c r="AO32" s="1417">
        <f>D7+I7+N7+S7+X7+AC7+AH7+AM7+AR7+AW7+D13+I13+N13+S13+X13+AC13+AH13+AM13</f>
        <v>4</v>
      </c>
      <c r="AP32" s="1417"/>
      <c r="AQ32" s="1417"/>
      <c r="AR32" s="1417"/>
      <c r="AS32" s="1417"/>
      <c r="AT32" s="1402" t="s">
        <v>120</v>
      </c>
      <c r="AU32" s="1402"/>
      <c r="AV32" s="1402"/>
      <c r="AW32" s="1402"/>
      <c r="AX32" s="127"/>
      <c r="AY32" s="72"/>
      <c r="AZ32" s="72"/>
      <c r="BA32" s="72"/>
      <c r="BB32" s="72"/>
      <c r="BC32" s="72"/>
      <c r="BD32" s="72"/>
      <c r="BE32" t="s">
        <v>16</v>
      </c>
      <c r="BF32" s="167"/>
      <c r="BG32" s="167"/>
      <c r="BH32" s="167"/>
      <c r="BM32" s="51"/>
      <c r="BN32" s="51"/>
      <c r="BO32" s="51"/>
      <c r="BP32" s="51"/>
      <c r="BQ32" s="51"/>
      <c r="BR32" s="51"/>
      <c r="BW32" s="27"/>
      <c r="BX32" s="27"/>
      <c r="BY32" s="27"/>
      <c r="BZ32" s="27"/>
      <c r="CA32" s="27"/>
      <c r="CB32" s="27"/>
    </row>
    <row r="33" spans="1:80" ht="19.5" customHeight="1" x14ac:dyDescent="0.25">
      <c r="B33" s="162"/>
      <c r="C33" s="162"/>
      <c r="D33" s="162"/>
      <c r="E33" s="163"/>
      <c r="F33" s="163"/>
      <c r="G33" s="163"/>
      <c r="H33" s="1413"/>
      <c r="I33" s="1413"/>
      <c r="J33" s="1413"/>
      <c r="K33" s="168"/>
      <c r="L33" s="160"/>
      <c r="M33" s="160"/>
      <c r="N33" s="160"/>
      <c r="O33" s="160"/>
      <c r="P33" s="160"/>
      <c r="Q33" s="1414"/>
      <c r="R33" s="1414"/>
      <c r="S33" s="1414"/>
      <c r="T33" s="1414"/>
      <c r="U33" s="1414"/>
      <c r="V33" s="1414"/>
      <c r="W33" s="169"/>
      <c r="X33" s="1690"/>
      <c r="Y33" s="1690"/>
      <c r="Z33" s="1690"/>
      <c r="AA33" s="1690"/>
      <c r="AB33" s="1690"/>
      <c r="AC33" s="1691"/>
      <c r="AD33" s="1691"/>
      <c r="AE33" s="1691"/>
      <c r="AF33" s="1691"/>
      <c r="AG33" s="1691"/>
      <c r="AH33" s="1691"/>
      <c r="AI33" s="166"/>
      <c r="AJ33" s="1416"/>
      <c r="AK33" s="1416"/>
      <c r="AL33" s="1416"/>
      <c r="AM33" s="1416"/>
      <c r="AN33" s="1416"/>
      <c r="AO33" s="1417"/>
      <c r="AP33" s="1417"/>
      <c r="AQ33" s="1417"/>
      <c r="AR33" s="1417"/>
      <c r="AS33" s="1417"/>
      <c r="AT33" s="1402"/>
      <c r="AU33" s="1402"/>
      <c r="AV33" s="1402"/>
      <c r="AW33" s="1402"/>
      <c r="BI33" s="50"/>
      <c r="BJ33" s="50"/>
      <c r="BM33" s="51"/>
      <c r="BN33" s="51"/>
      <c r="BO33" s="51"/>
      <c r="BP33" s="51"/>
      <c r="BQ33" s="51"/>
      <c r="BR33" s="51"/>
      <c r="BS33" s="27"/>
      <c r="BT33" s="27"/>
      <c r="BU33" s="27"/>
      <c r="BW33" s="27"/>
      <c r="BX33" s="27"/>
      <c r="BY33" s="27"/>
      <c r="BZ33" s="27"/>
      <c r="CA33" s="27"/>
      <c r="CB33" s="27"/>
    </row>
    <row r="34" spans="1:80" ht="2.25" hidden="1" customHeight="1" x14ac:dyDescent="0.25">
      <c r="B34" s="162"/>
      <c r="C34" s="162"/>
      <c r="D34" s="162"/>
      <c r="E34" s="163"/>
      <c r="F34" s="163"/>
      <c r="G34" s="163"/>
      <c r="H34" s="168"/>
      <c r="I34" s="168"/>
      <c r="J34" s="168"/>
      <c r="K34" s="168"/>
      <c r="L34" s="160"/>
      <c r="M34" s="160"/>
      <c r="N34" s="160"/>
      <c r="O34" s="160"/>
      <c r="P34" s="160"/>
      <c r="Q34" s="1414"/>
      <c r="R34" s="1414"/>
      <c r="S34" s="1414"/>
      <c r="T34" s="1414"/>
      <c r="U34" s="1414"/>
      <c r="V34" s="1414"/>
      <c r="W34" s="169"/>
      <c r="X34" s="1690"/>
      <c r="Y34" s="1690"/>
      <c r="Z34" s="1690"/>
      <c r="AA34" s="1690"/>
      <c r="AB34" s="1690"/>
      <c r="AC34" s="1691"/>
      <c r="AD34" s="1691"/>
      <c r="AE34" s="1691"/>
      <c r="AF34" s="1691"/>
      <c r="AG34" s="1691"/>
      <c r="AH34" s="1691"/>
      <c r="AI34" s="166"/>
      <c r="AJ34" s="1416"/>
      <c r="AK34" s="1416"/>
      <c r="AL34" s="1416"/>
      <c r="AM34" s="1416"/>
      <c r="AN34" s="1416"/>
      <c r="AO34" s="1403">
        <f>AO32*1.5</f>
        <v>6</v>
      </c>
      <c r="AP34" s="1403"/>
      <c r="AQ34" s="1403"/>
      <c r="AR34" s="1403"/>
      <c r="AS34" s="1403"/>
      <c r="AT34" s="1403"/>
      <c r="AU34" s="1403"/>
      <c r="AV34" s="1404" t="s">
        <v>121</v>
      </c>
      <c r="AW34" s="1404"/>
      <c r="BI34" s="50"/>
      <c r="BJ34" s="50"/>
      <c r="BM34" s="27"/>
      <c r="BN34" s="27"/>
      <c r="BO34" s="27"/>
      <c r="BP34" s="27"/>
      <c r="BQ34" s="27"/>
      <c r="BR34" s="27"/>
      <c r="BS34" s="27"/>
      <c r="BT34" s="27"/>
      <c r="BU34" s="27"/>
      <c r="BW34" s="27"/>
      <c r="BX34" s="27"/>
      <c r="BY34" s="27"/>
      <c r="BZ34" s="27"/>
      <c r="CA34" s="27"/>
      <c r="CB34" s="27"/>
    </row>
    <row r="35" spans="1:80" ht="54.75" customHeight="1" x14ac:dyDescent="0.25">
      <c r="B35" s="162"/>
      <c r="C35" s="162"/>
      <c r="D35" s="162"/>
      <c r="E35" s="163"/>
      <c r="F35" s="163"/>
      <c r="G35" s="163"/>
      <c r="H35" s="1405">
        <v>18</v>
      </c>
      <c r="I35" s="1405"/>
      <c r="J35" s="1405"/>
      <c r="K35" s="168"/>
      <c r="L35" s="160"/>
      <c r="M35" s="160"/>
      <c r="N35" s="160"/>
      <c r="O35" s="160"/>
      <c r="P35" s="160"/>
      <c r="Q35" s="1692" t="s">
        <v>13</v>
      </c>
      <c r="R35" s="1693"/>
      <c r="S35" s="1693"/>
      <c r="T35" s="1693"/>
      <c r="U35" s="1693"/>
      <c r="V35" s="1693"/>
      <c r="W35" s="169"/>
      <c r="X35" s="1690"/>
      <c r="Y35" s="1690"/>
      <c r="Z35" s="1690"/>
      <c r="AA35" s="1690"/>
      <c r="AB35" s="1690"/>
      <c r="AC35" s="1691"/>
      <c r="AD35" s="1691"/>
      <c r="AE35" s="1691"/>
      <c r="AF35" s="1691"/>
      <c r="AG35" s="1691"/>
      <c r="AH35" s="1691"/>
      <c r="AI35" s="166"/>
      <c r="AJ35" s="1416"/>
      <c r="AK35" s="1416"/>
      <c r="AL35" s="1416"/>
      <c r="AM35" s="1416"/>
      <c r="AN35" s="1416"/>
      <c r="AO35" s="1403"/>
      <c r="AP35" s="1403"/>
      <c r="AQ35" s="1403"/>
      <c r="AR35" s="1403"/>
      <c r="AS35" s="1403"/>
      <c r="AT35" s="1403"/>
      <c r="AU35" s="1403"/>
      <c r="AV35" s="1404"/>
      <c r="AW35" s="1404"/>
      <c r="BI35" s="50"/>
      <c r="BJ35" s="50"/>
      <c r="BM35" s="27"/>
      <c r="BN35" s="27"/>
      <c r="BO35" s="27"/>
      <c r="BP35" s="27"/>
      <c r="BQ35" s="27"/>
      <c r="BR35" s="27"/>
      <c r="BS35" s="27"/>
      <c r="BT35" s="27"/>
      <c r="BU35" s="27"/>
      <c r="BW35" s="27"/>
      <c r="BX35" s="27"/>
      <c r="BY35" s="27"/>
      <c r="BZ35" s="27"/>
      <c r="CA35" s="27"/>
      <c r="CB35" s="27"/>
    </row>
    <row r="36" spans="1:80" ht="93" customHeight="1" x14ac:dyDescent="0.25">
      <c r="B36" s="162"/>
      <c r="C36" s="162"/>
      <c r="D36" s="162"/>
      <c r="E36" s="162"/>
      <c r="F36" s="162"/>
      <c r="G36" s="164"/>
      <c r="H36" s="1408"/>
      <c r="I36" s="1408"/>
      <c r="J36" s="1408"/>
      <c r="K36" s="168"/>
      <c r="L36" s="160"/>
      <c r="M36" s="160"/>
      <c r="N36" s="160"/>
      <c r="O36" s="160"/>
      <c r="P36" s="160"/>
      <c r="Q36" s="1693"/>
      <c r="R36" s="1693"/>
      <c r="S36" s="1693"/>
      <c r="T36" s="1693"/>
      <c r="U36" s="1693"/>
      <c r="V36" s="1693"/>
      <c r="W36" s="169"/>
      <c r="X36" s="1690"/>
      <c r="Y36" s="1690"/>
      <c r="Z36" s="1690"/>
      <c r="AA36" s="1690"/>
      <c r="AB36" s="1690"/>
      <c r="AC36" s="1691"/>
      <c r="AD36" s="1691"/>
      <c r="AE36" s="1691"/>
      <c r="AF36" s="1691"/>
      <c r="AG36" s="1691"/>
      <c r="AH36" s="1691"/>
      <c r="AI36" s="166"/>
      <c r="AJ36" s="1416"/>
      <c r="AK36" s="1416"/>
      <c r="AL36" s="1416"/>
      <c r="AM36" s="1416"/>
      <c r="AN36" s="1416"/>
      <c r="AO36" s="1403"/>
      <c r="AP36" s="1403"/>
      <c r="AQ36" s="1403"/>
      <c r="AR36" s="1403"/>
      <c r="AS36" s="1403"/>
      <c r="AT36" s="1403"/>
      <c r="AU36" s="1403"/>
      <c r="AV36" s="1404"/>
      <c r="AW36" s="1404"/>
      <c r="BI36" s="50"/>
      <c r="BJ36" s="50"/>
      <c r="BM36" s="27"/>
      <c r="BN36" s="27"/>
      <c r="BO36" s="27"/>
      <c r="BP36" s="27"/>
      <c r="BQ36" s="27"/>
      <c r="BR36" s="27"/>
      <c r="BS36" s="27"/>
      <c r="BT36" s="27"/>
      <c r="BU36" s="27"/>
      <c r="BW36" s="27"/>
      <c r="BX36" s="27"/>
      <c r="BY36" s="27"/>
      <c r="BZ36" s="27"/>
      <c r="CA36" s="27"/>
      <c r="CB36" s="27"/>
    </row>
    <row r="37" spans="1:80" ht="15" customHeight="1" x14ac:dyDescent="0.25">
      <c r="B37" s="162"/>
      <c r="C37" s="162"/>
      <c r="D37" s="162"/>
      <c r="E37" s="162"/>
      <c r="F37" s="162"/>
      <c r="G37" s="164"/>
      <c r="H37" s="1408"/>
      <c r="I37" s="1408"/>
      <c r="J37" s="1408"/>
      <c r="K37" s="164"/>
      <c r="L37" s="165"/>
      <c r="M37" s="165"/>
      <c r="N37" s="165"/>
      <c r="O37" s="165"/>
      <c r="P37" s="165"/>
      <c r="Q37" s="1693"/>
      <c r="R37" s="1693"/>
      <c r="S37" s="1693"/>
      <c r="T37" s="1693"/>
      <c r="U37" s="1693"/>
      <c r="V37" s="1693"/>
      <c r="W37" s="165"/>
      <c r="X37" s="1409" t="s">
        <v>257</v>
      </c>
      <c r="Y37" s="1409"/>
      <c r="Z37" s="1409"/>
      <c r="AA37" s="1409"/>
      <c r="AB37" s="1409"/>
      <c r="AC37" s="2424">
        <f>AC32-AD45</f>
        <v>0</v>
      </c>
      <c r="AD37" s="2424"/>
      <c r="AE37" s="2424"/>
      <c r="AF37" s="2424"/>
      <c r="AG37" s="2424"/>
      <c r="AH37" s="2424"/>
      <c r="AI37" s="166"/>
      <c r="AJ37" s="1416"/>
      <c r="AK37" s="1416"/>
      <c r="AL37" s="1416"/>
      <c r="AM37" s="1416"/>
      <c r="AN37" s="1416"/>
      <c r="AO37" s="1403"/>
      <c r="AP37" s="1403"/>
      <c r="AQ37" s="1403"/>
      <c r="AR37" s="1403"/>
      <c r="AS37" s="1403"/>
      <c r="AT37" s="1403"/>
      <c r="AU37" s="1403"/>
      <c r="AV37" s="1404"/>
      <c r="AW37" s="1404"/>
      <c r="BI37" s="53"/>
      <c r="BJ37" s="53"/>
    </row>
    <row r="38" spans="1:80" ht="28.5" customHeight="1" x14ac:dyDescent="0.25">
      <c r="B38" s="162"/>
      <c r="C38" s="162"/>
      <c r="D38" s="162"/>
      <c r="E38" s="162"/>
      <c r="F38" s="162"/>
      <c r="G38" s="164"/>
      <c r="H38" s="1411"/>
      <c r="I38" s="1411"/>
      <c r="J38" s="1411"/>
      <c r="K38" s="168"/>
      <c r="L38" s="165"/>
      <c r="M38" s="165"/>
      <c r="N38" s="165"/>
      <c r="O38" s="165"/>
      <c r="P38" s="165"/>
      <c r="Q38" s="1693"/>
      <c r="R38" s="1693"/>
      <c r="S38" s="1693"/>
      <c r="T38" s="1693"/>
      <c r="U38" s="1693"/>
      <c r="V38" s="1693"/>
      <c r="W38" s="165"/>
      <c r="X38" s="1409"/>
      <c r="Y38" s="1409"/>
      <c r="Z38" s="1409"/>
      <c r="AA38" s="1409"/>
      <c r="AB38" s="1409"/>
      <c r="AC38" s="2424"/>
      <c r="AD38" s="2424"/>
      <c r="AE38" s="2424"/>
      <c r="AF38" s="2424"/>
      <c r="AG38" s="2424"/>
      <c r="AH38" s="2424"/>
      <c r="AI38" s="166"/>
      <c r="AJ38" s="1416"/>
      <c r="AK38" s="1416"/>
      <c r="AL38" s="1416"/>
      <c r="AM38" s="1416"/>
      <c r="AN38" s="1416"/>
      <c r="AO38" s="1403"/>
      <c r="AP38" s="1403"/>
      <c r="AQ38" s="1403"/>
      <c r="AR38" s="1403"/>
      <c r="AS38" s="1403"/>
      <c r="AT38" s="1403"/>
      <c r="AU38" s="1403"/>
      <c r="AV38" s="1404"/>
      <c r="AW38" s="1404"/>
      <c r="BI38" s="53"/>
      <c r="BJ38" s="53"/>
    </row>
    <row r="39" spans="1:80" ht="15" customHeight="1" x14ac:dyDescent="0.25">
      <c r="B39" s="162"/>
      <c r="C39" s="162"/>
      <c r="D39" s="162"/>
      <c r="E39" s="162"/>
      <c r="F39" s="162"/>
      <c r="G39" s="164"/>
      <c r="H39" s="1411"/>
      <c r="I39" s="1411"/>
      <c r="J39" s="1411"/>
      <c r="K39" s="168"/>
      <c r="L39" s="165"/>
      <c r="M39" s="165"/>
      <c r="N39" s="165"/>
      <c r="O39" s="165"/>
      <c r="P39" s="165"/>
      <c r="Q39" s="1693"/>
      <c r="R39" s="1693"/>
      <c r="S39" s="1693"/>
      <c r="T39" s="1693"/>
      <c r="U39" s="1693"/>
      <c r="V39" s="1693"/>
      <c r="W39" s="165"/>
      <c r="X39" s="1409"/>
      <c r="Y39" s="1409"/>
      <c r="Z39" s="1409"/>
      <c r="AA39" s="1409"/>
      <c r="AB39" s="1409"/>
      <c r="AC39" s="2424"/>
      <c r="AD39" s="2424"/>
      <c r="AE39" s="2424"/>
      <c r="AF39" s="2424"/>
      <c r="AG39" s="2424"/>
      <c r="AH39" s="2424"/>
      <c r="AI39" s="166"/>
      <c r="AJ39" s="1416"/>
      <c r="AK39" s="1416"/>
      <c r="AL39" s="1416"/>
      <c r="AM39" s="1416"/>
      <c r="AN39" s="1416"/>
      <c r="AO39" s="1403"/>
      <c r="AP39" s="1403"/>
      <c r="AQ39" s="1403"/>
      <c r="AR39" s="1403"/>
      <c r="AS39" s="1403"/>
      <c r="AT39" s="1403"/>
      <c r="AU39" s="1403"/>
      <c r="AV39" s="1404"/>
      <c r="AW39" s="1404"/>
      <c r="BI39" s="53"/>
      <c r="BJ39" s="53"/>
    </row>
    <row r="40" spans="1:80" ht="42.75" customHeight="1" x14ac:dyDescent="0.35">
      <c r="A40" s="54"/>
      <c r="B40" s="162"/>
      <c r="C40" s="162"/>
      <c r="D40" s="162"/>
      <c r="E40" s="162"/>
      <c r="F40" s="162"/>
      <c r="G40" s="164"/>
      <c r="H40" s="1411"/>
      <c r="I40" s="1411"/>
      <c r="J40" s="1411"/>
      <c r="K40" s="168"/>
      <c r="L40" s="165"/>
      <c r="M40" s="165"/>
      <c r="N40" s="165"/>
      <c r="O40" s="165"/>
      <c r="P40" s="165"/>
      <c r="Q40" s="1693"/>
      <c r="R40" s="1693"/>
      <c r="S40" s="1693"/>
      <c r="T40" s="1693"/>
      <c r="U40" s="1693"/>
      <c r="V40" s="1693"/>
      <c r="W40" s="165"/>
      <c r="X40" s="1409"/>
      <c r="Y40" s="1409"/>
      <c r="Z40" s="1409"/>
      <c r="AA40" s="1409"/>
      <c r="AB40" s="1409"/>
      <c r="AC40" s="2424"/>
      <c r="AD40" s="2424"/>
      <c r="AE40" s="2424"/>
      <c r="AF40" s="2424"/>
      <c r="AG40" s="2424"/>
      <c r="AH40" s="2424"/>
      <c r="AI40" s="166"/>
      <c r="AJ40" s="1416"/>
      <c r="AK40" s="1416"/>
      <c r="AL40" s="1416"/>
      <c r="AM40" s="1416"/>
      <c r="AN40" s="1416"/>
      <c r="AO40" s="1403"/>
      <c r="AP40" s="1403"/>
      <c r="AQ40" s="1403"/>
      <c r="AR40" s="1403"/>
      <c r="AS40" s="1403"/>
      <c r="AT40" s="1403"/>
      <c r="AU40" s="1403"/>
      <c r="AV40" s="1404"/>
      <c r="AW40" s="1404"/>
      <c r="BI40" s="53"/>
      <c r="BJ40" s="53"/>
    </row>
    <row r="41" spans="1:80" ht="38.25" customHeight="1" x14ac:dyDescent="0.35">
      <c r="A41" s="54"/>
      <c r="B41" s="162"/>
      <c r="C41" s="162"/>
      <c r="D41" s="162"/>
      <c r="E41" s="162"/>
      <c r="F41" s="162"/>
      <c r="G41" s="164"/>
      <c r="H41" s="1412"/>
      <c r="I41" s="1412"/>
      <c r="J41" s="1412"/>
      <c r="K41" s="168"/>
      <c r="L41" s="175"/>
      <c r="M41" s="175"/>
      <c r="N41" s="175"/>
      <c r="O41" s="175"/>
      <c r="P41" s="175"/>
      <c r="Q41" s="1693"/>
      <c r="R41" s="1693"/>
      <c r="S41" s="1693"/>
      <c r="T41" s="1693"/>
      <c r="U41" s="1693"/>
      <c r="V41" s="1693"/>
      <c r="W41" s="176"/>
      <c r="X41" s="1409"/>
      <c r="Y41" s="1409"/>
      <c r="Z41" s="1409"/>
      <c r="AA41" s="1409"/>
      <c r="AB41" s="1409"/>
      <c r="AC41" s="2424"/>
      <c r="AD41" s="2424"/>
      <c r="AE41" s="2424"/>
      <c r="AF41" s="2424"/>
      <c r="AG41" s="2424"/>
      <c r="AH41" s="2424"/>
      <c r="AI41" s="166"/>
      <c r="AJ41" s="1416"/>
      <c r="AK41" s="1416"/>
      <c r="AL41" s="1416"/>
      <c r="AM41" s="1416"/>
      <c r="AN41" s="1416"/>
      <c r="AO41" s="1418"/>
      <c r="AP41" s="1418"/>
      <c r="AQ41" s="1418"/>
      <c r="AR41" s="1418"/>
      <c r="AS41" s="1418"/>
      <c r="AT41" s="1418"/>
      <c r="AU41" s="1418"/>
      <c r="AV41" s="1418"/>
      <c r="AW41" s="1418"/>
      <c r="AX41" s="54"/>
      <c r="AY41" s="54"/>
      <c r="BI41" s="170"/>
      <c r="BJ41" s="170"/>
    </row>
    <row r="42" spans="1:80" ht="60" customHeight="1" x14ac:dyDescent="0.35">
      <c r="H42" s="1412"/>
      <c r="I42" s="1412"/>
      <c r="J42" s="1412"/>
      <c r="L42" s="175"/>
      <c r="M42" s="175"/>
      <c r="N42" s="175"/>
      <c r="O42" s="175"/>
      <c r="P42" s="175"/>
      <c r="Q42" s="1693"/>
      <c r="R42" s="1693"/>
      <c r="S42" s="1693"/>
      <c r="T42" s="1693"/>
      <c r="U42" s="1693"/>
      <c r="V42" s="1693"/>
      <c r="W42" s="176"/>
      <c r="X42" s="1409"/>
      <c r="Y42" s="1409"/>
      <c r="Z42" s="1409"/>
      <c r="AA42" s="1409"/>
      <c r="AB42" s="1409"/>
      <c r="AC42" s="2424"/>
      <c r="AD42" s="2424"/>
      <c r="AE42" s="2424"/>
      <c r="AF42" s="2424"/>
      <c r="AG42" s="2424"/>
      <c r="AH42" s="2424"/>
      <c r="AI42" s="166"/>
      <c r="AJ42" s="1416"/>
      <c r="AK42" s="1416"/>
      <c r="AL42" s="1416"/>
      <c r="AM42" s="1416"/>
      <c r="AN42" s="1416"/>
      <c r="AO42" s="1418"/>
      <c r="AP42" s="1418"/>
      <c r="AQ42" s="1418"/>
      <c r="AR42" s="1418"/>
      <c r="AS42" s="1418"/>
      <c r="AT42" s="1418"/>
      <c r="AU42" s="1418"/>
      <c r="AV42" s="1418"/>
      <c r="AW42" s="1418"/>
      <c r="AX42" s="54"/>
      <c r="AY42" s="54"/>
      <c r="BI42" s="170"/>
      <c r="BJ42" s="170"/>
    </row>
    <row r="43" spans="1:80" ht="15" customHeight="1" x14ac:dyDescent="0.35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1"/>
      <c r="AI43" s="171"/>
      <c r="AJ43" s="171"/>
      <c r="AK43" s="171"/>
      <c r="AL43" s="171"/>
      <c r="AM43" s="171"/>
      <c r="AN43" s="171"/>
      <c r="AO43" s="172"/>
      <c r="AP43" s="172"/>
      <c r="AQ43" s="172"/>
      <c r="AR43" s="172"/>
      <c r="AS43" s="172"/>
      <c r="AT43" s="172"/>
      <c r="AU43" s="172"/>
      <c r="AV43" s="172"/>
      <c r="AW43" s="172"/>
    </row>
    <row r="44" spans="1:80" ht="15.75" customHeight="1" thickBot="1" x14ac:dyDescent="0.4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3"/>
      <c r="Y44" s="171"/>
      <c r="Z44" s="171"/>
      <c r="AA44" s="171"/>
      <c r="AB44" s="171"/>
      <c r="AC44" s="171"/>
      <c r="AD44" s="171"/>
      <c r="AE44" s="171"/>
      <c r="AF44" s="171"/>
      <c r="AG44" s="171"/>
      <c r="AH44" s="171"/>
      <c r="AI44" s="171"/>
      <c r="AJ44" s="171"/>
      <c r="AK44" s="171"/>
      <c r="AL44" s="171"/>
      <c r="AM44" s="171"/>
      <c r="AN44" s="171"/>
      <c r="AO44" s="172"/>
      <c r="AP44" s="172"/>
      <c r="AQ44" s="172"/>
      <c r="AR44" s="172"/>
      <c r="AS44" s="172"/>
      <c r="AT44" s="172"/>
      <c r="AU44" s="172"/>
      <c r="AV44" s="172"/>
      <c r="AW44" s="172"/>
    </row>
    <row r="45" spans="1:80" ht="15.75" thickTop="1" x14ac:dyDescent="0.25">
      <c r="J45" t="s">
        <v>16</v>
      </c>
      <c r="AD45" s="775">
        <v>21.28220001111</v>
      </c>
      <c r="AE45" s="776"/>
      <c r="AF45" s="776"/>
      <c r="AG45" s="776"/>
      <c r="AH45" s="777"/>
      <c r="AL45" s="727" t="s">
        <v>122</v>
      </c>
      <c r="AM45" s="727"/>
      <c r="AN45" s="727"/>
      <c r="AO45" s="727" t="s">
        <v>123</v>
      </c>
      <c r="AP45" s="727"/>
      <c r="AQ45" s="727"/>
      <c r="AR45" s="727" t="s">
        <v>124</v>
      </c>
      <c r="AS45" s="727"/>
      <c r="AT45" s="727" t="s">
        <v>125</v>
      </c>
      <c r="AU45" s="727"/>
      <c r="AY45" s="739" t="s">
        <v>126</v>
      </c>
      <c r="AZ45" s="740"/>
      <c r="BA45" s="740"/>
      <c r="BB45" s="740"/>
      <c r="BC45" s="740"/>
      <c r="BD45" s="740"/>
      <c r="BE45" s="740"/>
      <c r="BF45" s="740"/>
      <c r="BG45" s="740"/>
      <c r="BH45" s="741"/>
    </row>
    <row r="46" spans="1:80" x14ac:dyDescent="0.25">
      <c r="AD46" s="778"/>
      <c r="AE46" s="779"/>
      <c r="AF46" s="779"/>
      <c r="AG46" s="779"/>
      <c r="AH46" s="780"/>
      <c r="AL46" s="727"/>
      <c r="AM46" s="727"/>
      <c r="AN46" s="727"/>
      <c r="AO46" s="727"/>
      <c r="AP46" s="727"/>
      <c r="AQ46" s="727"/>
      <c r="AR46" s="727"/>
      <c r="AS46" s="727"/>
      <c r="AT46" s="727"/>
      <c r="AU46" s="727"/>
      <c r="AY46" s="750"/>
      <c r="AZ46" s="751"/>
      <c r="BA46" s="751"/>
      <c r="BB46" s="751"/>
      <c r="BC46" s="751"/>
      <c r="BD46" s="751"/>
      <c r="BE46" s="751"/>
      <c r="BF46" s="751"/>
      <c r="BG46" s="751"/>
      <c r="BH46" s="752"/>
    </row>
    <row r="47" spans="1:80" x14ac:dyDescent="0.25">
      <c r="AA47" s="56"/>
      <c r="AD47" s="778"/>
      <c r="AE47" s="779"/>
      <c r="AF47" s="779"/>
      <c r="AG47" s="779"/>
      <c r="AH47" s="780"/>
      <c r="AL47" s="727"/>
      <c r="AM47" s="727"/>
      <c r="AN47" s="727"/>
      <c r="AO47" s="727"/>
      <c r="AP47" s="727"/>
      <c r="AQ47" s="727"/>
      <c r="AR47" s="727"/>
      <c r="AS47" s="727"/>
      <c r="AT47" s="727"/>
      <c r="AU47" s="727"/>
      <c r="AY47" s="742"/>
      <c r="AZ47" s="743"/>
      <c r="BA47" s="743"/>
      <c r="BB47" s="743"/>
      <c r="BC47" s="743"/>
      <c r="BD47" s="743"/>
      <c r="BE47" s="743"/>
      <c r="BF47" s="743"/>
      <c r="BG47" s="743"/>
      <c r="BH47" s="744"/>
    </row>
    <row r="48" spans="1:80" x14ac:dyDescent="0.25">
      <c r="K48" t="s">
        <v>258</v>
      </c>
      <c r="AD48" s="778"/>
      <c r="AE48" s="779"/>
      <c r="AF48" s="779"/>
      <c r="AG48" s="779"/>
      <c r="AH48" s="780"/>
      <c r="AL48" s="727">
        <v>990</v>
      </c>
      <c r="AM48" s="727"/>
      <c r="AN48" s="727"/>
      <c r="AO48" s="727">
        <f>AT70</f>
        <v>990</v>
      </c>
      <c r="AP48" s="727"/>
      <c r="AQ48" s="727"/>
      <c r="AR48" s="1689">
        <f>AC32</f>
        <v>21.28220001111</v>
      </c>
      <c r="AS48" s="1689"/>
      <c r="AT48" s="1689">
        <f>AC32+AO34</f>
        <v>27.28220001111</v>
      </c>
      <c r="AU48" s="1689"/>
      <c r="AY48" s="727" t="s">
        <v>128</v>
      </c>
      <c r="AZ48" s="727"/>
      <c r="BA48" s="727"/>
      <c r="BB48" s="727"/>
      <c r="BC48" s="727"/>
      <c r="BD48" s="727"/>
      <c r="BE48" s="727"/>
      <c r="BF48" s="727"/>
      <c r="BG48" s="727"/>
      <c r="BH48" s="727"/>
    </row>
    <row r="49" spans="7:60" x14ac:dyDescent="0.25">
      <c r="G49" t="s">
        <v>16</v>
      </c>
      <c r="AD49" s="778"/>
      <c r="AE49" s="779"/>
      <c r="AF49" s="779"/>
      <c r="AG49" s="779"/>
      <c r="AH49" s="780"/>
      <c r="AL49" s="727"/>
      <c r="AM49" s="727"/>
      <c r="AN49" s="727"/>
      <c r="AO49" s="727"/>
      <c r="AP49" s="727"/>
      <c r="AQ49" s="727"/>
      <c r="AR49" s="1689"/>
      <c r="AS49" s="1689"/>
      <c r="AT49" s="1689"/>
      <c r="AU49" s="1689"/>
      <c r="AY49" s="727"/>
      <c r="AZ49" s="727"/>
      <c r="BA49" s="727"/>
      <c r="BB49" s="727"/>
      <c r="BC49" s="727"/>
      <c r="BD49" s="727"/>
      <c r="BE49" s="727"/>
      <c r="BF49" s="727"/>
      <c r="BG49" s="727"/>
      <c r="BH49" s="727"/>
    </row>
    <row r="50" spans="7:60" ht="15" customHeight="1" x14ac:dyDescent="0.25">
      <c r="AD50" s="778"/>
      <c r="AE50" s="779"/>
      <c r="AF50" s="779"/>
      <c r="AG50" s="779"/>
      <c r="AH50" s="780"/>
      <c r="AL50" s="727"/>
      <c r="AM50" s="727"/>
      <c r="AN50" s="727"/>
      <c r="AO50" s="727"/>
      <c r="AP50" s="727"/>
      <c r="AQ50" s="727"/>
      <c r="AR50" s="1689"/>
      <c r="AS50" s="1689"/>
      <c r="AT50" s="1689"/>
      <c r="AU50" s="1689"/>
      <c r="AY50" s="728">
        <f>AR48/((36*3.1415/59)*(AO48/3.281))</f>
        <v>3.6795948556163638E-2</v>
      </c>
      <c r="AZ50" s="729"/>
      <c r="BA50" s="729"/>
      <c r="BB50" s="729"/>
      <c r="BC50" s="729"/>
      <c r="BD50" s="729"/>
      <c r="BE50" s="729"/>
      <c r="BF50" s="729"/>
      <c r="BG50" s="729"/>
      <c r="BH50" s="730"/>
    </row>
    <row r="51" spans="7:60" ht="15.75" customHeight="1" thickBot="1" x14ac:dyDescent="0.3">
      <c r="AD51" s="781"/>
      <c r="AE51" s="782"/>
      <c r="AF51" s="782"/>
      <c r="AG51" s="782"/>
      <c r="AH51" s="783"/>
      <c r="AL51" s="727"/>
      <c r="AM51" s="727"/>
      <c r="AN51" s="727"/>
      <c r="AO51" s="727"/>
      <c r="AP51" s="727"/>
      <c r="AQ51" s="727"/>
      <c r="AR51" s="1689"/>
      <c r="AS51" s="1689"/>
      <c r="AT51" s="1689"/>
      <c r="AU51" s="1689"/>
      <c r="AY51" s="731"/>
      <c r="AZ51" s="732"/>
      <c r="BA51" s="732"/>
      <c r="BB51" s="732"/>
      <c r="BC51" s="732"/>
      <c r="BD51" s="732"/>
      <c r="BE51" s="732"/>
      <c r="BF51" s="732"/>
      <c r="BG51" s="732"/>
      <c r="BH51" s="733"/>
    </row>
    <row r="52" spans="7:60" ht="15.75" customHeight="1" thickTop="1" x14ac:dyDescent="0.25">
      <c r="AY52" s="734"/>
      <c r="AZ52" s="735"/>
      <c r="BA52" s="735"/>
      <c r="BB52" s="735"/>
      <c r="BC52" s="735"/>
      <c r="BD52" s="735"/>
      <c r="BE52" s="735"/>
      <c r="BF52" s="735"/>
      <c r="BG52" s="735"/>
      <c r="BH52" s="736"/>
    </row>
    <row r="53" spans="7:60" x14ac:dyDescent="0.25">
      <c r="J53" t="s">
        <v>16</v>
      </c>
      <c r="AY53" s="739" t="s">
        <v>129</v>
      </c>
      <c r="AZ53" s="740"/>
      <c r="BA53" s="740"/>
      <c r="BB53" s="740"/>
      <c r="BC53" s="740"/>
      <c r="BD53" s="740"/>
      <c r="BE53" s="740"/>
      <c r="BF53" s="740"/>
      <c r="BG53" s="740"/>
      <c r="BH53" s="741"/>
    </row>
    <row r="54" spans="7:60" x14ac:dyDescent="0.25">
      <c r="AY54" s="742"/>
      <c r="AZ54" s="743"/>
      <c r="BA54" s="743"/>
      <c r="BB54" s="743"/>
      <c r="BC54" s="743"/>
      <c r="BD54" s="743"/>
      <c r="BE54" s="743"/>
      <c r="BF54" s="743"/>
      <c r="BG54" s="743"/>
      <c r="BH54" s="744"/>
    </row>
    <row r="55" spans="7:60" x14ac:dyDescent="0.25">
      <c r="AN55" s="727">
        <v>60</v>
      </c>
      <c r="AO55" s="727"/>
      <c r="AP55" s="727"/>
      <c r="AQ55" s="746">
        <v>12</v>
      </c>
      <c r="AR55" s="746"/>
      <c r="AS55" s="746"/>
      <c r="AT55" s="747">
        <f>AQ55*AN55</f>
        <v>720</v>
      </c>
      <c r="AU55" s="748"/>
      <c r="AV55" s="748"/>
      <c r="AW55" s="749"/>
      <c r="AY55" s="739" t="s">
        <v>130</v>
      </c>
      <c r="AZ55" s="740"/>
      <c r="BA55" s="740"/>
      <c r="BB55" s="740"/>
      <c r="BC55" s="740"/>
      <c r="BD55" s="740"/>
      <c r="BE55" s="740"/>
      <c r="BF55" s="740"/>
      <c r="BG55" s="740"/>
      <c r="BH55" s="741"/>
    </row>
    <row r="56" spans="7:60" x14ac:dyDescent="0.25">
      <c r="AN56" s="727"/>
      <c r="AO56" s="727"/>
      <c r="AP56" s="727"/>
      <c r="AQ56" s="746"/>
      <c r="AR56" s="746"/>
      <c r="AS56" s="746"/>
      <c r="AT56" s="747"/>
      <c r="AU56" s="748"/>
      <c r="AV56" s="748"/>
      <c r="AW56" s="749"/>
      <c r="AY56" s="750"/>
      <c r="AZ56" s="751"/>
      <c r="BA56" s="751"/>
      <c r="BB56" s="751"/>
      <c r="BC56" s="751"/>
      <c r="BD56" s="751"/>
      <c r="BE56" s="751"/>
      <c r="BF56" s="751"/>
      <c r="BG56" s="751"/>
      <c r="BH56" s="752"/>
    </row>
    <row r="57" spans="7:60" ht="15" customHeight="1" x14ac:dyDescent="0.25">
      <c r="AN57" s="727"/>
      <c r="AO57" s="727"/>
      <c r="AP57" s="727"/>
      <c r="AQ57" s="746"/>
      <c r="AR57" s="746"/>
      <c r="AS57" s="746"/>
      <c r="AT57" s="747"/>
      <c r="AU57" s="748"/>
      <c r="AV57" s="748"/>
      <c r="AW57" s="749"/>
      <c r="AY57" s="750"/>
      <c r="AZ57" s="751"/>
      <c r="BA57" s="751"/>
      <c r="BB57" s="751"/>
      <c r="BC57" s="751"/>
      <c r="BD57" s="751"/>
      <c r="BE57" s="751"/>
      <c r="BF57" s="751"/>
      <c r="BG57" s="751"/>
      <c r="BH57" s="752"/>
    </row>
    <row r="58" spans="7:60" ht="15" customHeight="1" x14ac:dyDescent="0.25">
      <c r="AN58" s="727">
        <v>45</v>
      </c>
      <c r="AO58" s="727"/>
      <c r="AP58" s="727"/>
      <c r="AQ58" s="746">
        <v>6</v>
      </c>
      <c r="AR58" s="746"/>
      <c r="AS58" s="746"/>
      <c r="AT58" s="747">
        <f>AQ58*AN58</f>
        <v>270</v>
      </c>
      <c r="AU58" s="748"/>
      <c r="AV58" s="748"/>
      <c r="AW58" s="749"/>
      <c r="AY58" s="742"/>
      <c r="AZ58" s="743"/>
      <c r="BA58" s="743"/>
      <c r="BB58" s="743"/>
      <c r="BC58" s="743"/>
      <c r="BD58" s="743"/>
      <c r="BE58" s="743"/>
      <c r="BF58" s="743"/>
      <c r="BG58" s="743"/>
      <c r="BH58" s="744"/>
    </row>
    <row r="59" spans="7:60" ht="15" customHeight="1" x14ac:dyDescent="0.25">
      <c r="AN59" s="727"/>
      <c r="AO59" s="727"/>
      <c r="AP59" s="727"/>
      <c r="AQ59" s="746"/>
      <c r="AR59" s="746"/>
      <c r="AS59" s="746"/>
      <c r="AT59" s="747"/>
      <c r="AU59" s="748"/>
      <c r="AV59" s="748"/>
      <c r="AW59" s="749"/>
      <c r="AY59" s="728">
        <f>AT48/((36*3.1415/59)*(AO48/3.281))</f>
        <v>4.7169673604407228E-2</v>
      </c>
      <c r="AZ59" s="729"/>
      <c r="BA59" s="729"/>
      <c r="BB59" s="729"/>
      <c r="BC59" s="729"/>
      <c r="BD59" s="729"/>
      <c r="BE59" s="729"/>
      <c r="BF59" s="729"/>
      <c r="BG59" s="729"/>
      <c r="BH59" s="730"/>
    </row>
    <row r="60" spans="7:60" ht="15" customHeight="1" x14ac:dyDescent="0.25">
      <c r="AN60" s="727"/>
      <c r="AO60" s="727"/>
      <c r="AP60" s="727"/>
      <c r="AQ60" s="746"/>
      <c r="AR60" s="746"/>
      <c r="AS60" s="746"/>
      <c r="AT60" s="747"/>
      <c r="AU60" s="748"/>
      <c r="AV60" s="748"/>
      <c r="AW60" s="749"/>
      <c r="AY60" s="731"/>
      <c r="AZ60" s="732"/>
      <c r="BA60" s="732"/>
      <c r="BB60" s="732"/>
      <c r="BC60" s="732"/>
      <c r="BD60" s="732"/>
      <c r="BE60" s="732"/>
      <c r="BF60" s="732"/>
      <c r="BG60" s="732"/>
      <c r="BH60" s="733"/>
    </row>
    <row r="61" spans="7:60" ht="15" customHeight="1" x14ac:dyDescent="0.25">
      <c r="AN61" s="727"/>
      <c r="AO61" s="727"/>
      <c r="AP61" s="727"/>
      <c r="AQ61" s="746"/>
      <c r="AR61" s="746"/>
      <c r="AS61" s="746"/>
      <c r="AT61" s="747"/>
      <c r="AU61" s="748"/>
      <c r="AV61" s="748"/>
      <c r="AW61" s="749"/>
      <c r="AY61" s="731"/>
      <c r="AZ61" s="732"/>
      <c r="BA61" s="732"/>
      <c r="BB61" s="732"/>
      <c r="BC61" s="732"/>
      <c r="BD61" s="732"/>
      <c r="BE61" s="732"/>
      <c r="BF61" s="732"/>
      <c r="BG61" s="732"/>
      <c r="BH61" s="733"/>
    </row>
    <row r="62" spans="7:60" ht="15" customHeight="1" x14ac:dyDescent="0.25">
      <c r="AN62" s="727"/>
      <c r="AO62" s="727"/>
      <c r="AP62" s="727"/>
      <c r="AQ62" s="746"/>
      <c r="AR62" s="746"/>
      <c r="AS62" s="746"/>
      <c r="AT62" s="747"/>
      <c r="AU62" s="748"/>
      <c r="AV62" s="748"/>
      <c r="AW62" s="749"/>
      <c r="AY62" s="731"/>
      <c r="AZ62" s="732"/>
      <c r="BA62" s="732"/>
      <c r="BB62" s="732"/>
      <c r="BC62" s="732"/>
      <c r="BD62" s="732"/>
      <c r="BE62" s="732"/>
      <c r="BF62" s="732"/>
      <c r="BG62" s="732"/>
      <c r="BH62" s="733"/>
    </row>
    <row r="63" spans="7:60" ht="15" customHeight="1" x14ac:dyDescent="0.25">
      <c r="AN63" s="727"/>
      <c r="AO63" s="727"/>
      <c r="AP63" s="727"/>
      <c r="AQ63" s="746"/>
      <c r="AR63" s="746"/>
      <c r="AS63" s="746"/>
      <c r="AT63" s="747"/>
      <c r="AU63" s="748"/>
      <c r="AV63" s="748"/>
      <c r="AW63" s="749"/>
      <c r="AY63" s="734"/>
      <c r="AZ63" s="735"/>
      <c r="BA63" s="735"/>
      <c r="BB63" s="735"/>
      <c r="BC63" s="735"/>
      <c r="BD63" s="735"/>
      <c r="BE63" s="735"/>
      <c r="BF63" s="735"/>
      <c r="BG63" s="735"/>
      <c r="BH63" s="736"/>
    </row>
    <row r="64" spans="7:60" ht="15" customHeight="1" x14ac:dyDescent="0.25">
      <c r="T64" s="950"/>
      <c r="U64" s="950"/>
      <c r="V64" s="950"/>
      <c r="AN64" s="727"/>
      <c r="AO64" s="727"/>
      <c r="AP64" s="727"/>
      <c r="AQ64" s="746"/>
      <c r="AR64" s="746"/>
      <c r="AS64" s="746"/>
      <c r="AT64" s="747"/>
      <c r="AU64" s="748"/>
      <c r="AV64" s="748"/>
      <c r="AW64" s="749"/>
    </row>
    <row r="65" spans="18:49" ht="15" customHeight="1" x14ac:dyDescent="0.25">
      <c r="T65" s="950"/>
      <c r="U65" s="950"/>
      <c r="V65" s="950"/>
      <c r="AN65" s="727"/>
      <c r="AO65" s="727"/>
      <c r="AP65" s="727"/>
      <c r="AQ65" s="746"/>
      <c r="AR65" s="746"/>
      <c r="AS65" s="746"/>
      <c r="AT65" s="747"/>
      <c r="AU65" s="748"/>
      <c r="AV65" s="748"/>
      <c r="AW65" s="749"/>
    </row>
    <row r="66" spans="18:49" ht="15" customHeight="1" x14ac:dyDescent="0.25">
      <c r="T66" s="950"/>
      <c r="U66" s="950"/>
      <c r="V66" s="950"/>
      <c r="AN66" s="727"/>
      <c r="AO66" s="727"/>
      <c r="AP66" s="727"/>
      <c r="AQ66" s="746"/>
      <c r="AR66" s="746"/>
      <c r="AS66" s="746"/>
      <c r="AT66" s="747"/>
      <c r="AU66" s="748"/>
      <c r="AV66" s="748"/>
      <c r="AW66" s="749"/>
    </row>
    <row r="67" spans="18:49" ht="15" customHeight="1" x14ac:dyDescent="0.25">
      <c r="T67" s="950"/>
      <c r="U67" s="950"/>
      <c r="V67" s="950"/>
      <c r="AN67" s="727"/>
      <c r="AO67" s="727"/>
      <c r="AP67" s="727"/>
      <c r="AQ67" s="746"/>
      <c r="AR67" s="746"/>
      <c r="AS67" s="746"/>
      <c r="AT67" s="747"/>
      <c r="AU67" s="748"/>
      <c r="AV67" s="748"/>
      <c r="AW67" s="749"/>
    </row>
    <row r="68" spans="18:49" ht="15" customHeight="1" x14ac:dyDescent="0.25">
      <c r="AN68" s="727"/>
      <c r="AO68" s="727"/>
      <c r="AP68" s="727"/>
      <c r="AQ68" s="746"/>
      <c r="AR68" s="746"/>
      <c r="AS68" s="746"/>
      <c r="AT68" s="747"/>
      <c r="AU68" s="748"/>
      <c r="AV68" s="748"/>
      <c r="AW68" s="749"/>
    </row>
    <row r="69" spans="18:49" ht="15" customHeight="1" x14ac:dyDescent="0.25">
      <c r="R69" s="2417"/>
      <c r="S69" s="2417"/>
      <c r="T69" s="2417"/>
      <c r="U69" s="2417"/>
      <c r="V69" s="2417"/>
      <c r="AN69" s="727"/>
      <c r="AO69" s="727"/>
      <c r="AP69" s="727"/>
      <c r="AQ69" s="746"/>
      <c r="AR69" s="746"/>
      <c r="AS69" s="746"/>
      <c r="AT69" s="747"/>
      <c r="AU69" s="748"/>
      <c r="AV69" s="748"/>
      <c r="AW69" s="749"/>
    </row>
    <row r="70" spans="18:49" ht="15" customHeight="1" x14ac:dyDescent="0.25">
      <c r="R70" s="2417"/>
      <c r="S70" s="2417"/>
      <c r="T70" s="2417"/>
      <c r="U70" s="2417"/>
      <c r="V70" s="2417"/>
      <c r="AQ70" s="1254">
        <f>AQ55+AQ58+AQ61+AQ64+AQ67</f>
        <v>18</v>
      </c>
      <c r="AR70" s="1254"/>
      <c r="AS70" s="1254"/>
      <c r="AT70" s="747">
        <f>AT55+AT58+AT61+AT64+AT67</f>
        <v>990</v>
      </c>
      <c r="AU70" s="748"/>
      <c r="AV70" s="748"/>
      <c r="AW70" s="749"/>
    </row>
    <row r="71" spans="18:49" ht="15" customHeight="1" x14ac:dyDescent="0.25">
      <c r="AQ71" s="1254"/>
      <c r="AR71" s="1254"/>
      <c r="AS71" s="1254"/>
      <c r="AT71" s="747"/>
      <c r="AU71" s="748"/>
      <c r="AV71" s="748"/>
      <c r="AW71" s="749"/>
    </row>
    <row r="72" spans="18:49" ht="15" customHeight="1" x14ac:dyDescent="0.25">
      <c r="AQ72" s="1254"/>
      <c r="AR72" s="1254"/>
      <c r="AS72" s="1254"/>
      <c r="AT72" s="747"/>
      <c r="AU72" s="748"/>
      <c r="AV72" s="748"/>
      <c r="AW72" s="749"/>
    </row>
    <row r="73" spans="18:49" ht="15" customHeight="1" x14ac:dyDescent="0.25"/>
    <row r="74" spans="18:49" ht="15" customHeight="1" x14ac:dyDescent="0.25"/>
    <row r="75" spans="18:49" ht="15" customHeight="1" x14ac:dyDescent="0.25"/>
    <row r="76" spans="18:49" ht="15" customHeight="1" x14ac:dyDescent="0.25"/>
    <row r="77" spans="18:49" ht="15" customHeight="1" x14ac:dyDescent="0.25">
      <c r="AS77" s="27"/>
      <c r="AT77" s="27"/>
      <c r="AU77" s="27"/>
    </row>
  </sheetData>
  <mergeCells count="254">
    <mergeCell ref="T64:V67"/>
    <mergeCell ref="AY2:BA2"/>
    <mergeCell ref="BB2:BC2"/>
    <mergeCell ref="BD2:BF2"/>
    <mergeCell ref="BG2:BH2"/>
    <mergeCell ref="AY3:BA5"/>
    <mergeCell ref="BD3:BF5"/>
    <mergeCell ref="AO2:AQ2"/>
    <mergeCell ref="AR2:AS2"/>
    <mergeCell ref="AY8:BA8"/>
    <mergeCell ref="BB8:BC8"/>
    <mergeCell ref="BD8:BF8"/>
    <mergeCell ref="BG8:BH8"/>
    <mergeCell ref="AY9:BA11"/>
    <mergeCell ref="BD9:BF11"/>
    <mergeCell ref="AY6:AY7"/>
    <mergeCell ref="AZ6:BC6"/>
    <mergeCell ref="BD6:BD7"/>
    <mergeCell ref="BE6:BH6"/>
    <mergeCell ref="BD14:BF14"/>
    <mergeCell ref="BG14:BH14"/>
    <mergeCell ref="BG20:BH20"/>
    <mergeCell ref="AZ18:BC18"/>
    <mergeCell ref="BD18:BD19"/>
    <mergeCell ref="AW2:AX2"/>
    <mergeCell ref="P5:T5"/>
    <mergeCell ref="U5:Y5"/>
    <mergeCell ref="Z5:AD5"/>
    <mergeCell ref="AE5:AI5"/>
    <mergeCell ref="AJ5:AN5"/>
    <mergeCell ref="AO5:AS5"/>
    <mergeCell ref="AT2:AV2"/>
    <mergeCell ref="Z2:AB2"/>
    <mergeCell ref="AC2:AD2"/>
    <mergeCell ref="AE2:AG2"/>
    <mergeCell ref="AH2:AI2"/>
    <mergeCell ref="AJ2:AL2"/>
    <mergeCell ref="AM2:AN2"/>
    <mergeCell ref="P2:R2"/>
    <mergeCell ref="S2:T2"/>
    <mergeCell ref="U2:W2"/>
    <mergeCell ref="X2:Y2"/>
    <mergeCell ref="AT5:AX5"/>
    <mergeCell ref="A15:E17"/>
    <mergeCell ref="AO15:AQ17"/>
    <mergeCell ref="AT15:AV17"/>
    <mergeCell ref="AY15:BA17"/>
    <mergeCell ref="BD15:BF17"/>
    <mergeCell ref="BD12:BD13"/>
    <mergeCell ref="BE12:BH12"/>
    <mergeCell ref="A14:C14"/>
    <mergeCell ref="D14:E14"/>
    <mergeCell ref="AO14:AQ14"/>
    <mergeCell ref="AR14:AS14"/>
    <mergeCell ref="AT14:AV14"/>
    <mergeCell ref="AW14:AX14"/>
    <mergeCell ref="AY14:BA14"/>
    <mergeCell ref="BB14:BC14"/>
    <mergeCell ref="AY12:AY13"/>
    <mergeCell ref="AZ12:BC12"/>
    <mergeCell ref="AE12:AE13"/>
    <mergeCell ref="AF12:AI12"/>
    <mergeCell ref="AJ12:AJ13"/>
    <mergeCell ref="AK12:AN12"/>
    <mergeCell ref="U12:U13"/>
    <mergeCell ref="AP12:AS12"/>
    <mergeCell ref="AT12:AT13"/>
    <mergeCell ref="BE18:BH18"/>
    <mergeCell ref="A21:C23"/>
    <mergeCell ref="F21:H23"/>
    <mergeCell ref="AO21:AQ23"/>
    <mergeCell ref="AT21:AV23"/>
    <mergeCell ref="AY21:BA23"/>
    <mergeCell ref="BD21:BF23"/>
    <mergeCell ref="AT20:AV20"/>
    <mergeCell ref="AW20:AX20"/>
    <mergeCell ref="AY20:BA20"/>
    <mergeCell ref="BB20:BC20"/>
    <mergeCell ref="BD20:BF20"/>
    <mergeCell ref="A20:C20"/>
    <mergeCell ref="D20:E20"/>
    <mergeCell ref="F20:H20"/>
    <mergeCell ref="I20:J20"/>
    <mergeCell ref="AO20:AQ20"/>
    <mergeCell ref="AR20:AS20"/>
    <mergeCell ref="A18:A19"/>
    <mergeCell ref="B18:E18"/>
    <mergeCell ref="AY18:AY19"/>
    <mergeCell ref="AW26:AX26"/>
    <mergeCell ref="AY24:AY25"/>
    <mergeCell ref="AZ24:BC24"/>
    <mergeCell ref="BD24:BD25"/>
    <mergeCell ref="BE24:BH24"/>
    <mergeCell ref="A24:A25"/>
    <mergeCell ref="B24:E24"/>
    <mergeCell ref="F24:F25"/>
    <mergeCell ref="G24:J24"/>
    <mergeCell ref="AO24:AO25"/>
    <mergeCell ref="AP24:AS24"/>
    <mergeCell ref="AC37:AH42"/>
    <mergeCell ref="B30:E30"/>
    <mergeCell ref="F30:F31"/>
    <mergeCell ref="G30:J30"/>
    <mergeCell ref="AT30:AT31"/>
    <mergeCell ref="AU30:AX30"/>
    <mergeCell ref="AY26:BA26"/>
    <mergeCell ref="BB26:BC26"/>
    <mergeCell ref="BD26:BF26"/>
    <mergeCell ref="AY30:AY31"/>
    <mergeCell ref="AZ30:BC30"/>
    <mergeCell ref="BD30:BD31"/>
    <mergeCell ref="BE30:BH30"/>
    <mergeCell ref="BG26:BH26"/>
    <mergeCell ref="A27:C29"/>
    <mergeCell ref="F27:H29"/>
    <mergeCell ref="AT27:AV29"/>
    <mergeCell ref="AY27:BA29"/>
    <mergeCell ref="BD27:BF29"/>
    <mergeCell ref="A26:C26"/>
    <mergeCell ref="D26:E26"/>
    <mergeCell ref="F26:H26"/>
    <mergeCell ref="I26:J26"/>
    <mergeCell ref="AT26:AV26"/>
    <mergeCell ref="AN55:AP57"/>
    <mergeCell ref="AQ55:AS57"/>
    <mergeCell ref="AT55:AW57"/>
    <mergeCell ref="AY55:BH58"/>
    <mergeCell ref="AN58:AP60"/>
    <mergeCell ref="AQ58:AS60"/>
    <mergeCell ref="AT58:AW60"/>
    <mergeCell ref="AY59:BH63"/>
    <mergeCell ref="AN61:AP63"/>
    <mergeCell ref="AR8:AS11"/>
    <mergeCell ref="H35:J35"/>
    <mergeCell ref="Q35:V42"/>
    <mergeCell ref="H36:J37"/>
    <mergeCell ref="X37:AB42"/>
    <mergeCell ref="H38:J40"/>
    <mergeCell ref="H41:J42"/>
    <mergeCell ref="A30:A31"/>
    <mergeCell ref="AY53:BH54"/>
    <mergeCell ref="H32:J33"/>
    <mergeCell ref="Q32:V34"/>
    <mergeCell ref="X32:AB36"/>
    <mergeCell ref="AC32:AH36"/>
    <mergeCell ref="AJ32:AN42"/>
    <mergeCell ref="AO32:AS33"/>
    <mergeCell ref="AY45:BH47"/>
    <mergeCell ref="AY48:BH49"/>
    <mergeCell ref="AY50:BH52"/>
    <mergeCell ref="AO41:AW42"/>
    <mergeCell ref="AD45:AH51"/>
    <mergeCell ref="AL45:AN47"/>
    <mergeCell ref="AO45:AQ47"/>
    <mergeCell ref="AR45:AS47"/>
    <mergeCell ref="AT45:AU47"/>
    <mergeCell ref="AQ70:AS72"/>
    <mergeCell ref="AT70:AW72"/>
    <mergeCell ref="Z8:AB8"/>
    <mergeCell ref="AC8:AD8"/>
    <mergeCell ref="AT6:AT7"/>
    <mergeCell ref="AU6:AX6"/>
    <mergeCell ref="AQ61:AS63"/>
    <mergeCell ref="AT61:AW63"/>
    <mergeCell ref="AN64:AP66"/>
    <mergeCell ref="AQ64:AS66"/>
    <mergeCell ref="AT64:AW66"/>
    <mergeCell ref="AN67:AP69"/>
    <mergeCell ref="AQ67:AS69"/>
    <mergeCell ref="AT67:AW69"/>
    <mergeCell ref="AT32:AW33"/>
    <mergeCell ref="AO34:AU40"/>
    <mergeCell ref="AV34:AW40"/>
    <mergeCell ref="AL48:AN51"/>
    <mergeCell ref="AO48:AQ51"/>
    <mergeCell ref="AR48:AS51"/>
    <mergeCell ref="AT48:AU51"/>
    <mergeCell ref="AT24:AT25"/>
    <mergeCell ref="AU24:AX24"/>
    <mergeCell ref="AO8:AQ11"/>
    <mergeCell ref="AU12:AX12"/>
    <mergeCell ref="A2:C2"/>
    <mergeCell ref="D2:E2"/>
    <mergeCell ref="A5:E5"/>
    <mergeCell ref="A8:C8"/>
    <mergeCell ref="D8:E8"/>
    <mergeCell ref="A11:E11"/>
    <mergeCell ref="AT8:AV11"/>
    <mergeCell ref="AW8:AX11"/>
    <mergeCell ref="A12:A13"/>
    <mergeCell ref="B12:E12"/>
    <mergeCell ref="F12:F13"/>
    <mergeCell ref="G12:J12"/>
    <mergeCell ref="K12:K13"/>
    <mergeCell ref="L12:O12"/>
    <mergeCell ref="P12:P13"/>
    <mergeCell ref="Q12:T12"/>
    <mergeCell ref="A9:E10"/>
    <mergeCell ref="F2:H2"/>
    <mergeCell ref="AE8:AG8"/>
    <mergeCell ref="AH8:AI8"/>
    <mergeCell ref="AJ8:AL8"/>
    <mergeCell ref="AO12:AO13"/>
    <mergeCell ref="AM8:AN8"/>
    <mergeCell ref="I2:J2"/>
    <mergeCell ref="F5:J5"/>
    <mergeCell ref="K2:M2"/>
    <mergeCell ref="N2:O2"/>
    <mergeCell ref="F8:H8"/>
    <mergeCell ref="I8:J8"/>
    <mergeCell ref="P6:P7"/>
    <mergeCell ref="F6:F7"/>
    <mergeCell ref="G6:J6"/>
    <mergeCell ref="K6:K7"/>
    <mergeCell ref="L6:O6"/>
    <mergeCell ref="K5:O5"/>
    <mergeCell ref="K8:M8"/>
    <mergeCell ref="N8:O8"/>
    <mergeCell ref="P8:R8"/>
    <mergeCell ref="A6:A7"/>
    <mergeCell ref="B6:E6"/>
    <mergeCell ref="R69:V69"/>
    <mergeCell ref="R70:V70"/>
    <mergeCell ref="AP6:AS6"/>
    <mergeCell ref="V6:Y6"/>
    <mergeCell ref="Z6:Z7"/>
    <mergeCell ref="AA6:AD6"/>
    <mergeCell ref="AJ9:AN10"/>
    <mergeCell ref="Z11:AD11"/>
    <mergeCell ref="AE11:AI11"/>
    <mergeCell ref="AJ11:AN11"/>
    <mergeCell ref="U6:U7"/>
    <mergeCell ref="U9:Y10"/>
    <mergeCell ref="Z9:AD10"/>
    <mergeCell ref="AE9:AI10"/>
    <mergeCell ref="AK6:AN6"/>
    <mergeCell ref="AO6:AO7"/>
    <mergeCell ref="U11:Y11"/>
    <mergeCell ref="AE6:AE7"/>
    <mergeCell ref="F11:J11"/>
    <mergeCell ref="K11:O11"/>
    <mergeCell ref="P11:T11"/>
    <mergeCell ref="S8:T8"/>
    <mergeCell ref="AF6:AI6"/>
    <mergeCell ref="AJ6:AJ7"/>
    <mergeCell ref="X8:Y8"/>
    <mergeCell ref="V12:Y12"/>
    <mergeCell ref="Z12:Z13"/>
    <mergeCell ref="AA12:AD12"/>
    <mergeCell ref="F9:J10"/>
    <mergeCell ref="K9:O10"/>
    <mergeCell ref="P9:T10"/>
    <mergeCell ref="Q6:T6"/>
    <mergeCell ref="U8:W8"/>
  </mergeCells>
  <pageMargins left="0.75" right="0.5" top="1" bottom="0.5" header="0.3" footer="0.3"/>
  <pageSetup paperSize="8" scale="64" orientation="landscape" r:id="rId1"/>
  <headerFooter>
    <oddFooter>&amp;C&amp;"-,Bold Italic"&amp;16Prepared by Emir Cebecioglu&amp;RQuality Control Department</oddFooter>
  </headerFooter>
  <colBreaks count="1" manualBreakCount="1">
    <brk id="60" max="50" man="1"/>
  </colBrea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FE55D-26D7-4BA7-B240-856A66AFFD3C}">
  <sheetPr>
    <pageSetUpPr fitToPage="1"/>
  </sheetPr>
  <dimension ref="A1:CB77"/>
  <sheetViews>
    <sheetView view="pageBreakPreview" zoomScale="55" zoomScaleNormal="70" zoomScaleSheetLayoutView="55" zoomScalePageLayoutView="55" workbookViewId="0">
      <selection activeCell="U15" sqref="U15:Y17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140625" customWidth="1"/>
    <col min="47" max="47" width="10.71093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1" customWidth="1"/>
    <col min="62" max="62" width="56.7109375" customWidth="1"/>
    <col min="63" max="63" width="13" customWidth="1"/>
    <col min="64" max="64" width="7" customWidth="1"/>
  </cols>
  <sheetData>
    <row r="1" spans="1:80" ht="213" customHeight="1" thickBot="1" x14ac:dyDescent="0.3"/>
    <row r="2" spans="1:80" ht="39.950000000000003" customHeight="1" thickTop="1" x14ac:dyDescent="0.25">
      <c r="A2" s="165"/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2313" t="s">
        <v>250</v>
      </c>
      <c r="Q2" s="2314"/>
      <c r="R2" s="2314"/>
      <c r="S2" s="2315">
        <f>Q7/((78*3.1415/59)*(45/3.281))</f>
        <v>0</v>
      </c>
      <c r="T2" s="2316"/>
      <c r="U2" s="2313" t="s">
        <v>250</v>
      </c>
      <c r="V2" s="2314"/>
      <c r="W2" s="2314"/>
      <c r="X2" s="2315">
        <f>V7/((78*3.1415/59)*(45/3.281))</f>
        <v>1.7555534697027612E-16</v>
      </c>
      <c r="Y2" s="2316"/>
      <c r="Z2" s="2313" t="s">
        <v>250</v>
      </c>
      <c r="AA2" s="2314"/>
      <c r="AB2" s="2314"/>
      <c r="AC2" s="2315">
        <f>AA7/((78*3.1415/59)*(45/3.281))</f>
        <v>1.5160959764353048E-2</v>
      </c>
      <c r="AD2" s="2316"/>
      <c r="AE2" s="165"/>
      <c r="AF2" s="165"/>
      <c r="AG2" s="165"/>
      <c r="AH2" s="165"/>
      <c r="AI2" s="165"/>
      <c r="AJ2" s="165"/>
      <c r="AK2" s="165"/>
      <c r="AL2" s="165"/>
      <c r="AM2" s="165"/>
      <c r="AN2" s="165"/>
      <c r="AO2" s="165"/>
      <c r="AP2" s="165"/>
      <c r="AQ2" s="165"/>
      <c r="AR2" s="165"/>
      <c r="AS2" s="165"/>
      <c r="AT2" s="165"/>
      <c r="AU2" s="165"/>
      <c r="AV2" s="165"/>
      <c r="AW2" s="165"/>
      <c r="AX2" s="165"/>
      <c r="AY2" s="674"/>
      <c r="AZ2" s="674"/>
      <c r="BA2" s="674"/>
      <c r="BB2" s="1300"/>
      <c r="BC2" s="1300"/>
      <c r="BD2" s="674"/>
      <c r="BE2" s="674"/>
      <c r="BF2" s="674"/>
      <c r="BG2" s="1300"/>
      <c r="BH2" s="1300"/>
      <c r="BM2" s="27"/>
      <c r="BN2" s="27"/>
      <c r="BO2" s="27"/>
      <c r="BP2" s="27"/>
      <c r="BQ2" s="27"/>
      <c r="BR2" s="27"/>
      <c r="BW2" s="27"/>
      <c r="BX2" s="27"/>
      <c r="BY2" s="27"/>
      <c r="BZ2" s="27"/>
      <c r="CA2" s="27"/>
      <c r="CB2" s="27"/>
    </row>
    <row r="3" spans="1:80" ht="9.9499999999999993" hidden="1" customHeight="1" x14ac:dyDescent="0.25">
      <c r="A3" s="165"/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2427" t="s">
        <v>111</v>
      </c>
      <c r="Q3" s="2428"/>
      <c r="R3" s="2428"/>
      <c r="S3" s="2428"/>
      <c r="T3" s="2429"/>
      <c r="U3" s="1723" t="s">
        <v>744</v>
      </c>
      <c r="V3" s="1724"/>
      <c r="W3" s="1724"/>
      <c r="X3" s="1724"/>
      <c r="Y3" s="1725"/>
      <c r="Z3" s="1723" t="s">
        <v>744</v>
      </c>
      <c r="AA3" s="1724"/>
      <c r="AB3" s="1724"/>
      <c r="AC3" s="1724"/>
      <c r="AD3" s="1725"/>
      <c r="AE3" s="165"/>
      <c r="AF3" s="165"/>
      <c r="AG3" s="165"/>
      <c r="AH3" s="165"/>
      <c r="AI3" s="165"/>
      <c r="AJ3" s="165"/>
      <c r="AK3" s="165"/>
      <c r="AL3" s="165"/>
      <c r="AM3" s="165"/>
      <c r="AN3" s="165"/>
      <c r="AO3" s="165"/>
      <c r="AP3" s="165"/>
      <c r="AQ3" s="165"/>
      <c r="AR3" s="165"/>
      <c r="AS3" s="165"/>
      <c r="AT3" s="165"/>
      <c r="AU3" s="165"/>
      <c r="AV3" s="165"/>
      <c r="AW3" s="165"/>
      <c r="AX3" s="165"/>
      <c r="AY3" s="676"/>
      <c r="AZ3" s="676"/>
      <c r="BA3" s="676"/>
      <c r="BB3" s="36"/>
      <c r="BC3" s="36"/>
      <c r="BD3" s="676"/>
      <c r="BE3" s="676"/>
      <c r="BF3" s="676"/>
      <c r="BG3" s="36"/>
      <c r="BH3" s="36"/>
    </row>
    <row r="4" spans="1:80" ht="24.95" hidden="1" customHeight="1" x14ac:dyDescent="0.25">
      <c r="A4" s="165"/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2430"/>
      <c r="Q4" s="2431"/>
      <c r="R4" s="2431"/>
      <c r="S4" s="2431"/>
      <c r="T4" s="2432"/>
      <c r="U4" s="1726"/>
      <c r="V4" s="1727"/>
      <c r="W4" s="1727"/>
      <c r="X4" s="1727"/>
      <c r="Y4" s="1728"/>
      <c r="Z4" s="1726"/>
      <c r="AA4" s="1727"/>
      <c r="AB4" s="1727"/>
      <c r="AC4" s="1727"/>
      <c r="AD4" s="1728"/>
      <c r="AE4" s="165"/>
      <c r="AF4" s="165"/>
      <c r="AG4" s="165"/>
      <c r="AH4" s="165"/>
      <c r="AI4" s="165"/>
      <c r="AJ4" s="165"/>
      <c r="AK4" s="165"/>
      <c r="AL4" s="165"/>
      <c r="AM4" s="165"/>
      <c r="AN4" s="165"/>
      <c r="AO4" s="165"/>
      <c r="AP4" s="165"/>
      <c r="AQ4" s="165"/>
      <c r="AR4" s="165"/>
      <c r="AS4" s="165"/>
      <c r="AT4" s="165"/>
      <c r="AU4" s="165"/>
      <c r="AV4" s="165"/>
      <c r="AW4" s="165"/>
      <c r="AX4" s="165"/>
      <c r="AY4" s="676"/>
      <c r="AZ4" s="676"/>
      <c r="BA4" s="676"/>
      <c r="BB4" s="36"/>
      <c r="BC4" s="36"/>
      <c r="BD4" s="676"/>
      <c r="BE4" s="676"/>
      <c r="BF4" s="676"/>
      <c r="BG4" s="36"/>
      <c r="BH4" s="36"/>
    </row>
    <row r="5" spans="1:80" ht="25.5" customHeight="1" x14ac:dyDescent="0.25">
      <c r="A5" s="165"/>
      <c r="B5" s="165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2433"/>
      <c r="Q5" s="2434"/>
      <c r="R5" s="2434"/>
      <c r="S5" s="2434"/>
      <c r="T5" s="2435"/>
      <c r="U5" s="1729"/>
      <c r="V5" s="1730"/>
      <c r="W5" s="1730"/>
      <c r="X5" s="1730"/>
      <c r="Y5" s="1731"/>
      <c r="Z5" s="1729"/>
      <c r="AA5" s="1730"/>
      <c r="AB5" s="1730"/>
      <c r="AC5" s="1730"/>
      <c r="AD5" s="1731"/>
      <c r="AE5" s="165"/>
      <c r="AF5" s="165"/>
      <c r="AG5" s="165"/>
      <c r="AH5" s="165"/>
      <c r="AI5" s="165"/>
      <c r="AJ5" s="165"/>
      <c r="AK5" s="165"/>
      <c r="AL5" s="165"/>
      <c r="AM5" s="165"/>
      <c r="AN5" s="165"/>
      <c r="AO5" s="165"/>
      <c r="AP5" s="165"/>
      <c r="AQ5" s="165"/>
      <c r="AR5" s="165"/>
      <c r="AS5" s="165"/>
      <c r="AT5" s="165"/>
      <c r="AU5" s="165"/>
      <c r="AV5" s="165"/>
      <c r="AW5" s="165"/>
      <c r="AX5" s="165"/>
      <c r="AY5" s="676"/>
      <c r="AZ5" s="676"/>
      <c r="BA5" s="676"/>
      <c r="BB5" s="36"/>
      <c r="BC5" s="36"/>
      <c r="BD5" s="676"/>
      <c r="BE5" s="676"/>
      <c r="BF5" s="676"/>
      <c r="BG5" s="36"/>
      <c r="BH5" s="36"/>
    </row>
    <row r="6" spans="1:80" ht="72" customHeight="1" x14ac:dyDescent="0.25">
      <c r="A6" s="165"/>
      <c r="B6" s="165"/>
      <c r="C6" s="165"/>
      <c r="D6" s="165"/>
      <c r="E6" s="165"/>
      <c r="F6" s="165"/>
      <c r="G6" s="165"/>
      <c r="H6" s="165"/>
      <c r="I6" s="165"/>
      <c r="J6" s="165"/>
      <c r="K6" s="165"/>
      <c r="L6" s="165"/>
      <c r="M6" s="165"/>
      <c r="N6" s="165"/>
      <c r="O6" s="165"/>
      <c r="P6" s="1325" t="s">
        <v>479</v>
      </c>
      <c r="Q6" s="1327">
        <v>1</v>
      </c>
      <c r="R6" s="1328"/>
      <c r="S6" s="1328"/>
      <c r="T6" s="1329"/>
      <c r="U6" s="1325" t="s">
        <v>479</v>
      </c>
      <c r="V6" s="1714">
        <v>2</v>
      </c>
      <c r="W6" s="1715"/>
      <c r="X6" s="1715"/>
      <c r="Y6" s="1716"/>
      <c r="Z6" s="1325" t="s">
        <v>479</v>
      </c>
      <c r="AA6" s="1714">
        <v>3</v>
      </c>
      <c r="AB6" s="1715"/>
      <c r="AC6" s="1715"/>
      <c r="AD6" s="1716"/>
      <c r="AE6" s="165"/>
      <c r="AF6" s="165"/>
      <c r="AG6" s="165"/>
      <c r="AH6" s="165"/>
      <c r="AI6" s="165"/>
      <c r="AJ6" s="165"/>
      <c r="AK6" s="165"/>
      <c r="AL6" s="165"/>
      <c r="AM6" s="165"/>
      <c r="AN6" s="165"/>
      <c r="AO6" s="165"/>
      <c r="AP6" s="165"/>
      <c r="AQ6" s="165"/>
      <c r="AR6" s="165"/>
      <c r="AS6" s="165"/>
      <c r="AT6" s="165"/>
      <c r="AU6" s="165"/>
      <c r="AV6" s="165"/>
      <c r="AW6" s="165"/>
      <c r="AX6" s="165"/>
      <c r="AY6" s="677"/>
      <c r="AZ6" s="1332"/>
      <c r="BA6" s="1332"/>
      <c r="BB6" s="1332"/>
      <c r="BC6" s="1332"/>
      <c r="BD6" s="677"/>
      <c r="BE6" s="1332"/>
      <c r="BF6" s="1332"/>
      <c r="BG6" s="1332"/>
      <c r="BH6" s="1332"/>
      <c r="BM6" s="27"/>
      <c r="BN6" s="27"/>
      <c r="BO6" s="27"/>
      <c r="BP6" s="27"/>
      <c r="BQ6" s="27"/>
      <c r="BR6" s="27"/>
      <c r="BW6" s="27"/>
      <c r="BX6" s="27"/>
      <c r="BY6" s="27"/>
      <c r="BZ6" s="27"/>
      <c r="CA6" s="27"/>
      <c r="CB6" s="27"/>
    </row>
    <row r="7" spans="1:80" ht="35.1" customHeight="1" thickBot="1" x14ac:dyDescent="0.3">
      <c r="A7" s="165"/>
      <c r="B7" s="165"/>
      <c r="C7" s="165"/>
      <c r="D7" s="165"/>
      <c r="E7" s="165"/>
      <c r="F7" s="165"/>
      <c r="G7" s="165"/>
      <c r="H7" s="165"/>
      <c r="I7" s="165"/>
      <c r="J7" s="165"/>
      <c r="K7" s="165"/>
      <c r="L7" s="165"/>
      <c r="M7" s="165"/>
      <c r="N7" s="165"/>
      <c r="O7" s="165"/>
      <c r="P7" s="1326"/>
      <c r="Q7" s="327"/>
      <c r="R7" s="328" t="s">
        <v>113</v>
      </c>
      <c r="S7" s="329"/>
      <c r="T7" s="330" t="s">
        <v>114</v>
      </c>
      <c r="U7" s="1326"/>
      <c r="V7" s="241">
        <v>1E-14</v>
      </c>
      <c r="W7" s="242" t="s">
        <v>113</v>
      </c>
      <c r="X7" s="243"/>
      <c r="Y7" s="244" t="s">
        <v>114</v>
      </c>
      <c r="Z7" s="1326"/>
      <c r="AA7" s="241">
        <v>0.86360000000000003</v>
      </c>
      <c r="AB7" s="242" t="s">
        <v>113</v>
      </c>
      <c r="AC7" s="243">
        <v>1</v>
      </c>
      <c r="AD7" s="244" t="s">
        <v>114</v>
      </c>
      <c r="AE7" s="165"/>
      <c r="AF7" s="165"/>
      <c r="AG7" s="165"/>
      <c r="AH7" s="165"/>
      <c r="AI7" s="165"/>
      <c r="AJ7" s="165"/>
      <c r="AK7" s="165"/>
      <c r="AL7" s="165"/>
      <c r="AM7" s="165"/>
      <c r="AN7" s="165"/>
      <c r="AO7" s="165"/>
      <c r="AP7" s="165"/>
      <c r="AQ7" s="165"/>
      <c r="AR7" s="165"/>
      <c r="AS7" s="165"/>
      <c r="AT7" s="165"/>
      <c r="AU7" s="165"/>
      <c r="AV7" s="165"/>
      <c r="AW7" s="165"/>
      <c r="AX7" s="165"/>
      <c r="AY7" s="677"/>
      <c r="AZ7" s="137"/>
      <c r="BA7" s="33"/>
      <c r="BB7" s="138"/>
      <c r="BC7" s="35"/>
      <c r="BD7" s="677"/>
      <c r="BE7" s="137"/>
      <c r="BF7" s="33"/>
      <c r="BG7" s="138"/>
      <c r="BH7" s="35"/>
      <c r="BM7" s="27"/>
      <c r="BN7" s="27"/>
      <c r="BO7" s="27"/>
      <c r="BP7" s="27"/>
      <c r="BQ7" s="27"/>
      <c r="BR7" s="27"/>
      <c r="BW7" s="27"/>
      <c r="BX7" s="27"/>
      <c r="BY7" s="27"/>
      <c r="BZ7" s="27"/>
      <c r="CA7" s="27"/>
      <c r="CB7" s="27"/>
    </row>
    <row r="8" spans="1:80" ht="39" customHeight="1" thickTop="1" x14ac:dyDescent="0.25">
      <c r="A8" s="165"/>
      <c r="B8" s="165"/>
      <c r="C8" s="165"/>
      <c r="D8" s="165"/>
      <c r="E8" s="165"/>
      <c r="F8" s="165"/>
      <c r="G8" s="165"/>
      <c r="H8" s="165"/>
      <c r="I8" s="165"/>
      <c r="J8" s="165"/>
      <c r="K8" s="165"/>
      <c r="L8" s="165"/>
      <c r="M8" s="165"/>
      <c r="N8" s="165"/>
      <c r="O8" s="165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5"/>
      <c r="AA8" s="165"/>
      <c r="AB8" s="165"/>
      <c r="AC8" s="165"/>
      <c r="AD8" s="165"/>
      <c r="AE8" s="165"/>
      <c r="AF8" s="165"/>
      <c r="AG8" s="165"/>
      <c r="AH8" s="165"/>
      <c r="AI8" s="165"/>
      <c r="AJ8" s="165"/>
      <c r="AK8" s="165"/>
      <c r="AL8" s="165"/>
      <c r="AM8" s="165"/>
      <c r="AN8" s="165"/>
      <c r="AO8" s="165"/>
      <c r="AP8" s="165"/>
      <c r="AQ8" s="165"/>
      <c r="AR8" s="165"/>
      <c r="AS8" s="165"/>
      <c r="AT8" s="165"/>
      <c r="AU8" s="165"/>
      <c r="AV8" s="165"/>
      <c r="AW8" s="165"/>
      <c r="AX8" s="165"/>
      <c r="AY8" s="674"/>
      <c r="AZ8" s="674"/>
      <c r="BA8" s="674"/>
      <c r="BB8" s="1300"/>
      <c r="BC8" s="1300"/>
      <c r="BD8" s="674"/>
      <c r="BE8" s="674"/>
      <c r="BF8" s="674"/>
      <c r="BG8" s="1300"/>
      <c r="BH8" s="1300"/>
      <c r="BM8" s="27"/>
      <c r="BN8" s="27"/>
      <c r="BO8" s="27"/>
      <c r="BP8" s="27"/>
      <c r="BQ8" s="27"/>
      <c r="BR8" s="27"/>
      <c r="BW8" s="27"/>
      <c r="BX8" s="27"/>
      <c r="BY8" s="27"/>
      <c r="BZ8" s="27"/>
      <c r="CA8" s="27"/>
      <c r="CB8" s="27"/>
    </row>
    <row r="9" spans="1:80" ht="9.9499999999999993" hidden="1" customHeight="1" x14ac:dyDescent="0.25">
      <c r="A9" s="165"/>
      <c r="B9" s="165"/>
      <c r="C9" s="165"/>
      <c r="D9" s="165"/>
      <c r="E9" s="165"/>
      <c r="F9" s="165"/>
      <c r="G9" s="165"/>
      <c r="H9" s="165"/>
      <c r="I9" s="165"/>
      <c r="J9" s="165"/>
      <c r="K9" s="165"/>
      <c r="L9" s="165"/>
      <c r="M9" s="165"/>
      <c r="N9" s="165"/>
      <c r="O9" s="165"/>
      <c r="P9" s="165"/>
      <c r="Q9" s="165"/>
      <c r="R9" s="165"/>
      <c r="S9" s="165"/>
      <c r="T9" s="165"/>
      <c r="U9" s="165"/>
      <c r="V9" s="165"/>
      <c r="W9" s="165"/>
      <c r="X9" s="165"/>
      <c r="Y9" s="165"/>
      <c r="Z9" s="165"/>
      <c r="AA9" s="165"/>
      <c r="AB9" s="165"/>
      <c r="AC9" s="165"/>
      <c r="AD9" s="165"/>
      <c r="AE9" s="165"/>
      <c r="AF9" s="165"/>
      <c r="AG9" s="165"/>
      <c r="AH9" s="165"/>
      <c r="AI9" s="165"/>
      <c r="AJ9" s="165"/>
      <c r="AK9" s="165"/>
      <c r="AL9" s="165"/>
      <c r="AM9" s="165"/>
      <c r="AN9" s="165"/>
      <c r="AO9" s="165"/>
      <c r="AP9" s="165"/>
      <c r="AQ9" s="165"/>
      <c r="AR9" s="165"/>
      <c r="AS9" s="165"/>
      <c r="AT9" s="165"/>
      <c r="AU9" s="165"/>
      <c r="AV9" s="165"/>
      <c r="AW9" s="165"/>
      <c r="AX9" s="165"/>
      <c r="AY9" s="676"/>
      <c r="AZ9" s="676"/>
      <c r="BA9" s="676"/>
      <c r="BB9" s="674"/>
      <c r="BC9" s="674"/>
      <c r="BD9" s="674"/>
      <c r="BE9" s="674"/>
      <c r="BF9" s="674"/>
      <c r="BG9" s="674"/>
      <c r="BH9" s="674"/>
      <c r="BI9" s="674"/>
      <c r="BJ9" s="674"/>
    </row>
    <row r="10" spans="1:80" ht="24.95" hidden="1" customHeight="1" x14ac:dyDescent="0.25">
      <c r="A10" s="165"/>
      <c r="B10" s="165"/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  <c r="Z10" s="165"/>
      <c r="AA10" s="165"/>
      <c r="AB10" s="165"/>
      <c r="AC10" s="165"/>
      <c r="AD10" s="165"/>
      <c r="AE10" s="165"/>
      <c r="AF10" s="165"/>
      <c r="AG10" s="165"/>
      <c r="AH10" s="165"/>
      <c r="AI10" s="165"/>
      <c r="AJ10" s="165"/>
      <c r="AK10" s="165"/>
      <c r="AL10" s="165"/>
      <c r="AM10" s="165"/>
      <c r="AN10" s="165"/>
      <c r="AO10" s="165"/>
      <c r="AP10" s="165"/>
      <c r="AQ10" s="165"/>
      <c r="AR10" s="165"/>
      <c r="AS10" s="165"/>
      <c r="AT10" s="165"/>
      <c r="AU10" s="165"/>
      <c r="AV10" s="165"/>
      <c r="AW10" s="165"/>
      <c r="AX10" s="165"/>
      <c r="AY10" s="676"/>
      <c r="AZ10" s="676"/>
      <c r="BA10" s="676"/>
      <c r="BB10" s="674"/>
      <c r="BC10" s="674"/>
      <c r="BD10" s="674"/>
      <c r="BE10" s="674"/>
      <c r="BF10" s="674"/>
      <c r="BG10" s="674"/>
      <c r="BH10" s="674"/>
      <c r="BI10" s="674"/>
      <c r="BJ10" s="674"/>
    </row>
    <row r="11" spans="1:80" ht="25.5" customHeight="1" x14ac:dyDescent="0.25">
      <c r="A11" s="165"/>
      <c r="B11" s="165"/>
      <c r="C11" s="165"/>
      <c r="D11" s="165"/>
      <c r="E11" s="165"/>
      <c r="F11" s="165"/>
      <c r="G11" s="165"/>
      <c r="H11" s="165"/>
      <c r="I11" s="165"/>
      <c r="J11" s="165"/>
      <c r="K11" s="165"/>
      <c r="L11" s="165"/>
      <c r="M11" s="165"/>
      <c r="N11" s="165"/>
      <c r="O11" s="165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5"/>
      <c r="AA11" s="165"/>
      <c r="AB11" s="165"/>
      <c r="AC11" s="165"/>
      <c r="AD11" s="165"/>
      <c r="AE11" s="165"/>
      <c r="AF11" s="165"/>
      <c r="AG11" s="165"/>
      <c r="AH11" s="165"/>
      <c r="AI11" s="165"/>
      <c r="AJ11" s="165"/>
      <c r="AK11" s="165"/>
      <c r="AL11" s="165"/>
      <c r="AM11" s="165"/>
      <c r="AN11" s="165"/>
      <c r="AO11" s="165"/>
      <c r="AP11" s="165"/>
      <c r="AQ11" s="165"/>
      <c r="AR11" s="165"/>
      <c r="AS11" s="165"/>
      <c r="AT11" s="165"/>
      <c r="AU11" s="165"/>
      <c r="AV11" s="165"/>
      <c r="AW11" s="165"/>
      <c r="AX11" s="165"/>
      <c r="AY11" s="676"/>
      <c r="AZ11" s="676"/>
      <c r="BA11" s="676"/>
      <c r="BB11" s="674"/>
      <c r="BC11" s="674"/>
      <c r="BD11" s="674"/>
      <c r="BE11" s="674"/>
      <c r="BF11" s="674"/>
      <c r="BG11" s="674"/>
      <c r="BH11" s="674"/>
      <c r="BI11" s="674"/>
      <c r="BJ11" s="674"/>
    </row>
    <row r="12" spans="1:80" ht="72" customHeight="1" x14ac:dyDescent="0.25">
      <c r="A12" s="165"/>
      <c r="B12" s="165"/>
      <c r="C12" s="165"/>
      <c r="D12" s="165"/>
      <c r="E12" s="165"/>
      <c r="F12" s="165"/>
      <c r="G12" s="165"/>
      <c r="H12" s="165"/>
      <c r="I12" s="165"/>
      <c r="J12" s="165"/>
      <c r="K12" s="165"/>
      <c r="L12" s="165"/>
      <c r="M12" s="165"/>
      <c r="N12" s="165"/>
      <c r="O12" s="165"/>
      <c r="P12" s="165"/>
      <c r="Q12" s="165"/>
      <c r="R12" s="165"/>
      <c r="S12" s="165"/>
      <c r="T12" s="165"/>
      <c r="U12" s="165"/>
      <c r="V12" s="165"/>
      <c r="W12" s="165"/>
      <c r="X12" s="165"/>
      <c r="Y12" s="165"/>
      <c r="Z12" s="165"/>
      <c r="AA12" s="165"/>
      <c r="AB12" s="165"/>
      <c r="AC12" s="165"/>
      <c r="AD12" s="165"/>
      <c r="AE12" s="165"/>
      <c r="AF12" s="165"/>
      <c r="AG12" s="165"/>
      <c r="AH12" s="165"/>
      <c r="AI12" s="165"/>
      <c r="AJ12" s="165"/>
      <c r="AK12" s="165"/>
      <c r="AL12" s="165"/>
      <c r="AM12" s="165"/>
      <c r="AN12" s="165"/>
      <c r="AO12" s="165"/>
      <c r="AP12" s="165"/>
      <c r="AQ12" s="165"/>
      <c r="AR12" s="165"/>
      <c r="AS12" s="165"/>
      <c r="AT12" s="165"/>
      <c r="AU12" s="165"/>
      <c r="AV12" s="165"/>
      <c r="AW12" s="165"/>
      <c r="AX12" s="165"/>
      <c r="AY12" s="677"/>
      <c r="AZ12" s="1332"/>
      <c r="BA12" s="1332"/>
      <c r="BB12" s="1332"/>
      <c r="BC12" s="1332"/>
      <c r="BD12" s="677"/>
      <c r="BE12" s="1332"/>
      <c r="BF12" s="1332"/>
      <c r="BG12" s="1332"/>
      <c r="BH12" s="1332"/>
      <c r="BM12" s="51"/>
      <c r="BN12" s="51"/>
      <c r="BO12" s="51"/>
      <c r="BP12" s="51"/>
      <c r="BQ12" s="51"/>
      <c r="BR12" s="51"/>
      <c r="BW12" s="27"/>
      <c r="BX12" s="27"/>
      <c r="BY12" s="27"/>
      <c r="BZ12" s="27"/>
      <c r="CA12" s="27"/>
      <c r="CB12" s="27"/>
    </row>
    <row r="13" spans="1:80" ht="35.1" customHeight="1" x14ac:dyDescent="0.25">
      <c r="A13" s="165"/>
      <c r="B13" s="165"/>
      <c r="C13" s="165"/>
      <c r="D13" s="165"/>
      <c r="E13" s="165"/>
      <c r="F13" s="165"/>
      <c r="G13" s="165"/>
      <c r="H13" s="165"/>
      <c r="I13" s="165"/>
      <c r="J13" s="165"/>
      <c r="K13" s="165"/>
      <c r="L13" s="165"/>
      <c r="M13" s="165"/>
      <c r="N13" s="165"/>
      <c r="O13" s="165"/>
      <c r="P13" s="165"/>
      <c r="Q13" s="165"/>
      <c r="R13" s="165"/>
      <c r="S13" s="165"/>
      <c r="T13" s="165"/>
      <c r="U13" s="165"/>
      <c r="V13" s="165"/>
      <c r="W13" s="165"/>
      <c r="X13" s="165"/>
      <c r="Y13" s="165"/>
      <c r="Z13" s="165"/>
      <c r="AA13" s="165"/>
      <c r="AB13" s="165"/>
      <c r="AC13" s="165"/>
      <c r="AD13" s="165"/>
      <c r="AE13" s="165"/>
      <c r="AF13" s="165"/>
      <c r="AG13" s="165"/>
      <c r="AH13" s="165"/>
      <c r="AI13" s="165"/>
      <c r="AJ13" s="165"/>
      <c r="AK13" s="165"/>
      <c r="AL13" s="165"/>
      <c r="AM13" s="165"/>
      <c r="AN13" s="165"/>
      <c r="AO13" s="165"/>
      <c r="AP13" s="165"/>
      <c r="AQ13" s="165"/>
      <c r="AR13" s="165"/>
      <c r="AS13" s="165"/>
      <c r="AT13" s="165"/>
      <c r="AU13" s="165"/>
      <c r="AV13" s="165"/>
      <c r="AW13" s="165"/>
      <c r="AX13" s="165"/>
      <c r="AY13" s="677"/>
      <c r="AZ13" s="137"/>
      <c r="BA13" s="33"/>
      <c r="BB13" s="138"/>
      <c r="BC13" s="35"/>
      <c r="BD13" s="677"/>
      <c r="BE13" s="137"/>
      <c r="BF13" s="33"/>
      <c r="BG13" s="138"/>
      <c r="BH13" s="35"/>
      <c r="BM13" s="51"/>
      <c r="BN13" s="51"/>
      <c r="BO13" s="51"/>
      <c r="BP13" s="51"/>
      <c r="BQ13" s="51"/>
      <c r="BR13" s="51"/>
      <c r="BW13" s="27"/>
      <c r="BX13" s="27"/>
      <c r="BY13" s="27"/>
      <c r="BZ13" s="27"/>
      <c r="CA13" s="27"/>
      <c r="CB13" s="27"/>
    </row>
    <row r="14" spans="1:80" ht="39.950000000000003" hidden="1" customHeight="1" thickTop="1" x14ac:dyDescent="0.25">
      <c r="A14" s="1695" t="s">
        <v>250</v>
      </c>
      <c r="B14" s="1696"/>
      <c r="C14" s="1696"/>
      <c r="D14" s="1697">
        <f>B19/((42*3.1415/59)*(30/3.281))</f>
        <v>0</v>
      </c>
      <c r="E14" s="1698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Z14" s="44"/>
      <c r="AA14" s="44"/>
      <c r="AB14" s="44"/>
      <c r="AC14" s="44"/>
      <c r="AD14" s="44"/>
      <c r="AE14" s="44"/>
      <c r="AF14" s="44"/>
      <c r="AG14" s="44"/>
      <c r="AH14" s="1300"/>
      <c r="AI14" s="1300"/>
      <c r="AJ14" s="674"/>
      <c r="AK14" s="674"/>
      <c r="AL14" s="674"/>
      <c r="AM14" s="1300"/>
      <c r="AN14" s="1300"/>
      <c r="AO14" s="674"/>
      <c r="AP14" s="674"/>
      <c r="AQ14" s="674"/>
      <c r="AR14" s="1300"/>
      <c r="AS14" s="1300"/>
      <c r="AT14" s="1389"/>
      <c r="AU14" s="1389"/>
      <c r="AV14" s="1389"/>
      <c r="AW14" s="1390"/>
      <c r="AX14" s="1390"/>
      <c r="AY14" s="674"/>
      <c r="AZ14" s="674"/>
      <c r="BA14" s="674"/>
      <c r="BB14" s="1300"/>
      <c r="BC14" s="1300"/>
      <c r="BD14" s="674"/>
      <c r="BE14" s="674"/>
      <c r="BF14" s="674"/>
      <c r="BG14" s="1300"/>
      <c r="BH14" s="1300"/>
      <c r="BM14" s="51"/>
      <c r="BN14" s="51"/>
      <c r="BO14" s="51"/>
      <c r="BP14" s="51"/>
      <c r="BQ14" s="51"/>
      <c r="BR14" s="51"/>
      <c r="BW14" s="27"/>
      <c r="BX14" s="27"/>
      <c r="BY14" s="27"/>
      <c r="BZ14" s="27"/>
      <c r="CA14" s="27"/>
      <c r="CB14" s="27"/>
    </row>
    <row r="15" spans="1:80" ht="9.9499999999999993" hidden="1" customHeight="1" x14ac:dyDescent="0.25">
      <c r="A15" s="1379" t="s">
        <v>252</v>
      </c>
      <c r="B15" s="1380"/>
      <c r="C15" s="1380"/>
      <c r="D15" s="1380"/>
      <c r="E15" s="1381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Z15" s="47"/>
      <c r="AA15" s="47"/>
      <c r="AB15" s="47"/>
      <c r="AC15" s="47"/>
      <c r="AD15" s="47"/>
      <c r="AE15" s="47"/>
      <c r="AF15" s="47"/>
      <c r="AG15" s="47"/>
      <c r="AH15" s="36"/>
      <c r="AI15" s="36"/>
      <c r="AJ15" s="676"/>
      <c r="AK15" s="676"/>
      <c r="AL15" s="676"/>
      <c r="AM15" s="36"/>
      <c r="AN15" s="36"/>
      <c r="AO15" s="676"/>
      <c r="AP15" s="676"/>
      <c r="AQ15" s="676"/>
      <c r="AR15" s="36"/>
      <c r="AS15" s="36"/>
      <c r="AT15" s="1388"/>
      <c r="AU15" s="1388"/>
      <c r="AV15" s="1388"/>
      <c r="AW15" s="139"/>
      <c r="AX15" s="139"/>
      <c r="AY15" s="676"/>
      <c r="AZ15" s="676"/>
      <c r="BA15" s="676"/>
      <c r="BB15" s="36"/>
      <c r="BC15" s="36"/>
      <c r="BD15" s="676"/>
      <c r="BE15" s="676"/>
      <c r="BF15" s="676"/>
      <c r="BG15" s="36"/>
      <c r="BH15" s="36"/>
    </row>
    <row r="16" spans="1:80" ht="24.95" hidden="1" customHeight="1" x14ac:dyDescent="0.25">
      <c r="A16" s="1382"/>
      <c r="B16" s="1383"/>
      <c r="C16" s="1383"/>
      <c r="D16" s="1383"/>
      <c r="E16" s="1384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Z16" s="47"/>
      <c r="AA16" s="47"/>
      <c r="AB16" s="47"/>
      <c r="AC16" s="47"/>
      <c r="AD16" s="47"/>
      <c r="AE16" s="47"/>
      <c r="AF16" s="47"/>
      <c r="AG16" s="47"/>
      <c r="AH16" s="140"/>
      <c r="AI16" s="36"/>
      <c r="AJ16" s="676"/>
      <c r="AK16" s="676"/>
      <c r="AL16" s="676"/>
      <c r="AM16" s="140"/>
      <c r="AN16" s="36"/>
      <c r="AO16" s="676"/>
      <c r="AP16" s="676"/>
      <c r="AQ16" s="676"/>
      <c r="AR16" s="140"/>
      <c r="AS16" s="36"/>
      <c r="AT16" s="1388"/>
      <c r="AU16" s="1388"/>
      <c r="AV16" s="1388"/>
      <c r="AW16" s="141"/>
      <c r="AX16" s="139"/>
      <c r="AY16" s="676"/>
      <c r="AZ16" s="676"/>
      <c r="BA16" s="676"/>
      <c r="BB16" s="36"/>
      <c r="BC16" s="36"/>
      <c r="BD16" s="676"/>
      <c r="BE16" s="676"/>
      <c r="BF16" s="676"/>
      <c r="BG16" s="36"/>
      <c r="BH16" s="36"/>
    </row>
    <row r="17" spans="1:80" ht="9.9499999999999993" hidden="1" customHeight="1" x14ac:dyDescent="0.25">
      <c r="A17" s="1385"/>
      <c r="B17" s="1386"/>
      <c r="C17" s="1386"/>
      <c r="D17" s="1386"/>
      <c r="E17" s="138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Z17" s="47"/>
      <c r="AA17" s="47"/>
      <c r="AB17" s="47"/>
      <c r="AC17" s="47"/>
      <c r="AD17" s="47"/>
      <c r="AE17" s="47"/>
      <c r="AF17" s="47"/>
      <c r="AG17" s="47"/>
      <c r="AH17" s="36"/>
      <c r="AI17" s="36"/>
      <c r="AJ17" s="676"/>
      <c r="AK17" s="676"/>
      <c r="AL17" s="676"/>
      <c r="AM17" s="36"/>
      <c r="AN17" s="36"/>
      <c r="AO17" s="676"/>
      <c r="AP17" s="676"/>
      <c r="AQ17" s="676"/>
      <c r="AR17" s="36"/>
      <c r="AS17" s="36"/>
      <c r="AT17" s="1388"/>
      <c r="AU17" s="1388"/>
      <c r="AV17" s="1388"/>
      <c r="AW17" s="139"/>
      <c r="AX17" s="139"/>
      <c r="AY17" s="676"/>
      <c r="AZ17" s="676"/>
      <c r="BA17" s="676"/>
      <c r="BB17" s="36"/>
      <c r="BC17" s="36"/>
      <c r="BD17" s="676"/>
      <c r="BE17" s="676"/>
      <c r="BF17" s="676"/>
      <c r="BG17" s="36"/>
      <c r="BH17" s="36"/>
    </row>
    <row r="18" spans="1:80" ht="72" hidden="1" customHeight="1" x14ac:dyDescent="0.25">
      <c r="A18" s="1374" t="s">
        <v>253</v>
      </c>
      <c r="B18" s="1376"/>
      <c r="C18" s="1377"/>
      <c r="D18" s="1377"/>
      <c r="E18" s="1378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3"/>
      <c r="AU18" s="143"/>
      <c r="AV18" s="143"/>
      <c r="AW18" s="143"/>
      <c r="AX18" s="143"/>
      <c r="AY18" s="677"/>
      <c r="AZ18" s="1332"/>
      <c r="BA18" s="1332"/>
      <c r="BB18" s="1332"/>
      <c r="BC18" s="1332"/>
      <c r="BD18" s="677"/>
      <c r="BE18" s="1332" t="s">
        <v>16</v>
      </c>
      <c r="BF18" s="1332"/>
      <c r="BG18" s="1332"/>
      <c r="BH18" s="1332"/>
      <c r="BM18" s="51"/>
      <c r="BN18" s="51"/>
      <c r="BO18" s="51"/>
      <c r="BP18" s="51"/>
      <c r="BQ18" s="51"/>
      <c r="BR18" s="51"/>
      <c r="BW18" s="27"/>
      <c r="BX18" s="27"/>
      <c r="BY18" s="27"/>
      <c r="BZ18" s="27"/>
      <c r="CA18" s="27"/>
      <c r="CB18" s="27"/>
    </row>
    <row r="19" spans="1:80" ht="35.1" hidden="1" customHeight="1" thickBot="1" x14ac:dyDescent="0.3">
      <c r="A19" s="1375"/>
      <c r="B19" s="144"/>
      <c r="C19" s="145" t="s">
        <v>113</v>
      </c>
      <c r="D19" s="146"/>
      <c r="E19" s="147" t="s">
        <v>114</v>
      </c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148"/>
      <c r="AU19" s="148"/>
      <c r="AV19" s="148"/>
      <c r="AW19" s="148"/>
      <c r="AX19" s="148"/>
      <c r="AY19" s="677"/>
      <c r="AZ19" s="137"/>
      <c r="BA19" s="33"/>
      <c r="BB19" s="138"/>
      <c r="BC19" s="35"/>
      <c r="BD19" s="677"/>
      <c r="BE19" s="137"/>
      <c r="BF19" s="33"/>
      <c r="BG19" s="138"/>
      <c r="BH19" s="35"/>
      <c r="BM19" s="51"/>
      <c r="BN19" s="51"/>
      <c r="BO19" s="51"/>
      <c r="BP19" s="51"/>
      <c r="BQ19" s="51"/>
      <c r="BR19" s="51"/>
      <c r="BW19" s="27"/>
      <c r="BX19" s="27"/>
      <c r="BY19" s="27"/>
      <c r="BZ19" s="27"/>
      <c r="CA19" s="27"/>
      <c r="CB19" s="27"/>
    </row>
    <row r="20" spans="1:80" ht="27" hidden="1" thickTop="1" x14ac:dyDescent="0.25">
      <c r="A20" s="1396"/>
      <c r="B20" s="1396"/>
      <c r="C20" s="1396"/>
      <c r="D20" s="1397"/>
      <c r="E20" s="1397"/>
      <c r="F20" s="674"/>
      <c r="G20" s="674"/>
      <c r="H20" s="674"/>
      <c r="I20" s="1300"/>
      <c r="J20" s="1300"/>
      <c r="K20" s="674"/>
      <c r="L20" s="674"/>
      <c r="M20" s="674"/>
      <c r="N20" s="1300"/>
      <c r="O20" s="1300"/>
      <c r="P20" s="674"/>
      <c r="Q20" s="674"/>
      <c r="R20" s="674"/>
      <c r="S20" s="1300"/>
      <c r="T20" s="1300"/>
      <c r="U20" s="674"/>
      <c r="V20" s="674"/>
      <c r="W20" s="674"/>
      <c r="X20" s="1300"/>
      <c r="Y20" s="1300"/>
      <c r="Z20" s="674"/>
      <c r="AA20" s="674"/>
      <c r="AB20" s="674"/>
      <c r="AC20" s="1300"/>
      <c r="AD20" s="1300"/>
      <c r="AE20" s="674"/>
      <c r="AF20" s="674"/>
      <c r="AG20" s="674"/>
      <c r="AH20" s="1300"/>
      <c r="AI20" s="1300"/>
      <c r="AJ20" s="674"/>
      <c r="AK20" s="674"/>
      <c r="AL20" s="674"/>
      <c r="AM20" s="1300"/>
      <c r="AN20" s="1300"/>
      <c r="AO20" s="674"/>
      <c r="AP20" s="674"/>
      <c r="AQ20" s="674"/>
      <c r="AR20" s="1300"/>
      <c r="AS20" s="1300"/>
      <c r="AT20" s="1389"/>
      <c r="AU20" s="1389"/>
      <c r="AV20" s="1389"/>
      <c r="AW20" s="1390"/>
      <c r="AX20" s="1390"/>
      <c r="AY20" s="674"/>
      <c r="AZ20" s="674"/>
      <c r="BA20" s="674"/>
      <c r="BB20" s="1300"/>
      <c r="BC20" s="1300"/>
      <c r="BD20" s="674"/>
      <c r="BE20" s="674"/>
      <c r="BF20" s="674"/>
      <c r="BG20" s="1300"/>
      <c r="BH20" s="1300"/>
      <c r="BM20" s="51"/>
      <c r="BN20" s="51"/>
      <c r="BO20" s="51"/>
      <c r="BP20" s="51"/>
      <c r="BQ20" s="51"/>
      <c r="BR20" s="51"/>
      <c r="BW20" s="27"/>
      <c r="BX20" s="27"/>
      <c r="BY20" s="27"/>
      <c r="BZ20" s="27"/>
      <c r="CA20" s="27"/>
      <c r="CB20" s="27"/>
    </row>
    <row r="21" spans="1:80" ht="19.5" hidden="1" thickTop="1" x14ac:dyDescent="0.25">
      <c r="A21" s="1395"/>
      <c r="B21" s="1395"/>
      <c r="C21" s="1395"/>
      <c r="D21" s="149"/>
      <c r="E21" s="149"/>
      <c r="F21" s="676"/>
      <c r="G21" s="676"/>
      <c r="H21" s="676"/>
      <c r="I21" s="36"/>
      <c r="J21" s="36"/>
      <c r="K21" s="676"/>
      <c r="L21" s="676"/>
      <c r="M21" s="676"/>
      <c r="N21" s="36"/>
      <c r="O21" s="36"/>
      <c r="P21" s="676"/>
      <c r="Q21" s="676"/>
      <c r="R21" s="676"/>
      <c r="S21" s="36"/>
      <c r="T21" s="36"/>
      <c r="U21" s="676"/>
      <c r="V21" s="676"/>
      <c r="W21" s="676"/>
      <c r="X21" s="36"/>
      <c r="Y21" s="36"/>
      <c r="Z21" s="676"/>
      <c r="AA21" s="676"/>
      <c r="AB21" s="676"/>
      <c r="AC21" s="36"/>
      <c r="AD21" s="36"/>
      <c r="AE21" s="676"/>
      <c r="AF21" s="676"/>
      <c r="AG21" s="676"/>
      <c r="AH21" s="36"/>
      <c r="AI21" s="36"/>
      <c r="AJ21" s="676"/>
      <c r="AK21" s="676"/>
      <c r="AL21" s="676"/>
      <c r="AM21" s="36"/>
      <c r="AN21" s="36"/>
      <c r="AO21" s="676"/>
      <c r="AP21" s="676"/>
      <c r="AQ21" s="676"/>
      <c r="AR21" s="36"/>
      <c r="AS21" s="36"/>
      <c r="AT21" s="1388"/>
      <c r="AU21" s="1388"/>
      <c r="AV21" s="1388"/>
      <c r="AW21" s="139"/>
      <c r="AX21" s="139"/>
      <c r="AY21" s="676"/>
      <c r="AZ21" s="676"/>
      <c r="BA21" s="676"/>
      <c r="BB21" s="36"/>
      <c r="BC21" s="36"/>
      <c r="BD21" s="676"/>
      <c r="BE21" s="676"/>
      <c r="BF21" s="676"/>
      <c r="BG21" s="36"/>
      <c r="BH21" s="36"/>
    </row>
    <row r="22" spans="1:80" ht="36.75" hidden="1" thickTop="1" x14ac:dyDescent="0.25">
      <c r="A22" s="1395"/>
      <c r="B22" s="1395"/>
      <c r="C22" s="1395"/>
      <c r="D22" s="150"/>
      <c r="E22" s="149"/>
      <c r="F22" s="676"/>
      <c r="G22" s="676"/>
      <c r="H22" s="676"/>
      <c r="I22" s="140"/>
      <c r="J22" s="36"/>
      <c r="K22" s="676"/>
      <c r="L22" s="676"/>
      <c r="M22" s="676"/>
      <c r="N22" s="140"/>
      <c r="O22" s="36"/>
      <c r="P22" s="676"/>
      <c r="Q22" s="676"/>
      <c r="R22" s="676"/>
      <c r="S22" s="140"/>
      <c r="T22" s="36"/>
      <c r="U22" s="676"/>
      <c r="V22" s="676"/>
      <c r="W22" s="676"/>
      <c r="X22" s="140"/>
      <c r="Y22" s="36"/>
      <c r="Z22" s="676"/>
      <c r="AA22" s="676"/>
      <c r="AB22" s="676"/>
      <c r="AC22" s="140"/>
      <c r="AD22" s="36"/>
      <c r="AE22" s="676"/>
      <c r="AF22" s="676"/>
      <c r="AG22" s="676"/>
      <c r="AH22" s="140"/>
      <c r="AI22" s="36"/>
      <c r="AJ22" s="676"/>
      <c r="AK22" s="676"/>
      <c r="AL22" s="676"/>
      <c r="AM22" s="140"/>
      <c r="AN22" s="36"/>
      <c r="AO22" s="676"/>
      <c r="AP22" s="676"/>
      <c r="AQ22" s="676"/>
      <c r="AR22" s="140"/>
      <c r="AS22" s="36"/>
      <c r="AT22" s="1388"/>
      <c r="AU22" s="1388"/>
      <c r="AV22" s="1388"/>
      <c r="AW22" s="141"/>
      <c r="AX22" s="139"/>
      <c r="AY22" s="676"/>
      <c r="AZ22" s="676"/>
      <c r="BA22" s="676"/>
      <c r="BB22" s="36"/>
      <c r="BC22" s="36"/>
      <c r="BD22" s="676"/>
      <c r="BE22" s="676"/>
      <c r="BF22" s="676"/>
      <c r="BG22" s="36"/>
      <c r="BH22" s="36"/>
    </row>
    <row r="23" spans="1:80" ht="19.5" hidden="1" thickTop="1" x14ac:dyDescent="0.25">
      <c r="A23" s="1395"/>
      <c r="B23" s="1395"/>
      <c r="C23" s="1395"/>
      <c r="D23" s="149"/>
      <c r="E23" s="149"/>
      <c r="F23" s="676"/>
      <c r="G23" s="676"/>
      <c r="H23" s="676"/>
      <c r="I23" s="36"/>
      <c r="J23" s="36"/>
      <c r="K23" s="676"/>
      <c r="L23" s="676"/>
      <c r="M23" s="676"/>
      <c r="N23" s="36"/>
      <c r="O23" s="36"/>
      <c r="P23" s="676"/>
      <c r="Q23" s="676"/>
      <c r="R23" s="676"/>
      <c r="S23" s="36"/>
      <c r="T23" s="36"/>
      <c r="U23" s="676"/>
      <c r="V23" s="676"/>
      <c r="W23" s="676"/>
      <c r="X23" s="36"/>
      <c r="Y23" s="36"/>
      <c r="Z23" s="676"/>
      <c r="AA23" s="676"/>
      <c r="AB23" s="676"/>
      <c r="AC23" s="36"/>
      <c r="AD23" s="36"/>
      <c r="AE23" s="676"/>
      <c r="AF23" s="676"/>
      <c r="AG23" s="676"/>
      <c r="AH23" s="36"/>
      <c r="AI23" s="36"/>
      <c r="AJ23" s="676"/>
      <c r="AK23" s="676"/>
      <c r="AL23" s="676"/>
      <c r="AM23" s="36"/>
      <c r="AN23" s="36"/>
      <c r="AO23" s="676"/>
      <c r="AP23" s="676"/>
      <c r="AQ23" s="676"/>
      <c r="AR23" s="36"/>
      <c r="AS23" s="36"/>
      <c r="AT23" s="1388"/>
      <c r="AU23" s="1388"/>
      <c r="AV23" s="1388"/>
      <c r="AW23" s="139"/>
      <c r="AX23" s="139"/>
      <c r="AY23" s="676"/>
      <c r="AZ23" s="676"/>
      <c r="BA23" s="676"/>
      <c r="BB23" s="36"/>
      <c r="BC23" s="36"/>
      <c r="BD23" s="676"/>
      <c r="BE23" s="676"/>
      <c r="BF23" s="676"/>
      <c r="BG23" s="36"/>
      <c r="BH23" s="36"/>
    </row>
    <row r="24" spans="1:80" ht="78" hidden="1" thickTop="1" x14ac:dyDescent="0.25">
      <c r="A24" s="1398"/>
      <c r="B24" s="1399"/>
      <c r="C24" s="1399"/>
      <c r="D24" s="1399"/>
      <c r="E24" s="1399"/>
      <c r="F24" s="1370"/>
      <c r="G24" s="1371"/>
      <c r="H24" s="1371"/>
      <c r="I24" s="1371"/>
      <c r="J24" s="1371"/>
      <c r="K24" s="1370"/>
      <c r="L24" s="1371"/>
      <c r="M24" s="1371"/>
      <c r="N24" s="1371"/>
      <c r="O24" s="1371"/>
      <c r="P24" s="1370"/>
      <c r="Q24" s="1371"/>
      <c r="R24" s="1371"/>
      <c r="S24" s="1371"/>
      <c r="T24" s="1371"/>
      <c r="U24" s="1370"/>
      <c r="V24" s="1371"/>
      <c r="W24" s="1371"/>
      <c r="X24" s="1371"/>
      <c r="Y24" s="1371"/>
      <c r="Z24" s="1370"/>
      <c r="AA24" s="1371"/>
      <c r="AB24" s="1371"/>
      <c r="AC24" s="1371"/>
      <c r="AD24" s="1371"/>
      <c r="AE24" s="1370"/>
      <c r="AF24" s="1371"/>
      <c r="AG24" s="1371"/>
      <c r="AH24" s="1371"/>
      <c r="AI24" s="1371"/>
      <c r="AJ24" s="1370"/>
      <c r="AK24" s="1371"/>
      <c r="AL24" s="1371"/>
      <c r="AM24" s="1371"/>
      <c r="AN24" s="1371"/>
      <c r="AO24" s="1370"/>
      <c r="AP24" s="1371"/>
      <c r="AQ24" s="1371"/>
      <c r="AR24" s="1371"/>
      <c r="AS24" s="1371"/>
      <c r="AT24" s="1439"/>
      <c r="AU24" s="1440"/>
      <c r="AV24" s="1440"/>
      <c r="AW24" s="1440"/>
      <c r="AX24" s="1440"/>
      <c r="AY24" s="677"/>
      <c r="AZ24" s="1332"/>
      <c r="BA24" s="1332"/>
      <c r="BB24" s="1332"/>
      <c r="BC24" s="1332"/>
      <c r="BD24" s="677"/>
      <c r="BE24" s="1332"/>
      <c r="BF24" s="1332"/>
      <c r="BG24" s="1332"/>
      <c r="BH24" s="1332"/>
      <c r="BM24" s="51"/>
      <c r="BN24" s="51"/>
      <c r="BO24" s="51"/>
      <c r="BP24" s="51"/>
      <c r="BQ24" s="51"/>
      <c r="BR24" s="51"/>
      <c r="BW24" s="27"/>
      <c r="BX24" s="27"/>
      <c r="BY24" s="27"/>
      <c r="BZ24" s="27"/>
      <c r="CA24" s="27"/>
      <c r="CB24" s="27"/>
    </row>
    <row r="25" spans="1:80" ht="27" hidden="1" thickTop="1" x14ac:dyDescent="0.25">
      <c r="A25" s="1398"/>
      <c r="B25" s="151"/>
      <c r="C25" s="152"/>
      <c r="D25" s="153"/>
      <c r="E25" s="154"/>
      <c r="F25" s="1370"/>
      <c r="G25" s="32"/>
      <c r="H25" s="33"/>
      <c r="I25" s="34"/>
      <c r="J25" s="35"/>
      <c r="K25" s="1370"/>
      <c r="L25" s="32"/>
      <c r="M25" s="33"/>
      <c r="N25" s="34"/>
      <c r="O25" s="35"/>
      <c r="P25" s="1370"/>
      <c r="Q25" s="32"/>
      <c r="R25" s="33"/>
      <c r="S25" s="34"/>
      <c r="T25" s="35"/>
      <c r="U25" s="1370"/>
      <c r="V25" s="32"/>
      <c r="W25" s="33"/>
      <c r="X25" s="34"/>
      <c r="Y25" s="35"/>
      <c r="Z25" s="1370"/>
      <c r="AA25" s="32"/>
      <c r="AB25" s="33"/>
      <c r="AC25" s="34"/>
      <c r="AD25" s="35"/>
      <c r="AE25" s="1370"/>
      <c r="AF25" s="32"/>
      <c r="AG25" s="33"/>
      <c r="AH25" s="34"/>
      <c r="AI25" s="35"/>
      <c r="AJ25" s="1370"/>
      <c r="AK25" s="32"/>
      <c r="AL25" s="33"/>
      <c r="AM25" s="34"/>
      <c r="AN25" s="35"/>
      <c r="AO25" s="1370"/>
      <c r="AP25" s="32"/>
      <c r="AQ25" s="33"/>
      <c r="AR25" s="34"/>
      <c r="AS25" s="35"/>
      <c r="AT25" s="1439"/>
      <c r="AU25" s="155"/>
      <c r="AV25" s="148"/>
      <c r="AW25" s="156"/>
      <c r="AX25" s="157"/>
      <c r="AY25" s="677"/>
      <c r="AZ25" s="137"/>
      <c r="BA25" s="33"/>
      <c r="BB25" s="138"/>
      <c r="BC25" s="35"/>
      <c r="BD25" s="677"/>
      <c r="BE25" s="137"/>
      <c r="BF25" s="33"/>
      <c r="BG25" s="138"/>
      <c r="BH25" s="35"/>
      <c r="BM25" s="51"/>
      <c r="BN25" s="51"/>
      <c r="BO25" s="51"/>
      <c r="BP25" s="51"/>
      <c r="BQ25" s="51"/>
      <c r="BR25" s="51"/>
      <c r="BW25" s="27"/>
      <c r="BX25" s="27"/>
      <c r="BY25" s="27"/>
      <c r="BZ25" s="27"/>
      <c r="CA25" s="27"/>
      <c r="CB25" s="27"/>
    </row>
    <row r="26" spans="1:80" ht="27" hidden="1" thickTop="1" x14ac:dyDescent="0.25">
      <c r="A26" s="1396"/>
      <c r="B26" s="1396"/>
      <c r="C26" s="1396"/>
      <c r="D26" s="1397"/>
      <c r="E26" s="1397"/>
      <c r="F26" s="674"/>
      <c r="G26" s="674"/>
      <c r="H26" s="674"/>
      <c r="I26" s="1300"/>
      <c r="J26" s="1300"/>
      <c r="K26" s="674"/>
      <c r="L26" s="674"/>
      <c r="M26" s="674"/>
      <c r="N26" s="1300"/>
      <c r="O26" s="1300"/>
      <c r="P26" s="674"/>
      <c r="Q26" s="674"/>
      <c r="R26" s="674"/>
      <c r="S26" s="1300"/>
      <c r="T26" s="1300"/>
      <c r="U26" s="674"/>
      <c r="V26" s="674"/>
      <c r="W26" s="674"/>
      <c r="X26" s="1300"/>
      <c r="Y26" s="1300"/>
      <c r="Z26" s="674"/>
      <c r="AA26" s="674"/>
      <c r="AB26" s="674"/>
      <c r="AC26" s="1300"/>
      <c r="AD26" s="1300"/>
      <c r="AE26" s="674"/>
      <c r="AF26" s="674"/>
      <c r="AG26" s="674"/>
      <c r="AH26" s="1300"/>
      <c r="AI26" s="1300"/>
      <c r="AJ26" s="44"/>
      <c r="AK26" s="44"/>
      <c r="AP26" s="44"/>
      <c r="AQ26" s="44"/>
      <c r="AT26" s="1389"/>
      <c r="AU26" s="1389"/>
      <c r="AV26" s="1389"/>
      <c r="AW26" s="1390"/>
      <c r="AX26" s="1390"/>
      <c r="AY26" s="674"/>
      <c r="AZ26" s="674"/>
      <c r="BA26" s="674"/>
      <c r="BB26" s="1300"/>
      <c r="BC26" s="1300"/>
      <c r="BD26" s="674"/>
      <c r="BE26" s="674"/>
      <c r="BF26" s="674"/>
      <c r="BG26" s="1300"/>
      <c r="BH26" s="1300"/>
      <c r="BM26" s="51"/>
      <c r="BN26" s="51"/>
      <c r="BO26" s="51"/>
      <c r="BP26" s="51"/>
      <c r="BQ26" s="51"/>
      <c r="BR26" s="51"/>
      <c r="BW26" s="27"/>
      <c r="BX26" s="27"/>
      <c r="BY26" s="27"/>
      <c r="BZ26" s="27"/>
      <c r="CA26" s="27"/>
      <c r="CB26" s="27"/>
    </row>
    <row r="27" spans="1:80" ht="21.75" hidden="1" thickTop="1" x14ac:dyDescent="0.25">
      <c r="A27" s="1395"/>
      <c r="B27" s="1395"/>
      <c r="C27" s="1395"/>
      <c r="D27" s="149"/>
      <c r="E27" s="149"/>
      <c r="F27" s="676"/>
      <c r="G27" s="676"/>
      <c r="H27" s="676"/>
      <c r="I27" s="36"/>
      <c r="J27" s="36"/>
      <c r="K27" s="676"/>
      <c r="L27" s="676"/>
      <c r="M27" s="676"/>
      <c r="N27" s="36"/>
      <c r="O27" s="36"/>
      <c r="P27" s="676"/>
      <c r="Q27" s="676"/>
      <c r="R27" s="676"/>
      <c r="S27" s="36"/>
      <c r="T27" s="36"/>
      <c r="U27" s="676"/>
      <c r="V27" s="676"/>
      <c r="W27" s="676"/>
      <c r="X27" s="36"/>
      <c r="Y27" s="36"/>
      <c r="Z27" s="676"/>
      <c r="AA27" s="676"/>
      <c r="AB27" s="676"/>
      <c r="AC27" s="36"/>
      <c r="AD27" s="36"/>
      <c r="AE27" s="676"/>
      <c r="AF27" s="676"/>
      <c r="AG27" s="676"/>
      <c r="AH27" s="36"/>
      <c r="AI27" s="36"/>
      <c r="AJ27" s="47"/>
      <c r="AK27" s="47"/>
      <c r="AP27" s="47"/>
      <c r="AQ27" s="47"/>
      <c r="AT27" s="1388"/>
      <c r="AU27" s="1388"/>
      <c r="AV27" s="1388"/>
      <c r="AW27" s="139"/>
      <c r="AX27" s="139"/>
      <c r="AY27" s="676"/>
      <c r="AZ27" s="676"/>
      <c r="BA27" s="676"/>
      <c r="BB27" s="36"/>
      <c r="BC27" s="36"/>
      <c r="BD27" s="676"/>
      <c r="BE27" s="676"/>
      <c r="BF27" s="676"/>
      <c r="BG27" s="36"/>
      <c r="BH27" s="36"/>
    </row>
    <row r="28" spans="1:80" ht="36.75" hidden="1" thickTop="1" x14ac:dyDescent="0.25">
      <c r="A28" s="1395"/>
      <c r="B28" s="1395"/>
      <c r="C28" s="1395"/>
      <c r="D28" s="150"/>
      <c r="E28" s="149"/>
      <c r="F28" s="676"/>
      <c r="G28" s="676"/>
      <c r="H28" s="676"/>
      <c r="I28" s="140"/>
      <c r="J28" s="36"/>
      <c r="K28" s="676"/>
      <c r="L28" s="676"/>
      <c r="M28" s="676"/>
      <c r="N28" s="140"/>
      <c r="O28" s="36"/>
      <c r="P28" s="676"/>
      <c r="Q28" s="676"/>
      <c r="R28" s="676"/>
      <c r="S28" s="140"/>
      <c r="T28" s="36"/>
      <c r="U28" s="676"/>
      <c r="V28" s="676"/>
      <c r="W28" s="676"/>
      <c r="X28" s="140"/>
      <c r="Y28" s="36"/>
      <c r="Z28" s="676"/>
      <c r="AA28" s="676"/>
      <c r="AB28" s="676"/>
      <c r="AC28" s="140"/>
      <c r="AD28" s="36"/>
      <c r="AE28" s="676"/>
      <c r="AF28" s="676"/>
      <c r="AG28" s="676"/>
      <c r="AH28" s="36"/>
      <c r="AI28" s="36"/>
      <c r="AJ28" s="47"/>
      <c r="AK28" s="47"/>
      <c r="AP28" s="47"/>
      <c r="AQ28" s="47"/>
      <c r="AT28" s="1388"/>
      <c r="AU28" s="1388"/>
      <c r="AV28" s="1388"/>
      <c r="AW28" s="139"/>
      <c r="AX28" s="139"/>
      <c r="AY28" s="676"/>
      <c r="AZ28" s="676"/>
      <c r="BA28" s="676"/>
      <c r="BB28" s="36"/>
      <c r="BC28" s="36"/>
      <c r="BD28" s="676"/>
      <c r="BE28" s="676"/>
      <c r="BF28" s="676"/>
      <c r="BG28" s="36"/>
      <c r="BH28" s="36"/>
    </row>
    <row r="29" spans="1:80" ht="21.75" hidden="1" thickTop="1" x14ac:dyDescent="0.25">
      <c r="A29" s="1395"/>
      <c r="B29" s="1395"/>
      <c r="C29" s="1395"/>
      <c r="D29" s="149"/>
      <c r="E29" s="149"/>
      <c r="F29" s="676"/>
      <c r="G29" s="676"/>
      <c r="H29" s="676"/>
      <c r="I29" s="36"/>
      <c r="J29" s="36"/>
      <c r="K29" s="676"/>
      <c r="L29" s="676"/>
      <c r="M29" s="676"/>
      <c r="N29" s="36"/>
      <c r="O29" s="36"/>
      <c r="P29" s="676"/>
      <c r="Q29" s="676"/>
      <c r="R29" s="676"/>
      <c r="S29" s="36"/>
      <c r="T29" s="36"/>
      <c r="U29" s="676"/>
      <c r="V29" s="676"/>
      <c r="W29" s="676"/>
      <c r="X29" s="36"/>
      <c r="Y29" s="36"/>
      <c r="Z29" s="676"/>
      <c r="AA29" s="676"/>
      <c r="AB29" s="676"/>
      <c r="AC29" s="36"/>
      <c r="AD29" s="36"/>
      <c r="AE29" s="676"/>
      <c r="AF29" s="676"/>
      <c r="AG29" s="676"/>
      <c r="AH29" s="36"/>
      <c r="AI29" s="36"/>
      <c r="AJ29" s="47"/>
      <c r="AK29" s="47"/>
      <c r="AP29" s="47"/>
      <c r="AQ29" s="47"/>
      <c r="AR29" s="36"/>
      <c r="AS29" s="36"/>
      <c r="AT29" s="1388"/>
      <c r="AU29" s="1388"/>
      <c r="AV29" s="1388"/>
      <c r="AW29" s="139"/>
      <c r="AX29" s="139"/>
      <c r="AY29" s="676"/>
      <c r="AZ29" s="676"/>
      <c r="BA29" s="676"/>
      <c r="BB29" s="36"/>
      <c r="BC29" s="36"/>
      <c r="BD29" s="676"/>
      <c r="BE29" s="676"/>
      <c r="BF29" s="676"/>
      <c r="BG29" s="36"/>
      <c r="BH29" s="36"/>
    </row>
    <row r="30" spans="1:80" ht="78" hidden="1" thickTop="1" x14ac:dyDescent="0.25">
      <c r="A30" s="1400"/>
      <c r="B30" s="1401"/>
      <c r="C30" s="1401"/>
      <c r="D30" s="1401"/>
      <c r="E30" s="1401"/>
      <c r="F30" s="1370"/>
      <c r="G30" s="1371"/>
      <c r="H30" s="1371"/>
      <c r="I30" s="1371"/>
      <c r="J30" s="1371"/>
      <c r="K30" s="1370"/>
      <c r="L30" s="1371"/>
      <c r="M30" s="1371"/>
      <c r="N30" s="1371"/>
      <c r="O30" s="1371"/>
      <c r="P30" s="1370"/>
      <c r="Q30" s="1371"/>
      <c r="R30" s="1371"/>
      <c r="S30" s="1371"/>
      <c r="T30" s="1371"/>
      <c r="U30" s="1370"/>
      <c r="V30" s="1371"/>
      <c r="W30" s="1371"/>
      <c r="X30" s="1371"/>
      <c r="Y30" s="1371"/>
      <c r="Z30" s="1370"/>
      <c r="AA30" s="1371"/>
      <c r="AB30" s="1371"/>
      <c r="AC30" s="1371"/>
      <c r="AD30" s="1371"/>
      <c r="AE30" s="677"/>
      <c r="AF30" s="1332"/>
      <c r="AG30" s="1332"/>
      <c r="AH30" s="1332"/>
      <c r="AI30" s="1332"/>
      <c r="AJ30" s="70"/>
      <c r="AR30" s="132"/>
      <c r="AS30" s="132"/>
      <c r="AT30" s="677"/>
      <c r="AU30" s="1332"/>
      <c r="AV30" s="1332"/>
      <c r="AW30" s="1332"/>
      <c r="AX30" s="1332"/>
      <c r="AY30" s="677"/>
      <c r="AZ30" s="1332"/>
      <c r="BA30" s="1332"/>
      <c r="BB30" s="1332"/>
      <c r="BC30" s="1332"/>
      <c r="BD30" s="677" t="s">
        <v>254</v>
      </c>
      <c r="BE30" s="1332"/>
      <c r="BF30" s="1332"/>
      <c r="BG30" s="1332"/>
      <c r="BH30" s="1332"/>
      <c r="BM30" s="51"/>
      <c r="BN30" s="51"/>
      <c r="BO30" s="51"/>
      <c r="BP30" s="51"/>
      <c r="BQ30" s="51"/>
      <c r="BR30" s="51"/>
      <c r="BW30" s="27"/>
      <c r="BX30" s="27"/>
      <c r="BY30" s="27"/>
      <c r="BZ30" s="27"/>
      <c r="CA30" s="27"/>
      <c r="CB30" s="27"/>
    </row>
    <row r="31" spans="1:80" ht="138.75" customHeight="1" x14ac:dyDescent="0.25">
      <c r="A31" s="1400"/>
      <c r="B31" s="158"/>
      <c r="C31" s="159"/>
      <c r="D31" s="160"/>
      <c r="E31" s="161"/>
      <c r="F31" s="1370"/>
      <c r="G31" s="32"/>
      <c r="H31" s="33"/>
      <c r="I31" s="34"/>
      <c r="J31" s="35"/>
      <c r="K31" s="1370"/>
      <c r="L31" s="32"/>
      <c r="M31" s="33"/>
      <c r="N31" s="34"/>
      <c r="O31" s="35"/>
      <c r="P31" s="1370"/>
      <c r="Q31" s="32"/>
      <c r="R31" s="33"/>
      <c r="S31" s="34"/>
      <c r="T31" s="35"/>
      <c r="U31" s="1370"/>
      <c r="V31" s="32"/>
      <c r="W31" s="33"/>
      <c r="X31" s="34"/>
      <c r="Y31" s="35"/>
      <c r="Z31" s="1370"/>
      <c r="AA31" s="32"/>
      <c r="AB31" s="33"/>
      <c r="AC31" s="34"/>
      <c r="AD31" s="35"/>
      <c r="AE31" s="677"/>
      <c r="AF31" s="137"/>
      <c r="AG31" s="33"/>
      <c r="AH31" s="138"/>
      <c r="AI31" s="35"/>
      <c r="AJ31" s="70"/>
      <c r="AK31" s="137"/>
      <c r="AL31" s="33"/>
      <c r="AM31" s="138"/>
      <c r="AN31" s="35"/>
      <c r="AO31" s="70"/>
      <c r="AP31" s="137"/>
      <c r="AQ31" s="33"/>
      <c r="AR31" s="138"/>
      <c r="AS31" s="35"/>
      <c r="AT31" s="677"/>
      <c r="AU31" s="137"/>
      <c r="AV31" s="33"/>
      <c r="AW31" s="138"/>
      <c r="AX31" s="35"/>
      <c r="AY31" s="677"/>
      <c r="AZ31" s="137" t="s">
        <v>16</v>
      </c>
      <c r="BA31" s="33"/>
      <c r="BB31" s="138"/>
      <c r="BC31" s="35"/>
      <c r="BD31" s="677"/>
      <c r="BE31" s="137" t="s">
        <v>15</v>
      </c>
      <c r="BF31" s="33"/>
      <c r="BG31" s="138"/>
      <c r="BH31" s="35"/>
      <c r="BM31" s="51"/>
      <c r="BN31" s="51"/>
      <c r="BO31" s="51"/>
      <c r="BP31" s="51"/>
      <c r="BQ31" s="51"/>
      <c r="BR31" s="51"/>
      <c r="BW31" s="27"/>
      <c r="BX31" s="27"/>
      <c r="BY31" s="27"/>
      <c r="BZ31" s="27"/>
      <c r="CA31" s="27"/>
      <c r="CB31" s="27"/>
    </row>
    <row r="32" spans="1:80" ht="61.5" customHeight="1" x14ac:dyDescent="0.25">
      <c r="A32" s="31"/>
      <c r="B32" s="162"/>
      <c r="C32" s="162"/>
      <c r="D32" s="162"/>
      <c r="F32" s="163"/>
      <c r="G32" s="163"/>
      <c r="H32" s="1413">
        <v>3</v>
      </c>
      <c r="I32" s="1413"/>
      <c r="J32" s="1413"/>
      <c r="K32" s="164"/>
      <c r="L32" s="160"/>
      <c r="M32" s="160"/>
      <c r="N32" s="160"/>
      <c r="O32" s="160"/>
      <c r="P32" s="160"/>
      <c r="Q32" s="1414" t="s">
        <v>255</v>
      </c>
      <c r="R32" s="1414"/>
      <c r="S32" s="1414"/>
      <c r="T32" s="1414"/>
      <c r="U32" s="1414"/>
      <c r="V32" s="1414"/>
      <c r="W32" s="165"/>
      <c r="X32" s="1409" t="s">
        <v>256</v>
      </c>
      <c r="Y32" s="1409"/>
      <c r="Z32" s="1409"/>
      <c r="AA32" s="1409"/>
      <c r="AB32" s="1409"/>
      <c r="AC32" s="1415">
        <f>B7+G7+L7+Q7+V7+AA7+AF7+AK7+AP7+AU7+AU13+AP13+AK13+AF13+AA13+V13+Q13+L13+G13+B13+B19</f>
        <v>0.86360000000001003</v>
      </c>
      <c r="AD32" s="1415"/>
      <c r="AE32" s="1415"/>
      <c r="AF32" s="1415"/>
      <c r="AG32" s="1415"/>
      <c r="AH32" s="1415"/>
      <c r="AI32" s="166"/>
      <c r="AJ32" s="1416" t="s">
        <v>119</v>
      </c>
      <c r="AK32" s="1416"/>
      <c r="AL32" s="1416"/>
      <c r="AM32" s="1416"/>
      <c r="AN32" s="1416"/>
      <c r="AO32" s="1417">
        <f>D7+I7+N7+S7+X7+AC7+AH7+AM7+AR7+AW7+AW13+AR13+AM13+AH13+AC13+X13+S13+N13+I13+D13+D19</f>
        <v>1</v>
      </c>
      <c r="AP32" s="1417"/>
      <c r="AQ32" s="1417"/>
      <c r="AR32" s="1417"/>
      <c r="AS32" s="1417"/>
      <c r="AT32" s="1402" t="s">
        <v>120</v>
      </c>
      <c r="AU32" s="1402"/>
      <c r="AV32" s="1402"/>
      <c r="AW32" s="1402"/>
      <c r="AX32" s="127"/>
      <c r="AY32" s="72"/>
      <c r="AZ32" s="72"/>
      <c r="BA32" s="72"/>
      <c r="BB32" s="72"/>
      <c r="BC32" s="72"/>
      <c r="BD32" s="72"/>
      <c r="BE32" t="s">
        <v>16</v>
      </c>
      <c r="BF32" s="167"/>
      <c r="BG32" s="167"/>
      <c r="BH32" s="167"/>
      <c r="BM32" s="51"/>
      <c r="BN32" s="51"/>
      <c r="BO32" s="51"/>
      <c r="BP32" s="51"/>
      <c r="BQ32" s="51"/>
      <c r="BR32" s="51"/>
      <c r="BW32" s="27"/>
      <c r="BX32" s="27"/>
      <c r="BY32" s="27"/>
      <c r="BZ32" s="27"/>
      <c r="CA32" s="27"/>
      <c r="CB32" s="27"/>
    </row>
    <row r="33" spans="1:80" ht="30" customHeight="1" x14ac:dyDescent="0.25">
      <c r="B33" s="162"/>
      <c r="C33" s="162"/>
      <c r="D33" s="162"/>
      <c r="E33" s="163"/>
      <c r="F33" s="163"/>
      <c r="G33" s="163"/>
      <c r="H33" s="1413"/>
      <c r="I33" s="1413"/>
      <c r="J33" s="1413"/>
      <c r="K33" s="168"/>
      <c r="L33" s="160"/>
      <c r="M33" s="160"/>
      <c r="N33" s="160"/>
      <c r="O33" s="160"/>
      <c r="P33" s="160"/>
      <c r="Q33" s="1414"/>
      <c r="R33" s="1414"/>
      <c r="S33" s="1414"/>
      <c r="T33" s="1414"/>
      <c r="U33" s="1414"/>
      <c r="V33" s="1414"/>
      <c r="W33" s="169"/>
      <c r="X33" s="1409"/>
      <c r="Y33" s="1409"/>
      <c r="Z33" s="1409"/>
      <c r="AA33" s="1409"/>
      <c r="AB33" s="1409"/>
      <c r="AC33" s="1415"/>
      <c r="AD33" s="1415"/>
      <c r="AE33" s="1415"/>
      <c r="AF33" s="1415"/>
      <c r="AG33" s="1415"/>
      <c r="AH33" s="1415"/>
      <c r="AI33" s="166"/>
      <c r="AJ33" s="1416"/>
      <c r="AK33" s="1416"/>
      <c r="AL33" s="1416"/>
      <c r="AM33" s="1416"/>
      <c r="AN33" s="1416"/>
      <c r="AO33" s="1417"/>
      <c r="AP33" s="1417"/>
      <c r="AQ33" s="1417"/>
      <c r="AR33" s="1417"/>
      <c r="AS33" s="1417"/>
      <c r="AT33" s="1402"/>
      <c r="AU33" s="1402"/>
      <c r="AV33" s="1402"/>
      <c r="AW33" s="1402"/>
      <c r="BI33" s="50"/>
      <c r="BJ33" s="50"/>
      <c r="BM33" s="51"/>
      <c r="BN33" s="51"/>
      <c r="BO33" s="51"/>
      <c r="BP33" s="51"/>
      <c r="BQ33" s="51"/>
      <c r="BR33" s="51"/>
      <c r="BS33" s="27"/>
      <c r="BT33" s="27"/>
      <c r="BU33" s="27"/>
      <c r="BW33" s="27"/>
      <c r="BX33" s="27"/>
      <c r="BY33" s="27"/>
      <c r="BZ33" s="27"/>
      <c r="CA33" s="27"/>
      <c r="CB33" s="27"/>
    </row>
    <row r="34" spans="1:80" ht="15" customHeight="1" x14ac:dyDescent="0.25">
      <c r="B34" s="162"/>
      <c r="C34" s="162"/>
      <c r="D34" s="162"/>
      <c r="E34" s="163"/>
      <c r="F34" s="163"/>
      <c r="G34" s="163"/>
      <c r="H34" s="168"/>
      <c r="I34" s="168"/>
      <c r="J34" s="168"/>
      <c r="K34" s="168"/>
      <c r="L34" s="160"/>
      <c r="M34" s="160"/>
      <c r="N34" s="160"/>
      <c r="O34" s="160"/>
      <c r="P34" s="160"/>
      <c r="Q34" s="1414"/>
      <c r="R34" s="1414"/>
      <c r="S34" s="1414"/>
      <c r="T34" s="1414"/>
      <c r="U34" s="1414"/>
      <c r="V34" s="1414"/>
      <c r="W34" s="169"/>
      <c r="X34" s="1409"/>
      <c r="Y34" s="1409"/>
      <c r="Z34" s="1409"/>
      <c r="AA34" s="1409"/>
      <c r="AB34" s="1409"/>
      <c r="AC34" s="1415"/>
      <c r="AD34" s="1415"/>
      <c r="AE34" s="1415"/>
      <c r="AF34" s="1415"/>
      <c r="AG34" s="1415"/>
      <c r="AH34" s="1415"/>
      <c r="AI34" s="166"/>
      <c r="AJ34" s="1416"/>
      <c r="AK34" s="1416"/>
      <c r="AL34" s="1416"/>
      <c r="AM34" s="1416"/>
      <c r="AN34" s="1416"/>
      <c r="AO34" s="1403">
        <f>AO32*1.5</f>
        <v>1.5</v>
      </c>
      <c r="AP34" s="1403"/>
      <c r="AQ34" s="1403"/>
      <c r="AR34" s="1403"/>
      <c r="AS34" s="1403"/>
      <c r="AT34" s="1403"/>
      <c r="AU34" s="1403"/>
      <c r="AV34" s="1404" t="s">
        <v>121</v>
      </c>
      <c r="AW34" s="1404"/>
      <c r="BI34" s="50"/>
      <c r="BJ34" s="50"/>
      <c r="BM34" s="27"/>
      <c r="BN34" s="27"/>
      <c r="BO34" s="27"/>
      <c r="BP34" s="27"/>
      <c r="BQ34" s="27"/>
      <c r="BR34" s="27"/>
      <c r="BS34" s="27"/>
      <c r="BT34" s="27"/>
      <c r="BU34" s="27"/>
      <c r="BW34" s="27"/>
      <c r="BX34" s="27"/>
      <c r="BY34" s="27"/>
      <c r="BZ34" s="27"/>
      <c r="CA34" s="27"/>
      <c r="CB34" s="27"/>
    </row>
    <row r="35" spans="1:80" ht="54.75" customHeight="1" x14ac:dyDescent="0.25">
      <c r="B35" s="162"/>
      <c r="C35" s="162"/>
      <c r="D35" s="162"/>
      <c r="E35" s="163"/>
      <c r="F35" s="163"/>
      <c r="G35" s="163"/>
      <c r="H35" s="1405" cm="1">
        <f t="array" aca="1" ref="H35" ca="1">SUM(COUNTIF(INDIRECT({"B7","G7","L7","Q7","V7","AA7","AF7","AK7","AP7","AU7","B13","G13","L13","Q13","V13","AA13","AF13","AK13","AP13","AU13","B19","G19","L19","Q19","V19","AA19"}),"&gt;0"))</f>
        <v>2</v>
      </c>
      <c r="I35" s="1405"/>
      <c r="J35" s="1405"/>
      <c r="K35" s="168"/>
      <c r="L35" s="160"/>
      <c r="M35" s="160"/>
      <c r="N35" s="160"/>
      <c r="O35" s="160"/>
      <c r="P35" s="160"/>
      <c r="Q35" s="2295" t="s">
        <v>13</v>
      </c>
      <c r="R35" s="2296"/>
      <c r="S35" s="2296"/>
      <c r="T35" s="2296"/>
      <c r="U35" s="2296"/>
      <c r="V35" s="2296"/>
      <c r="W35" s="169"/>
      <c r="X35" s="1409"/>
      <c r="Y35" s="1409"/>
      <c r="Z35" s="1409"/>
      <c r="AA35" s="1409"/>
      <c r="AB35" s="1409"/>
      <c r="AC35" s="1415"/>
      <c r="AD35" s="1415"/>
      <c r="AE35" s="1415"/>
      <c r="AF35" s="1415"/>
      <c r="AG35" s="1415"/>
      <c r="AH35" s="1415"/>
      <c r="AI35" s="166"/>
      <c r="AJ35" s="1416"/>
      <c r="AK35" s="1416"/>
      <c r="AL35" s="1416"/>
      <c r="AM35" s="1416"/>
      <c r="AN35" s="1416"/>
      <c r="AO35" s="1403"/>
      <c r="AP35" s="1403"/>
      <c r="AQ35" s="1403"/>
      <c r="AR35" s="1403"/>
      <c r="AS35" s="1403"/>
      <c r="AT35" s="1403"/>
      <c r="AU35" s="1403"/>
      <c r="AV35" s="1404"/>
      <c r="AW35" s="1404"/>
      <c r="BI35" s="50"/>
      <c r="BJ35" s="50"/>
      <c r="BM35" s="27"/>
      <c r="BN35" s="27"/>
      <c r="BO35" s="27"/>
      <c r="BP35" s="27"/>
      <c r="BQ35" s="27"/>
      <c r="BR35" s="27"/>
      <c r="BS35" s="27"/>
      <c r="BT35" s="27"/>
      <c r="BU35" s="27"/>
      <c r="BW35" s="27"/>
      <c r="BX35" s="27"/>
      <c r="BY35" s="27"/>
      <c r="BZ35" s="27"/>
      <c r="CA35" s="27"/>
      <c r="CB35" s="27"/>
    </row>
    <row r="36" spans="1:80" ht="65.25" customHeight="1" x14ac:dyDescent="0.25">
      <c r="B36" s="162"/>
      <c r="C36" s="162"/>
      <c r="D36" s="162"/>
      <c r="E36" s="162"/>
      <c r="F36" s="162"/>
      <c r="G36" s="164"/>
      <c r="H36" s="1408"/>
      <c r="I36" s="1408"/>
      <c r="J36" s="1408"/>
      <c r="K36" s="168"/>
      <c r="L36" s="160"/>
      <c r="M36" s="160"/>
      <c r="N36" s="160"/>
      <c r="O36" s="160"/>
      <c r="P36" s="160"/>
      <c r="Q36" s="2296"/>
      <c r="R36" s="2296"/>
      <c r="S36" s="2296"/>
      <c r="T36" s="2296"/>
      <c r="U36" s="2296"/>
      <c r="V36" s="2296"/>
      <c r="W36" s="169"/>
      <c r="X36" s="1409"/>
      <c r="Y36" s="1409"/>
      <c r="Z36" s="1409"/>
      <c r="AA36" s="1409"/>
      <c r="AB36" s="1409"/>
      <c r="AC36" s="1415"/>
      <c r="AD36" s="1415"/>
      <c r="AE36" s="1415"/>
      <c r="AF36" s="1415"/>
      <c r="AG36" s="1415"/>
      <c r="AH36" s="1415"/>
      <c r="AI36" s="166"/>
      <c r="AJ36" s="1416"/>
      <c r="AK36" s="1416"/>
      <c r="AL36" s="1416"/>
      <c r="AM36" s="1416"/>
      <c r="AN36" s="1416"/>
      <c r="AO36" s="1403"/>
      <c r="AP36" s="1403"/>
      <c r="AQ36" s="1403"/>
      <c r="AR36" s="1403"/>
      <c r="AS36" s="1403"/>
      <c r="AT36" s="1403"/>
      <c r="AU36" s="1403"/>
      <c r="AV36" s="1404"/>
      <c r="AW36" s="1404"/>
      <c r="BI36" s="50"/>
      <c r="BJ36" s="50"/>
      <c r="BM36" s="27"/>
      <c r="BN36" s="27"/>
      <c r="BO36" s="27"/>
      <c r="BP36" s="27"/>
      <c r="BQ36" s="27"/>
      <c r="BR36" s="27"/>
      <c r="BS36" s="27"/>
      <c r="BT36" s="27"/>
      <c r="BU36" s="27"/>
      <c r="BW36" s="27"/>
      <c r="BX36" s="27"/>
      <c r="BY36" s="27"/>
      <c r="BZ36" s="27"/>
      <c r="CA36" s="27"/>
      <c r="CB36" s="27"/>
    </row>
    <row r="37" spans="1:80" ht="15" customHeight="1" x14ac:dyDescent="0.25">
      <c r="B37" s="162"/>
      <c r="C37" s="162"/>
      <c r="D37" s="162"/>
      <c r="E37" s="162"/>
      <c r="F37" s="162"/>
      <c r="G37" s="164"/>
      <c r="H37" s="1408"/>
      <c r="I37" s="1408"/>
      <c r="J37" s="1408"/>
      <c r="K37" s="164"/>
      <c r="L37" s="165"/>
      <c r="M37" s="165"/>
      <c r="N37" s="165"/>
      <c r="O37" s="165"/>
      <c r="P37" s="165"/>
      <c r="Q37" s="2296"/>
      <c r="R37" s="2296"/>
      <c r="S37" s="2296"/>
      <c r="T37" s="2296"/>
      <c r="U37" s="2296"/>
      <c r="V37" s="2296"/>
      <c r="W37" s="165"/>
      <c r="X37" s="1409" t="s">
        <v>257</v>
      </c>
      <c r="Y37" s="1409"/>
      <c r="Z37" s="1409"/>
      <c r="AA37" s="1409"/>
      <c r="AB37" s="1409"/>
      <c r="AC37" s="1410">
        <f>AC32-AD45</f>
        <v>0</v>
      </c>
      <c r="AD37" s="1410"/>
      <c r="AE37" s="1410"/>
      <c r="AF37" s="1410"/>
      <c r="AG37" s="1410"/>
      <c r="AH37" s="1410"/>
      <c r="AI37" s="166"/>
      <c r="AJ37" s="1416"/>
      <c r="AK37" s="1416"/>
      <c r="AL37" s="1416"/>
      <c r="AM37" s="1416"/>
      <c r="AN37" s="1416"/>
      <c r="AO37" s="1403"/>
      <c r="AP37" s="1403"/>
      <c r="AQ37" s="1403"/>
      <c r="AR37" s="1403"/>
      <c r="AS37" s="1403"/>
      <c r="AT37" s="1403"/>
      <c r="AU37" s="1403"/>
      <c r="AV37" s="1404"/>
      <c r="AW37" s="1404"/>
      <c r="BI37" s="53"/>
      <c r="BJ37" s="53"/>
    </row>
    <row r="38" spans="1:80" ht="28.5" customHeight="1" x14ac:dyDescent="0.25">
      <c r="B38" s="162"/>
      <c r="C38" s="162"/>
      <c r="D38" s="162"/>
      <c r="E38" s="162"/>
      <c r="F38" s="162"/>
      <c r="G38" s="164"/>
      <c r="H38" s="1411"/>
      <c r="I38" s="1411"/>
      <c r="J38" s="1411"/>
      <c r="K38" s="168"/>
      <c r="L38" s="165"/>
      <c r="M38" s="165"/>
      <c r="N38" s="165"/>
      <c r="O38" s="165"/>
      <c r="P38" s="165"/>
      <c r="Q38" s="2296"/>
      <c r="R38" s="2296"/>
      <c r="S38" s="2296"/>
      <c r="T38" s="2296"/>
      <c r="U38" s="2296"/>
      <c r="V38" s="2296"/>
      <c r="W38" s="165"/>
      <c r="X38" s="1409"/>
      <c r="Y38" s="1409"/>
      <c r="Z38" s="1409"/>
      <c r="AA38" s="1409"/>
      <c r="AB38" s="1409"/>
      <c r="AC38" s="1410"/>
      <c r="AD38" s="1410"/>
      <c r="AE38" s="1410"/>
      <c r="AF38" s="1410"/>
      <c r="AG38" s="1410"/>
      <c r="AH38" s="1410"/>
      <c r="AI38" s="166"/>
      <c r="AJ38" s="1416"/>
      <c r="AK38" s="1416"/>
      <c r="AL38" s="1416"/>
      <c r="AM38" s="1416"/>
      <c r="AN38" s="1416"/>
      <c r="AO38" s="1403"/>
      <c r="AP38" s="1403"/>
      <c r="AQ38" s="1403"/>
      <c r="AR38" s="1403"/>
      <c r="AS38" s="1403"/>
      <c r="AT38" s="1403"/>
      <c r="AU38" s="1403"/>
      <c r="AV38" s="1404"/>
      <c r="AW38" s="1404"/>
      <c r="BI38" s="53"/>
      <c r="BJ38" s="53"/>
    </row>
    <row r="39" spans="1:80" ht="15" customHeight="1" x14ac:dyDescent="0.25">
      <c r="B39" s="162"/>
      <c r="C39" s="162"/>
      <c r="D39" s="162"/>
      <c r="E39" s="162"/>
      <c r="F39" s="162"/>
      <c r="G39" s="164"/>
      <c r="H39" s="1411"/>
      <c r="I39" s="1411"/>
      <c r="J39" s="1411"/>
      <c r="K39" s="168"/>
      <c r="L39" s="165"/>
      <c r="M39" s="165"/>
      <c r="N39" s="165"/>
      <c r="O39" s="165"/>
      <c r="P39" s="165"/>
      <c r="Q39" s="2296"/>
      <c r="R39" s="2296"/>
      <c r="S39" s="2296"/>
      <c r="T39" s="2296"/>
      <c r="U39" s="2296"/>
      <c r="V39" s="2296"/>
      <c r="W39" s="165"/>
      <c r="X39" s="1409"/>
      <c r="Y39" s="1409"/>
      <c r="Z39" s="1409"/>
      <c r="AA39" s="1409"/>
      <c r="AB39" s="1409"/>
      <c r="AC39" s="1410"/>
      <c r="AD39" s="1410"/>
      <c r="AE39" s="1410"/>
      <c r="AF39" s="1410"/>
      <c r="AG39" s="1410"/>
      <c r="AH39" s="1410"/>
      <c r="AI39" s="166"/>
      <c r="AJ39" s="1416"/>
      <c r="AK39" s="1416"/>
      <c r="AL39" s="1416"/>
      <c r="AM39" s="1416"/>
      <c r="AN39" s="1416"/>
      <c r="AO39" s="1403"/>
      <c r="AP39" s="1403"/>
      <c r="AQ39" s="1403"/>
      <c r="AR39" s="1403"/>
      <c r="AS39" s="1403"/>
      <c r="AT39" s="1403"/>
      <c r="AU39" s="1403"/>
      <c r="AV39" s="1404"/>
      <c r="AW39" s="1404"/>
      <c r="BI39" s="53"/>
      <c r="BJ39" s="53"/>
    </row>
    <row r="40" spans="1:80" ht="42.75" customHeight="1" x14ac:dyDescent="0.35">
      <c r="A40" s="54"/>
      <c r="B40" s="162"/>
      <c r="C40" s="162"/>
      <c r="D40" s="162"/>
      <c r="E40" s="162"/>
      <c r="F40" s="162"/>
      <c r="G40" s="164"/>
      <c r="H40" s="1411"/>
      <c r="I40" s="1411"/>
      <c r="J40" s="1411"/>
      <c r="K40" s="168"/>
      <c r="L40" s="165"/>
      <c r="M40" s="165"/>
      <c r="N40" s="165"/>
      <c r="O40" s="165"/>
      <c r="P40" s="165"/>
      <c r="Q40" s="2296"/>
      <c r="R40" s="2296"/>
      <c r="S40" s="2296"/>
      <c r="T40" s="2296"/>
      <c r="U40" s="2296"/>
      <c r="V40" s="2296"/>
      <c r="W40" s="165"/>
      <c r="X40" s="1409"/>
      <c r="Y40" s="1409"/>
      <c r="Z40" s="1409"/>
      <c r="AA40" s="1409"/>
      <c r="AB40" s="1409"/>
      <c r="AC40" s="1410"/>
      <c r="AD40" s="1410"/>
      <c r="AE40" s="1410"/>
      <c r="AF40" s="1410"/>
      <c r="AG40" s="1410"/>
      <c r="AH40" s="1410"/>
      <c r="AI40" s="166"/>
      <c r="AJ40" s="1416"/>
      <c r="AK40" s="1416"/>
      <c r="AL40" s="1416"/>
      <c r="AM40" s="1416"/>
      <c r="AN40" s="1416"/>
      <c r="AO40" s="1403"/>
      <c r="AP40" s="1403"/>
      <c r="AQ40" s="1403"/>
      <c r="AR40" s="1403"/>
      <c r="AS40" s="1403"/>
      <c r="AT40" s="1403"/>
      <c r="AU40" s="1403"/>
      <c r="AV40" s="1404"/>
      <c r="AW40" s="1404"/>
      <c r="BI40" s="53"/>
      <c r="BJ40" s="53"/>
    </row>
    <row r="41" spans="1:80" ht="38.25" customHeight="1" x14ac:dyDescent="0.35">
      <c r="A41" s="54"/>
      <c r="B41" s="162"/>
      <c r="C41" s="162"/>
      <c r="D41" s="162"/>
      <c r="E41" s="162"/>
      <c r="F41" s="162"/>
      <c r="G41" s="164"/>
      <c r="H41" s="1412"/>
      <c r="I41" s="1412"/>
      <c r="J41" s="1412"/>
      <c r="K41" s="168"/>
      <c r="L41" s="175"/>
      <c r="M41" s="175"/>
      <c r="N41" s="175"/>
      <c r="O41" s="175"/>
      <c r="P41" s="175"/>
      <c r="Q41" s="2296"/>
      <c r="R41" s="2296"/>
      <c r="S41" s="2296"/>
      <c r="T41" s="2296"/>
      <c r="U41" s="2296"/>
      <c r="V41" s="2296"/>
      <c r="W41" s="176"/>
      <c r="X41" s="1409"/>
      <c r="Y41" s="1409"/>
      <c r="Z41" s="1409"/>
      <c r="AA41" s="1409"/>
      <c r="AB41" s="1409"/>
      <c r="AC41" s="1410"/>
      <c r="AD41" s="1410"/>
      <c r="AE41" s="1410"/>
      <c r="AF41" s="1410"/>
      <c r="AG41" s="1410"/>
      <c r="AH41" s="1410"/>
      <c r="AI41" s="166"/>
      <c r="AJ41" s="1416"/>
      <c r="AK41" s="1416"/>
      <c r="AL41" s="1416"/>
      <c r="AM41" s="1416"/>
      <c r="AN41" s="1416"/>
      <c r="AO41" s="1418"/>
      <c r="AP41" s="1418"/>
      <c r="AQ41" s="1418"/>
      <c r="AR41" s="1418"/>
      <c r="AS41" s="1418"/>
      <c r="AT41" s="1418"/>
      <c r="AU41" s="1418"/>
      <c r="AV41" s="1418"/>
      <c r="AW41" s="1418"/>
      <c r="AX41" s="54"/>
      <c r="AY41" s="54"/>
      <c r="BI41" s="170"/>
      <c r="BJ41" s="170"/>
    </row>
    <row r="42" spans="1:80" ht="60" customHeight="1" x14ac:dyDescent="0.35">
      <c r="H42" s="1412"/>
      <c r="I42" s="1412"/>
      <c r="J42" s="1412"/>
      <c r="L42" s="175"/>
      <c r="M42" s="175"/>
      <c r="N42" s="175"/>
      <c r="O42" s="175"/>
      <c r="P42" s="175"/>
      <c r="Q42" s="2296"/>
      <c r="R42" s="2296"/>
      <c r="S42" s="2296"/>
      <c r="T42" s="2296"/>
      <c r="U42" s="2296"/>
      <c r="V42" s="2296"/>
      <c r="W42" s="176"/>
      <c r="X42" s="1409"/>
      <c r="Y42" s="1409"/>
      <c r="Z42" s="1409"/>
      <c r="AA42" s="1409"/>
      <c r="AB42" s="1409"/>
      <c r="AC42" s="1410"/>
      <c r="AD42" s="1410"/>
      <c r="AE42" s="1410"/>
      <c r="AF42" s="1410"/>
      <c r="AG42" s="1410"/>
      <c r="AH42" s="1410"/>
      <c r="AI42" s="166"/>
      <c r="AJ42" s="1416"/>
      <c r="AK42" s="1416"/>
      <c r="AL42" s="1416"/>
      <c r="AM42" s="1416"/>
      <c r="AN42" s="1416"/>
      <c r="AO42" s="1418"/>
      <c r="AP42" s="1418"/>
      <c r="AQ42" s="1418"/>
      <c r="AR42" s="1418"/>
      <c r="AS42" s="1418"/>
      <c r="AT42" s="1418"/>
      <c r="AU42" s="1418"/>
      <c r="AV42" s="1418"/>
      <c r="AW42" s="1418"/>
      <c r="AX42" s="54"/>
      <c r="AY42" s="54"/>
      <c r="BI42" s="170"/>
      <c r="BJ42" s="170"/>
    </row>
    <row r="43" spans="1:80" ht="15" customHeight="1" x14ac:dyDescent="0.35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1"/>
      <c r="AI43" s="171"/>
      <c r="AJ43" s="171"/>
      <c r="AK43" s="171"/>
      <c r="AL43" s="171"/>
      <c r="AM43" s="171"/>
      <c r="AN43" s="171"/>
      <c r="AO43" s="172"/>
      <c r="AP43" s="172"/>
      <c r="AQ43" s="172"/>
      <c r="AR43" s="172"/>
      <c r="AS43" s="172"/>
      <c r="AT43" s="172"/>
      <c r="AU43" s="172"/>
      <c r="AV43" s="172"/>
      <c r="AW43" s="172"/>
    </row>
    <row r="44" spans="1:80" ht="15.75" customHeight="1" thickBot="1" x14ac:dyDescent="0.4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3"/>
      <c r="Y44" s="171"/>
      <c r="Z44" s="171"/>
      <c r="AA44" s="171"/>
      <c r="AB44" s="171"/>
      <c r="AC44" s="171"/>
      <c r="AD44" s="171"/>
      <c r="AE44" s="171"/>
      <c r="AF44" s="171"/>
      <c r="AG44" s="171"/>
      <c r="AH44" s="171"/>
      <c r="AI44" s="171"/>
      <c r="AJ44" s="171"/>
      <c r="AK44" s="171"/>
      <c r="AL44" s="171"/>
      <c r="AM44" s="171"/>
      <c r="AN44" s="171"/>
      <c r="AO44" s="172"/>
      <c r="AP44" s="172"/>
      <c r="AQ44" s="172"/>
      <c r="AR44" s="172"/>
      <c r="AS44" s="172"/>
      <c r="AT44" s="172"/>
      <c r="AU44" s="172"/>
      <c r="AV44" s="172"/>
      <c r="AW44" s="172"/>
    </row>
    <row r="45" spans="1:80" ht="15.75" thickTop="1" x14ac:dyDescent="0.25">
      <c r="J45" t="s">
        <v>16</v>
      </c>
      <c r="AD45" s="775">
        <v>0.86360000000001003</v>
      </c>
      <c r="AE45" s="776"/>
      <c r="AF45" s="776"/>
      <c r="AG45" s="776"/>
      <c r="AH45" s="777"/>
      <c r="AL45" s="727" t="s">
        <v>122</v>
      </c>
      <c r="AM45" s="727"/>
      <c r="AN45" s="727"/>
      <c r="AO45" s="727" t="s">
        <v>123</v>
      </c>
      <c r="AP45" s="727"/>
      <c r="AQ45" s="727"/>
      <c r="AR45" s="727" t="s">
        <v>124</v>
      </c>
      <c r="AS45" s="727"/>
      <c r="AT45" s="727" t="s">
        <v>125</v>
      </c>
      <c r="AU45" s="727"/>
      <c r="AY45" s="739" t="s">
        <v>126</v>
      </c>
      <c r="AZ45" s="740"/>
      <c r="BA45" s="740"/>
      <c r="BB45" s="740"/>
      <c r="BC45" s="740"/>
      <c r="BD45" s="740"/>
      <c r="BE45" s="740"/>
      <c r="BF45" s="740"/>
      <c r="BG45" s="740"/>
      <c r="BH45" s="741"/>
    </row>
    <row r="46" spans="1:80" x14ac:dyDescent="0.25">
      <c r="AD46" s="778"/>
      <c r="AE46" s="779"/>
      <c r="AF46" s="779"/>
      <c r="AG46" s="779"/>
      <c r="AH46" s="780"/>
      <c r="AL46" s="727"/>
      <c r="AM46" s="727"/>
      <c r="AN46" s="727"/>
      <c r="AO46" s="727"/>
      <c r="AP46" s="727"/>
      <c r="AQ46" s="727"/>
      <c r="AR46" s="727"/>
      <c r="AS46" s="727"/>
      <c r="AT46" s="727"/>
      <c r="AU46" s="727"/>
      <c r="AY46" s="750"/>
      <c r="AZ46" s="751"/>
      <c r="BA46" s="751"/>
      <c r="BB46" s="751"/>
      <c r="BC46" s="751"/>
      <c r="BD46" s="751"/>
      <c r="BE46" s="751"/>
      <c r="BF46" s="751"/>
      <c r="BG46" s="751"/>
      <c r="BH46" s="752"/>
    </row>
    <row r="47" spans="1:80" x14ac:dyDescent="0.25">
      <c r="AA47" s="56"/>
      <c r="AD47" s="778"/>
      <c r="AE47" s="779"/>
      <c r="AF47" s="779"/>
      <c r="AG47" s="779"/>
      <c r="AH47" s="780"/>
      <c r="AL47" s="727"/>
      <c r="AM47" s="727"/>
      <c r="AN47" s="727"/>
      <c r="AO47" s="727"/>
      <c r="AP47" s="727"/>
      <c r="AQ47" s="727"/>
      <c r="AR47" s="727"/>
      <c r="AS47" s="727"/>
      <c r="AT47" s="727"/>
      <c r="AU47" s="727"/>
      <c r="AY47" s="742"/>
      <c r="AZ47" s="743"/>
      <c r="BA47" s="743"/>
      <c r="BB47" s="743"/>
      <c r="BC47" s="743"/>
      <c r="BD47" s="743"/>
      <c r="BE47" s="743"/>
      <c r="BF47" s="743"/>
      <c r="BG47" s="743"/>
      <c r="BH47" s="744"/>
    </row>
    <row r="48" spans="1:80" x14ac:dyDescent="0.25">
      <c r="K48" t="s">
        <v>258</v>
      </c>
      <c r="AD48" s="778"/>
      <c r="AE48" s="779"/>
      <c r="AF48" s="779"/>
      <c r="AG48" s="779"/>
      <c r="AH48" s="780"/>
      <c r="AL48" s="727">
        <v>135</v>
      </c>
      <c r="AM48" s="727"/>
      <c r="AN48" s="727"/>
      <c r="AO48" s="727">
        <f>AT73</f>
        <v>90</v>
      </c>
      <c r="AP48" s="727"/>
      <c r="AQ48" s="727"/>
      <c r="AR48" s="1689">
        <f>AC32</f>
        <v>0.86360000000001003</v>
      </c>
      <c r="AS48" s="1689"/>
      <c r="AT48" s="1689">
        <f>AC32+AO34</f>
        <v>2.3636000000000101</v>
      </c>
      <c r="AU48" s="1689"/>
      <c r="AY48" s="727" t="s">
        <v>128</v>
      </c>
      <c r="AZ48" s="727"/>
      <c r="BA48" s="727"/>
      <c r="BB48" s="727"/>
      <c r="BC48" s="727"/>
      <c r="BD48" s="727"/>
      <c r="BE48" s="727"/>
      <c r="BF48" s="727"/>
      <c r="BG48" s="727"/>
      <c r="BH48" s="727"/>
    </row>
    <row r="49" spans="7:60" x14ac:dyDescent="0.25">
      <c r="G49" t="s">
        <v>16</v>
      </c>
      <c r="AD49" s="778"/>
      <c r="AE49" s="779"/>
      <c r="AF49" s="779"/>
      <c r="AG49" s="779"/>
      <c r="AH49" s="780"/>
      <c r="AL49" s="727"/>
      <c r="AM49" s="727"/>
      <c r="AN49" s="727"/>
      <c r="AO49" s="727"/>
      <c r="AP49" s="727"/>
      <c r="AQ49" s="727"/>
      <c r="AR49" s="1689"/>
      <c r="AS49" s="1689"/>
      <c r="AT49" s="1689"/>
      <c r="AU49" s="1689"/>
      <c r="AY49" s="727"/>
      <c r="AZ49" s="727"/>
      <c r="BA49" s="727"/>
      <c r="BB49" s="727"/>
      <c r="BC49" s="727"/>
      <c r="BD49" s="727"/>
      <c r="BE49" s="727"/>
      <c r="BF49" s="727"/>
      <c r="BG49" s="727"/>
      <c r="BH49" s="727"/>
    </row>
    <row r="50" spans="7:60" ht="15" customHeight="1" x14ac:dyDescent="0.25">
      <c r="AD50" s="778"/>
      <c r="AE50" s="779"/>
      <c r="AF50" s="779"/>
      <c r="AG50" s="779"/>
      <c r="AH50" s="780"/>
      <c r="AL50" s="727"/>
      <c r="AM50" s="727"/>
      <c r="AN50" s="727"/>
      <c r="AO50" s="727"/>
      <c r="AP50" s="727"/>
      <c r="AQ50" s="727"/>
      <c r="AR50" s="1689"/>
      <c r="AS50" s="1689"/>
      <c r="AT50" s="1689"/>
      <c r="AU50" s="1689"/>
      <c r="AY50" s="728">
        <f>AR48/((78*3.1415/59)*(AO48/3.281))</f>
        <v>7.5804798821766115E-3</v>
      </c>
      <c r="AZ50" s="729"/>
      <c r="BA50" s="729"/>
      <c r="BB50" s="729"/>
      <c r="BC50" s="729"/>
      <c r="BD50" s="729"/>
      <c r="BE50" s="729"/>
      <c r="BF50" s="729"/>
      <c r="BG50" s="729"/>
      <c r="BH50" s="730"/>
    </row>
    <row r="51" spans="7:60" ht="15.75" customHeight="1" thickBot="1" x14ac:dyDescent="0.3">
      <c r="AD51" s="781"/>
      <c r="AE51" s="782"/>
      <c r="AF51" s="782"/>
      <c r="AG51" s="782"/>
      <c r="AH51" s="783"/>
      <c r="AL51" s="727"/>
      <c r="AM51" s="727"/>
      <c r="AN51" s="727"/>
      <c r="AO51" s="727"/>
      <c r="AP51" s="727"/>
      <c r="AQ51" s="727"/>
      <c r="AR51" s="1689"/>
      <c r="AS51" s="1689"/>
      <c r="AT51" s="1689"/>
      <c r="AU51" s="1689"/>
      <c r="AY51" s="731"/>
      <c r="AZ51" s="732"/>
      <c r="BA51" s="732"/>
      <c r="BB51" s="732"/>
      <c r="BC51" s="732"/>
      <c r="BD51" s="732"/>
      <c r="BE51" s="732"/>
      <c r="BF51" s="732"/>
      <c r="BG51" s="732"/>
      <c r="BH51" s="733"/>
    </row>
    <row r="52" spans="7:60" ht="15.75" customHeight="1" thickTop="1" x14ac:dyDescent="0.25">
      <c r="AY52" s="734"/>
      <c r="AZ52" s="735"/>
      <c r="BA52" s="735"/>
      <c r="BB52" s="735"/>
      <c r="BC52" s="735"/>
      <c r="BD52" s="735"/>
      <c r="BE52" s="735"/>
      <c r="BF52" s="735"/>
      <c r="BG52" s="735"/>
      <c r="BH52" s="736"/>
    </row>
    <row r="53" spans="7:60" x14ac:dyDescent="0.25">
      <c r="AY53" s="739" t="s">
        <v>129</v>
      </c>
      <c r="AZ53" s="740"/>
      <c r="BA53" s="740"/>
      <c r="BB53" s="740"/>
      <c r="BC53" s="740"/>
      <c r="BD53" s="740"/>
      <c r="BE53" s="740"/>
      <c r="BF53" s="740"/>
      <c r="BG53" s="740"/>
      <c r="BH53" s="741"/>
    </row>
    <row r="54" spans="7:60" x14ac:dyDescent="0.25">
      <c r="AY54" s="742"/>
      <c r="AZ54" s="743"/>
      <c r="BA54" s="743"/>
      <c r="BB54" s="743"/>
      <c r="BC54" s="743"/>
      <c r="BD54" s="743"/>
      <c r="BE54" s="743"/>
      <c r="BF54" s="743"/>
      <c r="BG54" s="743"/>
      <c r="BH54" s="744"/>
    </row>
    <row r="55" spans="7:60" x14ac:dyDescent="0.25">
      <c r="AN55" s="727">
        <v>45</v>
      </c>
      <c r="AO55" s="727"/>
      <c r="AP55" s="727"/>
      <c r="AQ55" s="746">
        <v>2</v>
      </c>
      <c r="AR55" s="746"/>
      <c r="AS55" s="746"/>
      <c r="AT55" s="747">
        <f>AQ55*AN55</f>
        <v>90</v>
      </c>
      <c r="AU55" s="748"/>
      <c r="AV55" s="748"/>
      <c r="AW55" s="749"/>
      <c r="AY55" s="739" t="s">
        <v>130</v>
      </c>
      <c r="AZ55" s="740"/>
      <c r="BA55" s="740"/>
      <c r="BB55" s="740"/>
      <c r="BC55" s="740"/>
      <c r="BD55" s="740"/>
      <c r="BE55" s="740"/>
      <c r="BF55" s="740"/>
      <c r="BG55" s="740"/>
      <c r="BH55" s="741"/>
    </row>
    <row r="56" spans="7:60" x14ac:dyDescent="0.25">
      <c r="AN56" s="727"/>
      <c r="AO56" s="727"/>
      <c r="AP56" s="727"/>
      <c r="AQ56" s="746"/>
      <c r="AR56" s="746"/>
      <c r="AS56" s="746"/>
      <c r="AT56" s="747"/>
      <c r="AU56" s="748"/>
      <c r="AV56" s="748"/>
      <c r="AW56" s="749"/>
      <c r="AY56" s="750"/>
      <c r="AZ56" s="751"/>
      <c r="BA56" s="751"/>
      <c r="BB56" s="751"/>
      <c r="BC56" s="751"/>
      <c r="BD56" s="751"/>
      <c r="BE56" s="751"/>
      <c r="BF56" s="751"/>
      <c r="BG56" s="751"/>
      <c r="BH56" s="752"/>
    </row>
    <row r="57" spans="7:60" ht="15" customHeight="1" x14ac:dyDescent="0.25">
      <c r="AN57" s="727"/>
      <c r="AO57" s="727"/>
      <c r="AP57" s="727"/>
      <c r="AQ57" s="746"/>
      <c r="AR57" s="746"/>
      <c r="AS57" s="746"/>
      <c r="AT57" s="747"/>
      <c r="AU57" s="748"/>
      <c r="AV57" s="748"/>
      <c r="AW57" s="749"/>
      <c r="AY57" s="750"/>
      <c r="AZ57" s="751"/>
      <c r="BA57" s="751"/>
      <c r="BB57" s="751"/>
      <c r="BC57" s="751"/>
      <c r="BD57" s="751"/>
      <c r="BE57" s="751"/>
      <c r="BF57" s="751"/>
      <c r="BG57" s="751"/>
      <c r="BH57" s="752"/>
    </row>
    <row r="58" spans="7:60" ht="15" customHeight="1" x14ac:dyDescent="0.25">
      <c r="AN58" s="727"/>
      <c r="AO58" s="727"/>
      <c r="AP58" s="727"/>
      <c r="AQ58" s="746"/>
      <c r="AR58" s="746"/>
      <c r="AS58" s="746"/>
      <c r="AT58" s="747"/>
      <c r="AU58" s="748"/>
      <c r="AV58" s="748"/>
      <c r="AW58" s="749"/>
      <c r="AY58" s="742"/>
      <c r="AZ58" s="743"/>
      <c r="BA58" s="743"/>
      <c r="BB58" s="743"/>
      <c r="BC58" s="743"/>
      <c r="BD58" s="743"/>
      <c r="BE58" s="743"/>
      <c r="BF58" s="743"/>
      <c r="BG58" s="743"/>
      <c r="BH58" s="744"/>
    </row>
    <row r="59" spans="7:60" ht="15" customHeight="1" x14ac:dyDescent="0.25">
      <c r="AN59" s="727"/>
      <c r="AO59" s="727"/>
      <c r="AP59" s="727"/>
      <c r="AQ59" s="746"/>
      <c r="AR59" s="746"/>
      <c r="AS59" s="746"/>
      <c r="AT59" s="747"/>
      <c r="AU59" s="748"/>
      <c r="AV59" s="748"/>
      <c r="AW59" s="749"/>
      <c r="AY59" s="728">
        <f>AT48/((78*3.1415/59)*(AO48/3.281))</f>
        <v>2.0747130904947321E-2</v>
      </c>
      <c r="AZ59" s="729"/>
      <c r="BA59" s="729"/>
      <c r="BB59" s="729"/>
      <c r="BC59" s="729"/>
      <c r="BD59" s="729"/>
      <c r="BE59" s="729"/>
      <c r="BF59" s="729"/>
      <c r="BG59" s="729"/>
      <c r="BH59" s="730"/>
    </row>
    <row r="60" spans="7:60" ht="15" customHeight="1" x14ac:dyDescent="0.25">
      <c r="AN60" s="727"/>
      <c r="AO60" s="727"/>
      <c r="AP60" s="727"/>
      <c r="AQ60" s="746"/>
      <c r="AR60" s="746"/>
      <c r="AS60" s="746"/>
      <c r="AT60" s="747"/>
      <c r="AU60" s="748"/>
      <c r="AV60" s="748"/>
      <c r="AW60" s="749"/>
      <c r="AY60" s="731"/>
      <c r="AZ60" s="732"/>
      <c r="BA60" s="732"/>
      <c r="BB60" s="732"/>
      <c r="BC60" s="732"/>
      <c r="BD60" s="732"/>
      <c r="BE60" s="732"/>
      <c r="BF60" s="732"/>
      <c r="BG60" s="732"/>
      <c r="BH60" s="733"/>
    </row>
    <row r="61" spans="7:60" ht="15" customHeight="1" x14ac:dyDescent="0.25">
      <c r="AN61" s="727"/>
      <c r="AO61" s="727"/>
      <c r="AP61" s="727"/>
      <c r="AQ61" s="746"/>
      <c r="AR61" s="746"/>
      <c r="AS61" s="746"/>
      <c r="AT61" s="747"/>
      <c r="AU61" s="748"/>
      <c r="AV61" s="748"/>
      <c r="AW61" s="749"/>
      <c r="AY61" s="731"/>
      <c r="AZ61" s="732"/>
      <c r="BA61" s="732"/>
      <c r="BB61" s="732"/>
      <c r="BC61" s="732"/>
      <c r="BD61" s="732"/>
      <c r="BE61" s="732"/>
      <c r="BF61" s="732"/>
      <c r="BG61" s="732"/>
      <c r="BH61" s="733"/>
    </row>
    <row r="62" spans="7:60" ht="15" customHeight="1" x14ac:dyDescent="0.25">
      <c r="AN62" s="727"/>
      <c r="AO62" s="727"/>
      <c r="AP62" s="727"/>
      <c r="AQ62" s="746"/>
      <c r="AR62" s="746"/>
      <c r="AS62" s="746"/>
      <c r="AT62" s="747"/>
      <c r="AU62" s="748"/>
      <c r="AV62" s="748"/>
      <c r="AW62" s="749"/>
      <c r="AY62" s="731"/>
      <c r="AZ62" s="732"/>
      <c r="BA62" s="732"/>
      <c r="BB62" s="732"/>
      <c r="BC62" s="732"/>
      <c r="BD62" s="732"/>
      <c r="BE62" s="732"/>
      <c r="BF62" s="732"/>
      <c r="BG62" s="732"/>
      <c r="BH62" s="733"/>
    </row>
    <row r="63" spans="7:60" ht="15" customHeight="1" x14ac:dyDescent="0.25">
      <c r="AN63" s="727"/>
      <c r="AO63" s="727"/>
      <c r="AP63" s="727"/>
      <c r="AQ63" s="746"/>
      <c r="AR63" s="746"/>
      <c r="AS63" s="746"/>
      <c r="AT63" s="747"/>
      <c r="AU63" s="748"/>
      <c r="AV63" s="748"/>
      <c r="AW63" s="749"/>
      <c r="AY63" s="734"/>
      <c r="AZ63" s="735"/>
      <c r="BA63" s="735"/>
      <c r="BB63" s="735"/>
      <c r="BC63" s="735"/>
      <c r="BD63" s="735"/>
      <c r="BE63" s="735"/>
      <c r="BF63" s="735"/>
      <c r="BG63" s="735"/>
      <c r="BH63" s="736"/>
    </row>
    <row r="64" spans="7:60" ht="15" customHeight="1" x14ac:dyDescent="0.25">
      <c r="AN64" s="727"/>
      <c r="AO64" s="727"/>
      <c r="AP64" s="727"/>
      <c r="AQ64" s="746"/>
      <c r="AR64" s="746"/>
      <c r="AS64" s="746"/>
      <c r="AT64" s="747"/>
      <c r="AU64" s="748"/>
      <c r="AV64" s="748"/>
      <c r="AW64" s="749"/>
    </row>
    <row r="65" spans="40:49" ht="15" customHeight="1" x14ac:dyDescent="0.25">
      <c r="AN65" s="727"/>
      <c r="AO65" s="727"/>
      <c r="AP65" s="727"/>
      <c r="AQ65" s="746"/>
      <c r="AR65" s="746"/>
      <c r="AS65" s="746"/>
      <c r="AT65" s="747"/>
      <c r="AU65" s="748"/>
      <c r="AV65" s="748"/>
      <c r="AW65" s="749"/>
    </row>
    <row r="66" spans="40:49" ht="15" customHeight="1" x14ac:dyDescent="0.25">
      <c r="AN66" s="727"/>
      <c r="AO66" s="727"/>
      <c r="AP66" s="727"/>
      <c r="AQ66" s="746"/>
      <c r="AR66" s="746"/>
      <c r="AS66" s="746"/>
      <c r="AT66" s="747"/>
      <c r="AU66" s="748"/>
      <c r="AV66" s="748"/>
      <c r="AW66" s="749"/>
    </row>
    <row r="67" spans="40:49" ht="15" customHeight="1" x14ac:dyDescent="0.25">
      <c r="AN67" s="727"/>
      <c r="AO67" s="727"/>
      <c r="AP67" s="727"/>
      <c r="AQ67" s="746"/>
      <c r="AR67" s="746"/>
      <c r="AS67" s="746"/>
      <c r="AT67" s="747"/>
      <c r="AU67" s="748"/>
      <c r="AV67" s="748"/>
      <c r="AW67" s="749"/>
    </row>
    <row r="68" spans="40:49" ht="15" customHeight="1" x14ac:dyDescent="0.25">
      <c r="AN68" s="727"/>
      <c r="AO68" s="727"/>
      <c r="AP68" s="727"/>
      <c r="AQ68" s="746"/>
      <c r="AR68" s="746"/>
      <c r="AS68" s="746"/>
      <c r="AT68" s="747"/>
      <c r="AU68" s="748"/>
      <c r="AV68" s="748"/>
      <c r="AW68" s="749"/>
    </row>
    <row r="69" spans="40:49" ht="15" customHeight="1" x14ac:dyDescent="0.25">
      <c r="AN69" s="727"/>
      <c r="AO69" s="727"/>
      <c r="AP69" s="727"/>
      <c r="AQ69" s="746"/>
      <c r="AR69" s="746"/>
      <c r="AS69" s="746"/>
      <c r="AT69" s="747"/>
      <c r="AU69" s="748"/>
      <c r="AV69" s="748"/>
      <c r="AW69" s="749"/>
    </row>
    <row r="70" spans="40:49" ht="15" customHeight="1" x14ac:dyDescent="0.25">
      <c r="AN70" s="727"/>
      <c r="AO70" s="727"/>
      <c r="AP70" s="727"/>
      <c r="AQ70" s="746"/>
      <c r="AR70" s="746"/>
      <c r="AS70" s="746"/>
      <c r="AT70" s="747"/>
      <c r="AU70" s="748"/>
      <c r="AV70" s="748"/>
      <c r="AW70" s="749"/>
    </row>
    <row r="71" spans="40:49" ht="15" customHeight="1" x14ac:dyDescent="0.25">
      <c r="AN71" s="727"/>
      <c r="AO71" s="727"/>
      <c r="AP71" s="727"/>
      <c r="AQ71" s="746"/>
      <c r="AR71" s="746"/>
      <c r="AS71" s="746"/>
      <c r="AT71" s="747"/>
      <c r="AU71" s="748"/>
      <c r="AV71" s="748"/>
      <c r="AW71" s="749"/>
    </row>
    <row r="72" spans="40:49" ht="15" customHeight="1" x14ac:dyDescent="0.25">
      <c r="AN72" s="727"/>
      <c r="AO72" s="727"/>
      <c r="AP72" s="727"/>
      <c r="AQ72" s="746"/>
      <c r="AR72" s="746"/>
      <c r="AS72" s="746"/>
      <c r="AT72" s="747"/>
      <c r="AU72" s="748"/>
      <c r="AV72" s="748"/>
      <c r="AW72" s="749"/>
    </row>
    <row r="73" spans="40:49" ht="15" customHeight="1" x14ac:dyDescent="0.25">
      <c r="AQ73" s="2279">
        <f>AQ55+AQ61+AQ64+AQ67+AQ70</f>
        <v>2</v>
      </c>
      <c r="AR73" s="2280"/>
      <c r="AS73" s="2281"/>
      <c r="AT73" s="1457">
        <f>AT55+AT58+AT61+AT64+AT67+AT70</f>
        <v>90</v>
      </c>
      <c r="AU73" s="1458"/>
      <c r="AV73" s="1458"/>
      <c r="AW73" s="1459"/>
    </row>
    <row r="74" spans="40:49" ht="15" customHeight="1" x14ac:dyDescent="0.25">
      <c r="AQ74" s="2282"/>
      <c r="AR74" s="2283"/>
      <c r="AS74" s="2284"/>
      <c r="AT74" s="2288"/>
      <c r="AU74" s="2289"/>
      <c r="AV74" s="2289"/>
      <c r="AW74" s="2290"/>
    </row>
    <row r="75" spans="40:49" ht="15" customHeight="1" x14ac:dyDescent="0.25">
      <c r="AQ75" s="2285"/>
      <c r="AR75" s="2286"/>
      <c r="AS75" s="2287"/>
      <c r="AT75" s="1785"/>
      <c r="AU75" s="1786"/>
      <c r="AV75" s="1786"/>
      <c r="AW75" s="1787"/>
    </row>
    <row r="76" spans="40:49" ht="15" customHeight="1" x14ac:dyDescent="0.25"/>
    <row r="77" spans="40:49" ht="15" customHeight="1" x14ac:dyDescent="0.25">
      <c r="AS77" s="27"/>
      <c r="AT77" s="27"/>
      <c r="AU77" s="27"/>
    </row>
  </sheetData>
  <mergeCells count="222">
    <mergeCell ref="AY2:BA2"/>
    <mergeCell ref="BB2:BC2"/>
    <mergeCell ref="BD2:BF2"/>
    <mergeCell ref="BG2:BH2"/>
    <mergeCell ref="P2:R2"/>
    <mergeCell ref="S2:T2"/>
    <mergeCell ref="U2:W2"/>
    <mergeCell ref="X2:Y2"/>
    <mergeCell ref="Z2:AB2"/>
    <mergeCell ref="AC2:AD2"/>
    <mergeCell ref="P6:P7"/>
    <mergeCell ref="Q6:T6"/>
    <mergeCell ref="U6:U7"/>
    <mergeCell ref="V6:Y6"/>
    <mergeCell ref="Z6:Z7"/>
    <mergeCell ref="AA6:AD6"/>
    <mergeCell ref="AY3:BA5"/>
    <mergeCell ref="BD3:BF5"/>
    <mergeCell ref="P3:T5"/>
    <mergeCell ref="U3:Y5"/>
    <mergeCell ref="Z3:AD5"/>
    <mergeCell ref="AY9:BA11"/>
    <mergeCell ref="BB9:BJ11"/>
    <mergeCell ref="AY8:BA8"/>
    <mergeCell ref="BB8:BC8"/>
    <mergeCell ref="BD8:BF8"/>
    <mergeCell ref="BG8:BH8"/>
    <mergeCell ref="AY6:AY7"/>
    <mergeCell ref="AZ6:BC6"/>
    <mergeCell ref="BD6:BD7"/>
    <mergeCell ref="BE6:BH6"/>
    <mergeCell ref="BD12:BD13"/>
    <mergeCell ref="BE12:BH12"/>
    <mergeCell ref="A14:C14"/>
    <mergeCell ref="D14:E14"/>
    <mergeCell ref="AH14:AI14"/>
    <mergeCell ref="AJ14:AL14"/>
    <mergeCell ref="AM14:AN14"/>
    <mergeCell ref="AO14:AQ14"/>
    <mergeCell ref="AR14:AS14"/>
    <mergeCell ref="AT14:AV14"/>
    <mergeCell ref="AY12:AY13"/>
    <mergeCell ref="AZ12:BC12"/>
    <mergeCell ref="BD15:BF17"/>
    <mergeCell ref="A18:A19"/>
    <mergeCell ref="B18:E18"/>
    <mergeCell ref="AY18:AY19"/>
    <mergeCell ref="AZ18:BC18"/>
    <mergeCell ref="BD18:BD19"/>
    <mergeCell ref="BE18:BH18"/>
    <mergeCell ref="AW14:AX14"/>
    <mergeCell ref="AY14:BA14"/>
    <mergeCell ref="BB14:BC14"/>
    <mergeCell ref="BD14:BF14"/>
    <mergeCell ref="BG14:BH14"/>
    <mergeCell ref="A15:E17"/>
    <mergeCell ref="AJ15:AL17"/>
    <mergeCell ref="AO15:AQ17"/>
    <mergeCell ref="AT15:AV17"/>
    <mergeCell ref="AY15:BA17"/>
    <mergeCell ref="P20:R20"/>
    <mergeCell ref="S20:T20"/>
    <mergeCell ref="U20:W20"/>
    <mergeCell ref="X20:Y20"/>
    <mergeCell ref="Z20:AB20"/>
    <mergeCell ref="AC20:AD20"/>
    <mergeCell ref="A20:C20"/>
    <mergeCell ref="D20:E20"/>
    <mergeCell ref="F20:H20"/>
    <mergeCell ref="I20:J20"/>
    <mergeCell ref="K20:M20"/>
    <mergeCell ref="N20:O20"/>
    <mergeCell ref="AT20:AV20"/>
    <mergeCell ref="AW20:AX20"/>
    <mergeCell ref="AY20:BA20"/>
    <mergeCell ref="BB20:BC20"/>
    <mergeCell ref="BD20:BF20"/>
    <mergeCell ref="BG20:BH20"/>
    <mergeCell ref="AE20:AG20"/>
    <mergeCell ref="AH20:AI20"/>
    <mergeCell ref="AJ20:AL20"/>
    <mergeCell ref="AM20:AN20"/>
    <mergeCell ref="AO20:AQ20"/>
    <mergeCell ref="AR20:AS20"/>
    <mergeCell ref="AE21:AG23"/>
    <mergeCell ref="AJ21:AL23"/>
    <mergeCell ref="AO21:AQ23"/>
    <mergeCell ref="AT21:AV23"/>
    <mergeCell ref="AY21:BA23"/>
    <mergeCell ref="BD21:BF23"/>
    <mergeCell ref="A21:C23"/>
    <mergeCell ref="F21:H23"/>
    <mergeCell ref="K21:M23"/>
    <mergeCell ref="P21:R23"/>
    <mergeCell ref="U21:W23"/>
    <mergeCell ref="Z21:AB23"/>
    <mergeCell ref="BD24:BD25"/>
    <mergeCell ref="BD26:BF26"/>
    <mergeCell ref="BE24:BH24"/>
    <mergeCell ref="AE24:AE25"/>
    <mergeCell ref="AF24:AI24"/>
    <mergeCell ref="AJ24:AJ25"/>
    <mergeCell ref="AK24:AN24"/>
    <mergeCell ref="AO24:AO25"/>
    <mergeCell ref="AP24:AS24"/>
    <mergeCell ref="BG26:BH26"/>
    <mergeCell ref="BB26:BC26"/>
    <mergeCell ref="A26:C26"/>
    <mergeCell ref="D26:E26"/>
    <mergeCell ref="F26:H26"/>
    <mergeCell ref="I26:J26"/>
    <mergeCell ref="K26:M26"/>
    <mergeCell ref="N26:O26"/>
    <mergeCell ref="AT24:AT25"/>
    <mergeCell ref="AU24:AX24"/>
    <mergeCell ref="AY24:AY25"/>
    <mergeCell ref="P24:P25"/>
    <mergeCell ref="Q24:T24"/>
    <mergeCell ref="U24:U25"/>
    <mergeCell ref="V24:Y24"/>
    <mergeCell ref="Z24:Z25"/>
    <mergeCell ref="AA24:AD24"/>
    <mergeCell ref="A24:A25"/>
    <mergeCell ref="B24:E24"/>
    <mergeCell ref="F24:F25"/>
    <mergeCell ref="G24:J24"/>
    <mergeCell ref="K24:K25"/>
    <mergeCell ref="L24:O24"/>
    <mergeCell ref="AW26:AX26"/>
    <mergeCell ref="AY26:BA26"/>
    <mergeCell ref="AZ24:BC24"/>
    <mergeCell ref="K27:M29"/>
    <mergeCell ref="P27:R29"/>
    <mergeCell ref="U27:W29"/>
    <mergeCell ref="Z27:AB29"/>
    <mergeCell ref="AE27:AG29"/>
    <mergeCell ref="AT27:AV29"/>
    <mergeCell ref="AE26:AG26"/>
    <mergeCell ref="AH26:AI26"/>
    <mergeCell ref="AT26:AV26"/>
    <mergeCell ref="P26:R26"/>
    <mergeCell ref="S26:T26"/>
    <mergeCell ref="U26:W26"/>
    <mergeCell ref="X26:Y26"/>
    <mergeCell ref="Z26:AB26"/>
    <mergeCell ref="AC26:AD26"/>
    <mergeCell ref="AY27:BA29"/>
    <mergeCell ref="BD27:BF29"/>
    <mergeCell ref="A30:A31"/>
    <mergeCell ref="B30:E30"/>
    <mergeCell ref="F30:F31"/>
    <mergeCell ref="G30:J30"/>
    <mergeCell ref="K30:K31"/>
    <mergeCell ref="L30:O30"/>
    <mergeCell ref="P30:P31"/>
    <mergeCell ref="Q30:T30"/>
    <mergeCell ref="AT30:AT31"/>
    <mergeCell ref="AU30:AX30"/>
    <mergeCell ref="AY30:AY31"/>
    <mergeCell ref="AZ30:BC30"/>
    <mergeCell ref="BD30:BD31"/>
    <mergeCell ref="BE30:BH30"/>
    <mergeCell ref="U30:U31"/>
    <mergeCell ref="V30:Y30"/>
    <mergeCell ref="Z30:Z31"/>
    <mergeCell ref="AA30:AD30"/>
    <mergeCell ref="AE30:AE31"/>
    <mergeCell ref="AF30:AI30"/>
    <mergeCell ref="A27:C29"/>
    <mergeCell ref="F27:H29"/>
    <mergeCell ref="AT32:AW33"/>
    <mergeCell ref="AO34:AU40"/>
    <mergeCell ref="AV34:AW40"/>
    <mergeCell ref="H35:J35"/>
    <mergeCell ref="Q35:V42"/>
    <mergeCell ref="H36:J37"/>
    <mergeCell ref="X37:AB42"/>
    <mergeCell ref="AC37:AH42"/>
    <mergeCell ref="H38:J40"/>
    <mergeCell ref="H41:J42"/>
    <mergeCell ref="H32:J33"/>
    <mergeCell ref="Q32:V34"/>
    <mergeCell ref="X32:AB36"/>
    <mergeCell ref="AC32:AH36"/>
    <mergeCell ref="AJ32:AN42"/>
    <mergeCell ref="AO32:AS33"/>
    <mergeCell ref="AO41:AW42"/>
    <mergeCell ref="AD45:AH51"/>
    <mergeCell ref="AL45:AN47"/>
    <mergeCell ref="AO45:AQ47"/>
    <mergeCell ref="AR45:AS47"/>
    <mergeCell ref="AT45:AU47"/>
    <mergeCell ref="AY45:BH47"/>
    <mergeCell ref="AL48:AN51"/>
    <mergeCell ref="AO48:AQ51"/>
    <mergeCell ref="AR48:AS51"/>
    <mergeCell ref="AT48:AU51"/>
    <mergeCell ref="AY48:BH49"/>
    <mergeCell ref="AY50:BH52"/>
    <mergeCell ref="AY53:BH54"/>
    <mergeCell ref="AN55:AP57"/>
    <mergeCell ref="AQ55:AS57"/>
    <mergeCell ref="AT55:AW57"/>
    <mergeCell ref="AY55:BH58"/>
    <mergeCell ref="AN58:AP60"/>
    <mergeCell ref="AQ58:AS60"/>
    <mergeCell ref="AT58:AW60"/>
    <mergeCell ref="AQ73:AS75"/>
    <mergeCell ref="AT73:AW75"/>
    <mergeCell ref="AN67:AP69"/>
    <mergeCell ref="AQ67:AS69"/>
    <mergeCell ref="AT67:AW69"/>
    <mergeCell ref="AN70:AP72"/>
    <mergeCell ref="AQ70:AS72"/>
    <mergeCell ref="AT70:AW72"/>
    <mergeCell ref="AY59:BH63"/>
    <mergeCell ref="AN61:AP63"/>
    <mergeCell ref="AQ61:AS63"/>
    <mergeCell ref="AT61:AW63"/>
    <mergeCell ref="AN64:AP66"/>
    <mergeCell ref="AQ64:AS66"/>
    <mergeCell ref="AT64:AW66"/>
  </mergeCells>
  <pageMargins left="0.75" right="0.5" top="1" bottom="0.5" header="0.3" footer="0.3"/>
  <pageSetup paperSize="8" scale="64" orientation="landscape" r:id="rId1"/>
  <headerFooter>
    <oddFooter>&amp;C&amp;"-,Bold Italic"&amp;16Prepared by Emir Cebecioglu&amp;RQuality Control Department</oddFooter>
  </headerFooter>
  <colBreaks count="1" manualBreakCount="1">
    <brk id="60" max="50" man="1"/>
  </colBrea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766A3-01A2-445D-9799-EB20D1ECC857}">
  <sheetPr>
    <pageSetUpPr fitToPage="1"/>
  </sheetPr>
  <dimension ref="A1:DH195"/>
  <sheetViews>
    <sheetView view="pageBreakPreview" topLeftCell="A109" zoomScale="40" zoomScaleNormal="115" zoomScaleSheetLayoutView="40" workbookViewId="0">
      <selection activeCell="U14" sqref="U14:Y17"/>
    </sheetView>
  </sheetViews>
  <sheetFormatPr defaultRowHeight="33.75" x14ac:dyDescent="0.5"/>
  <cols>
    <col min="1" max="1" width="7.42578125" style="228" customWidth="1"/>
    <col min="2" max="2" width="13.5703125" customWidth="1"/>
    <col min="3" max="3" width="6.28515625" customWidth="1"/>
    <col min="4" max="4" width="9.85546875" customWidth="1"/>
    <col min="5" max="5" width="6.28515625" customWidth="1"/>
    <col min="6" max="6" width="7.42578125" style="228" customWidth="1"/>
    <col min="7" max="7" width="13.5703125" customWidth="1"/>
    <col min="8" max="8" width="6.28515625" customWidth="1"/>
    <col min="9" max="9" width="9.85546875" customWidth="1"/>
    <col min="10" max="10" width="6.28515625" customWidth="1"/>
    <col min="11" max="11" width="7.42578125" style="228" customWidth="1"/>
    <col min="12" max="12" width="13.5703125" customWidth="1"/>
    <col min="13" max="13" width="6.28515625" customWidth="1"/>
    <col min="14" max="14" width="9.85546875" customWidth="1"/>
    <col min="15" max="15" width="6.28515625" customWidth="1"/>
    <col min="16" max="16" width="7.42578125" style="228" customWidth="1"/>
    <col min="17" max="17" width="13.5703125" customWidth="1"/>
    <col min="18" max="18" width="6.28515625" customWidth="1"/>
    <col min="19" max="19" width="9.85546875" customWidth="1"/>
    <col min="20" max="20" width="6.28515625" customWidth="1"/>
    <col min="21" max="21" width="7.42578125" style="228" customWidth="1"/>
    <col min="22" max="22" width="13.5703125" customWidth="1"/>
    <col min="23" max="23" width="6.28515625" customWidth="1"/>
    <col min="24" max="24" width="9.85546875" customWidth="1"/>
    <col min="25" max="25" width="6.28515625" customWidth="1"/>
    <col min="26" max="26" width="7.42578125" style="228" customWidth="1"/>
    <col min="27" max="27" width="13.5703125" customWidth="1"/>
    <col min="28" max="28" width="6.28515625" customWidth="1"/>
    <col min="29" max="29" width="9.85546875" customWidth="1"/>
    <col min="30" max="30" width="6.28515625" customWidth="1"/>
    <col min="31" max="31" width="7.42578125" style="228" customWidth="1"/>
    <col min="32" max="32" width="13.5703125" customWidth="1"/>
    <col min="33" max="33" width="6.28515625" customWidth="1"/>
    <col min="34" max="34" width="9.85546875" customWidth="1"/>
    <col min="35" max="35" width="6.28515625" customWidth="1"/>
    <col min="36" max="36" width="7.42578125" style="228" customWidth="1"/>
    <col min="37" max="37" width="13.5703125" customWidth="1"/>
    <col min="38" max="38" width="6.28515625" customWidth="1"/>
    <col min="39" max="39" width="9.85546875" customWidth="1"/>
    <col min="40" max="40" width="6.28515625" customWidth="1"/>
    <col min="41" max="41" width="7.42578125" style="228" customWidth="1"/>
    <col min="42" max="42" width="13.5703125" customWidth="1"/>
    <col min="43" max="43" width="6.28515625" customWidth="1"/>
    <col min="44" max="44" width="9.85546875" customWidth="1"/>
    <col min="45" max="45" width="6.28515625" customWidth="1"/>
    <col min="46" max="46" width="7.42578125" style="228" customWidth="1"/>
    <col min="47" max="47" width="13.5703125" customWidth="1"/>
    <col min="48" max="48" width="6.28515625" customWidth="1"/>
    <col min="49" max="49" width="9.85546875" customWidth="1"/>
    <col min="50" max="50" width="6.28515625" customWidth="1"/>
    <col min="51" max="51" width="7.42578125" style="228" customWidth="1"/>
    <col min="52" max="52" width="13.5703125" customWidth="1"/>
    <col min="53" max="53" width="6.28515625" customWidth="1"/>
    <col min="54" max="54" width="9.85546875" customWidth="1"/>
    <col min="55" max="55" width="6.28515625" customWidth="1"/>
    <col min="56" max="56" width="7.42578125" style="228" customWidth="1"/>
    <col min="57" max="57" width="13.5703125" customWidth="1"/>
    <col min="58" max="58" width="6.28515625" customWidth="1"/>
    <col min="59" max="59" width="9.85546875" customWidth="1"/>
    <col min="60" max="60" width="6.28515625" customWidth="1"/>
    <col min="61" max="61" width="4.140625" customWidth="1"/>
    <col min="62" max="62" width="13.5703125" customWidth="1"/>
    <col min="63" max="63" width="6.28515625" customWidth="1"/>
    <col min="64" max="64" width="9.85546875" customWidth="1"/>
    <col min="65" max="65" width="6.28515625" customWidth="1"/>
    <col min="66" max="66" width="4.140625" customWidth="1"/>
    <col min="67" max="67" width="13.5703125" customWidth="1"/>
    <col min="68" max="68" width="6.28515625" customWidth="1"/>
    <col min="69" max="69" width="9.85546875" customWidth="1"/>
    <col min="70" max="70" width="6.28515625" customWidth="1"/>
    <col min="71" max="71" width="1" customWidth="1"/>
    <col min="72" max="72" width="56.7109375" customWidth="1"/>
    <col min="73" max="73" width="13" customWidth="1"/>
    <col min="74" max="74" width="7" customWidth="1"/>
  </cols>
  <sheetData>
    <row r="1" spans="1:83" ht="408.75" customHeight="1" thickBot="1" x14ac:dyDescent="0.55000000000000004"/>
    <row r="2" spans="1:83" s="501" customFormat="1" ht="34.5" customHeight="1" thickTop="1" x14ac:dyDescent="0.25">
      <c r="A2" s="2518" t="s">
        <v>110</v>
      </c>
      <c r="B2" s="2519"/>
      <c r="C2" s="1904">
        <f>B7/((84*3.1415/59)*(37.5/3.281))</f>
        <v>0</v>
      </c>
      <c r="D2" s="1904"/>
      <c r="E2" s="1905"/>
      <c r="F2" s="2518" t="s">
        <v>110</v>
      </c>
      <c r="G2" s="2519"/>
      <c r="H2" s="1904">
        <f t="shared" ref="H2" si="0">G7/((84*3.1415/59)*(37.5/3.281))</f>
        <v>1.9561881519545056E-10</v>
      </c>
      <c r="I2" s="1904"/>
      <c r="J2" s="1905"/>
      <c r="K2" s="2518" t="s">
        <v>110</v>
      </c>
      <c r="L2" s="2519"/>
      <c r="M2" s="1904">
        <f t="shared" ref="M2" si="1">L7/((84*3.1415/59)*(37.5/3.281))</f>
        <v>3.1799794598172441E-2</v>
      </c>
      <c r="N2" s="1904"/>
      <c r="O2" s="1905"/>
      <c r="P2" s="2518" t="s">
        <v>110</v>
      </c>
      <c r="Q2" s="2519"/>
      <c r="R2" s="1904">
        <f t="shared" ref="R2" si="2">Q7/((84*3.1415/59)*(37.5/3.281))</f>
        <v>0</v>
      </c>
      <c r="S2" s="1904"/>
      <c r="T2" s="1905"/>
      <c r="U2" s="2518" t="s">
        <v>110</v>
      </c>
      <c r="V2" s="2519"/>
      <c r="W2" s="1904">
        <f t="shared" ref="W2" si="3">V7/((84*3.1415/59)*(37.5/3.281))</f>
        <v>0</v>
      </c>
      <c r="X2" s="1904"/>
      <c r="Y2" s="1905"/>
      <c r="Z2" s="2518" t="s">
        <v>110</v>
      </c>
      <c r="AA2" s="2519"/>
      <c r="AB2" s="1904">
        <f t="shared" ref="AB2" si="4">AA7/((84*3.1415/59)*(37.5/3.281))</f>
        <v>0</v>
      </c>
      <c r="AC2" s="1904"/>
      <c r="AD2" s="1905"/>
      <c r="AE2" s="2510" t="s">
        <v>110</v>
      </c>
      <c r="AF2" s="2511"/>
      <c r="AG2" s="2514">
        <f>AF7/((84*3.1415/59)*(40/3.281))</f>
        <v>1.3508701806840832E-2</v>
      </c>
      <c r="AH2" s="2514"/>
      <c r="AI2" s="2515"/>
      <c r="AJ2" s="2510" t="s">
        <v>110</v>
      </c>
      <c r="AK2" s="2511"/>
      <c r="AL2" s="2514">
        <f t="shared" ref="AL2" si="5">AK7/((84*3.1415/59)*(40/3.281))</f>
        <v>5.1239903405258316E-3</v>
      </c>
      <c r="AM2" s="2514"/>
      <c r="AN2" s="2515"/>
      <c r="AO2" s="2510" t="s">
        <v>110</v>
      </c>
      <c r="AP2" s="2511"/>
      <c r="AQ2" s="2514">
        <f t="shared" ref="AQ2" si="6">AP7/((84*3.1415/59)*(40/3.281))</f>
        <v>2.4207828380437002E-2</v>
      </c>
      <c r="AR2" s="2514"/>
      <c r="AS2" s="2515"/>
      <c r="AT2" s="2510" t="s">
        <v>110</v>
      </c>
      <c r="AU2" s="2511"/>
      <c r="AV2" s="2514">
        <f t="shared" ref="AV2" si="7">AU7/((84*3.1415/59)*(40/3.281))</f>
        <v>5.7761345656836653E-2</v>
      </c>
      <c r="AW2" s="2514"/>
      <c r="AX2" s="2515"/>
      <c r="AY2" s="2510" t="s">
        <v>110</v>
      </c>
      <c r="AZ2" s="2511"/>
      <c r="BA2" s="2514">
        <f t="shared" ref="BA2" si="8">AZ7/((84*3.1415/59)*(40/3.281))</f>
        <v>6.8475143641572478E-2</v>
      </c>
      <c r="BB2" s="2514"/>
      <c r="BC2" s="2515"/>
      <c r="BD2" s="2510" t="s">
        <v>110</v>
      </c>
      <c r="BE2" s="2511"/>
      <c r="BF2" s="2514">
        <f t="shared" ref="BF2" si="9">BE7/((84*3.1415/59)*(40/3.281))</f>
        <v>1.0713797984735832E-2</v>
      </c>
      <c r="BG2" s="2514"/>
      <c r="BH2" s="2515"/>
      <c r="BI2" s="719"/>
      <c r="BJ2" s="719"/>
      <c r="BK2" s="1300"/>
      <c r="BL2" s="1300"/>
      <c r="BM2" s="1300"/>
      <c r="BN2" s="719"/>
      <c r="BO2" s="719"/>
      <c r="BP2" s="1300"/>
      <c r="BQ2" s="1300"/>
      <c r="BR2" s="1300"/>
    </row>
    <row r="3" spans="1:83" s="501" customFormat="1" ht="34.5" customHeight="1" x14ac:dyDescent="0.25">
      <c r="A3" s="2520"/>
      <c r="B3" s="2521"/>
      <c r="C3" s="1906"/>
      <c r="D3" s="1906"/>
      <c r="E3" s="1907"/>
      <c r="F3" s="2520"/>
      <c r="G3" s="2521"/>
      <c r="H3" s="1906"/>
      <c r="I3" s="1906"/>
      <c r="J3" s="1907"/>
      <c r="K3" s="2520"/>
      <c r="L3" s="2521"/>
      <c r="M3" s="1906"/>
      <c r="N3" s="1906"/>
      <c r="O3" s="1907"/>
      <c r="P3" s="2520"/>
      <c r="Q3" s="2521"/>
      <c r="R3" s="1906"/>
      <c r="S3" s="1906"/>
      <c r="T3" s="1907"/>
      <c r="U3" s="2520"/>
      <c r="V3" s="2521"/>
      <c r="W3" s="1906"/>
      <c r="X3" s="1906"/>
      <c r="Y3" s="1907"/>
      <c r="Z3" s="2520"/>
      <c r="AA3" s="2521"/>
      <c r="AB3" s="1906"/>
      <c r="AC3" s="1906"/>
      <c r="AD3" s="1907"/>
      <c r="AE3" s="2512"/>
      <c r="AF3" s="2513"/>
      <c r="AG3" s="2516"/>
      <c r="AH3" s="2516"/>
      <c r="AI3" s="2517"/>
      <c r="AJ3" s="2512"/>
      <c r="AK3" s="2513"/>
      <c r="AL3" s="2516"/>
      <c r="AM3" s="2516"/>
      <c r="AN3" s="2517"/>
      <c r="AO3" s="2512"/>
      <c r="AP3" s="2513"/>
      <c r="AQ3" s="2516"/>
      <c r="AR3" s="2516"/>
      <c r="AS3" s="2517"/>
      <c r="AT3" s="2512"/>
      <c r="AU3" s="2513"/>
      <c r="AV3" s="2516"/>
      <c r="AW3" s="2516"/>
      <c r="AX3" s="2517"/>
      <c r="AY3" s="2512"/>
      <c r="AZ3" s="2513"/>
      <c r="BA3" s="2516"/>
      <c r="BB3" s="2516"/>
      <c r="BC3" s="2517"/>
      <c r="BD3" s="2512"/>
      <c r="BE3" s="2513"/>
      <c r="BF3" s="2516"/>
      <c r="BG3" s="2516"/>
      <c r="BH3" s="2517"/>
      <c r="BI3" s="719"/>
      <c r="BJ3" s="719"/>
      <c r="BK3" s="1300"/>
      <c r="BL3" s="1300"/>
      <c r="BM3" s="1300"/>
      <c r="BN3" s="719"/>
      <c r="BO3" s="719"/>
      <c r="BP3" s="1300"/>
      <c r="BQ3" s="1300"/>
      <c r="BR3" s="1300"/>
    </row>
    <row r="4" spans="1:83" ht="33" customHeight="1" x14ac:dyDescent="0.25">
      <c r="A4" s="2504" t="s">
        <v>545</v>
      </c>
      <c r="B4" s="2505"/>
      <c r="C4" s="2505"/>
      <c r="D4" s="2505"/>
      <c r="E4" s="2506"/>
      <c r="F4" s="1809" t="s">
        <v>744</v>
      </c>
      <c r="G4" s="1663"/>
      <c r="H4" s="1663"/>
      <c r="I4" s="1663"/>
      <c r="J4" s="1664"/>
      <c r="K4" s="1809" t="s">
        <v>744</v>
      </c>
      <c r="L4" s="1663"/>
      <c r="M4" s="1663"/>
      <c r="N4" s="1663"/>
      <c r="O4" s="1664"/>
      <c r="P4" s="2504" t="s">
        <v>545</v>
      </c>
      <c r="Q4" s="2505"/>
      <c r="R4" s="2505"/>
      <c r="S4" s="2505"/>
      <c r="T4" s="2506"/>
      <c r="U4" s="2504" t="s">
        <v>545</v>
      </c>
      <c r="V4" s="2505"/>
      <c r="W4" s="2505"/>
      <c r="X4" s="2505"/>
      <c r="Y4" s="2506"/>
      <c r="Z4" s="2504" t="s">
        <v>545</v>
      </c>
      <c r="AA4" s="2505"/>
      <c r="AB4" s="2505"/>
      <c r="AC4" s="2505"/>
      <c r="AD4" s="2506"/>
      <c r="AE4" s="1809" t="s">
        <v>744</v>
      </c>
      <c r="AF4" s="1663"/>
      <c r="AG4" s="1663"/>
      <c r="AH4" s="1663"/>
      <c r="AI4" s="1664"/>
      <c r="AJ4" s="1809" t="s">
        <v>744</v>
      </c>
      <c r="AK4" s="1663"/>
      <c r="AL4" s="1663"/>
      <c r="AM4" s="1663"/>
      <c r="AN4" s="1664"/>
      <c r="AO4" s="1809" t="s">
        <v>744</v>
      </c>
      <c r="AP4" s="1663"/>
      <c r="AQ4" s="1663"/>
      <c r="AR4" s="1663"/>
      <c r="AS4" s="1664"/>
      <c r="AT4" s="1809" t="s">
        <v>744</v>
      </c>
      <c r="AU4" s="1663"/>
      <c r="AV4" s="1663"/>
      <c r="AW4" s="1663"/>
      <c r="AX4" s="1664"/>
      <c r="AY4" s="1809" t="s">
        <v>744</v>
      </c>
      <c r="AZ4" s="1663"/>
      <c r="BA4" s="1663"/>
      <c r="BB4" s="1663"/>
      <c r="BC4" s="1664"/>
      <c r="BD4" s="1809" t="s">
        <v>744</v>
      </c>
      <c r="BE4" s="1663"/>
      <c r="BF4" s="1663"/>
      <c r="BG4" s="1663"/>
      <c r="BH4" s="1664"/>
      <c r="BI4" s="714"/>
      <c r="BJ4" s="714"/>
      <c r="BK4" s="714"/>
      <c r="BL4" s="714"/>
      <c r="BM4" s="714"/>
      <c r="BN4" s="714"/>
      <c r="BO4" s="714"/>
      <c r="BP4" s="714"/>
      <c r="BQ4" s="714"/>
      <c r="BR4" s="714"/>
    </row>
    <row r="5" spans="1:83" ht="33" customHeight="1" x14ac:dyDescent="0.25">
      <c r="A5" s="2507"/>
      <c r="B5" s="2508"/>
      <c r="C5" s="2508"/>
      <c r="D5" s="2508"/>
      <c r="E5" s="2509"/>
      <c r="F5" s="1810"/>
      <c r="G5" s="1669"/>
      <c r="H5" s="1669"/>
      <c r="I5" s="1669"/>
      <c r="J5" s="1670"/>
      <c r="K5" s="1810"/>
      <c r="L5" s="1669"/>
      <c r="M5" s="1669"/>
      <c r="N5" s="1669"/>
      <c r="O5" s="1670"/>
      <c r="P5" s="2507"/>
      <c r="Q5" s="2508"/>
      <c r="R5" s="2508"/>
      <c r="S5" s="2508"/>
      <c r="T5" s="2509"/>
      <c r="U5" s="2507"/>
      <c r="V5" s="2508"/>
      <c r="W5" s="2508"/>
      <c r="X5" s="2508"/>
      <c r="Y5" s="2509"/>
      <c r="Z5" s="2507"/>
      <c r="AA5" s="2508"/>
      <c r="AB5" s="2508"/>
      <c r="AC5" s="2508"/>
      <c r="AD5" s="2509"/>
      <c r="AE5" s="1810"/>
      <c r="AF5" s="1669"/>
      <c r="AG5" s="1669"/>
      <c r="AH5" s="1669"/>
      <c r="AI5" s="1670"/>
      <c r="AJ5" s="1810"/>
      <c r="AK5" s="1669"/>
      <c r="AL5" s="1669"/>
      <c r="AM5" s="1669"/>
      <c r="AN5" s="1670"/>
      <c r="AO5" s="1810"/>
      <c r="AP5" s="1669"/>
      <c r="AQ5" s="1669"/>
      <c r="AR5" s="1669"/>
      <c r="AS5" s="1670"/>
      <c r="AT5" s="1810"/>
      <c r="AU5" s="1669"/>
      <c r="AV5" s="1669"/>
      <c r="AW5" s="1669"/>
      <c r="AX5" s="1670"/>
      <c r="AY5" s="1810"/>
      <c r="AZ5" s="1669"/>
      <c r="BA5" s="1669"/>
      <c r="BB5" s="1669"/>
      <c r="BC5" s="1670"/>
      <c r="BD5" s="1810"/>
      <c r="BE5" s="1669"/>
      <c r="BF5" s="1669"/>
      <c r="BG5" s="1669"/>
      <c r="BH5" s="1670"/>
      <c r="BI5" s="714"/>
      <c r="BJ5" s="714"/>
      <c r="BK5" s="714"/>
      <c r="BL5" s="714"/>
      <c r="BM5" s="714"/>
      <c r="BN5" s="714"/>
      <c r="BO5" s="714"/>
      <c r="BP5" s="714"/>
      <c r="BQ5" s="714"/>
      <c r="BR5" s="714"/>
    </row>
    <row r="6" spans="1:83" s="534" customFormat="1" ht="130.5" customHeight="1" x14ac:dyDescent="1.65">
      <c r="A6" s="2501" t="s">
        <v>668</v>
      </c>
      <c r="B6" s="2466">
        <v>1</v>
      </c>
      <c r="C6" s="2467"/>
      <c r="D6" s="2467"/>
      <c r="E6" s="2468"/>
      <c r="F6" s="2499" t="s">
        <v>516</v>
      </c>
      <c r="G6" s="2463">
        <v>3</v>
      </c>
      <c r="H6" s="2464"/>
      <c r="I6" s="2464"/>
      <c r="J6" s="2465"/>
      <c r="K6" s="2499" t="s">
        <v>516</v>
      </c>
      <c r="L6" s="2463">
        <v>21</v>
      </c>
      <c r="M6" s="2464"/>
      <c r="N6" s="2464"/>
      <c r="O6" s="2465"/>
      <c r="P6" s="2499" t="s">
        <v>516</v>
      </c>
      <c r="Q6" s="2466">
        <v>22</v>
      </c>
      <c r="R6" s="2467"/>
      <c r="S6" s="2467"/>
      <c r="T6" s="2468"/>
      <c r="U6" s="2499" t="s">
        <v>516</v>
      </c>
      <c r="V6" s="2466">
        <v>23</v>
      </c>
      <c r="W6" s="2467"/>
      <c r="X6" s="2467"/>
      <c r="Y6" s="2468"/>
      <c r="Z6" s="2499" t="s">
        <v>516</v>
      </c>
      <c r="AA6" s="2466">
        <v>24</v>
      </c>
      <c r="AB6" s="2467"/>
      <c r="AC6" s="2467"/>
      <c r="AD6" s="2468"/>
      <c r="AE6" s="2474" t="s">
        <v>491</v>
      </c>
      <c r="AF6" s="2463">
        <v>13</v>
      </c>
      <c r="AG6" s="2464"/>
      <c r="AH6" s="2464"/>
      <c r="AI6" s="2465"/>
      <c r="AJ6" s="2474" t="s">
        <v>491</v>
      </c>
      <c r="AK6" s="2463">
        <v>14</v>
      </c>
      <c r="AL6" s="2464"/>
      <c r="AM6" s="2464"/>
      <c r="AN6" s="2465"/>
      <c r="AO6" s="2474" t="s">
        <v>491</v>
      </c>
      <c r="AP6" s="2463">
        <v>15</v>
      </c>
      <c r="AQ6" s="2464"/>
      <c r="AR6" s="2464"/>
      <c r="AS6" s="2465"/>
      <c r="AT6" s="2474" t="s">
        <v>491</v>
      </c>
      <c r="AU6" s="2463">
        <v>16</v>
      </c>
      <c r="AV6" s="2464"/>
      <c r="AW6" s="2464"/>
      <c r="AX6" s="2465"/>
      <c r="AY6" s="2474" t="s">
        <v>491</v>
      </c>
      <c r="AZ6" s="2463">
        <v>17</v>
      </c>
      <c r="BA6" s="2464"/>
      <c r="BB6" s="2464"/>
      <c r="BC6" s="2465"/>
      <c r="BD6" s="2474" t="s">
        <v>491</v>
      </c>
      <c r="BE6" s="2463">
        <v>20</v>
      </c>
      <c r="BF6" s="2464"/>
      <c r="BG6" s="2464"/>
      <c r="BH6" s="2465"/>
      <c r="BI6" s="716"/>
      <c r="BJ6" s="2503"/>
      <c r="BK6" s="2503"/>
      <c r="BL6" s="2503"/>
      <c r="BM6" s="2503"/>
      <c r="BN6" s="716"/>
      <c r="BO6" s="2503"/>
      <c r="BP6" s="2503"/>
      <c r="BQ6" s="2503"/>
      <c r="BR6" s="2503"/>
    </row>
    <row r="7" spans="1:83" ht="69.75" customHeight="1" thickBot="1" x14ac:dyDescent="0.3">
      <c r="A7" s="2502"/>
      <c r="B7" s="65"/>
      <c r="C7" s="66" t="s">
        <v>113</v>
      </c>
      <c r="D7" s="67"/>
      <c r="E7" s="68" t="s">
        <v>114</v>
      </c>
      <c r="F7" s="2500"/>
      <c r="G7" s="61">
        <v>1E-8</v>
      </c>
      <c r="H7" s="62" t="s">
        <v>113</v>
      </c>
      <c r="I7" s="63"/>
      <c r="J7" s="64" t="s">
        <v>114</v>
      </c>
      <c r="K7" s="2500"/>
      <c r="L7" s="61">
        <v>1.6255999999999999</v>
      </c>
      <c r="M7" s="62" t="s">
        <v>113</v>
      </c>
      <c r="N7" s="63">
        <v>1</v>
      </c>
      <c r="O7" s="64" t="s">
        <v>114</v>
      </c>
      <c r="P7" s="2500"/>
      <c r="Q7" s="65"/>
      <c r="R7" s="66" t="s">
        <v>113</v>
      </c>
      <c r="S7" s="67"/>
      <c r="T7" s="68" t="s">
        <v>114</v>
      </c>
      <c r="U7" s="2500"/>
      <c r="V7" s="65"/>
      <c r="W7" s="66" t="s">
        <v>113</v>
      </c>
      <c r="X7" s="67"/>
      <c r="Y7" s="68" t="s">
        <v>114</v>
      </c>
      <c r="Z7" s="2500"/>
      <c r="AA7" s="65"/>
      <c r="AB7" s="66" t="s">
        <v>113</v>
      </c>
      <c r="AC7" s="67"/>
      <c r="AD7" s="68" t="s">
        <v>114</v>
      </c>
      <c r="AE7" s="2475"/>
      <c r="AF7" s="61">
        <v>0.73660000000000003</v>
      </c>
      <c r="AG7" s="62" t="s">
        <v>113</v>
      </c>
      <c r="AH7" s="63"/>
      <c r="AI7" s="64" t="s">
        <v>114</v>
      </c>
      <c r="AJ7" s="2475"/>
      <c r="AK7" s="61">
        <v>0.27939999999999998</v>
      </c>
      <c r="AL7" s="62" t="s">
        <v>113</v>
      </c>
      <c r="AM7" s="63">
        <v>1</v>
      </c>
      <c r="AN7" s="64" t="s">
        <v>114</v>
      </c>
      <c r="AO7" s="2475"/>
      <c r="AP7" s="61">
        <v>1.32</v>
      </c>
      <c r="AQ7" s="62" t="s">
        <v>113</v>
      </c>
      <c r="AR7" s="63"/>
      <c r="AS7" s="64" t="s">
        <v>114</v>
      </c>
      <c r="AT7" s="2475"/>
      <c r="AU7" s="61">
        <v>3.1496</v>
      </c>
      <c r="AV7" s="62" t="s">
        <v>113</v>
      </c>
      <c r="AW7" s="63"/>
      <c r="AX7" s="64" t="s">
        <v>114</v>
      </c>
      <c r="AY7" s="2475"/>
      <c r="AZ7" s="61">
        <v>3.7338</v>
      </c>
      <c r="BA7" s="62" t="s">
        <v>113</v>
      </c>
      <c r="BB7" s="63">
        <v>1</v>
      </c>
      <c r="BC7" s="64" t="s">
        <v>114</v>
      </c>
      <c r="BD7" s="2475"/>
      <c r="BE7" s="61">
        <v>0.58420000000000005</v>
      </c>
      <c r="BF7" s="62" t="s">
        <v>113</v>
      </c>
      <c r="BG7" s="63"/>
      <c r="BH7" s="64" t="s">
        <v>114</v>
      </c>
      <c r="BI7" s="716"/>
      <c r="BJ7" s="32"/>
      <c r="BK7" s="33"/>
      <c r="BL7" s="34"/>
      <c r="BM7" s="35"/>
      <c r="BN7" s="716"/>
      <c r="BO7" s="32"/>
      <c r="BP7" s="33"/>
      <c r="BQ7" s="34"/>
      <c r="BR7" s="35"/>
      <c r="BW7" s="27"/>
      <c r="BX7" s="27"/>
      <c r="BY7" s="27"/>
      <c r="BZ7" s="27"/>
      <c r="CA7" s="27"/>
      <c r="CB7" s="27"/>
      <c r="CC7" s="27"/>
      <c r="CD7" s="27"/>
      <c r="CE7" s="27"/>
    </row>
    <row r="8" spans="1:83" s="501" customFormat="1" ht="34.5" customHeight="1" thickTop="1" x14ac:dyDescent="0.25">
      <c r="A8" s="1963" t="s">
        <v>110</v>
      </c>
      <c r="B8" s="2496"/>
      <c r="C8" s="1260">
        <f>B13/((84*3.1415/59)*(42.5/3.281))</f>
        <v>0</v>
      </c>
      <c r="D8" s="1260"/>
      <c r="E8" s="1261"/>
      <c r="F8" s="1963" t="s">
        <v>110</v>
      </c>
      <c r="G8" s="2496"/>
      <c r="H8" s="1260">
        <f t="shared" ref="H8" si="10">G13/((84*3.1415/59)*(42.5/3.281))</f>
        <v>2.104398171937882E-2</v>
      </c>
      <c r="I8" s="1260"/>
      <c r="J8" s="1261"/>
      <c r="K8" s="1963" t="s">
        <v>110</v>
      </c>
      <c r="L8" s="2496"/>
      <c r="M8" s="1260">
        <f t="shared" ref="M8" si="11">L13/((84*3.1415/59)*(42.5/3.281))</f>
        <v>0</v>
      </c>
      <c r="N8" s="1260"/>
      <c r="O8" s="1261"/>
      <c r="P8" s="1963" t="s">
        <v>110</v>
      </c>
      <c r="Q8" s="2496"/>
      <c r="R8" s="1260">
        <f t="shared" ref="R8" si="12">Q13/((84*3.1415/59)*(42.5/3.281))</f>
        <v>0</v>
      </c>
      <c r="S8" s="1260"/>
      <c r="T8" s="1261"/>
      <c r="U8" s="1963" t="s">
        <v>110</v>
      </c>
      <c r="V8" s="2496"/>
      <c r="W8" s="1260">
        <f>V13/((84*3.1415/59)*(42.5/3.281))</f>
        <v>2.5428144577582742E-2</v>
      </c>
      <c r="X8" s="1260"/>
      <c r="Y8" s="1261"/>
      <c r="Z8" s="1963" t="s">
        <v>110</v>
      </c>
      <c r="AA8" s="2496"/>
      <c r="AB8" s="1260">
        <f>AA13/((84*3.1415/59)*(42.5/3.281))</f>
        <v>0</v>
      </c>
      <c r="AC8" s="1260"/>
      <c r="AD8" s="1261"/>
      <c r="AE8" s="2488" t="s">
        <v>110</v>
      </c>
      <c r="AF8" s="2489"/>
      <c r="AG8" s="2492">
        <f>AF13/((84*3.1415/59)*(47.5/3.281))</f>
        <v>0</v>
      </c>
      <c r="AH8" s="2492"/>
      <c r="AI8" s="2493"/>
      <c r="AJ8" s="2488" t="s">
        <v>110</v>
      </c>
      <c r="AK8" s="2489"/>
      <c r="AL8" s="2492">
        <f t="shared" ref="AL8" si="13">AK13/((84*3.1415/59)*(47.5/3.281))</f>
        <v>2.9027773029581747E-2</v>
      </c>
      <c r="AM8" s="2492"/>
      <c r="AN8" s="2493"/>
      <c r="AO8" s="2488" t="s">
        <v>110</v>
      </c>
      <c r="AP8" s="2489"/>
      <c r="AQ8" s="2492">
        <f t="shared" ref="AQ8" si="14">AP13/((84*3.1415/59)*(47.5/3.281))</f>
        <v>0</v>
      </c>
      <c r="AR8" s="2492"/>
      <c r="AS8" s="2493"/>
      <c r="AT8" s="2488" t="s">
        <v>110</v>
      </c>
      <c r="AU8" s="2489"/>
      <c r="AV8" s="2492">
        <f t="shared" ref="AV8" si="15">AU13/((84*3.1415/59)*(47.5/3.281))</f>
        <v>7.0608096558442092E-3</v>
      </c>
      <c r="AW8" s="2492"/>
      <c r="AX8" s="2493"/>
      <c r="AY8" s="2488" t="s">
        <v>110</v>
      </c>
      <c r="AZ8" s="2489"/>
      <c r="BA8" s="2492">
        <f t="shared" ref="BA8" si="16">AZ13/((84*3.1415/59)*(47.5/3.281))</f>
        <v>1.8436558545815433E-2</v>
      </c>
      <c r="BB8" s="2492"/>
      <c r="BC8" s="2493"/>
      <c r="BD8" s="2488" t="s">
        <v>110</v>
      </c>
      <c r="BE8" s="2489"/>
      <c r="BF8" s="2492">
        <f t="shared" ref="BF8" si="17">BE13/((84*3.1415/59)*(47.5/3.281))</f>
        <v>0</v>
      </c>
      <c r="BG8" s="2492"/>
      <c r="BH8" s="2493"/>
      <c r="BI8" s="719"/>
      <c r="BJ8" s="719"/>
      <c r="BK8" s="1300"/>
      <c r="BL8" s="1300"/>
      <c r="BM8" s="1300"/>
      <c r="BN8" s="719"/>
      <c r="BO8" s="719"/>
      <c r="BP8" s="1300"/>
      <c r="BQ8" s="1300"/>
      <c r="BR8" s="1300"/>
    </row>
    <row r="9" spans="1:83" s="501" customFormat="1" ht="34.5" customHeight="1" x14ac:dyDescent="0.25">
      <c r="A9" s="2497"/>
      <c r="B9" s="2498"/>
      <c r="C9" s="1264"/>
      <c r="D9" s="1264"/>
      <c r="E9" s="1265"/>
      <c r="F9" s="2497"/>
      <c r="G9" s="2498"/>
      <c r="H9" s="1264"/>
      <c r="I9" s="1264"/>
      <c r="J9" s="1265"/>
      <c r="K9" s="2497"/>
      <c r="L9" s="2498"/>
      <c r="M9" s="1264"/>
      <c r="N9" s="1264"/>
      <c r="O9" s="1265"/>
      <c r="P9" s="2497"/>
      <c r="Q9" s="2498"/>
      <c r="R9" s="1264"/>
      <c r="S9" s="1264"/>
      <c r="T9" s="1265"/>
      <c r="U9" s="2497"/>
      <c r="V9" s="2498"/>
      <c r="W9" s="1264"/>
      <c r="X9" s="1264"/>
      <c r="Y9" s="1265"/>
      <c r="Z9" s="2497"/>
      <c r="AA9" s="2498"/>
      <c r="AB9" s="1264"/>
      <c r="AC9" s="1264"/>
      <c r="AD9" s="1265"/>
      <c r="AE9" s="2490"/>
      <c r="AF9" s="2491"/>
      <c r="AG9" s="2494"/>
      <c r="AH9" s="2494"/>
      <c r="AI9" s="2495"/>
      <c r="AJ9" s="2490"/>
      <c r="AK9" s="2491"/>
      <c r="AL9" s="2494"/>
      <c r="AM9" s="2494"/>
      <c r="AN9" s="2495"/>
      <c r="AO9" s="2490"/>
      <c r="AP9" s="2491"/>
      <c r="AQ9" s="2494"/>
      <c r="AR9" s="2494"/>
      <c r="AS9" s="2495"/>
      <c r="AT9" s="2490"/>
      <c r="AU9" s="2491"/>
      <c r="AV9" s="2494"/>
      <c r="AW9" s="2494"/>
      <c r="AX9" s="2495"/>
      <c r="AY9" s="2490"/>
      <c r="AZ9" s="2491"/>
      <c r="BA9" s="2494"/>
      <c r="BB9" s="2494"/>
      <c r="BC9" s="2495"/>
      <c r="BD9" s="2490"/>
      <c r="BE9" s="2491"/>
      <c r="BF9" s="2494"/>
      <c r="BG9" s="2494"/>
      <c r="BH9" s="2495"/>
      <c r="BI9" s="719"/>
      <c r="BJ9" s="719"/>
      <c r="BK9" s="1300"/>
      <c r="BL9" s="1300"/>
      <c r="BM9" s="1300"/>
      <c r="BN9" s="719"/>
      <c r="BO9" s="719"/>
      <c r="BP9" s="1300"/>
      <c r="BQ9" s="1300"/>
      <c r="BR9" s="1300"/>
    </row>
    <row r="10" spans="1:83" ht="33" customHeight="1" x14ac:dyDescent="0.25">
      <c r="A10" s="2476" t="s">
        <v>545</v>
      </c>
      <c r="B10" s="2477"/>
      <c r="C10" s="2477"/>
      <c r="D10" s="2477"/>
      <c r="E10" s="2478"/>
      <c r="F10" s="2476" t="s">
        <v>545</v>
      </c>
      <c r="G10" s="2477"/>
      <c r="H10" s="2477"/>
      <c r="I10" s="2477"/>
      <c r="J10" s="2478"/>
      <c r="K10" s="2476" t="s">
        <v>545</v>
      </c>
      <c r="L10" s="2477"/>
      <c r="M10" s="2477"/>
      <c r="N10" s="2477"/>
      <c r="O10" s="2478"/>
      <c r="P10" s="2476" t="s">
        <v>545</v>
      </c>
      <c r="Q10" s="2477"/>
      <c r="R10" s="2477"/>
      <c r="S10" s="2477"/>
      <c r="T10" s="2478"/>
      <c r="U10" s="2476" t="s">
        <v>545</v>
      </c>
      <c r="V10" s="2477"/>
      <c r="W10" s="2477"/>
      <c r="X10" s="2477"/>
      <c r="Y10" s="2478"/>
      <c r="Z10" s="2476" t="s">
        <v>545</v>
      </c>
      <c r="AA10" s="2477"/>
      <c r="AB10" s="2477"/>
      <c r="AC10" s="2477"/>
      <c r="AD10" s="2478"/>
      <c r="AE10" s="2482" t="s">
        <v>545</v>
      </c>
      <c r="AF10" s="2483"/>
      <c r="AG10" s="2483"/>
      <c r="AH10" s="2483"/>
      <c r="AI10" s="2484"/>
      <c r="AJ10" s="1809" t="s">
        <v>744</v>
      </c>
      <c r="AK10" s="1663"/>
      <c r="AL10" s="1663"/>
      <c r="AM10" s="1663"/>
      <c r="AN10" s="1664"/>
      <c r="AO10" s="2482" t="s">
        <v>545</v>
      </c>
      <c r="AP10" s="2483"/>
      <c r="AQ10" s="2483"/>
      <c r="AR10" s="2483"/>
      <c r="AS10" s="2484"/>
      <c r="AT10" s="1809" t="s">
        <v>744</v>
      </c>
      <c r="AU10" s="1663"/>
      <c r="AV10" s="1663"/>
      <c r="AW10" s="1663"/>
      <c r="AX10" s="1664"/>
      <c r="AY10" s="1809" t="s">
        <v>744</v>
      </c>
      <c r="AZ10" s="1663"/>
      <c r="BA10" s="1663"/>
      <c r="BB10" s="1663"/>
      <c r="BC10" s="1664"/>
      <c r="BD10" s="2482" t="s">
        <v>545</v>
      </c>
      <c r="BE10" s="2483"/>
      <c r="BF10" s="2483"/>
      <c r="BG10" s="2483"/>
      <c r="BH10" s="2484"/>
      <c r="BI10" s="714"/>
      <c r="BJ10" s="714"/>
      <c r="BK10" s="714"/>
      <c r="BL10" s="714"/>
      <c r="BM10" s="714"/>
      <c r="BN10" s="714"/>
      <c r="BO10" s="714"/>
      <c r="BP10" s="714"/>
      <c r="BQ10" s="714"/>
      <c r="BR10" s="714"/>
    </row>
    <row r="11" spans="1:83" ht="33" customHeight="1" x14ac:dyDescent="0.25">
      <c r="A11" s="2479"/>
      <c r="B11" s="2480"/>
      <c r="C11" s="2480"/>
      <c r="D11" s="2480"/>
      <c r="E11" s="2481"/>
      <c r="F11" s="2479"/>
      <c r="G11" s="2480"/>
      <c r="H11" s="2480"/>
      <c r="I11" s="2480"/>
      <c r="J11" s="2481"/>
      <c r="K11" s="2479"/>
      <c r="L11" s="2480"/>
      <c r="M11" s="2480"/>
      <c r="N11" s="2480"/>
      <c r="O11" s="2481"/>
      <c r="P11" s="2479"/>
      <c r="Q11" s="2480"/>
      <c r="R11" s="2480"/>
      <c r="S11" s="2480"/>
      <c r="T11" s="2481"/>
      <c r="U11" s="2479"/>
      <c r="V11" s="2480"/>
      <c r="W11" s="2480"/>
      <c r="X11" s="2480"/>
      <c r="Y11" s="2481"/>
      <c r="Z11" s="2479"/>
      <c r="AA11" s="2480"/>
      <c r="AB11" s="2480"/>
      <c r="AC11" s="2480"/>
      <c r="AD11" s="2481"/>
      <c r="AE11" s="2485"/>
      <c r="AF11" s="2486"/>
      <c r="AG11" s="2486"/>
      <c r="AH11" s="2486"/>
      <c r="AI11" s="2487"/>
      <c r="AJ11" s="1810"/>
      <c r="AK11" s="1669"/>
      <c r="AL11" s="1669"/>
      <c r="AM11" s="1669"/>
      <c r="AN11" s="1670"/>
      <c r="AO11" s="2485"/>
      <c r="AP11" s="2486"/>
      <c r="AQ11" s="2486"/>
      <c r="AR11" s="2486"/>
      <c r="AS11" s="2487"/>
      <c r="AT11" s="1810"/>
      <c r="AU11" s="1669"/>
      <c r="AV11" s="1669"/>
      <c r="AW11" s="1669"/>
      <c r="AX11" s="1670"/>
      <c r="AY11" s="1810"/>
      <c r="AZ11" s="1669"/>
      <c r="BA11" s="1669"/>
      <c r="BB11" s="1669"/>
      <c r="BC11" s="1670"/>
      <c r="BD11" s="2485"/>
      <c r="BE11" s="2486"/>
      <c r="BF11" s="2486"/>
      <c r="BG11" s="2486"/>
      <c r="BH11" s="2487"/>
      <c r="BI11" s="714"/>
      <c r="BJ11" s="714"/>
      <c r="BK11" s="714"/>
      <c r="BL11" s="714"/>
      <c r="BM11" s="714"/>
      <c r="BN11" s="714"/>
      <c r="BO11" s="714"/>
      <c r="BP11" s="714"/>
      <c r="BQ11" s="714"/>
      <c r="BR11" s="714"/>
    </row>
    <row r="12" spans="1:83" s="534" customFormat="1" ht="152.25" customHeight="1" x14ac:dyDescent="1.65">
      <c r="A12" s="2469" t="s">
        <v>558</v>
      </c>
      <c r="B12" s="2466">
        <v>7</v>
      </c>
      <c r="C12" s="2467"/>
      <c r="D12" s="2467"/>
      <c r="E12" s="2468"/>
      <c r="F12" s="2469" t="s">
        <v>558</v>
      </c>
      <c r="G12" s="2471">
        <v>8</v>
      </c>
      <c r="H12" s="2472"/>
      <c r="I12" s="2472"/>
      <c r="J12" s="2473"/>
      <c r="K12" s="2469" t="s">
        <v>558</v>
      </c>
      <c r="L12" s="2466">
        <v>9</v>
      </c>
      <c r="M12" s="2467"/>
      <c r="N12" s="2467"/>
      <c r="O12" s="2468"/>
      <c r="P12" s="2469" t="s">
        <v>558</v>
      </c>
      <c r="Q12" s="2466">
        <v>10</v>
      </c>
      <c r="R12" s="2467"/>
      <c r="S12" s="2467"/>
      <c r="T12" s="2468"/>
      <c r="U12" s="2469" t="s">
        <v>558</v>
      </c>
      <c r="V12" s="2471">
        <v>11</v>
      </c>
      <c r="W12" s="2472"/>
      <c r="X12" s="2472"/>
      <c r="Y12" s="2473"/>
      <c r="Z12" s="2469" t="s">
        <v>558</v>
      </c>
      <c r="AA12" s="2466">
        <v>19</v>
      </c>
      <c r="AB12" s="2467"/>
      <c r="AC12" s="2467"/>
      <c r="AD12" s="2468"/>
      <c r="AE12" s="2461" t="s">
        <v>559</v>
      </c>
      <c r="AF12" s="2466">
        <v>2</v>
      </c>
      <c r="AG12" s="2467"/>
      <c r="AH12" s="2467"/>
      <c r="AI12" s="2468"/>
      <c r="AJ12" s="2461" t="s">
        <v>559</v>
      </c>
      <c r="AK12" s="2463">
        <v>4</v>
      </c>
      <c r="AL12" s="2464"/>
      <c r="AM12" s="2464"/>
      <c r="AN12" s="2465"/>
      <c r="AO12" s="2461" t="s">
        <v>559</v>
      </c>
      <c r="AP12" s="2466">
        <v>5</v>
      </c>
      <c r="AQ12" s="2467"/>
      <c r="AR12" s="2467"/>
      <c r="AS12" s="2468"/>
      <c r="AT12" s="2461" t="s">
        <v>559</v>
      </c>
      <c r="AU12" s="2463">
        <v>6</v>
      </c>
      <c r="AV12" s="2464"/>
      <c r="AW12" s="2464"/>
      <c r="AX12" s="2465"/>
      <c r="AY12" s="2461" t="s">
        <v>559</v>
      </c>
      <c r="AZ12" s="2463">
        <v>12</v>
      </c>
      <c r="BA12" s="2464"/>
      <c r="BB12" s="2464"/>
      <c r="BC12" s="2465"/>
      <c r="BD12" s="2461" t="s">
        <v>559</v>
      </c>
      <c r="BE12" s="2466">
        <v>18</v>
      </c>
      <c r="BF12" s="2467"/>
      <c r="BG12" s="2467"/>
      <c r="BH12" s="2468"/>
      <c r="BI12" s="716"/>
      <c r="BJ12" s="2460"/>
      <c r="BK12" s="2460"/>
      <c r="BL12" s="2460"/>
      <c r="BM12" s="2460"/>
      <c r="BN12" s="716"/>
      <c r="BO12" s="2460"/>
      <c r="BP12" s="2460"/>
      <c r="BQ12" s="2460"/>
      <c r="BR12" s="2460"/>
    </row>
    <row r="13" spans="1:83" ht="69.75" customHeight="1" thickBot="1" x14ac:dyDescent="0.3">
      <c r="A13" s="2470"/>
      <c r="B13" s="65"/>
      <c r="C13" s="66" t="s">
        <v>113</v>
      </c>
      <c r="D13" s="67"/>
      <c r="E13" s="68" t="s">
        <v>114</v>
      </c>
      <c r="F13" s="2470"/>
      <c r="G13" s="65">
        <v>1.2192000000000001</v>
      </c>
      <c r="H13" s="66" t="s">
        <v>113</v>
      </c>
      <c r="I13" s="67">
        <v>1</v>
      </c>
      <c r="J13" s="68" t="s">
        <v>114</v>
      </c>
      <c r="K13" s="2470"/>
      <c r="L13" s="65"/>
      <c r="M13" s="66" t="s">
        <v>113</v>
      </c>
      <c r="N13" s="67"/>
      <c r="O13" s="68" t="s">
        <v>114</v>
      </c>
      <c r="P13" s="2470"/>
      <c r="Q13" s="65"/>
      <c r="R13" s="66" t="s">
        <v>113</v>
      </c>
      <c r="S13" s="67"/>
      <c r="T13" s="68" t="s">
        <v>114</v>
      </c>
      <c r="U13" s="2470"/>
      <c r="V13" s="65">
        <v>1.4732000000000001</v>
      </c>
      <c r="W13" s="66" t="s">
        <v>113</v>
      </c>
      <c r="X13" s="67"/>
      <c r="Y13" s="68" t="s">
        <v>114</v>
      </c>
      <c r="Z13" s="2470"/>
      <c r="AA13" s="65"/>
      <c r="AB13" s="66" t="s">
        <v>113</v>
      </c>
      <c r="AC13" s="67"/>
      <c r="AD13" s="68" t="s">
        <v>114</v>
      </c>
      <c r="AE13" s="2462"/>
      <c r="AF13" s="65"/>
      <c r="AG13" s="66" t="s">
        <v>113</v>
      </c>
      <c r="AH13" s="67"/>
      <c r="AI13" s="68" t="s">
        <v>114</v>
      </c>
      <c r="AJ13" s="2462"/>
      <c r="AK13" s="61">
        <v>1.8795999999999999</v>
      </c>
      <c r="AL13" s="62" t="s">
        <v>113</v>
      </c>
      <c r="AM13" s="63">
        <v>1</v>
      </c>
      <c r="AN13" s="64" t="s">
        <v>114</v>
      </c>
      <c r="AO13" s="2462"/>
      <c r="AP13" s="65"/>
      <c r="AQ13" s="66" t="s">
        <v>113</v>
      </c>
      <c r="AR13" s="67"/>
      <c r="AS13" s="68" t="s">
        <v>114</v>
      </c>
      <c r="AT13" s="2462"/>
      <c r="AU13" s="61">
        <v>0.4572</v>
      </c>
      <c r="AV13" s="62" t="s">
        <v>113</v>
      </c>
      <c r="AW13" s="63">
        <v>1</v>
      </c>
      <c r="AX13" s="64" t="s">
        <v>114</v>
      </c>
      <c r="AY13" s="2462"/>
      <c r="AZ13" s="61">
        <v>1.1938</v>
      </c>
      <c r="BA13" s="62" t="s">
        <v>113</v>
      </c>
      <c r="BB13" s="63">
        <v>1</v>
      </c>
      <c r="BC13" s="64" t="s">
        <v>114</v>
      </c>
      <c r="BD13" s="2462"/>
      <c r="BE13" s="65"/>
      <c r="BF13" s="66" t="s">
        <v>113</v>
      </c>
      <c r="BG13" s="67"/>
      <c r="BH13" s="68" t="s">
        <v>114</v>
      </c>
      <c r="BI13" s="716"/>
      <c r="BJ13" s="32"/>
      <c r="BK13" s="33"/>
      <c r="BL13" s="34"/>
      <c r="BM13" s="35"/>
      <c r="BN13" s="716"/>
      <c r="BO13" s="32"/>
      <c r="BP13" s="33"/>
      <c r="BQ13" s="34"/>
      <c r="BR13" s="35"/>
      <c r="BW13" s="27"/>
      <c r="BX13" s="27"/>
      <c r="BY13" s="27"/>
      <c r="BZ13" s="27"/>
      <c r="CA13" s="27"/>
      <c r="CB13" s="27"/>
      <c r="CC13" s="27"/>
      <c r="CD13" s="27"/>
      <c r="CE13" s="27"/>
    </row>
    <row r="14" spans="1:83" ht="22.5" hidden="1" customHeight="1" thickTop="1" x14ac:dyDescent="0.25">
      <c r="A14" s="719"/>
      <c r="B14" s="719"/>
      <c r="C14" s="1300"/>
      <c r="D14" s="1300"/>
      <c r="E14" s="1300"/>
      <c r="F14" s="719"/>
      <c r="G14" s="719"/>
      <c r="H14" s="1300"/>
      <c r="I14" s="1300"/>
      <c r="J14" s="1300"/>
      <c r="K14" s="719"/>
      <c r="L14" s="719"/>
      <c r="M14" s="1300"/>
      <c r="N14" s="1300"/>
      <c r="O14" s="1300"/>
      <c r="P14" s="719"/>
      <c r="Q14" s="719"/>
      <c r="R14" s="1300"/>
      <c r="S14" s="1300"/>
      <c r="T14" s="1300"/>
      <c r="U14" s="719"/>
      <c r="V14" s="719"/>
      <c r="W14" s="1300"/>
      <c r="X14" s="1300"/>
      <c r="Y14" s="1300"/>
      <c r="Z14" s="719"/>
      <c r="AA14" s="719"/>
      <c r="AB14" s="1300"/>
      <c r="AC14" s="1300"/>
      <c r="AD14" s="1300"/>
      <c r="AE14" s="719"/>
      <c r="AF14" s="719"/>
      <c r="AG14" s="1300"/>
      <c r="AH14" s="1300"/>
      <c r="AI14" s="1300"/>
      <c r="AJ14" s="719"/>
      <c r="AK14" s="719"/>
      <c r="AL14" s="1300"/>
      <c r="AM14" s="1300"/>
      <c r="AN14" s="1300"/>
      <c r="AO14" s="719"/>
      <c r="AP14" s="719"/>
      <c r="AQ14" s="1300"/>
      <c r="AR14" s="1300"/>
      <c r="AS14" s="1300"/>
      <c r="AT14" s="719"/>
      <c r="AU14" s="719"/>
      <c r="AV14" s="1300"/>
      <c r="AW14" s="1300"/>
      <c r="AX14" s="1300"/>
      <c r="AY14" s="719"/>
      <c r="AZ14" s="719"/>
      <c r="BA14" s="1300"/>
      <c r="BB14" s="1300"/>
      <c r="BC14" s="1300"/>
      <c r="BD14" s="719"/>
      <c r="BE14" s="719"/>
      <c r="BF14" s="1300"/>
      <c r="BG14" s="1300"/>
      <c r="BH14" s="1300"/>
      <c r="BI14" s="719"/>
      <c r="BJ14" s="719"/>
      <c r="BK14" s="1300"/>
      <c r="BL14" s="1300"/>
      <c r="BM14" s="1300"/>
      <c r="BN14" s="719"/>
      <c r="BO14" s="719"/>
      <c r="BP14" s="1300"/>
      <c r="BQ14" s="1300"/>
      <c r="BR14" s="1300"/>
    </row>
    <row r="15" spans="1:83" ht="22.5" hidden="1" customHeight="1" x14ac:dyDescent="0.25">
      <c r="A15" s="719"/>
      <c r="B15" s="719"/>
      <c r="C15" s="1300"/>
      <c r="D15" s="1300"/>
      <c r="E15" s="1300"/>
      <c r="F15" s="719"/>
      <c r="G15" s="719"/>
      <c r="H15" s="1300"/>
      <c r="I15" s="1300"/>
      <c r="J15" s="1300"/>
      <c r="K15" s="719"/>
      <c r="L15" s="719"/>
      <c r="M15" s="1300"/>
      <c r="N15" s="1300"/>
      <c r="O15" s="1300"/>
      <c r="P15" s="719"/>
      <c r="Q15" s="719"/>
      <c r="R15" s="1300"/>
      <c r="S15" s="1300"/>
      <c r="T15" s="1300"/>
      <c r="U15" s="719"/>
      <c r="V15" s="719"/>
      <c r="W15" s="1300"/>
      <c r="X15" s="1300"/>
      <c r="Y15" s="1300"/>
      <c r="Z15" s="719"/>
      <c r="AA15" s="719"/>
      <c r="AB15" s="1300"/>
      <c r="AC15" s="1300"/>
      <c r="AD15" s="1300"/>
      <c r="AE15" s="719"/>
      <c r="AF15" s="719"/>
      <c r="AG15" s="1300"/>
      <c r="AH15" s="1300"/>
      <c r="AI15" s="1300"/>
      <c r="AJ15" s="719"/>
      <c r="AK15" s="719"/>
      <c r="AL15" s="1300"/>
      <c r="AM15" s="1300"/>
      <c r="AN15" s="1300"/>
      <c r="AO15" s="719"/>
      <c r="AP15" s="719"/>
      <c r="AQ15" s="1300"/>
      <c r="AR15" s="1300"/>
      <c r="AS15" s="1300"/>
      <c r="AT15" s="719"/>
      <c r="AU15" s="719"/>
      <c r="AV15" s="1300"/>
      <c r="AW15" s="1300"/>
      <c r="AX15" s="1300"/>
      <c r="AY15" s="719"/>
      <c r="AZ15" s="719"/>
      <c r="BA15" s="1300"/>
      <c r="BB15" s="1300"/>
      <c r="BC15" s="1300"/>
      <c r="BD15" s="719"/>
      <c r="BE15" s="719"/>
      <c r="BF15" s="1300"/>
      <c r="BG15" s="1300"/>
      <c r="BH15" s="1300"/>
      <c r="BI15" s="719"/>
      <c r="BJ15" s="719"/>
      <c r="BK15" s="1300"/>
      <c r="BL15" s="1300"/>
      <c r="BM15" s="1300"/>
      <c r="BN15" s="719"/>
      <c r="BO15" s="719"/>
      <c r="BP15" s="1300"/>
      <c r="BQ15" s="1300"/>
      <c r="BR15" s="1300"/>
    </row>
    <row r="16" spans="1:83" ht="33" hidden="1" customHeight="1" x14ac:dyDescent="0.25">
      <c r="A16" s="714"/>
      <c r="B16" s="714"/>
      <c r="C16" s="714"/>
      <c r="D16" s="714"/>
      <c r="E16" s="714"/>
      <c r="F16" s="714"/>
      <c r="G16" s="714"/>
      <c r="H16" s="714"/>
      <c r="I16" s="714"/>
      <c r="J16" s="714"/>
      <c r="K16" s="714"/>
      <c r="L16" s="714"/>
      <c r="M16" s="714"/>
      <c r="N16" s="714"/>
      <c r="O16" s="714"/>
      <c r="P16" s="714"/>
      <c r="Q16" s="714"/>
      <c r="R16" s="714"/>
      <c r="S16" s="714"/>
      <c r="T16" s="714"/>
      <c r="U16" s="714"/>
      <c r="V16" s="714"/>
      <c r="W16" s="714"/>
      <c r="X16" s="714"/>
      <c r="Y16" s="714"/>
      <c r="Z16" s="714"/>
      <c r="AA16" s="714"/>
      <c r="AB16" s="714"/>
      <c r="AC16" s="714"/>
      <c r="AD16" s="714"/>
      <c r="AE16" s="714"/>
      <c r="AF16" s="714"/>
      <c r="AG16" s="714"/>
      <c r="AH16" s="714"/>
      <c r="AI16" s="714"/>
      <c r="AJ16" s="714"/>
      <c r="AK16" s="714"/>
      <c r="AL16" s="714"/>
      <c r="AM16" s="714"/>
      <c r="AN16" s="714"/>
      <c r="AO16" s="714"/>
      <c r="AP16" s="714"/>
      <c r="AQ16" s="714"/>
      <c r="AR16" s="714"/>
      <c r="AS16" s="714"/>
      <c r="AT16" s="714"/>
      <c r="AU16" s="714"/>
      <c r="AV16" s="714"/>
      <c r="AW16" s="714"/>
      <c r="AX16" s="714"/>
      <c r="AY16" s="714"/>
      <c r="AZ16" s="714"/>
      <c r="BA16" s="714"/>
      <c r="BB16" s="714"/>
      <c r="BC16" s="714"/>
      <c r="BD16" s="714"/>
      <c r="BE16" s="714"/>
      <c r="BF16" s="714"/>
      <c r="BG16" s="714"/>
      <c r="BH16" s="714"/>
      <c r="BI16" s="714"/>
      <c r="BJ16" s="714"/>
      <c r="BK16" s="714"/>
      <c r="BL16" s="714"/>
      <c r="BM16" s="714"/>
      <c r="BN16" s="714"/>
      <c r="BO16" s="714"/>
      <c r="BP16" s="714"/>
      <c r="BQ16" s="714"/>
      <c r="BR16" s="714"/>
    </row>
    <row r="17" spans="1:112" ht="33" hidden="1" customHeight="1" x14ac:dyDescent="0.25">
      <c r="A17" s="714"/>
      <c r="B17" s="714"/>
      <c r="C17" s="714"/>
      <c r="D17" s="714"/>
      <c r="E17" s="714"/>
      <c r="F17" s="714"/>
      <c r="G17" s="714"/>
      <c r="H17" s="714"/>
      <c r="I17" s="714"/>
      <c r="J17" s="714"/>
      <c r="K17" s="714"/>
      <c r="L17" s="714"/>
      <c r="M17" s="714"/>
      <c r="N17" s="714"/>
      <c r="O17" s="714"/>
      <c r="P17" s="714"/>
      <c r="Q17" s="714"/>
      <c r="R17" s="714"/>
      <c r="S17" s="714"/>
      <c r="T17" s="714"/>
      <c r="U17" s="714"/>
      <c r="V17" s="714"/>
      <c r="W17" s="714"/>
      <c r="X17" s="714"/>
      <c r="Y17" s="714"/>
      <c r="Z17" s="714"/>
      <c r="AA17" s="714"/>
      <c r="AB17" s="714"/>
      <c r="AC17" s="714"/>
      <c r="AD17" s="714"/>
      <c r="AE17" s="714"/>
      <c r="AF17" s="714"/>
      <c r="AG17" s="714"/>
      <c r="AH17" s="714"/>
      <c r="AI17" s="714"/>
      <c r="AJ17" s="714"/>
      <c r="AK17" s="714"/>
      <c r="AL17" s="714"/>
      <c r="AM17" s="714"/>
      <c r="AN17" s="714"/>
      <c r="AO17" s="714"/>
      <c r="AP17" s="714"/>
      <c r="AQ17" s="714"/>
      <c r="AR17" s="714"/>
      <c r="AS17" s="714"/>
      <c r="AT17" s="714"/>
      <c r="AU17" s="714"/>
      <c r="AV17" s="714"/>
      <c r="AW17" s="714"/>
      <c r="AX17" s="714"/>
      <c r="AY17" s="714"/>
      <c r="AZ17" s="714"/>
      <c r="BA17" s="714"/>
      <c r="BB17" s="714"/>
      <c r="BC17" s="714"/>
      <c r="BD17" s="714"/>
      <c r="BE17" s="714"/>
      <c r="BF17" s="714"/>
      <c r="BG17" s="714"/>
      <c r="BH17" s="714"/>
      <c r="BI17" s="714"/>
      <c r="BJ17" s="714"/>
      <c r="BK17" s="714"/>
      <c r="BL17" s="714"/>
      <c r="BM17" s="714"/>
      <c r="BN17" s="714"/>
      <c r="BO17" s="714"/>
      <c r="BP17" s="714"/>
      <c r="BQ17" s="714"/>
      <c r="BR17" s="714"/>
    </row>
    <row r="18" spans="1:112" s="22" customFormat="1" ht="103.5" hidden="1" customHeight="1" x14ac:dyDescent="1.35">
      <c r="A18" s="2440"/>
      <c r="B18" s="717"/>
      <c r="C18" s="717"/>
      <c r="D18" s="717"/>
      <c r="E18" s="717"/>
      <c r="F18" s="2440"/>
      <c r="G18" s="717"/>
      <c r="H18" s="717"/>
      <c r="I18" s="717"/>
      <c r="J18" s="717"/>
      <c r="K18" s="2440"/>
      <c r="L18" s="717"/>
      <c r="M18" s="717"/>
      <c r="N18" s="717"/>
      <c r="O18" s="717"/>
      <c r="P18" s="2440"/>
      <c r="Q18" s="717"/>
      <c r="R18" s="717"/>
      <c r="S18" s="717"/>
      <c r="T18" s="717"/>
      <c r="U18" s="2440"/>
      <c r="V18" s="717"/>
      <c r="W18" s="717"/>
      <c r="X18" s="717"/>
      <c r="Y18" s="717"/>
      <c r="Z18" s="2440"/>
      <c r="AA18" s="717"/>
      <c r="AB18" s="717"/>
      <c r="AC18" s="717"/>
      <c r="AD18" s="717"/>
      <c r="AE18" s="2440"/>
      <c r="AF18" s="717"/>
      <c r="AG18" s="717"/>
      <c r="AH18" s="717"/>
      <c r="AI18" s="717"/>
      <c r="AJ18" s="714"/>
      <c r="AK18" s="714"/>
      <c r="AL18" s="714"/>
      <c r="AM18" s="714"/>
      <c r="AN18" s="714"/>
      <c r="AO18" s="714"/>
      <c r="AP18" s="714"/>
      <c r="AQ18" s="714"/>
      <c r="AR18" s="714"/>
      <c r="AS18" s="714"/>
      <c r="AT18" s="714"/>
      <c r="AU18" s="714"/>
      <c r="AV18" s="714"/>
      <c r="AW18" s="714"/>
      <c r="AX18" s="714"/>
      <c r="AY18" s="714"/>
      <c r="AZ18" s="714"/>
      <c r="BA18" s="714"/>
      <c r="BB18" s="714"/>
      <c r="BC18" s="714"/>
      <c r="BD18" s="714"/>
      <c r="BE18" s="714"/>
      <c r="BF18" s="714"/>
      <c r="BG18" s="714"/>
      <c r="BH18" s="714"/>
      <c r="BI18" s="714"/>
      <c r="BJ18" s="714"/>
      <c r="BK18" s="714"/>
      <c r="BL18" s="714"/>
      <c r="BM18" s="714"/>
      <c r="BN18" s="714"/>
      <c r="BO18" s="714"/>
      <c r="BP18" s="714"/>
      <c r="BQ18" s="714"/>
      <c r="BR18" s="714"/>
    </row>
    <row r="19" spans="1:112" ht="122.25" customHeight="1" thickTop="1" x14ac:dyDescent="0.25">
      <c r="A19" s="2440"/>
      <c r="B19" s="32"/>
      <c r="C19" s="33"/>
      <c r="D19" s="34"/>
      <c r="E19" s="35"/>
      <c r="F19" s="2440"/>
      <c r="G19" s="32"/>
      <c r="H19" s="33"/>
      <c r="I19" s="34"/>
      <c r="J19" s="35"/>
      <c r="K19" s="2440"/>
      <c r="L19" s="32"/>
      <c r="M19" s="33"/>
      <c r="N19" s="34"/>
      <c r="O19" s="35"/>
      <c r="P19" s="2440"/>
      <c r="Q19" s="32"/>
      <c r="R19" s="33"/>
      <c r="S19" s="34"/>
      <c r="T19" s="35"/>
      <c r="U19" s="2440"/>
      <c r="V19" s="32"/>
      <c r="W19" s="33"/>
      <c r="X19" s="34"/>
      <c r="Y19" s="35"/>
      <c r="Z19" s="2440"/>
      <c r="AA19" s="32"/>
      <c r="AB19" s="33"/>
      <c r="AC19" s="34"/>
      <c r="AD19" s="35"/>
      <c r="AE19" s="2440"/>
      <c r="AF19" s="32"/>
      <c r="AG19" s="33"/>
      <c r="AH19" s="34"/>
      <c r="AI19" s="35"/>
      <c r="AJ19" s="714"/>
      <c r="AK19" s="714"/>
      <c r="AL19" s="714"/>
      <c r="AM19" s="714"/>
      <c r="AN19" s="714"/>
      <c r="AO19" s="714"/>
      <c r="AP19" s="714"/>
      <c r="AQ19" s="714"/>
      <c r="AR19" s="714"/>
      <c r="AS19" s="714"/>
      <c r="AT19" s="714"/>
      <c r="AU19" s="714"/>
      <c r="AV19" s="714"/>
      <c r="AW19" s="714"/>
      <c r="AX19" s="714"/>
      <c r="AY19" s="714"/>
      <c r="AZ19" s="714"/>
      <c r="BA19" s="714"/>
      <c r="BB19" s="714"/>
      <c r="BC19" s="714"/>
      <c r="BD19" s="714"/>
      <c r="BE19" s="714"/>
      <c r="BF19" s="714"/>
      <c r="BG19" s="714"/>
      <c r="BH19" s="714"/>
      <c r="BI19" s="714"/>
      <c r="BJ19" s="714"/>
      <c r="BK19" s="714"/>
      <c r="BL19" s="714"/>
      <c r="BM19" s="714"/>
      <c r="BN19" s="714"/>
      <c r="BO19" s="714"/>
      <c r="BP19" s="714"/>
      <c r="BQ19" s="714"/>
      <c r="BR19" s="714"/>
      <c r="BW19" s="27"/>
      <c r="BX19" s="27"/>
      <c r="BY19" s="27"/>
      <c r="BZ19" s="27"/>
      <c r="CA19" s="27"/>
      <c r="CB19" s="27"/>
      <c r="CC19" s="27"/>
      <c r="CD19" s="27"/>
      <c r="CE19" s="27"/>
    </row>
    <row r="20" spans="1:112" ht="22.5" customHeight="1" x14ac:dyDescent="0.25">
      <c r="A20" s="719"/>
      <c r="B20" s="719"/>
      <c r="C20" s="1300"/>
      <c r="D20" s="1300"/>
      <c r="E20" s="1300"/>
      <c r="F20" s="719"/>
      <c r="G20" s="719"/>
      <c r="H20" s="1300"/>
      <c r="I20" s="1300"/>
      <c r="J20" s="1300"/>
      <c r="K20" s="719"/>
      <c r="L20" s="719"/>
      <c r="M20" s="1300"/>
      <c r="N20" s="1300"/>
      <c r="O20" s="1300"/>
      <c r="P20" s="719"/>
      <c r="Q20" s="719"/>
      <c r="R20" s="1300"/>
      <c r="S20" s="1300"/>
      <c r="T20" s="1300"/>
      <c r="U20" s="719"/>
      <c r="V20" s="719"/>
      <c r="W20" s="1300"/>
      <c r="X20" s="1300"/>
      <c r="Y20" s="1300"/>
      <c r="Z20" s="719"/>
      <c r="AA20" s="719"/>
      <c r="AB20" s="1300"/>
      <c r="AC20" s="1300"/>
      <c r="AD20" s="1300"/>
      <c r="AE20" s="719"/>
      <c r="AF20" s="719"/>
      <c r="AG20" s="1300"/>
      <c r="AH20" s="1300"/>
      <c r="AI20" s="1300"/>
      <c r="AJ20" s="714"/>
      <c r="AK20" s="714"/>
      <c r="AL20" s="714"/>
      <c r="AM20" s="714"/>
      <c r="AN20" s="714"/>
      <c r="AO20" s="714"/>
      <c r="AP20" s="714"/>
      <c r="AQ20" s="714"/>
      <c r="AR20" s="714"/>
      <c r="AS20" s="714"/>
      <c r="AT20" s="714"/>
      <c r="AU20" s="714"/>
      <c r="AV20" s="714"/>
      <c r="AW20" s="714"/>
      <c r="AX20" s="714"/>
      <c r="AY20" s="714"/>
      <c r="AZ20" s="714"/>
      <c r="BA20" s="714"/>
      <c r="BB20" s="714"/>
      <c r="BC20" s="714"/>
      <c r="BD20" s="714"/>
      <c r="BE20" s="714"/>
      <c r="BF20" s="714"/>
      <c r="BG20" s="714"/>
      <c r="BH20" s="714"/>
      <c r="BI20" s="714"/>
      <c r="BJ20" s="714"/>
      <c r="BK20" s="714"/>
      <c r="BL20" s="714"/>
      <c r="BM20" s="714"/>
      <c r="BN20" s="714"/>
      <c r="BO20" s="714"/>
      <c r="BP20" s="714"/>
      <c r="BQ20" s="714"/>
      <c r="BR20" s="714"/>
    </row>
    <row r="21" spans="1:112" ht="99.75" customHeight="1" x14ac:dyDescent="0.25">
      <c r="A21" s="719"/>
      <c r="B21" s="719"/>
      <c r="C21" s="1300"/>
      <c r="D21" s="1300"/>
      <c r="E21" s="1300"/>
      <c r="F21" s="719"/>
      <c r="G21" s="719"/>
      <c r="H21" s="1300"/>
      <c r="I21" s="1300"/>
      <c r="J21" s="1300"/>
      <c r="K21" s="719"/>
      <c r="L21" s="719"/>
      <c r="M21" s="1300"/>
      <c r="N21" s="1300"/>
      <c r="O21" s="1300"/>
      <c r="P21" s="719"/>
      <c r="Q21" s="719"/>
      <c r="R21" s="1300"/>
      <c r="S21" s="1300"/>
      <c r="T21" s="1300"/>
      <c r="U21" s="719"/>
      <c r="V21" s="719"/>
      <c r="W21" s="1300"/>
      <c r="X21" s="1300"/>
      <c r="Y21" s="1300"/>
      <c r="Z21" s="719"/>
      <c r="AA21" s="719"/>
      <c r="AB21" s="1300"/>
      <c r="AC21" s="1300"/>
      <c r="AD21" s="1300"/>
      <c r="AE21" s="719"/>
      <c r="AF21" s="719"/>
      <c r="AG21" s="1300"/>
      <c r="AH21" s="1300"/>
      <c r="AI21" s="1300"/>
      <c r="AJ21" s="714"/>
      <c r="AK21" s="714"/>
      <c r="AL21" s="714"/>
      <c r="AM21" s="714"/>
      <c r="AN21" s="714"/>
      <c r="AO21" s="714"/>
      <c r="AP21" s="714"/>
      <c r="AQ21" s="714"/>
      <c r="AR21" s="714"/>
      <c r="AS21" s="714"/>
      <c r="AT21" s="714"/>
      <c r="AU21" s="714"/>
      <c r="AV21" s="714"/>
      <c r="AW21" s="714"/>
      <c r="AX21" s="714"/>
      <c r="AY21" s="714"/>
      <c r="AZ21" s="714"/>
      <c r="BA21" s="714"/>
      <c r="BB21" s="714"/>
      <c r="BC21" s="714"/>
      <c r="BD21" s="714"/>
      <c r="BE21" s="714"/>
      <c r="BF21" s="714"/>
      <c r="BG21" s="714"/>
      <c r="BH21" s="714"/>
      <c r="BI21" s="714"/>
      <c r="BJ21" s="714"/>
      <c r="BK21" s="714"/>
      <c r="BL21" s="714"/>
      <c r="BM21" s="714"/>
      <c r="BN21" s="714"/>
      <c r="BO21" s="714"/>
      <c r="BP21" s="714"/>
      <c r="BQ21" s="714"/>
      <c r="BR21" s="714"/>
    </row>
    <row r="22" spans="1:112" ht="33" customHeight="1" x14ac:dyDescent="0.25">
      <c r="A22" s="714"/>
      <c r="B22" s="714"/>
      <c r="C22" s="714"/>
      <c r="D22" s="714"/>
      <c r="E22" s="714"/>
      <c r="F22" s="714"/>
      <c r="G22" s="714"/>
      <c r="H22" s="714"/>
      <c r="I22" s="714"/>
      <c r="J22" s="714"/>
      <c r="K22" s="714"/>
      <c r="L22" s="714"/>
      <c r="M22" s="714"/>
      <c r="N22" s="714"/>
      <c r="O22" s="714"/>
      <c r="P22" s="714"/>
      <c r="Q22" s="714"/>
      <c r="R22" s="714"/>
      <c r="S22" s="714"/>
      <c r="T22" s="714"/>
      <c r="U22" s="714"/>
      <c r="V22" s="714"/>
      <c r="W22" s="714"/>
      <c r="X22" s="714"/>
      <c r="Y22" s="714"/>
      <c r="Z22" s="714"/>
      <c r="AA22" s="714"/>
      <c r="AB22" s="714"/>
      <c r="AC22" s="714"/>
      <c r="AD22" s="714"/>
      <c r="AE22" s="714"/>
      <c r="AF22" s="714"/>
      <c r="AG22" s="714"/>
      <c r="AH22" s="714"/>
      <c r="AI22" s="714"/>
      <c r="AJ22" s="714"/>
      <c r="AK22" s="714"/>
      <c r="AL22" s="714"/>
      <c r="AM22" s="714"/>
      <c r="AN22" s="714"/>
      <c r="AO22" s="714"/>
      <c r="AP22" s="714"/>
      <c r="AQ22" s="714"/>
      <c r="AR22" s="714"/>
      <c r="AS22" s="714"/>
      <c r="AT22" s="714"/>
      <c r="AU22" s="714"/>
      <c r="AV22" s="714"/>
      <c r="AW22" s="714"/>
      <c r="AX22" s="714"/>
      <c r="AY22" s="714"/>
      <c r="AZ22" s="714"/>
      <c r="BA22" s="714"/>
      <c r="BB22" s="714"/>
      <c r="BC22" s="714"/>
      <c r="BD22" s="714"/>
      <c r="BE22" s="714"/>
      <c r="BF22" s="714"/>
      <c r="BG22" s="714"/>
      <c r="BH22" s="714"/>
      <c r="BI22" s="714"/>
      <c r="BJ22" s="714"/>
      <c r="BK22" s="714"/>
      <c r="BL22" s="714"/>
      <c r="BM22" s="714"/>
      <c r="BN22" s="714"/>
      <c r="BO22" s="714"/>
      <c r="BP22" s="714"/>
      <c r="BQ22" s="714"/>
      <c r="BR22" s="714"/>
    </row>
    <row r="23" spans="1:112" ht="65.25" customHeight="1" x14ac:dyDescent="0.25">
      <c r="A23" s="714"/>
      <c r="B23" s="714"/>
      <c r="C23" s="714"/>
      <c r="D23" s="714"/>
      <c r="E23" s="714"/>
      <c r="F23" s="714"/>
      <c r="G23" s="714"/>
      <c r="H23" s="714"/>
      <c r="I23" s="714"/>
      <c r="J23" s="714"/>
      <c r="K23" s="714"/>
      <c r="L23" s="714"/>
      <c r="M23" s="714"/>
      <c r="N23" s="714"/>
      <c r="O23" s="714"/>
      <c r="P23" s="714"/>
      <c r="Q23" s="714"/>
      <c r="R23" s="714"/>
      <c r="S23" s="714"/>
      <c r="T23" s="714"/>
      <c r="U23" s="714"/>
      <c r="V23" s="714"/>
      <c r="W23" s="714"/>
      <c r="X23" s="714"/>
      <c r="Y23" s="714"/>
      <c r="Z23" s="714"/>
      <c r="AA23" s="714"/>
      <c r="AB23" s="714"/>
      <c r="AC23" s="714"/>
      <c r="AD23" s="714"/>
      <c r="AE23" s="714"/>
      <c r="AF23" s="714"/>
      <c r="AG23" s="714"/>
      <c r="AH23" s="714"/>
      <c r="AI23" s="714"/>
      <c r="AJ23" s="714"/>
      <c r="AK23" s="714"/>
      <c r="AL23" s="714"/>
      <c r="AM23" s="714"/>
      <c r="AN23" s="714"/>
      <c r="AO23" s="714"/>
      <c r="AP23" s="714"/>
      <c r="AQ23" s="714"/>
      <c r="AR23" s="714"/>
      <c r="AS23" s="714"/>
      <c r="AT23" s="714"/>
      <c r="AU23" s="714"/>
      <c r="AV23" s="714"/>
      <c r="AW23" s="714"/>
      <c r="AX23" s="714"/>
      <c r="AY23" s="714"/>
      <c r="AZ23" s="714"/>
      <c r="BA23" s="714"/>
      <c r="BB23" s="714"/>
      <c r="BC23" s="714"/>
      <c r="BD23" s="714"/>
      <c r="BE23" s="714"/>
      <c r="BF23" s="714"/>
      <c r="BG23" s="714"/>
      <c r="BH23" s="714"/>
      <c r="BI23" s="714"/>
      <c r="BJ23" s="714"/>
      <c r="BK23" s="714"/>
      <c r="BL23" s="714"/>
      <c r="BM23" s="714"/>
      <c r="BN23" s="714"/>
      <c r="BO23" s="714"/>
      <c r="BP23" s="714"/>
      <c r="BQ23" s="714"/>
      <c r="BR23" s="714"/>
    </row>
    <row r="24" spans="1:112" s="22" customFormat="1" ht="84.95" hidden="1" customHeight="1" x14ac:dyDescent="1.35">
      <c r="A24" s="2440"/>
      <c r="B24" s="717"/>
      <c r="C24" s="717"/>
      <c r="D24" s="717"/>
      <c r="E24" s="717"/>
      <c r="F24" s="2440"/>
      <c r="G24" s="717"/>
      <c r="H24" s="717"/>
      <c r="I24" s="717"/>
      <c r="J24" s="717"/>
      <c r="K24" s="2440"/>
      <c r="L24" s="717"/>
      <c r="M24" s="717"/>
      <c r="N24" s="717"/>
      <c r="O24" s="717"/>
      <c r="P24" s="2440"/>
      <c r="Q24" s="717"/>
      <c r="R24" s="717"/>
      <c r="S24" s="717"/>
      <c r="T24" s="717"/>
      <c r="U24" s="2440"/>
      <c r="V24" s="717"/>
      <c r="W24" s="717"/>
      <c r="X24" s="717"/>
      <c r="Y24" s="717"/>
      <c r="Z24" s="2440"/>
      <c r="AA24" s="717"/>
      <c r="AB24" s="717"/>
      <c r="AC24" s="717"/>
      <c r="AD24" s="717"/>
      <c r="AE24" s="2440"/>
      <c r="AF24" s="717"/>
      <c r="AG24" s="717"/>
      <c r="AH24" s="717"/>
      <c r="AI24" s="717"/>
      <c r="AJ24" s="2440"/>
      <c r="AK24" s="717"/>
      <c r="AL24" s="717"/>
      <c r="AM24" s="717"/>
      <c r="AN24" s="717"/>
      <c r="AO24" s="2440"/>
      <c r="AP24" s="717"/>
      <c r="AQ24" s="717"/>
      <c r="AR24" s="717"/>
      <c r="AS24" s="717"/>
      <c r="AT24" s="2440"/>
      <c r="AU24" s="717"/>
      <c r="AV24" s="717"/>
      <c r="AW24" s="717"/>
      <c r="AX24" s="717"/>
      <c r="AY24" s="2440"/>
      <c r="AZ24" s="717"/>
      <c r="BA24" s="717"/>
      <c r="BB24" s="717"/>
      <c r="BC24" s="717"/>
      <c r="BD24" s="2440"/>
      <c r="BE24" s="717"/>
      <c r="BF24" s="717"/>
      <c r="BG24" s="717"/>
      <c r="BH24" s="717"/>
      <c r="BI24" s="716"/>
      <c r="BJ24" s="717"/>
      <c r="BK24" s="717"/>
      <c r="BL24" s="717"/>
      <c r="BM24" s="717"/>
      <c r="BN24" s="716"/>
      <c r="BO24" s="717"/>
      <c r="BP24" s="717"/>
      <c r="BQ24" s="717"/>
      <c r="BR24" s="717"/>
    </row>
    <row r="25" spans="1:112" ht="37.5" hidden="1" customHeight="1" thickBot="1" x14ac:dyDescent="0.3">
      <c r="A25" s="2440"/>
      <c r="B25" s="32"/>
      <c r="C25" s="33"/>
      <c r="D25" s="34"/>
      <c r="E25" s="35"/>
      <c r="F25" s="2440"/>
      <c r="G25" s="32"/>
      <c r="H25" s="33"/>
      <c r="I25" s="34"/>
      <c r="J25" s="35"/>
      <c r="K25" s="2440"/>
      <c r="L25" s="32"/>
      <c r="M25" s="33"/>
      <c r="N25" s="34"/>
      <c r="O25" s="35"/>
      <c r="P25" s="2440"/>
      <c r="Q25" s="32"/>
      <c r="R25" s="33"/>
      <c r="S25" s="34"/>
      <c r="T25" s="35"/>
      <c r="U25" s="2440"/>
      <c r="V25" s="32"/>
      <c r="W25" s="33"/>
      <c r="X25" s="34"/>
      <c r="Y25" s="35"/>
      <c r="Z25" s="2440"/>
      <c r="AA25" s="32"/>
      <c r="AB25" s="33"/>
      <c r="AC25" s="34"/>
      <c r="AD25" s="35"/>
      <c r="AE25" s="2440"/>
      <c r="AF25" s="32"/>
      <c r="AG25" s="33"/>
      <c r="AH25" s="34"/>
      <c r="AI25" s="35"/>
      <c r="AJ25" s="2440"/>
      <c r="AK25" s="32"/>
      <c r="AL25" s="33"/>
      <c r="AM25" s="34"/>
      <c r="AN25" s="35"/>
      <c r="AO25" s="2440"/>
      <c r="AP25" s="32"/>
      <c r="AQ25" s="33"/>
      <c r="AR25" s="34"/>
      <c r="AS25" s="35"/>
      <c r="AT25" s="2440"/>
      <c r="AU25" s="32"/>
      <c r="AV25" s="33"/>
      <c r="AW25" s="34"/>
      <c r="AX25" s="35"/>
      <c r="AY25" s="2440"/>
      <c r="AZ25" s="32"/>
      <c r="BA25" s="33"/>
      <c r="BB25" s="34"/>
      <c r="BC25" s="35"/>
      <c r="BD25" s="2440"/>
      <c r="BE25" s="32"/>
      <c r="BF25" s="33"/>
      <c r="BG25" s="34"/>
      <c r="BH25" s="35"/>
      <c r="BI25" s="716"/>
      <c r="BJ25" s="32"/>
      <c r="BK25" s="33"/>
      <c r="BL25" s="34"/>
      <c r="BM25" s="35"/>
      <c r="BN25" s="716"/>
      <c r="BO25" s="32"/>
      <c r="BP25" s="33"/>
      <c r="BQ25" s="34"/>
      <c r="BR25" s="35"/>
      <c r="BW25" s="27"/>
    </row>
    <row r="26" spans="1:112" ht="22.5" hidden="1" customHeight="1" thickTop="1" x14ac:dyDescent="0.25">
      <c r="A26" s="712"/>
      <c r="B26" s="2455"/>
      <c r="C26" s="1804"/>
      <c r="D26" s="1804"/>
      <c r="E26" s="2452"/>
      <c r="F26" s="712"/>
      <c r="G26" s="2455"/>
      <c r="H26" s="1804"/>
      <c r="I26" s="1804"/>
      <c r="J26" s="2452"/>
      <c r="K26" s="712"/>
      <c r="L26" s="2455"/>
      <c r="M26" s="1804"/>
      <c r="N26" s="1804"/>
      <c r="O26" s="2452"/>
      <c r="P26" s="712"/>
      <c r="Q26" s="2455"/>
      <c r="R26" s="1804"/>
      <c r="S26" s="1804"/>
      <c r="T26" s="2452"/>
      <c r="U26" s="712"/>
      <c r="V26" s="2455"/>
      <c r="W26" s="1804"/>
      <c r="X26" s="1804"/>
      <c r="Y26" s="2452"/>
      <c r="Z26" s="712"/>
      <c r="AA26" s="2455"/>
      <c r="AB26" s="1804"/>
      <c r="AC26" s="1804"/>
      <c r="AD26" s="2452"/>
      <c r="AE26" s="712"/>
      <c r="AF26" s="2455"/>
      <c r="AG26" s="1804"/>
      <c r="AH26" s="1804"/>
      <c r="AI26" s="2452"/>
      <c r="AJ26" s="712"/>
      <c r="AK26" s="2455"/>
      <c r="AL26" s="1804"/>
      <c r="AM26" s="1804"/>
      <c r="AN26" s="2452"/>
      <c r="AO26" s="712"/>
      <c r="AP26" s="2455"/>
      <c r="AQ26" s="1804"/>
      <c r="AR26" s="1804"/>
      <c r="AS26" s="2452"/>
      <c r="AT26" s="712"/>
      <c r="AU26" s="2455"/>
      <c r="AV26" s="1804"/>
      <c r="AW26" s="1804"/>
      <c r="AX26" s="2452"/>
      <c r="AY26" s="712"/>
      <c r="AZ26" s="2455"/>
      <c r="BA26" s="1804"/>
      <c r="BB26" s="1804"/>
      <c r="BC26" s="2452"/>
      <c r="BD26" s="712"/>
      <c r="BE26" s="2455"/>
      <c r="BF26" s="1804"/>
      <c r="BG26" s="1804"/>
      <c r="BH26" s="2452"/>
      <c r="BI26" s="712"/>
      <c r="BJ26" s="2455"/>
      <c r="BK26" s="1804"/>
      <c r="BL26" s="1804"/>
      <c r="BM26" s="2452"/>
      <c r="BN26" s="712"/>
      <c r="BO26" s="2455"/>
      <c r="BP26" s="1804"/>
      <c r="BQ26" s="1804"/>
      <c r="BR26" s="2452"/>
    </row>
    <row r="27" spans="1:112" ht="22.5" hidden="1" customHeight="1" x14ac:dyDescent="0.25">
      <c r="A27" s="2456"/>
      <c r="B27" s="2457"/>
      <c r="C27" s="2453"/>
      <c r="D27" s="2453"/>
      <c r="E27" s="2454"/>
      <c r="F27" s="2456"/>
      <c r="G27" s="2457"/>
      <c r="H27" s="2453"/>
      <c r="I27" s="2453"/>
      <c r="J27" s="2454"/>
      <c r="K27" s="2456"/>
      <c r="L27" s="2457"/>
      <c r="M27" s="2453"/>
      <c r="N27" s="2453"/>
      <c r="O27" s="2454"/>
      <c r="P27" s="2456"/>
      <c r="Q27" s="2457"/>
      <c r="R27" s="2453"/>
      <c r="S27" s="2453"/>
      <c r="T27" s="2454"/>
      <c r="U27" s="2456"/>
      <c r="V27" s="2457"/>
      <c r="W27" s="2453"/>
      <c r="X27" s="2453"/>
      <c r="Y27" s="2454"/>
      <c r="Z27" s="2456"/>
      <c r="AA27" s="2457"/>
      <c r="AB27" s="2453"/>
      <c r="AC27" s="2453"/>
      <c r="AD27" s="2454"/>
      <c r="AE27" s="2456"/>
      <c r="AF27" s="2457"/>
      <c r="AG27" s="2453"/>
      <c r="AH27" s="2453"/>
      <c r="AI27" s="2454"/>
      <c r="AJ27" s="2456"/>
      <c r="AK27" s="2457"/>
      <c r="AL27" s="2453"/>
      <c r="AM27" s="2453"/>
      <c r="AN27" s="2454"/>
      <c r="AO27" s="2456"/>
      <c r="AP27" s="2457"/>
      <c r="AQ27" s="2453"/>
      <c r="AR27" s="2453"/>
      <c r="AS27" s="2454"/>
      <c r="AT27" s="2456"/>
      <c r="AU27" s="2457"/>
      <c r="AV27" s="2453"/>
      <c r="AW27" s="2453"/>
      <c r="AX27" s="2454"/>
      <c r="AY27" s="2456"/>
      <c r="AZ27" s="2457"/>
      <c r="BA27" s="2453"/>
      <c r="BB27" s="2453"/>
      <c r="BC27" s="2454"/>
      <c r="BD27" s="2456"/>
      <c r="BE27" s="2457"/>
      <c r="BF27" s="2453"/>
      <c r="BG27" s="2453"/>
      <c r="BH27" s="2454"/>
      <c r="BI27" s="2456"/>
      <c r="BJ27" s="2457"/>
      <c r="BK27" s="2453"/>
      <c r="BL27" s="2453"/>
      <c r="BM27" s="2454"/>
      <c r="BN27" s="2456"/>
      <c r="BO27" s="2457"/>
      <c r="BP27" s="2453"/>
      <c r="BQ27" s="2453"/>
      <c r="BR27" s="2454"/>
      <c r="DG27" s="13"/>
      <c r="DH27" s="13"/>
    </row>
    <row r="28" spans="1:112" ht="33" hidden="1" customHeight="1" x14ac:dyDescent="0.25">
      <c r="A28" s="2446"/>
      <c r="B28" s="2447"/>
      <c r="C28" s="2447"/>
      <c r="D28" s="2447"/>
      <c r="E28" s="2448"/>
      <c r="F28" s="2446"/>
      <c r="G28" s="2447"/>
      <c r="H28" s="2447"/>
      <c r="I28" s="2447"/>
      <c r="J28" s="2448"/>
      <c r="K28" s="2446"/>
      <c r="L28" s="2447"/>
      <c r="M28" s="2447"/>
      <c r="N28" s="2447"/>
      <c r="O28" s="2448"/>
      <c r="P28" s="2446"/>
      <c r="Q28" s="2447"/>
      <c r="R28" s="2447"/>
      <c r="S28" s="2447"/>
      <c r="T28" s="2448"/>
      <c r="U28" s="2446"/>
      <c r="V28" s="2447"/>
      <c r="W28" s="2447"/>
      <c r="X28" s="2447"/>
      <c r="Y28" s="2448"/>
      <c r="Z28" s="2446"/>
      <c r="AA28" s="2447"/>
      <c r="AB28" s="2447"/>
      <c r="AC28" s="2447"/>
      <c r="AD28" s="2448"/>
      <c r="AE28" s="2446"/>
      <c r="AF28" s="2447"/>
      <c r="AG28" s="2447"/>
      <c r="AH28" s="2447"/>
      <c r="AI28" s="2448"/>
      <c r="AJ28" s="2446"/>
      <c r="AK28" s="2447"/>
      <c r="AL28" s="2447"/>
      <c r="AM28" s="2447"/>
      <c r="AN28" s="2448"/>
      <c r="AO28" s="2446"/>
      <c r="AP28" s="2447"/>
      <c r="AQ28" s="2447"/>
      <c r="AR28" s="2447"/>
      <c r="AS28" s="2448"/>
      <c r="AT28" s="2446"/>
      <c r="AU28" s="2447"/>
      <c r="AV28" s="2447"/>
      <c r="AW28" s="2447"/>
      <c r="AX28" s="2448"/>
      <c r="AY28" s="2446"/>
      <c r="AZ28" s="2447"/>
      <c r="BA28" s="2447"/>
      <c r="BB28" s="2447"/>
      <c r="BC28" s="2448"/>
      <c r="BD28" s="2446"/>
      <c r="BE28" s="2447"/>
      <c r="BF28" s="2447"/>
      <c r="BG28" s="2447"/>
      <c r="BH28" s="2448"/>
      <c r="BI28" s="2446"/>
      <c r="BJ28" s="2447"/>
      <c r="BK28" s="2447"/>
      <c r="BL28" s="2447"/>
      <c r="BM28" s="2448"/>
      <c r="BN28" s="2446"/>
      <c r="BO28" s="2447"/>
      <c r="BP28" s="2447"/>
      <c r="BQ28" s="2447"/>
      <c r="BR28" s="2448"/>
      <c r="DG28" s="13"/>
      <c r="DH28" s="13"/>
    </row>
    <row r="29" spans="1:112" ht="33" hidden="1" customHeight="1" x14ac:dyDescent="0.25">
      <c r="A29" s="2449"/>
      <c r="B29" s="2450"/>
      <c r="C29" s="2450"/>
      <c r="D29" s="2450"/>
      <c r="E29" s="2451"/>
      <c r="F29" s="2449"/>
      <c r="G29" s="2450"/>
      <c r="H29" s="2450"/>
      <c r="I29" s="2450"/>
      <c r="J29" s="2451"/>
      <c r="K29" s="2449"/>
      <c r="L29" s="2450"/>
      <c r="M29" s="2450"/>
      <c r="N29" s="2450"/>
      <c r="O29" s="2451"/>
      <c r="P29" s="2449"/>
      <c r="Q29" s="2450"/>
      <c r="R29" s="2450"/>
      <c r="S29" s="2450"/>
      <c r="T29" s="2451"/>
      <c r="U29" s="2449"/>
      <c r="V29" s="2450"/>
      <c r="W29" s="2450"/>
      <c r="X29" s="2450"/>
      <c r="Y29" s="2451"/>
      <c r="Z29" s="2449"/>
      <c r="AA29" s="2450"/>
      <c r="AB29" s="2450"/>
      <c r="AC29" s="2450"/>
      <c r="AD29" s="2451"/>
      <c r="AE29" s="2449"/>
      <c r="AF29" s="2450"/>
      <c r="AG29" s="2450"/>
      <c r="AH29" s="2450"/>
      <c r="AI29" s="2451"/>
      <c r="AJ29" s="2449"/>
      <c r="AK29" s="2450"/>
      <c r="AL29" s="2450"/>
      <c r="AM29" s="2450"/>
      <c r="AN29" s="2451"/>
      <c r="AO29" s="2449"/>
      <c r="AP29" s="2450"/>
      <c r="AQ29" s="2450"/>
      <c r="AR29" s="2450"/>
      <c r="AS29" s="2451"/>
      <c r="AT29" s="2449"/>
      <c r="AU29" s="2450"/>
      <c r="AV29" s="2450"/>
      <c r="AW29" s="2450"/>
      <c r="AX29" s="2451"/>
      <c r="AY29" s="2449"/>
      <c r="AZ29" s="2450"/>
      <c r="BA29" s="2450"/>
      <c r="BB29" s="2450"/>
      <c r="BC29" s="2451"/>
      <c r="BD29" s="2449"/>
      <c r="BE29" s="2450"/>
      <c r="BF29" s="2450"/>
      <c r="BG29" s="2450"/>
      <c r="BH29" s="2451"/>
      <c r="BI29" s="2449"/>
      <c r="BJ29" s="2450"/>
      <c r="BK29" s="2450"/>
      <c r="BL29" s="2450"/>
      <c r="BM29" s="2451"/>
      <c r="BN29" s="2449"/>
      <c r="BO29" s="2450"/>
      <c r="BP29" s="2450"/>
      <c r="BQ29" s="2450"/>
      <c r="BR29" s="2451"/>
      <c r="DG29" s="13"/>
      <c r="DH29" s="13"/>
    </row>
    <row r="30" spans="1:112" s="22" customFormat="1" ht="85.5" hidden="1" customHeight="1" x14ac:dyDescent="1.35">
      <c r="A30" s="2441"/>
      <c r="B30" s="2443"/>
      <c r="C30" s="2444"/>
      <c r="D30" s="2444"/>
      <c r="E30" s="2445"/>
      <c r="F30" s="2441"/>
      <c r="G30" s="2443"/>
      <c r="H30" s="2444"/>
      <c r="I30" s="2444"/>
      <c r="J30" s="2445"/>
      <c r="K30" s="2441"/>
      <c r="L30" s="2443"/>
      <c r="M30" s="2444"/>
      <c r="N30" s="2444"/>
      <c r="O30" s="2445"/>
      <c r="P30" s="2441"/>
      <c r="Q30" s="2443"/>
      <c r="R30" s="2444"/>
      <c r="S30" s="2444"/>
      <c r="T30" s="2445"/>
      <c r="U30" s="2441"/>
      <c r="V30" s="2443"/>
      <c r="W30" s="2444"/>
      <c r="X30" s="2444"/>
      <c r="Y30" s="2445"/>
      <c r="Z30" s="2441"/>
      <c r="AA30" s="2443"/>
      <c r="AB30" s="2444"/>
      <c r="AC30" s="2444"/>
      <c r="AD30" s="2445"/>
      <c r="AE30" s="2441"/>
      <c r="AF30" s="2443"/>
      <c r="AG30" s="2444"/>
      <c r="AH30" s="2444"/>
      <c r="AI30" s="2445"/>
      <c r="AJ30" s="2441"/>
      <c r="AK30" s="2443"/>
      <c r="AL30" s="2444"/>
      <c r="AM30" s="2444"/>
      <c r="AN30" s="2445"/>
      <c r="AO30" s="2441"/>
      <c r="AP30" s="2443"/>
      <c r="AQ30" s="2444"/>
      <c r="AR30" s="2444"/>
      <c r="AS30" s="2445"/>
      <c r="AT30" s="2441"/>
      <c r="AU30" s="2443"/>
      <c r="AV30" s="2444"/>
      <c r="AW30" s="2444"/>
      <c r="AX30" s="2445"/>
      <c r="AY30" s="2441"/>
      <c r="AZ30" s="2443"/>
      <c r="BA30" s="2444"/>
      <c r="BB30" s="2444"/>
      <c r="BC30" s="2445"/>
      <c r="BD30" s="2441"/>
      <c r="BE30" s="2443"/>
      <c r="BF30" s="2444"/>
      <c r="BG30" s="2444"/>
      <c r="BH30" s="2445"/>
      <c r="BI30" s="2458"/>
      <c r="BJ30" s="2443"/>
      <c r="BK30" s="2444"/>
      <c r="BL30" s="2444"/>
      <c r="BM30" s="2445"/>
      <c r="BN30" s="2458"/>
      <c r="BO30" s="2443"/>
      <c r="BP30" s="2444"/>
      <c r="BQ30" s="2444"/>
      <c r="BR30" s="2445"/>
      <c r="DG30" s="317"/>
      <c r="DH30" s="317"/>
    </row>
    <row r="31" spans="1:112" ht="37.5" hidden="1" customHeight="1" thickBot="1" x14ac:dyDescent="0.3">
      <c r="A31" s="2442"/>
      <c r="B31" s="497"/>
      <c r="C31" s="498"/>
      <c r="D31" s="499"/>
      <c r="E31" s="500"/>
      <c r="F31" s="2442"/>
      <c r="G31" s="497"/>
      <c r="H31" s="498"/>
      <c r="I31" s="499"/>
      <c r="J31" s="500"/>
      <c r="K31" s="2442"/>
      <c r="L31" s="497"/>
      <c r="M31" s="498"/>
      <c r="N31" s="499"/>
      <c r="O31" s="500"/>
      <c r="P31" s="2442"/>
      <c r="Q31" s="497"/>
      <c r="R31" s="498"/>
      <c r="S31" s="499"/>
      <c r="T31" s="500"/>
      <c r="U31" s="2442"/>
      <c r="V31" s="497"/>
      <c r="W31" s="498"/>
      <c r="X31" s="499"/>
      <c r="Y31" s="500"/>
      <c r="Z31" s="2442"/>
      <c r="AA31" s="497"/>
      <c r="AB31" s="498"/>
      <c r="AC31" s="499"/>
      <c r="AD31" s="500"/>
      <c r="AE31" s="2442"/>
      <c r="AF31" s="497"/>
      <c r="AG31" s="498"/>
      <c r="AH31" s="499"/>
      <c r="AI31" s="500"/>
      <c r="AJ31" s="2442"/>
      <c r="AK31" s="497"/>
      <c r="AL31" s="498"/>
      <c r="AM31" s="499"/>
      <c r="AN31" s="500"/>
      <c r="AO31" s="2442"/>
      <c r="AP31" s="497"/>
      <c r="AQ31" s="498"/>
      <c r="AR31" s="499"/>
      <c r="AS31" s="500"/>
      <c r="AT31" s="2442"/>
      <c r="AU31" s="497"/>
      <c r="AV31" s="498"/>
      <c r="AW31" s="499"/>
      <c r="AX31" s="500"/>
      <c r="AY31" s="2442"/>
      <c r="AZ31" s="497"/>
      <c r="BA31" s="498"/>
      <c r="BB31" s="499"/>
      <c r="BC31" s="500"/>
      <c r="BD31" s="2442"/>
      <c r="BE31" s="497"/>
      <c r="BF31" s="498"/>
      <c r="BG31" s="499"/>
      <c r="BH31" s="500"/>
      <c r="BI31" s="2459"/>
      <c r="BJ31" s="497"/>
      <c r="BK31" s="498"/>
      <c r="BL31" s="499"/>
      <c r="BM31" s="500"/>
      <c r="BN31" s="2459"/>
      <c r="BO31" s="497"/>
      <c r="BP31" s="498"/>
      <c r="BQ31" s="499"/>
      <c r="BR31" s="500"/>
      <c r="BW31" s="27"/>
      <c r="DG31" s="13"/>
      <c r="DH31" s="13"/>
    </row>
    <row r="32" spans="1:112" ht="22.5" hidden="1" customHeight="1" thickTop="1" x14ac:dyDescent="0.25">
      <c r="A32" s="712"/>
      <c r="B32" s="2455"/>
      <c r="C32" s="1804"/>
      <c r="D32" s="1804"/>
      <c r="E32" s="2452"/>
      <c r="F32" s="712"/>
      <c r="G32" s="2455"/>
      <c r="H32" s="1804"/>
      <c r="I32" s="1804"/>
      <c r="J32" s="2452"/>
      <c r="K32" s="712"/>
      <c r="L32" s="2455"/>
      <c r="M32" s="1804"/>
      <c r="N32" s="1804"/>
      <c r="O32" s="2452"/>
      <c r="P32" s="712"/>
      <c r="Q32" s="2455"/>
      <c r="R32" s="1804"/>
      <c r="S32" s="1804"/>
      <c r="T32" s="2452"/>
      <c r="U32" s="712"/>
      <c r="V32" s="2455"/>
      <c r="W32" s="1804"/>
      <c r="X32" s="1804"/>
      <c r="Y32" s="2452"/>
      <c r="Z32" s="712"/>
      <c r="AA32" s="2455"/>
      <c r="AB32" s="1804"/>
      <c r="AC32" s="1804"/>
      <c r="AD32" s="2452"/>
      <c r="AE32" s="712"/>
      <c r="AF32" s="2455"/>
      <c r="AG32" s="1804"/>
      <c r="AH32" s="1804"/>
      <c r="AI32" s="2452"/>
      <c r="AJ32" s="710"/>
      <c r="AK32" s="710"/>
      <c r="AL32" s="1804"/>
      <c r="AM32" s="1804"/>
      <c r="AN32" s="1804"/>
      <c r="AO32" s="710"/>
      <c r="AP32" s="710"/>
      <c r="AQ32" s="1804"/>
      <c r="AR32" s="1804"/>
      <c r="AS32" s="1804"/>
      <c r="AT32" s="710"/>
      <c r="AU32" s="710"/>
      <c r="AV32" s="1804"/>
      <c r="AW32" s="1804"/>
      <c r="AX32" s="1804"/>
      <c r="AY32" s="710"/>
      <c r="AZ32" s="710"/>
      <c r="BA32" s="1804"/>
      <c r="BB32" s="1804"/>
      <c r="BC32" s="1804"/>
      <c r="BD32" s="710"/>
      <c r="BE32" s="710"/>
      <c r="BF32" s="1804"/>
      <c r="BG32" s="1804"/>
      <c r="BH32" s="1804"/>
      <c r="BI32" s="710"/>
      <c r="BJ32" s="710"/>
      <c r="BK32" s="1804"/>
      <c r="BL32" s="1804"/>
      <c r="BM32" s="1804"/>
      <c r="BN32" s="710"/>
      <c r="BO32" s="710"/>
      <c r="BP32" s="1804"/>
      <c r="BQ32" s="1804"/>
      <c r="BR32" s="1804"/>
      <c r="DG32" s="57"/>
      <c r="DH32" s="57"/>
    </row>
    <row r="33" spans="1:112" ht="22.5" hidden="1" customHeight="1" x14ac:dyDescent="0.25">
      <c r="A33" s="2456"/>
      <c r="B33" s="2457"/>
      <c r="C33" s="2453"/>
      <c r="D33" s="2453"/>
      <c r="E33" s="2454"/>
      <c r="F33" s="2456"/>
      <c r="G33" s="2457"/>
      <c r="H33" s="2453"/>
      <c r="I33" s="2453"/>
      <c r="J33" s="2454"/>
      <c r="K33" s="2456"/>
      <c r="L33" s="2457"/>
      <c r="M33" s="2453"/>
      <c r="N33" s="2453"/>
      <c r="O33" s="2454"/>
      <c r="P33" s="2456"/>
      <c r="Q33" s="2457"/>
      <c r="R33" s="2453"/>
      <c r="S33" s="2453"/>
      <c r="T33" s="2454"/>
      <c r="U33" s="2456"/>
      <c r="V33" s="2457"/>
      <c r="W33" s="2453"/>
      <c r="X33" s="2453"/>
      <c r="Y33" s="2454"/>
      <c r="Z33" s="2456"/>
      <c r="AA33" s="2457"/>
      <c r="AB33" s="2453"/>
      <c r="AC33" s="2453"/>
      <c r="AD33" s="2454"/>
      <c r="AE33" s="2456"/>
      <c r="AF33" s="2457"/>
      <c r="AG33" s="2453"/>
      <c r="AH33" s="2453"/>
      <c r="AI33" s="2454"/>
      <c r="AJ33" s="719"/>
      <c r="AK33" s="719"/>
      <c r="AL33" s="1300"/>
      <c r="AM33" s="1300"/>
      <c r="AN33" s="1300"/>
      <c r="AO33" s="719"/>
      <c r="AP33" s="719"/>
      <c r="AQ33" s="1300"/>
      <c r="AR33" s="1300"/>
      <c r="AS33" s="1300"/>
      <c r="AT33" s="719"/>
      <c r="AU33" s="719"/>
      <c r="AV33" s="1300"/>
      <c r="AW33" s="1300"/>
      <c r="AX33" s="1300"/>
      <c r="AY33" s="719"/>
      <c r="AZ33" s="719"/>
      <c r="BA33" s="1300"/>
      <c r="BB33" s="1300"/>
      <c r="BC33" s="1300"/>
      <c r="BD33" s="719"/>
      <c r="BE33" s="719"/>
      <c r="BF33" s="1300"/>
      <c r="BG33" s="1300"/>
      <c r="BH33" s="1300"/>
      <c r="BI33" s="719"/>
      <c r="BJ33" s="719"/>
      <c r="BK33" s="1300"/>
      <c r="BL33" s="1300"/>
      <c r="BM33" s="1300"/>
      <c r="BN33" s="719"/>
      <c r="BO33" s="719"/>
      <c r="BP33" s="1300"/>
      <c r="BQ33" s="1300"/>
      <c r="BR33" s="1300"/>
      <c r="DG33" s="57"/>
      <c r="DH33" s="57"/>
    </row>
    <row r="34" spans="1:112" ht="33" hidden="1" customHeight="1" x14ac:dyDescent="0.25">
      <c r="A34" s="2446"/>
      <c r="B34" s="2447"/>
      <c r="C34" s="2447"/>
      <c r="D34" s="2447"/>
      <c r="E34" s="2448"/>
      <c r="F34" s="2446"/>
      <c r="G34" s="2447"/>
      <c r="H34" s="2447"/>
      <c r="I34" s="2447"/>
      <c r="J34" s="2448"/>
      <c r="K34" s="2446"/>
      <c r="L34" s="2447"/>
      <c r="M34" s="2447"/>
      <c r="N34" s="2447"/>
      <c r="O34" s="2448"/>
      <c r="P34" s="2446"/>
      <c r="Q34" s="2447"/>
      <c r="R34" s="2447"/>
      <c r="S34" s="2447"/>
      <c r="T34" s="2448"/>
      <c r="U34" s="2446"/>
      <c r="V34" s="2447"/>
      <c r="W34" s="2447"/>
      <c r="X34" s="2447"/>
      <c r="Y34" s="2448"/>
      <c r="Z34" s="2446"/>
      <c r="AA34" s="2447"/>
      <c r="AB34" s="2447"/>
      <c r="AC34" s="2447"/>
      <c r="AD34" s="2448"/>
      <c r="AE34" s="2446"/>
      <c r="AF34" s="2447"/>
      <c r="AG34" s="2447"/>
      <c r="AH34" s="2447"/>
      <c r="AI34" s="2448"/>
      <c r="AJ34" s="719"/>
      <c r="AK34" s="719"/>
      <c r="AL34" s="719"/>
      <c r="AM34" s="719"/>
      <c r="AN34" s="719"/>
      <c r="AO34" s="719"/>
      <c r="AP34" s="719"/>
      <c r="AQ34" s="719"/>
      <c r="AR34" s="719"/>
      <c r="AS34" s="719"/>
      <c r="AT34" s="719"/>
      <c r="AU34" s="719"/>
      <c r="AV34" s="719"/>
      <c r="AW34" s="719"/>
      <c r="AX34" s="719"/>
      <c r="AY34" s="719"/>
      <c r="AZ34" s="719"/>
      <c r="BA34" s="719"/>
      <c r="BB34" s="719"/>
      <c r="BC34" s="719"/>
      <c r="BD34" s="719"/>
      <c r="BE34" s="719"/>
      <c r="BF34" s="719"/>
      <c r="BG34" s="719"/>
      <c r="BH34" s="719"/>
      <c r="BI34" s="719"/>
      <c r="BJ34" s="719"/>
      <c r="BK34" s="719"/>
      <c r="BL34" s="719"/>
      <c r="BM34" s="719"/>
      <c r="BN34" s="719"/>
      <c r="BO34" s="719"/>
      <c r="BP34" s="719"/>
      <c r="BQ34" s="719"/>
      <c r="BR34" s="719"/>
      <c r="DG34" s="57"/>
      <c r="DH34" s="57"/>
    </row>
    <row r="35" spans="1:112" ht="33" hidden="1" customHeight="1" x14ac:dyDescent="0.25">
      <c r="A35" s="2449"/>
      <c r="B35" s="2450"/>
      <c r="C35" s="2450"/>
      <c r="D35" s="2450"/>
      <c r="E35" s="2451"/>
      <c r="F35" s="2449"/>
      <c r="G35" s="2450"/>
      <c r="H35" s="2450"/>
      <c r="I35" s="2450"/>
      <c r="J35" s="2451"/>
      <c r="K35" s="2449"/>
      <c r="L35" s="2450"/>
      <c r="M35" s="2450"/>
      <c r="N35" s="2450"/>
      <c r="O35" s="2451"/>
      <c r="P35" s="2449"/>
      <c r="Q35" s="2450"/>
      <c r="R35" s="2450"/>
      <c r="S35" s="2450"/>
      <c r="T35" s="2451"/>
      <c r="U35" s="2449"/>
      <c r="V35" s="2450"/>
      <c r="W35" s="2450"/>
      <c r="X35" s="2450"/>
      <c r="Y35" s="2451"/>
      <c r="Z35" s="2449"/>
      <c r="AA35" s="2450"/>
      <c r="AB35" s="2450"/>
      <c r="AC35" s="2450"/>
      <c r="AD35" s="2451"/>
      <c r="AE35" s="2449"/>
      <c r="AF35" s="2450"/>
      <c r="AG35" s="2450"/>
      <c r="AH35" s="2450"/>
      <c r="AI35" s="2451"/>
      <c r="AJ35" s="719"/>
      <c r="AK35" s="719"/>
      <c r="AL35" s="719"/>
      <c r="AM35" s="719"/>
      <c r="AN35" s="719"/>
      <c r="AO35" s="719"/>
      <c r="AP35" s="719"/>
      <c r="AQ35" s="719"/>
      <c r="AR35" s="719"/>
      <c r="AS35" s="719"/>
      <c r="AT35" s="719"/>
      <c r="AU35" s="719"/>
      <c r="AV35" s="719"/>
      <c r="AW35" s="719"/>
      <c r="AX35" s="719"/>
      <c r="AY35" s="719"/>
      <c r="AZ35" s="719"/>
      <c r="BA35" s="719"/>
      <c r="BB35" s="719"/>
      <c r="BC35" s="719"/>
      <c r="BD35" s="719"/>
      <c r="BE35" s="719"/>
      <c r="BF35" s="719"/>
      <c r="BG35" s="719"/>
      <c r="BH35" s="719"/>
      <c r="BI35" s="719"/>
      <c r="BJ35" s="719"/>
      <c r="BK35" s="719"/>
      <c r="BL35" s="719"/>
      <c r="BM35" s="719"/>
      <c r="BN35" s="719"/>
      <c r="BO35" s="719"/>
      <c r="BP35" s="719"/>
      <c r="BQ35" s="719"/>
      <c r="BR35" s="719"/>
      <c r="DG35" s="13"/>
      <c r="DH35" s="13"/>
    </row>
    <row r="36" spans="1:112" s="22" customFormat="1" ht="74.25" hidden="1" customHeight="1" x14ac:dyDescent="1.35">
      <c r="A36" s="2441"/>
      <c r="B36" s="2443"/>
      <c r="C36" s="2444"/>
      <c r="D36" s="2444"/>
      <c r="E36" s="2445"/>
      <c r="F36" s="2441"/>
      <c r="G36" s="2443"/>
      <c r="H36" s="2444"/>
      <c r="I36" s="2444"/>
      <c r="J36" s="2445"/>
      <c r="K36" s="2441"/>
      <c r="L36" s="2443"/>
      <c r="M36" s="2444"/>
      <c r="N36" s="2444"/>
      <c r="O36" s="2445"/>
      <c r="P36" s="2441"/>
      <c r="Q36" s="2443"/>
      <c r="R36" s="2444"/>
      <c r="S36" s="2444"/>
      <c r="T36" s="2445"/>
      <c r="U36" s="2441"/>
      <c r="V36" s="2443"/>
      <c r="W36" s="2444"/>
      <c r="X36" s="2444"/>
      <c r="Y36" s="2445"/>
      <c r="Z36" s="2441"/>
      <c r="AA36" s="2443"/>
      <c r="AB36" s="2444"/>
      <c r="AC36" s="2444"/>
      <c r="AD36" s="2445"/>
      <c r="AE36" s="2441"/>
      <c r="AF36" s="2443"/>
      <c r="AG36" s="2444"/>
      <c r="AH36" s="2444"/>
      <c r="AI36" s="2445"/>
      <c r="AJ36" s="719"/>
      <c r="AK36" s="719"/>
      <c r="AL36" s="719"/>
      <c r="AM36" s="719"/>
      <c r="AN36" s="719"/>
      <c r="AO36" s="719"/>
      <c r="AP36" s="719"/>
      <c r="AQ36" s="719"/>
      <c r="AR36" s="719"/>
      <c r="AS36" s="719"/>
      <c r="AT36" s="719"/>
      <c r="AU36" s="719"/>
      <c r="AV36" s="719"/>
      <c r="AW36" s="719"/>
      <c r="AX36" s="719"/>
      <c r="AY36" s="719"/>
      <c r="AZ36" s="719"/>
      <c r="BA36" s="719"/>
      <c r="BB36" s="719"/>
      <c r="BC36" s="719"/>
      <c r="BD36" s="719"/>
      <c r="BE36" s="719"/>
      <c r="BF36" s="719"/>
      <c r="BG36" s="719"/>
      <c r="BH36" s="719"/>
      <c r="BI36" s="719"/>
      <c r="BJ36" s="719"/>
      <c r="BK36" s="719"/>
      <c r="BL36" s="719"/>
      <c r="BM36" s="719"/>
      <c r="BN36" s="719"/>
      <c r="BO36" s="719"/>
      <c r="BP36" s="719"/>
      <c r="BQ36" s="719"/>
      <c r="BR36" s="719"/>
      <c r="DG36" s="317"/>
      <c r="DH36" s="317"/>
    </row>
    <row r="37" spans="1:112" ht="37.5" hidden="1" customHeight="1" thickBot="1" x14ac:dyDescent="0.3">
      <c r="A37" s="2442"/>
      <c r="B37" s="497"/>
      <c r="C37" s="498"/>
      <c r="D37" s="499"/>
      <c r="E37" s="500"/>
      <c r="F37" s="2442"/>
      <c r="G37" s="497"/>
      <c r="H37" s="498"/>
      <c r="I37" s="499"/>
      <c r="J37" s="500"/>
      <c r="K37" s="2442"/>
      <c r="L37" s="497"/>
      <c r="M37" s="498"/>
      <c r="N37" s="499"/>
      <c r="O37" s="500"/>
      <c r="P37" s="2442"/>
      <c r="Q37" s="497"/>
      <c r="R37" s="498"/>
      <c r="S37" s="499"/>
      <c r="T37" s="500"/>
      <c r="U37" s="2442"/>
      <c r="V37" s="497"/>
      <c r="W37" s="498"/>
      <c r="X37" s="499"/>
      <c r="Y37" s="500"/>
      <c r="Z37" s="2442"/>
      <c r="AA37" s="497"/>
      <c r="AB37" s="498"/>
      <c r="AC37" s="499"/>
      <c r="AD37" s="500"/>
      <c r="AE37" s="2442"/>
      <c r="AF37" s="497"/>
      <c r="AG37" s="498"/>
      <c r="AH37" s="499"/>
      <c r="AI37" s="500"/>
      <c r="AJ37" s="719"/>
      <c r="AK37" s="719"/>
      <c r="AL37" s="719"/>
      <c r="AM37" s="719"/>
      <c r="AN37" s="719"/>
      <c r="AO37" s="719"/>
      <c r="AP37" s="719"/>
      <c r="AQ37" s="719"/>
      <c r="AR37" s="719"/>
      <c r="AS37" s="719"/>
      <c r="AT37" s="719"/>
      <c r="AU37" s="719"/>
      <c r="AV37" s="719"/>
      <c r="AW37" s="719"/>
      <c r="AX37" s="719"/>
      <c r="AY37" s="719"/>
      <c r="AZ37" s="719"/>
      <c r="BA37" s="719"/>
      <c r="BB37" s="719"/>
      <c r="BC37" s="719"/>
      <c r="BD37" s="719"/>
      <c r="BE37" s="719"/>
      <c r="BF37" s="719"/>
      <c r="BG37" s="719"/>
      <c r="BH37" s="719"/>
      <c r="BI37" s="719"/>
      <c r="BJ37" s="719"/>
      <c r="BK37" s="719"/>
      <c r="BL37" s="719"/>
      <c r="BM37" s="719"/>
      <c r="BN37" s="719"/>
      <c r="BO37" s="719"/>
      <c r="BP37" s="719"/>
      <c r="BQ37" s="719"/>
      <c r="BR37" s="719"/>
      <c r="BW37" s="27"/>
      <c r="DG37" s="13"/>
      <c r="DH37" s="13"/>
    </row>
    <row r="38" spans="1:112" ht="18.600000000000001" hidden="1" customHeight="1" thickTop="1" x14ac:dyDescent="0.25">
      <c r="A38" s="710"/>
      <c r="B38" s="710"/>
      <c r="C38" s="1804"/>
      <c r="D38" s="1804"/>
      <c r="E38" s="1804"/>
      <c r="F38" s="710"/>
      <c r="G38" s="710"/>
      <c r="H38" s="1804"/>
      <c r="I38" s="1804"/>
      <c r="J38" s="1804"/>
      <c r="K38" s="710"/>
      <c r="L38" s="710"/>
      <c r="M38" s="1804"/>
      <c r="N38" s="1804"/>
      <c r="O38" s="1804"/>
      <c r="P38" s="719"/>
      <c r="Q38" s="719"/>
      <c r="R38" s="1300"/>
      <c r="S38" s="1300"/>
      <c r="T38" s="1300"/>
      <c r="U38" s="719"/>
      <c r="V38" s="719"/>
      <c r="W38" s="1300"/>
      <c r="X38" s="1300"/>
      <c r="Y38" s="1300"/>
      <c r="Z38" s="719"/>
      <c r="AA38" s="719"/>
      <c r="AB38" s="1300"/>
      <c r="AC38" s="1300"/>
      <c r="AD38" s="1300"/>
      <c r="AE38" s="719"/>
      <c r="AF38" s="719"/>
      <c r="AG38" s="1300"/>
      <c r="AH38" s="1300"/>
      <c r="AI38" s="1300"/>
      <c r="AJ38" s="719"/>
      <c r="AK38" s="719"/>
      <c r="AL38" s="719"/>
      <c r="AM38" s="719"/>
      <c r="AN38" s="719"/>
      <c r="AO38" s="719"/>
      <c r="AP38" s="719"/>
      <c r="AQ38" s="719"/>
      <c r="AR38" s="719"/>
      <c r="AS38" s="719"/>
      <c r="AT38" s="719"/>
      <c r="AU38" s="719"/>
      <c r="AV38" s="719"/>
      <c r="AW38" s="719"/>
      <c r="AX38" s="719"/>
      <c r="AY38" s="719"/>
      <c r="AZ38" s="719"/>
      <c r="BA38" s="719"/>
      <c r="BB38" s="719"/>
      <c r="BC38" s="719"/>
      <c r="BD38" s="719"/>
      <c r="BE38" s="719"/>
      <c r="BF38" s="719"/>
      <c r="BG38" s="719"/>
      <c r="BH38" s="719"/>
      <c r="BI38" s="719"/>
      <c r="BJ38" s="719"/>
      <c r="BK38" s="719"/>
      <c r="BL38" s="719"/>
      <c r="BM38" s="719"/>
      <c r="BN38" s="719"/>
      <c r="BO38" s="719"/>
      <c r="BP38" s="719"/>
      <c r="BQ38" s="719"/>
      <c r="BR38" s="719"/>
      <c r="DG38" s="13"/>
      <c r="DH38" s="13"/>
    </row>
    <row r="39" spans="1:112" ht="18.600000000000001" hidden="1" customHeight="1" x14ac:dyDescent="0.25">
      <c r="A39" s="719"/>
      <c r="B39" s="719"/>
      <c r="C39" s="1300"/>
      <c r="D39" s="1300"/>
      <c r="E39" s="1300"/>
      <c r="F39" s="719"/>
      <c r="G39" s="719"/>
      <c r="H39" s="1300"/>
      <c r="I39" s="1300"/>
      <c r="J39" s="1300"/>
      <c r="K39" s="719"/>
      <c r="L39" s="719"/>
      <c r="M39" s="1300"/>
      <c r="N39" s="1300"/>
      <c r="O39" s="1300"/>
      <c r="P39" s="719"/>
      <c r="Q39" s="719"/>
      <c r="R39" s="1300"/>
      <c r="S39" s="1300"/>
      <c r="T39" s="1300"/>
      <c r="U39" s="719"/>
      <c r="V39" s="719"/>
      <c r="W39" s="1300"/>
      <c r="X39" s="1300"/>
      <c r="Y39" s="1300"/>
      <c r="Z39" s="719"/>
      <c r="AA39" s="719"/>
      <c r="AB39" s="1300"/>
      <c r="AC39" s="1300"/>
      <c r="AD39" s="1300"/>
      <c r="AE39" s="719"/>
      <c r="AF39" s="719"/>
      <c r="AG39" s="1300"/>
      <c r="AH39" s="1300"/>
      <c r="AI39" s="1300"/>
      <c r="AJ39" s="719"/>
      <c r="AK39" s="719"/>
      <c r="AL39" s="719"/>
      <c r="AM39" s="719"/>
      <c r="AN39" s="719"/>
      <c r="AO39" s="719"/>
      <c r="AP39" s="719"/>
      <c r="AQ39" s="719"/>
      <c r="AR39" s="719"/>
      <c r="AS39" s="719"/>
      <c r="AT39" s="719"/>
      <c r="AU39" s="719"/>
      <c r="AV39" s="719"/>
      <c r="AW39" s="719"/>
      <c r="AX39" s="719"/>
      <c r="AY39" s="719"/>
      <c r="AZ39" s="719"/>
      <c r="BA39" s="719"/>
      <c r="BB39" s="719"/>
      <c r="BC39" s="719"/>
      <c r="BD39" s="719"/>
      <c r="BE39" s="719"/>
      <c r="BF39" s="719"/>
      <c r="BG39" s="719"/>
      <c r="BH39" s="719"/>
      <c r="BI39" s="719"/>
      <c r="BJ39" s="719"/>
      <c r="BK39" s="719"/>
      <c r="BL39" s="719"/>
      <c r="BM39" s="719"/>
      <c r="BN39" s="719"/>
      <c r="BO39" s="719"/>
      <c r="BP39" s="719"/>
      <c r="BQ39" s="719"/>
      <c r="BR39" s="719"/>
      <c r="DG39" s="13"/>
      <c r="DH39" s="13"/>
    </row>
    <row r="40" spans="1:112" ht="9.9499999999999993" hidden="1" customHeight="1" x14ac:dyDescent="0.25">
      <c r="A40" s="719"/>
      <c r="B40" s="719"/>
      <c r="C40" s="719"/>
      <c r="D40" s="719"/>
      <c r="E40" s="719"/>
      <c r="F40" s="719"/>
      <c r="G40" s="719"/>
      <c r="H40" s="719"/>
      <c r="I40" s="719"/>
      <c r="J40" s="719"/>
      <c r="K40" s="719"/>
      <c r="L40" s="719"/>
      <c r="M40" s="719"/>
      <c r="N40" s="719"/>
      <c r="O40" s="719"/>
      <c r="P40" s="719"/>
      <c r="Q40" s="719"/>
      <c r="R40" s="719"/>
      <c r="S40" s="719"/>
      <c r="T40" s="719"/>
      <c r="U40" s="719"/>
      <c r="V40" s="719"/>
      <c r="W40" s="719"/>
      <c r="X40" s="719"/>
      <c r="Y40" s="719"/>
      <c r="Z40" s="719"/>
      <c r="AA40" s="719"/>
      <c r="AB40" s="719"/>
      <c r="AC40" s="719"/>
      <c r="AD40" s="719"/>
      <c r="AE40" s="719"/>
      <c r="AF40" s="719"/>
      <c r="AG40" s="719"/>
      <c r="AH40" s="719"/>
      <c r="AI40" s="719"/>
      <c r="AJ40" s="719"/>
      <c r="AK40" s="719"/>
      <c r="AL40" s="719"/>
      <c r="AM40" s="719"/>
      <c r="AN40" s="719"/>
      <c r="AO40" s="719"/>
      <c r="AP40" s="719"/>
      <c r="AQ40" s="719"/>
      <c r="AR40" s="719"/>
      <c r="AS40" s="719"/>
      <c r="AT40" s="719"/>
      <c r="AU40" s="719"/>
      <c r="AV40" s="719"/>
      <c r="AW40" s="719"/>
      <c r="AX40" s="719"/>
      <c r="AY40" s="719"/>
      <c r="AZ40" s="719"/>
      <c r="BA40" s="719"/>
      <c r="BB40" s="719"/>
      <c r="BC40" s="719"/>
      <c r="BD40" s="719"/>
      <c r="BE40" s="719"/>
      <c r="BF40" s="719"/>
      <c r="BG40" s="719"/>
      <c r="BH40" s="719"/>
      <c r="BI40" s="719"/>
      <c r="BJ40" s="719"/>
      <c r="BK40" s="719"/>
      <c r="BL40" s="719"/>
      <c r="BM40" s="719"/>
      <c r="BN40" s="719"/>
      <c r="BO40" s="719"/>
      <c r="BP40" s="719"/>
      <c r="BQ40" s="719"/>
      <c r="BR40" s="719"/>
      <c r="DG40" s="13"/>
      <c r="DH40" s="13"/>
    </row>
    <row r="41" spans="1:112" ht="9.9499999999999993" hidden="1" customHeight="1" x14ac:dyDescent="0.25">
      <c r="A41" s="719"/>
      <c r="B41" s="719"/>
      <c r="C41" s="719"/>
      <c r="D41" s="719"/>
      <c r="E41" s="719"/>
      <c r="F41" s="719"/>
      <c r="G41" s="719"/>
      <c r="H41" s="719"/>
      <c r="I41" s="719"/>
      <c r="J41" s="719"/>
      <c r="K41" s="719"/>
      <c r="L41" s="719"/>
      <c r="M41" s="719"/>
      <c r="N41" s="719"/>
      <c r="O41" s="719"/>
      <c r="P41" s="719"/>
      <c r="Q41" s="719"/>
      <c r="R41" s="719"/>
      <c r="S41" s="719"/>
      <c r="T41" s="719"/>
      <c r="U41" s="719"/>
      <c r="V41" s="719"/>
      <c r="W41" s="719"/>
      <c r="X41" s="719"/>
      <c r="Y41" s="719"/>
      <c r="Z41" s="719"/>
      <c r="AA41" s="719"/>
      <c r="AB41" s="719"/>
      <c r="AC41" s="719"/>
      <c r="AD41" s="719"/>
      <c r="AE41" s="719"/>
      <c r="AF41" s="719"/>
      <c r="AG41" s="719"/>
      <c r="AH41" s="719"/>
      <c r="AI41" s="719"/>
      <c r="AJ41" s="719"/>
      <c r="AK41" s="719"/>
      <c r="AL41" s="719"/>
      <c r="AM41" s="719"/>
      <c r="AN41" s="719"/>
      <c r="AO41" s="719"/>
      <c r="AP41" s="719"/>
      <c r="AQ41" s="719"/>
      <c r="AR41" s="719"/>
      <c r="AS41" s="719"/>
      <c r="AT41" s="719"/>
      <c r="AU41" s="719"/>
      <c r="AV41" s="719"/>
      <c r="AW41" s="719"/>
      <c r="AX41" s="719"/>
      <c r="AY41" s="719"/>
      <c r="AZ41" s="719"/>
      <c r="BA41" s="719"/>
      <c r="BB41" s="719"/>
      <c r="BC41" s="719"/>
      <c r="BD41" s="719"/>
      <c r="BE41" s="719"/>
      <c r="BF41" s="719"/>
      <c r="BG41" s="719"/>
      <c r="BH41" s="719"/>
      <c r="BI41" s="719"/>
      <c r="BJ41" s="719"/>
      <c r="BK41" s="719"/>
      <c r="BL41" s="719"/>
      <c r="BM41" s="719"/>
      <c r="BN41" s="719"/>
      <c r="BO41" s="719"/>
      <c r="BP41" s="719"/>
      <c r="BQ41" s="719"/>
      <c r="BR41" s="719"/>
      <c r="DG41" s="57"/>
      <c r="DH41" s="57"/>
    </row>
    <row r="42" spans="1:112" s="22" customFormat="1" ht="84.95" hidden="1" customHeight="1" x14ac:dyDescent="1.35">
      <c r="A42" s="2440"/>
      <c r="B42" s="1797"/>
      <c r="C42" s="1797"/>
      <c r="D42" s="1797"/>
      <c r="E42" s="1797"/>
      <c r="F42" s="2440"/>
      <c r="G42" s="1797"/>
      <c r="H42" s="1797"/>
      <c r="I42" s="1797"/>
      <c r="J42" s="1797"/>
      <c r="K42" s="2440"/>
      <c r="L42" s="1797"/>
      <c r="M42" s="1797"/>
      <c r="N42" s="1797"/>
      <c r="O42" s="1797"/>
      <c r="P42" s="2440"/>
      <c r="Q42" s="1797"/>
      <c r="R42" s="1797"/>
      <c r="S42" s="1797"/>
      <c r="T42" s="1797"/>
      <c r="U42" s="2440"/>
      <c r="V42" s="1797"/>
      <c r="W42" s="1797"/>
      <c r="X42" s="1797"/>
      <c r="Y42" s="1797"/>
      <c r="Z42" s="2440"/>
      <c r="AA42" s="1797"/>
      <c r="AB42" s="1797"/>
      <c r="AC42" s="1797"/>
      <c r="AD42" s="1797"/>
      <c r="AE42" s="2440"/>
      <c r="AF42" s="1797"/>
      <c r="AG42" s="1797"/>
      <c r="AH42" s="1797"/>
      <c r="AI42" s="1797"/>
      <c r="AJ42" s="719"/>
      <c r="AK42" s="719"/>
      <c r="AL42" s="719"/>
      <c r="AM42" s="719"/>
      <c r="AN42" s="719"/>
      <c r="AO42" s="719"/>
      <c r="AP42" s="719"/>
      <c r="AQ42" s="719"/>
      <c r="AR42" s="719"/>
      <c r="AS42" s="719"/>
      <c r="AT42" s="719"/>
      <c r="AU42" s="719"/>
      <c r="AV42" s="719"/>
      <c r="AW42" s="719"/>
      <c r="AX42" s="719"/>
      <c r="AY42" s="719"/>
      <c r="AZ42" s="719"/>
      <c r="BA42" s="719"/>
      <c r="BB42" s="719"/>
      <c r="BC42" s="719"/>
      <c r="BD42" s="719"/>
      <c r="BE42" s="719"/>
      <c r="BF42" s="719"/>
      <c r="BG42" s="719"/>
      <c r="BH42" s="719"/>
      <c r="BI42" s="719"/>
      <c r="BJ42" s="719"/>
      <c r="BK42" s="719"/>
      <c r="BL42" s="719"/>
      <c r="BM42" s="719"/>
      <c r="BN42" s="719"/>
      <c r="BO42" s="719"/>
      <c r="BP42" s="719"/>
      <c r="BQ42" s="719"/>
      <c r="BR42" s="719"/>
      <c r="DG42" s="57"/>
      <c r="DH42" s="57"/>
    </row>
    <row r="43" spans="1:112" ht="23.1" hidden="1" customHeight="1" x14ac:dyDescent="0.25">
      <c r="A43" s="2440"/>
      <c r="B43" s="32"/>
      <c r="C43" s="33"/>
      <c r="D43" s="34"/>
      <c r="E43" s="35"/>
      <c r="F43" s="2440"/>
      <c r="G43" s="32"/>
      <c r="H43" s="33"/>
      <c r="I43" s="34"/>
      <c r="J43" s="35"/>
      <c r="K43" s="2440"/>
      <c r="L43" s="32"/>
      <c r="M43" s="33"/>
      <c r="N43" s="34"/>
      <c r="O43" s="35"/>
      <c r="P43" s="2440"/>
      <c r="Q43" s="32"/>
      <c r="R43" s="33"/>
      <c r="S43" s="34"/>
      <c r="T43" s="35"/>
      <c r="U43" s="2440"/>
      <c r="V43" s="32"/>
      <c r="W43" s="33"/>
      <c r="X43" s="34"/>
      <c r="Y43" s="35"/>
      <c r="Z43" s="2440"/>
      <c r="AA43" s="32"/>
      <c r="AB43" s="33"/>
      <c r="AC43" s="34"/>
      <c r="AD43" s="35"/>
      <c r="AE43" s="2440"/>
      <c r="AF43" s="32"/>
      <c r="AG43" s="33"/>
      <c r="AH43" s="34"/>
      <c r="AI43" s="35"/>
      <c r="AJ43" s="719"/>
      <c r="AK43" s="719"/>
      <c r="AL43" s="719"/>
      <c r="AM43" s="719"/>
      <c r="AN43" s="719"/>
      <c r="AO43" s="719"/>
      <c r="AP43" s="719"/>
      <c r="AQ43" s="719"/>
      <c r="AR43" s="719"/>
      <c r="AS43" s="719"/>
      <c r="AT43" s="719"/>
      <c r="AU43" s="719"/>
      <c r="AV43" s="719"/>
      <c r="AW43" s="719"/>
      <c r="AX43" s="719"/>
      <c r="AY43" s="719"/>
      <c r="AZ43" s="719"/>
      <c r="BA43" s="719"/>
      <c r="BB43" s="719"/>
      <c r="BC43" s="719"/>
      <c r="BD43" s="719"/>
      <c r="BE43" s="719"/>
      <c r="BF43" s="719"/>
      <c r="BG43" s="719"/>
      <c r="BH43" s="719"/>
      <c r="BI43" s="719"/>
      <c r="BJ43" s="719"/>
      <c r="BK43" s="719"/>
      <c r="BL43" s="719"/>
      <c r="BM43" s="719"/>
      <c r="BN43" s="719"/>
      <c r="BO43" s="719"/>
      <c r="BP43" s="719"/>
      <c r="BQ43" s="719"/>
      <c r="BR43" s="719"/>
      <c r="BW43" s="27"/>
      <c r="DG43" s="57"/>
      <c r="DH43" s="57"/>
    </row>
    <row r="44" spans="1:112" ht="18.600000000000001" hidden="1" customHeight="1" x14ac:dyDescent="0.25">
      <c r="A44" s="719"/>
      <c r="B44" s="719"/>
      <c r="C44" s="1300"/>
      <c r="D44" s="1300"/>
      <c r="E44" s="1300"/>
      <c r="F44" s="719"/>
      <c r="G44" s="719"/>
      <c r="H44" s="1300"/>
      <c r="I44" s="1300"/>
      <c r="J44" s="1300"/>
      <c r="K44" s="719"/>
      <c r="L44" s="719"/>
      <c r="M44" s="1300"/>
      <c r="N44" s="1300"/>
      <c r="O44" s="1300"/>
      <c r="P44" s="719"/>
      <c r="Q44" s="719"/>
      <c r="R44" s="1300"/>
      <c r="S44" s="1300"/>
      <c r="T44" s="1300"/>
      <c r="U44" s="719"/>
      <c r="V44" s="719"/>
      <c r="W44" s="1300"/>
      <c r="X44" s="1300"/>
      <c r="Y44" s="1300"/>
      <c r="Z44" s="719"/>
      <c r="AA44" s="719"/>
      <c r="AB44" s="1300"/>
      <c r="AC44" s="1300"/>
      <c r="AD44" s="1300"/>
      <c r="AE44" s="719"/>
      <c r="AF44" s="719"/>
      <c r="AG44" s="1300"/>
      <c r="AH44" s="1300"/>
      <c r="AI44" s="1300"/>
      <c r="AJ44" s="719"/>
      <c r="AK44" s="719"/>
      <c r="AL44" s="719"/>
      <c r="AM44" s="719"/>
      <c r="AN44" s="719"/>
      <c r="AO44" s="719"/>
      <c r="AP44" s="719"/>
      <c r="AQ44" s="719"/>
      <c r="AR44" s="719"/>
      <c r="AS44" s="719"/>
      <c r="AT44" s="719"/>
      <c r="AU44" s="719"/>
      <c r="AV44" s="719"/>
      <c r="AW44" s="719"/>
      <c r="AX44" s="719"/>
      <c r="AY44" s="719"/>
      <c r="AZ44" s="719"/>
      <c r="BA44" s="719"/>
      <c r="BB44" s="719"/>
      <c r="BC44" s="719"/>
      <c r="BD44" s="719"/>
      <c r="BE44" s="719"/>
      <c r="BF44" s="719"/>
      <c r="BG44" s="719"/>
      <c r="BH44" s="719"/>
      <c r="BI44" s="719"/>
      <c r="BJ44" s="719"/>
      <c r="BK44" s="719"/>
      <c r="BL44" s="719"/>
      <c r="BM44" s="719"/>
      <c r="BN44" s="719"/>
      <c r="BO44" s="719"/>
      <c r="BP44" s="719"/>
      <c r="BQ44" s="719"/>
      <c r="BR44" s="719"/>
      <c r="DG44" s="57"/>
      <c r="DH44" s="57"/>
    </row>
    <row r="45" spans="1:112" ht="18.600000000000001" hidden="1" customHeight="1" x14ac:dyDescent="0.25">
      <c r="A45" s="719"/>
      <c r="B45" s="719"/>
      <c r="C45" s="1300"/>
      <c r="D45" s="1300"/>
      <c r="E45" s="1300"/>
      <c r="F45" s="719"/>
      <c r="G45" s="719"/>
      <c r="H45" s="1300"/>
      <c r="I45" s="1300"/>
      <c r="J45" s="1300"/>
      <c r="K45" s="719"/>
      <c r="L45" s="719"/>
      <c r="M45" s="1300"/>
      <c r="N45" s="1300"/>
      <c r="O45" s="1300"/>
      <c r="P45" s="719"/>
      <c r="Q45" s="719"/>
      <c r="R45" s="1300"/>
      <c r="S45" s="1300"/>
      <c r="T45" s="1300"/>
      <c r="U45" s="719"/>
      <c r="V45" s="719"/>
      <c r="W45" s="1300"/>
      <c r="X45" s="1300"/>
      <c r="Y45" s="1300"/>
      <c r="Z45" s="719"/>
      <c r="AA45" s="719"/>
      <c r="AB45" s="1300"/>
      <c r="AC45" s="1300"/>
      <c r="AD45" s="1300"/>
      <c r="AE45" s="719"/>
      <c r="AF45" s="719"/>
      <c r="AG45" s="1300"/>
      <c r="AH45" s="1300"/>
      <c r="AI45" s="1300"/>
      <c r="AJ45" s="719"/>
      <c r="AK45" s="719"/>
      <c r="AL45" s="719"/>
      <c r="AM45" s="719"/>
      <c r="AN45" s="719"/>
      <c r="AO45" s="719"/>
      <c r="AP45" s="719"/>
      <c r="AQ45" s="719"/>
      <c r="AR45" s="719"/>
      <c r="AS45" s="719"/>
      <c r="AT45" s="719"/>
      <c r="AU45" s="719"/>
      <c r="AV45" s="719"/>
      <c r="AW45" s="719"/>
      <c r="AX45" s="719"/>
      <c r="AY45" s="719"/>
      <c r="AZ45" s="719"/>
      <c r="BA45" s="719"/>
      <c r="BB45" s="719"/>
      <c r="BC45" s="719"/>
      <c r="BD45" s="719"/>
      <c r="BE45" s="719"/>
      <c r="BF45" s="719"/>
      <c r="BG45" s="719"/>
      <c r="BH45" s="719"/>
      <c r="BI45" s="719"/>
      <c r="BJ45" s="719"/>
      <c r="BK45" s="719"/>
      <c r="BL45" s="719"/>
      <c r="BM45" s="719"/>
      <c r="BN45" s="719"/>
      <c r="BO45" s="719"/>
      <c r="BP45" s="719"/>
      <c r="BQ45" s="719"/>
      <c r="BR45" s="719"/>
      <c r="DG45" s="57"/>
      <c r="DH45" s="57"/>
    </row>
    <row r="46" spans="1:112" ht="9.9499999999999993" hidden="1" customHeight="1" x14ac:dyDescent="0.25">
      <c r="A46" s="719"/>
      <c r="B46" s="719"/>
      <c r="C46" s="719"/>
      <c r="D46" s="719"/>
      <c r="E46" s="719"/>
      <c r="F46" s="719"/>
      <c r="G46" s="719"/>
      <c r="H46" s="719"/>
      <c r="I46" s="719"/>
      <c r="J46" s="719"/>
      <c r="K46" s="719"/>
      <c r="L46" s="719"/>
      <c r="M46" s="719"/>
      <c r="N46" s="719"/>
      <c r="O46" s="719"/>
      <c r="P46" s="719"/>
      <c r="Q46" s="719"/>
      <c r="R46" s="719"/>
      <c r="S46" s="719"/>
      <c r="T46" s="719"/>
      <c r="U46" s="719"/>
      <c r="V46" s="719"/>
      <c r="W46" s="719"/>
      <c r="X46" s="719"/>
      <c r="Y46" s="719"/>
      <c r="Z46" s="719"/>
      <c r="AA46" s="719"/>
      <c r="AB46" s="719"/>
      <c r="AC46" s="719"/>
      <c r="AD46" s="719"/>
      <c r="AE46" s="719"/>
      <c r="AF46" s="719"/>
      <c r="AG46" s="719"/>
      <c r="AH46" s="719"/>
      <c r="AI46" s="719"/>
      <c r="AJ46" s="719"/>
      <c r="AK46" s="719"/>
      <c r="AL46" s="719"/>
      <c r="AM46" s="719"/>
      <c r="AN46" s="719"/>
      <c r="AO46" s="719"/>
      <c r="AP46" s="719"/>
      <c r="AQ46" s="719"/>
      <c r="AR46" s="719"/>
      <c r="AS46" s="719"/>
      <c r="AT46" s="719"/>
      <c r="AU46" s="719"/>
      <c r="AV46" s="719"/>
      <c r="AW46" s="719"/>
      <c r="AX46" s="719"/>
      <c r="AY46" s="719"/>
      <c r="AZ46" s="719"/>
      <c r="BA46" s="719"/>
      <c r="BB46" s="719"/>
      <c r="BC46" s="719"/>
      <c r="BD46" s="719"/>
      <c r="BE46" s="719"/>
      <c r="BF46" s="719"/>
      <c r="BG46" s="719"/>
      <c r="BH46" s="719"/>
      <c r="BI46" s="719"/>
      <c r="BJ46" s="719"/>
      <c r="BK46" s="719"/>
      <c r="BL46" s="719"/>
      <c r="BM46" s="719"/>
      <c r="BN46" s="719"/>
      <c r="BO46" s="719"/>
      <c r="BP46" s="719"/>
      <c r="BQ46" s="719"/>
      <c r="BR46" s="719"/>
    </row>
    <row r="47" spans="1:112" ht="9.9499999999999993" hidden="1" customHeight="1" x14ac:dyDescent="0.25">
      <c r="A47" s="719"/>
      <c r="B47" s="719"/>
      <c r="C47" s="719"/>
      <c r="D47" s="719"/>
      <c r="E47" s="719"/>
      <c r="F47" s="719"/>
      <c r="G47" s="719"/>
      <c r="H47" s="719"/>
      <c r="I47" s="719"/>
      <c r="J47" s="719"/>
      <c r="K47" s="719"/>
      <c r="L47" s="719"/>
      <c r="M47" s="719"/>
      <c r="N47" s="719"/>
      <c r="O47" s="719"/>
      <c r="P47" s="719"/>
      <c r="Q47" s="719"/>
      <c r="R47" s="719"/>
      <c r="S47" s="719"/>
      <c r="T47" s="719"/>
      <c r="U47" s="719"/>
      <c r="V47" s="719"/>
      <c r="W47" s="719"/>
      <c r="X47" s="719"/>
      <c r="Y47" s="719"/>
      <c r="Z47" s="719"/>
      <c r="AA47" s="719"/>
      <c r="AB47" s="719"/>
      <c r="AC47" s="719"/>
      <c r="AD47" s="719"/>
      <c r="AE47" s="719"/>
      <c r="AF47" s="719"/>
      <c r="AG47" s="719"/>
      <c r="AH47" s="719"/>
      <c r="AI47" s="719"/>
      <c r="AJ47" s="719"/>
      <c r="AK47" s="719"/>
      <c r="AL47" s="719"/>
      <c r="AM47" s="719"/>
      <c r="AN47" s="719"/>
      <c r="AO47" s="719"/>
      <c r="AP47" s="719"/>
      <c r="AQ47" s="719"/>
      <c r="AR47" s="719"/>
      <c r="AS47" s="719"/>
      <c r="AT47" s="719"/>
      <c r="AU47" s="719"/>
      <c r="AV47" s="719"/>
      <c r="AW47" s="719"/>
      <c r="AX47" s="719"/>
      <c r="AY47" s="719"/>
      <c r="AZ47" s="719"/>
      <c r="BA47" s="719"/>
      <c r="BB47" s="719"/>
      <c r="BC47" s="719"/>
      <c r="BD47" s="719"/>
      <c r="BE47" s="719"/>
      <c r="BF47" s="719"/>
      <c r="BG47" s="719"/>
      <c r="BH47" s="719"/>
      <c r="BI47" s="719"/>
      <c r="BJ47" s="719"/>
      <c r="BK47" s="719"/>
      <c r="BL47" s="719"/>
      <c r="BM47" s="719"/>
      <c r="BN47" s="719"/>
      <c r="BO47" s="719"/>
      <c r="BP47" s="719"/>
      <c r="BQ47" s="719"/>
      <c r="BR47" s="719"/>
    </row>
    <row r="48" spans="1:112" s="22" customFormat="1" ht="84.95" hidden="1" customHeight="1" x14ac:dyDescent="1.35">
      <c r="A48" s="2440"/>
      <c r="B48" s="1797"/>
      <c r="C48" s="1797"/>
      <c r="D48" s="1797"/>
      <c r="E48" s="1797"/>
      <c r="F48" s="2440"/>
      <c r="G48" s="1797"/>
      <c r="H48" s="1797"/>
      <c r="I48" s="1797"/>
      <c r="J48" s="1797"/>
      <c r="K48" s="2440"/>
      <c r="L48" s="1797"/>
      <c r="M48" s="1797"/>
      <c r="N48" s="1797"/>
      <c r="O48" s="1797"/>
      <c r="P48" s="2440"/>
      <c r="Q48" s="1797"/>
      <c r="R48" s="1797"/>
      <c r="S48" s="1797"/>
      <c r="T48" s="1797"/>
      <c r="U48" s="2440"/>
      <c r="V48" s="1797"/>
      <c r="W48" s="1797"/>
      <c r="X48" s="1797"/>
      <c r="Y48" s="1797"/>
      <c r="Z48" s="2440"/>
      <c r="AA48" s="1797"/>
      <c r="AB48" s="1797"/>
      <c r="AC48" s="1797"/>
      <c r="AD48" s="1797"/>
      <c r="AE48" s="2440"/>
      <c r="AF48" s="1797"/>
      <c r="AG48" s="1797"/>
      <c r="AH48" s="1797"/>
      <c r="AI48" s="1797"/>
      <c r="AJ48" s="719"/>
      <c r="AK48" s="719"/>
      <c r="AL48" s="719"/>
      <c r="AM48" s="719"/>
      <c r="AN48" s="719"/>
      <c r="AO48" s="719"/>
      <c r="AP48" s="719"/>
      <c r="AQ48" s="719"/>
      <c r="AR48" s="719"/>
      <c r="AS48" s="719"/>
      <c r="AT48" s="719"/>
      <c r="AU48" s="719"/>
      <c r="AV48" s="719"/>
      <c r="AW48" s="719"/>
      <c r="AX48" s="719"/>
      <c r="AY48" s="719"/>
      <c r="AZ48" s="719"/>
      <c r="BA48" s="719"/>
      <c r="BB48" s="719"/>
      <c r="BC48" s="719"/>
      <c r="BD48" s="719"/>
      <c r="BE48" s="719"/>
      <c r="BF48" s="719"/>
      <c r="BG48" s="719"/>
      <c r="BH48" s="719"/>
      <c r="BI48" s="719"/>
      <c r="BJ48" s="719"/>
      <c r="BK48" s="719"/>
      <c r="BL48" s="719"/>
      <c r="BM48" s="719"/>
      <c r="BN48" s="719"/>
      <c r="BO48" s="719"/>
      <c r="BP48" s="719"/>
      <c r="BQ48" s="719"/>
      <c r="BR48" s="719"/>
      <c r="DG48"/>
      <c r="DH48"/>
    </row>
    <row r="49" spans="1:83" ht="23.1" hidden="1" customHeight="1" thickBot="1" x14ac:dyDescent="0.3">
      <c r="A49" s="2440"/>
      <c r="B49" s="32"/>
      <c r="C49" s="33"/>
      <c r="D49" s="34"/>
      <c r="E49" s="35"/>
      <c r="F49" s="2440"/>
      <c r="G49" s="32"/>
      <c r="H49" s="33"/>
      <c r="I49" s="34"/>
      <c r="J49" s="35"/>
      <c r="K49" s="2440"/>
      <c r="L49" s="32"/>
      <c r="M49" s="33"/>
      <c r="N49" s="34"/>
      <c r="O49" s="35"/>
      <c r="P49" s="2440"/>
      <c r="Q49" s="32"/>
      <c r="R49" s="33"/>
      <c r="S49" s="34"/>
      <c r="T49" s="35"/>
      <c r="U49" s="2440"/>
      <c r="V49" s="32"/>
      <c r="W49" s="33"/>
      <c r="X49" s="34"/>
      <c r="Y49" s="35"/>
      <c r="Z49" s="2440"/>
      <c r="AA49" s="32"/>
      <c r="AB49" s="33"/>
      <c r="AC49" s="34"/>
      <c r="AD49" s="35"/>
      <c r="AE49" s="2440"/>
      <c r="AF49" s="32"/>
      <c r="AG49" s="33"/>
      <c r="AH49" s="34"/>
      <c r="AI49" s="35"/>
      <c r="AJ49" s="719"/>
      <c r="AK49" s="719"/>
      <c r="AL49" s="719"/>
      <c r="AM49" s="719"/>
      <c r="AN49" s="719"/>
      <c r="AO49" s="719"/>
      <c r="AP49" s="719"/>
      <c r="AQ49" s="719"/>
      <c r="AR49" s="719"/>
      <c r="AS49" s="719"/>
      <c r="AT49" s="719"/>
      <c r="AU49" s="719"/>
      <c r="AV49" s="719"/>
      <c r="AW49" s="719"/>
      <c r="AX49" s="719"/>
      <c r="AY49" s="719"/>
      <c r="AZ49" s="719"/>
      <c r="BA49" s="719"/>
      <c r="BB49" s="719"/>
      <c r="BC49" s="719"/>
      <c r="BD49" s="719"/>
      <c r="BE49" s="719"/>
      <c r="BF49" s="719"/>
      <c r="BG49" s="719"/>
      <c r="BH49" s="719"/>
      <c r="BI49" s="719"/>
      <c r="BJ49" s="719"/>
      <c r="BK49" s="719"/>
      <c r="BL49" s="719"/>
      <c r="BM49" s="719"/>
      <c r="BN49" s="719"/>
      <c r="BO49" s="719"/>
      <c r="BP49" s="719"/>
      <c r="BQ49" s="719"/>
      <c r="BR49" s="719"/>
      <c r="BW49" s="27"/>
    </row>
    <row r="50" spans="1:83" ht="26.1" hidden="1" customHeight="1" thickTop="1" x14ac:dyDescent="0.25">
      <c r="A50" s="719"/>
      <c r="B50" s="719"/>
      <c r="C50" s="1300"/>
      <c r="D50" s="1300"/>
      <c r="E50" s="1300"/>
      <c r="F50" s="719"/>
      <c r="G50" s="719"/>
      <c r="H50" s="1300"/>
      <c r="I50" s="1300"/>
      <c r="J50" s="1300"/>
      <c r="K50" s="719"/>
      <c r="L50" s="719"/>
      <c r="M50" s="1300"/>
      <c r="N50" s="1300"/>
      <c r="O50" s="1300"/>
      <c r="P50" s="719"/>
      <c r="Q50" s="719"/>
      <c r="R50" s="1300"/>
      <c r="S50" s="1300"/>
      <c r="T50" s="1300"/>
      <c r="U50" s="719"/>
      <c r="V50" s="719"/>
      <c r="W50" s="1300"/>
      <c r="X50" s="1300"/>
      <c r="Y50" s="1300"/>
      <c r="Z50" s="719"/>
      <c r="AA50" s="719"/>
      <c r="AB50" s="1300"/>
      <c r="AC50" s="1300"/>
      <c r="AD50" s="1300"/>
      <c r="AE50" s="719"/>
      <c r="AF50" s="719"/>
      <c r="AG50" s="1300"/>
      <c r="AH50" s="1300"/>
      <c r="AI50" s="1300"/>
      <c r="AJ50" s="719"/>
      <c r="AK50" s="719"/>
      <c r="AL50" s="719"/>
      <c r="AM50" s="719"/>
      <c r="AN50" s="719"/>
      <c r="AO50" s="719"/>
      <c r="AP50" s="719"/>
      <c r="AQ50" s="719"/>
      <c r="AR50" s="719"/>
      <c r="AS50" s="719"/>
      <c r="AT50" s="719"/>
      <c r="AU50" s="719"/>
      <c r="AV50" s="719"/>
      <c r="AW50" s="719"/>
      <c r="AX50" s="719"/>
      <c r="AY50" s="719"/>
      <c r="AZ50" s="719"/>
      <c r="BA50" s="719"/>
      <c r="BB50" s="719"/>
      <c r="BC50" s="719"/>
      <c r="BD50" s="719"/>
      <c r="BE50" s="719"/>
      <c r="BF50" s="719"/>
      <c r="BG50" s="719"/>
      <c r="BH50" s="719"/>
      <c r="BI50" s="719"/>
      <c r="BJ50" s="719"/>
      <c r="BK50" s="719"/>
      <c r="BL50" s="719"/>
      <c r="BM50" s="719"/>
      <c r="BN50" s="719"/>
      <c r="BO50" s="719"/>
      <c r="BP50" s="719"/>
      <c r="BQ50" s="719"/>
      <c r="BR50" s="719"/>
    </row>
    <row r="51" spans="1:83" ht="6.75" hidden="1" customHeight="1" x14ac:dyDescent="0.25">
      <c r="A51" s="719"/>
      <c r="B51" s="719"/>
      <c r="C51" s="1300"/>
      <c r="D51" s="1300"/>
      <c r="E51" s="1300"/>
      <c r="F51" s="719"/>
      <c r="G51" s="719"/>
      <c r="H51" s="1300"/>
      <c r="I51" s="1300"/>
      <c r="J51" s="1300"/>
      <c r="K51" s="719"/>
      <c r="L51" s="719"/>
      <c r="M51" s="1300"/>
      <c r="N51" s="1300"/>
      <c r="O51" s="1300"/>
      <c r="P51" s="719"/>
      <c r="Q51" s="719"/>
      <c r="R51" s="1300"/>
      <c r="S51" s="1300"/>
      <c r="T51" s="1300"/>
      <c r="U51" s="719"/>
      <c r="V51" s="719"/>
      <c r="W51" s="1300"/>
      <c r="X51" s="1300"/>
      <c r="Y51" s="1300"/>
      <c r="Z51" s="719"/>
      <c r="AA51" s="719"/>
      <c r="AB51" s="1300"/>
      <c r="AC51" s="1300"/>
      <c r="AD51" s="1300"/>
      <c r="AE51" s="719"/>
      <c r="AF51" s="719"/>
      <c r="AG51" s="1300"/>
      <c r="AH51" s="1300"/>
      <c r="AI51" s="1300"/>
      <c r="AJ51" s="719"/>
      <c r="AK51" s="719"/>
      <c r="AL51" s="719"/>
      <c r="AM51" s="719"/>
      <c r="AN51" s="719"/>
      <c r="AO51" s="719"/>
      <c r="AP51" s="719"/>
      <c r="AQ51" s="719"/>
      <c r="AR51" s="719"/>
      <c r="AS51" s="719"/>
      <c r="AT51" s="719"/>
      <c r="AU51" s="719"/>
      <c r="AV51" s="719"/>
      <c r="AW51" s="719"/>
      <c r="AX51" s="719"/>
      <c r="AY51" s="719"/>
      <c r="AZ51" s="719"/>
      <c r="BA51" s="719"/>
      <c r="BB51" s="719"/>
      <c r="BC51" s="719"/>
      <c r="BD51" s="719"/>
      <c r="BE51" s="719"/>
      <c r="BF51" s="719"/>
      <c r="BG51" s="719"/>
      <c r="BH51" s="719"/>
      <c r="BI51" s="719"/>
      <c r="BJ51" s="719"/>
      <c r="BK51" s="719"/>
      <c r="BL51" s="719"/>
      <c r="BM51" s="719"/>
      <c r="BN51" s="719"/>
      <c r="BO51" s="719"/>
      <c r="BP51" s="719"/>
      <c r="BQ51" s="719"/>
      <c r="BR51" s="719"/>
    </row>
    <row r="52" spans="1:83" ht="21.95" hidden="1" customHeight="1" x14ac:dyDescent="0.25">
      <c r="A52" s="719"/>
      <c r="B52" s="719"/>
      <c r="C52" s="719"/>
      <c r="D52" s="719"/>
      <c r="E52" s="719"/>
      <c r="F52" s="719"/>
      <c r="G52" s="719"/>
      <c r="H52" s="719"/>
      <c r="I52" s="719"/>
      <c r="J52" s="719"/>
      <c r="K52" s="719"/>
      <c r="L52" s="719"/>
      <c r="M52" s="719"/>
      <c r="N52" s="719"/>
      <c r="O52" s="719"/>
      <c r="P52" s="719"/>
      <c r="Q52" s="719"/>
      <c r="R52" s="719"/>
      <c r="S52" s="719"/>
      <c r="T52" s="719"/>
      <c r="U52" s="719"/>
      <c r="V52" s="719"/>
      <c r="W52" s="719"/>
      <c r="X52" s="719"/>
      <c r="Y52" s="719"/>
      <c r="Z52" s="719"/>
      <c r="AA52" s="719"/>
      <c r="AB52" s="719"/>
      <c r="AC52" s="719"/>
      <c r="AD52" s="719"/>
      <c r="AE52" s="719"/>
      <c r="AF52" s="719"/>
      <c r="AG52" s="719"/>
      <c r="AH52" s="719"/>
      <c r="AI52" s="719"/>
      <c r="AJ52" s="719"/>
      <c r="AK52" s="719"/>
      <c r="AL52" s="719"/>
      <c r="AM52" s="719"/>
      <c r="AN52" s="719"/>
      <c r="AO52" s="719"/>
      <c r="AP52" s="719"/>
      <c r="AQ52" s="719"/>
      <c r="AR52" s="719"/>
      <c r="AS52" s="719"/>
      <c r="AT52" s="719"/>
      <c r="AU52" s="719"/>
      <c r="AV52" s="719"/>
      <c r="AW52" s="719"/>
      <c r="AX52" s="719"/>
      <c r="AY52" s="719"/>
      <c r="AZ52" s="719"/>
      <c r="BA52" s="719"/>
      <c r="BB52" s="719"/>
      <c r="BC52" s="719"/>
      <c r="BD52" s="719"/>
      <c r="BE52" s="719"/>
      <c r="BF52" s="719"/>
      <c r="BG52" s="719"/>
      <c r="BH52" s="719"/>
      <c r="BI52" s="719"/>
      <c r="BJ52" s="719"/>
      <c r="BK52" s="719"/>
      <c r="BL52" s="719"/>
      <c r="BM52" s="719"/>
      <c r="BN52" s="719"/>
      <c r="BO52" s="719"/>
      <c r="BP52" s="719"/>
      <c r="BQ52" s="719"/>
      <c r="BR52" s="719"/>
    </row>
    <row r="53" spans="1:83" ht="6" hidden="1" customHeight="1" x14ac:dyDescent="0.25">
      <c r="A53" s="719"/>
      <c r="B53" s="719"/>
      <c r="C53" s="719"/>
      <c r="D53" s="719"/>
      <c r="E53" s="719"/>
      <c r="F53" s="719"/>
      <c r="G53" s="719"/>
      <c r="H53" s="719"/>
      <c r="I53" s="719"/>
      <c r="J53" s="719"/>
      <c r="K53" s="719"/>
      <c r="L53" s="719"/>
      <c r="M53" s="719"/>
      <c r="N53" s="719"/>
      <c r="O53" s="719"/>
      <c r="P53" s="719"/>
      <c r="Q53" s="719"/>
      <c r="R53" s="719"/>
      <c r="S53" s="719"/>
      <c r="T53" s="719"/>
      <c r="U53" s="719"/>
      <c r="V53" s="719"/>
      <c r="W53" s="719"/>
      <c r="X53" s="719"/>
      <c r="Y53" s="719"/>
      <c r="Z53" s="719"/>
      <c r="AA53" s="719"/>
      <c r="AB53" s="719"/>
      <c r="AC53" s="719"/>
      <c r="AD53" s="719"/>
      <c r="AE53" s="719"/>
      <c r="AF53" s="719"/>
      <c r="AG53" s="719"/>
      <c r="AH53" s="719"/>
      <c r="AI53" s="719"/>
      <c r="AJ53" s="719"/>
      <c r="AK53" s="719"/>
      <c r="AL53" s="719"/>
      <c r="AM53" s="719"/>
      <c r="AN53" s="719"/>
      <c r="AO53" s="719"/>
      <c r="AP53" s="719"/>
      <c r="AQ53" s="719"/>
      <c r="AR53" s="719"/>
      <c r="AS53" s="719"/>
      <c r="AT53" s="719"/>
      <c r="AU53" s="719"/>
      <c r="AV53" s="719"/>
      <c r="AW53" s="719"/>
      <c r="AX53" s="719"/>
      <c r="AY53" s="719"/>
      <c r="AZ53" s="719"/>
      <c r="BA53" s="719"/>
      <c r="BB53" s="719"/>
      <c r="BC53" s="719"/>
      <c r="BD53" s="719"/>
      <c r="BE53" s="719"/>
      <c r="BF53" s="719"/>
      <c r="BG53" s="719"/>
      <c r="BH53" s="719"/>
      <c r="BI53" s="719"/>
      <c r="BJ53" s="719"/>
      <c r="BK53" s="719"/>
      <c r="BL53" s="719"/>
      <c r="BM53" s="719"/>
      <c r="BN53" s="719"/>
      <c r="BO53" s="719"/>
      <c r="BP53" s="719"/>
      <c r="BQ53" s="719"/>
      <c r="BR53" s="719"/>
    </row>
    <row r="54" spans="1:83" ht="60" hidden="1" customHeight="1" thickTop="1" thickBot="1" x14ac:dyDescent="0.3">
      <c r="A54" s="2440"/>
      <c r="B54" s="1797"/>
      <c r="C54" s="1797"/>
      <c r="D54" s="1797"/>
      <c r="E54" s="1797"/>
      <c r="F54" s="2440"/>
      <c r="G54" s="1797"/>
      <c r="H54" s="1797"/>
      <c r="I54" s="1797"/>
      <c r="J54" s="1797"/>
      <c r="K54" s="2440"/>
      <c r="L54" s="1797"/>
      <c r="M54" s="1797"/>
      <c r="N54" s="1797"/>
      <c r="O54" s="1797"/>
      <c r="P54" s="2440"/>
      <c r="Q54" s="1797"/>
      <c r="R54" s="1797"/>
      <c r="S54" s="1797"/>
      <c r="T54" s="1797"/>
      <c r="U54" s="2440"/>
      <c r="V54" s="1797"/>
      <c r="W54" s="1797"/>
      <c r="X54" s="1797"/>
      <c r="Y54" s="1797"/>
      <c r="Z54" s="2440"/>
      <c r="AA54" s="1797"/>
      <c r="AB54" s="1797"/>
      <c r="AC54" s="1797"/>
      <c r="AD54" s="1797"/>
      <c r="AE54" s="2440"/>
      <c r="AF54" s="1797"/>
      <c r="AG54" s="1797"/>
      <c r="AH54" s="1797"/>
      <c r="AI54" s="1797"/>
      <c r="AJ54" s="719"/>
      <c r="AK54" s="719"/>
      <c r="AL54" s="719"/>
      <c r="AM54" s="719"/>
      <c r="AN54" s="719"/>
      <c r="AO54" s="719"/>
      <c r="AP54" s="719"/>
      <c r="AQ54" s="719"/>
      <c r="AR54" s="719"/>
      <c r="AS54" s="719"/>
      <c r="AT54" s="719"/>
      <c r="AU54" s="719"/>
      <c r="AV54" s="719"/>
      <c r="AW54" s="719"/>
      <c r="AX54" s="719"/>
      <c r="AY54" s="719"/>
      <c r="AZ54" s="719"/>
      <c r="BA54" s="719"/>
      <c r="BB54" s="719"/>
      <c r="BC54" s="719"/>
      <c r="BD54" s="719"/>
      <c r="BE54" s="719"/>
      <c r="BF54" s="719"/>
      <c r="BG54" s="719"/>
      <c r="BH54" s="719"/>
      <c r="BI54" s="719"/>
      <c r="BJ54" s="719"/>
      <c r="BK54" s="719"/>
      <c r="BL54" s="719"/>
      <c r="BM54" s="719"/>
      <c r="BN54" s="719"/>
      <c r="BO54" s="719"/>
      <c r="BP54" s="719"/>
      <c r="BQ54" s="719"/>
      <c r="BR54" s="719"/>
    </row>
    <row r="55" spans="1:83" ht="27.75" hidden="1" customHeight="1" thickTop="1" thickBot="1" x14ac:dyDescent="0.3">
      <c r="A55" s="2440"/>
      <c r="B55" s="32"/>
      <c r="C55" s="33"/>
      <c r="D55" s="34"/>
      <c r="E55" s="35"/>
      <c r="F55" s="2440"/>
      <c r="G55" s="32"/>
      <c r="H55" s="33"/>
      <c r="I55" s="34"/>
      <c r="J55" s="35"/>
      <c r="K55" s="2440"/>
      <c r="L55" s="32"/>
      <c r="M55" s="33"/>
      <c r="N55" s="34"/>
      <c r="O55" s="35"/>
      <c r="P55" s="2440"/>
      <c r="Q55" s="32"/>
      <c r="R55" s="33"/>
      <c r="S55" s="34"/>
      <c r="T55" s="35"/>
      <c r="U55" s="2440"/>
      <c r="V55" s="32"/>
      <c r="W55" s="33"/>
      <c r="X55" s="34"/>
      <c r="Y55" s="35"/>
      <c r="Z55" s="2440"/>
      <c r="AA55" s="32"/>
      <c r="AB55" s="33"/>
      <c r="AC55" s="34"/>
      <c r="AD55" s="35"/>
      <c r="AE55" s="2440"/>
      <c r="AF55" s="32"/>
      <c r="AG55" s="33"/>
      <c r="AH55" s="34"/>
      <c r="AI55" s="35"/>
      <c r="AJ55" s="719"/>
      <c r="AK55" s="719"/>
      <c r="AL55" s="719"/>
      <c r="AM55" s="719"/>
      <c r="AN55" s="719"/>
      <c r="AO55" s="719"/>
      <c r="AP55" s="719"/>
      <c r="AQ55" s="719"/>
      <c r="AR55" s="719"/>
      <c r="AS55" s="719"/>
      <c r="AT55" s="719"/>
      <c r="AU55" s="719"/>
      <c r="AV55" s="719"/>
      <c r="AW55" s="719"/>
      <c r="AX55" s="719"/>
      <c r="AY55" s="719"/>
      <c r="AZ55" s="719"/>
      <c r="BA55" s="719"/>
      <c r="BB55" s="719"/>
      <c r="BC55" s="719"/>
      <c r="BD55" s="719"/>
      <c r="BE55" s="719"/>
      <c r="BF55" s="719"/>
      <c r="BG55" s="719"/>
      <c r="BH55" s="719"/>
      <c r="BI55" s="719"/>
      <c r="BJ55" s="719"/>
      <c r="BK55" s="719"/>
      <c r="BL55" s="719"/>
      <c r="BM55" s="719"/>
      <c r="BN55" s="719"/>
      <c r="BO55" s="719"/>
      <c r="BP55" s="719"/>
      <c r="BQ55" s="719"/>
      <c r="BR55" s="719"/>
      <c r="BW55" s="27"/>
      <c r="BX55" s="27"/>
      <c r="BY55" s="27"/>
      <c r="BZ55" s="27"/>
      <c r="CA55" s="27"/>
      <c r="CB55" s="27"/>
      <c r="CC55" s="27"/>
      <c r="CD55" s="27"/>
      <c r="CE55" s="27"/>
    </row>
    <row r="56" spans="1:83" ht="26.1" hidden="1" customHeight="1" x14ac:dyDescent="0.25">
      <c r="A56" s="719"/>
      <c r="B56" s="719"/>
      <c r="C56" s="1300"/>
      <c r="D56" s="1300"/>
      <c r="E56" s="1300"/>
      <c r="F56" s="719"/>
      <c r="G56" s="719"/>
      <c r="H56" s="1300"/>
      <c r="I56" s="1300"/>
      <c r="J56" s="1300"/>
      <c r="K56" s="719"/>
      <c r="L56" s="719"/>
      <c r="M56" s="1300"/>
      <c r="N56" s="1300"/>
      <c r="O56" s="1300"/>
      <c r="P56" s="719"/>
      <c r="Q56" s="719"/>
      <c r="R56" s="1300"/>
      <c r="S56" s="1300"/>
      <c r="T56" s="1300"/>
      <c r="U56" s="719"/>
      <c r="V56" s="719"/>
      <c r="W56" s="1300"/>
      <c r="X56" s="1300"/>
      <c r="Y56" s="1300"/>
      <c r="Z56" s="719"/>
      <c r="AA56" s="719"/>
      <c r="AB56" s="1300"/>
      <c r="AC56" s="1300"/>
      <c r="AD56" s="1300"/>
      <c r="AE56" s="719"/>
      <c r="AF56" s="719"/>
      <c r="AG56" s="1300"/>
      <c r="AH56" s="1300"/>
      <c r="AI56" s="1300"/>
      <c r="AJ56" s="719"/>
      <c r="AK56" s="719"/>
      <c r="AL56" s="719"/>
      <c r="AM56" s="719"/>
      <c r="AN56" s="719"/>
      <c r="AO56" s="719"/>
      <c r="AP56" s="719"/>
      <c r="AQ56" s="719"/>
      <c r="AR56" s="719"/>
      <c r="AS56" s="719"/>
      <c r="AT56" s="719"/>
      <c r="AU56" s="719"/>
      <c r="AV56" s="719"/>
      <c r="AW56" s="719"/>
      <c r="AX56" s="719"/>
      <c r="AY56" s="719"/>
      <c r="AZ56" s="719"/>
      <c r="BA56" s="719"/>
      <c r="BB56" s="719"/>
      <c r="BC56" s="719"/>
      <c r="BD56" s="719"/>
      <c r="BE56" s="719"/>
      <c r="BF56" s="719"/>
      <c r="BG56" s="719"/>
      <c r="BH56" s="719"/>
      <c r="BI56" s="719"/>
      <c r="BJ56" s="719"/>
      <c r="BK56" s="719"/>
      <c r="BL56" s="719"/>
      <c r="BM56" s="719"/>
      <c r="BN56" s="719"/>
      <c r="BO56" s="719"/>
      <c r="BP56" s="719"/>
      <c r="BQ56" s="719"/>
      <c r="BR56" s="719"/>
    </row>
    <row r="57" spans="1:83" ht="6.75" hidden="1" customHeight="1" x14ac:dyDescent="0.25">
      <c r="A57" s="719"/>
      <c r="B57" s="719"/>
      <c r="C57" s="1300"/>
      <c r="D57" s="1300"/>
      <c r="E57" s="1300"/>
      <c r="F57" s="719"/>
      <c r="G57" s="719"/>
      <c r="H57" s="1300"/>
      <c r="I57" s="1300"/>
      <c r="J57" s="1300"/>
      <c r="K57" s="719"/>
      <c r="L57" s="719"/>
      <c r="M57" s="1300"/>
      <c r="N57" s="1300"/>
      <c r="O57" s="1300"/>
      <c r="P57" s="719"/>
      <c r="Q57" s="719"/>
      <c r="R57" s="1300"/>
      <c r="S57" s="1300"/>
      <c r="T57" s="1300"/>
      <c r="U57" s="719"/>
      <c r="V57" s="719"/>
      <c r="W57" s="1300"/>
      <c r="X57" s="1300"/>
      <c r="Y57" s="1300"/>
      <c r="Z57" s="719"/>
      <c r="AA57" s="719"/>
      <c r="AB57" s="1300"/>
      <c r="AC57" s="1300"/>
      <c r="AD57" s="1300"/>
      <c r="AE57" s="719"/>
      <c r="AF57" s="719"/>
      <c r="AG57" s="1300"/>
      <c r="AH57" s="1300"/>
      <c r="AI57" s="1300"/>
      <c r="AJ57" s="719"/>
      <c r="AK57" s="719"/>
      <c r="AL57" s="719"/>
      <c r="AM57" s="719"/>
      <c r="AN57" s="719"/>
      <c r="AO57" s="719"/>
      <c r="AP57" s="719"/>
      <c r="AQ57" s="719"/>
      <c r="AR57" s="719"/>
      <c r="AS57" s="719"/>
      <c r="AT57" s="719"/>
      <c r="AU57" s="719"/>
      <c r="AV57" s="719"/>
      <c r="AW57" s="719"/>
      <c r="AX57" s="719"/>
      <c r="AY57" s="719"/>
      <c r="AZ57" s="719"/>
      <c r="BA57" s="719"/>
      <c r="BB57" s="719"/>
      <c r="BC57" s="719"/>
      <c r="BD57" s="719"/>
      <c r="BE57" s="719"/>
      <c r="BF57" s="719"/>
      <c r="BG57" s="719"/>
      <c r="BH57" s="719"/>
      <c r="BI57" s="719"/>
      <c r="BJ57" s="719"/>
      <c r="BK57" s="719"/>
      <c r="BL57" s="719"/>
      <c r="BM57" s="719"/>
      <c r="BN57" s="719"/>
      <c r="BO57" s="719"/>
      <c r="BP57" s="719"/>
      <c r="BQ57" s="719"/>
      <c r="BR57" s="719"/>
    </row>
    <row r="58" spans="1:83" ht="21.95" hidden="1" customHeight="1" x14ac:dyDescent="0.25">
      <c r="A58" s="719"/>
      <c r="B58" s="719"/>
      <c r="C58" s="719"/>
      <c r="D58" s="719"/>
      <c r="E58" s="719"/>
      <c r="F58" s="719"/>
      <c r="G58" s="719"/>
      <c r="H58" s="719"/>
      <c r="I58" s="719"/>
      <c r="J58" s="719"/>
      <c r="K58" s="719"/>
      <c r="L58" s="719"/>
      <c r="M58" s="719"/>
      <c r="N58" s="719"/>
      <c r="O58" s="719"/>
      <c r="P58" s="719"/>
      <c r="Q58" s="719"/>
      <c r="R58" s="719"/>
      <c r="S58" s="719"/>
      <c r="T58" s="719"/>
      <c r="U58" s="719"/>
      <c r="V58" s="719"/>
      <c r="W58" s="719"/>
      <c r="X58" s="719"/>
      <c r="Y58" s="719"/>
      <c r="Z58" s="719"/>
      <c r="AA58" s="719"/>
      <c r="AB58" s="719"/>
      <c r="AC58" s="719"/>
      <c r="AD58" s="719"/>
      <c r="AE58" s="719"/>
      <c r="AF58" s="719"/>
      <c r="AG58" s="719"/>
      <c r="AH58" s="719"/>
      <c r="AI58" s="719"/>
      <c r="AJ58" s="719"/>
      <c r="AK58" s="719"/>
      <c r="AL58" s="719"/>
      <c r="AM58" s="719"/>
      <c r="AN58" s="719"/>
      <c r="AO58" s="719"/>
      <c r="AP58" s="719"/>
      <c r="AQ58" s="719"/>
      <c r="AR58" s="719"/>
      <c r="AS58" s="719"/>
      <c r="AT58" s="719"/>
      <c r="AU58" s="719"/>
      <c r="AV58" s="719"/>
      <c r="AW58" s="719"/>
      <c r="AX58" s="719"/>
      <c r="AY58" s="719"/>
      <c r="AZ58" s="719"/>
      <c r="BA58" s="719"/>
      <c r="BB58" s="719"/>
      <c r="BC58" s="719"/>
      <c r="BD58" s="719"/>
      <c r="BE58" s="719"/>
      <c r="BF58" s="719"/>
      <c r="BG58" s="719"/>
      <c r="BH58" s="719"/>
      <c r="BI58" s="719"/>
      <c r="BJ58" s="719"/>
      <c r="BK58" s="719"/>
      <c r="BL58" s="719"/>
      <c r="BM58" s="719"/>
      <c r="BN58" s="719"/>
      <c r="BO58" s="719"/>
      <c r="BP58" s="719"/>
      <c r="BQ58" s="719"/>
      <c r="BR58" s="719"/>
    </row>
    <row r="59" spans="1:83" ht="6" hidden="1" customHeight="1" x14ac:dyDescent="0.25">
      <c r="A59" s="719"/>
      <c r="B59" s="719"/>
      <c r="C59" s="719"/>
      <c r="D59" s="719"/>
      <c r="E59" s="719"/>
      <c r="F59" s="719"/>
      <c r="G59" s="719"/>
      <c r="H59" s="719"/>
      <c r="I59" s="719"/>
      <c r="J59" s="719"/>
      <c r="K59" s="719"/>
      <c r="L59" s="719"/>
      <c r="M59" s="719"/>
      <c r="N59" s="719"/>
      <c r="O59" s="719"/>
      <c r="P59" s="719"/>
      <c r="Q59" s="719"/>
      <c r="R59" s="719"/>
      <c r="S59" s="719"/>
      <c r="T59" s="719"/>
      <c r="U59" s="719"/>
      <c r="V59" s="719"/>
      <c r="W59" s="719"/>
      <c r="X59" s="719"/>
      <c r="Y59" s="719"/>
      <c r="Z59" s="719"/>
      <c r="AA59" s="719"/>
      <c r="AB59" s="719"/>
      <c r="AC59" s="719"/>
      <c r="AD59" s="719"/>
      <c r="AE59" s="719"/>
      <c r="AF59" s="719"/>
      <c r="AG59" s="719"/>
      <c r="AH59" s="719"/>
      <c r="AI59" s="719"/>
      <c r="AJ59" s="719"/>
      <c r="AK59" s="719"/>
      <c r="AL59" s="719"/>
      <c r="AM59" s="719"/>
      <c r="AN59" s="719"/>
      <c r="AO59" s="719"/>
      <c r="AP59" s="719"/>
      <c r="AQ59" s="719"/>
      <c r="AR59" s="719"/>
      <c r="AS59" s="719"/>
      <c r="AT59" s="719"/>
      <c r="AU59" s="719"/>
      <c r="AV59" s="719"/>
      <c r="AW59" s="719"/>
      <c r="AX59" s="719"/>
      <c r="AY59" s="719"/>
      <c r="AZ59" s="719"/>
      <c r="BA59" s="719"/>
      <c r="BB59" s="719"/>
      <c r="BC59" s="719"/>
      <c r="BD59" s="719"/>
      <c r="BE59" s="719"/>
      <c r="BF59" s="719"/>
      <c r="BG59" s="719"/>
      <c r="BH59" s="719"/>
      <c r="BI59" s="719"/>
      <c r="BJ59" s="719"/>
      <c r="BK59" s="719"/>
      <c r="BL59" s="719"/>
      <c r="BM59" s="719"/>
      <c r="BN59" s="719"/>
      <c r="BO59" s="719"/>
      <c r="BP59" s="719"/>
      <c r="BQ59" s="719"/>
      <c r="BR59" s="719"/>
    </row>
    <row r="60" spans="1:83" ht="60" hidden="1" customHeight="1" thickTop="1" thickBot="1" x14ac:dyDescent="0.3">
      <c r="A60" s="2440"/>
      <c r="B60" s="1797"/>
      <c r="C60" s="1797"/>
      <c r="D60" s="1797"/>
      <c r="E60" s="1797"/>
      <c r="F60" s="2440"/>
      <c r="G60" s="1797"/>
      <c r="H60" s="1797"/>
      <c r="I60" s="1797"/>
      <c r="J60" s="1797"/>
      <c r="K60" s="2440"/>
      <c r="L60" s="1797"/>
      <c r="M60" s="1797"/>
      <c r="N60" s="1797"/>
      <c r="O60" s="1797"/>
      <c r="P60" s="2440"/>
      <c r="Q60" s="1797"/>
      <c r="R60" s="1797"/>
      <c r="S60" s="1797"/>
      <c r="T60" s="1797"/>
      <c r="U60" s="2440"/>
      <c r="V60" s="1797"/>
      <c r="W60" s="1797"/>
      <c r="X60" s="1797"/>
      <c r="Y60" s="1797"/>
      <c r="Z60" s="2440"/>
      <c r="AA60" s="1797"/>
      <c r="AB60" s="1797"/>
      <c r="AC60" s="1797"/>
      <c r="AD60" s="1797"/>
      <c r="AE60" s="2440"/>
      <c r="AF60" s="1797"/>
      <c r="AG60" s="1797"/>
      <c r="AH60" s="1797"/>
      <c r="AI60" s="1797"/>
      <c r="AJ60" s="719"/>
      <c r="AK60" s="719"/>
      <c r="AL60" s="719"/>
      <c r="AM60" s="719"/>
      <c r="AN60" s="719"/>
      <c r="AO60" s="719"/>
      <c r="AP60" s="719"/>
      <c r="AQ60" s="719"/>
      <c r="AR60" s="719"/>
      <c r="AS60" s="719"/>
      <c r="AT60" s="719"/>
      <c r="AU60" s="719"/>
      <c r="AV60" s="719"/>
      <c r="AW60" s="719"/>
      <c r="AX60" s="719"/>
      <c r="AY60" s="719"/>
      <c r="AZ60" s="719"/>
      <c r="BA60" s="719"/>
      <c r="BB60" s="719"/>
      <c r="BC60" s="719"/>
      <c r="BD60" s="719"/>
      <c r="BE60" s="719"/>
      <c r="BF60" s="719"/>
      <c r="BG60" s="719"/>
      <c r="BH60" s="719"/>
      <c r="BI60" s="719"/>
      <c r="BJ60" s="719"/>
      <c r="BK60" s="719"/>
      <c r="BL60" s="719"/>
      <c r="BM60" s="719"/>
      <c r="BN60" s="719"/>
      <c r="BO60" s="719"/>
      <c r="BP60" s="719"/>
      <c r="BQ60" s="719"/>
      <c r="BR60" s="719"/>
    </row>
    <row r="61" spans="1:83" ht="27.75" hidden="1" customHeight="1" thickTop="1" thickBot="1" x14ac:dyDescent="0.3">
      <c r="A61" s="2440"/>
      <c r="B61" s="32"/>
      <c r="C61" s="33"/>
      <c r="D61" s="34"/>
      <c r="E61" s="35"/>
      <c r="F61" s="2440"/>
      <c r="G61" s="32"/>
      <c r="H61" s="33"/>
      <c r="I61" s="34"/>
      <c r="J61" s="35"/>
      <c r="K61" s="2440"/>
      <c r="L61" s="32"/>
      <c r="M61" s="33"/>
      <c r="N61" s="34"/>
      <c r="O61" s="35"/>
      <c r="P61" s="2440"/>
      <c r="Q61" s="32"/>
      <c r="R61" s="33"/>
      <c r="S61" s="34"/>
      <c r="T61" s="35"/>
      <c r="U61" s="2440"/>
      <c r="V61" s="32"/>
      <c r="W61" s="33"/>
      <c r="X61" s="34"/>
      <c r="Y61" s="35"/>
      <c r="Z61" s="2440"/>
      <c r="AA61" s="32"/>
      <c r="AB61" s="33"/>
      <c r="AC61" s="34"/>
      <c r="AD61" s="35"/>
      <c r="AE61" s="2440"/>
      <c r="AF61" s="32"/>
      <c r="AG61" s="33"/>
      <c r="AH61" s="34"/>
      <c r="AI61" s="35"/>
      <c r="AJ61" s="719"/>
      <c r="AK61" s="719"/>
      <c r="AL61" s="719"/>
      <c r="AM61" s="719"/>
      <c r="AN61" s="719"/>
      <c r="AO61" s="719"/>
      <c r="AP61" s="719"/>
      <c r="AQ61" s="719"/>
      <c r="AR61" s="719"/>
      <c r="AS61" s="719"/>
      <c r="AT61" s="719"/>
      <c r="AU61" s="719"/>
      <c r="AV61" s="719"/>
      <c r="AW61" s="719"/>
      <c r="AX61" s="719"/>
      <c r="AY61" s="719"/>
      <c r="AZ61" s="719"/>
      <c r="BA61" s="719"/>
      <c r="BB61" s="719"/>
      <c r="BC61" s="719"/>
      <c r="BD61" s="719"/>
      <c r="BE61" s="719"/>
      <c r="BF61" s="719"/>
      <c r="BG61" s="719"/>
      <c r="BH61" s="719"/>
      <c r="BI61" s="719"/>
      <c r="BJ61" s="719"/>
      <c r="BK61" s="719"/>
      <c r="BL61" s="719"/>
      <c r="BM61" s="719"/>
      <c r="BN61" s="719"/>
      <c r="BO61" s="719"/>
      <c r="BP61" s="719"/>
      <c r="BQ61" s="719"/>
      <c r="BR61" s="719"/>
      <c r="BW61" s="27"/>
      <c r="BX61" s="27"/>
      <c r="BY61" s="27"/>
      <c r="BZ61" s="27"/>
      <c r="CA61" s="27"/>
      <c r="CB61" s="27"/>
      <c r="CC61" s="27"/>
      <c r="CD61" s="27"/>
      <c r="CE61" s="27"/>
    </row>
    <row r="62" spans="1:83" s="42" customFormat="1" ht="18.600000000000001" hidden="1" customHeight="1" thickTop="1" x14ac:dyDescent="0.25">
      <c r="A62" s="719"/>
      <c r="B62" s="719"/>
      <c r="C62" s="1300"/>
      <c r="D62" s="1300"/>
      <c r="E62" s="1300"/>
      <c r="F62" s="719"/>
      <c r="G62" s="719"/>
      <c r="H62" s="1300"/>
      <c r="I62" s="1300"/>
      <c r="J62" s="1300"/>
      <c r="K62" s="719"/>
      <c r="L62" s="719"/>
      <c r="M62" s="1300"/>
      <c r="N62" s="1300"/>
      <c r="O62" s="1300"/>
      <c r="P62" s="719"/>
      <c r="Q62" s="719"/>
      <c r="R62" s="1300"/>
      <c r="S62" s="1300"/>
      <c r="T62" s="1300"/>
      <c r="U62" s="719"/>
      <c r="V62" s="719"/>
      <c r="W62" s="1300"/>
      <c r="X62" s="1300"/>
      <c r="Y62" s="1300"/>
      <c r="Z62" s="719"/>
      <c r="AA62" s="719"/>
      <c r="AB62" s="1300"/>
      <c r="AC62" s="1300"/>
      <c r="AD62" s="1300"/>
      <c r="AE62" s="719"/>
      <c r="AF62" s="719"/>
      <c r="AG62" s="1300"/>
      <c r="AH62" s="1300"/>
      <c r="AI62" s="1300"/>
      <c r="AJ62" s="719"/>
      <c r="AK62" s="719"/>
      <c r="AL62" s="719"/>
      <c r="AM62" s="719"/>
      <c r="AN62" s="719"/>
      <c r="AO62" s="719"/>
      <c r="AP62" s="719"/>
      <c r="AQ62" s="719"/>
      <c r="AR62" s="719"/>
      <c r="AS62" s="719"/>
      <c r="AT62" s="719"/>
      <c r="AU62" s="719"/>
      <c r="AV62" s="719"/>
      <c r="AW62" s="719"/>
      <c r="AX62" s="719"/>
      <c r="AY62" s="719"/>
      <c r="AZ62" s="719"/>
      <c r="BA62" s="719"/>
      <c r="BB62" s="719"/>
      <c r="BC62" s="719"/>
      <c r="BD62" s="719"/>
      <c r="BE62" s="719"/>
      <c r="BF62" s="719"/>
      <c r="BG62" s="719"/>
      <c r="BH62" s="719"/>
      <c r="BI62" s="719"/>
      <c r="BJ62" s="719"/>
      <c r="BK62" s="719"/>
      <c r="BL62" s="719"/>
      <c r="BM62" s="719"/>
      <c r="BN62" s="719"/>
      <c r="BO62" s="719"/>
      <c r="BP62" s="719"/>
      <c r="BQ62" s="719"/>
      <c r="BR62" s="719"/>
      <c r="BW62" s="43"/>
      <c r="BX62" s="43"/>
      <c r="BY62" s="43"/>
      <c r="BZ62" s="43"/>
      <c r="CA62" s="43"/>
      <c r="CB62" s="43"/>
      <c r="CC62" s="43"/>
      <c r="CD62" s="43"/>
      <c r="CE62" s="43"/>
    </row>
    <row r="63" spans="1:83" ht="18.600000000000001" hidden="1" customHeight="1" x14ac:dyDescent="0.25">
      <c r="A63" s="719"/>
      <c r="B63" s="719"/>
      <c r="C63" s="1300"/>
      <c r="D63" s="1300"/>
      <c r="E63" s="1300"/>
      <c r="F63" s="719"/>
      <c r="G63" s="719"/>
      <c r="H63" s="1300"/>
      <c r="I63" s="1300"/>
      <c r="J63" s="1300"/>
      <c r="K63" s="719"/>
      <c r="L63" s="719"/>
      <c r="M63" s="1300"/>
      <c r="N63" s="1300"/>
      <c r="O63" s="1300"/>
      <c r="P63" s="719"/>
      <c r="Q63" s="719"/>
      <c r="R63" s="1300"/>
      <c r="S63" s="1300"/>
      <c r="T63" s="1300"/>
      <c r="U63" s="719"/>
      <c r="V63" s="719"/>
      <c r="W63" s="1300"/>
      <c r="X63" s="1300"/>
      <c r="Y63" s="1300"/>
      <c r="Z63" s="719"/>
      <c r="AA63" s="719"/>
      <c r="AB63" s="1300"/>
      <c r="AC63" s="1300"/>
      <c r="AD63" s="1300"/>
      <c r="AE63" s="719"/>
      <c r="AF63" s="719"/>
      <c r="AG63" s="1300"/>
      <c r="AH63" s="1300"/>
      <c r="AI63" s="1300"/>
      <c r="AJ63" s="719"/>
      <c r="AK63" s="719"/>
      <c r="AL63" s="719"/>
      <c r="AM63" s="719"/>
      <c r="AN63" s="719"/>
      <c r="AO63" s="719"/>
      <c r="AP63" s="719"/>
      <c r="AQ63" s="719"/>
      <c r="AR63" s="719"/>
      <c r="AS63" s="719"/>
      <c r="AT63" s="719"/>
      <c r="AU63" s="719"/>
      <c r="AV63" s="719"/>
      <c r="AW63" s="719"/>
      <c r="AX63" s="719"/>
      <c r="AY63" s="719"/>
      <c r="AZ63" s="719"/>
      <c r="BA63" s="719"/>
      <c r="BB63" s="719"/>
      <c r="BC63" s="719"/>
      <c r="BD63" s="719"/>
      <c r="BE63" s="719"/>
      <c r="BF63" s="719"/>
      <c r="BG63" s="719"/>
      <c r="BH63" s="719"/>
      <c r="BI63" s="719"/>
      <c r="BJ63" s="719"/>
      <c r="BK63" s="719"/>
      <c r="BL63" s="719"/>
      <c r="BM63" s="719"/>
      <c r="BN63" s="719"/>
      <c r="BO63" s="719"/>
      <c r="BP63" s="719"/>
      <c r="BQ63" s="719"/>
      <c r="BR63" s="719"/>
    </row>
    <row r="64" spans="1:83" ht="9.9499999999999993" hidden="1" customHeight="1" x14ac:dyDescent="0.25">
      <c r="A64" s="719"/>
      <c r="B64" s="719"/>
      <c r="C64" s="719"/>
      <c r="D64" s="719"/>
      <c r="E64" s="719"/>
      <c r="F64" s="719"/>
      <c r="G64" s="719"/>
      <c r="H64" s="719"/>
      <c r="I64" s="719"/>
      <c r="J64" s="719"/>
      <c r="K64" s="719"/>
      <c r="L64" s="719"/>
      <c r="M64" s="719"/>
      <c r="N64" s="719"/>
      <c r="O64" s="719"/>
      <c r="P64" s="719"/>
      <c r="Q64" s="719"/>
      <c r="R64" s="719"/>
      <c r="S64" s="719"/>
      <c r="T64" s="719"/>
      <c r="U64" s="719"/>
      <c r="V64" s="719"/>
      <c r="W64" s="719"/>
      <c r="X64" s="719"/>
      <c r="Y64" s="719"/>
      <c r="Z64" s="719"/>
      <c r="AA64" s="719"/>
      <c r="AB64" s="719"/>
      <c r="AC64" s="719"/>
      <c r="AD64" s="719"/>
      <c r="AE64" s="719"/>
      <c r="AF64" s="719"/>
      <c r="AG64" s="719"/>
      <c r="AH64" s="719"/>
      <c r="AI64" s="719"/>
      <c r="AJ64" s="719"/>
      <c r="AK64" s="719"/>
      <c r="AL64" s="719"/>
      <c r="AM64" s="719"/>
      <c r="AN64" s="719"/>
      <c r="AO64" s="719"/>
      <c r="AP64" s="719"/>
      <c r="AQ64" s="719"/>
      <c r="AR64" s="719"/>
      <c r="AS64" s="719"/>
      <c r="AT64" s="719"/>
      <c r="AU64" s="719"/>
      <c r="AV64" s="719"/>
      <c r="AW64" s="719"/>
      <c r="AX64" s="719"/>
      <c r="AY64" s="719"/>
      <c r="AZ64" s="719"/>
      <c r="BA64" s="719"/>
      <c r="BB64" s="719"/>
      <c r="BC64" s="719"/>
      <c r="BD64" s="719"/>
      <c r="BE64" s="719"/>
      <c r="BF64" s="719"/>
      <c r="BG64" s="719"/>
      <c r="BH64" s="719"/>
      <c r="BI64" s="719"/>
      <c r="BJ64" s="719"/>
      <c r="BK64" s="719"/>
      <c r="BL64" s="719"/>
      <c r="BM64" s="719"/>
      <c r="BN64" s="719"/>
      <c r="BO64" s="719"/>
      <c r="BP64" s="719"/>
      <c r="BQ64" s="719"/>
      <c r="BR64" s="719"/>
    </row>
    <row r="65" spans="1:90" ht="9.9499999999999993" hidden="1" customHeight="1" x14ac:dyDescent="0.25">
      <c r="A65" s="719"/>
      <c r="B65" s="719"/>
      <c r="C65" s="719"/>
      <c r="D65" s="719"/>
      <c r="E65" s="719"/>
      <c r="F65" s="719"/>
      <c r="G65" s="719"/>
      <c r="H65" s="719"/>
      <c r="I65" s="719"/>
      <c r="J65" s="719"/>
      <c r="K65" s="719"/>
      <c r="L65" s="719"/>
      <c r="M65" s="719"/>
      <c r="N65" s="719"/>
      <c r="O65" s="719"/>
      <c r="P65" s="719"/>
      <c r="Q65" s="719"/>
      <c r="R65" s="719"/>
      <c r="S65" s="719"/>
      <c r="T65" s="719"/>
      <c r="U65" s="719"/>
      <c r="V65" s="719"/>
      <c r="W65" s="719"/>
      <c r="X65" s="719"/>
      <c r="Y65" s="719"/>
      <c r="Z65" s="719"/>
      <c r="AA65" s="719"/>
      <c r="AB65" s="719"/>
      <c r="AC65" s="719"/>
      <c r="AD65" s="719"/>
      <c r="AE65" s="719"/>
      <c r="AF65" s="719"/>
      <c r="AG65" s="719"/>
      <c r="AH65" s="719"/>
      <c r="AI65" s="719"/>
      <c r="AJ65" s="719"/>
      <c r="AK65" s="719"/>
      <c r="AL65" s="719"/>
      <c r="AM65" s="719"/>
      <c r="AN65" s="719"/>
      <c r="AO65" s="719"/>
      <c r="AP65" s="719"/>
      <c r="AQ65" s="719"/>
      <c r="AR65" s="719"/>
      <c r="AS65" s="719"/>
      <c r="AT65" s="719"/>
      <c r="AU65" s="719"/>
      <c r="AV65" s="719"/>
      <c r="AW65" s="719"/>
      <c r="AX65" s="719"/>
      <c r="AY65" s="719"/>
      <c r="AZ65" s="719"/>
      <c r="BA65" s="719"/>
      <c r="BB65" s="719"/>
      <c r="BC65" s="719"/>
      <c r="BD65" s="719"/>
      <c r="BE65" s="719"/>
      <c r="BF65" s="719"/>
      <c r="BG65" s="719"/>
      <c r="BH65" s="719"/>
      <c r="BI65" s="719"/>
      <c r="BJ65" s="719"/>
      <c r="BK65" s="719"/>
      <c r="BL65" s="719"/>
      <c r="BM65" s="719"/>
      <c r="BN65" s="719"/>
      <c r="BO65" s="719"/>
      <c r="BP65" s="719"/>
      <c r="BQ65" s="719"/>
      <c r="BR65" s="719"/>
    </row>
    <row r="66" spans="1:90" ht="84.95" hidden="1" customHeight="1" x14ac:dyDescent="0.25">
      <c r="A66" s="2440"/>
      <c r="B66" s="1797"/>
      <c r="C66" s="1797"/>
      <c r="D66" s="1797"/>
      <c r="E66" s="1797"/>
      <c r="F66" s="2440"/>
      <c r="G66" s="1797"/>
      <c r="H66" s="1797"/>
      <c r="I66" s="1797"/>
      <c r="J66" s="1797"/>
      <c r="K66" s="2440"/>
      <c r="L66" s="1797"/>
      <c r="M66" s="1797"/>
      <c r="N66" s="1797"/>
      <c r="O66" s="1797"/>
      <c r="P66" s="2440"/>
      <c r="Q66" s="1797"/>
      <c r="R66" s="1797"/>
      <c r="S66" s="1797"/>
      <c r="T66" s="1797"/>
      <c r="U66" s="2440"/>
      <c r="V66" s="1797"/>
      <c r="W66" s="1797"/>
      <c r="X66" s="1797"/>
      <c r="Y66" s="1797"/>
      <c r="Z66" s="2440"/>
      <c r="AA66" s="1797"/>
      <c r="AB66" s="1797"/>
      <c r="AC66" s="1797"/>
      <c r="AD66" s="1797"/>
      <c r="AE66" s="2440"/>
      <c r="AF66" s="1797"/>
      <c r="AG66" s="1797"/>
      <c r="AH66" s="1797"/>
      <c r="AI66" s="1797"/>
      <c r="AJ66" s="719"/>
      <c r="AK66" s="719"/>
      <c r="AL66" s="719"/>
      <c r="AM66" s="719"/>
      <c r="AN66" s="719"/>
      <c r="AO66" s="719"/>
      <c r="AP66" s="719"/>
      <c r="AQ66" s="719"/>
      <c r="AR66" s="719"/>
      <c r="AS66" s="719"/>
      <c r="AT66" s="719"/>
      <c r="AU66" s="719"/>
      <c r="AV66" s="719"/>
      <c r="AW66" s="719"/>
      <c r="AX66" s="719"/>
      <c r="AY66" s="719"/>
      <c r="AZ66" s="719"/>
      <c r="BA66" s="719"/>
      <c r="BB66" s="719"/>
      <c r="BC66" s="719"/>
      <c r="BD66" s="719"/>
      <c r="BE66" s="719"/>
      <c r="BF66" s="719"/>
      <c r="BG66" s="719"/>
      <c r="BH66" s="719"/>
      <c r="BI66" s="719"/>
      <c r="BJ66" s="719"/>
      <c r="BK66" s="719"/>
      <c r="BL66" s="719"/>
      <c r="BM66" s="719"/>
      <c r="BN66" s="719"/>
      <c r="BO66" s="719"/>
      <c r="BP66" s="719"/>
      <c r="BQ66" s="719"/>
      <c r="BR66" s="719"/>
    </row>
    <row r="67" spans="1:90" ht="23.1" hidden="1" customHeight="1" x14ac:dyDescent="0.25">
      <c r="A67" s="2440"/>
      <c r="B67" s="32"/>
      <c r="C67" s="33"/>
      <c r="D67" s="34"/>
      <c r="E67" s="35"/>
      <c r="F67" s="2440"/>
      <c r="G67" s="32"/>
      <c r="H67" s="33"/>
      <c r="I67" s="34"/>
      <c r="J67" s="35"/>
      <c r="K67" s="2440"/>
      <c r="L67" s="32"/>
      <c r="M67" s="33"/>
      <c r="N67" s="34"/>
      <c r="O67" s="35"/>
      <c r="P67" s="2440"/>
      <c r="Q67" s="32"/>
      <c r="R67" s="33"/>
      <c r="S67" s="34"/>
      <c r="T67" s="35"/>
      <c r="U67" s="2440"/>
      <c r="V67" s="32"/>
      <c r="W67" s="33"/>
      <c r="X67" s="34"/>
      <c r="Y67" s="35"/>
      <c r="Z67" s="2440"/>
      <c r="AA67" s="32"/>
      <c r="AB67" s="33"/>
      <c r="AC67" s="34"/>
      <c r="AD67" s="35"/>
      <c r="AE67" s="2440"/>
      <c r="AF67" s="32"/>
      <c r="AG67" s="33"/>
      <c r="AH67" s="34"/>
      <c r="AI67" s="35"/>
      <c r="AJ67" s="719"/>
      <c r="AK67" s="719"/>
      <c r="AL67" s="719"/>
      <c r="AM67" s="719"/>
      <c r="AN67" s="719"/>
      <c r="AO67" s="719"/>
      <c r="AP67" s="719"/>
      <c r="AQ67" s="719"/>
      <c r="AR67" s="719"/>
      <c r="AS67" s="719"/>
      <c r="AT67" s="719"/>
      <c r="AU67" s="719"/>
      <c r="AV67" s="719"/>
      <c r="AW67" s="719"/>
      <c r="AX67" s="719"/>
      <c r="AY67" s="719"/>
      <c r="AZ67" s="719"/>
      <c r="BA67" s="719"/>
      <c r="BB67" s="719"/>
      <c r="BC67" s="719"/>
      <c r="BD67" s="719"/>
      <c r="BE67" s="719"/>
      <c r="BF67" s="719"/>
      <c r="BG67" s="719"/>
      <c r="BH67" s="719"/>
      <c r="BI67" s="719"/>
      <c r="BJ67" s="719"/>
      <c r="BK67" s="719"/>
      <c r="BL67" s="719"/>
      <c r="BM67" s="719"/>
      <c r="BN67" s="719"/>
      <c r="BO67" s="719"/>
      <c r="BP67" s="719"/>
      <c r="BQ67" s="719"/>
      <c r="BR67" s="719"/>
      <c r="BS67" s="50"/>
      <c r="BT67" s="50"/>
      <c r="BW67" s="51"/>
      <c r="BX67" s="51"/>
      <c r="BY67" s="51"/>
      <c r="BZ67" s="51"/>
      <c r="CA67" s="51"/>
      <c r="CB67" s="51"/>
      <c r="CC67" s="27"/>
      <c r="CD67" s="27"/>
      <c r="CE67" s="27"/>
      <c r="CG67" s="27"/>
      <c r="CH67" s="27"/>
      <c r="CI67" s="27"/>
      <c r="CJ67" s="27"/>
      <c r="CK67" s="27"/>
      <c r="CL67" s="27"/>
    </row>
    <row r="68" spans="1:90" ht="18.600000000000001" hidden="1" customHeight="1" x14ac:dyDescent="0.25">
      <c r="A68" s="719"/>
      <c r="B68" s="719"/>
      <c r="C68" s="1300"/>
      <c r="D68" s="1300"/>
      <c r="E68" s="1300"/>
      <c r="F68" s="719"/>
      <c r="G68" s="719"/>
      <c r="H68" s="1300"/>
      <c r="I68" s="1300"/>
      <c r="J68" s="1300"/>
      <c r="K68" s="719"/>
      <c r="L68" s="719"/>
      <c r="M68" s="1300"/>
      <c r="N68" s="1300"/>
      <c r="O68" s="1300"/>
      <c r="P68" s="719"/>
      <c r="Q68" s="719"/>
      <c r="R68" s="1300"/>
      <c r="S68" s="1300"/>
      <c r="T68" s="1300"/>
      <c r="U68" s="719"/>
      <c r="V68" s="719"/>
      <c r="W68" s="1300"/>
      <c r="X68" s="1300"/>
      <c r="Y68" s="1300"/>
      <c r="Z68" s="719"/>
      <c r="AA68" s="719"/>
      <c r="AB68" s="1300"/>
      <c r="AC68" s="1300"/>
      <c r="AD68" s="1300"/>
      <c r="AE68" s="719"/>
      <c r="AF68" s="719"/>
      <c r="AG68" s="1300"/>
      <c r="AH68" s="1300"/>
      <c r="AI68" s="1300"/>
      <c r="AJ68" s="719"/>
      <c r="AK68" s="719"/>
      <c r="AL68" s="719"/>
      <c r="AM68" s="719"/>
      <c r="AN68" s="719"/>
      <c r="AO68" s="719"/>
      <c r="AP68" s="719"/>
      <c r="AQ68" s="719"/>
      <c r="AR68" s="719"/>
      <c r="AS68" s="719"/>
      <c r="AT68" s="719"/>
      <c r="AU68" s="719"/>
      <c r="AV68" s="719"/>
      <c r="AW68" s="719"/>
      <c r="AX68" s="719"/>
      <c r="AY68" s="719"/>
      <c r="AZ68" s="719"/>
      <c r="BA68" s="719"/>
      <c r="BB68" s="719"/>
      <c r="BC68" s="719"/>
      <c r="BD68" s="719"/>
      <c r="BE68" s="719"/>
      <c r="BF68" s="719"/>
      <c r="BG68" s="719"/>
      <c r="BH68" s="719"/>
      <c r="BI68" s="719"/>
      <c r="BJ68" s="719"/>
      <c r="BK68" s="719"/>
      <c r="BL68" s="719"/>
      <c r="BM68" s="719"/>
      <c r="BN68" s="719"/>
      <c r="BO68" s="719"/>
      <c r="BP68" s="719"/>
      <c r="BQ68" s="719"/>
      <c r="BR68" s="719"/>
      <c r="BS68" s="50"/>
      <c r="BT68" s="50"/>
      <c r="BW68" s="27"/>
      <c r="BX68" s="27"/>
      <c r="BY68" s="27"/>
      <c r="BZ68" s="27"/>
      <c r="CA68" s="27"/>
      <c r="CB68" s="27"/>
      <c r="CC68" s="27"/>
      <c r="CD68" s="27"/>
      <c r="CE68" s="27"/>
      <c r="CG68" s="27"/>
      <c r="CH68" s="27"/>
      <c r="CI68" s="27"/>
      <c r="CJ68" s="27"/>
      <c r="CK68" s="27"/>
      <c r="CL68" s="27"/>
    </row>
    <row r="69" spans="1:90" ht="18.600000000000001" hidden="1" customHeight="1" x14ac:dyDescent="0.25">
      <c r="A69" s="719"/>
      <c r="B69" s="719"/>
      <c r="C69" s="1300"/>
      <c r="D69" s="1300"/>
      <c r="E69" s="1300"/>
      <c r="F69" s="719"/>
      <c r="G69" s="719"/>
      <c r="H69" s="1300"/>
      <c r="I69" s="1300"/>
      <c r="J69" s="1300"/>
      <c r="K69" s="719"/>
      <c r="L69" s="719"/>
      <c r="M69" s="1300"/>
      <c r="N69" s="1300"/>
      <c r="O69" s="1300"/>
      <c r="P69" s="719"/>
      <c r="Q69" s="719"/>
      <c r="R69" s="1300"/>
      <c r="S69" s="1300"/>
      <c r="T69" s="1300"/>
      <c r="U69" s="719"/>
      <c r="V69" s="719"/>
      <c r="W69" s="1300"/>
      <c r="X69" s="1300"/>
      <c r="Y69" s="1300"/>
      <c r="Z69" s="719"/>
      <c r="AA69" s="719"/>
      <c r="AB69" s="1300"/>
      <c r="AC69" s="1300"/>
      <c r="AD69" s="1300"/>
      <c r="AE69" s="719"/>
      <c r="AF69" s="719"/>
      <c r="AG69" s="1300"/>
      <c r="AH69" s="1300"/>
      <c r="AI69" s="1300"/>
      <c r="AJ69" s="719"/>
      <c r="AK69" s="719"/>
      <c r="AL69" s="719"/>
      <c r="AM69" s="719"/>
      <c r="AN69" s="719"/>
      <c r="AO69" s="719"/>
      <c r="AP69" s="719"/>
      <c r="AQ69" s="719"/>
      <c r="AR69" s="719"/>
      <c r="AS69" s="719"/>
      <c r="AT69" s="719"/>
      <c r="AU69" s="719"/>
      <c r="AV69" s="719"/>
      <c r="AW69" s="719"/>
      <c r="AX69" s="719"/>
      <c r="AY69" s="719"/>
      <c r="AZ69" s="719"/>
      <c r="BA69" s="719"/>
      <c r="BB69" s="719"/>
      <c r="BC69" s="719"/>
      <c r="BD69" s="719"/>
      <c r="BE69" s="719"/>
      <c r="BF69" s="719"/>
      <c r="BG69" s="719"/>
      <c r="BH69" s="719"/>
      <c r="BI69" s="719"/>
      <c r="BJ69" s="719"/>
      <c r="BK69" s="719"/>
      <c r="BL69" s="719"/>
      <c r="BM69" s="719"/>
      <c r="BN69" s="719"/>
      <c r="BO69" s="719"/>
      <c r="BP69" s="719"/>
      <c r="BQ69" s="719"/>
      <c r="BR69" s="719"/>
      <c r="BS69" s="50"/>
      <c r="BT69" s="50"/>
      <c r="BW69" s="27"/>
      <c r="BX69" s="27"/>
      <c r="BY69" s="27"/>
      <c r="BZ69" s="27"/>
      <c r="CA69" s="27"/>
      <c r="CB69" s="27"/>
      <c r="CC69" s="27"/>
      <c r="CD69" s="27"/>
      <c r="CE69" s="27"/>
      <c r="CG69" s="27"/>
      <c r="CH69" s="27"/>
      <c r="CI69" s="27"/>
      <c r="CJ69" s="27"/>
      <c r="CK69" s="27"/>
      <c r="CL69" s="27"/>
    </row>
    <row r="70" spans="1:90" ht="9.9499999999999993" hidden="1" customHeight="1" x14ac:dyDescent="0.25">
      <c r="A70" s="719"/>
      <c r="B70" s="719"/>
      <c r="C70" s="719"/>
      <c r="D70" s="719"/>
      <c r="E70" s="719"/>
      <c r="F70" s="719"/>
      <c r="G70" s="719"/>
      <c r="H70" s="719"/>
      <c r="I70" s="719"/>
      <c r="J70" s="719"/>
      <c r="K70" s="719"/>
      <c r="L70" s="719"/>
      <c r="M70" s="719"/>
      <c r="N70" s="719"/>
      <c r="O70" s="719"/>
      <c r="P70" s="719"/>
      <c r="Q70" s="719"/>
      <c r="R70" s="719"/>
      <c r="S70" s="719"/>
      <c r="T70" s="719"/>
      <c r="U70" s="719"/>
      <c r="V70" s="719"/>
      <c r="W70" s="719"/>
      <c r="X70" s="719"/>
      <c r="Y70" s="719"/>
      <c r="Z70" s="719"/>
      <c r="AA70" s="719"/>
      <c r="AB70" s="719"/>
      <c r="AC70" s="719"/>
      <c r="AD70" s="719"/>
      <c r="AE70" s="719"/>
      <c r="AF70" s="719"/>
      <c r="AG70" s="719"/>
      <c r="AH70" s="719"/>
      <c r="AI70" s="719"/>
      <c r="AJ70" s="719"/>
      <c r="AK70" s="719"/>
      <c r="AL70" s="719"/>
      <c r="AM70" s="719"/>
      <c r="AN70" s="719"/>
      <c r="AO70" s="719"/>
      <c r="AP70" s="719"/>
      <c r="AQ70" s="719"/>
      <c r="AR70" s="719"/>
      <c r="AS70" s="719"/>
      <c r="AT70" s="719"/>
      <c r="AU70" s="719"/>
      <c r="AV70" s="719"/>
      <c r="AW70" s="719"/>
      <c r="AX70" s="719"/>
      <c r="AY70" s="719"/>
      <c r="AZ70" s="719"/>
      <c r="BA70" s="719"/>
      <c r="BB70" s="719"/>
      <c r="BC70" s="719"/>
      <c r="BD70" s="719"/>
      <c r="BE70" s="719"/>
      <c r="BF70" s="719"/>
      <c r="BG70" s="719"/>
      <c r="BH70" s="719"/>
      <c r="BI70" s="719"/>
      <c r="BJ70" s="719"/>
      <c r="BK70" s="719"/>
      <c r="BL70" s="719"/>
      <c r="BM70" s="719"/>
      <c r="BN70" s="719"/>
      <c r="BO70" s="719"/>
      <c r="BP70" s="719"/>
      <c r="BQ70" s="719"/>
      <c r="BR70" s="719"/>
      <c r="BS70" s="50"/>
      <c r="BT70" s="50"/>
      <c r="BW70" s="27"/>
      <c r="BX70" s="27"/>
      <c r="BY70" s="27"/>
      <c r="BZ70" s="27"/>
      <c r="CA70" s="27"/>
      <c r="CB70" s="27"/>
      <c r="CC70" s="27"/>
      <c r="CD70" s="27"/>
      <c r="CE70" s="27"/>
      <c r="CG70" s="27"/>
      <c r="CH70" s="27"/>
      <c r="CI70" s="27"/>
      <c r="CJ70" s="27"/>
      <c r="CK70" s="27"/>
      <c r="CL70" s="27"/>
    </row>
    <row r="71" spans="1:90" ht="9.9499999999999993" hidden="1" customHeight="1" x14ac:dyDescent="0.25">
      <c r="A71" s="719"/>
      <c r="B71" s="719"/>
      <c r="C71" s="719"/>
      <c r="D71" s="719"/>
      <c r="E71" s="719"/>
      <c r="F71" s="719"/>
      <c r="G71" s="719"/>
      <c r="H71" s="719"/>
      <c r="I71" s="719"/>
      <c r="J71" s="719"/>
      <c r="K71" s="719"/>
      <c r="L71" s="719"/>
      <c r="M71" s="719"/>
      <c r="N71" s="719"/>
      <c r="O71" s="719"/>
      <c r="P71" s="719"/>
      <c r="Q71" s="719"/>
      <c r="R71" s="719"/>
      <c r="S71" s="719"/>
      <c r="T71" s="719"/>
      <c r="U71" s="719"/>
      <c r="V71" s="719"/>
      <c r="W71" s="719"/>
      <c r="X71" s="719"/>
      <c r="Y71" s="719"/>
      <c r="Z71" s="719"/>
      <c r="AA71" s="719"/>
      <c r="AB71" s="719"/>
      <c r="AC71" s="719"/>
      <c r="AD71" s="719"/>
      <c r="AE71" s="719"/>
      <c r="AF71" s="719"/>
      <c r="AG71" s="719"/>
      <c r="AH71" s="719"/>
      <c r="AI71" s="719"/>
      <c r="AJ71" s="719"/>
      <c r="AK71" s="719"/>
      <c r="AL71" s="719"/>
      <c r="AM71" s="719"/>
      <c r="AN71" s="719"/>
      <c r="AO71" s="719"/>
      <c r="AP71" s="719"/>
      <c r="AQ71" s="719"/>
      <c r="AR71" s="719"/>
      <c r="AS71" s="719"/>
      <c r="AT71" s="719"/>
      <c r="AU71" s="719"/>
      <c r="AV71" s="719"/>
      <c r="AW71" s="719"/>
      <c r="AX71" s="719"/>
      <c r="AY71" s="719"/>
      <c r="AZ71" s="719"/>
      <c r="BA71" s="719"/>
      <c r="BB71" s="719"/>
      <c r="BC71" s="719"/>
      <c r="BD71" s="719"/>
      <c r="BE71" s="719"/>
      <c r="BF71" s="719"/>
      <c r="BG71" s="719"/>
      <c r="BH71" s="719"/>
      <c r="BI71" s="719"/>
      <c r="BJ71" s="719"/>
      <c r="BK71" s="719"/>
      <c r="BL71" s="719"/>
      <c r="BM71" s="719"/>
      <c r="BN71" s="719"/>
      <c r="BO71" s="719"/>
      <c r="BP71" s="719"/>
      <c r="BQ71" s="719"/>
      <c r="BR71" s="719"/>
      <c r="BS71" s="53"/>
      <c r="BT71" s="53"/>
    </row>
    <row r="72" spans="1:90" ht="84.95" hidden="1" customHeight="1" x14ac:dyDescent="0.25">
      <c r="A72" s="2440"/>
      <c r="B72" s="1797"/>
      <c r="C72" s="1797"/>
      <c r="D72" s="1797"/>
      <c r="E72" s="1797"/>
      <c r="F72" s="2440"/>
      <c r="G72" s="1797"/>
      <c r="H72" s="1797"/>
      <c r="I72" s="1797"/>
      <c r="J72" s="1797"/>
      <c r="K72" s="2440"/>
      <c r="L72" s="1797"/>
      <c r="M72" s="1797"/>
      <c r="N72" s="1797"/>
      <c r="O72" s="1797"/>
      <c r="P72" s="2440"/>
      <c r="Q72" s="1797"/>
      <c r="R72" s="1797"/>
      <c r="S72" s="1797"/>
      <c r="T72" s="1797"/>
      <c r="U72" s="2440"/>
      <c r="V72" s="1797"/>
      <c r="W72" s="1797"/>
      <c r="X72" s="1797"/>
      <c r="Y72" s="1797"/>
      <c r="Z72" s="2440"/>
      <c r="AA72" s="1797"/>
      <c r="AB72" s="1797"/>
      <c r="AC72" s="1797"/>
      <c r="AD72" s="1797"/>
      <c r="AE72" s="2440"/>
      <c r="AF72" s="1797"/>
      <c r="AG72" s="1797"/>
      <c r="AH72" s="1797"/>
      <c r="AI72" s="1797"/>
      <c r="AJ72" s="719"/>
      <c r="AK72" s="719"/>
      <c r="AL72" s="719"/>
      <c r="AM72" s="719"/>
      <c r="AN72" s="719"/>
      <c r="AO72" s="719"/>
      <c r="AP72" s="719"/>
      <c r="AQ72" s="719"/>
      <c r="AR72" s="719"/>
      <c r="AS72" s="719"/>
      <c r="AT72" s="719"/>
      <c r="AU72" s="719"/>
      <c r="AV72" s="719"/>
      <c r="AW72" s="719"/>
      <c r="AX72" s="719"/>
      <c r="AY72" s="719"/>
      <c r="AZ72" s="719"/>
      <c r="BA72" s="719"/>
      <c r="BB72" s="719"/>
      <c r="BC72" s="719"/>
      <c r="BD72" s="719"/>
      <c r="BE72" s="719"/>
      <c r="BF72" s="719"/>
      <c r="BG72" s="719"/>
      <c r="BH72" s="719"/>
      <c r="BI72" s="719"/>
      <c r="BJ72" s="719"/>
      <c r="BK72" s="719"/>
      <c r="BL72" s="719"/>
      <c r="BM72" s="719"/>
      <c r="BN72" s="719"/>
      <c r="BO72" s="719"/>
      <c r="BP72" s="719"/>
      <c r="BQ72" s="719"/>
      <c r="BR72" s="719"/>
      <c r="BS72" s="53"/>
      <c r="BT72" s="53"/>
    </row>
    <row r="73" spans="1:90" ht="23.1" hidden="1" customHeight="1" x14ac:dyDescent="0.25">
      <c r="A73" s="2440"/>
      <c r="B73" s="32"/>
      <c r="C73" s="33"/>
      <c r="D73" s="34"/>
      <c r="E73" s="35"/>
      <c r="F73" s="2440"/>
      <c r="G73" s="32"/>
      <c r="H73" s="33"/>
      <c r="I73" s="34"/>
      <c r="J73" s="35"/>
      <c r="K73" s="2440"/>
      <c r="L73" s="32"/>
      <c r="M73" s="33"/>
      <c r="N73" s="34"/>
      <c r="O73" s="35"/>
      <c r="P73" s="2440"/>
      <c r="Q73" s="32"/>
      <c r="R73" s="33"/>
      <c r="S73" s="34"/>
      <c r="T73" s="35"/>
      <c r="U73" s="2440"/>
      <c r="V73" s="32"/>
      <c r="W73" s="33"/>
      <c r="X73" s="34"/>
      <c r="Y73" s="35"/>
      <c r="Z73" s="2440"/>
      <c r="AA73" s="32"/>
      <c r="AB73" s="33"/>
      <c r="AC73" s="34"/>
      <c r="AD73" s="35"/>
      <c r="AE73" s="2440"/>
      <c r="AF73" s="32"/>
      <c r="AG73" s="33"/>
      <c r="AH73" s="34"/>
      <c r="AI73" s="35"/>
      <c r="AJ73" s="719"/>
      <c r="AK73" s="719"/>
      <c r="AL73" s="719"/>
      <c r="AM73" s="719"/>
      <c r="AN73" s="719"/>
      <c r="AO73" s="719"/>
      <c r="AP73" s="719"/>
      <c r="AQ73" s="719"/>
      <c r="AR73" s="719"/>
      <c r="AS73" s="719"/>
      <c r="AT73" s="719"/>
      <c r="AU73" s="719"/>
      <c r="AV73" s="719"/>
      <c r="AW73" s="719"/>
      <c r="AX73" s="719"/>
      <c r="AY73" s="719"/>
      <c r="AZ73" s="719"/>
      <c r="BA73" s="719"/>
      <c r="BB73" s="719"/>
      <c r="BC73" s="719"/>
      <c r="BD73" s="719"/>
      <c r="BE73" s="719"/>
      <c r="BF73" s="719"/>
      <c r="BG73" s="719"/>
      <c r="BH73" s="719"/>
      <c r="BI73" s="719"/>
      <c r="BJ73" s="719"/>
      <c r="BK73" s="719"/>
      <c r="BL73" s="719"/>
      <c r="BM73" s="719"/>
      <c r="BN73" s="719"/>
      <c r="BO73" s="719"/>
      <c r="BP73" s="719"/>
      <c r="BQ73" s="719"/>
      <c r="BR73" s="719"/>
    </row>
    <row r="74" spans="1:90" ht="18.600000000000001" hidden="1" customHeight="1" x14ac:dyDescent="0.25">
      <c r="A74" s="719"/>
      <c r="B74" s="719"/>
      <c r="C74" s="1300"/>
      <c r="D74" s="1300"/>
      <c r="E74" s="1300"/>
      <c r="F74" s="719"/>
      <c r="G74" s="719"/>
      <c r="H74" s="1300"/>
      <c r="I74" s="1300"/>
      <c r="J74" s="1300"/>
      <c r="K74" s="719"/>
      <c r="L74" s="719"/>
      <c r="M74" s="1300"/>
      <c r="N74" s="1300"/>
      <c r="O74" s="1300"/>
      <c r="P74" s="719"/>
      <c r="Q74" s="719"/>
      <c r="R74" s="1300"/>
      <c r="S74" s="1300"/>
      <c r="T74" s="1300"/>
      <c r="U74" s="719"/>
      <c r="V74" s="719"/>
      <c r="W74" s="1300"/>
      <c r="X74" s="1300"/>
      <c r="Y74" s="1300"/>
      <c r="Z74" s="719"/>
      <c r="AA74" s="719"/>
      <c r="AB74" s="1300"/>
      <c r="AC74" s="1300"/>
      <c r="AD74" s="1300"/>
      <c r="AE74" s="719"/>
      <c r="AF74" s="719"/>
      <c r="AG74" s="1300"/>
      <c r="AH74" s="1300"/>
      <c r="AI74" s="1300"/>
      <c r="AJ74" s="719"/>
      <c r="AK74" s="719"/>
      <c r="AL74" s="719"/>
      <c r="AM74" s="719"/>
      <c r="AN74" s="719"/>
      <c r="AO74" s="719"/>
      <c r="AP74" s="719"/>
      <c r="AQ74" s="719"/>
      <c r="AR74" s="719"/>
      <c r="AS74" s="719"/>
      <c r="AT74" s="719"/>
      <c r="AU74" s="719"/>
      <c r="AV74" s="719"/>
      <c r="AW74" s="719"/>
      <c r="AX74" s="719"/>
      <c r="AY74" s="719"/>
      <c r="AZ74" s="719"/>
      <c r="BA74" s="719"/>
      <c r="BB74" s="719"/>
      <c r="BC74" s="719"/>
      <c r="BD74" s="719"/>
      <c r="BE74" s="719"/>
      <c r="BF74" s="719"/>
      <c r="BG74" s="719"/>
      <c r="BH74" s="719"/>
      <c r="BI74" s="719"/>
      <c r="BJ74" s="719"/>
      <c r="BK74" s="719"/>
      <c r="BL74" s="719"/>
      <c r="BM74" s="719"/>
      <c r="BN74" s="719"/>
      <c r="BO74" s="719"/>
      <c r="BP74" s="719"/>
      <c r="BQ74" s="719"/>
      <c r="BR74" s="719"/>
    </row>
    <row r="75" spans="1:90" ht="18.600000000000001" hidden="1" customHeight="1" x14ac:dyDescent="0.25">
      <c r="A75" s="719"/>
      <c r="B75" s="719"/>
      <c r="C75" s="1300"/>
      <c r="D75" s="1300"/>
      <c r="E75" s="1300"/>
      <c r="F75" s="719"/>
      <c r="G75" s="719"/>
      <c r="H75" s="1300"/>
      <c r="I75" s="1300"/>
      <c r="J75" s="1300"/>
      <c r="K75" s="719"/>
      <c r="L75" s="719"/>
      <c r="M75" s="1300"/>
      <c r="N75" s="1300"/>
      <c r="O75" s="1300"/>
      <c r="P75" s="719"/>
      <c r="Q75" s="719"/>
      <c r="R75" s="1300"/>
      <c r="S75" s="1300"/>
      <c r="T75" s="1300"/>
      <c r="U75" s="719"/>
      <c r="V75" s="719"/>
      <c r="W75" s="1300"/>
      <c r="X75" s="1300"/>
      <c r="Y75" s="1300"/>
      <c r="Z75" s="719"/>
      <c r="AA75" s="719"/>
      <c r="AB75" s="1300"/>
      <c r="AC75" s="1300"/>
      <c r="AD75" s="1300"/>
      <c r="AE75" s="719"/>
      <c r="AF75" s="719"/>
      <c r="AG75" s="1300"/>
      <c r="AH75" s="1300"/>
      <c r="AI75" s="1300"/>
      <c r="AJ75" s="719"/>
      <c r="AK75" s="719"/>
      <c r="AL75" s="719"/>
      <c r="AM75" s="719"/>
      <c r="AN75" s="719"/>
      <c r="AO75" s="719"/>
      <c r="AP75" s="719"/>
      <c r="AQ75" s="719"/>
      <c r="AR75" s="719"/>
      <c r="AS75" s="719"/>
      <c r="AT75" s="719"/>
      <c r="AU75" s="719"/>
      <c r="AV75" s="719"/>
      <c r="AW75" s="719"/>
      <c r="AX75" s="719"/>
      <c r="AY75" s="719"/>
      <c r="AZ75" s="719"/>
      <c r="BA75" s="719"/>
      <c r="BB75" s="719"/>
      <c r="BC75" s="719"/>
      <c r="BD75" s="719"/>
      <c r="BE75" s="719"/>
      <c r="BF75" s="719"/>
      <c r="BG75" s="719"/>
      <c r="BH75" s="719"/>
      <c r="BI75" s="719"/>
      <c r="BJ75" s="719"/>
      <c r="BK75" s="719"/>
      <c r="BL75" s="719"/>
      <c r="BM75" s="719"/>
      <c r="BN75" s="719"/>
      <c r="BO75" s="719"/>
      <c r="BP75" s="719"/>
      <c r="BQ75" s="719"/>
      <c r="BR75" s="719"/>
    </row>
    <row r="76" spans="1:90" ht="9.9499999999999993" hidden="1" customHeight="1" x14ac:dyDescent="0.25">
      <c r="A76" s="719"/>
      <c r="B76" s="719"/>
      <c r="C76" s="719"/>
      <c r="D76" s="719"/>
      <c r="E76" s="719"/>
      <c r="F76" s="719"/>
      <c r="G76" s="719"/>
      <c r="H76" s="719"/>
      <c r="I76" s="719"/>
      <c r="J76" s="719"/>
      <c r="K76" s="719"/>
      <c r="L76" s="719"/>
      <c r="M76" s="719"/>
      <c r="N76" s="719"/>
      <c r="O76" s="719"/>
      <c r="P76" s="719"/>
      <c r="Q76" s="719"/>
      <c r="R76" s="719"/>
      <c r="S76" s="719"/>
      <c r="T76" s="719"/>
      <c r="U76" s="719"/>
      <c r="V76" s="719"/>
      <c r="W76" s="719"/>
      <c r="X76" s="719"/>
      <c r="Y76" s="719"/>
      <c r="Z76" s="719"/>
      <c r="AA76" s="719"/>
      <c r="AB76" s="719"/>
      <c r="AC76" s="719"/>
      <c r="AD76" s="719"/>
      <c r="AE76" s="719"/>
      <c r="AF76" s="719"/>
      <c r="AG76" s="719"/>
      <c r="AH76" s="719"/>
      <c r="AI76" s="719"/>
      <c r="AJ76" s="719"/>
      <c r="AK76" s="719"/>
      <c r="AL76" s="719"/>
      <c r="AM76" s="719"/>
      <c r="AN76" s="719"/>
      <c r="AO76" s="719"/>
      <c r="AP76" s="719"/>
      <c r="AQ76" s="719"/>
      <c r="AR76" s="719"/>
      <c r="AS76" s="719"/>
      <c r="AT76" s="719"/>
      <c r="AU76" s="719"/>
      <c r="AV76" s="719"/>
      <c r="AW76" s="719"/>
      <c r="AX76" s="719"/>
      <c r="AY76" s="719"/>
      <c r="AZ76" s="719"/>
      <c r="BA76" s="719"/>
      <c r="BB76" s="719"/>
      <c r="BC76" s="719"/>
      <c r="BD76" s="719"/>
      <c r="BE76" s="719"/>
      <c r="BF76" s="719"/>
      <c r="BG76" s="719"/>
      <c r="BH76" s="719"/>
      <c r="BI76" s="719"/>
      <c r="BJ76" s="719"/>
      <c r="BK76" s="719"/>
      <c r="BL76" s="719"/>
      <c r="BM76" s="719"/>
      <c r="BN76" s="719"/>
      <c r="BO76" s="719"/>
      <c r="BP76" s="719"/>
      <c r="BQ76" s="719"/>
      <c r="BR76" s="719"/>
    </row>
    <row r="77" spans="1:90" ht="9.9499999999999993" hidden="1" customHeight="1" x14ac:dyDescent="0.25">
      <c r="A77" s="719"/>
      <c r="B77" s="719"/>
      <c r="C77" s="719"/>
      <c r="D77" s="719"/>
      <c r="E77" s="719"/>
      <c r="F77" s="719"/>
      <c r="G77" s="719"/>
      <c r="H77" s="719"/>
      <c r="I77" s="719"/>
      <c r="J77" s="719"/>
      <c r="K77" s="719"/>
      <c r="L77" s="719"/>
      <c r="M77" s="719"/>
      <c r="N77" s="719"/>
      <c r="O77" s="719"/>
      <c r="P77" s="719"/>
      <c r="Q77" s="719"/>
      <c r="R77" s="719"/>
      <c r="S77" s="719"/>
      <c r="T77" s="719"/>
      <c r="U77" s="719"/>
      <c r="V77" s="719"/>
      <c r="W77" s="719"/>
      <c r="X77" s="719"/>
      <c r="Y77" s="719"/>
      <c r="Z77" s="719"/>
      <c r="AA77" s="719"/>
      <c r="AB77" s="719"/>
      <c r="AC77" s="719"/>
      <c r="AD77" s="719"/>
      <c r="AE77" s="719"/>
      <c r="AF77" s="719"/>
      <c r="AG77" s="719"/>
      <c r="AH77" s="719"/>
      <c r="AI77" s="719"/>
      <c r="AJ77" s="719"/>
      <c r="AK77" s="719"/>
      <c r="AL77" s="719"/>
      <c r="AM77" s="719"/>
      <c r="AN77" s="719"/>
      <c r="AO77" s="719"/>
      <c r="AP77" s="719"/>
      <c r="AQ77" s="719"/>
      <c r="AR77" s="719"/>
      <c r="AS77" s="719"/>
      <c r="AT77" s="719"/>
      <c r="AU77" s="719"/>
      <c r="AV77" s="719"/>
      <c r="AW77" s="719"/>
      <c r="AX77" s="719"/>
      <c r="AY77" s="719"/>
      <c r="AZ77" s="719"/>
      <c r="BA77" s="719"/>
      <c r="BB77" s="719"/>
      <c r="BC77" s="719"/>
      <c r="BD77" s="719"/>
      <c r="BE77" s="719"/>
      <c r="BF77" s="719"/>
      <c r="BG77" s="719"/>
      <c r="BH77" s="719"/>
      <c r="BI77" s="719"/>
      <c r="BJ77" s="719"/>
      <c r="BK77" s="719"/>
      <c r="BL77" s="719"/>
      <c r="BM77" s="719"/>
      <c r="BN77" s="719"/>
      <c r="BO77" s="719"/>
      <c r="BP77" s="719"/>
      <c r="BQ77" s="719"/>
      <c r="BR77" s="719"/>
    </row>
    <row r="78" spans="1:90" ht="84.95" hidden="1" customHeight="1" x14ac:dyDescent="0.25">
      <c r="A78" s="2440"/>
      <c r="B78" s="1797"/>
      <c r="C78" s="1797"/>
      <c r="D78" s="1797"/>
      <c r="E78" s="1797"/>
      <c r="F78" s="2440"/>
      <c r="G78" s="1797"/>
      <c r="H78" s="1797"/>
      <c r="I78" s="1797"/>
      <c r="J78" s="1797"/>
      <c r="K78" s="2440"/>
      <c r="L78" s="1797"/>
      <c r="M78" s="1797"/>
      <c r="N78" s="1797"/>
      <c r="O78" s="1797"/>
      <c r="P78" s="2440"/>
      <c r="Q78" s="1797"/>
      <c r="R78" s="1797"/>
      <c r="S78" s="1797"/>
      <c r="T78" s="1797"/>
      <c r="U78" s="2440"/>
      <c r="V78" s="1797"/>
      <c r="W78" s="1797"/>
      <c r="X78" s="1797"/>
      <c r="Y78" s="1797"/>
      <c r="Z78" s="2440"/>
      <c r="AA78" s="1797"/>
      <c r="AB78" s="1797"/>
      <c r="AC78" s="1797"/>
      <c r="AD78" s="1797"/>
      <c r="AE78" s="2440"/>
      <c r="AF78" s="1797"/>
      <c r="AG78" s="1797"/>
      <c r="AH78" s="1797"/>
      <c r="AI78" s="1797"/>
      <c r="AJ78" s="719"/>
      <c r="AK78" s="719"/>
      <c r="AL78" s="719"/>
      <c r="AM78" s="719"/>
      <c r="AN78" s="719"/>
      <c r="AO78" s="719"/>
      <c r="AP78" s="719"/>
      <c r="AQ78" s="719"/>
      <c r="AR78" s="719"/>
      <c r="AS78" s="719"/>
      <c r="AT78" s="719"/>
      <c r="AU78" s="719"/>
      <c r="AV78" s="719"/>
      <c r="AW78" s="719"/>
      <c r="AX78" s="719"/>
      <c r="AY78" s="719"/>
      <c r="AZ78" s="719"/>
      <c r="BA78" s="719"/>
      <c r="BB78" s="719"/>
      <c r="BC78" s="719"/>
      <c r="BD78" s="719"/>
      <c r="BE78" s="719"/>
      <c r="BF78" s="719"/>
      <c r="BG78" s="719"/>
      <c r="BH78" s="719"/>
      <c r="BI78" s="719"/>
      <c r="BJ78" s="719"/>
      <c r="BK78" s="719"/>
      <c r="BL78" s="719"/>
      <c r="BM78" s="719"/>
      <c r="BN78" s="719"/>
      <c r="BO78" s="719"/>
      <c r="BP78" s="719"/>
      <c r="BQ78" s="719"/>
      <c r="BR78" s="719"/>
    </row>
    <row r="79" spans="1:90" ht="23.1" hidden="1" customHeight="1" x14ac:dyDescent="0.25">
      <c r="A79" s="2440"/>
      <c r="B79" s="32"/>
      <c r="C79" s="33"/>
      <c r="D79" s="34"/>
      <c r="E79" s="35"/>
      <c r="F79" s="2440"/>
      <c r="G79" s="32"/>
      <c r="H79" s="33"/>
      <c r="I79" s="34"/>
      <c r="J79" s="35"/>
      <c r="K79" s="2440"/>
      <c r="L79" s="32"/>
      <c r="M79" s="33"/>
      <c r="N79" s="34"/>
      <c r="O79" s="35"/>
      <c r="P79" s="2440"/>
      <c r="Q79" s="32"/>
      <c r="R79" s="33"/>
      <c r="S79" s="34"/>
      <c r="T79" s="35"/>
      <c r="U79" s="2440"/>
      <c r="V79" s="32"/>
      <c r="W79" s="33"/>
      <c r="X79" s="34"/>
      <c r="Y79" s="35"/>
      <c r="Z79" s="2440"/>
      <c r="AA79" s="32"/>
      <c r="AB79" s="33"/>
      <c r="AC79" s="34"/>
      <c r="AD79" s="35"/>
      <c r="AE79" s="2440"/>
      <c r="AF79" s="32"/>
      <c r="AG79" s="33"/>
      <c r="AH79" s="34"/>
      <c r="AI79" s="35"/>
      <c r="AJ79" s="719"/>
      <c r="AK79" s="719"/>
      <c r="AL79" s="719"/>
      <c r="AM79" s="719"/>
      <c r="AN79" s="719"/>
      <c r="AO79" s="719"/>
      <c r="AP79" s="719"/>
      <c r="AQ79" s="719"/>
      <c r="AR79" s="719"/>
      <c r="AS79" s="719"/>
      <c r="AT79" s="719"/>
      <c r="AU79" s="719"/>
      <c r="AV79" s="719"/>
      <c r="AW79" s="719"/>
      <c r="AX79" s="719"/>
      <c r="AY79" s="719"/>
      <c r="AZ79" s="719"/>
      <c r="BA79" s="719"/>
      <c r="BB79" s="719"/>
      <c r="BC79" s="719"/>
      <c r="BD79" s="719"/>
      <c r="BE79" s="719"/>
      <c r="BF79" s="719"/>
      <c r="BG79" s="719"/>
      <c r="BH79" s="719"/>
      <c r="BI79" s="719"/>
      <c r="BJ79" s="719"/>
      <c r="BK79" s="719"/>
      <c r="BL79" s="719"/>
      <c r="BM79" s="719"/>
      <c r="BN79" s="719"/>
      <c r="BO79" s="719"/>
      <c r="BP79" s="719"/>
      <c r="BQ79" s="719"/>
      <c r="BR79" s="719"/>
    </row>
    <row r="80" spans="1:90" ht="18.600000000000001" hidden="1" customHeight="1" x14ac:dyDescent="0.25">
      <c r="A80" s="719"/>
      <c r="B80" s="719"/>
      <c r="C80" s="1300"/>
      <c r="D80" s="1300"/>
      <c r="E80" s="1300"/>
      <c r="F80" s="719"/>
      <c r="G80" s="719"/>
      <c r="H80" s="1300"/>
      <c r="I80" s="1300"/>
      <c r="J80" s="1300"/>
      <c r="K80" s="719"/>
      <c r="L80" s="719"/>
      <c r="M80" s="1300"/>
      <c r="N80" s="1300"/>
      <c r="O80" s="1300"/>
      <c r="P80" s="719"/>
      <c r="Q80" s="719"/>
      <c r="R80" s="1300"/>
      <c r="S80" s="1300"/>
      <c r="T80" s="1300"/>
      <c r="U80" s="719"/>
      <c r="V80" s="719"/>
      <c r="W80" s="1300"/>
      <c r="X80" s="1300"/>
      <c r="Y80" s="1300"/>
      <c r="Z80" s="719"/>
      <c r="AA80" s="719"/>
      <c r="AB80" s="1300"/>
      <c r="AC80" s="1300"/>
      <c r="AD80" s="1300"/>
      <c r="AE80" s="719"/>
      <c r="AF80" s="719"/>
      <c r="AG80" s="1300"/>
      <c r="AH80" s="1300"/>
      <c r="AI80" s="1300"/>
      <c r="AJ80" s="719"/>
      <c r="AK80" s="719"/>
      <c r="AL80" s="719"/>
      <c r="AM80" s="719"/>
      <c r="AN80" s="719"/>
      <c r="AO80" s="719"/>
      <c r="AP80" s="719"/>
      <c r="AQ80" s="719"/>
      <c r="AR80" s="719"/>
      <c r="AS80" s="719"/>
      <c r="AT80" s="719"/>
      <c r="AU80" s="719"/>
      <c r="AV80" s="719"/>
      <c r="AW80" s="719"/>
      <c r="AX80" s="719"/>
      <c r="AY80" s="719"/>
      <c r="AZ80" s="719"/>
      <c r="BA80" s="719"/>
      <c r="BB80" s="719"/>
      <c r="BC80" s="719"/>
      <c r="BD80" s="719"/>
      <c r="BE80" s="719"/>
      <c r="BF80" s="719"/>
      <c r="BG80" s="719"/>
      <c r="BH80" s="719"/>
      <c r="BI80" s="719"/>
      <c r="BJ80" s="719"/>
      <c r="BK80" s="719"/>
      <c r="BL80" s="719"/>
      <c r="BM80" s="719"/>
      <c r="BN80" s="719"/>
      <c r="BO80" s="719"/>
      <c r="BP80" s="719"/>
      <c r="BQ80" s="719"/>
      <c r="BR80" s="719"/>
    </row>
    <row r="81" spans="1:70" ht="18.600000000000001" hidden="1" customHeight="1" x14ac:dyDescent="0.25">
      <c r="A81" s="719"/>
      <c r="B81" s="719"/>
      <c r="C81" s="1300"/>
      <c r="D81" s="1300"/>
      <c r="E81" s="1300"/>
      <c r="F81" s="719"/>
      <c r="G81" s="719"/>
      <c r="H81" s="1300"/>
      <c r="I81" s="1300"/>
      <c r="J81" s="1300"/>
      <c r="K81" s="719"/>
      <c r="L81" s="719"/>
      <c r="M81" s="1300"/>
      <c r="N81" s="1300"/>
      <c r="O81" s="1300"/>
      <c r="P81" s="719"/>
      <c r="Q81" s="719"/>
      <c r="R81" s="1300"/>
      <c r="S81" s="1300"/>
      <c r="T81" s="1300"/>
      <c r="U81" s="719"/>
      <c r="V81" s="719"/>
      <c r="W81" s="1300"/>
      <c r="X81" s="1300"/>
      <c r="Y81" s="1300"/>
      <c r="Z81" s="719"/>
      <c r="AA81" s="719"/>
      <c r="AB81" s="1300"/>
      <c r="AC81" s="1300"/>
      <c r="AD81" s="1300"/>
      <c r="AE81" s="719"/>
      <c r="AF81" s="719"/>
      <c r="AG81" s="1300"/>
      <c r="AH81" s="1300"/>
      <c r="AI81" s="1300"/>
      <c r="AJ81" s="719"/>
      <c r="AK81" s="719"/>
      <c r="AL81" s="719"/>
      <c r="AM81" s="719"/>
      <c r="AN81" s="719"/>
      <c r="AO81" s="719"/>
      <c r="AP81" s="719"/>
      <c r="AQ81" s="719"/>
      <c r="AR81" s="719"/>
      <c r="AS81" s="719"/>
      <c r="AT81" s="719"/>
      <c r="AU81" s="719"/>
      <c r="AV81" s="719"/>
      <c r="AW81" s="719"/>
      <c r="AX81" s="719"/>
      <c r="AY81" s="719"/>
      <c r="AZ81" s="719"/>
      <c r="BA81" s="719"/>
      <c r="BB81" s="719"/>
      <c r="BC81" s="719"/>
      <c r="BD81" s="719"/>
      <c r="BE81" s="719"/>
      <c r="BF81" s="719"/>
      <c r="BG81" s="719"/>
      <c r="BH81" s="719"/>
      <c r="BI81" s="719"/>
      <c r="BJ81" s="719"/>
      <c r="BK81" s="719"/>
      <c r="BL81" s="719"/>
      <c r="BM81" s="719"/>
      <c r="BN81" s="719"/>
      <c r="BO81" s="719"/>
      <c r="BP81" s="719"/>
      <c r="BQ81" s="719"/>
      <c r="BR81" s="719"/>
    </row>
    <row r="82" spans="1:70" ht="9.9499999999999993" hidden="1" customHeight="1" x14ac:dyDescent="0.25">
      <c r="A82" s="719"/>
      <c r="B82" s="719"/>
      <c r="C82" s="719"/>
      <c r="D82" s="719"/>
      <c r="E82" s="719"/>
      <c r="F82" s="719"/>
      <c r="G82" s="719"/>
      <c r="H82" s="719"/>
      <c r="I82" s="719"/>
      <c r="J82" s="719"/>
      <c r="K82" s="719"/>
      <c r="L82" s="719"/>
      <c r="M82" s="719"/>
      <c r="N82" s="719"/>
      <c r="O82" s="719"/>
      <c r="P82" s="719"/>
      <c r="Q82" s="719"/>
      <c r="R82" s="719"/>
      <c r="S82" s="719"/>
      <c r="T82" s="719"/>
      <c r="U82" s="719"/>
      <c r="V82" s="719"/>
      <c r="W82" s="719"/>
      <c r="X82" s="719"/>
      <c r="Y82" s="719"/>
      <c r="Z82" s="719"/>
      <c r="AA82" s="719"/>
      <c r="AB82" s="719"/>
      <c r="AC82" s="719"/>
      <c r="AD82" s="719"/>
      <c r="AE82" s="719"/>
      <c r="AF82" s="719"/>
      <c r="AG82" s="719"/>
      <c r="AH82" s="719"/>
      <c r="AI82" s="719"/>
      <c r="AJ82" s="719"/>
      <c r="AK82" s="719"/>
      <c r="AL82" s="719"/>
      <c r="AM82" s="719"/>
      <c r="AN82" s="719"/>
      <c r="AO82" s="719"/>
      <c r="AP82" s="719"/>
      <c r="AQ82" s="719"/>
      <c r="AR82" s="719"/>
      <c r="AS82" s="719"/>
      <c r="AT82" s="719"/>
      <c r="AU82" s="719"/>
      <c r="AV82" s="719"/>
      <c r="AW82" s="719"/>
      <c r="AX82" s="719"/>
      <c r="AY82" s="719"/>
      <c r="AZ82" s="719"/>
      <c r="BA82" s="719"/>
      <c r="BB82" s="719"/>
      <c r="BC82" s="719"/>
      <c r="BD82" s="719"/>
      <c r="BE82" s="719"/>
      <c r="BF82" s="719"/>
      <c r="BG82" s="719"/>
      <c r="BH82" s="719"/>
      <c r="BI82" s="719"/>
      <c r="BJ82" s="719"/>
      <c r="BK82" s="719"/>
      <c r="BL82" s="719"/>
      <c r="BM82" s="719"/>
      <c r="BN82" s="719"/>
      <c r="BO82" s="719"/>
      <c r="BP82" s="719"/>
      <c r="BQ82" s="719"/>
      <c r="BR82" s="719"/>
    </row>
    <row r="83" spans="1:70" ht="9.9499999999999993" hidden="1" customHeight="1" x14ac:dyDescent="0.25">
      <c r="A83" s="719"/>
      <c r="B83" s="719"/>
      <c r="C83" s="719"/>
      <c r="D83" s="719"/>
      <c r="E83" s="719"/>
      <c r="F83" s="719"/>
      <c r="G83" s="719"/>
      <c r="H83" s="719"/>
      <c r="I83" s="719"/>
      <c r="J83" s="719"/>
      <c r="K83" s="719"/>
      <c r="L83" s="719"/>
      <c r="M83" s="719"/>
      <c r="N83" s="719"/>
      <c r="O83" s="719"/>
      <c r="P83" s="719"/>
      <c r="Q83" s="719"/>
      <c r="R83" s="719"/>
      <c r="S83" s="719"/>
      <c r="T83" s="719"/>
      <c r="U83" s="719"/>
      <c r="V83" s="719"/>
      <c r="W83" s="719"/>
      <c r="X83" s="719"/>
      <c r="Y83" s="719"/>
      <c r="Z83" s="719"/>
      <c r="AA83" s="719"/>
      <c r="AB83" s="719"/>
      <c r="AC83" s="719"/>
      <c r="AD83" s="719"/>
      <c r="AE83" s="719"/>
      <c r="AF83" s="719"/>
      <c r="AG83" s="719"/>
      <c r="AH83" s="719"/>
      <c r="AI83" s="719"/>
      <c r="AJ83" s="719"/>
      <c r="AK83" s="719"/>
      <c r="AL83" s="719"/>
      <c r="AM83" s="719"/>
      <c r="AN83" s="719"/>
      <c r="AO83" s="719"/>
      <c r="AP83" s="719"/>
      <c r="AQ83" s="719"/>
      <c r="AR83" s="719"/>
      <c r="AS83" s="719"/>
      <c r="AT83" s="719"/>
      <c r="AU83" s="719"/>
      <c r="AV83" s="719"/>
      <c r="AW83" s="719"/>
      <c r="AX83" s="719"/>
      <c r="AY83" s="719"/>
      <c r="AZ83" s="719"/>
      <c r="BA83" s="719"/>
      <c r="BB83" s="719"/>
      <c r="BC83" s="719"/>
      <c r="BD83" s="719"/>
      <c r="BE83" s="719"/>
      <c r="BF83" s="719"/>
      <c r="BG83" s="719"/>
      <c r="BH83" s="719"/>
      <c r="BI83" s="719"/>
      <c r="BJ83" s="719"/>
      <c r="BK83" s="719"/>
      <c r="BL83" s="719"/>
      <c r="BM83" s="719"/>
      <c r="BN83" s="719"/>
      <c r="BO83" s="719"/>
      <c r="BP83" s="719"/>
      <c r="BQ83" s="719"/>
      <c r="BR83" s="719"/>
    </row>
    <row r="84" spans="1:70" ht="84.95" hidden="1" customHeight="1" x14ac:dyDescent="0.25">
      <c r="A84" s="2440"/>
      <c r="B84" s="1797"/>
      <c r="C84" s="1797"/>
      <c r="D84" s="1797"/>
      <c r="E84" s="1797"/>
      <c r="F84" s="2440"/>
      <c r="G84" s="1797"/>
      <c r="H84" s="1797"/>
      <c r="I84" s="1797"/>
      <c r="J84" s="1797"/>
      <c r="K84" s="2440"/>
      <c r="L84" s="1797"/>
      <c r="M84" s="1797"/>
      <c r="N84" s="1797"/>
      <c r="O84" s="1797"/>
      <c r="P84" s="2440"/>
      <c r="Q84" s="1797"/>
      <c r="R84" s="1797"/>
      <c r="S84" s="1797"/>
      <c r="T84" s="1797"/>
      <c r="U84" s="2440"/>
      <c r="V84" s="1797"/>
      <c r="W84" s="1797"/>
      <c r="X84" s="1797"/>
      <c r="Y84" s="1797"/>
      <c r="Z84" s="2440"/>
      <c r="AA84" s="1797"/>
      <c r="AB84" s="1797"/>
      <c r="AC84" s="1797"/>
      <c r="AD84" s="1797"/>
      <c r="AE84" s="2440"/>
      <c r="AF84" s="1797"/>
      <c r="AG84" s="1797"/>
      <c r="AH84" s="1797"/>
      <c r="AI84" s="1797"/>
      <c r="AJ84" s="719"/>
      <c r="AK84" s="719"/>
      <c r="AL84" s="719"/>
      <c r="AM84" s="719"/>
      <c r="AN84" s="719"/>
      <c r="AO84" s="719"/>
      <c r="AP84" s="719"/>
      <c r="AQ84" s="719"/>
      <c r="AR84" s="719"/>
      <c r="AS84" s="719"/>
      <c r="AT84" s="719"/>
      <c r="AU84" s="719"/>
      <c r="AV84" s="719"/>
      <c r="AW84" s="719"/>
      <c r="AX84" s="719"/>
      <c r="AY84" s="719"/>
      <c r="AZ84" s="719"/>
      <c r="BA84" s="719"/>
      <c r="BB84" s="719"/>
      <c r="BC84" s="719"/>
      <c r="BD84" s="719"/>
      <c r="BE84" s="719"/>
      <c r="BF84" s="719"/>
      <c r="BG84" s="719"/>
      <c r="BH84" s="719"/>
      <c r="BI84" s="719"/>
      <c r="BJ84" s="719"/>
      <c r="BK84" s="719"/>
      <c r="BL84" s="719"/>
      <c r="BM84" s="719"/>
      <c r="BN84" s="719"/>
      <c r="BO84" s="719"/>
      <c r="BP84" s="719"/>
      <c r="BQ84" s="719"/>
      <c r="BR84" s="719"/>
    </row>
    <row r="85" spans="1:70" ht="23.1" hidden="1" customHeight="1" x14ac:dyDescent="0.25">
      <c r="A85" s="2440"/>
      <c r="B85" s="32"/>
      <c r="C85" s="33"/>
      <c r="D85" s="34"/>
      <c r="E85" s="35"/>
      <c r="F85" s="2440"/>
      <c r="G85" s="32"/>
      <c r="H85" s="33"/>
      <c r="I85" s="34"/>
      <c r="J85" s="35"/>
      <c r="K85" s="2440"/>
      <c r="L85" s="32"/>
      <c r="M85" s="33"/>
      <c r="N85" s="34"/>
      <c r="O85" s="35"/>
      <c r="P85" s="2440"/>
      <c r="Q85" s="32"/>
      <c r="R85" s="33"/>
      <c r="S85" s="34"/>
      <c r="T85" s="35"/>
      <c r="U85" s="2440"/>
      <c r="V85" s="32"/>
      <c r="W85" s="33"/>
      <c r="X85" s="34"/>
      <c r="Y85" s="35"/>
      <c r="Z85" s="2440"/>
      <c r="AA85" s="32"/>
      <c r="AB85" s="33"/>
      <c r="AC85" s="34"/>
      <c r="AD85" s="35"/>
      <c r="AE85" s="2440"/>
      <c r="AF85" s="32"/>
      <c r="AG85" s="33"/>
      <c r="AH85" s="34"/>
      <c r="AI85" s="35"/>
      <c r="AJ85" s="719"/>
      <c r="AK85" s="719"/>
      <c r="AL85" s="719"/>
      <c r="AM85" s="719"/>
      <c r="AN85" s="719"/>
      <c r="AO85" s="719"/>
      <c r="AP85" s="719"/>
      <c r="AQ85" s="719"/>
      <c r="AR85" s="719"/>
      <c r="AS85" s="719"/>
      <c r="AT85" s="719"/>
      <c r="AU85" s="719"/>
      <c r="AV85" s="719"/>
      <c r="AW85" s="719"/>
      <c r="AX85" s="719"/>
      <c r="AY85" s="719"/>
      <c r="AZ85" s="719"/>
      <c r="BA85" s="719"/>
      <c r="BB85" s="719"/>
      <c r="BC85" s="719"/>
      <c r="BD85" s="719"/>
      <c r="BE85" s="719"/>
      <c r="BF85" s="719"/>
      <c r="BG85" s="719"/>
      <c r="BH85" s="719"/>
      <c r="BI85" s="719"/>
      <c r="BJ85" s="719"/>
      <c r="BK85" s="719"/>
      <c r="BL85" s="719"/>
      <c r="BM85" s="719"/>
      <c r="BN85" s="719"/>
      <c r="BO85" s="719"/>
      <c r="BP85" s="719"/>
      <c r="BQ85" s="719"/>
      <c r="BR85" s="719"/>
    </row>
    <row r="86" spans="1:70" ht="18.600000000000001" hidden="1" customHeight="1" x14ac:dyDescent="0.25">
      <c r="A86" s="719"/>
      <c r="B86" s="719"/>
      <c r="C86" s="1300"/>
      <c r="D86" s="1300"/>
      <c r="E86" s="1300"/>
      <c r="F86" s="719"/>
      <c r="G86" s="719"/>
      <c r="H86" s="1300"/>
      <c r="I86" s="1300"/>
      <c r="J86" s="1300"/>
      <c r="K86" s="719"/>
      <c r="L86" s="719"/>
      <c r="M86" s="1300"/>
      <c r="N86" s="1300"/>
      <c r="O86" s="1300"/>
      <c r="P86" s="719"/>
      <c r="Q86" s="719"/>
      <c r="R86" s="1300"/>
      <c r="S86" s="1300"/>
      <c r="T86" s="1300"/>
      <c r="U86" s="719"/>
      <c r="V86" s="719"/>
      <c r="W86" s="1300"/>
      <c r="X86" s="1300"/>
      <c r="Y86" s="1300"/>
      <c r="Z86" s="719"/>
      <c r="AA86" s="719"/>
      <c r="AB86" s="1300"/>
      <c r="AC86" s="1300"/>
      <c r="AD86" s="1300"/>
      <c r="AE86" s="719"/>
      <c r="AF86" s="719"/>
      <c r="AG86" s="1300"/>
      <c r="AH86" s="1300"/>
      <c r="AI86" s="1300"/>
      <c r="AJ86" s="719"/>
      <c r="AK86" s="719"/>
      <c r="AL86" s="719"/>
      <c r="AM86" s="719"/>
      <c r="AN86" s="719"/>
      <c r="AO86" s="719"/>
      <c r="AP86" s="719"/>
      <c r="AQ86" s="719"/>
      <c r="AR86" s="719"/>
      <c r="AS86" s="719"/>
      <c r="AT86" s="719"/>
      <c r="AU86" s="719"/>
      <c r="AV86" s="719"/>
      <c r="AW86" s="719"/>
      <c r="AX86" s="719"/>
      <c r="AY86" s="719"/>
      <c r="AZ86" s="719"/>
      <c r="BA86" s="719"/>
      <c r="BB86" s="719"/>
      <c r="BC86" s="719"/>
      <c r="BD86" s="719"/>
      <c r="BE86" s="719"/>
      <c r="BF86" s="719"/>
      <c r="BG86" s="719"/>
      <c r="BH86" s="719"/>
      <c r="BI86" s="719"/>
      <c r="BJ86" s="719"/>
      <c r="BK86" s="719"/>
      <c r="BL86" s="719"/>
      <c r="BM86" s="719"/>
      <c r="BN86" s="719"/>
      <c r="BO86" s="719"/>
      <c r="BP86" s="719"/>
      <c r="BQ86" s="719"/>
      <c r="BR86" s="719"/>
    </row>
    <row r="87" spans="1:70" ht="18.600000000000001" hidden="1" customHeight="1" x14ac:dyDescent="0.25">
      <c r="A87" s="719"/>
      <c r="B87" s="719"/>
      <c r="C87" s="1300"/>
      <c r="D87" s="1300"/>
      <c r="E87" s="1300"/>
      <c r="F87" s="719"/>
      <c r="G87" s="719"/>
      <c r="H87" s="1300"/>
      <c r="I87" s="1300"/>
      <c r="J87" s="1300"/>
      <c r="K87" s="719"/>
      <c r="L87" s="719"/>
      <c r="M87" s="1300"/>
      <c r="N87" s="1300"/>
      <c r="O87" s="1300"/>
      <c r="P87" s="719"/>
      <c r="Q87" s="719"/>
      <c r="R87" s="1300"/>
      <c r="S87" s="1300"/>
      <c r="T87" s="1300"/>
      <c r="U87" s="719"/>
      <c r="V87" s="719"/>
      <c r="W87" s="1300"/>
      <c r="X87" s="1300"/>
      <c r="Y87" s="1300"/>
      <c r="Z87" s="719"/>
      <c r="AA87" s="719"/>
      <c r="AB87" s="1300"/>
      <c r="AC87" s="1300"/>
      <c r="AD87" s="1300"/>
      <c r="AE87" s="719"/>
      <c r="AF87" s="719"/>
      <c r="AG87" s="1300"/>
      <c r="AH87" s="1300"/>
      <c r="AI87" s="1300"/>
      <c r="AJ87" s="719"/>
      <c r="AK87" s="719"/>
      <c r="AL87" s="719"/>
      <c r="AM87" s="719"/>
      <c r="AN87" s="719"/>
      <c r="AO87" s="719"/>
      <c r="AP87" s="719"/>
      <c r="AQ87" s="719"/>
      <c r="AR87" s="719"/>
      <c r="AS87" s="719"/>
      <c r="AT87" s="719"/>
      <c r="AU87" s="719"/>
      <c r="AV87" s="719"/>
      <c r="AW87" s="719"/>
      <c r="AX87" s="719"/>
      <c r="AY87" s="719"/>
      <c r="AZ87" s="719"/>
      <c r="BA87" s="719"/>
      <c r="BB87" s="719"/>
      <c r="BC87" s="719"/>
      <c r="BD87" s="719"/>
      <c r="BE87" s="719"/>
      <c r="BF87" s="719"/>
      <c r="BG87" s="719"/>
      <c r="BH87" s="719"/>
      <c r="BI87" s="719"/>
      <c r="BJ87" s="719"/>
      <c r="BK87" s="719"/>
      <c r="BL87" s="719"/>
      <c r="BM87" s="719"/>
      <c r="BN87" s="719"/>
      <c r="BO87" s="719"/>
      <c r="BP87" s="719"/>
      <c r="BQ87" s="719"/>
      <c r="BR87" s="719"/>
    </row>
    <row r="88" spans="1:70" ht="9.9499999999999993" hidden="1" customHeight="1" x14ac:dyDescent="0.25">
      <c r="A88" s="719"/>
      <c r="B88" s="719"/>
      <c r="C88" s="719"/>
      <c r="D88" s="719"/>
      <c r="E88" s="719"/>
      <c r="F88" s="719"/>
      <c r="G88" s="719"/>
      <c r="H88" s="719"/>
      <c r="I88" s="719"/>
      <c r="J88" s="719"/>
      <c r="K88" s="719"/>
      <c r="L88" s="719"/>
      <c r="M88" s="719"/>
      <c r="N88" s="719"/>
      <c r="O88" s="719"/>
      <c r="P88" s="719"/>
      <c r="Q88" s="719"/>
      <c r="R88" s="719"/>
      <c r="S88" s="719"/>
      <c r="T88" s="719"/>
      <c r="U88" s="719"/>
      <c r="V88" s="719"/>
      <c r="W88" s="719"/>
      <c r="X88" s="719"/>
      <c r="Y88" s="719"/>
      <c r="Z88" s="719"/>
      <c r="AA88" s="719"/>
      <c r="AB88" s="719"/>
      <c r="AC88" s="719"/>
      <c r="AD88" s="719"/>
      <c r="AE88" s="719"/>
      <c r="AF88" s="719"/>
      <c r="AG88" s="719"/>
      <c r="AH88" s="719"/>
      <c r="AI88" s="719"/>
      <c r="AJ88" s="719"/>
      <c r="AK88" s="719"/>
      <c r="AL88" s="719"/>
      <c r="AM88" s="719"/>
      <c r="AN88" s="719"/>
      <c r="AO88" s="719"/>
      <c r="AP88" s="719"/>
      <c r="AQ88" s="719"/>
      <c r="AR88" s="719"/>
      <c r="AS88" s="719"/>
      <c r="AT88" s="719"/>
      <c r="AU88" s="719"/>
      <c r="AV88" s="719"/>
      <c r="AW88" s="719"/>
      <c r="AX88" s="719"/>
      <c r="AY88" s="719"/>
      <c r="AZ88" s="719"/>
      <c r="BA88" s="719"/>
      <c r="BB88" s="719"/>
      <c r="BC88" s="719"/>
      <c r="BD88" s="719"/>
      <c r="BE88" s="719"/>
      <c r="BF88" s="719"/>
      <c r="BG88" s="719"/>
      <c r="BH88" s="719"/>
      <c r="BI88" s="719"/>
      <c r="BJ88" s="719"/>
      <c r="BK88" s="719"/>
      <c r="BL88" s="719"/>
      <c r="BM88" s="719"/>
      <c r="BN88" s="719"/>
      <c r="BO88" s="719"/>
      <c r="BP88" s="719"/>
      <c r="BQ88" s="719"/>
      <c r="BR88" s="719"/>
    </row>
    <row r="89" spans="1:70" ht="9.9499999999999993" hidden="1" customHeight="1" x14ac:dyDescent="0.25">
      <c r="A89" s="719"/>
      <c r="B89" s="719"/>
      <c r="C89" s="719"/>
      <c r="D89" s="719"/>
      <c r="E89" s="719"/>
      <c r="F89" s="719"/>
      <c r="G89" s="719"/>
      <c r="H89" s="719"/>
      <c r="I89" s="719"/>
      <c r="J89" s="719"/>
      <c r="K89" s="719"/>
      <c r="L89" s="719"/>
      <c r="M89" s="719"/>
      <c r="N89" s="719"/>
      <c r="O89" s="719"/>
      <c r="P89" s="719"/>
      <c r="Q89" s="719"/>
      <c r="R89" s="719"/>
      <c r="S89" s="719"/>
      <c r="T89" s="719"/>
      <c r="U89" s="719"/>
      <c r="V89" s="719"/>
      <c r="W89" s="719"/>
      <c r="X89" s="719"/>
      <c r="Y89" s="719"/>
      <c r="Z89" s="719"/>
      <c r="AA89" s="719"/>
      <c r="AB89" s="719"/>
      <c r="AC89" s="719"/>
      <c r="AD89" s="719"/>
      <c r="AE89" s="719"/>
      <c r="AF89" s="719"/>
      <c r="AG89" s="719"/>
      <c r="AH89" s="719"/>
      <c r="AI89" s="719"/>
      <c r="AJ89" s="719"/>
      <c r="AK89" s="719"/>
      <c r="AL89" s="719"/>
      <c r="AM89" s="719"/>
      <c r="AN89" s="719"/>
      <c r="AO89" s="719"/>
      <c r="AP89" s="719"/>
      <c r="AQ89" s="719"/>
      <c r="AR89" s="719"/>
      <c r="AS89" s="719"/>
      <c r="AT89" s="719"/>
      <c r="AU89" s="719"/>
      <c r="AV89" s="719"/>
      <c r="AW89" s="719"/>
      <c r="AX89" s="719"/>
      <c r="AY89" s="719"/>
      <c r="AZ89" s="719"/>
      <c r="BA89" s="719"/>
      <c r="BB89" s="719"/>
      <c r="BC89" s="719"/>
      <c r="BD89" s="719"/>
      <c r="BE89" s="719"/>
      <c r="BF89" s="719"/>
      <c r="BG89" s="719"/>
      <c r="BH89" s="719"/>
      <c r="BI89" s="719"/>
      <c r="BJ89" s="719"/>
      <c r="BK89" s="719"/>
      <c r="BL89" s="719"/>
      <c r="BM89" s="719"/>
      <c r="BN89" s="719"/>
      <c r="BO89" s="719"/>
      <c r="BP89" s="719"/>
      <c r="BQ89" s="719"/>
      <c r="BR89" s="719"/>
    </row>
    <row r="90" spans="1:70" ht="84.95" hidden="1" customHeight="1" x14ac:dyDescent="0.25">
      <c r="A90" s="2440"/>
      <c r="B90" s="1797"/>
      <c r="C90" s="1797"/>
      <c r="D90" s="1797"/>
      <c r="E90" s="1797"/>
      <c r="F90" s="2440"/>
      <c r="G90" s="1797"/>
      <c r="H90" s="1797"/>
      <c r="I90" s="1797"/>
      <c r="J90" s="1797"/>
      <c r="K90" s="2440"/>
      <c r="L90" s="1797"/>
      <c r="M90" s="1797"/>
      <c r="N90" s="1797"/>
      <c r="O90" s="1797"/>
      <c r="P90" s="2440"/>
      <c r="Q90" s="1797"/>
      <c r="R90" s="1797"/>
      <c r="S90" s="1797"/>
      <c r="T90" s="1797"/>
      <c r="U90" s="2440"/>
      <c r="V90" s="1797"/>
      <c r="W90" s="1797"/>
      <c r="X90" s="1797"/>
      <c r="Y90" s="1797"/>
      <c r="Z90" s="2440"/>
      <c r="AA90" s="1797"/>
      <c r="AB90" s="1797"/>
      <c r="AC90" s="1797"/>
      <c r="AD90" s="1797"/>
      <c r="AE90" s="2440"/>
      <c r="AF90" s="1797"/>
      <c r="AG90" s="1797"/>
      <c r="AH90" s="1797"/>
      <c r="AI90" s="1797"/>
      <c r="AJ90" s="719"/>
      <c r="AK90" s="719"/>
      <c r="AL90" s="719"/>
      <c r="AM90" s="719"/>
      <c r="AN90" s="719"/>
      <c r="AO90" s="719"/>
      <c r="AP90" s="719"/>
      <c r="AQ90" s="719"/>
      <c r="AR90" s="719"/>
      <c r="AS90" s="719"/>
      <c r="AT90" s="719"/>
      <c r="AU90" s="719"/>
      <c r="AV90" s="719"/>
      <c r="AW90" s="719"/>
      <c r="AX90" s="719"/>
      <c r="AY90" s="719"/>
      <c r="AZ90" s="719"/>
      <c r="BA90" s="719"/>
      <c r="BB90" s="719"/>
      <c r="BC90" s="719"/>
      <c r="BD90" s="719"/>
      <c r="BE90" s="719"/>
      <c r="BF90" s="719"/>
      <c r="BG90" s="719"/>
      <c r="BH90" s="719"/>
      <c r="BI90" s="719"/>
      <c r="BJ90" s="719"/>
      <c r="BK90" s="719"/>
      <c r="BL90" s="719"/>
      <c r="BM90" s="719"/>
      <c r="BN90" s="719"/>
      <c r="BO90" s="719"/>
      <c r="BP90" s="719"/>
      <c r="BQ90" s="719"/>
      <c r="BR90" s="719"/>
    </row>
    <row r="91" spans="1:70" ht="23.1" hidden="1" customHeight="1" x14ac:dyDescent="0.25">
      <c r="A91" s="2440"/>
      <c r="B91" s="32"/>
      <c r="C91" s="33"/>
      <c r="D91" s="34"/>
      <c r="E91" s="35"/>
      <c r="F91" s="2440"/>
      <c r="G91" s="32"/>
      <c r="H91" s="33"/>
      <c r="I91" s="34"/>
      <c r="J91" s="35"/>
      <c r="K91" s="2440"/>
      <c r="L91" s="32"/>
      <c r="M91" s="33"/>
      <c r="N91" s="34"/>
      <c r="O91" s="35"/>
      <c r="P91" s="2440"/>
      <c r="Q91" s="32"/>
      <c r="R91" s="33"/>
      <c r="S91" s="34"/>
      <c r="T91" s="35"/>
      <c r="U91" s="2440"/>
      <c r="V91" s="32"/>
      <c r="W91" s="33"/>
      <c r="X91" s="34"/>
      <c r="Y91" s="35"/>
      <c r="Z91" s="2440"/>
      <c r="AA91" s="32"/>
      <c r="AB91" s="33"/>
      <c r="AC91" s="34"/>
      <c r="AD91" s="35"/>
      <c r="AE91" s="2440"/>
      <c r="AF91" s="32"/>
      <c r="AG91" s="33"/>
      <c r="AH91" s="34"/>
      <c r="AI91" s="35"/>
      <c r="AJ91" s="719"/>
      <c r="AK91" s="719"/>
      <c r="AL91" s="719"/>
      <c r="AM91" s="719"/>
      <c r="AN91" s="719"/>
      <c r="AO91" s="719"/>
      <c r="AP91" s="719"/>
      <c r="AQ91" s="719"/>
      <c r="AR91" s="719"/>
      <c r="AS91" s="719"/>
      <c r="AT91" s="719"/>
      <c r="AU91" s="719"/>
      <c r="AV91" s="719"/>
      <c r="AW91" s="719"/>
      <c r="AX91" s="719"/>
      <c r="AY91" s="719"/>
      <c r="AZ91" s="719"/>
      <c r="BA91" s="719"/>
      <c r="BB91" s="719"/>
      <c r="BC91" s="719"/>
      <c r="BD91" s="719"/>
      <c r="BE91" s="719"/>
      <c r="BF91" s="719"/>
      <c r="BG91" s="719"/>
      <c r="BH91" s="719"/>
      <c r="BI91" s="719"/>
      <c r="BJ91" s="719"/>
      <c r="BK91" s="719"/>
      <c r="BL91" s="719"/>
      <c r="BM91" s="719"/>
      <c r="BN91" s="719"/>
      <c r="BO91" s="719"/>
      <c r="BP91" s="719"/>
      <c r="BQ91" s="719"/>
      <c r="BR91" s="719"/>
    </row>
    <row r="92" spans="1:70" ht="18.600000000000001" hidden="1" customHeight="1" x14ac:dyDescent="0.25">
      <c r="A92" s="719"/>
      <c r="B92" s="719"/>
      <c r="C92" s="1300"/>
      <c r="D92" s="1300"/>
      <c r="E92" s="1300"/>
      <c r="F92" s="719"/>
      <c r="G92" s="719"/>
      <c r="H92" s="1300"/>
      <c r="I92" s="1300"/>
      <c r="J92" s="1300"/>
      <c r="K92" s="719"/>
      <c r="L92" s="719"/>
      <c r="M92" s="1300"/>
      <c r="N92" s="1300"/>
      <c r="O92" s="1300"/>
      <c r="P92" s="719"/>
      <c r="Q92" s="719"/>
      <c r="R92" s="1300"/>
      <c r="S92" s="1300"/>
      <c r="T92" s="1300"/>
      <c r="U92" s="719"/>
      <c r="V92" s="719"/>
      <c r="W92" s="1300"/>
      <c r="X92" s="1300"/>
      <c r="Y92" s="1300"/>
      <c r="Z92" s="719"/>
      <c r="AA92" s="719"/>
      <c r="AB92" s="1300"/>
      <c r="AC92" s="1300"/>
      <c r="AD92" s="1300"/>
      <c r="AE92" s="719"/>
      <c r="AF92" s="719"/>
      <c r="AG92" s="1300"/>
      <c r="AH92" s="1300"/>
      <c r="AI92" s="1300"/>
      <c r="AJ92" s="719"/>
      <c r="AK92" s="719"/>
      <c r="AL92" s="719"/>
      <c r="AM92" s="719"/>
      <c r="AN92" s="719"/>
      <c r="AO92" s="719"/>
      <c r="AP92" s="719"/>
      <c r="AQ92" s="719"/>
      <c r="AR92" s="719"/>
      <c r="AS92" s="719"/>
      <c r="AT92" s="719"/>
      <c r="AU92" s="719"/>
      <c r="AV92" s="719"/>
      <c r="AW92" s="719"/>
      <c r="AX92" s="719"/>
      <c r="AY92" s="719"/>
      <c r="AZ92" s="719"/>
      <c r="BA92" s="719"/>
      <c r="BB92" s="719"/>
      <c r="BC92" s="719"/>
      <c r="BD92" s="719"/>
      <c r="BE92" s="719"/>
      <c r="BF92" s="719"/>
      <c r="BG92" s="719"/>
      <c r="BH92" s="719"/>
      <c r="BI92" s="719"/>
      <c r="BJ92" s="719"/>
      <c r="BK92" s="719"/>
      <c r="BL92" s="719"/>
      <c r="BM92" s="719"/>
      <c r="BN92" s="719"/>
      <c r="BO92" s="719"/>
      <c r="BP92" s="719"/>
      <c r="BQ92" s="719"/>
      <c r="BR92" s="719"/>
    </row>
    <row r="93" spans="1:70" ht="18.600000000000001" hidden="1" customHeight="1" x14ac:dyDescent="0.25">
      <c r="A93" s="719"/>
      <c r="B93" s="719"/>
      <c r="C93" s="1300"/>
      <c r="D93" s="1300"/>
      <c r="E93" s="1300"/>
      <c r="F93" s="719"/>
      <c r="G93" s="719"/>
      <c r="H93" s="1300"/>
      <c r="I93" s="1300"/>
      <c r="J93" s="1300"/>
      <c r="K93" s="719"/>
      <c r="L93" s="719"/>
      <c r="M93" s="1300"/>
      <c r="N93" s="1300"/>
      <c r="O93" s="1300"/>
      <c r="P93" s="719"/>
      <c r="Q93" s="719"/>
      <c r="R93" s="1300"/>
      <c r="S93" s="1300"/>
      <c r="T93" s="1300"/>
      <c r="U93" s="719"/>
      <c r="V93" s="719"/>
      <c r="W93" s="1300"/>
      <c r="X93" s="1300"/>
      <c r="Y93" s="1300"/>
      <c r="Z93" s="719"/>
      <c r="AA93" s="719"/>
      <c r="AB93" s="1300"/>
      <c r="AC93" s="1300"/>
      <c r="AD93" s="1300"/>
      <c r="AE93" s="719"/>
      <c r="AF93" s="719"/>
      <c r="AG93" s="1300"/>
      <c r="AH93" s="1300"/>
      <c r="AI93" s="1300"/>
      <c r="AJ93" s="719"/>
      <c r="AK93" s="719"/>
      <c r="AL93" s="719"/>
      <c r="AM93" s="719"/>
      <c r="AN93" s="719"/>
      <c r="AO93" s="719"/>
      <c r="AP93" s="719"/>
      <c r="AQ93" s="719"/>
      <c r="AR93" s="719"/>
      <c r="AS93" s="719"/>
      <c r="AT93" s="719"/>
      <c r="AU93" s="719"/>
      <c r="AV93" s="719"/>
      <c r="AW93" s="719"/>
      <c r="AX93" s="719"/>
      <c r="AY93" s="719"/>
      <c r="AZ93" s="719"/>
      <c r="BA93" s="719"/>
      <c r="BB93" s="719"/>
      <c r="BC93" s="719"/>
      <c r="BD93" s="719"/>
      <c r="BE93" s="719"/>
      <c r="BF93" s="719"/>
      <c r="BG93" s="719"/>
      <c r="BH93" s="719"/>
      <c r="BI93" s="719"/>
      <c r="BJ93" s="719"/>
      <c r="BK93" s="719"/>
      <c r="BL93" s="719"/>
      <c r="BM93" s="719"/>
      <c r="BN93" s="719"/>
      <c r="BO93" s="719"/>
      <c r="BP93" s="719"/>
      <c r="BQ93" s="719"/>
      <c r="BR93" s="719"/>
    </row>
    <row r="94" spans="1:70" ht="9.9499999999999993" hidden="1" customHeight="1" x14ac:dyDescent="0.25">
      <c r="A94" s="719"/>
      <c r="B94" s="719"/>
      <c r="C94" s="719"/>
      <c r="D94" s="719"/>
      <c r="E94" s="719"/>
      <c r="F94" s="719"/>
      <c r="G94" s="719"/>
      <c r="H94" s="719"/>
      <c r="I94" s="719"/>
      <c r="J94" s="719"/>
      <c r="K94" s="719"/>
      <c r="L94" s="719"/>
      <c r="M94" s="719"/>
      <c r="N94" s="719"/>
      <c r="O94" s="719"/>
      <c r="P94" s="719"/>
      <c r="Q94" s="719"/>
      <c r="R94" s="719"/>
      <c r="S94" s="719"/>
      <c r="T94" s="719"/>
      <c r="U94" s="719"/>
      <c r="V94" s="719"/>
      <c r="W94" s="719"/>
      <c r="X94" s="719"/>
      <c r="Y94" s="719"/>
      <c r="Z94" s="719"/>
      <c r="AA94" s="719"/>
      <c r="AB94" s="719"/>
      <c r="AC94" s="719"/>
      <c r="AD94" s="719"/>
      <c r="AE94" s="719"/>
      <c r="AF94" s="719"/>
      <c r="AG94" s="719"/>
      <c r="AH94" s="719"/>
      <c r="AI94" s="719"/>
      <c r="AJ94" s="719"/>
      <c r="AK94" s="719"/>
      <c r="AL94" s="719"/>
      <c r="AM94" s="719"/>
      <c r="AN94" s="719"/>
      <c r="AO94" s="719"/>
      <c r="AP94" s="719"/>
      <c r="AQ94" s="719"/>
      <c r="AR94" s="719"/>
      <c r="AS94" s="719"/>
      <c r="AT94" s="719"/>
      <c r="AU94" s="719"/>
      <c r="AV94" s="719"/>
      <c r="AW94" s="719"/>
      <c r="AX94" s="719"/>
      <c r="AY94" s="719"/>
      <c r="AZ94" s="719"/>
      <c r="BA94" s="719"/>
      <c r="BB94" s="719"/>
      <c r="BC94" s="719"/>
      <c r="BD94" s="719"/>
      <c r="BE94" s="719"/>
      <c r="BF94" s="719"/>
      <c r="BG94" s="719"/>
      <c r="BH94" s="719"/>
      <c r="BI94" s="719"/>
      <c r="BJ94" s="719"/>
      <c r="BK94" s="719"/>
      <c r="BL94" s="719"/>
      <c r="BM94" s="719"/>
      <c r="BN94" s="719"/>
      <c r="BO94" s="719"/>
      <c r="BP94" s="719"/>
      <c r="BQ94" s="719"/>
      <c r="BR94" s="719"/>
    </row>
    <row r="95" spans="1:70" ht="9.9499999999999993" hidden="1" customHeight="1" x14ac:dyDescent="0.25">
      <c r="A95" s="719"/>
      <c r="B95" s="719"/>
      <c r="C95" s="719"/>
      <c r="D95" s="719"/>
      <c r="E95" s="719"/>
      <c r="F95" s="719"/>
      <c r="G95" s="719"/>
      <c r="H95" s="719"/>
      <c r="I95" s="719"/>
      <c r="J95" s="719"/>
      <c r="K95" s="719"/>
      <c r="L95" s="719"/>
      <c r="M95" s="719"/>
      <c r="N95" s="719"/>
      <c r="O95" s="719"/>
      <c r="P95" s="719"/>
      <c r="Q95" s="719"/>
      <c r="R95" s="719"/>
      <c r="S95" s="719"/>
      <c r="T95" s="719"/>
      <c r="U95" s="719"/>
      <c r="V95" s="719"/>
      <c r="W95" s="719"/>
      <c r="X95" s="719"/>
      <c r="Y95" s="719"/>
      <c r="Z95" s="719"/>
      <c r="AA95" s="719"/>
      <c r="AB95" s="719"/>
      <c r="AC95" s="719"/>
      <c r="AD95" s="719"/>
      <c r="AE95" s="719"/>
      <c r="AF95" s="719"/>
      <c r="AG95" s="719"/>
      <c r="AH95" s="719"/>
      <c r="AI95" s="719"/>
      <c r="AJ95" s="719"/>
      <c r="AK95" s="719"/>
      <c r="AL95" s="719"/>
      <c r="AM95" s="719"/>
      <c r="AN95" s="719"/>
      <c r="AO95" s="719"/>
      <c r="AP95" s="719"/>
      <c r="AQ95" s="719"/>
      <c r="AR95" s="719"/>
      <c r="AS95" s="719"/>
      <c r="AT95" s="719"/>
      <c r="AU95" s="719"/>
      <c r="AV95" s="719"/>
      <c r="AW95" s="719"/>
      <c r="AX95" s="719"/>
      <c r="AY95" s="719"/>
      <c r="AZ95" s="719"/>
      <c r="BA95" s="719"/>
      <c r="BB95" s="719"/>
      <c r="BC95" s="719"/>
      <c r="BD95" s="719"/>
      <c r="BE95" s="719"/>
      <c r="BF95" s="719"/>
      <c r="BG95" s="719"/>
      <c r="BH95" s="719"/>
      <c r="BI95" s="719"/>
      <c r="BJ95" s="719"/>
      <c r="BK95" s="719"/>
      <c r="BL95" s="719"/>
      <c r="BM95" s="719"/>
      <c r="BN95" s="719"/>
      <c r="BO95" s="719"/>
      <c r="BP95" s="719"/>
      <c r="BQ95" s="719"/>
      <c r="BR95" s="719"/>
    </row>
    <row r="96" spans="1:70" ht="84.95" hidden="1" customHeight="1" x14ac:dyDescent="0.25">
      <c r="A96" s="2440"/>
      <c r="B96" s="1797"/>
      <c r="C96" s="1797"/>
      <c r="D96" s="1797"/>
      <c r="E96" s="1797"/>
      <c r="F96" s="2440"/>
      <c r="G96" s="1797"/>
      <c r="H96" s="1797"/>
      <c r="I96" s="1797"/>
      <c r="J96" s="1797"/>
      <c r="K96" s="2440"/>
      <c r="L96" s="1797"/>
      <c r="M96" s="1797"/>
      <c r="N96" s="1797"/>
      <c r="O96" s="1797"/>
      <c r="P96" s="2440"/>
      <c r="Q96" s="1797"/>
      <c r="R96" s="1797"/>
      <c r="S96" s="1797"/>
      <c r="T96" s="1797"/>
      <c r="U96" s="2440"/>
      <c r="V96" s="1797"/>
      <c r="W96" s="1797"/>
      <c r="X96" s="1797"/>
      <c r="Y96" s="1797"/>
      <c r="Z96" s="2440"/>
      <c r="AA96" s="1797"/>
      <c r="AB96" s="1797"/>
      <c r="AC96" s="1797"/>
      <c r="AD96" s="1797"/>
      <c r="AE96" s="2440"/>
      <c r="AF96" s="1797"/>
      <c r="AG96" s="1797"/>
      <c r="AH96" s="1797"/>
      <c r="AI96" s="1797"/>
      <c r="AJ96" s="719"/>
      <c r="AK96" s="719"/>
      <c r="AL96" s="719"/>
      <c r="AM96" s="719"/>
      <c r="AN96" s="719"/>
      <c r="AO96" s="719"/>
      <c r="AP96" s="719"/>
      <c r="AQ96" s="719"/>
      <c r="AR96" s="719"/>
      <c r="AS96" s="719"/>
      <c r="AT96" s="719"/>
      <c r="AU96" s="719"/>
      <c r="AV96" s="719"/>
      <c r="AW96" s="719"/>
      <c r="AX96" s="719"/>
      <c r="AY96" s="719"/>
      <c r="AZ96" s="719"/>
      <c r="BA96" s="719"/>
      <c r="BB96" s="719"/>
      <c r="BC96" s="719"/>
      <c r="BD96" s="719"/>
      <c r="BE96" s="719"/>
      <c r="BF96" s="719"/>
      <c r="BG96" s="719"/>
      <c r="BH96" s="719"/>
      <c r="BI96" s="719"/>
      <c r="BJ96" s="719"/>
      <c r="BK96" s="719"/>
      <c r="BL96" s="719"/>
      <c r="BM96" s="719"/>
      <c r="BN96" s="719"/>
      <c r="BO96" s="719"/>
      <c r="BP96" s="719"/>
      <c r="BQ96" s="719"/>
      <c r="BR96" s="719"/>
    </row>
    <row r="97" spans="1:72" ht="23.1" hidden="1" customHeight="1" x14ac:dyDescent="0.25">
      <c r="A97" s="2440"/>
      <c r="B97" s="32"/>
      <c r="C97" s="33"/>
      <c r="D97" s="34"/>
      <c r="E97" s="35"/>
      <c r="F97" s="2440"/>
      <c r="G97" s="32"/>
      <c r="H97" s="33"/>
      <c r="I97" s="34"/>
      <c r="J97" s="35"/>
      <c r="K97" s="2440"/>
      <c r="L97" s="32"/>
      <c r="M97" s="33"/>
      <c r="N97" s="34"/>
      <c r="O97" s="35"/>
      <c r="P97" s="2440"/>
      <c r="Q97" s="32"/>
      <c r="R97" s="33"/>
      <c r="S97" s="34"/>
      <c r="T97" s="35"/>
      <c r="U97" s="2440"/>
      <c r="V97" s="32"/>
      <c r="W97" s="33"/>
      <c r="X97" s="34"/>
      <c r="Y97" s="35"/>
      <c r="Z97" s="2440"/>
      <c r="AA97" s="32"/>
      <c r="AB97" s="33"/>
      <c r="AC97" s="34"/>
      <c r="AD97" s="35"/>
      <c r="AE97" s="2440"/>
      <c r="AF97" s="32"/>
      <c r="AG97" s="33"/>
      <c r="AH97" s="34"/>
      <c r="AI97" s="35"/>
      <c r="AJ97" s="719"/>
      <c r="AK97" s="719"/>
      <c r="AL97" s="719"/>
      <c r="AM97" s="719"/>
      <c r="AN97" s="719"/>
      <c r="AO97" s="719"/>
      <c r="AP97" s="719"/>
      <c r="AQ97" s="719"/>
      <c r="AR97" s="719"/>
      <c r="AS97" s="719"/>
      <c r="AT97" s="719"/>
      <c r="AU97" s="719"/>
      <c r="AV97" s="719"/>
      <c r="AW97" s="719"/>
      <c r="AX97" s="719"/>
      <c r="AY97" s="719"/>
      <c r="AZ97" s="719"/>
      <c r="BA97" s="719"/>
      <c r="BB97" s="719"/>
      <c r="BC97" s="719"/>
      <c r="BD97" s="719"/>
      <c r="BE97" s="719"/>
      <c r="BF97" s="719"/>
      <c r="BG97" s="719"/>
      <c r="BH97" s="719"/>
      <c r="BI97" s="719"/>
      <c r="BJ97" s="719"/>
      <c r="BK97" s="719"/>
      <c r="BL97" s="719"/>
      <c r="BM97" s="719"/>
      <c r="BN97" s="719"/>
      <c r="BO97" s="719"/>
      <c r="BP97" s="719"/>
      <c r="BQ97" s="719"/>
      <c r="BR97" s="719"/>
    </row>
    <row r="98" spans="1:72" ht="15" hidden="1" customHeight="1" x14ac:dyDescent="0.5">
      <c r="AJ98" s="719"/>
      <c r="AK98" s="719"/>
      <c r="AL98" s="719"/>
      <c r="AM98" s="719"/>
      <c r="AN98" s="719"/>
      <c r="AO98" s="719"/>
      <c r="AP98" s="719"/>
      <c r="AQ98" s="719"/>
      <c r="AR98" s="719"/>
      <c r="AS98" s="719"/>
      <c r="AT98" s="719"/>
      <c r="AU98" s="719"/>
      <c r="AV98" s="719"/>
      <c r="AW98" s="719"/>
      <c r="AX98" s="719"/>
      <c r="AY98" s="719"/>
      <c r="AZ98" s="719"/>
      <c r="BA98" s="719"/>
      <c r="BB98" s="719"/>
      <c r="BC98" s="719"/>
      <c r="BD98" s="719"/>
      <c r="BE98" s="719"/>
      <c r="BF98" s="719"/>
      <c r="BG98" s="719"/>
      <c r="BH98" s="719"/>
      <c r="BI98" s="719"/>
      <c r="BJ98" s="719"/>
      <c r="BK98" s="719"/>
      <c r="BL98" s="719"/>
      <c r="BM98" s="719"/>
      <c r="BN98" s="719"/>
      <c r="BO98" s="719"/>
      <c r="BP98" s="719"/>
      <c r="BQ98" s="719"/>
      <c r="BR98" s="719"/>
    </row>
    <row r="99" spans="1:72" ht="15" hidden="1" customHeight="1" x14ac:dyDescent="0.5">
      <c r="AJ99" s="719"/>
      <c r="AK99" s="719"/>
      <c r="AL99" s="719"/>
      <c r="AM99" s="719"/>
      <c r="AN99" s="719"/>
      <c r="AO99" s="719"/>
      <c r="AP99" s="719"/>
      <c r="AQ99" s="719"/>
      <c r="AR99" s="719"/>
      <c r="AS99" s="719"/>
      <c r="AT99" s="719"/>
      <c r="AU99" s="719"/>
      <c r="AV99" s="719"/>
      <c r="AW99" s="719"/>
      <c r="AX99" s="719"/>
      <c r="AY99" s="719"/>
      <c r="AZ99" s="719"/>
      <c r="BA99" s="719"/>
      <c r="BB99" s="719"/>
      <c r="BC99" s="719"/>
      <c r="BD99" s="719"/>
      <c r="BE99" s="719"/>
      <c r="BF99" s="719"/>
      <c r="BG99" s="719"/>
      <c r="BH99" s="719"/>
      <c r="BI99" s="719"/>
      <c r="BJ99" s="719"/>
      <c r="BK99" s="719"/>
      <c r="BL99" s="719"/>
      <c r="BM99" s="719"/>
      <c r="BN99" s="719"/>
      <c r="BO99" s="719"/>
      <c r="BP99" s="719"/>
      <c r="BQ99" s="719"/>
      <c r="BR99" s="719"/>
    </row>
    <row r="100" spans="1:72" ht="15" hidden="1" customHeight="1" x14ac:dyDescent="0.5">
      <c r="AJ100" s="719"/>
      <c r="AK100" s="719"/>
      <c r="AL100" s="719"/>
      <c r="AM100" s="719"/>
      <c r="AN100" s="719"/>
      <c r="AO100" s="719"/>
      <c r="AP100" s="719"/>
      <c r="AQ100" s="719"/>
      <c r="AR100" s="719"/>
      <c r="AS100" s="719"/>
      <c r="AT100" s="719"/>
      <c r="AU100" s="719"/>
      <c r="AV100" s="719"/>
      <c r="AW100" s="719"/>
      <c r="AX100" s="719"/>
      <c r="AY100" s="719"/>
      <c r="AZ100" s="719"/>
      <c r="BA100" s="719"/>
      <c r="BB100" s="719"/>
      <c r="BC100" s="719"/>
      <c r="BD100" s="719"/>
      <c r="BE100" s="719"/>
      <c r="BF100" s="719"/>
      <c r="BG100" s="719"/>
      <c r="BH100" s="719"/>
      <c r="BI100" s="719"/>
      <c r="BJ100" s="719"/>
      <c r="BK100" s="719"/>
      <c r="BL100" s="719"/>
      <c r="BM100" s="719"/>
      <c r="BN100" s="719"/>
      <c r="BO100" s="719"/>
      <c r="BP100" s="719"/>
      <c r="BQ100" s="719"/>
      <c r="BR100" s="719"/>
    </row>
    <row r="101" spans="1:72" ht="15" hidden="1" customHeight="1" x14ac:dyDescent="0.5">
      <c r="AJ101" s="719"/>
      <c r="AK101" s="719"/>
      <c r="AL101" s="719"/>
      <c r="AM101" s="719"/>
      <c r="AN101" s="719"/>
      <c r="AO101" s="719"/>
      <c r="AP101" s="719"/>
      <c r="AQ101" s="719"/>
      <c r="AR101" s="719"/>
      <c r="AS101" s="719"/>
      <c r="AT101" s="719"/>
      <c r="AU101" s="719"/>
      <c r="AV101" s="719"/>
      <c r="AW101" s="719"/>
      <c r="AX101" s="719"/>
      <c r="AY101" s="719"/>
      <c r="AZ101" s="719"/>
      <c r="BA101" s="719"/>
      <c r="BB101" s="719"/>
      <c r="BC101" s="719"/>
      <c r="BD101" s="719"/>
      <c r="BE101" s="719"/>
      <c r="BF101" s="719"/>
      <c r="BG101" s="719"/>
      <c r="BH101" s="719"/>
      <c r="BI101" s="719"/>
      <c r="BJ101" s="719"/>
      <c r="BK101" s="719"/>
      <c r="BL101" s="719"/>
      <c r="BM101" s="719"/>
      <c r="BN101" s="719"/>
      <c r="BO101" s="719"/>
      <c r="BP101" s="719"/>
      <c r="BQ101" s="719"/>
      <c r="BR101" s="719"/>
    </row>
    <row r="102" spans="1:72" ht="15" hidden="1" customHeight="1" x14ac:dyDescent="0.5">
      <c r="AJ102" s="719"/>
      <c r="AK102" s="719"/>
      <c r="AL102" s="719"/>
      <c r="AM102" s="719"/>
      <c r="AN102" s="719"/>
      <c r="AO102" s="719"/>
      <c r="AP102" s="719"/>
      <c r="AQ102" s="719"/>
      <c r="AR102" s="719"/>
      <c r="AS102" s="719"/>
      <c r="AT102" s="719"/>
      <c r="AU102" s="719"/>
      <c r="AV102" s="719"/>
      <c r="AW102" s="719"/>
      <c r="AX102" s="719"/>
      <c r="AY102" s="719"/>
      <c r="AZ102" s="719"/>
      <c r="BA102" s="719"/>
      <c r="BB102" s="719"/>
      <c r="BC102" s="719"/>
      <c r="BD102" s="719"/>
      <c r="BE102" s="719"/>
      <c r="BF102" s="719"/>
      <c r="BG102" s="719"/>
      <c r="BH102" s="719"/>
      <c r="BI102" s="719"/>
      <c r="BJ102" s="719"/>
      <c r="BK102" s="719"/>
      <c r="BL102" s="719"/>
      <c r="BM102" s="719"/>
      <c r="BN102" s="719"/>
      <c r="BO102" s="719"/>
      <c r="BP102" s="719"/>
      <c r="BQ102" s="719"/>
      <c r="BR102" s="719"/>
    </row>
    <row r="103" spans="1:72" ht="15" hidden="1" customHeight="1" x14ac:dyDescent="0.5"/>
    <row r="104" spans="1:72" ht="157.5" hidden="1" customHeight="1" x14ac:dyDescent="0.5"/>
    <row r="105" spans="1:72" ht="15" customHeight="1" x14ac:dyDescent="0.5">
      <c r="B105" s="70"/>
      <c r="C105" s="72"/>
      <c r="D105" s="72"/>
      <c r="E105" s="72"/>
      <c r="F105" s="502"/>
      <c r="G105" s="70"/>
      <c r="H105" s="72"/>
      <c r="I105" s="72"/>
      <c r="J105" s="72"/>
      <c r="K105" s="502"/>
      <c r="L105" s="70"/>
      <c r="M105" s="72"/>
      <c r="N105" s="72"/>
      <c r="O105" s="72"/>
      <c r="P105" s="502"/>
      <c r="Q105" s="70"/>
      <c r="R105" s="72"/>
      <c r="S105" s="72"/>
      <c r="T105" s="72"/>
      <c r="U105" s="502"/>
      <c r="V105" s="70"/>
      <c r="W105" s="72"/>
      <c r="X105" s="724" t="s">
        <v>461</v>
      </c>
      <c r="Y105" s="724"/>
      <c r="Z105" s="724"/>
      <c r="AA105" s="724"/>
      <c r="AB105" s="724"/>
      <c r="AC105" s="724"/>
      <c r="AD105" s="724"/>
      <c r="AE105" s="724"/>
      <c r="AF105" s="724"/>
      <c r="AG105" s="724"/>
      <c r="AH105" s="724"/>
      <c r="AI105" s="724"/>
      <c r="AJ105" s="724"/>
      <c r="AK105" s="318"/>
      <c r="AL105" s="319"/>
      <c r="AM105" s="320"/>
      <c r="AN105" s="321"/>
      <c r="AO105" s="507"/>
      <c r="AP105" s="318"/>
      <c r="AQ105" s="319"/>
      <c r="AR105" s="320"/>
      <c r="AS105" s="321"/>
      <c r="AT105" s="507"/>
      <c r="AU105" s="318"/>
      <c r="AV105" s="319"/>
      <c r="AW105" s="320"/>
      <c r="AX105" s="321"/>
      <c r="AY105" s="507"/>
      <c r="AZ105" s="318"/>
      <c r="BA105" s="319"/>
      <c r="BB105" s="320"/>
      <c r="BC105" s="321"/>
      <c r="BD105" s="507"/>
      <c r="BE105" s="318"/>
      <c r="BF105" s="319"/>
      <c r="BG105" s="320"/>
      <c r="BH105" s="40"/>
      <c r="BI105" s="41"/>
      <c r="BJ105" s="37"/>
      <c r="BK105" s="38"/>
      <c r="BL105" s="39"/>
      <c r="BM105" s="40"/>
      <c r="BN105" s="41"/>
      <c r="BO105" s="37"/>
      <c r="BP105" s="38"/>
      <c r="BQ105" s="39"/>
      <c r="BR105" s="40"/>
      <c r="BS105" s="41"/>
    </row>
    <row r="106" spans="1:72" ht="15" customHeight="1" x14ac:dyDescent="0.5">
      <c r="B106" s="70"/>
      <c r="C106" s="32"/>
      <c r="D106" s="33"/>
      <c r="E106" s="34"/>
      <c r="F106" s="503"/>
      <c r="G106" s="70"/>
      <c r="L106" s="70"/>
      <c r="M106" s="32"/>
      <c r="N106" s="33"/>
      <c r="O106" s="34"/>
      <c r="P106" s="503"/>
      <c r="Q106" s="70"/>
      <c r="R106" s="32"/>
      <c r="S106" s="33"/>
      <c r="T106" s="34"/>
      <c r="U106" s="503"/>
      <c r="V106" s="70"/>
      <c r="W106" s="32"/>
      <c r="X106" s="724"/>
      <c r="Y106" s="724"/>
      <c r="Z106" s="724"/>
      <c r="AA106" s="724"/>
      <c r="AB106" s="724"/>
      <c r="AC106" s="724"/>
      <c r="AD106" s="724"/>
      <c r="AE106" s="724"/>
      <c r="AF106" s="724"/>
      <c r="AG106" s="724"/>
      <c r="AH106" s="724"/>
      <c r="AI106" s="724"/>
      <c r="AJ106" s="724"/>
      <c r="AK106" s="724" t="s">
        <v>117</v>
      </c>
      <c r="AL106" s="724"/>
      <c r="AM106" s="724"/>
      <c r="AN106" s="724"/>
      <c r="AO106" s="724"/>
      <c r="AP106" s="724"/>
      <c r="AQ106" s="724"/>
      <c r="AR106" s="724"/>
      <c r="AS106" s="724"/>
      <c r="AT106" s="724"/>
      <c r="AU106" s="724"/>
      <c r="AV106" s="725" t="s">
        <v>118</v>
      </c>
      <c r="AW106" s="725"/>
      <c r="AX106" s="725"/>
      <c r="AY106" s="725"/>
      <c r="AZ106" s="725"/>
      <c r="BA106" s="725"/>
      <c r="BB106" s="725"/>
      <c r="BC106" s="725"/>
      <c r="BD106" s="725"/>
      <c r="BE106" s="725"/>
      <c r="BF106" s="725"/>
      <c r="BG106" s="725"/>
      <c r="BH106" s="724" t="s">
        <v>119</v>
      </c>
      <c r="BI106" s="724"/>
      <c r="BJ106" s="724"/>
      <c r="BK106" s="724"/>
      <c r="BL106" s="724"/>
      <c r="BM106" s="1802">
        <f>D7+I7+N7+S7+X7+AC7+AH7+AM7+AR7+AW7+BB7+BG7+BL7+BQ7+
D13+I13+N13+S13+X13+AC13+AH13+AM13+AR13+AW13+BB13+BG13+BL13+BQ13+
D19+I19+N19+S19+X19+
D31+I31+N31+S31+X31+AC31+AH31+AM31+AR31+AW31+BB31+BG31+BL31+BQ31+
D37+I37+N37+S37+X37+AC37+AH37</f>
        <v>7</v>
      </c>
      <c r="BN106" s="1802"/>
      <c r="BO106" s="1802"/>
      <c r="BP106" s="1802"/>
      <c r="BQ106" s="701" t="s">
        <v>120</v>
      </c>
      <c r="BR106" s="701"/>
      <c r="BS106" s="701"/>
    </row>
    <row r="107" spans="1:72" ht="26.25" customHeight="1" x14ac:dyDescent="0.5">
      <c r="B107" s="44"/>
      <c r="C107" s="44"/>
      <c r="D107" s="44"/>
      <c r="E107" s="69"/>
      <c r="F107" s="504"/>
      <c r="G107" s="44"/>
      <c r="L107" s="44"/>
      <c r="M107" s="44"/>
      <c r="N107" s="44"/>
      <c r="O107" s="69"/>
      <c r="P107" s="504"/>
      <c r="Q107" s="44"/>
      <c r="R107" s="44"/>
      <c r="S107" s="44"/>
      <c r="T107" s="69"/>
      <c r="U107" s="504"/>
      <c r="V107" s="44"/>
      <c r="W107" s="44"/>
      <c r="X107" s="724"/>
      <c r="Y107" s="724"/>
      <c r="Z107" s="724"/>
      <c r="AA107" s="724"/>
      <c r="AB107" s="724"/>
      <c r="AC107" s="724"/>
      <c r="AD107" s="724"/>
      <c r="AE107" s="724"/>
      <c r="AF107" s="724"/>
      <c r="AG107" s="724"/>
      <c r="AH107" s="724"/>
      <c r="AI107" s="724"/>
      <c r="AJ107" s="724"/>
      <c r="AK107" s="724"/>
      <c r="AL107" s="724"/>
      <c r="AM107" s="724"/>
      <c r="AN107" s="724"/>
      <c r="AO107" s="724"/>
      <c r="AP107" s="724"/>
      <c r="AQ107" s="724"/>
      <c r="AR107" s="724"/>
      <c r="AS107" s="724"/>
      <c r="AT107" s="724"/>
      <c r="AU107" s="724"/>
      <c r="AV107" s="725"/>
      <c r="AW107" s="725"/>
      <c r="AX107" s="725"/>
      <c r="AY107" s="725"/>
      <c r="AZ107" s="725"/>
      <c r="BA107" s="725"/>
      <c r="BB107" s="725"/>
      <c r="BC107" s="725"/>
      <c r="BD107" s="725"/>
      <c r="BE107" s="725"/>
      <c r="BF107" s="725"/>
      <c r="BG107" s="725"/>
      <c r="BH107" s="724"/>
      <c r="BI107" s="724"/>
      <c r="BJ107" s="724"/>
      <c r="BK107" s="724"/>
      <c r="BL107" s="724"/>
      <c r="BM107" s="1802"/>
      <c r="BN107" s="1802"/>
      <c r="BO107" s="1802"/>
      <c r="BP107" s="1802"/>
      <c r="BQ107" s="701"/>
      <c r="BR107" s="701"/>
      <c r="BS107" s="701"/>
    </row>
    <row r="108" spans="1:72" ht="24" customHeight="1" x14ac:dyDescent="0.5">
      <c r="B108" s="47"/>
      <c r="C108" s="47"/>
      <c r="D108" s="47"/>
      <c r="E108" s="69"/>
      <c r="F108" s="504"/>
      <c r="G108" s="47"/>
      <c r="L108" s="47"/>
      <c r="M108" s="47"/>
      <c r="N108" s="47"/>
      <c r="O108" s="69"/>
      <c r="P108" s="504"/>
      <c r="Q108" s="47"/>
      <c r="R108" s="47"/>
      <c r="S108" s="47"/>
      <c r="T108" s="69"/>
      <c r="U108" s="504"/>
      <c r="V108" s="47"/>
      <c r="W108" s="47"/>
      <c r="X108" s="724"/>
      <c r="Y108" s="724"/>
      <c r="Z108" s="724"/>
      <c r="AA108" s="724"/>
      <c r="AB108" s="724"/>
      <c r="AC108" s="724"/>
      <c r="AD108" s="724"/>
      <c r="AE108" s="724"/>
      <c r="AF108" s="724"/>
      <c r="AG108" s="724"/>
      <c r="AH108" s="724"/>
      <c r="AI108" s="724"/>
      <c r="AJ108" s="724"/>
      <c r="AK108" s="724"/>
      <c r="AL108" s="724"/>
      <c r="AM108" s="724"/>
      <c r="AN108" s="724"/>
      <c r="AO108" s="724"/>
      <c r="AP108" s="724"/>
      <c r="AQ108" s="724"/>
      <c r="AR108" s="724"/>
      <c r="AS108" s="724"/>
      <c r="AT108" s="724"/>
      <c r="AU108" s="724"/>
      <c r="AV108" s="725"/>
      <c r="AW108" s="725"/>
      <c r="AX108" s="725"/>
      <c r="AY108" s="725"/>
      <c r="AZ108" s="725"/>
      <c r="BA108" s="725"/>
      <c r="BB108" s="725"/>
      <c r="BC108" s="725"/>
      <c r="BD108" s="725"/>
      <c r="BE108" s="725"/>
      <c r="BF108" s="725"/>
      <c r="BG108" s="725"/>
      <c r="BH108" s="724"/>
      <c r="BI108" s="724"/>
      <c r="BJ108" s="724"/>
      <c r="BK108" s="724"/>
      <c r="BL108" s="724"/>
      <c r="BM108" s="1802"/>
      <c r="BN108" s="1802"/>
      <c r="BO108" s="1802"/>
      <c r="BP108" s="1802"/>
      <c r="BQ108" s="701"/>
      <c r="BR108" s="701"/>
      <c r="BS108" s="701"/>
    </row>
    <row r="109" spans="1:72" ht="27.75" customHeight="1" x14ac:dyDescent="0.5">
      <c r="B109" s="47"/>
      <c r="C109" s="47"/>
      <c r="D109" s="47"/>
      <c r="E109" s="101"/>
      <c r="F109" s="504"/>
      <c r="G109" s="47"/>
      <c r="L109" s="47"/>
      <c r="M109" s="47"/>
      <c r="N109" s="47"/>
      <c r="O109" s="101"/>
      <c r="P109" s="504"/>
      <c r="Q109" s="47"/>
      <c r="R109" s="47"/>
      <c r="S109" s="47"/>
      <c r="T109" s="101"/>
      <c r="U109" s="504"/>
      <c r="V109" s="47"/>
      <c r="W109" s="47"/>
      <c r="X109" s="724"/>
      <c r="Y109" s="724"/>
      <c r="Z109" s="724"/>
      <c r="AA109" s="724"/>
      <c r="AB109" s="724"/>
      <c r="AC109" s="724"/>
      <c r="AD109" s="724"/>
      <c r="AE109" s="724"/>
      <c r="AF109" s="724"/>
      <c r="AG109" s="724"/>
      <c r="AH109" s="724"/>
      <c r="AI109" s="724"/>
      <c r="AJ109" s="724"/>
      <c r="AK109" s="724"/>
      <c r="AL109" s="724"/>
      <c r="AM109" s="724"/>
      <c r="AN109" s="724"/>
      <c r="AO109" s="724"/>
      <c r="AP109" s="724"/>
      <c r="AQ109" s="724"/>
      <c r="AR109" s="724"/>
      <c r="AS109" s="724"/>
      <c r="AT109" s="724"/>
      <c r="AU109" s="724"/>
      <c r="AV109" s="725"/>
      <c r="AW109" s="725"/>
      <c r="AX109" s="725"/>
      <c r="AY109" s="725"/>
      <c r="AZ109" s="725"/>
      <c r="BA109" s="725"/>
      <c r="BB109" s="725"/>
      <c r="BC109" s="725"/>
      <c r="BD109" s="725"/>
      <c r="BE109" s="725"/>
      <c r="BF109" s="725"/>
      <c r="BG109" s="725"/>
      <c r="BH109" s="724"/>
      <c r="BI109" s="724"/>
      <c r="BJ109" s="724"/>
      <c r="BK109" s="724"/>
      <c r="BL109" s="724"/>
      <c r="BM109" s="1802"/>
      <c r="BN109" s="1802"/>
      <c r="BO109" s="1802"/>
      <c r="BP109" s="1802"/>
      <c r="BQ109" s="701"/>
      <c r="BR109" s="701"/>
      <c r="BS109" s="701"/>
    </row>
    <row r="110" spans="1:72" ht="24" customHeight="1" x14ac:dyDescent="0.5">
      <c r="B110" s="47"/>
      <c r="C110" s="47"/>
      <c r="D110" s="47"/>
      <c r="E110" s="69"/>
      <c r="F110" s="504"/>
      <c r="G110" s="47"/>
      <c r="H110" s="1468" cm="1">
        <f t="array" aca="1" ref="H110" ca="1">SUM(COUNTIF(INDIRECT({"B6","G6","L6","Q6","V6","AA6","AF6","AK6","AP6","AU6","AZ6","BE6","BJ6","BO6","B12","G12","L12","Q12","V12","AA12","AF12","AK12","AP12","AU12","AZ12","BE12","BJ12","BO12","B18","G18","L18","Q18","V18","AA18","AF18","AK18","AP18","AU18","AZ18","BE18","BJ18","BO18","B24","G24","L24","Q24","V24","AA24","AF24","AK24","AP24","AU24","AZ24","BE24","BJ24","BO24","B30","G30","L30","Q30","V30","AA30","AF30","AK30","AP30","AU30","AZ30","BE30","BJ30","BO30","B36","G36","L36","Q36","V36","AA36","AF36","AK36","AP36","AU36"}),"&gt;0"))</f>
        <v>24</v>
      </c>
      <c r="I110" s="1468"/>
      <c r="J110" s="1468"/>
      <c r="K110" s="1468"/>
      <c r="L110" s="47"/>
      <c r="M110" s="47"/>
      <c r="N110" s="47"/>
      <c r="O110" s="69"/>
      <c r="P110" s="504"/>
      <c r="Q110" s="47"/>
      <c r="R110" s="47"/>
      <c r="S110" s="47"/>
      <c r="T110" s="69"/>
      <c r="U110" s="504"/>
      <c r="V110" s="47"/>
      <c r="W110" s="47"/>
      <c r="X110" s="2436"/>
      <c r="Y110" s="2436"/>
      <c r="Z110" s="2436"/>
      <c r="AA110" s="2436"/>
      <c r="AB110" s="2436"/>
      <c r="AC110" s="2436"/>
      <c r="AD110" s="2436"/>
      <c r="AE110" s="2436"/>
      <c r="AF110" s="2436"/>
      <c r="AG110" s="2436"/>
      <c r="AH110" s="2436"/>
      <c r="AI110" s="2436"/>
      <c r="AJ110" s="2436"/>
      <c r="AK110" s="2437">
        <f>AV110-AB127</f>
        <v>2.6923999999999992</v>
      </c>
      <c r="AL110" s="2437"/>
      <c r="AM110" s="2437"/>
      <c r="AN110" s="2437"/>
      <c r="AO110" s="2437"/>
      <c r="AP110" s="2437"/>
      <c r="AQ110" s="2437"/>
      <c r="AR110" s="2437"/>
      <c r="AS110" s="2437"/>
      <c r="AT110" s="2437"/>
      <c r="AU110" s="2437"/>
      <c r="AV110" s="2438">
        <f>B7+G7+L7+Q7+V7+AA7+AF7+AK7+AP7+AU7+AZ7+BE7+BJ7+BO7+
B13+G13+L13+Q13+V13+AA13+AF13+AK13+AP13+AU13+AZ13+BE13+BJ13+BO13+
B19+G19+L19+Q19+V19+
B31+G31+L31+Q31+V31+AA31+AF31+AK31+AP31+AU31+AZ31+BE31+BJ31+BO31+
B37+G37+L37+Q37+V37+AA37+AF37</f>
        <v>17.652200009999998</v>
      </c>
      <c r="AW110" s="2438"/>
      <c r="AX110" s="2438"/>
      <c r="AY110" s="2438"/>
      <c r="AZ110" s="2438"/>
      <c r="BA110" s="2438"/>
      <c r="BB110" s="2438"/>
      <c r="BC110" s="2438"/>
      <c r="BD110" s="2438"/>
      <c r="BE110" s="2438"/>
      <c r="BF110" s="2438"/>
      <c r="BG110" s="2438"/>
      <c r="BH110" s="724"/>
      <c r="BI110" s="724"/>
      <c r="BJ110" s="724"/>
      <c r="BK110" s="724"/>
      <c r="BL110" s="724"/>
      <c r="BM110" s="708">
        <f>BM106*1.5</f>
        <v>10.5</v>
      </c>
      <c r="BN110" s="708"/>
      <c r="BO110" s="708"/>
      <c r="BP110" s="708"/>
      <c r="BQ110" s="708"/>
      <c r="BR110" s="708"/>
      <c r="BS110" s="708"/>
    </row>
    <row r="111" spans="1:72" ht="171.75" customHeight="1" x14ac:dyDescent="0.5">
      <c r="B111" s="70"/>
      <c r="C111" s="72"/>
      <c r="D111" s="72"/>
      <c r="E111" s="72"/>
      <c r="F111" s="502"/>
      <c r="G111" s="70"/>
      <c r="H111" s="1468"/>
      <c r="I111" s="1468"/>
      <c r="J111" s="1468"/>
      <c r="K111" s="1468"/>
      <c r="L111" s="70"/>
      <c r="M111" s="72"/>
      <c r="N111" s="72"/>
      <c r="O111" s="72"/>
      <c r="P111" s="502"/>
      <c r="Q111" s="70"/>
      <c r="R111" s="72"/>
      <c r="S111" s="72"/>
      <c r="T111" s="72"/>
      <c r="U111" s="502"/>
      <c r="V111" s="70"/>
      <c r="W111" s="72"/>
      <c r="X111" s="2436"/>
      <c r="Y111" s="2436"/>
      <c r="Z111" s="2436"/>
      <c r="AA111" s="2436"/>
      <c r="AB111" s="2436"/>
      <c r="AC111" s="2436"/>
      <c r="AD111" s="2436"/>
      <c r="AE111" s="2436"/>
      <c r="AF111" s="2436"/>
      <c r="AG111" s="2436"/>
      <c r="AH111" s="2436"/>
      <c r="AI111" s="2436"/>
      <c r="AJ111" s="2436"/>
      <c r="AK111" s="2437"/>
      <c r="AL111" s="2437"/>
      <c r="AM111" s="2437"/>
      <c r="AN111" s="2437"/>
      <c r="AO111" s="2437"/>
      <c r="AP111" s="2437"/>
      <c r="AQ111" s="2437"/>
      <c r="AR111" s="2437"/>
      <c r="AS111" s="2437"/>
      <c r="AT111" s="2437"/>
      <c r="AU111" s="2437"/>
      <c r="AV111" s="2438"/>
      <c r="AW111" s="2438"/>
      <c r="AX111" s="2438"/>
      <c r="AY111" s="2438"/>
      <c r="AZ111" s="2438"/>
      <c r="BA111" s="2438"/>
      <c r="BB111" s="2438"/>
      <c r="BC111" s="2438"/>
      <c r="BD111" s="2438"/>
      <c r="BE111" s="2438"/>
      <c r="BF111" s="2438"/>
      <c r="BG111" s="2438"/>
      <c r="BH111" s="724"/>
      <c r="BI111" s="724"/>
      <c r="BJ111" s="724"/>
      <c r="BK111" s="724"/>
      <c r="BL111" s="724"/>
      <c r="BM111" s="708"/>
      <c r="BN111" s="708"/>
      <c r="BO111" s="708"/>
      <c r="BP111" s="708"/>
      <c r="BQ111" s="708"/>
      <c r="BR111" s="708"/>
      <c r="BS111" s="708"/>
      <c r="BT111" s="228"/>
    </row>
    <row r="112" spans="1:72" ht="20.25" customHeight="1" x14ac:dyDescent="0.5">
      <c r="B112" s="411"/>
      <c r="C112" s="411"/>
      <c r="D112" s="411"/>
      <c r="E112" s="411"/>
      <c r="F112" s="505"/>
      <c r="G112" s="411"/>
      <c r="H112" s="1468"/>
      <c r="I112" s="1468"/>
      <c r="J112" s="1468"/>
      <c r="K112" s="1468"/>
      <c r="L112" s="411"/>
      <c r="M112" s="411"/>
      <c r="N112" s="411"/>
      <c r="O112" s="411"/>
      <c r="P112" s="505"/>
      <c r="Q112" s="70"/>
      <c r="R112" s="32"/>
      <c r="S112" s="33"/>
      <c r="T112" s="34"/>
      <c r="U112" s="503"/>
      <c r="V112" s="70"/>
      <c r="W112" s="32"/>
      <c r="X112" s="2436"/>
      <c r="Y112" s="2436"/>
      <c r="Z112" s="2436"/>
      <c r="AA112" s="2436"/>
      <c r="AB112" s="2436"/>
      <c r="AC112" s="2436"/>
      <c r="AD112" s="2436"/>
      <c r="AE112" s="2436"/>
      <c r="AF112" s="2436"/>
      <c r="AG112" s="2436"/>
      <c r="AH112" s="2436"/>
      <c r="AI112" s="2436"/>
      <c r="AJ112" s="2436"/>
      <c r="AK112" s="2437"/>
      <c r="AL112" s="2437"/>
      <c r="AM112" s="2437"/>
      <c r="AN112" s="2437"/>
      <c r="AO112" s="2437"/>
      <c r="AP112" s="2437"/>
      <c r="AQ112" s="2437"/>
      <c r="AR112" s="2437"/>
      <c r="AS112" s="2437"/>
      <c r="AT112" s="2437"/>
      <c r="AU112" s="2437"/>
      <c r="AV112" s="2438"/>
      <c r="AW112" s="2438"/>
      <c r="AX112" s="2438"/>
      <c r="AY112" s="2438"/>
      <c r="AZ112" s="2438"/>
      <c r="BA112" s="2438"/>
      <c r="BB112" s="2438"/>
      <c r="BC112" s="2438"/>
      <c r="BD112" s="2438"/>
      <c r="BE112" s="2438"/>
      <c r="BF112" s="2438"/>
      <c r="BG112" s="2438"/>
      <c r="BH112" s="724"/>
      <c r="BI112" s="724"/>
      <c r="BJ112" s="724"/>
      <c r="BK112" s="724"/>
      <c r="BL112" s="724"/>
      <c r="BM112" s="708"/>
      <c r="BN112" s="708"/>
      <c r="BO112" s="708"/>
      <c r="BP112" s="708"/>
      <c r="BQ112" s="708"/>
      <c r="BR112" s="708"/>
      <c r="BS112" s="708"/>
    </row>
    <row r="113" spans="2:71" ht="24" customHeight="1" x14ac:dyDescent="0.5">
      <c r="B113" s="411"/>
      <c r="C113" s="411"/>
      <c r="D113" s="411"/>
      <c r="E113" s="411"/>
      <c r="F113" s="505"/>
      <c r="G113" s="411"/>
      <c r="H113" s="2439" cm="1">
        <f t="array" aca="1" ref="H113" ca="1">SUM(COUNTIF(INDIRECT({"B7","G7","L7","Q7","V7","AA7","AF7","AK7","AP7","AU7","AZ7","BE7","BJ7","BO7","B13","G13","L13","Q13","V13","AA13","AF13","AK13","AP13","AU13","AZ13","BE13","BJ13","BO13","B19","G19","L19","Q19","V19","AA19","AF19","AK19","AP19","AU19","AZ19","BE19","BJ19","BO19","B25","G25","L25","Q25","V25","AA25","AF25","AK25","AP25","AU25","AZ25","BE25","BJ25","BO25","B31","G31","L31","Q31","V31","AA31","AF31","AK31","AP31","AU31","AZ31","BE31","BJ31","BO31","B37","G37","L37","Q37","V37","AA37","AF37","AK37","AP37","AU37"}),"&gt;0"))</f>
        <v>13</v>
      </c>
      <c r="I113" s="2439"/>
      <c r="J113" s="2439"/>
      <c r="K113" s="2439"/>
      <c r="L113" s="411"/>
      <c r="M113" s="411"/>
      <c r="N113" s="411"/>
      <c r="O113" s="411"/>
      <c r="P113" s="505"/>
      <c r="Q113" s="44"/>
      <c r="R113" s="44"/>
      <c r="S113" s="44"/>
      <c r="T113" s="69"/>
      <c r="U113" s="504"/>
      <c r="V113" s="44"/>
      <c r="W113" s="44"/>
      <c r="X113" s="2436"/>
      <c r="Y113" s="2436"/>
      <c r="Z113" s="2436"/>
      <c r="AA113" s="2436"/>
      <c r="AB113" s="2436"/>
      <c r="AC113" s="2436"/>
      <c r="AD113" s="2436"/>
      <c r="AE113" s="2436"/>
      <c r="AF113" s="2436"/>
      <c r="AG113" s="2436"/>
      <c r="AH113" s="2436"/>
      <c r="AI113" s="2436"/>
      <c r="AJ113" s="2436"/>
      <c r="AK113" s="2437"/>
      <c r="AL113" s="2437"/>
      <c r="AM113" s="2437"/>
      <c r="AN113" s="2437"/>
      <c r="AO113" s="2437"/>
      <c r="AP113" s="2437"/>
      <c r="AQ113" s="2437"/>
      <c r="AR113" s="2437"/>
      <c r="AS113" s="2437"/>
      <c r="AT113" s="2437"/>
      <c r="AU113" s="2437"/>
      <c r="AV113" s="2438"/>
      <c r="AW113" s="2438"/>
      <c r="AX113" s="2438"/>
      <c r="AY113" s="2438"/>
      <c r="AZ113" s="2438"/>
      <c r="BA113" s="2438"/>
      <c r="BB113" s="2438"/>
      <c r="BC113" s="2438"/>
      <c r="BD113" s="2438"/>
      <c r="BE113" s="2438"/>
      <c r="BF113" s="2438"/>
      <c r="BG113" s="2438"/>
      <c r="BH113" s="724"/>
      <c r="BI113" s="724"/>
      <c r="BJ113" s="724"/>
      <c r="BK113" s="724"/>
      <c r="BL113" s="724"/>
      <c r="BM113" s="708"/>
      <c r="BN113" s="708"/>
      <c r="BO113" s="708"/>
      <c r="BP113" s="708"/>
      <c r="BQ113" s="708"/>
      <c r="BR113" s="708"/>
      <c r="BS113" s="708"/>
    </row>
    <row r="114" spans="2:71" ht="24" customHeight="1" x14ac:dyDescent="0.5">
      <c r="B114" s="411"/>
      <c r="C114" s="411"/>
      <c r="D114" s="411"/>
      <c r="E114" s="411"/>
      <c r="F114" s="505"/>
      <c r="G114" s="411"/>
      <c r="H114" s="2439"/>
      <c r="I114" s="2439"/>
      <c r="J114" s="2439"/>
      <c r="K114" s="2439"/>
      <c r="L114" s="411"/>
      <c r="M114" s="411"/>
      <c r="N114" s="411"/>
      <c r="O114" s="411"/>
      <c r="P114" s="505"/>
      <c r="Q114" s="47"/>
      <c r="R114" s="47"/>
      <c r="S114" s="47"/>
      <c r="T114" s="69"/>
      <c r="U114" s="504"/>
      <c r="V114" s="47"/>
      <c r="W114" s="47"/>
      <c r="X114" s="2436"/>
      <c r="Y114" s="2436"/>
      <c r="Z114" s="2436"/>
      <c r="AA114" s="2436"/>
      <c r="AB114" s="2436"/>
      <c r="AC114" s="2436"/>
      <c r="AD114" s="2436"/>
      <c r="AE114" s="2436"/>
      <c r="AF114" s="2436"/>
      <c r="AG114" s="2436"/>
      <c r="AH114" s="2436"/>
      <c r="AI114" s="2436"/>
      <c r="AJ114" s="2436"/>
      <c r="AK114" s="2437"/>
      <c r="AL114" s="2437"/>
      <c r="AM114" s="2437"/>
      <c r="AN114" s="2437"/>
      <c r="AO114" s="2437"/>
      <c r="AP114" s="2437"/>
      <c r="AQ114" s="2437"/>
      <c r="AR114" s="2437"/>
      <c r="AS114" s="2437"/>
      <c r="AT114" s="2437"/>
      <c r="AU114" s="2437"/>
      <c r="AV114" s="2438"/>
      <c r="AW114" s="2438"/>
      <c r="AX114" s="2438"/>
      <c r="AY114" s="2438"/>
      <c r="AZ114" s="2438"/>
      <c r="BA114" s="2438"/>
      <c r="BB114" s="2438"/>
      <c r="BC114" s="2438"/>
      <c r="BD114" s="2438"/>
      <c r="BE114" s="2438"/>
      <c r="BF114" s="2438"/>
      <c r="BG114" s="2438"/>
      <c r="BH114" s="724"/>
      <c r="BI114" s="724"/>
      <c r="BJ114" s="724"/>
      <c r="BK114" s="724"/>
      <c r="BL114" s="724"/>
      <c r="BM114" s="699" t="s">
        <v>121</v>
      </c>
      <c r="BN114" s="699"/>
      <c r="BO114" s="699"/>
      <c r="BP114" s="699"/>
      <c r="BQ114" s="699"/>
      <c r="BR114" s="699"/>
      <c r="BS114" s="699"/>
    </row>
    <row r="115" spans="2:71" ht="112.5" customHeight="1" x14ac:dyDescent="0.5">
      <c r="B115" s="411"/>
      <c r="C115" s="411"/>
      <c r="D115" s="411"/>
      <c r="E115" s="411"/>
      <c r="F115" s="505"/>
      <c r="G115" s="411"/>
      <c r="H115" s="2439"/>
      <c r="I115" s="2439"/>
      <c r="J115" s="2439"/>
      <c r="K115" s="2439"/>
      <c r="L115" s="411"/>
      <c r="M115" s="411"/>
      <c r="N115" s="411"/>
      <c r="O115" s="411"/>
      <c r="P115" s="505"/>
      <c r="Q115" s="47"/>
      <c r="R115" s="47"/>
      <c r="S115" s="47"/>
      <c r="T115" s="101"/>
      <c r="U115" s="504"/>
      <c r="V115" s="47"/>
      <c r="W115" s="47"/>
      <c r="X115" s="2436"/>
      <c r="Y115" s="2436"/>
      <c r="Z115" s="2436"/>
      <c r="AA115" s="2436"/>
      <c r="AB115" s="2436"/>
      <c r="AC115" s="2436"/>
      <c r="AD115" s="2436"/>
      <c r="AE115" s="2436"/>
      <c r="AF115" s="2436"/>
      <c r="AG115" s="2436"/>
      <c r="AH115" s="2436"/>
      <c r="AI115" s="2436"/>
      <c r="AJ115" s="2436"/>
      <c r="AK115" s="2437"/>
      <c r="AL115" s="2437"/>
      <c r="AM115" s="2437"/>
      <c r="AN115" s="2437"/>
      <c r="AO115" s="2437"/>
      <c r="AP115" s="2437"/>
      <c r="AQ115" s="2437"/>
      <c r="AR115" s="2437"/>
      <c r="AS115" s="2437"/>
      <c r="AT115" s="2437"/>
      <c r="AU115" s="2437"/>
      <c r="AV115" s="2438"/>
      <c r="AW115" s="2438"/>
      <c r="AX115" s="2438"/>
      <c r="AY115" s="2438"/>
      <c r="AZ115" s="2438"/>
      <c r="BA115" s="2438"/>
      <c r="BB115" s="2438"/>
      <c r="BC115" s="2438"/>
      <c r="BD115" s="2438"/>
      <c r="BE115" s="2438"/>
      <c r="BF115" s="2438"/>
      <c r="BG115" s="2438"/>
      <c r="BH115" s="724"/>
      <c r="BI115" s="724"/>
      <c r="BJ115" s="724"/>
      <c r="BK115" s="724"/>
      <c r="BL115" s="724"/>
      <c r="BM115" s="699"/>
      <c r="BN115" s="699"/>
      <c r="BO115" s="699"/>
      <c r="BP115" s="699"/>
      <c r="BQ115" s="699"/>
      <c r="BR115" s="699"/>
      <c r="BS115" s="699"/>
    </row>
    <row r="116" spans="2:71" ht="15" customHeight="1" x14ac:dyDescent="0.5">
      <c r="M116" s="1798"/>
      <c r="N116" s="1798"/>
      <c r="O116" s="1798"/>
      <c r="P116" s="1798"/>
    </row>
    <row r="117" spans="2:71" ht="15" hidden="1" customHeight="1" x14ac:dyDescent="0.5">
      <c r="M117" s="1798"/>
      <c r="N117" s="1798"/>
      <c r="O117" s="1798"/>
      <c r="P117" s="1798"/>
    </row>
    <row r="118" spans="2:71" ht="15" hidden="1" customHeight="1" x14ac:dyDescent="0.5">
      <c r="M118" s="1798"/>
      <c r="N118" s="1798"/>
      <c r="O118" s="1798"/>
      <c r="P118" s="1798"/>
    </row>
    <row r="119" spans="2:71" ht="15" hidden="1" customHeight="1" x14ac:dyDescent="0.5">
      <c r="M119" s="1798"/>
      <c r="N119" s="1798"/>
      <c r="O119" s="1798"/>
      <c r="P119" s="1798"/>
      <c r="BE119" t="s">
        <v>464</v>
      </c>
    </row>
    <row r="120" spans="2:71" ht="15" hidden="1" customHeight="1" x14ac:dyDescent="0.5">
      <c r="M120" s="1798"/>
      <c r="N120" s="1798"/>
      <c r="O120" s="1798"/>
      <c r="P120" s="1798"/>
    </row>
    <row r="121" spans="2:71" hidden="1" x14ac:dyDescent="0.5"/>
    <row r="125" spans="2:71" x14ac:dyDescent="0.5">
      <c r="AA125" s="27"/>
      <c r="AB125" s="27"/>
      <c r="AC125" s="27"/>
      <c r="AD125" s="27"/>
      <c r="AE125" s="506"/>
      <c r="AF125" s="27"/>
      <c r="AG125" s="27"/>
      <c r="AH125" s="27"/>
    </row>
    <row r="126" spans="2:71" ht="34.5" thickBot="1" x14ac:dyDescent="0.55000000000000004"/>
    <row r="127" spans="2:71" ht="34.5" thickTop="1" x14ac:dyDescent="0.5">
      <c r="AB127" s="775">
        <v>14.959800009999999</v>
      </c>
      <c r="AC127" s="776"/>
      <c r="AD127" s="776"/>
      <c r="AE127" s="776"/>
      <c r="AF127" s="777"/>
      <c r="AJ127" s="727" t="s">
        <v>122</v>
      </c>
      <c r="AK127" s="727"/>
      <c r="AL127" s="727"/>
      <c r="AM127" s="727" t="s">
        <v>123</v>
      </c>
      <c r="AN127" s="727"/>
      <c r="AO127" s="727"/>
      <c r="AP127" s="727" t="s">
        <v>124</v>
      </c>
      <c r="AQ127" s="727"/>
      <c r="AR127" s="727" t="s">
        <v>125</v>
      </c>
      <c r="AS127" s="727"/>
      <c r="AW127" s="739" t="s">
        <v>126</v>
      </c>
      <c r="AX127" s="740"/>
      <c r="AY127" s="740"/>
      <c r="AZ127" s="740"/>
      <c r="BA127" s="740"/>
      <c r="BB127" s="740"/>
      <c r="BC127" s="740"/>
      <c r="BD127" s="740"/>
      <c r="BE127" s="740"/>
      <c r="BF127" s="741"/>
      <c r="BG127" s="13"/>
      <c r="BH127" s="13"/>
      <c r="BI127" s="13"/>
    </row>
    <row r="128" spans="2:71" x14ac:dyDescent="0.5">
      <c r="AB128" s="778"/>
      <c r="AC128" s="779"/>
      <c r="AD128" s="779"/>
      <c r="AE128" s="779"/>
      <c r="AF128" s="780"/>
      <c r="AJ128" s="727"/>
      <c r="AK128" s="727"/>
      <c r="AL128" s="727"/>
      <c r="AM128" s="727"/>
      <c r="AN128" s="727"/>
      <c r="AO128" s="727"/>
      <c r="AP128" s="727"/>
      <c r="AQ128" s="727"/>
      <c r="AR128" s="727"/>
      <c r="AS128" s="727"/>
      <c r="AW128" s="750"/>
      <c r="AX128" s="751"/>
      <c r="AY128" s="751"/>
      <c r="AZ128" s="751"/>
      <c r="BA128" s="751"/>
      <c r="BB128" s="751"/>
      <c r="BC128" s="751"/>
      <c r="BD128" s="751"/>
      <c r="BE128" s="751"/>
      <c r="BF128" s="752"/>
      <c r="BG128" s="13"/>
      <c r="BH128" s="13"/>
      <c r="BI128" s="13"/>
    </row>
    <row r="129" spans="28:96" x14ac:dyDescent="0.5">
      <c r="AB129" s="778"/>
      <c r="AC129" s="779"/>
      <c r="AD129" s="779"/>
      <c r="AE129" s="779"/>
      <c r="AF129" s="780"/>
      <c r="AJ129" s="727"/>
      <c r="AK129" s="727"/>
      <c r="AL129" s="727"/>
      <c r="AM129" s="727"/>
      <c r="AN129" s="727"/>
      <c r="AO129" s="727"/>
      <c r="AP129" s="727"/>
      <c r="AQ129" s="727"/>
      <c r="AR129" s="727"/>
      <c r="AS129" s="727"/>
      <c r="AW129" s="742"/>
      <c r="AX129" s="743"/>
      <c r="AY129" s="743"/>
      <c r="AZ129" s="743"/>
      <c r="BA129" s="743"/>
      <c r="BB129" s="743"/>
      <c r="BC129" s="743"/>
      <c r="BD129" s="743"/>
      <c r="BE129" s="743"/>
      <c r="BF129" s="744"/>
      <c r="BG129" s="13"/>
      <c r="BH129" s="13"/>
      <c r="BI129" s="13"/>
    </row>
    <row r="130" spans="28:96" x14ac:dyDescent="0.5">
      <c r="AB130" s="778"/>
      <c r="AC130" s="779"/>
      <c r="AD130" s="779"/>
      <c r="AE130" s="779"/>
      <c r="AF130" s="780"/>
      <c r="AJ130" s="774">
        <v>1005</v>
      </c>
      <c r="AK130" s="774"/>
      <c r="AL130" s="774"/>
      <c r="AM130" s="774">
        <f>AR148</f>
        <v>542.5</v>
      </c>
      <c r="AN130" s="774"/>
      <c r="AO130" s="774"/>
      <c r="AP130" s="726">
        <f>AV110</f>
        <v>17.652200009999998</v>
      </c>
      <c r="AQ130" s="726"/>
      <c r="AR130" s="726">
        <f>AV110+BM110</f>
        <v>28.152200009999998</v>
      </c>
      <c r="AS130" s="726"/>
      <c r="AW130" s="727" t="s">
        <v>128</v>
      </c>
      <c r="AX130" s="727"/>
      <c r="AY130" s="727"/>
      <c r="AZ130" s="727"/>
      <c r="BA130" s="727"/>
      <c r="BB130" s="727"/>
      <c r="BC130" s="727"/>
      <c r="BD130" s="727"/>
      <c r="BE130" s="727"/>
      <c r="BF130" s="727"/>
      <c r="BG130" s="13"/>
      <c r="BH130" s="13"/>
      <c r="BI130" s="13"/>
    </row>
    <row r="131" spans="28:96" x14ac:dyDescent="0.5">
      <c r="AB131" s="778"/>
      <c r="AC131" s="779"/>
      <c r="AD131" s="779"/>
      <c r="AE131" s="779"/>
      <c r="AF131" s="780"/>
      <c r="AJ131" s="774"/>
      <c r="AK131" s="774"/>
      <c r="AL131" s="774"/>
      <c r="AM131" s="774"/>
      <c r="AN131" s="774"/>
      <c r="AO131" s="774"/>
      <c r="AP131" s="726"/>
      <c r="AQ131" s="726"/>
      <c r="AR131" s="726"/>
      <c r="AS131" s="726"/>
      <c r="AW131" s="727"/>
      <c r="AX131" s="727"/>
      <c r="AY131" s="727"/>
      <c r="AZ131" s="727"/>
      <c r="BA131" s="727"/>
      <c r="BB131" s="727"/>
      <c r="BC131" s="727"/>
      <c r="BD131" s="727"/>
      <c r="BE131" s="727"/>
      <c r="BF131" s="727"/>
      <c r="BG131" s="13"/>
      <c r="BH131" s="13"/>
      <c r="BI131" s="13"/>
    </row>
    <row r="132" spans="28:96" x14ac:dyDescent="0.5">
      <c r="AB132" s="778"/>
      <c r="AC132" s="779"/>
      <c r="AD132" s="779"/>
      <c r="AE132" s="779"/>
      <c r="AF132" s="780"/>
      <c r="AJ132" s="774"/>
      <c r="AK132" s="774"/>
      <c r="AL132" s="774"/>
      <c r="AM132" s="774"/>
      <c r="AN132" s="774"/>
      <c r="AO132" s="774"/>
      <c r="AP132" s="726"/>
      <c r="AQ132" s="726"/>
      <c r="AR132" s="726"/>
      <c r="AS132" s="726"/>
      <c r="AW132" s="728">
        <f>AP130/((84*3.1415/59)*(AM130/3.281))</f>
        <v>2.3869371784903136E-2</v>
      </c>
      <c r="AX132" s="729"/>
      <c r="AY132" s="729"/>
      <c r="AZ132" s="729"/>
      <c r="BA132" s="729"/>
      <c r="BB132" s="729"/>
      <c r="BC132" s="729"/>
      <c r="BD132" s="729"/>
      <c r="BE132" s="729"/>
      <c r="BF132" s="730"/>
      <c r="BG132" s="57"/>
      <c r="BH132" s="57"/>
      <c r="BI132" s="57"/>
    </row>
    <row r="133" spans="28:96" ht="34.5" thickBot="1" x14ac:dyDescent="0.55000000000000004">
      <c r="AB133" s="781"/>
      <c r="AC133" s="782"/>
      <c r="AD133" s="782"/>
      <c r="AE133" s="782"/>
      <c r="AF133" s="783"/>
      <c r="AJ133" s="774"/>
      <c r="AK133" s="774"/>
      <c r="AL133" s="774"/>
      <c r="AM133" s="774"/>
      <c r="AN133" s="774"/>
      <c r="AO133" s="774"/>
      <c r="AP133" s="726"/>
      <c r="AQ133" s="726"/>
      <c r="AR133" s="726"/>
      <c r="AS133" s="726"/>
      <c r="AW133" s="731"/>
      <c r="AX133" s="732"/>
      <c r="AY133" s="732"/>
      <c r="AZ133" s="732"/>
      <c r="BA133" s="732"/>
      <c r="BB133" s="732"/>
      <c r="BC133" s="732"/>
      <c r="BD133" s="732"/>
      <c r="BE133" s="732"/>
      <c r="BF133" s="733"/>
      <c r="BG133" s="57"/>
      <c r="BH133" s="57"/>
      <c r="BI133" s="57"/>
      <c r="BV133" s="1800"/>
      <c r="BW133" s="1800"/>
      <c r="BX133" s="1800"/>
      <c r="BY133" s="1800"/>
    </row>
    <row r="134" spans="28:96" ht="34.5" thickTop="1" x14ac:dyDescent="0.5">
      <c r="AW134" s="734"/>
      <c r="AX134" s="735"/>
      <c r="AY134" s="735"/>
      <c r="AZ134" s="735"/>
      <c r="BA134" s="735"/>
      <c r="BB134" s="735"/>
      <c r="BC134" s="735"/>
      <c r="BD134" s="735"/>
      <c r="BE134" s="735"/>
      <c r="BF134" s="736"/>
      <c r="BG134" s="57"/>
      <c r="BH134" s="57"/>
      <c r="BI134" s="57"/>
      <c r="BV134" s="1800"/>
      <c r="BW134" s="1800"/>
      <c r="BX134" s="1800"/>
      <c r="BY134" s="1800"/>
    </row>
    <row r="135" spans="28:96" x14ac:dyDescent="0.5">
      <c r="AW135" s="739" t="s">
        <v>129</v>
      </c>
      <c r="AX135" s="740"/>
      <c r="AY135" s="740"/>
      <c r="AZ135" s="740"/>
      <c r="BA135" s="740"/>
      <c r="BB135" s="740"/>
      <c r="BC135" s="740"/>
      <c r="BD135" s="740"/>
      <c r="BE135" s="740"/>
      <c r="BF135" s="741"/>
      <c r="BG135" s="13"/>
      <c r="BH135" s="13"/>
      <c r="BI135" s="13"/>
    </row>
    <row r="136" spans="28:96" ht="15" customHeight="1" x14ac:dyDescent="0.5">
      <c r="AW136" s="742"/>
      <c r="AX136" s="743"/>
      <c r="AY136" s="743"/>
      <c r="AZ136" s="743"/>
      <c r="BA136" s="743"/>
      <c r="BB136" s="743"/>
      <c r="BC136" s="743"/>
      <c r="BD136" s="743"/>
      <c r="BE136" s="743"/>
      <c r="BF136" s="744"/>
      <c r="BG136" s="13"/>
      <c r="BH136" s="13"/>
      <c r="BI136" s="13"/>
    </row>
    <row r="137" spans="28:96" ht="15" customHeight="1" x14ac:dyDescent="0.5">
      <c r="AL137" s="1255">
        <v>36.83</v>
      </c>
      <c r="AM137" s="1255"/>
      <c r="AN137" s="1255"/>
      <c r="AO137" s="746">
        <v>0</v>
      </c>
      <c r="AP137" s="746"/>
      <c r="AQ137" s="746"/>
      <c r="AR137" s="747">
        <f>AO137*AL137</f>
        <v>0</v>
      </c>
      <c r="AS137" s="748"/>
      <c r="AT137" s="748"/>
      <c r="AU137" s="749"/>
      <c r="AW137" s="739" t="s">
        <v>130</v>
      </c>
      <c r="AX137" s="740"/>
      <c r="AY137" s="740"/>
      <c r="AZ137" s="740"/>
      <c r="BA137" s="740"/>
      <c r="BB137" s="740"/>
      <c r="BC137" s="740"/>
      <c r="BD137" s="740"/>
      <c r="BE137" s="740"/>
      <c r="BF137" s="741"/>
      <c r="BG137" s="13"/>
      <c r="BH137" s="13"/>
      <c r="BI137" s="13"/>
    </row>
    <row r="138" spans="28:96" x14ac:dyDescent="0.5">
      <c r="AL138" s="1255"/>
      <c r="AM138" s="1255"/>
      <c r="AN138" s="1255"/>
      <c r="AO138" s="746"/>
      <c r="AP138" s="746"/>
      <c r="AQ138" s="746"/>
      <c r="AR138" s="747"/>
      <c r="AS138" s="748"/>
      <c r="AT138" s="748"/>
      <c r="AU138" s="749"/>
      <c r="AW138" s="750"/>
      <c r="AX138" s="751"/>
      <c r="AY138" s="751"/>
      <c r="AZ138" s="751"/>
      <c r="BA138" s="751"/>
      <c r="BB138" s="751"/>
      <c r="BC138" s="751"/>
      <c r="BD138" s="751"/>
      <c r="BE138" s="751"/>
      <c r="BF138" s="752"/>
      <c r="BG138" s="13"/>
      <c r="BH138" s="13"/>
      <c r="BI138" s="13"/>
      <c r="BV138" s="727"/>
      <c r="BW138" s="727"/>
      <c r="BX138" s="727"/>
      <c r="BY138" s="727"/>
      <c r="BZ138" s="727"/>
      <c r="CA138" s="727"/>
      <c r="CB138" s="727"/>
      <c r="CC138" s="727"/>
      <c r="CD138" s="727"/>
      <c r="CE138" s="727"/>
      <c r="CI138" s="739"/>
      <c r="CJ138" s="740"/>
      <c r="CK138" s="740"/>
      <c r="CL138" s="740"/>
      <c r="CM138" s="740"/>
      <c r="CN138" s="740"/>
      <c r="CO138" s="740"/>
      <c r="CP138" s="740"/>
      <c r="CQ138" s="740"/>
      <c r="CR138" s="741"/>
    </row>
    <row r="139" spans="28:96" x14ac:dyDescent="0.5">
      <c r="AL139" s="1255"/>
      <c r="AM139" s="1255"/>
      <c r="AN139" s="1255"/>
      <c r="AO139" s="746"/>
      <c r="AP139" s="746"/>
      <c r="AQ139" s="746"/>
      <c r="AR139" s="747"/>
      <c r="AS139" s="748"/>
      <c r="AT139" s="748"/>
      <c r="AU139" s="749"/>
      <c r="AW139" s="750"/>
      <c r="AX139" s="751"/>
      <c r="AY139" s="751"/>
      <c r="AZ139" s="751"/>
      <c r="BA139" s="751"/>
      <c r="BB139" s="751"/>
      <c r="BC139" s="751"/>
      <c r="BD139" s="751"/>
      <c r="BE139" s="751"/>
      <c r="BF139" s="752"/>
      <c r="BG139" s="13"/>
      <c r="BH139" s="13"/>
      <c r="BI139" s="13"/>
      <c r="BV139" s="727"/>
      <c r="BW139" s="727"/>
      <c r="BX139" s="727"/>
      <c r="BY139" s="727"/>
      <c r="BZ139" s="727"/>
      <c r="CA139" s="727"/>
      <c r="CB139" s="727"/>
      <c r="CC139" s="727"/>
      <c r="CD139" s="727"/>
      <c r="CE139" s="727"/>
      <c r="CI139" s="750"/>
      <c r="CJ139" s="751"/>
      <c r="CK139" s="751"/>
      <c r="CL139" s="751"/>
      <c r="CM139" s="751"/>
      <c r="CN139" s="751"/>
      <c r="CO139" s="751"/>
      <c r="CP139" s="751"/>
      <c r="CQ139" s="751"/>
      <c r="CR139" s="752"/>
    </row>
    <row r="140" spans="28:96" x14ac:dyDescent="0.5">
      <c r="AL140" s="1255">
        <v>37.5</v>
      </c>
      <c r="AM140" s="1255"/>
      <c r="AN140" s="1255"/>
      <c r="AO140" s="746">
        <v>2</v>
      </c>
      <c r="AP140" s="746"/>
      <c r="AQ140" s="746"/>
      <c r="AR140" s="747">
        <f>AO140*AL140</f>
        <v>75</v>
      </c>
      <c r="AS140" s="748"/>
      <c r="AT140" s="748"/>
      <c r="AU140" s="749"/>
      <c r="AW140" s="742"/>
      <c r="AX140" s="743"/>
      <c r="AY140" s="743"/>
      <c r="AZ140" s="743"/>
      <c r="BA140" s="743"/>
      <c r="BB140" s="743"/>
      <c r="BC140" s="743"/>
      <c r="BD140" s="743"/>
      <c r="BE140" s="743"/>
      <c r="BF140" s="744"/>
      <c r="BG140" s="13"/>
      <c r="BH140" s="13"/>
      <c r="BI140" s="13"/>
      <c r="BV140" s="727"/>
      <c r="BW140" s="727"/>
      <c r="BX140" s="727"/>
      <c r="BY140" s="727"/>
      <c r="BZ140" s="727"/>
      <c r="CA140" s="727"/>
      <c r="CB140" s="727"/>
      <c r="CC140" s="727"/>
      <c r="CD140" s="727"/>
      <c r="CE140" s="727"/>
      <c r="CI140" s="742"/>
      <c r="CJ140" s="743"/>
      <c r="CK140" s="743"/>
      <c r="CL140" s="743"/>
      <c r="CM140" s="743"/>
      <c r="CN140" s="743"/>
      <c r="CO140" s="743"/>
      <c r="CP140" s="743"/>
      <c r="CQ140" s="743"/>
      <c r="CR140" s="744"/>
    </row>
    <row r="141" spans="28:96" x14ac:dyDescent="0.5">
      <c r="AL141" s="1255"/>
      <c r="AM141" s="1255"/>
      <c r="AN141" s="1255"/>
      <c r="AO141" s="746"/>
      <c r="AP141" s="746"/>
      <c r="AQ141" s="746"/>
      <c r="AR141" s="747"/>
      <c r="AS141" s="748"/>
      <c r="AT141" s="748"/>
      <c r="AU141" s="749"/>
      <c r="AW141" s="728">
        <f>AR130/((84*3.1415/59)*(AM130/3.281))</f>
        <v>3.8067511597476157E-2</v>
      </c>
      <c r="AX141" s="729"/>
      <c r="AY141" s="729"/>
      <c r="AZ141" s="729"/>
      <c r="BA141" s="729"/>
      <c r="BB141" s="729"/>
      <c r="BC141" s="729"/>
      <c r="BD141" s="729"/>
      <c r="BE141" s="729"/>
      <c r="BF141" s="730"/>
      <c r="BG141" s="57"/>
      <c r="BH141" s="57"/>
      <c r="BI141" s="57"/>
      <c r="BV141" s="774"/>
      <c r="BW141" s="774"/>
      <c r="BX141" s="774"/>
      <c r="BY141" s="774"/>
      <c r="BZ141" s="774"/>
      <c r="CA141" s="774"/>
      <c r="CB141" s="726"/>
      <c r="CC141" s="726"/>
      <c r="CD141" s="726"/>
      <c r="CE141" s="726"/>
      <c r="CI141" s="727"/>
      <c r="CJ141" s="727"/>
      <c r="CK141" s="727"/>
      <c r="CL141" s="727"/>
      <c r="CM141" s="727"/>
      <c r="CN141" s="727"/>
      <c r="CO141" s="727"/>
      <c r="CP141" s="727"/>
      <c r="CQ141" s="727"/>
      <c r="CR141" s="727"/>
    </row>
    <row r="142" spans="28:96" x14ac:dyDescent="0.5">
      <c r="AL142" s="1255"/>
      <c r="AM142" s="1255"/>
      <c r="AN142" s="1255"/>
      <c r="AO142" s="746"/>
      <c r="AP142" s="746"/>
      <c r="AQ142" s="746"/>
      <c r="AR142" s="747"/>
      <c r="AS142" s="748"/>
      <c r="AT142" s="748"/>
      <c r="AU142" s="749"/>
      <c r="AW142" s="731"/>
      <c r="AX142" s="732"/>
      <c r="AY142" s="732"/>
      <c r="AZ142" s="732"/>
      <c r="BA142" s="732"/>
      <c r="BB142" s="732"/>
      <c r="BC142" s="732"/>
      <c r="BD142" s="732"/>
      <c r="BE142" s="732"/>
      <c r="BF142" s="733"/>
      <c r="BG142" s="57"/>
      <c r="BH142" s="57"/>
      <c r="BI142" s="57"/>
      <c r="BV142" s="774"/>
      <c r="BW142" s="774"/>
      <c r="BX142" s="774"/>
      <c r="BY142" s="774"/>
      <c r="BZ142" s="774"/>
      <c r="CA142" s="774"/>
      <c r="CB142" s="726"/>
      <c r="CC142" s="726"/>
      <c r="CD142" s="726"/>
      <c r="CE142" s="726"/>
      <c r="CI142" s="727"/>
      <c r="CJ142" s="727"/>
      <c r="CK142" s="727"/>
      <c r="CL142" s="727"/>
      <c r="CM142" s="727"/>
      <c r="CN142" s="727"/>
      <c r="CO142" s="727"/>
      <c r="CP142" s="727"/>
      <c r="CQ142" s="727"/>
      <c r="CR142" s="727"/>
    </row>
    <row r="143" spans="28:96" x14ac:dyDescent="0.5">
      <c r="AL143" s="1779">
        <v>40</v>
      </c>
      <c r="AM143" s="1780"/>
      <c r="AN143" s="1781"/>
      <c r="AO143" s="1457">
        <v>6</v>
      </c>
      <c r="AP143" s="1458"/>
      <c r="AQ143" s="1459"/>
      <c r="AR143" s="1457">
        <f>AO143*AL143</f>
        <v>240</v>
      </c>
      <c r="AS143" s="1458"/>
      <c r="AT143" s="1458"/>
      <c r="AU143" s="1459"/>
      <c r="AW143" s="731"/>
      <c r="AX143" s="732"/>
      <c r="AY143" s="732"/>
      <c r="AZ143" s="732"/>
      <c r="BA143" s="732"/>
      <c r="BB143" s="732"/>
      <c r="BC143" s="732"/>
      <c r="BD143" s="732"/>
      <c r="BE143" s="732"/>
      <c r="BF143" s="733"/>
      <c r="BG143" s="57"/>
      <c r="BH143" s="57"/>
      <c r="BI143" s="57"/>
      <c r="BV143" s="774"/>
      <c r="BW143" s="774"/>
      <c r="BX143" s="774"/>
      <c r="BY143" s="774"/>
      <c r="BZ143" s="774"/>
      <c r="CA143" s="774"/>
      <c r="CB143" s="726"/>
      <c r="CC143" s="726"/>
      <c r="CD143" s="726"/>
      <c r="CE143" s="726"/>
      <c r="CI143" s="728"/>
      <c r="CJ143" s="729"/>
      <c r="CK143" s="729"/>
      <c r="CL143" s="729"/>
      <c r="CM143" s="729"/>
      <c r="CN143" s="729"/>
      <c r="CO143" s="729"/>
      <c r="CP143" s="729"/>
      <c r="CQ143" s="729"/>
      <c r="CR143" s="730"/>
    </row>
    <row r="144" spans="28:96" x14ac:dyDescent="0.5">
      <c r="AL144" s="1782"/>
      <c r="AM144" s="1783"/>
      <c r="AN144" s="1784"/>
      <c r="AO144" s="1785"/>
      <c r="AP144" s="1786"/>
      <c r="AQ144" s="1787"/>
      <c r="AR144" s="1785"/>
      <c r="AS144" s="1786"/>
      <c r="AT144" s="1786"/>
      <c r="AU144" s="1787"/>
      <c r="AW144" s="731"/>
      <c r="AX144" s="732"/>
      <c r="AY144" s="732"/>
      <c r="AZ144" s="732"/>
      <c r="BA144" s="732"/>
      <c r="BB144" s="732"/>
      <c r="BC144" s="732"/>
      <c r="BD144" s="732"/>
      <c r="BE144" s="732"/>
      <c r="BF144" s="733"/>
      <c r="BG144" s="57"/>
      <c r="BH144" s="57"/>
      <c r="BI144" s="57"/>
      <c r="BV144" s="774"/>
      <c r="BW144" s="774"/>
      <c r="BX144" s="774"/>
      <c r="BY144" s="774"/>
      <c r="BZ144" s="774"/>
      <c r="CA144" s="774"/>
      <c r="CB144" s="726"/>
      <c r="CC144" s="726"/>
      <c r="CD144" s="726"/>
      <c r="CE144" s="726"/>
      <c r="CI144" s="731"/>
      <c r="CJ144" s="732"/>
      <c r="CK144" s="732"/>
      <c r="CL144" s="732"/>
      <c r="CM144" s="732"/>
      <c r="CN144" s="732"/>
      <c r="CO144" s="732"/>
      <c r="CP144" s="732"/>
      <c r="CQ144" s="732"/>
      <c r="CR144" s="733"/>
    </row>
    <row r="145" spans="35:96" x14ac:dyDescent="0.5">
      <c r="AL145" s="1788">
        <v>42.5</v>
      </c>
      <c r="AM145" s="1789"/>
      <c r="AN145" s="1790"/>
      <c r="AO145" s="747">
        <v>2</v>
      </c>
      <c r="AP145" s="748"/>
      <c r="AQ145" s="749"/>
      <c r="AR145" s="747">
        <f>AO145*AL145</f>
        <v>85</v>
      </c>
      <c r="AS145" s="748"/>
      <c r="AT145" s="748"/>
      <c r="AU145" s="749"/>
      <c r="AW145" s="734"/>
      <c r="AX145" s="735"/>
      <c r="AY145" s="735"/>
      <c r="AZ145" s="735"/>
      <c r="BA145" s="735"/>
      <c r="BB145" s="735"/>
      <c r="BC145" s="735"/>
      <c r="BD145" s="735"/>
      <c r="BE145" s="735"/>
      <c r="BF145" s="736"/>
      <c r="BG145" s="57"/>
      <c r="BH145" s="57"/>
      <c r="BI145" s="57"/>
      <c r="CI145" s="734"/>
      <c r="CJ145" s="735"/>
      <c r="CK145" s="735"/>
      <c r="CL145" s="735"/>
      <c r="CM145" s="735"/>
      <c r="CN145" s="735"/>
      <c r="CO145" s="735"/>
      <c r="CP145" s="735"/>
      <c r="CQ145" s="735"/>
      <c r="CR145" s="736"/>
    </row>
    <row r="146" spans="35:96" ht="37.5" customHeight="1" x14ac:dyDescent="0.5">
      <c r="AL146" s="1788">
        <v>47.5</v>
      </c>
      <c r="AM146" s="1789"/>
      <c r="AN146" s="1790"/>
      <c r="AO146" s="747">
        <v>3</v>
      </c>
      <c r="AP146" s="748"/>
      <c r="AQ146" s="749"/>
      <c r="AR146" s="747">
        <f>AO146*AL146</f>
        <v>142.5</v>
      </c>
      <c r="AS146" s="748"/>
      <c r="AT146" s="748"/>
      <c r="AU146" s="749"/>
      <c r="CI146" s="739"/>
      <c r="CJ146" s="740"/>
      <c r="CK146" s="740"/>
      <c r="CL146" s="740"/>
      <c r="CM146" s="740"/>
      <c r="CN146" s="740"/>
      <c r="CO146" s="740"/>
      <c r="CP146" s="740"/>
      <c r="CQ146" s="740"/>
      <c r="CR146" s="741"/>
    </row>
    <row r="147" spans="35:96" x14ac:dyDescent="0.5">
      <c r="AL147" s="1788"/>
      <c r="AM147" s="1789"/>
      <c r="AN147" s="1790"/>
      <c r="AO147" s="747"/>
      <c r="AP147" s="748"/>
      <c r="AQ147" s="749"/>
      <c r="AR147" s="747">
        <f>AO147*AL147</f>
        <v>0</v>
      </c>
      <c r="AS147" s="748"/>
      <c r="AT147" s="748"/>
      <c r="AU147" s="749"/>
      <c r="CI147" s="742"/>
      <c r="CJ147" s="743"/>
      <c r="CK147" s="743"/>
      <c r="CL147" s="743"/>
      <c r="CM147" s="743"/>
      <c r="CN147" s="743"/>
      <c r="CO147" s="743"/>
      <c r="CP147" s="743"/>
      <c r="CQ147" s="743"/>
      <c r="CR147" s="744"/>
    </row>
    <row r="148" spans="35:96" x14ac:dyDescent="0.5">
      <c r="AL148" s="1788"/>
      <c r="AM148" s="1789"/>
      <c r="AN148" s="1790"/>
      <c r="AO148" s="1254">
        <f>SUM(AO137:AQ146)</f>
        <v>13</v>
      </c>
      <c r="AP148" s="1254"/>
      <c r="AQ148" s="1254"/>
      <c r="AR148" s="747">
        <f>AR140+AR137+AR143+AR145+AR146+AR147</f>
        <v>542.5</v>
      </c>
      <c r="AS148" s="748"/>
      <c r="AT148" s="748"/>
      <c r="AU148" s="749"/>
      <c r="BX148" s="1255"/>
      <c r="BY148" s="1255"/>
      <c r="BZ148" s="1255"/>
      <c r="CA148" s="746"/>
      <c r="CB148" s="746"/>
      <c r="CC148" s="746"/>
      <c r="CD148" s="747"/>
      <c r="CE148" s="748"/>
      <c r="CF148" s="748"/>
      <c r="CG148" s="749"/>
      <c r="CI148" s="739"/>
      <c r="CJ148" s="740"/>
      <c r="CK148" s="740"/>
      <c r="CL148" s="740"/>
      <c r="CM148" s="740"/>
      <c r="CN148" s="740"/>
      <c r="CO148" s="740"/>
      <c r="CP148" s="740"/>
      <c r="CQ148" s="740"/>
      <c r="CR148" s="741"/>
    </row>
    <row r="149" spans="35:96" x14ac:dyDescent="0.5">
      <c r="AO149" s="1254"/>
      <c r="AP149" s="1254"/>
      <c r="AQ149" s="1254"/>
      <c r="AR149" s="747"/>
      <c r="AS149" s="748"/>
      <c r="AT149" s="748"/>
      <c r="AU149" s="749"/>
      <c r="BX149" s="1255"/>
      <c r="BY149" s="1255"/>
      <c r="BZ149" s="1255"/>
      <c r="CA149" s="746"/>
      <c r="CB149" s="746"/>
      <c r="CC149" s="746"/>
      <c r="CD149" s="747"/>
      <c r="CE149" s="748"/>
      <c r="CF149" s="748"/>
      <c r="CG149" s="749"/>
      <c r="CI149" s="750"/>
      <c r="CJ149" s="751"/>
      <c r="CK149" s="751"/>
      <c r="CL149" s="751"/>
      <c r="CM149" s="751"/>
      <c r="CN149" s="751"/>
      <c r="CO149" s="751"/>
      <c r="CP149" s="751"/>
      <c r="CQ149" s="751"/>
      <c r="CR149" s="752"/>
    </row>
    <row r="150" spans="35:96" ht="15" customHeight="1" x14ac:dyDescent="0.5">
      <c r="AI150" s="1799"/>
      <c r="AJ150" s="1799"/>
      <c r="AK150" s="1799"/>
      <c r="AL150" s="1799"/>
      <c r="AO150" s="1254"/>
      <c r="AP150" s="1254"/>
      <c r="AQ150" s="1254"/>
      <c r="AR150" s="747"/>
      <c r="AS150" s="748"/>
      <c r="AT150" s="748"/>
      <c r="AU150" s="749"/>
      <c r="BX150" s="1255"/>
      <c r="BY150" s="1255"/>
      <c r="BZ150" s="1255"/>
      <c r="CA150" s="746"/>
      <c r="CB150" s="746"/>
      <c r="CC150" s="746"/>
      <c r="CD150" s="747"/>
      <c r="CE150" s="748"/>
      <c r="CF150" s="748"/>
      <c r="CG150" s="749"/>
      <c r="CI150" s="750"/>
      <c r="CJ150" s="751"/>
      <c r="CK150" s="751"/>
      <c r="CL150" s="751"/>
      <c r="CM150" s="751"/>
      <c r="CN150" s="751"/>
      <c r="CO150" s="751"/>
      <c r="CP150" s="751"/>
      <c r="CQ150" s="751"/>
      <c r="CR150" s="752"/>
    </row>
    <row r="151" spans="35:96" ht="15" customHeight="1" x14ac:dyDescent="0.5">
      <c r="AI151" s="1799"/>
      <c r="AJ151" s="1799"/>
      <c r="AK151" s="1799"/>
      <c r="AL151" s="1799"/>
      <c r="BX151" s="727"/>
      <c r="BY151" s="727"/>
      <c r="BZ151" s="727"/>
      <c r="CA151" s="746"/>
      <c r="CB151" s="746"/>
      <c r="CC151" s="746"/>
      <c r="CD151" s="747"/>
      <c r="CE151" s="748"/>
      <c r="CF151" s="748"/>
      <c r="CG151" s="749"/>
      <c r="CI151" s="742"/>
      <c r="CJ151" s="743"/>
      <c r="CK151" s="743"/>
      <c r="CL151" s="743"/>
      <c r="CM151" s="743"/>
      <c r="CN151" s="743"/>
      <c r="CO151" s="743"/>
      <c r="CP151" s="743"/>
      <c r="CQ151" s="743"/>
      <c r="CR151" s="744"/>
    </row>
    <row r="152" spans="35:96" ht="15" customHeight="1" x14ac:dyDescent="0.5">
      <c r="AI152" s="1799"/>
      <c r="AJ152" s="1799"/>
      <c r="AK152" s="1799"/>
      <c r="AL152" s="1799"/>
      <c r="BX152" s="727"/>
      <c r="BY152" s="727"/>
      <c r="BZ152" s="727"/>
      <c r="CA152" s="746"/>
      <c r="CB152" s="746"/>
      <c r="CC152" s="746"/>
      <c r="CD152" s="747"/>
      <c r="CE152" s="748"/>
      <c r="CF152" s="748"/>
      <c r="CG152" s="749"/>
      <c r="CI152" s="728"/>
      <c r="CJ152" s="729"/>
      <c r="CK152" s="729"/>
      <c r="CL152" s="729"/>
      <c r="CM152" s="729"/>
      <c r="CN152" s="729"/>
      <c r="CO152" s="729"/>
      <c r="CP152" s="729"/>
      <c r="CQ152" s="729"/>
      <c r="CR152" s="730"/>
    </row>
    <row r="153" spans="35:96" x14ac:dyDescent="0.5">
      <c r="AL153" s="1255"/>
      <c r="AM153" s="1255"/>
      <c r="AN153" s="1255"/>
      <c r="AO153" s="746"/>
      <c r="AP153" s="746"/>
      <c r="AQ153" s="746"/>
      <c r="AR153" s="747"/>
      <c r="AS153" s="748"/>
      <c r="AT153" s="748"/>
      <c r="AU153" s="749"/>
      <c r="BX153" s="727"/>
      <c r="BY153" s="727"/>
      <c r="BZ153" s="727"/>
      <c r="CA153" s="746"/>
      <c r="CB153" s="746"/>
      <c r="CC153" s="746"/>
      <c r="CD153" s="747"/>
      <c r="CE153" s="748"/>
      <c r="CF153" s="748"/>
      <c r="CG153" s="749"/>
      <c r="CI153" s="731"/>
      <c r="CJ153" s="732"/>
      <c r="CK153" s="732"/>
      <c r="CL153" s="732"/>
      <c r="CM153" s="732"/>
      <c r="CN153" s="732"/>
      <c r="CO153" s="732"/>
      <c r="CP153" s="732"/>
      <c r="CQ153" s="732"/>
      <c r="CR153" s="733"/>
    </row>
    <row r="154" spans="35:96" ht="15" customHeight="1" x14ac:dyDescent="0.5">
      <c r="AL154" s="1255"/>
      <c r="AM154" s="1255"/>
      <c r="AN154" s="1255"/>
      <c r="AO154" s="746"/>
      <c r="AP154" s="746"/>
      <c r="AQ154" s="746"/>
      <c r="AR154" s="747"/>
      <c r="AS154" s="748"/>
      <c r="AT154" s="748"/>
      <c r="AU154" s="749"/>
      <c r="BX154" s="727"/>
      <c r="BY154" s="727"/>
      <c r="BZ154" s="727"/>
      <c r="CA154" s="746"/>
      <c r="CB154" s="746"/>
      <c r="CC154" s="746"/>
      <c r="CD154" s="747"/>
      <c r="CE154" s="748"/>
      <c r="CF154" s="748"/>
      <c r="CG154" s="749"/>
      <c r="CI154" s="731"/>
      <c r="CJ154" s="732"/>
      <c r="CK154" s="732"/>
      <c r="CL154" s="732"/>
      <c r="CM154" s="732"/>
      <c r="CN154" s="732"/>
      <c r="CO154" s="732"/>
      <c r="CP154" s="732"/>
      <c r="CQ154" s="732"/>
      <c r="CR154" s="733"/>
    </row>
    <row r="155" spans="35:96" ht="15" customHeight="1" x14ac:dyDescent="0.5">
      <c r="AL155" s="1255"/>
      <c r="AM155" s="1255"/>
      <c r="AN155" s="1255"/>
      <c r="AO155" s="746"/>
      <c r="AP155" s="746"/>
      <c r="AQ155" s="746"/>
      <c r="AR155" s="747"/>
      <c r="AS155" s="748"/>
      <c r="AT155" s="748"/>
      <c r="AU155" s="749"/>
      <c r="BX155" s="727"/>
      <c r="BY155" s="727"/>
      <c r="BZ155" s="727"/>
      <c r="CA155" s="746"/>
      <c r="CB155" s="746"/>
      <c r="CC155" s="746"/>
      <c r="CD155" s="747"/>
      <c r="CE155" s="748"/>
      <c r="CF155" s="748"/>
      <c r="CG155" s="749"/>
      <c r="CI155" s="731"/>
      <c r="CJ155" s="732"/>
      <c r="CK155" s="732"/>
      <c r="CL155" s="732"/>
      <c r="CM155" s="732"/>
      <c r="CN155" s="732"/>
      <c r="CO155" s="732"/>
      <c r="CP155" s="732"/>
      <c r="CQ155" s="732"/>
      <c r="CR155" s="733"/>
    </row>
    <row r="156" spans="35:96" ht="15" customHeight="1" x14ac:dyDescent="0.5">
      <c r="AL156" s="1255"/>
      <c r="AM156" s="1255"/>
      <c r="AN156" s="1255"/>
      <c r="AO156" s="746"/>
      <c r="AP156" s="746"/>
      <c r="AQ156" s="746"/>
      <c r="AR156" s="747"/>
      <c r="AS156" s="748"/>
      <c r="AT156" s="748"/>
      <c r="AU156" s="749"/>
      <c r="BX156" s="727"/>
      <c r="BY156" s="727"/>
      <c r="BZ156" s="727"/>
      <c r="CA156" s="746"/>
      <c r="CB156" s="746"/>
      <c r="CC156" s="746"/>
      <c r="CD156" s="747"/>
      <c r="CE156" s="748"/>
      <c r="CF156" s="748"/>
      <c r="CG156" s="749"/>
      <c r="CI156" s="734"/>
      <c r="CJ156" s="735"/>
      <c r="CK156" s="735"/>
      <c r="CL156" s="735"/>
      <c r="CM156" s="735"/>
      <c r="CN156" s="735"/>
      <c r="CO156" s="735"/>
      <c r="CP156" s="735"/>
      <c r="CQ156" s="735"/>
      <c r="CR156" s="736"/>
    </row>
    <row r="157" spans="35:96" ht="15" customHeight="1" x14ac:dyDescent="0.5">
      <c r="AL157" s="1255"/>
      <c r="AM157" s="1255"/>
      <c r="AN157" s="1255"/>
      <c r="AO157" s="746"/>
      <c r="AP157" s="746"/>
      <c r="AQ157" s="746"/>
      <c r="AR157" s="747"/>
      <c r="AS157" s="748"/>
      <c r="AT157" s="748"/>
      <c r="AU157" s="749"/>
      <c r="CA157" s="1254"/>
      <c r="CB157" s="1254"/>
      <c r="CC157" s="1254"/>
      <c r="CD157" s="747"/>
      <c r="CE157" s="748"/>
      <c r="CF157" s="748"/>
      <c r="CG157" s="749"/>
    </row>
    <row r="158" spans="35:96" ht="15" customHeight="1" x14ac:dyDescent="0.5">
      <c r="AL158" s="1255"/>
      <c r="AM158" s="1255"/>
      <c r="AN158" s="1255"/>
      <c r="AO158" s="746"/>
      <c r="AP158" s="746"/>
      <c r="AQ158" s="746"/>
      <c r="AR158" s="747"/>
      <c r="AS158" s="748"/>
      <c r="AT158" s="748"/>
      <c r="AU158" s="749"/>
      <c r="CA158" s="1254"/>
      <c r="CB158" s="1254"/>
      <c r="CC158" s="1254"/>
      <c r="CD158" s="747"/>
      <c r="CE158" s="748"/>
      <c r="CF158" s="748"/>
      <c r="CG158" s="749"/>
    </row>
    <row r="159" spans="35:96" ht="15" customHeight="1" x14ac:dyDescent="0.5">
      <c r="AL159" s="1779"/>
      <c r="AM159" s="1780"/>
      <c r="AN159" s="1781"/>
      <c r="AO159" s="1457"/>
      <c r="AP159" s="1458"/>
      <c r="AQ159" s="1459"/>
      <c r="AR159" s="1457"/>
      <c r="AS159" s="1458"/>
      <c r="AT159" s="1458"/>
      <c r="AU159" s="1459"/>
      <c r="CA159" s="1254"/>
      <c r="CB159" s="1254"/>
      <c r="CC159" s="1254"/>
      <c r="CD159" s="747"/>
      <c r="CE159" s="748"/>
      <c r="CF159" s="748"/>
      <c r="CG159" s="749"/>
    </row>
    <row r="160" spans="35:96" ht="18.75" customHeight="1" x14ac:dyDescent="0.5">
      <c r="AL160" s="1782"/>
      <c r="AM160" s="1783"/>
      <c r="AN160" s="1784"/>
      <c r="AO160" s="1785"/>
      <c r="AP160" s="1786"/>
      <c r="AQ160" s="1787"/>
      <c r="AR160" s="1785"/>
      <c r="AS160" s="1786"/>
      <c r="AT160" s="1786"/>
      <c r="AU160" s="1787"/>
    </row>
    <row r="161" spans="35:47" ht="18.75" customHeight="1" x14ac:dyDescent="0.5">
      <c r="AL161" s="1788"/>
      <c r="AM161" s="1789"/>
      <c r="AN161" s="1790"/>
      <c r="AO161" s="747"/>
      <c r="AP161" s="748"/>
      <c r="AQ161" s="749"/>
      <c r="AR161" s="747"/>
      <c r="AS161" s="748"/>
      <c r="AT161" s="748"/>
      <c r="AU161" s="749"/>
    </row>
    <row r="162" spans="35:47" ht="18.75" customHeight="1" x14ac:dyDescent="0.5">
      <c r="AL162" s="1788"/>
      <c r="AM162" s="1789"/>
      <c r="AN162" s="1790"/>
      <c r="AO162" s="747"/>
      <c r="AP162" s="748"/>
      <c r="AQ162" s="749"/>
      <c r="AR162" s="747"/>
      <c r="AS162" s="748"/>
      <c r="AT162" s="748"/>
      <c r="AU162" s="749"/>
    </row>
    <row r="163" spans="35:47" ht="18.75" customHeight="1" x14ac:dyDescent="0.5">
      <c r="AL163" s="1788"/>
      <c r="AM163" s="1789"/>
      <c r="AN163" s="1790"/>
      <c r="AO163" s="747"/>
      <c r="AP163" s="748"/>
      <c r="AQ163" s="749"/>
      <c r="AR163" s="747"/>
      <c r="AS163" s="748"/>
      <c r="AT163" s="748"/>
      <c r="AU163" s="749"/>
    </row>
    <row r="164" spans="35:47" ht="18.75" customHeight="1" x14ac:dyDescent="0.5">
      <c r="AL164" s="1788"/>
      <c r="AM164" s="1789"/>
      <c r="AN164" s="1790"/>
      <c r="AO164" s="1254">
        <f>AO159+AO156+AO153+AO161</f>
        <v>0</v>
      </c>
      <c r="AP164" s="1254"/>
      <c r="AQ164" s="1254"/>
      <c r="AR164" s="747">
        <f>AR156+AR153+AR159+AR161</f>
        <v>0</v>
      </c>
      <c r="AS164" s="748"/>
      <c r="AT164" s="748"/>
      <c r="AU164" s="749"/>
    </row>
    <row r="165" spans="35:47" ht="15" customHeight="1" x14ac:dyDescent="0.5">
      <c r="AO165" s="1254"/>
      <c r="AP165" s="1254"/>
      <c r="AQ165" s="1254"/>
      <c r="AR165" s="747"/>
      <c r="AS165" s="748"/>
      <c r="AT165" s="748"/>
      <c r="AU165" s="749"/>
    </row>
    <row r="166" spans="35:47" ht="15" customHeight="1" x14ac:dyDescent="0.5">
      <c r="AI166" s="1799"/>
      <c r="AJ166" s="1799"/>
      <c r="AK166" s="1799"/>
      <c r="AL166" s="1799"/>
      <c r="AO166" s="1254"/>
      <c r="AP166" s="1254"/>
      <c r="AQ166" s="1254"/>
      <c r="AR166" s="747"/>
      <c r="AS166" s="748"/>
      <c r="AT166" s="748"/>
      <c r="AU166" s="749"/>
    </row>
    <row r="167" spans="35:47" ht="15" customHeight="1" x14ac:dyDescent="0.5">
      <c r="AI167" s="1799"/>
      <c r="AJ167" s="1799"/>
      <c r="AK167" s="1799"/>
      <c r="AL167" s="1799"/>
    </row>
    <row r="168" spans="35:47" ht="15" customHeight="1" x14ac:dyDescent="0.5">
      <c r="AI168" s="1799"/>
      <c r="AJ168" s="1799"/>
      <c r="AK168" s="1799"/>
      <c r="AL168" s="1799"/>
    </row>
    <row r="169" spans="35:47" ht="15" customHeight="1" x14ac:dyDescent="0.5"/>
    <row r="170" spans="35:47" ht="15" customHeight="1" x14ac:dyDescent="0.5"/>
    <row r="171" spans="35:47" ht="15" customHeight="1" x14ac:dyDescent="0.5"/>
    <row r="172" spans="35:47" ht="15" customHeight="1" x14ac:dyDescent="0.5"/>
    <row r="173" spans="35:47" ht="15" customHeight="1" x14ac:dyDescent="0.5"/>
    <row r="174" spans="35:47" ht="15" customHeight="1" x14ac:dyDescent="0.5"/>
    <row r="175" spans="35:47" ht="15" customHeight="1" x14ac:dyDescent="0.5"/>
    <row r="189" spans="37:47" x14ac:dyDescent="0.5">
      <c r="AK189" s="727"/>
      <c r="AL189" s="727"/>
      <c r="AM189" s="727"/>
      <c r="AN189" s="727"/>
      <c r="AO189" s="727"/>
      <c r="AP189" s="727"/>
      <c r="AQ189" s="727"/>
      <c r="AR189" s="727"/>
      <c r="AS189" s="727"/>
      <c r="AT189" s="727"/>
    </row>
    <row r="190" spans="37:47" x14ac:dyDescent="0.5">
      <c r="AK190" s="727"/>
      <c r="AL190" s="727"/>
      <c r="AM190" s="727"/>
      <c r="AN190" s="727"/>
      <c r="AO190" s="727"/>
      <c r="AP190" s="727"/>
      <c r="AQ190" s="727"/>
      <c r="AR190" s="727"/>
      <c r="AS190" s="727"/>
      <c r="AT190" s="727"/>
    </row>
    <row r="191" spans="37:47" x14ac:dyDescent="0.5">
      <c r="AK191" s="727"/>
      <c r="AL191" s="727"/>
      <c r="AM191" s="727"/>
      <c r="AN191" s="727"/>
      <c r="AO191" s="727"/>
      <c r="AP191" s="727"/>
      <c r="AQ191" s="727"/>
      <c r="AR191" s="727"/>
      <c r="AS191" s="727"/>
      <c r="AT191" s="727"/>
    </row>
    <row r="192" spans="37:47" ht="15" customHeight="1" x14ac:dyDescent="0.5">
      <c r="AK192" s="774"/>
      <c r="AL192" s="774"/>
      <c r="AM192" s="774"/>
      <c r="AN192" s="774"/>
      <c r="AO192" s="774"/>
      <c r="AP192" s="774"/>
      <c r="AQ192" s="726"/>
      <c r="AR192" s="726"/>
      <c r="AS192" s="1777"/>
      <c r="AT192" s="1778"/>
      <c r="AU192" s="1778"/>
    </row>
    <row r="193" spans="37:47" ht="15" customHeight="1" x14ac:dyDescent="0.5">
      <c r="AK193" s="774"/>
      <c r="AL193" s="774"/>
      <c r="AM193" s="774"/>
      <c r="AN193" s="774"/>
      <c r="AO193" s="774"/>
      <c r="AP193" s="774"/>
      <c r="AQ193" s="726"/>
      <c r="AR193" s="726"/>
      <c r="AS193" s="1777"/>
      <c r="AT193" s="1778"/>
      <c r="AU193" s="1778"/>
    </row>
    <row r="194" spans="37:47" ht="15" customHeight="1" x14ac:dyDescent="0.5">
      <c r="AK194" s="774"/>
      <c r="AL194" s="774"/>
      <c r="AM194" s="774"/>
      <c r="AN194" s="774"/>
      <c r="AO194" s="774"/>
      <c r="AP194" s="774"/>
      <c r="AQ194" s="726"/>
      <c r="AR194" s="726"/>
      <c r="AS194" s="1777"/>
      <c r="AT194" s="1778"/>
      <c r="AU194" s="1778"/>
    </row>
    <row r="195" spans="37:47" ht="15" customHeight="1" x14ac:dyDescent="0.5">
      <c r="AK195" s="774"/>
      <c r="AL195" s="774"/>
      <c r="AM195" s="774"/>
      <c r="AN195" s="774"/>
      <c r="AO195" s="774"/>
      <c r="AP195" s="774"/>
      <c r="AQ195" s="726"/>
      <c r="AR195" s="726"/>
      <c r="AS195" s="1777"/>
      <c r="AT195" s="1778"/>
      <c r="AU195" s="1778"/>
    </row>
  </sheetData>
  <mergeCells count="818">
    <mergeCell ref="U2:V3"/>
    <mergeCell ref="W2:Y3"/>
    <mergeCell ref="Z2:AA3"/>
    <mergeCell ref="AB2:AD3"/>
    <mergeCell ref="A2:B3"/>
    <mergeCell ref="C2:E3"/>
    <mergeCell ref="F2:G3"/>
    <mergeCell ref="H2:J3"/>
    <mergeCell ref="K2:L3"/>
    <mergeCell ref="M2:O3"/>
    <mergeCell ref="BI2:BJ3"/>
    <mergeCell ref="BK2:BM3"/>
    <mergeCell ref="BN2:BO3"/>
    <mergeCell ref="BP2:BR3"/>
    <mergeCell ref="A4:E5"/>
    <mergeCell ref="F4:J5"/>
    <mergeCell ref="K4:O5"/>
    <mergeCell ref="P4:T5"/>
    <mergeCell ref="U4:Y5"/>
    <mergeCell ref="Z4:AD5"/>
    <mergeCell ref="AT2:AU3"/>
    <mergeCell ref="AV2:AX3"/>
    <mergeCell ref="AY2:AZ3"/>
    <mergeCell ref="BA2:BC3"/>
    <mergeCell ref="BD2:BE3"/>
    <mergeCell ref="BF2:BH3"/>
    <mergeCell ref="AE2:AF3"/>
    <mergeCell ref="AG2:AI3"/>
    <mergeCell ref="AJ2:AK3"/>
    <mergeCell ref="AL2:AN3"/>
    <mergeCell ref="AO2:AP3"/>
    <mergeCell ref="AQ2:AS3"/>
    <mergeCell ref="P2:Q3"/>
    <mergeCell ref="R2:T3"/>
    <mergeCell ref="BI4:BM5"/>
    <mergeCell ref="BN4:BR5"/>
    <mergeCell ref="A6:A7"/>
    <mergeCell ref="B6:E6"/>
    <mergeCell ref="F6:F7"/>
    <mergeCell ref="G6:J6"/>
    <mergeCell ref="K6:K7"/>
    <mergeCell ref="L6:O6"/>
    <mergeCell ref="P6:P7"/>
    <mergeCell ref="Q6:T6"/>
    <mergeCell ref="AE4:AI5"/>
    <mergeCell ref="AJ4:AN5"/>
    <mergeCell ref="AO4:AS5"/>
    <mergeCell ref="AT4:AX5"/>
    <mergeCell ref="AY4:BC5"/>
    <mergeCell ref="BD4:BH5"/>
    <mergeCell ref="BN6:BN7"/>
    <mergeCell ref="BO6:BR6"/>
    <mergeCell ref="AZ6:BC6"/>
    <mergeCell ref="BD6:BD7"/>
    <mergeCell ref="BE6:BH6"/>
    <mergeCell ref="BI6:BI7"/>
    <mergeCell ref="BJ6:BM6"/>
    <mergeCell ref="AO6:AO7"/>
    <mergeCell ref="V6:Y6"/>
    <mergeCell ref="AO8:AP9"/>
    <mergeCell ref="AQ8:AS9"/>
    <mergeCell ref="AT8:AU9"/>
    <mergeCell ref="AV8:AX9"/>
    <mergeCell ref="U8:V9"/>
    <mergeCell ref="W8:Y9"/>
    <mergeCell ref="Z8:AA9"/>
    <mergeCell ref="AB8:AD9"/>
    <mergeCell ref="AE8:AF9"/>
    <mergeCell ref="AG8:AI9"/>
    <mergeCell ref="Z6:Z7"/>
    <mergeCell ref="AA6:AD6"/>
    <mergeCell ref="AE6:AE7"/>
    <mergeCell ref="AF6:AI6"/>
    <mergeCell ref="AJ6:AJ7"/>
    <mergeCell ref="AK6:AN6"/>
    <mergeCell ref="AP6:AS6"/>
    <mergeCell ref="AT6:AT7"/>
    <mergeCell ref="AU6:AX6"/>
    <mergeCell ref="BD10:BH11"/>
    <mergeCell ref="BI10:BM11"/>
    <mergeCell ref="BN10:BR11"/>
    <mergeCell ref="BN8:BO9"/>
    <mergeCell ref="BP8:BR9"/>
    <mergeCell ref="BA8:BC9"/>
    <mergeCell ref="BD8:BE9"/>
    <mergeCell ref="BF8:BH9"/>
    <mergeCell ref="BI8:BJ9"/>
    <mergeCell ref="BK8:BM9"/>
    <mergeCell ref="AY6:AY7"/>
    <mergeCell ref="A10:E11"/>
    <mergeCell ref="F10:J11"/>
    <mergeCell ref="K10:O11"/>
    <mergeCell ref="P10:T11"/>
    <mergeCell ref="U10:Y11"/>
    <mergeCell ref="Z10:AD11"/>
    <mergeCell ref="AE10:AI11"/>
    <mergeCell ref="AJ10:AN11"/>
    <mergeCell ref="AY8:AZ9"/>
    <mergeCell ref="AJ8:AK9"/>
    <mergeCell ref="AL8:AN9"/>
    <mergeCell ref="A8:B9"/>
    <mergeCell ref="C8:E9"/>
    <mergeCell ref="F8:G9"/>
    <mergeCell ref="H8:J9"/>
    <mergeCell ref="K8:L9"/>
    <mergeCell ref="M8:O9"/>
    <mergeCell ref="P8:Q9"/>
    <mergeCell ref="R8:T9"/>
    <mergeCell ref="AO10:AS11"/>
    <mergeCell ref="AT10:AX11"/>
    <mergeCell ref="AY10:BC11"/>
    <mergeCell ref="U6:U7"/>
    <mergeCell ref="AO12:AO13"/>
    <mergeCell ref="AP12:AS12"/>
    <mergeCell ref="P12:P13"/>
    <mergeCell ref="Q12:T12"/>
    <mergeCell ref="U12:U13"/>
    <mergeCell ref="V12:Y12"/>
    <mergeCell ref="Z12:Z13"/>
    <mergeCell ref="AA12:AD12"/>
    <mergeCell ref="A12:A13"/>
    <mergeCell ref="B12:E12"/>
    <mergeCell ref="F12:F13"/>
    <mergeCell ref="G12:J12"/>
    <mergeCell ref="K12:K13"/>
    <mergeCell ref="L12:O12"/>
    <mergeCell ref="U14:V15"/>
    <mergeCell ref="W14:Y15"/>
    <mergeCell ref="Z14:AA15"/>
    <mergeCell ref="AB14:AD15"/>
    <mergeCell ref="BI12:BI13"/>
    <mergeCell ref="BJ12:BM12"/>
    <mergeCell ref="BN12:BN13"/>
    <mergeCell ref="BO12:BR12"/>
    <mergeCell ref="A14:B15"/>
    <mergeCell ref="C14:E15"/>
    <mergeCell ref="F14:G15"/>
    <mergeCell ref="H14:J15"/>
    <mergeCell ref="K14:L15"/>
    <mergeCell ref="M14:O15"/>
    <mergeCell ref="AT12:AT13"/>
    <mergeCell ref="AU12:AX12"/>
    <mergeCell ref="AY12:AY13"/>
    <mergeCell ref="AZ12:BC12"/>
    <mergeCell ref="BD12:BD13"/>
    <mergeCell ref="BE12:BH12"/>
    <mergeCell ref="AE12:AE13"/>
    <mergeCell ref="AF12:AI12"/>
    <mergeCell ref="AJ12:AJ13"/>
    <mergeCell ref="AK12:AN12"/>
    <mergeCell ref="BI14:BJ15"/>
    <mergeCell ref="BK14:BM15"/>
    <mergeCell ref="BN14:BO15"/>
    <mergeCell ref="BP14:BR15"/>
    <mergeCell ref="A16:E17"/>
    <mergeCell ref="F16:J17"/>
    <mergeCell ref="K16:O17"/>
    <mergeCell ref="P16:T17"/>
    <mergeCell ref="U16:Y17"/>
    <mergeCell ref="Z16:AA17"/>
    <mergeCell ref="AT14:AU15"/>
    <mergeCell ref="AV14:AX15"/>
    <mergeCell ref="AY14:AZ15"/>
    <mergeCell ref="BA14:BC15"/>
    <mergeCell ref="BD14:BE15"/>
    <mergeCell ref="BF14:BH15"/>
    <mergeCell ref="AE14:AF15"/>
    <mergeCell ref="AG14:AI15"/>
    <mergeCell ref="AJ14:AK15"/>
    <mergeCell ref="AL14:AN15"/>
    <mergeCell ref="AO14:AP15"/>
    <mergeCell ref="AQ14:AS15"/>
    <mergeCell ref="P14:Q15"/>
    <mergeCell ref="R14:T15"/>
    <mergeCell ref="AB16:AD17"/>
    <mergeCell ref="AE16:AF17"/>
    <mergeCell ref="AG16:AI17"/>
    <mergeCell ref="AJ16:BR23"/>
    <mergeCell ref="A18:A19"/>
    <mergeCell ref="B18:E18"/>
    <mergeCell ref="F18:F19"/>
    <mergeCell ref="G18:J18"/>
    <mergeCell ref="K18:K19"/>
    <mergeCell ref="L18:O18"/>
    <mergeCell ref="AE20:AF21"/>
    <mergeCell ref="AG20:AI21"/>
    <mergeCell ref="AE18:AE19"/>
    <mergeCell ref="AF18:AI18"/>
    <mergeCell ref="A20:B21"/>
    <mergeCell ref="C20:E21"/>
    <mergeCell ref="F20:G21"/>
    <mergeCell ref="H20:J21"/>
    <mergeCell ref="K20:L21"/>
    <mergeCell ref="M20:O21"/>
    <mergeCell ref="P20:Q21"/>
    <mergeCell ref="R20:T21"/>
    <mergeCell ref="P18:P19"/>
    <mergeCell ref="Q18:T18"/>
    <mergeCell ref="U18:U19"/>
    <mergeCell ref="V18:Y18"/>
    <mergeCell ref="Z18:Z19"/>
    <mergeCell ref="AA18:AD18"/>
    <mergeCell ref="A22:E23"/>
    <mergeCell ref="F22:J23"/>
    <mergeCell ref="K22:O23"/>
    <mergeCell ref="P22:T23"/>
    <mergeCell ref="U22:Y23"/>
    <mergeCell ref="Z22:AD23"/>
    <mergeCell ref="U20:V21"/>
    <mergeCell ref="W20:Y21"/>
    <mergeCell ref="Z20:AA21"/>
    <mergeCell ref="AB20:AD21"/>
    <mergeCell ref="A24:A25"/>
    <mergeCell ref="B24:E24"/>
    <mergeCell ref="F24:F25"/>
    <mergeCell ref="G24:J24"/>
    <mergeCell ref="K24:K25"/>
    <mergeCell ref="L24:O24"/>
    <mergeCell ref="P24:P25"/>
    <mergeCell ref="Q24:T24"/>
    <mergeCell ref="U24:U25"/>
    <mergeCell ref="AU24:AX24"/>
    <mergeCell ref="AY24:AY25"/>
    <mergeCell ref="V24:Y24"/>
    <mergeCell ref="Z24:Z25"/>
    <mergeCell ref="AA24:AD24"/>
    <mergeCell ref="AE24:AE25"/>
    <mergeCell ref="AF24:AI24"/>
    <mergeCell ref="AJ24:AJ25"/>
    <mergeCell ref="AE22:AI23"/>
    <mergeCell ref="AB26:AD27"/>
    <mergeCell ref="AE26:AF27"/>
    <mergeCell ref="AG26:AI27"/>
    <mergeCell ref="AJ26:AK27"/>
    <mergeCell ref="BO24:BR24"/>
    <mergeCell ref="A26:B27"/>
    <mergeCell ref="C26:E27"/>
    <mergeCell ref="F26:G27"/>
    <mergeCell ref="H26:J27"/>
    <mergeCell ref="K26:L27"/>
    <mergeCell ref="M26:O27"/>
    <mergeCell ref="P26:Q27"/>
    <mergeCell ref="R26:T27"/>
    <mergeCell ref="U26:V27"/>
    <mergeCell ref="AZ24:BC24"/>
    <mergeCell ref="BD24:BD25"/>
    <mergeCell ref="BE24:BH24"/>
    <mergeCell ref="BI24:BI25"/>
    <mergeCell ref="BJ24:BM24"/>
    <mergeCell ref="BN24:BN25"/>
    <mergeCell ref="AK24:AN24"/>
    <mergeCell ref="AO24:AO25"/>
    <mergeCell ref="AP24:AS24"/>
    <mergeCell ref="AT24:AT25"/>
    <mergeCell ref="BP26:BR27"/>
    <mergeCell ref="A28:E29"/>
    <mergeCell ref="F28:J29"/>
    <mergeCell ref="K28:O29"/>
    <mergeCell ref="P28:T29"/>
    <mergeCell ref="U28:Y29"/>
    <mergeCell ref="Z28:AD29"/>
    <mergeCell ref="AE28:AI29"/>
    <mergeCell ref="AJ28:AN29"/>
    <mergeCell ref="AO28:AS29"/>
    <mergeCell ref="BA26:BC27"/>
    <mergeCell ref="BD26:BE27"/>
    <mergeCell ref="BF26:BH27"/>
    <mergeCell ref="BI26:BJ27"/>
    <mergeCell ref="BK26:BM27"/>
    <mergeCell ref="BN26:BO27"/>
    <mergeCell ref="AL26:AN27"/>
    <mergeCell ref="AO26:AP27"/>
    <mergeCell ref="AQ26:AS27"/>
    <mergeCell ref="AT26:AU27"/>
    <mergeCell ref="AV26:AX27"/>
    <mergeCell ref="AY26:AZ27"/>
    <mergeCell ref="W26:Y27"/>
    <mergeCell ref="Z26:AA27"/>
    <mergeCell ref="AT28:AX29"/>
    <mergeCell ref="AY28:BC29"/>
    <mergeCell ref="BD28:BH29"/>
    <mergeCell ref="BI28:BM29"/>
    <mergeCell ref="BN28:BR29"/>
    <mergeCell ref="A30:A31"/>
    <mergeCell ref="B30:E30"/>
    <mergeCell ref="F30:F31"/>
    <mergeCell ref="G30:J30"/>
    <mergeCell ref="K30:K31"/>
    <mergeCell ref="A32:B33"/>
    <mergeCell ref="C32:E33"/>
    <mergeCell ref="F32:G33"/>
    <mergeCell ref="H32:J33"/>
    <mergeCell ref="K32:L33"/>
    <mergeCell ref="AP30:AS30"/>
    <mergeCell ref="AT30:AT31"/>
    <mergeCell ref="AU30:AX30"/>
    <mergeCell ref="AY30:AY31"/>
    <mergeCell ref="AA30:AD30"/>
    <mergeCell ref="AE30:AE31"/>
    <mergeCell ref="AF30:AI30"/>
    <mergeCell ref="AJ30:AJ31"/>
    <mergeCell ref="AK30:AN30"/>
    <mergeCell ref="AO30:AO31"/>
    <mergeCell ref="L30:O30"/>
    <mergeCell ref="P30:P31"/>
    <mergeCell ref="Q30:T30"/>
    <mergeCell ref="U30:U31"/>
    <mergeCell ref="V30:Y30"/>
    <mergeCell ref="Z30:Z31"/>
    <mergeCell ref="R32:T33"/>
    <mergeCell ref="U32:V33"/>
    <mergeCell ref="W32:Y33"/>
    <mergeCell ref="Z32:AA33"/>
    <mergeCell ref="BE30:BH30"/>
    <mergeCell ref="BI30:BI31"/>
    <mergeCell ref="BJ30:BM30"/>
    <mergeCell ref="BN30:BN31"/>
    <mergeCell ref="BO30:BR30"/>
    <mergeCell ref="AZ30:BC30"/>
    <mergeCell ref="BD30:BD31"/>
    <mergeCell ref="BF32:BH33"/>
    <mergeCell ref="BI32:BJ33"/>
    <mergeCell ref="BK32:BM33"/>
    <mergeCell ref="BN32:BO33"/>
    <mergeCell ref="BP32:BR33"/>
    <mergeCell ref="BA32:BC33"/>
    <mergeCell ref="BD32:BE33"/>
    <mergeCell ref="A34:E35"/>
    <mergeCell ref="F34:J35"/>
    <mergeCell ref="K34:O35"/>
    <mergeCell ref="P34:T35"/>
    <mergeCell ref="U34:Y35"/>
    <mergeCell ref="AQ32:AS33"/>
    <mergeCell ref="AT32:AU33"/>
    <mergeCell ref="AV32:AX33"/>
    <mergeCell ref="AY32:AZ33"/>
    <mergeCell ref="AB32:AD33"/>
    <mergeCell ref="AE32:AF33"/>
    <mergeCell ref="AG32:AI33"/>
    <mergeCell ref="AJ32:AK33"/>
    <mergeCell ref="AL32:AN33"/>
    <mergeCell ref="AO32:AP33"/>
    <mergeCell ref="M32:O33"/>
    <mergeCell ref="P32:Q33"/>
    <mergeCell ref="Z34:AD35"/>
    <mergeCell ref="AE34:AI35"/>
    <mergeCell ref="AJ34:BR102"/>
    <mergeCell ref="A36:A37"/>
    <mergeCell ref="B36:E36"/>
    <mergeCell ref="F36:F37"/>
    <mergeCell ref="G36:J36"/>
    <mergeCell ref="K36:K37"/>
    <mergeCell ref="L36:O36"/>
    <mergeCell ref="P36:P37"/>
    <mergeCell ref="AF36:AI36"/>
    <mergeCell ref="A38:B39"/>
    <mergeCell ref="C38:E39"/>
    <mergeCell ref="F38:G39"/>
    <mergeCell ref="H38:J39"/>
    <mergeCell ref="K38:L39"/>
    <mergeCell ref="M38:O39"/>
    <mergeCell ref="P38:Q39"/>
    <mergeCell ref="R38:T39"/>
    <mergeCell ref="U38:V39"/>
    <mergeCell ref="Q36:T36"/>
    <mergeCell ref="U36:U37"/>
    <mergeCell ref="V36:Y36"/>
    <mergeCell ref="Z36:Z37"/>
    <mergeCell ref="AA36:AD36"/>
    <mergeCell ref="AE36:AE37"/>
    <mergeCell ref="Z38:AA39"/>
    <mergeCell ref="AB38:AD39"/>
    <mergeCell ref="AE38:AF39"/>
    <mergeCell ref="AG38:AI39"/>
    <mergeCell ref="W38:Y39"/>
    <mergeCell ref="A40:E41"/>
    <mergeCell ref="F40:J41"/>
    <mergeCell ref="K40:O41"/>
    <mergeCell ref="P40:T41"/>
    <mergeCell ref="U40:Y41"/>
    <mergeCell ref="A42:A43"/>
    <mergeCell ref="B42:E42"/>
    <mergeCell ref="F42:F43"/>
    <mergeCell ref="G42:J42"/>
    <mergeCell ref="K42:K43"/>
    <mergeCell ref="L42:O42"/>
    <mergeCell ref="P42:P43"/>
    <mergeCell ref="Q42:T42"/>
    <mergeCell ref="M44:O45"/>
    <mergeCell ref="U42:U43"/>
    <mergeCell ref="V42:Y42"/>
    <mergeCell ref="Z42:Z43"/>
    <mergeCell ref="AA42:AD42"/>
    <mergeCell ref="AE42:AE43"/>
    <mergeCell ref="AF42:AI42"/>
    <mergeCell ref="Z40:AD41"/>
    <mergeCell ref="AE40:AI41"/>
    <mergeCell ref="F48:F49"/>
    <mergeCell ref="G48:J48"/>
    <mergeCell ref="K48:K49"/>
    <mergeCell ref="L48:O48"/>
    <mergeCell ref="AE44:AF45"/>
    <mergeCell ref="AG44:AI45"/>
    <mergeCell ref="A46:E47"/>
    <mergeCell ref="F46:J47"/>
    <mergeCell ref="K46:O47"/>
    <mergeCell ref="P46:T47"/>
    <mergeCell ref="U46:Y47"/>
    <mergeCell ref="Z46:AD47"/>
    <mergeCell ref="AE46:AI47"/>
    <mergeCell ref="P44:Q45"/>
    <mergeCell ref="R44:T45"/>
    <mergeCell ref="U44:V45"/>
    <mergeCell ref="W44:Y45"/>
    <mergeCell ref="Z44:AA45"/>
    <mergeCell ref="AB44:AD45"/>
    <mergeCell ref="A44:B45"/>
    <mergeCell ref="C44:E45"/>
    <mergeCell ref="F44:G45"/>
    <mergeCell ref="H44:J45"/>
    <mergeCell ref="K44:L45"/>
    <mergeCell ref="U50:V51"/>
    <mergeCell ref="W50:Y51"/>
    <mergeCell ref="Z50:AA51"/>
    <mergeCell ref="AB50:AD51"/>
    <mergeCell ref="AE50:AF51"/>
    <mergeCell ref="AG50:AI51"/>
    <mergeCell ref="AE48:AE49"/>
    <mergeCell ref="AF48:AI48"/>
    <mergeCell ref="A50:B51"/>
    <mergeCell ref="C50:E51"/>
    <mergeCell ref="F50:G51"/>
    <mergeCell ref="H50:J51"/>
    <mergeCell ref="K50:L51"/>
    <mergeCell ref="M50:O51"/>
    <mergeCell ref="P50:Q51"/>
    <mergeCell ref="R50:T51"/>
    <mergeCell ref="P48:P49"/>
    <mergeCell ref="Q48:T48"/>
    <mergeCell ref="U48:U49"/>
    <mergeCell ref="V48:Y48"/>
    <mergeCell ref="Z48:Z49"/>
    <mergeCell ref="AA48:AD48"/>
    <mergeCell ref="A48:A49"/>
    <mergeCell ref="B48:E48"/>
    <mergeCell ref="AE52:AI53"/>
    <mergeCell ref="A54:A55"/>
    <mergeCell ref="B54:E54"/>
    <mergeCell ref="F54:F55"/>
    <mergeCell ref="G54:J54"/>
    <mergeCell ref="K54:K55"/>
    <mergeCell ref="L54:O54"/>
    <mergeCell ref="P54:P55"/>
    <mergeCell ref="Q54:T54"/>
    <mergeCell ref="U54:U55"/>
    <mergeCell ref="A52:E53"/>
    <mergeCell ref="F52:J53"/>
    <mergeCell ref="K52:O53"/>
    <mergeCell ref="P52:T53"/>
    <mergeCell ref="U52:Y53"/>
    <mergeCell ref="Z52:AD53"/>
    <mergeCell ref="V54:Y54"/>
    <mergeCell ref="Z54:Z55"/>
    <mergeCell ref="AA54:AD54"/>
    <mergeCell ref="AE54:AE55"/>
    <mergeCell ref="AF54:AI54"/>
    <mergeCell ref="AB56:AD57"/>
    <mergeCell ref="AE56:AF57"/>
    <mergeCell ref="AG56:AI57"/>
    <mergeCell ref="A58:E59"/>
    <mergeCell ref="F58:J59"/>
    <mergeCell ref="K58:O59"/>
    <mergeCell ref="P58:T59"/>
    <mergeCell ref="U58:Y59"/>
    <mergeCell ref="Z58:AD59"/>
    <mergeCell ref="AE58:AI59"/>
    <mergeCell ref="M56:O57"/>
    <mergeCell ref="P56:Q57"/>
    <mergeCell ref="R56:T57"/>
    <mergeCell ref="U56:V57"/>
    <mergeCell ref="W56:Y57"/>
    <mergeCell ref="Z56:AA57"/>
    <mergeCell ref="A56:B57"/>
    <mergeCell ref="C56:E57"/>
    <mergeCell ref="F56:G57"/>
    <mergeCell ref="H56:J57"/>
    <mergeCell ref="K56:L57"/>
    <mergeCell ref="A62:B63"/>
    <mergeCell ref="C62:E63"/>
    <mergeCell ref="F62:G63"/>
    <mergeCell ref="H62:J63"/>
    <mergeCell ref="K62:L63"/>
    <mergeCell ref="M62:O63"/>
    <mergeCell ref="P62:Q63"/>
    <mergeCell ref="R62:T63"/>
    <mergeCell ref="P60:P61"/>
    <mergeCell ref="Q60:T60"/>
    <mergeCell ref="A60:A61"/>
    <mergeCell ref="B60:E60"/>
    <mergeCell ref="F60:F61"/>
    <mergeCell ref="G60:J60"/>
    <mergeCell ref="K60:K61"/>
    <mergeCell ref="L60:O60"/>
    <mergeCell ref="AF66:AI66"/>
    <mergeCell ref="U62:V63"/>
    <mergeCell ref="W62:Y63"/>
    <mergeCell ref="Z62:AA63"/>
    <mergeCell ref="AB62:AD63"/>
    <mergeCell ref="AE62:AF63"/>
    <mergeCell ref="AG62:AI63"/>
    <mergeCell ref="AE60:AE61"/>
    <mergeCell ref="AF60:AI60"/>
    <mergeCell ref="U60:U61"/>
    <mergeCell ref="V60:Y60"/>
    <mergeCell ref="Z60:Z61"/>
    <mergeCell ref="AA60:AD60"/>
    <mergeCell ref="F72:F73"/>
    <mergeCell ref="G72:J72"/>
    <mergeCell ref="K72:K73"/>
    <mergeCell ref="L72:O72"/>
    <mergeCell ref="AE64:AI65"/>
    <mergeCell ref="A66:A67"/>
    <mergeCell ref="B66:E66"/>
    <mergeCell ref="F66:F67"/>
    <mergeCell ref="G66:J66"/>
    <mergeCell ref="K66:K67"/>
    <mergeCell ref="L66:O66"/>
    <mergeCell ref="P66:P67"/>
    <mergeCell ref="Q66:T66"/>
    <mergeCell ref="U66:U67"/>
    <mergeCell ref="A64:E65"/>
    <mergeCell ref="F64:J65"/>
    <mergeCell ref="K64:O65"/>
    <mergeCell ref="P64:T65"/>
    <mergeCell ref="U64:Y65"/>
    <mergeCell ref="Z64:AD65"/>
    <mergeCell ref="V66:Y66"/>
    <mergeCell ref="Z66:Z67"/>
    <mergeCell ref="AA66:AD66"/>
    <mergeCell ref="AE66:AE67"/>
    <mergeCell ref="AB68:AD69"/>
    <mergeCell ref="AE68:AF69"/>
    <mergeCell ref="AG68:AI69"/>
    <mergeCell ref="A70:E71"/>
    <mergeCell ref="F70:J71"/>
    <mergeCell ref="K70:O71"/>
    <mergeCell ref="P70:T71"/>
    <mergeCell ref="U70:Y71"/>
    <mergeCell ref="Z70:AD71"/>
    <mergeCell ref="AE70:AI71"/>
    <mergeCell ref="M68:O69"/>
    <mergeCell ref="P68:Q69"/>
    <mergeCell ref="R68:T69"/>
    <mergeCell ref="U68:V69"/>
    <mergeCell ref="W68:Y69"/>
    <mergeCell ref="Z68:AA69"/>
    <mergeCell ref="A68:B69"/>
    <mergeCell ref="C68:E69"/>
    <mergeCell ref="F68:G69"/>
    <mergeCell ref="H68:J69"/>
    <mergeCell ref="K68:L69"/>
    <mergeCell ref="U74:V75"/>
    <mergeCell ref="W74:Y75"/>
    <mergeCell ref="Z74:AA75"/>
    <mergeCell ref="AB74:AD75"/>
    <mergeCell ref="AE74:AF75"/>
    <mergeCell ref="AG74:AI75"/>
    <mergeCell ref="AE72:AE73"/>
    <mergeCell ref="AF72:AI72"/>
    <mergeCell ref="A74:B75"/>
    <mergeCell ref="C74:E75"/>
    <mergeCell ref="F74:G75"/>
    <mergeCell ref="H74:J75"/>
    <mergeCell ref="K74:L75"/>
    <mergeCell ref="M74:O75"/>
    <mergeCell ref="P74:Q75"/>
    <mergeCell ref="R74:T75"/>
    <mergeCell ref="P72:P73"/>
    <mergeCell ref="Q72:T72"/>
    <mergeCell ref="U72:U73"/>
    <mergeCell ref="V72:Y72"/>
    <mergeCell ref="Z72:Z73"/>
    <mergeCell ref="AA72:AD72"/>
    <mergeCell ref="A72:A73"/>
    <mergeCell ref="B72:E72"/>
    <mergeCell ref="AE76:AI77"/>
    <mergeCell ref="A78:A79"/>
    <mergeCell ref="B78:E78"/>
    <mergeCell ref="F78:F79"/>
    <mergeCell ref="G78:J78"/>
    <mergeCell ref="K78:K79"/>
    <mergeCell ref="L78:O78"/>
    <mergeCell ref="P78:P79"/>
    <mergeCell ref="Q78:T78"/>
    <mergeCell ref="U78:U79"/>
    <mergeCell ref="A76:E77"/>
    <mergeCell ref="F76:J77"/>
    <mergeCell ref="K76:O77"/>
    <mergeCell ref="P76:T77"/>
    <mergeCell ref="U76:Y77"/>
    <mergeCell ref="Z76:AD77"/>
    <mergeCell ref="V78:Y78"/>
    <mergeCell ref="Z78:Z79"/>
    <mergeCell ref="AA78:AD78"/>
    <mergeCell ref="AE78:AE79"/>
    <mergeCell ref="AF78:AI78"/>
    <mergeCell ref="AB80:AD81"/>
    <mergeCell ref="AE80:AF81"/>
    <mergeCell ref="AG80:AI81"/>
    <mergeCell ref="A82:E83"/>
    <mergeCell ref="F82:J83"/>
    <mergeCell ref="K82:O83"/>
    <mergeCell ref="P82:T83"/>
    <mergeCell ref="U82:Y83"/>
    <mergeCell ref="Z82:AD83"/>
    <mergeCell ref="AE82:AI83"/>
    <mergeCell ref="M80:O81"/>
    <mergeCell ref="P80:Q81"/>
    <mergeCell ref="R80:T81"/>
    <mergeCell ref="U80:V81"/>
    <mergeCell ref="W80:Y81"/>
    <mergeCell ref="Z80:AA81"/>
    <mergeCell ref="A80:B81"/>
    <mergeCell ref="C80:E81"/>
    <mergeCell ref="F80:G81"/>
    <mergeCell ref="H80:J81"/>
    <mergeCell ref="K80:L81"/>
    <mergeCell ref="AE84:AE85"/>
    <mergeCell ref="AF84:AI84"/>
    <mergeCell ref="A86:B87"/>
    <mergeCell ref="C86:E87"/>
    <mergeCell ref="F86:G87"/>
    <mergeCell ref="H86:J87"/>
    <mergeCell ref="K86:L87"/>
    <mergeCell ref="M86:O87"/>
    <mergeCell ref="P86:Q87"/>
    <mergeCell ref="R86:T87"/>
    <mergeCell ref="P84:P85"/>
    <mergeCell ref="Q84:T84"/>
    <mergeCell ref="U84:U85"/>
    <mergeCell ref="V84:Y84"/>
    <mergeCell ref="Z84:Z85"/>
    <mergeCell ref="AA84:AD84"/>
    <mergeCell ref="A84:A85"/>
    <mergeCell ref="B84:E84"/>
    <mergeCell ref="F84:F85"/>
    <mergeCell ref="G84:J84"/>
    <mergeCell ref="K84:K85"/>
    <mergeCell ref="L84:O84"/>
    <mergeCell ref="AA90:AD90"/>
    <mergeCell ref="AE90:AE91"/>
    <mergeCell ref="AF90:AI90"/>
    <mergeCell ref="U86:V87"/>
    <mergeCell ref="W86:Y87"/>
    <mergeCell ref="Z86:AA87"/>
    <mergeCell ref="AB86:AD87"/>
    <mergeCell ref="AE86:AF87"/>
    <mergeCell ref="AG86:AI87"/>
    <mergeCell ref="A96:A97"/>
    <mergeCell ref="B96:E96"/>
    <mergeCell ref="F96:F97"/>
    <mergeCell ref="G96:J96"/>
    <mergeCell ref="K96:K97"/>
    <mergeCell ref="L96:O96"/>
    <mergeCell ref="AE88:AI89"/>
    <mergeCell ref="A90:A91"/>
    <mergeCell ref="B90:E90"/>
    <mergeCell ref="F90:F91"/>
    <mergeCell ref="G90:J90"/>
    <mergeCell ref="K90:K91"/>
    <mergeCell ref="L90:O90"/>
    <mergeCell ref="P90:P91"/>
    <mergeCell ref="Q90:T90"/>
    <mergeCell ref="U90:U91"/>
    <mergeCell ref="A88:E89"/>
    <mergeCell ref="F88:J89"/>
    <mergeCell ref="K88:O89"/>
    <mergeCell ref="P88:T89"/>
    <mergeCell ref="U88:Y89"/>
    <mergeCell ref="Z88:AD89"/>
    <mergeCell ref="V90:Y90"/>
    <mergeCell ref="Z90:Z91"/>
    <mergeCell ref="AB92:AD93"/>
    <mergeCell ref="AE92:AF93"/>
    <mergeCell ref="AG92:AI93"/>
    <mergeCell ref="A94:E95"/>
    <mergeCell ref="F94:J95"/>
    <mergeCell ref="K94:O95"/>
    <mergeCell ref="P94:T95"/>
    <mergeCell ref="U94:Y95"/>
    <mergeCell ref="Z94:AD95"/>
    <mergeCell ref="AE94:AI95"/>
    <mergeCell ref="M92:O93"/>
    <mergeCell ref="P92:Q93"/>
    <mergeCell ref="R92:T93"/>
    <mergeCell ref="U92:V93"/>
    <mergeCell ref="W92:Y93"/>
    <mergeCell ref="Z92:AA93"/>
    <mergeCell ref="A92:B93"/>
    <mergeCell ref="C92:E93"/>
    <mergeCell ref="F92:G93"/>
    <mergeCell ref="H92:J93"/>
    <mergeCell ref="K92:L93"/>
    <mergeCell ref="AE96:AE97"/>
    <mergeCell ref="AF96:AI96"/>
    <mergeCell ref="X105:AJ109"/>
    <mergeCell ref="AK106:AU109"/>
    <mergeCell ref="AV106:BG109"/>
    <mergeCell ref="BH106:BL115"/>
    <mergeCell ref="P96:P97"/>
    <mergeCell ref="Q96:T96"/>
    <mergeCell ref="U96:U97"/>
    <mergeCell ref="V96:Y96"/>
    <mergeCell ref="Z96:Z97"/>
    <mergeCell ref="AA96:AD96"/>
    <mergeCell ref="M116:P120"/>
    <mergeCell ref="AB127:AF133"/>
    <mergeCell ref="AJ127:AL129"/>
    <mergeCell ref="AM127:AO129"/>
    <mergeCell ref="AP127:AQ129"/>
    <mergeCell ref="AR127:AS129"/>
    <mergeCell ref="BM106:BP109"/>
    <mergeCell ref="BQ106:BS109"/>
    <mergeCell ref="H110:K112"/>
    <mergeCell ref="X110:AJ115"/>
    <mergeCell ref="AK110:AU115"/>
    <mergeCell ref="AV110:BG115"/>
    <mergeCell ref="BM110:BS113"/>
    <mergeCell ref="H113:K115"/>
    <mergeCell ref="BM114:BS115"/>
    <mergeCell ref="BV133:BY134"/>
    <mergeCell ref="AW135:BF136"/>
    <mergeCell ref="AL137:AN139"/>
    <mergeCell ref="AO137:AQ139"/>
    <mergeCell ref="AR137:AU139"/>
    <mergeCell ref="AW137:BF140"/>
    <mergeCell ref="BV138:BX140"/>
    <mergeCell ref="BY138:CA140"/>
    <mergeCell ref="AW127:BF129"/>
    <mergeCell ref="AJ130:AL133"/>
    <mergeCell ref="AM130:AO133"/>
    <mergeCell ref="AP130:AQ133"/>
    <mergeCell ref="AR130:AS133"/>
    <mergeCell ref="AW130:BF131"/>
    <mergeCell ref="AW132:BF134"/>
    <mergeCell ref="CB138:CC140"/>
    <mergeCell ref="CD138:CE140"/>
    <mergeCell ref="CI138:CR140"/>
    <mergeCell ref="AL140:AN142"/>
    <mergeCell ref="AO140:AQ142"/>
    <mergeCell ref="AR140:AU142"/>
    <mergeCell ref="AW141:BF145"/>
    <mergeCell ref="BV141:BX144"/>
    <mergeCell ref="BY141:CA144"/>
    <mergeCell ref="CB141:CC144"/>
    <mergeCell ref="AL146:AN146"/>
    <mergeCell ref="AO146:AQ146"/>
    <mergeCell ref="AR146:AU146"/>
    <mergeCell ref="CI146:CR147"/>
    <mergeCell ref="AL147:AN147"/>
    <mergeCell ref="AO147:AQ147"/>
    <mergeCell ref="AR147:AU147"/>
    <mergeCell ref="CD141:CE144"/>
    <mergeCell ref="CI141:CR142"/>
    <mergeCell ref="AL143:AN144"/>
    <mergeCell ref="AO143:AQ144"/>
    <mergeCell ref="AR143:AU144"/>
    <mergeCell ref="CI143:CR145"/>
    <mergeCell ref="AL145:AN145"/>
    <mergeCell ref="AO145:AQ145"/>
    <mergeCell ref="AR145:AU145"/>
    <mergeCell ref="CI148:CR151"/>
    <mergeCell ref="AI150:AL152"/>
    <mergeCell ref="BX151:BZ153"/>
    <mergeCell ref="CA151:CC153"/>
    <mergeCell ref="CD151:CG153"/>
    <mergeCell ref="CI152:CR156"/>
    <mergeCell ref="AL153:AN155"/>
    <mergeCell ref="AO153:AQ155"/>
    <mergeCell ref="AR153:AU155"/>
    <mergeCell ref="BX154:BZ156"/>
    <mergeCell ref="AL148:AN148"/>
    <mergeCell ref="AO148:AQ150"/>
    <mergeCell ref="AR148:AU150"/>
    <mergeCell ref="BX148:BZ150"/>
    <mergeCell ref="CA148:CC150"/>
    <mergeCell ref="CD148:CG150"/>
    <mergeCell ref="AL161:AN161"/>
    <mergeCell ref="AO161:AQ161"/>
    <mergeCell ref="AR161:AU161"/>
    <mergeCell ref="AL162:AN162"/>
    <mergeCell ref="AO162:AQ162"/>
    <mergeCell ref="AR162:AU162"/>
    <mergeCell ref="CA154:CC156"/>
    <mergeCell ref="CD154:CG156"/>
    <mergeCell ref="AL156:AN158"/>
    <mergeCell ref="AO156:AQ158"/>
    <mergeCell ref="AR156:AU158"/>
    <mergeCell ref="CA157:CC159"/>
    <mergeCell ref="CD157:CG159"/>
    <mergeCell ref="AL159:AN160"/>
    <mergeCell ref="AO159:AQ160"/>
    <mergeCell ref="AR159:AU160"/>
    <mergeCell ref="AK189:AM191"/>
    <mergeCell ref="AN189:AP191"/>
    <mergeCell ref="AQ189:AR191"/>
    <mergeCell ref="AS189:AT191"/>
    <mergeCell ref="AK192:AM195"/>
    <mergeCell ref="AN192:AP195"/>
    <mergeCell ref="AQ192:AR195"/>
    <mergeCell ref="AS192:AU195"/>
    <mergeCell ref="AL163:AN163"/>
    <mergeCell ref="AO163:AQ163"/>
    <mergeCell ref="AR163:AU163"/>
    <mergeCell ref="AL164:AN164"/>
    <mergeCell ref="AO164:AQ166"/>
    <mergeCell ref="AR164:AU166"/>
    <mergeCell ref="AI166:AL168"/>
  </mergeCells>
  <pageMargins left="0.75" right="0" top="0.7" bottom="0" header="0.3" footer="0.3"/>
  <pageSetup paperSize="8" scale="33" orientation="landscape" r:id="rId1"/>
  <headerFooter>
    <oddFooter>&amp;C&amp;"-,Bold Italic"&amp;16Prepared by Emir Cebecioglu&amp;RQuality Control Department</oddFooter>
  </headerFooter>
  <rowBreaks count="1" manualBreakCount="1">
    <brk id="67" max="69" man="1"/>
  </rowBrea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DD336-7460-4F80-B41D-5C378DFB8C3E}">
  <sheetPr>
    <pageSetUpPr fitToPage="1"/>
  </sheetPr>
  <dimension ref="A1:CB77"/>
  <sheetViews>
    <sheetView view="pageBreakPreview" zoomScale="70" zoomScaleNormal="70" zoomScaleSheetLayoutView="70" zoomScalePageLayoutView="55" workbookViewId="0">
      <selection activeCell="U15" sqref="U15:Y17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140625" customWidth="1"/>
    <col min="47" max="47" width="10.71093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1" customWidth="1"/>
    <col min="62" max="62" width="56.7109375" customWidth="1"/>
    <col min="63" max="63" width="13" customWidth="1"/>
    <col min="64" max="64" width="7" customWidth="1"/>
  </cols>
  <sheetData>
    <row r="1" spans="1:80" ht="213" customHeight="1" thickBot="1" x14ac:dyDescent="0.3"/>
    <row r="2" spans="1:80" ht="39.950000000000003" customHeight="1" thickTop="1" x14ac:dyDescent="0.25">
      <c r="A2" s="165"/>
      <c r="B2" s="165"/>
      <c r="C2" s="165"/>
      <c r="D2" s="165"/>
      <c r="E2" s="165"/>
      <c r="F2" s="165"/>
      <c r="G2" s="165"/>
      <c r="H2" s="165"/>
      <c r="I2" s="165"/>
      <c r="J2" s="165"/>
      <c r="K2" s="2522" t="s">
        <v>250</v>
      </c>
      <c r="L2" s="2523"/>
      <c r="M2" s="2523"/>
      <c r="N2" s="2524">
        <f>L7/((96*3.1415/59)*(42.5/3.281))</f>
        <v>0</v>
      </c>
      <c r="O2" s="2525"/>
      <c r="P2" s="2522" t="s">
        <v>250</v>
      </c>
      <c r="Q2" s="2523"/>
      <c r="R2" s="2523"/>
      <c r="S2" s="2524">
        <f t="shared" ref="S2" si="0">Q7/((96*3.1415/59)*(42.5/3.281))</f>
        <v>0</v>
      </c>
      <c r="T2" s="2525"/>
      <c r="U2" s="2522" t="s">
        <v>250</v>
      </c>
      <c r="V2" s="2523"/>
      <c r="W2" s="2523"/>
      <c r="X2" s="2524">
        <f t="shared" ref="X2" si="1">V7/((96*3.1415/59)*(42.5/3.281))</f>
        <v>0</v>
      </c>
      <c r="Y2" s="2525"/>
      <c r="Z2" s="2522" t="s">
        <v>250</v>
      </c>
      <c r="AA2" s="2523"/>
      <c r="AB2" s="2523"/>
      <c r="AC2" s="2524">
        <f t="shared" ref="AC2" si="2">AA7/((96*3.1415/59)*(42.5/3.281))</f>
        <v>0</v>
      </c>
      <c r="AD2" s="2525"/>
      <c r="AE2" s="2522" t="s">
        <v>250</v>
      </c>
      <c r="AF2" s="2523"/>
      <c r="AG2" s="2523"/>
      <c r="AH2" s="2524">
        <f t="shared" ref="AH2" si="3">AF7/((96*3.1415/59)*(42.5/3.281))</f>
        <v>0</v>
      </c>
      <c r="AI2" s="2525"/>
      <c r="AJ2" s="2522" t="s">
        <v>250</v>
      </c>
      <c r="AK2" s="2523"/>
      <c r="AL2" s="2523"/>
      <c r="AM2" s="2524">
        <f t="shared" ref="AM2" si="4">AK7/((96*3.1415/59)*(42.5/3.281))</f>
        <v>0</v>
      </c>
      <c r="AN2" s="2525"/>
      <c r="AO2" s="165"/>
      <c r="AP2" s="165"/>
      <c r="AQ2" s="165"/>
      <c r="AR2" s="165"/>
      <c r="AS2" s="165"/>
      <c r="AT2" s="165"/>
      <c r="AU2" s="165"/>
      <c r="AV2" s="165"/>
      <c r="AW2" s="165"/>
      <c r="AX2" s="165"/>
      <c r="AY2" s="674"/>
      <c r="AZ2" s="674"/>
      <c r="BA2" s="674"/>
      <c r="BB2" s="1300"/>
      <c r="BC2" s="1300"/>
      <c r="BD2" s="674"/>
      <c r="BE2" s="674"/>
      <c r="BF2" s="674"/>
      <c r="BG2" s="1300"/>
      <c r="BH2" s="1300"/>
      <c r="BM2" s="27"/>
      <c r="BN2" s="27"/>
      <c r="BO2" s="27"/>
      <c r="BP2" s="27"/>
      <c r="BQ2" s="27"/>
      <c r="BR2" s="27"/>
      <c r="BW2" s="27"/>
      <c r="BX2" s="27"/>
      <c r="BY2" s="27"/>
      <c r="BZ2" s="27"/>
      <c r="CA2" s="27"/>
      <c r="CB2" s="27"/>
    </row>
    <row r="3" spans="1:80" ht="9.9499999999999993" hidden="1" customHeight="1" x14ac:dyDescent="0.25">
      <c r="A3" s="165"/>
      <c r="B3" s="165"/>
      <c r="C3" s="165"/>
      <c r="D3" s="165"/>
      <c r="E3" s="165"/>
      <c r="F3" s="165"/>
      <c r="G3" s="165"/>
      <c r="H3" s="165"/>
      <c r="I3" s="165"/>
      <c r="J3" s="165"/>
      <c r="K3" s="2526" t="s">
        <v>111</v>
      </c>
      <c r="L3" s="2527"/>
      <c r="M3" s="2527"/>
      <c r="N3" s="2527"/>
      <c r="O3" s="2528"/>
      <c r="P3" s="2526" t="s">
        <v>111</v>
      </c>
      <c r="Q3" s="2527"/>
      <c r="R3" s="2527"/>
      <c r="S3" s="2527"/>
      <c r="T3" s="2528"/>
      <c r="U3" s="2526" t="s">
        <v>111</v>
      </c>
      <c r="V3" s="2527"/>
      <c r="W3" s="2527"/>
      <c r="X3" s="2527"/>
      <c r="Y3" s="2528"/>
      <c r="Z3" s="2526" t="s">
        <v>111</v>
      </c>
      <c r="AA3" s="2527"/>
      <c r="AB3" s="2527"/>
      <c r="AC3" s="2527"/>
      <c r="AD3" s="2528"/>
      <c r="AE3" s="2526" t="s">
        <v>111</v>
      </c>
      <c r="AF3" s="2527"/>
      <c r="AG3" s="2527"/>
      <c r="AH3" s="2527"/>
      <c r="AI3" s="2528"/>
      <c r="AJ3" s="2526" t="s">
        <v>111</v>
      </c>
      <c r="AK3" s="2527"/>
      <c r="AL3" s="2527"/>
      <c r="AM3" s="2527"/>
      <c r="AN3" s="2528"/>
      <c r="AO3" s="165"/>
      <c r="AP3" s="165"/>
      <c r="AQ3" s="165"/>
      <c r="AR3" s="165"/>
      <c r="AS3" s="165"/>
      <c r="AT3" s="165"/>
      <c r="AU3" s="165"/>
      <c r="AV3" s="165"/>
      <c r="AW3" s="165"/>
      <c r="AX3" s="165"/>
      <c r="AY3" s="676"/>
      <c r="AZ3" s="676"/>
      <c r="BA3" s="676"/>
      <c r="BB3" s="36"/>
      <c r="BC3" s="36"/>
      <c r="BD3" s="676"/>
      <c r="BE3" s="676"/>
      <c r="BF3" s="676"/>
      <c r="BG3" s="36"/>
      <c r="BH3" s="36"/>
    </row>
    <row r="4" spans="1:80" ht="24.95" hidden="1" customHeight="1" x14ac:dyDescent="0.25">
      <c r="A4" s="165"/>
      <c r="B4" s="165"/>
      <c r="C4" s="165"/>
      <c r="D4" s="165"/>
      <c r="E4" s="165"/>
      <c r="F4" s="165"/>
      <c r="G4" s="165"/>
      <c r="H4" s="165"/>
      <c r="I4" s="165"/>
      <c r="J4" s="165"/>
      <c r="K4" s="2529"/>
      <c r="L4" s="2530"/>
      <c r="M4" s="2530"/>
      <c r="N4" s="2530"/>
      <c r="O4" s="2531"/>
      <c r="P4" s="2529"/>
      <c r="Q4" s="2530"/>
      <c r="R4" s="2530"/>
      <c r="S4" s="2530"/>
      <c r="T4" s="2531"/>
      <c r="U4" s="2529"/>
      <c r="V4" s="2530"/>
      <c r="W4" s="2530"/>
      <c r="X4" s="2530"/>
      <c r="Y4" s="2531"/>
      <c r="Z4" s="2529"/>
      <c r="AA4" s="2530"/>
      <c r="AB4" s="2530"/>
      <c r="AC4" s="2530"/>
      <c r="AD4" s="2531"/>
      <c r="AE4" s="2529"/>
      <c r="AF4" s="2530"/>
      <c r="AG4" s="2530"/>
      <c r="AH4" s="2530"/>
      <c r="AI4" s="2531"/>
      <c r="AJ4" s="2529"/>
      <c r="AK4" s="2530"/>
      <c r="AL4" s="2530"/>
      <c r="AM4" s="2530"/>
      <c r="AN4" s="2531"/>
      <c r="AO4" s="165"/>
      <c r="AP4" s="165"/>
      <c r="AQ4" s="165"/>
      <c r="AR4" s="165"/>
      <c r="AS4" s="165"/>
      <c r="AT4" s="165"/>
      <c r="AU4" s="165"/>
      <c r="AV4" s="165"/>
      <c r="AW4" s="165"/>
      <c r="AX4" s="165"/>
      <c r="AY4" s="676"/>
      <c r="AZ4" s="676"/>
      <c r="BA4" s="676"/>
      <c r="BB4" s="36"/>
      <c r="BC4" s="36"/>
      <c r="BD4" s="676"/>
      <c r="BE4" s="676"/>
      <c r="BF4" s="676"/>
      <c r="BG4" s="36"/>
      <c r="BH4" s="36"/>
    </row>
    <row r="5" spans="1:80" ht="25.5" customHeight="1" x14ac:dyDescent="0.25">
      <c r="A5" s="165"/>
      <c r="B5" s="165"/>
      <c r="C5" s="165"/>
      <c r="D5" s="165"/>
      <c r="E5" s="165"/>
      <c r="F5" s="165"/>
      <c r="G5" s="165"/>
      <c r="H5" s="165"/>
      <c r="I5" s="165"/>
      <c r="J5" s="165"/>
      <c r="K5" s="2532"/>
      <c r="L5" s="2533"/>
      <c r="M5" s="2533"/>
      <c r="N5" s="2533"/>
      <c r="O5" s="2534"/>
      <c r="P5" s="2532"/>
      <c r="Q5" s="2533"/>
      <c r="R5" s="2533"/>
      <c r="S5" s="2533"/>
      <c r="T5" s="2534"/>
      <c r="U5" s="2532"/>
      <c r="V5" s="2533"/>
      <c r="W5" s="2533"/>
      <c r="X5" s="2533"/>
      <c r="Y5" s="2534"/>
      <c r="Z5" s="2532"/>
      <c r="AA5" s="2533"/>
      <c r="AB5" s="2533"/>
      <c r="AC5" s="2533"/>
      <c r="AD5" s="2534"/>
      <c r="AE5" s="2532"/>
      <c r="AF5" s="2533"/>
      <c r="AG5" s="2533"/>
      <c r="AH5" s="2533"/>
      <c r="AI5" s="2534"/>
      <c r="AJ5" s="2532"/>
      <c r="AK5" s="2533"/>
      <c r="AL5" s="2533"/>
      <c r="AM5" s="2533"/>
      <c r="AN5" s="2534"/>
      <c r="AO5" s="165"/>
      <c r="AP5" s="165"/>
      <c r="AQ5" s="165"/>
      <c r="AR5" s="165"/>
      <c r="AS5" s="165"/>
      <c r="AT5" s="165"/>
      <c r="AU5" s="165"/>
      <c r="AV5" s="165"/>
      <c r="AW5" s="165"/>
      <c r="AX5" s="165"/>
      <c r="AY5" s="676"/>
      <c r="AZ5" s="676"/>
      <c r="BA5" s="676"/>
      <c r="BB5" s="36"/>
      <c r="BC5" s="36"/>
      <c r="BD5" s="676"/>
      <c r="BE5" s="676"/>
      <c r="BF5" s="676"/>
      <c r="BG5" s="36"/>
      <c r="BH5" s="36"/>
    </row>
    <row r="6" spans="1:80" ht="72" customHeight="1" x14ac:dyDescent="0.25">
      <c r="A6" s="165"/>
      <c r="B6" s="165"/>
      <c r="C6" s="165"/>
      <c r="D6" s="165"/>
      <c r="E6" s="165"/>
      <c r="F6" s="165"/>
      <c r="G6" s="165"/>
      <c r="H6" s="165"/>
      <c r="I6" s="165"/>
      <c r="J6" s="165"/>
      <c r="K6" s="2535" t="s">
        <v>553</v>
      </c>
      <c r="L6" s="1327">
        <v>1</v>
      </c>
      <c r="M6" s="1328"/>
      <c r="N6" s="1328"/>
      <c r="O6" s="1329"/>
      <c r="P6" s="2535" t="s">
        <v>553</v>
      </c>
      <c r="Q6" s="1327">
        <v>2</v>
      </c>
      <c r="R6" s="1328"/>
      <c r="S6" s="1328"/>
      <c r="T6" s="1329"/>
      <c r="U6" s="2535" t="s">
        <v>553</v>
      </c>
      <c r="V6" s="1327">
        <v>3</v>
      </c>
      <c r="W6" s="1328"/>
      <c r="X6" s="1328"/>
      <c r="Y6" s="1329"/>
      <c r="Z6" s="2535" t="s">
        <v>553</v>
      </c>
      <c r="AA6" s="1327">
        <v>4</v>
      </c>
      <c r="AB6" s="1328"/>
      <c r="AC6" s="1328"/>
      <c r="AD6" s="1329"/>
      <c r="AE6" s="2535" t="s">
        <v>553</v>
      </c>
      <c r="AF6" s="1327">
        <v>5</v>
      </c>
      <c r="AG6" s="1328"/>
      <c r="AH6" s="1328"/>
      <c r="AI6" s="1329"/>
      <c r="AJ6" s="2535" t="s">
        <v>553</v>
      </c>
      <c r="AK6" s="1327">
        <v>6</v>
      </c>
      <c r="AL6" s="1328"/>
      <c r="AM6" s="1328"/>
      <c r="AN6" s="1329"/>
      <c r="AO6" s="165"/>
      <c r="AP6" s="165"/>
      <c r="AQ6" s="165"/>
      <c r="AR6" s="165"/>
      <c r="AS6" s="165"/>
      <c r="AT6" s="165"/>
      <c r="AU6" s="165"/>
      <c r="AV6" s="165"/>
      <c r="AW6" s="165"/>
      <c r="AX6" s="165"/>
      <c r="AY6" s="677"/>
      <c r="AZ6" s="1332"/>
      <c r="BA6" s="1332"/>
      <c r="BB6" s="1332"/>
      <c r="BC6" s="1332"/>
      <c r="BD6" s="677"/>
      <c r="BE6" s="1332"/>
      <c r="BF6" s="1332"/>
      <c r="BG6" s="1332"/>
      <c r="BH6" s="1332"/>
      <c r="BM6" s="27"/>
      <c r="BN6" s="27"/>
      <c r="BO6" s="27"/>
      <c r="BP6" s="27"/>
      <c r="BQ6" s="27"/>
      <c r="BR6" s="27"/>
      <c r="BW6" s="27"/>
      <c r="BX6" s="27"/>
      <c r="BY6" s="27"/>
      <c r="BZ6" s="27"/>
      <c r="CA6" s="27"/>
      <c r="CB6" s="27"/>
    </row>
    <row r="7" spans="1:80" ht="35.1" customHeight="1" thickBot="1" x14ac:dyDescent="0.3">
      <c r="A7" s="165"/>
      <c r="B7" s="165"/>
      <c r="C7" s="165"/>
      <c r="D7" s="165"/>
      <c r="E7" s="165"/>
      <c r="F7" s="165"/>
      <c r="G7" s="165"/>
      <c r="H7" s="165"/>
      <c r="I7" s="165"/>
      <c r="J7" s="165"/>
      <c r="K7" s="2536"/>
      <c r="L7" s="327"/>
      <c r="M7" s="328" t="s">
        <v>113</v>
      </c>
      <c r="N7" s="329"/>
      <c r="O7" s="330" t="s">
        <v>114</v>
      </c>
      <c r="P7" s="2536"/>
      <c r="Q7" s="327"/>
      <c r="R7" s="328" t="s">
        <v>113</v>
      </c>
      <c r="S7" s="329"/>
      <c r="T7" s="330" t="s">
        <v>114</v>
      </c>
      <c r="U7" s="2536"/>
      <c r="V7" s="327"/>
      <c r="W7" s="328" t="s">
        <v>113</v>
      </c>
      <c r="X7" s="329"/>
      <c r="Y7" s="330" t="s">
        <v>114</v>
      </c>
      <c r="Z7" s="2536"/>
      <c r="AA7" s="327"/>
      <c r="AB7" s="328" t="s">
        <v>113</v>
      </c>
      <c r="AC7" s="329"/>
      <c r="AD7" s="330" t="s">
        <v>114</v>
      </c>
      <c r="AE7" s="2536"/>
      <c r="AF7" s="327"/>
      <c r="AG7" s="328" t="s">
        <v>113</v>
      </c>
      <c r="AH7" s="329"/>
      <c r="AI7" s="330" t="s">
        <v>114</v>
      </c>
      <c r="AJ7" s="2536"/>
      <c r="AK7" s="327"/>
      <c r="AL7" s="328" t="s">
        <v>113</v>
      </c>
      <c r="AM7" s="329"/>
      <c r="AN7" s="330" t="s">
        <v>114</v>
      </c>
      <c r="AO7" s="165"/>
      <c r="AP7" s="165"/>
      <c r="AQ7" s="165"/>
      <c r="AR7" s="165"/>
      <c r="AS7" s="165"/>
      <c r="AT7" s="165"/>
      <c r="AU7" s="165"/>
      <c r="AV7" s="165"/>
      <c r="AW7" s="165"/>
      <c r="AX7" s="165"/>
      <c r="AY7" s="677"/>
      <c r="AZ7" s="137"/>
      <c r="BA7" s="33"/>
      <c r="BB7" s="138"/>
      <c r="BC7" s="35"/>
      <c r="BD7" s="677"/>
      <c r="BE7" s="137"/>
      <c r="BF7" s="33"/>
      <c r="BG7" s="138"/>
      <c r="BH7" s="35"/>
      <c r="BM7" s="27"/>
      <c r="BN7" s="27"/>
      <c r="BO7" s="27"/>
      <c r="BP7" s="27"/>
      <c r="BQ7" s="27"/>
      <c r="BR7" s="27"/>
      <c r="BW7" s="27"/>
      <c r="BX7" s="27"/>
      <c r="BY7" s="27"/>
      <c r="BZ7" s="27"/>
      <c r="CA7" s="27"/>
      <c r="CB7" s="27"/>
    </row>
    <row r="8" spans="1:80" ht="39" customHeight="1" thickTop="1" x14ac:dyDescent="0.25">
      <c r="A8" s="165"/>
      <c r="B8" s="165"/>
      <c r="C8" s="165"/>
      <c r="D8" s="165"/>
      <c r="E8" s="165"/>
      <c r="F8" s="165"/>
      <c r="G8" s="165"/>
      <c r="H8" s="165"/>
      <c r="I8" s="165"/>
      <c r="J8" s="165"/>
      <c r="K8" s="1706" t="s">
        <v>557</v>
      </c>
      <c r="L8" s="1746"/>
      <c r="M8" s="1746"/>
      <c r="N8" s="1746"/>
      <c r="O8" s="1746"/>
      <c r="P8" s="1746"/>
      <c r="Q8" s="1746"/>
      <c r="R8" s="1746"/>
      <c r="S8" s="1746"/>
      <c r="T8" s="1746"/>
      <c r="U8" s="1746"/>
      <c r="V8" s="1746"/>
      <c r="W8" s="1746"/>
      <c r="X8" s="1746"/>
      <c r="Y8" s="1746"/>
      <c r="Z8" s="1746"/>
      <c r="AA8" s="1746"/>
      <c r="AB8" s="1746"/>
      <c r="AC8" s="1746"/>
      <c r="AD8" s="1746"/>
      <c r="AE8" s="1746"/>
      <c r="AF8" s="1746"/>
      <c r="AG8" s="1746"/>
      <c r="AH8" s="1746"/>
      <c r="AI8" s="1746"/>
      <c r="AJ8" s="1746"/>
      <c r="AK8" s="1746"/>
      <c r="AL8" s="1746"/>
      <c r="AM8" s="1746"/>
      <c r="AN8" s="1747"/>
      <c r="AO8" s="165"/>
      <c r="AP8" s="165"/>
      <c r="AQ8" s="165"/>
      <c r="AR8" s="165"/>
      <c r="AS8" s="165"/>
      <c r="AT8" s="165"/>
      <c r="AU8" s="165"/>
      <c r="AV8" s="165"/>
      <c r="AW8" s="165"/>
      <c r="AX8" s="165"/>
      <c r="AY8" s="674"/>
      <c r="AZ8" s="674"/>
      <c r="BA8" s="674"/>
      <c r="BB8" s="1300"/>
      <c r="BC8" s="1300"/>
      <c r="BD8" s="674"/>
      <c r="BE8" s="674"/>
      <c r="BF8" s="674"/>
      <c r="BG8" s="1300"/>
      <c r="BH8" s="1300"/>
      <c r="BM8" s="27"/>
      <c r="BN8" s="27"/>
      <c r="BO8" s="27"/>
      <c r="BP8" s="27"/>
      <c r="BQ8" s="27"/>
      <c r="BR8" s="27"/>
      <c r="BW8" s="27"/>
      <c r="BX8" s="27"/>
      <c r="BY8" s="27"/>
      <c r="BZ8" s="27"/>
      <c r="CA8" s="27"/>
      <c r="CB8" s="27"/>
    </row>
    <row r="9" spans="1:80" ht="17.25" customHeight="1" thickBot="1" x14ac:dyDescent="0.3">
      <c r="A9" s="165"/>
      <c r="B9" s="165"/>
      <c r="C9" s="165"/>
      <c r="D9" s="165"/>
      <c r="E9" s="165"/>
      <c r="F9" s="165"/>
      <c r="G9" s="165"/>
      <c r="H9" s="165"/>
      <c r="I9" s="165"/>
      <c r="J9" s="165"/>
      <c r="K9" s="1748"/>
      <c r="L9" s="1749"/>
      <c r="M9" s="1749"/>
      <c r="N9" s="1749"/>
      <c r="O9" s="1749"/>
      <c r="P9" s="1749"/>
      <c r="Q9" s="1749"/>
      <c r="R9" s="1749"/>
      <c r="S9" s="1749"/>
      <c r="T9" s="1749"/>
      <c r="U9" s="1749"/>
      <c r="V9" s="1749"/>
      <c r="W9" s="1749"/>
      <c r="X9" s="1749"/>
      <c r="Y9" s="1749"/>
      <c r="Z9" s="1749"/>
      <c r="AA9" s="1749"/>
      <c r="AB9" s="1749"/>
      <c r="AC9" s="1749"/>
      <c r="AD9" s="1749"/>
      <c r="AE9" s="1749"/>
      <c r="AF9" s="1749"/>
      <c r="AG9" s="1749"/>
      <c r="AH9" s="1749"/>
      <c r="AI9" s="1749"/>
      <c r="AJ9" s="1749"/>
      <c r="AK9" s="1749"/>
      <c r="AL9" s="1749"/>
      <c r="AM9" s="1749"/>
      <c r="AN9" s="1750"/>
      <c r="AO9" s="165"/>
      <c r="AP9" s="165"/>
      <c r="AQ9" s="165"/>
      <c r="AR9" s="165"/>
      <c r="AS9" s="165"/>
      <c r="AT9" s="165"/>
      <c r="AU9" s="165"/>
      <c r="AV9" s="165"/>
      <c r="AW9" s="165"/>
      <c r="AX9" s="165"/>
      <c r="AY9" s="676"/>
      <c r="AZ9" s="676"/>
      <c r="BA9" s="676"/>
      <c r="BB9" s="674"/>
      <c r="BC9" s="674"/>
      <c r="BD9" s="674"/>
      <c r="BE9" s="674"/>
      <c r="BF9" s="674"/>
      <c r="BG9" s="674"/>
      <c r="BH9" s="674"/>
      <c r="BI9" s="674"/>
      <c r="BJ9" s="674"/>
    </row>
    <row r="10" spans="1:80" ht="34.5" thickTop="1" x14ac:dyDescent="0.25">
      <c r="A10" s="165"/>
      <c r="B10" s="165"/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  <c r="Z10" s="165"/>
      <c r="AA10" s="165"/>
      <c r="AB10" s="165"/>
      <c r="AC10" s="165"/>
      <c r="AD10" s="165"/>
      <c r="AE10" s="165"/>
      <c r="AF10" s="165"/>
      <c r="AG10" s="165"/>
      <c r="AH10" s="165"/>
      <c r="AI10" s="165"/>
      <c r="AJ10" s="165"/>
      <c r="AK10" s="165"/>
      <c r="AL10" s="165"/>
      <c r="AM10" s="165"/>
      <c r="AN10" s="165"/>
      <c r="AO10" s="165"/>
      <c r="AP10" s="165"/>
      <c r="AQ10" s="165"/>
      <c r="AR10" s="165"/>
      <c r="AS10" s="165"/>
      <c r="AT10" s="165"/>
      <c r="AU10" s="165"/>
      <c r="AV10" s="165"/>
      <c r="AW10" s="165"/>
      <c r="AX10" s="165"/>
      <c r="AY10" s="676"/>
      <c r="AZ10" s="676"/>
      <c r="BA10" s="676"/>
      <c r="BB10" s="674"/>
      <c r="BC10" s="674"/>
      <c r="BD10" s="674"/>
      <c r="BE10" s="674"/>
      <c r="BF10" s="674"/>
      <c r="BG10" s="674"/>
      <c r="BH10" s="674"/>
      <c r="BI10" s="674"/>
      <c r="BJ10" s="674"/>
    </row>
    <row r="11" spans="1:80" ht="25.5" customHeight="1" x14ac:dyDescent="0.25">
      <c r="A11" s="165"/>
      <c r="B11" s="165"/>
      <c r="C11" s="165"/>
      <c r="D11" s="165"/>
      <c r="E11" s="165"/>
      <c r="F11" s="165"/>
      <c r="G11" s="165"/>
      <c r="H11" s="165"/>
      <c r="I11" s="165"/>
      <c r="J11" s="165"/>
      <c r="K11" s="165"/>
      <c r="L11" s="165"/>
      <c r="M11" s="165"/>
      <c r="N11" s="165"/>
      <c r="O11" s="165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5"/>
      <c r="AA11" s="165"/>
      <c r="AB11" s="165"/>
      <c r="AC11" s="165"/>
      <c r="AD11" s="165"/>
      <c r="AE11" s="165"/>
      <c r="AF11" s="165"/>
      <c r="AG11" s="165"/>
      <c r="AH11" s="165"/>
      <c r="AI11" s="165"/>
      <c r="AJ11" s="165"/>
      <c r="AK11" s="165"/>
      <c r="AL11" s="165"/>
      <c r="AM11" s="165"/>
      <c r="AN11" s="165"/>
      <c r="AO11" s="165"/>
      <c r="AP11" s="165"/>
      <c r="AQ11" s="165"/>
      <c r="AR11" s="165"/>
      <c r="AS11" s="165"/>
      <c r="AT11" s="165"/>
      <c r="AU11" s="165"/>
      <c r="AV11" s="165"/>
      <c r="AW11" s="165"/>
      <c r="AX11" s="165"/>
      <c r="AY11" s="676"/>
      <c r="AZ11" s="676"/>
      <c r="BA11" s="676"/>
      <c r="BB11" s="674"/>
      <c r="BC11" s="674"/>
      <c r="BD11" s="674"/>
      <c r="BE11" s="674"/>
      <c r="BF11" s="674"/>
      <c r="BG11" s="674"/>
      <c r="BH11" s="674"/>
      <c r="BI11" s="674"/>
      <c r="BJ11" s="674"/>
    </row>
    <row r="12" spans="1:80" ht="72" customHeight="1" x14ac:dyDescent="0.25">
      <c r="A12" s="165"/>
      <c r="B12" s="165"/>
      <c r="C12" s="165"/>
      <c r="D12" s="165"/>
      <c r="E12" s="165"/>
      <c r="F12" s="165"/>
      <c r="G12" s="165"/>
      <c r="H12" s="165"/>
      <c r="I12" s="165"/>
      <c r="J12" s="165"/>
      <c r="K12" s="165"/>
      <c r="L12" s="165"/>
      <c r="M12" s="165"/>
      <c r="N12" s="165"/>
      <c r="O12" s="165"/>
      <c r="P12" s="165"/>
      <c r="Q12" s="165"/>
      <c r="R12" s="165"/>
      <c r="S12" s="165"/>
      <c r="T12" s="165"/>
      <c r="U12" s="165"/>
      <c r="V12" s="165"/>
      <c r="W12" s="165"/>
      <c r="X12" s="165"/>
      <c r="Y12" s="165"/>
      <c r="Z12" s="165"/>
      <c r="AA12" s="165"/>
      <c r="AB12" s="165"/>
      <c r="AC12" s="165"/>
      <c r="AD12" s="165"/>
      <c r="AE12" s="165"/>
      <c r="AF12" s="165"/>
      <c r="AG12" s="165"/>
      <c r="AH12" s="165"/>
      <c r="AI12" s="165"/>
      <c r="AJ12" s="165"/>
      <c r="AK12" s="165"/>
      <c r="AL12" s="165"/>
      <c r="AM12" s="165"/>
      <c r="AN12" s="165"/>
      <c r="AO12" s="165"/>
      <c r="AP12" s="165"/>
      <c r="AQ12" s="165"/>
      <c r="AR12" s="165"/>
      <c r="AS12" s="165"/>
      <c r="AT12" s="165"/>
      <c r="AU12" s="165"/>
      <c r="AV12" s="165"/>
      <c r="AW12" s="165"/>
      <c r="AX12" s="165"/>
      <c r="AY12" s="677"/>
      <c r="AZ12" s="1332"/>
      <c r="BA12" s="1332"/>
      <c r="BB12" s="1332"/>
      <c r="BC12" s="1332"/>
      <c r="BD12" s="677"/>
      <c r="BE12" s="1332"/>
      <c r="BF12" s="1332"/>
      <c r="BG12" s="1332"/>
      <c r="BH12" s="1332"/>
      <c r="BM12" s="51"/>
      <c r="BN12" s="51"/>
      <c r="BO12" s="51"/>
      <c r="BP12" s="51"/>
      <c r="BQ12" s="51"/>
      <c r="BR12" s="51"/>
      <c r="BW12" s="27"/>
      <c r="BX12" s="27"/>
      <c r="BY12" s="27"/>
      <c r="BZ12" s="27"/>
      <c r="CA12" s="27"/>
      <c r="CB12" s="27"/>
    </row>
    <row r="13" spans="1:80" ht="35.1" customHeight="1" x14ac:dyDescent="0.25">
      <c r="A13" s="165"/>
      <c r="B13" s="165"/>
      <c r="C13" s="165"/>
      <c r="D13" s="165"/>
      <c r="E13" s="165"/>
      <c r="F13" s="165"/>
      <c r="G13" s="165"/>
      <c r="H13" s="165"/>
      <c r="I13" s="165"/>
      <c r="J13" s="165"/>
      <c r="K13" s="165"/>
      <c r="L13" s="165"/>
      <c r="M13" s="165"/>
      <c r="N13" s="165"/>
      <c r="O13" s="165"/>
      <c r="P13" s="165"/>
      <c r="Q13" s="165"/>
      <c r="R13" s="165"/>
      <c r="S13" s="165"/>
      <c r="T13" s="165"/>
      <c r="U13" s="165"/>
      <c r="V13" s="165"/>
      <c r="W13" s="165"/>
      <c r="X13" s="165"/>
      <c r="Y13" s="165"/>
      <c r="Z13" s="165"/>
      <c r="AA13" s="165"/>
      <c r="AB13" s="165"/>
      <c r="AC13" s="165"/>
      <c r="AD13" s="165"/>
      <c r="AE13" s="165"/>
      <c r="AF13" s="165"/>
      <c r="AG13" s="165"/>
      <c r="AH13" s="165"/>
      <c r="AI13" s="165"/>
      <c r="AJ13" s="165"/>
      <c r="AK13" s="165"/>
      <c r="AL13" s="165"/>
      <c r="AM13" s="165"/>
      <c r="AN13" s="165"/>
      <c r="AO13" s="165"/>
      <c r="AP13" s="165"/>
      <c r="AQ13" s="165"/>
      <c r="AR13" s="165"/>
      <c r="AS13" s="165"/>
      <c r="AT13" s="165"/>
      <c r="AU13" s="165"/>
      <c r="AV13" s="165"/>
      <c r="AW13" s="165"/>
      <c r="AX13" s="165"/>
      <c r="AY13" s="677"/>
      <c r="AZ13" s="137"/>
      <c r="BA13" s="33"/>
      <c r="BB13" s="138"/>
      <c r="BC13" s="35"/>
      <c r="BD13" s="677"/>
      <c r="BE13" s="137"/>
      <c r="BF13" s="33"/>
      <c r="BG13" s="138"/>
      <c r="BH13" s="35"/>
      <c r="BM13" s="51"/>
      <c r="BN13" s="51"/>
      <c r="BO13" s="51"/>
      <c r="BP13" s="51"/>
      <c r="BQ13" s="51"/>
      <c r="BR13" s="51"/>
      <c r="BW13" s="27"/>
      <c r="BX13" s="27"/>
      <c r="BY13" s="27"/>
      <c r="BZ13" s="27"/>
      <c r="CA13" s="27"/>
      <c r="CB13" s="27"/>
    </row>
    <row r="14" spans="1:80" ht="39.950000000000003" hidden="1" customHeight="1" thickTop="1" x14ac:dyDescent="0.25">
      <c r="A14" s="1695" t="s">
        <v>250</v>
      </c>
      <c r="B14" s="1696"/>
      <c r="C14" s="1696"/>
      <c r="D14" s="1697">
        <f>B19/((42*3.1415/59)*(30/3.281))</f>
        <v>0</v>
      </c>
      <c r="E14" s="1698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Z14" s="44"/>
      <c r="AA14" s="44"/>
      <c r="AB14" s="44"/>
      <c r="AC14" s="44"/>
      <c r="AD14" s="44"/>
      <c r="AE14" s="44"/>
      <c r="AF14" s="44"/>
      <c r="AG14" s="44"/>
      <c r="AH14" s="1300"/>
      <c r="AI14" s="1300"/>
      <c r="AJ14" s="674"/>
      <c r="AK14" s="674"/>
      <c r="AL14" s="674"/>
      <c r="AM14" s="1300"/>
      <c r="AN14" s="1300"/>
      <c r="AO14" s="674"/>
      <c r="AP14" s="674"/>
      <c r="AQ14" s="674"/>
      <c r="AR14" s="1300"/>
      <c r="AS14" s="1300"/>
      <c r="AT14" s="1389"/>
      <c r="AU14" s="1389"/>
      <c r="AV14" s="1389"/>
      <c r="AW14" s="1390"/>
      <c r="AX14" s="1390"/>
      <c r="AY14" s="674"/>
      <c r="AZ14" s="674"/>
      <c r="BA14" s="674"/>
      <c r="BB14" s="1300"/>
      <c r="BC14" s="1300"/>
      <c r="BD14" s="674"/>
      <c r="BE14" s="674"/>
      <c r="BF14" s="674"/>
      <c r="BG14" s="1300"/>
      <c r="BH14" s="1300"/>
      <c r="BM14" s="51"/>
      <c r="BN14" s="51"/>
      <c r="BO14" s="51"/>
      <c r="BP14" s="51"/>
      <c r="BQ14" s="51"/>
      <c r="BR14" s="51"/>
      <c r="BW14" s="27"/>
      <c r="BX14" s="27"/>
      <c r="BY14" s="27"/>
      <c r="BZ14" s="27"/>
      <c r="CA14" s="27"/>
      <c r="CB14" s="27"/>
    </row>
    <row r="15" spans="1:80" ht="9.9499999999999993" hidden="1" customHeight="1" x14ac:dyDescent="0.25">
      <c r="A15" s="1379" t="s">
        <v>252</v>
      </c>
      <c r="B15" s="1380"/>
      <c r="C15" s="1380"/>
      <c r="D15" s="1380"/>
      <c r="E15" s="1381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Z15" s="47"/>
      <c r="AA15" s="47"/>
      <c r="AB15" s="47"/>
      <c r="AC15" s="47"/>
      <c r="AD15" s="47"/>
      <c r="AE15" s="47"/>
      <c r="AF15" s="47"/>
      <c r="AG15" s="47"/>
      <c r="AH15" s="36"/>
      <c r="AI15" s="36"/>
      <c r="AJ15" s="676"/>
      <c r="AK15" s="676"/>
      <c r="AL15" s="676"/>
      <c r="AM15" s="36"/>
      <c r="AN15" s="36"/>
      <c r="AO15" s="676"/>
      <c r="AP15" s="676"/>
      <c r="AQ15" s="676"/>
      <c r="AR15" s="36"/>
      <c r="AS15" s="36"/>
      <c r="AT15" s="1388"/>
      <c r="AU15" s="1388"/>
      <c r="AV15" s="1388"/>
      <c r="AW15" s="139"/>
      <c r="AX15" s="139"/>
      <c r="AY15" s="676"/>
      <c r="AZ15" s="676"/>
      <c r="BA15" s="676"/>
      <c r="BB15" s="36"/>
      <c r="BC15" s="36"/>
      <c r="BD15" s="676"/>
      <c r="BE15" s="676"/>
      <c r="BF15" s="676"/>
      <c r="BG15" s="36"/>
      <c r="BH15" s="36"/>
    </row>
    <row r="16" spans="1:80" ht="24.95" hidden="1" customHeight="1" x14ac:dyDescent="0.25">
      <c r="A16" s="1382"/>
      <c r="B16" s="1383"/>
      <c r="C16" s="1383"/>
      <c r="D16" s="1383"/>
      <c r="E16" s="1384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Z16" s="47"/>
      <c r="AA16" s="47"/>
      <c r="AB16" s="47"/>
      <c r="AC16" s="47"/>
      <c r="AD16" s="47"/>
      <c r="AE16" s="47"/>
      <c r="AF16" s="47"/>
      <c r="AG16" s="47"/>
      <c r="AH16" s="140"/>
      <c r="AI16" s="36"/>
      <c r="AJ16" s="676"/>
      <c r="AK16" s="676"/>
      <c r="AL16" s="676"/>
      <c r="AM16" s="140"/>
      <c r="AN16" s="36"/>
      <c r="AO16" s="676"/>
      <c r="AP16" s="676"/>
      <c r="AQ16" s="676"/>
      <c r="AR16" s="140"/>
      <c r="AS16" s="36"/>
      <c r="AT16" s="1388"/>
      <c r="AU16" s="1388"/>
      <c r="AV16" s="1388"/>
      <c r="AW16" s="141"/>
      <c r="AX16" s="139"/>
      <c r="AY16" s="676"/>
      <c r="AZ16" s="676"/>
      <c r="BA16" s="676"/>
      <c r="BB16" s="36"/>
      <c r="BC16" s="36"/>
      <c r="BD16" s="676"/>
      <c r="BE16" s="676"/>
      <c r="BF16" s="676"/>
      <c r="BG16" s="36"/>
      <c r="BH16" s="36"/>
    </row>
    <row r="17" spans="1:80" ht="9.9499999999999993" hidden="1" customHeight="1" x14ac:dyDescent="0.25">
      <c r="A17" s="1385"/>
      <c r="B17" s="1386"/>
      <c r="C17" s="1386"/>
      <c r="D17" s="1386"/>
      <c r="E17" s="138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Z17" s="47"/>
      <c r="AA17" s="47"/>
      <c r="AB17" s="47"/>
      <c r="AC17" s="47"/>
      <c r="AD17" s="47"/>
      <c r="AE17" s="47"/>
      <c r="AF17" s="47"/>
      <c r="AG17" s="47"/>
      <c r="AH17" s="36"/>
      <c r="AI17" s="36"/>
      <c r="AJ17" s="676"/>
      <c r="AK17" s="676"/>
      <c r="AL17" s="676"/>
      <c r="AM17" s="36"/>
      <c r="AN17" s="36"/>
      <c r="AO17" s="676"/>
      <c r="AP17" s="676"/>
      <c r="AQ17" s="676"/>
      <c r="AR17" s="36"/>
      <c r="AS17" s="36"/>
      <c r="AT17" s="1388"/>
      <c r="AU17" s="1388"/>
      <c r="AV17" s="1388"/>
      <c r="AW17" s="139"/>
      <c r="AX17" s="139"/>
      <c r="AY17" s="676"/>
      <c r="AZ17" s="676"/>
      <c r="BA17" s="676"/>
      <c r="BB17" s="36"/>
      <c r="BC17" s="36"/>
      <c r="BD17" s="676"/>
      <c r="BE17" s="676"/>
      <c r="BF17" s="676"/>
      <c r="BG17" s="36"/>
      <c r="BH17" s="36"/>
    </row>
    <row r="18" spans="1:80" ht="72" hidden="1" customHeight="1" x14ac:dyDescent="0.25">
      <c r="A18" s="1374" t="s">
        <v>253</v>
      </c>
      <c r="B18" s="1376"/>
      <c r="C18" s="1377"/>
      <c r="D18" s="1377"/>
      <c r="E18" s="1378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3"/>
      <c r="AU18" s="143"/>
      <c r="AV18" s="143"/>
      <c r="AW18" s="143"/>
      <c r="AX18" s="143"/>
      <c r="AY18" s="677"/>
      <c r="AZ18" s="1332"/>
      <c r="BA18" s="1332"/>
      <c r="BB18" s="1332"/>
      <c r="BC18" s="1332"/>
      <c r="BD18" s="677"/>
      <c r="BE18" s="1332" t="s">
        <v>16</v>
      </c>
      <c r="BF18" s="1332"/>
      <c r="BG18" s="1332"/>
      <c r="BH18" s="1332"/>
      <c r="BM18" s="51"/>
      <c r="BN18" s="51"/>
      <c r="BO18" s="51"/>
      <c r="BP18" s="51"/>
      <c r="BQ18" s="51"/>
      <c r="BR18" s="51"/>
      <c r="BW18" s="27"/>
      <c r="BX18" s="27"/>
      <c r="BY18" s="27"/>
      <c r="BZ18" s="27"/>
      <c r="CA18" s="27"/>
      <c r="CB18" s="27"/>
    </row>
    <row r="19" spans="1:80" ht="35.1" hidden="1" customHeight="1" thickBot="1" x14ac:dyDescent="0.3">
      <c r="A19" s="1375"/>
      <c r="B19" s="144"/>
      <c r="C19" s="145" t="s">
        <v>113</v>
      </c>
      <c r="D19" s="146"/>
      <c r="E19" s="147" t="s">
        <v>114</v>
      </c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148"/>
      <c r="AU19" s="148"/>
      <c r="AV19" s="148"/>
      <c r="AW19" s="148"/>
      <c r="AX19" s="148"/>
      <c r="AY19" s="677"/>
      <c r="AZ19" s="137"/>
      <c r="BA19" s="33"/>
      <c r="BB19" s="138"/>
      <c r="BC19" s="35"/>
      <c r="BD19" s="677"/>
      <c r="BE19" s="137"/>
      <c r="BF19" s="33"/>
      <c r="BG19" s="138"/>
      <c r="BH19" s="35"/>
      <c r="BM19" s="51"/>
      <c r="BN19" s="51"/>
      <c r="BO19" s="51"/>
      <c r="BP19" s="51"/>
      <c r="BQ19" s="51"/>
      <c r="BR19" s="51"/>
      <c r="BW19" s="27"/>
      <c r="BX19" s="27"/>
      <c r="BY19" s="27"/>
      <c r="BZ19" s="27"/>
      <c r="CA19" s="27"/>
      <c r="CB19" s="27"/>
    </row>
    <row r="20" spans="1:80" ht="26.25" hidden="1" x14ac:dyDescent="0.25">
      <c r="A20" s="1396"/>
      <c r="B20" s="1396"/>
      <c r="C20" s="1396"/>
      <c r="D20" s="1397"/>
      <c r="E20" s="1397"/>
      <c r="F20" s="674"/>
      <c r="G20" s="674"/>
      <c r="H20" s="674"/>
      <c r="I20" s="1300"/>
      <c r="J20" s="1300"/>
      <c r="K20" s="674"/>
      <c r="L20" s="674"/>
      <c r="M20" s="674"/>
      <c r="N20" s="1300"/>
      <c r="O20" s="1300"/>
      <c r="P20" s="674"/>
      <c r="Q20" s="674"/>
      <c r="R20" s="674"/>
      <c r="S20" s="1300"/>
      <c r="T20" s="1300"/>
      <c r="U20" s="674"/>
      <c r="V20" s="674"/>
      <c r="W20" s="674"/>
      <c r="X20" s="1300"/>
      <c r="Y20" s="1300"/>
      <c r="Z20" s="674"/>
      <c r="AA20" s="674"/>
      <c r="AB20" s="674"/>
      <c r="AC20" s="1300"/>
      <c r="AD20" s="1300"/>
      <c r="AE20" s="674"/>
      <c r="AF20" s="674"/>
      <c r="AG20" s="674"/>
      <c r="AH20" s="1300"/>
      <c r="AI20" s="1300"/>
      <c r="AJ20" s="674"/>
      <c r="AK20" s="674"/>
      <c r="AL20" s="674"/>
      <c r="AM20" s="1300"/>
      <c r="AN20" s="1300"/>
      <c r="AO20" s="674"/>
      <c r="AP20" s="674"/>
      <c r="AQ20" s="674"/>
      <c r="AR20" s="1300"/>
      <c r="AS20" s="1300"/>
      <c r="AT20" s="1389"/>
      <c r="AU20" s="1389"/>
      <c r="AV20" s="1389"/>
      <c r="AW20" s="1390"/>
      <c r="AX20" s="1390"/>
      <c r="AY20" s="674"/>
      <c r="AZ20" s="674"/>
      <c r="BA20" s="674"/>
      <c r="BB20" s="1300"/>
      <c r="BC20" s="1300"/>
      <c r="BD20" s="674"/>
      <c r="BE20" s="674"/>
      <c r="BF20" s="674"/>
      <c r="BG20" s="1300"/>
      <c r="BH20" s="1300"/>
      <c r="BM20" s="51"/>
      <c r="BN20" s="51"/>
      <c r="BO20" s="51"/>
      <c r="BP20" s="51"/>
      <c r="BQ20" s="51"/>
      <c r="BR20" s="51"/>
      <c r="BW20" s="27"/>
      <c r="BX20" s="27"/>
      <c r="BY20" s="27"/>
      <c r="BZ20" s="27"/>
      <c r="CA20" s="27"/>
      <c r="CB20" s="27"/>
    </row>
    <row r="21" spans="1:80" ht="18.75" hidden="1" x14ac:dyDescent="0.25">
      <c r="A21" s="1395"/>
      <c r="B21" s="1395"/>
      <c r="C21" s="1395"/>
      <c r="D21" s="149"/>
      <c r="E21" s="149"/>
      <c r="F21" s="676"/>
      <c r="G21" s="676"/>
      <c r="H21" s="676"/>
      <c r="I21" s="36"/>
      <c r="J21" s="36"/>
      <c r="K21" s="676"/>
      <c r="L21" s="676"/>
      <c r="M21" s="676"/>
      <c r="N21" s="36"/>
      <c r="O21" s="36"/>
      <c r="P21" s="676"/>
      <c r="Q21" s="676"/>
      <c r="R21" s="676"/>
      <c r="S21" s="36"/>
      <c r="T21" s="36"/>
      <c r="U21" s="676"/>
      <c r="V21" s="676"/>
      <c r="W21" s="676"/>
      <c r="X21" s="36"/>
      <c r="Y21" s="36"/>
      <c r="Z21" s="676"/>
      <c r="AA21" s="676"/>
      <c r="AB21" s="676"/>
      <c r="AC21" s="36"/>
      <c r="AD21" s="36"/>
      <c r="AE21" s="676"/>
      <c r="AF21" s="676"/>
      <c r="AG21" s="676"/>
      <c r="AH21" s="36"/>
      <c r="AI21" s="36"/>
      <c r="AJ21" s="676"/>
      <c r="AK21" s="676"/>
      <c r="AL21" s="676"/>
      <c r="AM21" s="36"/>
      <c r="AN21" s="36"/>
      <c r="AO21" s="676"/>
      <c r="AP21" s="676"/>
      <c r="AQ21" s="676"/>
      <c r="AR21" s="36"/>
      <c r="AS21" s="36"/>
      <c r="AT21" s="1388"/>
      <c r="AU21" s="1388"/>
      <c r="AV21" s="1388"/>
      <c r="AW21" s="139"/>
      <c r="AX21" s="139"/>
      <c r="AY21" s="676"/>
      <c r="AZ21" s="676"/>
      <c r="BA21" s="676"/>
      <c r="BB21" s="36"/>
      <c r="BC21" s="36"/>
      <c r="BD21" s="676"/>
      <c r="BE21" s="676"/>
      <c r="BF21" s="676"/>
      <c r="BG21" s="36"/>
      <c r="BH21" s="36"/>
    </row>
    <row r="22" spans="1:80" ht="36" hidden="1" x14ac:dyDescent="0.25">
      <c r="A22" s="1395"/>
      <c r="B22" s="1395"/>
      <c r="C22" s="1395"/>
      <c r="D22" s="150"/>
      <c r="E22" s="149"/>
      <c r="F22" s="676"/>
      <c r="G22" s="676"/>
      <c r="H22" s="676"/>
      <c r="I22" s="140"/>
      <c r="J22" s="36"/>
      <c r="K22" s="676"/>
      <c r="L22" s="676"/>
      <c r="M22" s="676"/>
      <c r="N22" s="140"/>
      <c r="O22" s="36"/>
      <c r="P22" s="676"/>
      <c r="Q22" s="676"/>
      <c r="R22" s="676"/>
      <c r="S22" s="140"/>
      <c r="T22" s="36"/>
      <c r="U22" s="676"/>
      <c r="V22" s="676"/>
      <c r="W22" s="676"/>
      <c r="X22" s="140"/>
      <c r="Y22" s="36"/>
      <c r="Z22" s="676"/>
      <c r="AA22" s="676"/>
      <c r="AB22" s="676"/>
      <c r="AC22" s="140"/>
      <c r="AD22" s="36"/>
      <c r="AE22" s="676"/>
      <c r="AF22" s="676"/>
      <c r="AG22" s="676"/>
      <c r="AH22" s="140"/>
      <c r="AI22" s="36"/>
      <c r="AJ22" s="676"/>
      <c r="AK22" s="676"/>
      <c r="AL22" s="676"/>
      <c r="AM22" s="140"/>
      <c r="AN22" s="36"/>
      <c r="AO22" s="676"/>
      <c r="AP22" s="676"/>
      <c r="AQ22" s="676"/>
      <c r="AR22" s="140"/>
      <c r="AS22" s="36"/>
      <c r="AT22" s="1388"/>
      <c r="AU22" s="1388"/>
      <c r="AV22" s="1388"/>
      <c r="AW22" s="141"/>
      <c r="AX22" s="139"/>
      <c r="AY22" s="676"/>
      <c r="AZ22" s="676"/>
      <c r="BA22" s="676"/>
      <c r="BB22" s="36"/>
      <c r="BC22" s="36"/>
      <c r="BD22" s="676"/>
      <c r="BE22" s="676"/>
      <c r="BF22" s="676"/>
      <c r="BG22" s="36"/>
      <c r="BH22" s="36"/>
    </row>
    <row r="23" spans="1:80" ht="18.75" hidden="1" x14ac:dyDescent="0.25">
      <c r="A23" s="1395"/>
      <c r="B23" s="1395"/>
      <c r="C23" s="1395"/>
      <c r="D23" s="149"/>
      <c r="E23" s="149"/>
      <c r="F23" s="676"/>
      <c r="G23" s="676"/>
      <c r="H23" s="676"/>
      <c r="I23" s="36"/>
      <c r="J23" s="36"/>
      <c r="K23" s="676"/>
      <c r="L23" s="676"/>
      <c r="M23" s="676"/>
      <c r="N23" s="36"/>
      <c r="O23" s="36"/>
      <c r="P23" s="676"/>
      <c r="Q23" s="676"/>
      <c r="R23" s="676"/>
      <c r="S23" s="36"/>
      <c r="T23" s="36"/>
      <c r="U23" s="676"/>
      <c r="V23" s="676"/>
      <c r="W23" s="676"/>
      <c r="X23" s="36"/>
      <c r="Y23" s="36"/>
      <c r="Z23" s="676"/>
      <c r="AA23" s="676"/>
      <c r="AB23" s="676"/>
      <c r="AC23" s="36"/>
      <c r="AD23" s="36"/>
      <c r="AE23" s="676"/>
      <c r="AF23" s="676"/>
      <c r="AG23" s="676"/>
      <c r="AH23" s="36"/>
      <c r="AI23" s="36"/>
      <c r="AJ23" s="676"/>
      <c r="AK23" s="676"/>
      <c r="AL23" s="676"/>
      <c r="AM23" s="36"/>
      <c r="AN23" s="36"/>
      <c r="AO23" s="676"/>
      <c r="AP23" s="676"/>
      <c r="AQ23" s="676"/>
      <c r="AR23" s="36"/>
      <c r="AS23" s="36"/>
      <c r="AT23" s="1388"/>
      <c r="AU23" s="1388"/>
      <c r="AV23" s="1388"/>
      <c r="AW23" s="139"/>
      <c r="AX23" s="139"/>
      <c r="AY23" s="676"/>
      <c r="AZ23" s="676"/>
      <c r="BA23" s="676"/>
      <c r="BB23" s="36"/>
      <c r="BC23" s="36"/>
      <c r="BD23" s="676"/>
      <c r="BE23" s="676"/>
      <c r="BF23" s="676"/>
      <c r="BG23" s="36"/>
      <c r="BH23" s="36"/>
    </row>
    <row r="24" spans="1:80" ht="77.25" hidden="1" x14ac:dyDescent="0.25">
      <c r="A24" s="1398"/>
      <c r="B24" s="1399"/>
      <c r="C24" s="1399"/>
      <c r="D24" s="1399"/>
      <c r="E24" s="1399"/>
      <c r="F24" s="1370"/>
      <c r="G24" s="1371"/>
      <c r="H24" s="1371"/>
      <c r="I24" s="1371"/>
      <c r="J24" s="1371"/>
      <c r="K24" s="1370"/>
      <c r="L24" s="1371"/>
      <c r="M24" s="1371"/>
      <c r="N24" s="1371"/>
      <c r="O24" s="1371"/>
      <c r="P24" s="1370"/>
      <c r="Q24" s="1371"/>
      <c r="R24" s="1371"/>
      <c r="S24" s="1371"/>
      <c r="T24" s="1371"/>
      <c r="U24" s="1370"/>
      <c r="V24" s="1371"/>
      <c r="W24" s="1371"/>
      <c r="X24" s="1371"/>
      <c r="Y24" s="1371"/>
      <c r="Z24" s="1370"/>
      <c r="AA24" s="1371"/>
      <c r="AB24" s="1371"/>
      <c r="AC24" s="1371"/>
      <c r="AD24" s="1371"/>
      <c r="AE24" s="1370"/>
      <c r="AF24" s="1371"/>
      <c r="AG24" s="1371"/>
      <c r="AH24" s="1371"/>
      <c r="AI24" s="1371"/>
      <c r="AJ24" s="1370"/>
      <c r="AK24" s="1371"/>
      <c r="AL24" s="1371"/>
      <c r="AM24" s="1371"/>
      <c r="AN24" s="1371"/>
      <c r="AO24" s="1370"/>
      <c r="AP24" s="1371"/>
      <c r="AQ24" s="1371"/>
      <c r="AR24" s="1371"/>
      <c r="AS24" s="1371"/>
      <c r="AT24" s="1439"/>
      <c r="AU24" s="1440"/>
      <c r="AV24" s="1440"/>
      <c r="AW24" s="1440"/>
      <c r="AX24" s="1440"/>
      <c r="AY24" s="677"/>
      <c r="AZ24" s="1332"/>
      <c r="BA24" s="1332"/>
      <c r="BB24" s="1332"/>
      <c r="BC24" s="1332"/>
      <c r="BD24" s="677"/>
      <c r="BE24" s="1332"/>
      <c r="BF24" s="1332"/>
      <c r="BG24" s="1332"/>
      <c r="BH24" s="1332"/>
      <c r="BM24" s="51"/>
      <c r="BN24" s="51"/>
      <c r="BO24" s="51"/>
      <c r="BP24" s="51"/>
      <c r="BQ24" s="51"/>
      <c r="BR24" s="51"/>
      <c r="BW24" s="27"/>
      <c r="BX24" s="27"/>
      <c r="BY24" s="27"/>
      <c r="BZ24" s="27"/>
      <c r="CA24" s="27"/>
      <c r="CB24" s="27"/>
    </row>
    <row r="25" spans="1:80" ht="26.25" hidden="1" x14ac:dyDescent="0.25">
      <c r="A25" s="1398"/>
      <c r="B25" s="151"/>
      <c r="C25" s="152"/>
      <c r="D25" s="153"/>
      <c r="E25" s="154"/>
      <c r="F25" s="1370"/>
      <c r="G25" s="32"/>
      <c r="H25" s="33"/>
      <c r="I25" s="34"/>
      <c r="J25" s="35"/>
      <c r="K25" s="1370"/>
      <c r="L25" s="32"/>
      <c r="M25" s="33"/>
      <c r="N25" s="34"/>
      <c r="O25" s="35"/>
      <c r="P25" s="1370"/>
      <c r="Q25" s="32"/>
      <c r="R25" s="33"/>
      <c r="S25" s="34"/>
      <c r="T25" s="35"/>
      <c r="U25" s="1370"/>
      <c r="V25" s="32"/>
      <c r="W25" s="33"/>
      <c r="X25" s="34"/>
      <c r="Y25" s="35"/>
      <c r="Z25" s="1370"/>
      <c r="AA25" s="32"/>
      <c r="AB25" s="33"/>
      <c r="AC25" s="34"/>
      <c r="AD25" s="35"/>
      <c r="AE25" s="1370"/>
      <c r="AF25" s="32"/>
      <c r="AG25" s="33"/>
      <c r="AH25" s="34"/>
      <c r="AI25" s="35"/>
      <c r="AJ25" s="1370"/>
      <c r="AK25" s="32"/>
      <c r="AL25" s="33"/>
      <c r="AM25" s="34"/>
      <c r="AN25" s="35"/>
      <c r="AO25" s="1370"/>
      <c r="AP25" s="32"/>
      <c r="AQ25" s="33"/>
      <c r="AR25" s="34"/>
      <c r="AS25" s="35"/>
      <c r="AT25" s="1439"/>
      <c r="AU25" s="155"/>
      <c r="AV25" s="148"/>
      <c r="AW25" s="156"/>
      <c r="AX25" s="157"/>
      <c r="AY25" s="677"/>
      <c r="AZ25" s="137"/>
      <c r="BA25" s="33"/>
      <c r="BB25" s="138"/>
      <c r="BC25" s="35"/>
      <c r="BD25" s="677"/>
      <c r="BE25" s="137"/>
      <c r="BF25" s="33"/>
      <c r="BG25" s="138"/>
      <c r="BH25" s="35"/>
      <c r="BM25" s="51"/>
      <c r="BN25" s="51"/>
      <c r="BO25" s="51"/>
      <c r="BP25" s="51"/>
      <c r="BQ25" s="51"/>
      <c r="BR25" s="51"/>
      <c r="BW25" s="27"/>
      <c r="BX25" s="27"/>
      <c r="BY25" s="27"/>
      <c r="BZ25" s="27"/>
      <c r="CA25" s="27"/>
      <c r="CB25" s="27"/>
    </row>
    <row r="26" spans="1:80" ht="26.25" hidden="1" x14ac:dyDescent="0.25">
      <c r="A26" s="1396"/>
      <c r="B26" s="1396"/>
      <c r="C26" s="1396"/>
      <c r="D26" s="1397"/>
      <c r="E26" s="1397"/>
      <c r="F26" s="674"/>
      <c r="G26" s="674"/>
      <c r="H26" s="674"/>
      <c r="I26" s="1300"/>
      <c r="J26" s="1300"/>
      <c r="K26" s="674"/>
      <c r="L26" s="674"/>
      <c r="M26" s="674"/>
      <c r="N26" s="1300"/>
      <c r="O26" s="1300"/>
      <c r="P26" s="674"/>
      <c r="Q26" s="674"/>
      <c r="R26" s="674"/>
      <c r="S26" s="1300"/>
      <c r="T26" s="1300"/>
      <c r="U26" s="674"/>
      <c r="V26" s="674"/>
      <c r="W26" s="674"/>
      <c r="X26" s="1300"/>
      <c r="Y26" s="1300"/>
      <c r="Z26" s="674"/>
      <c r="AA26" s="674"/>
      <c r="AB26" s="674"/>
      <c r="AC26" s="1300"/>
      <c r="AD26" s="1300"/>
      <c r="AE26" s="674"/>
      <c r="AF26" s="674"/>
      <c r="AG26" s="674"/>
      <c r="AH26" s="1300"/>
      <c r="AI26" s="1300"/>
      <c r="AJ26" s="44"/>
      <c r="AK26" s="44"/>
      <c r="AP26" s="44"/>
      <c r="AQ26" s="44"/>
      <c r="AT26" s="1389"/>
      <c r="AU26" s="1389"/>
      <c r="AV26" s="1389"/>
      <c r="AW26" s="1390"/>
      <c r="AX26" s="1390"/>
      <c r="AY26" s="674"/>
      <c r="AZ26" s="674"/>
      <c r="BA26" s="674"/>
      <c r="BB26" s="1300"/>
      <c r="BC26" s="1300"/>
      <c r="BD26" s="674"/>
      <c r="BE26" s="674"/>
      <c r="BF26" s="674"/>
      <c r="BG26" s="1300"/>
      <c r="BH26" s="1300"/>
      <c r="BM26" s="51"/>
      <c r="BN26" s="51"/>
      <c r="BO26" s="51"/>
      <c r="BP26" s="51"/>
      <c r="BQ26" s="51"/>
      <c r="BR26" s="51"/>
      <c r="BW26" s="27"/>
      <c r="BX26" s="27"/>
      <c r="BY26" s="27"/>
      <c r="BZ26" s="27"/>
      <c r="CA26" s="27"/>
      <c r="CB26" s="27"/>
    </row>
    <row r="27" spans="1:80" ht="21" hidden="1" x14ac:dyDescent="0.25">
      <c r="A27" s="1395"/>
      <c r="B27" s="1395"/>
      <c r="C27" s="1395"/>
      <c r="D27" s="149"/>
      <c r="E27" s="149"/>
      <c r="F27" s="676"/>
      <c r="G27" s="676"/>
      <c r="H27" s="676"/>
      <c r="I27" s="36"/>
      <c r="J27" s="36"/>
      <c r="K27" s="676"/>
      <c r="L27" s="676"/>
      <c r="M27" s="676"/>
      <c r="N27" s="36"/>
      <c r="O27" s="36"/>
      <c r="P27" s="676"/>
      <c r="Q27" s="676"/>
      <c r="R27" s="676"/>
      <c r="S27" s="36"/>
      <c r="T27" s="36"/>
      <c r="U27" s="676"/>
      <c r="V27" s="676"/>
      <c r="W27" s="676"/>
      <c r="X27" s="36"/>
      <c r="Y27" s="36"/>
      <c r="Z27" s="676"/>
      <c r="AA27" s="676"/>
      <c r="AB27" s="676"/>
      <c r="AC27" s="36"/>
      <c r="AD27" s="36"/>
      <c r="AE27" s="676"/>
      <c r="AF27" s="676"/>
      <c r="AG27" s="676"/>
      <c r="AH27" s="36"/>
      <c r="AI27" s="36"/>
      <c r="AJ27" s="47"/>
      <c r="AK27" s="47"/>
      <c r="AP27" s="47"/>
      <c r="AQ27" s="47"/>
      <c r="AT27" s="1388"/>
      <c r="AU27" s="1388"/>
      <c r="AV27" s="1388"/>
      <c r="AW27" s="139"/>
      <c r="AX27" s="139"/>
      <c r="AY27" s="676"/>
      <c r="AZ27" s="676"/>
      <c r="BA27" s="676"/>
      <c r="BB27" s="36"/>
      <c r="BC27" s="36"/>
      <c r="BD27" s="676"/>
      <c r="BE27" s="676"/>
      <c r="BF27" s="676"/>
      <c r="BG27" s="36"/>
      <c r="BH27" s="36"/>
    </row>
    <row r="28" spans="1:80" ht="36" hidden="1" x14ac:dyDescent="0.25">
      <c r="A28" s="1395"/>
      <c r="B28" s="1395"/>
      <c r="C28" s="1395"/>
      <c r="D28" s="150"/>
      <c r="E28" s="149"/>
      <c r="F28" s="676"/>
      <c r="G28" s="676"/>
      <c r="H28" s="676"/>
      <c r="I28" s="140"/>
      <c r="J28" s="36"/>
      <c r="K28" s="676"/>
      <c r="L28" s="676"/>
      <c r="M28" s="676"/>
      <c r="N28" s="140"/>
      <c r="O28" s="36"/>
      <c r="P28" s="676"/>
      <c r="Q28" s="676"/>
      <c r="R28" s="676"/>
      <c r="S28" s="140"/>
      <c r="T28" s="36"/>
      <c r="U28" s="676"/>
      <c r="V28" s="676"/>
      <c r="W28" s="676"/>
      <c r="X28" s="140"/>
      <c r="Y28" s="36"/>
      <c r="Z28" s="676"/>
      <c r="AA28" s="676"/>
      <c r="AB28" s="676"/>
      <c r="AC28" s="140"/>
      <c r="AD28" s="36"/>
      <c r="AE28" s="676"/>
      <c r="AF28" s="676"/>
      <c r="AG28" s="676"/>
      <c r="AH28" s="36"/>
      <c r="AI28" s="36"/>
      <c r="AJ28" s="47"/>
      <c r="AK28" s="47"/>
      <c r="AP28" s="47"/>
      <c r="AQ28" s="47"/>
      <c r="AT28" s="1388"/>
      <c r="AU28" s="1388"/>
      <c r="AV28" s="1388"/>
      <c r="AW28" s="139"/>
      <c r="AX28" s="139"/>
      <c r="AY28" s="676"/>
      <c r="AZ28" s="676"/>
      <c r="BA28" s="676"/>
      <c r="BB28" s="36"/>
      <c r="BC28" s="36"/>
      <c r="BD28" s="676"/>
      <c r="BE28" s="676"/>
      <c r="BF28" s="676"/>
      <c r="BG28" s="36"/>
      <c r="BH28" s="36"/>
    </row>
    <row r="29" spans="1:80" ht="21" hidden="1" x14ac:dyDescent="0.25">
      <c r="A29" s="1395"/>
      <c r="B29" s="1395"/>
      <c r="C29" s="1395"/>
      <c r="D29" s="149"/>
      <c r="E29" s="149"/>
      <c r="F29" s="676"/>
      <c r="G29" s="676"/>
      <c r="H29" s="676"/>
      <c r="I29" s="36"/>
      <c r="J29" s="36"/>
      <c r="K29" s="676"/>
      <c r="L29" s="676"/>
      <c r="M29" s="676"/>
      <c r="N29" s="36"/>
      <c r="O29" s="36"/>
      <c r="P29" s="676"/>
      <c r="Q29" s="676"/>
      <c r="R29" s="676"/>
      <c r="S29" s="36"/>
      <c r="T29" s="36"/>
      <c r="U29" s="676"/>
      <c r="V29" s="676"/>
      <c r="W29" s="676"/>
      <c r="X29" s="36"/>
      <c r="Y29" s="36"/>
      <c r="Z29" s="676"/>
      <c r="AA29" s="676"/>
      <c r="AB29" s="676"/>
      <c r="AC29" s="36"/>
      <c r="AD29" s="36"/>
      <c r="AE29" s="676"/>
      <c r="AF29" s="676"/>
      <c r="AG29" s="676"/>
      <c r="AH29" s="36"/>
      <c r="AI29" s="36"/>
      <c r="AJ29" s="47"/>
      <c r="AK29" s="47"/>
      <c r="AP29" s="47"/>
      <c r="AQ29" s="47"/>
      <c r="AR29" s="36"/>
      <c r="AS29" s="36"/>
      <c r="AT29" s="1388"/>
      <c r="AU29" s="1388"/>
      <c r="AV29" s="1388"/>
      <c r="AW29" s="139"/>
      <c r="AX29" s="139"/>
      <c r="AY29" s="676"/>
      <c r="AZ29" s="676"/>
      <c r="BA29" s="676"/>
      <c r="BB29" s="36"/>
      <c r="BC29" s="36"/>
      <c r="BD29" s="676"/>
      <c r="BE29" s="676"/>
      <c r="BF29" s="676"/>
      <c r="BG29" s="36"/>
      <c r="BH29" s="36"/>
    </row>
    <row r="30" spans="1:80" ht="77.25" hidden="1" x14ac:dyDescent="0.25">
      <c r="A30" s="1400"/>
      <c r="B30" s="1401"/>
      <c r="C30" s="1401"/>
      <c r="D30" s="1401"/>
      <c r="E30" s="1401"/>
      <c r="F30" s="1370"/>
      <c r="G30" s="1371"/>
      <c r="H30" s="1371"/>
      <c r="I30" s="1371"/>
      <c r="J30" s="1371"/>
      <c r="K30" s="1370"/>
      <c r="L30" s="1371"/>
      <c r="M30" s="1371"/>
      <c r="N30" s="1371"/>
      <c r="O30" s="1371"/>
      <c r="P30" s="1370"/>
      <c r="Q30" s="1371"/>
      <c r="R30" s="1371"/>
      <c r="S30" s="1371"/>
      <c r="T30" s="1371"/>
      <c r="U30" s="1370"/>
      <c r="V30" s="1371"/>
      <c r="W30" s="1371"/>
      <c r="X30" s="1371"/>
      <c r="Y30" s="1371"/>
      <c r="Z30" s="1370"/>
      <c r="AA30" s="1371"/>
      <c r="AB30" s="1371"/>
      <c r="AC30" s="1371"/>
      <c r="AD30" s="1371"/>
      <c r="AE30" s="677"/>
      <c r="AF30" s="1332"/>
      <c r="AG30" s="1332"/>
      <c r="AH30" s="1332"/>
      <c r="AI30" s="1332"/>
      <c r="AJ30" s="70"/>
      <c r="AR30" s="132"/>
      <c r="AS30" s="132"/>
      <c r="AT30" s="677"/>
      <c r="AU30" s="1332"/>
      <c r="AV30" s="1332"/>
      <c r="AW30" s="1332"/>
      <c r="AX30" s="1332"/>
      <c r="AY30" s="677"/>
      <c r="AZ30" s="1332"/>
      <c r="BA30" s="1332"/>
      <c r="BB30" s="1332"/>
      <c r="BC30" s="1332"/>
      <c r="BD30" s="677" t="s">
        <v>254</v>
      </c>
      <c r="BE30" s="1332"/>
      <c r="BF30" s="1332"/>
      <c r="BG30" s="1332"/>
      <c r="BH30" s="1332"/>
      <c r="BM30" s="51"/>
      <c r="BN30" s="51"/>
      <c r="BO30" s="51"/>
      <c r="BP30" s="51"/>
      <c r="BQ30" s="51"/>
      <c r="BR30" s="51"/>
      <c r="BW30" s="27"/>
      <c r="BX30" s="27"/>
      <c r="BY30" s="27"/>
      <c r="BZ30" s="27"/>
      <c r="CA30" s="27"/>
      <c r="CB30" s="27"/>
    </row>
    <row r="31" spans="1:80" ht="138.75" customHeight="1" x14ac:dyDescent="0.25">
      <c r="A31" s="1400"/>
      <c r="B31" s="158"/>
      <c r="C31" s="159"/>
      <c r="D31" s="160"/>
      <c r="E31" s="161"/>
      <c r="F31" s="1370"/>
      <c r="G31" s="32"/>
      <c r="H31" s="33"/>
      <c r="I31" s="34"/>
      <c r="J31" s="35"/>
      <c r="K31" s="1370"/>
      <c r="L31" s="32"/>
      <c r="M31" s="33"/>
      <c r="N31" s="34"/>
      <c r="O31" s="35"/>
      <c r="P31" s="1370"/>
      <c r="Q31" s="32"/>
      <c r="R31" s="33"/>
      <c r="S31" s="34"/>
      <c r="T31" s="35"/>
      <c r="U31" s="1370"/>
      <c r="V31" s="32"/>
      <c r="W31" s="33"/>
      <c r="X31" s="34"/>
      <c r="Y31" s="35"/>
      <c r="Z31" s="1370"/>
      <c r="AA31" s="32"/>
      <c r="AB31" s="33"/>
      <c r="AC31" s="34"/>
      <c r="AD31" s="35"/>
      <c r="AE31" s="677"/>
      <c r="AF31" s="137"/>
      <c r="AG31" s="33"/>
      <c r="AH31" s="138"/>
      <c r="AI31" s="35"/>
      <c r="AJ31" s="70"/>
      <c r="AK31" s="137"/>
      <c r="AL31" s="33"/>
      <c r="AM31" s="138"/>
      <c r="AN31" s="35"/>
      <c r="AO31" s="70"/>
      <c r="AP31" s="137"/>
      <c r="AQ31" s="33"/>
      <c r="AR31" s="138"/>
      <c r="AS31" s="35"/>
      <c r="AT31" s="677"/>
      <c r="AU31" s="137"/>
      <c r="AV31" s="33"/>
      <c r="AW31" s="138"/>
      <c r="AX31" s="35"/>
      <c r="AY31" s="677"/>
      <c r="AZ31" s="137" t="s">
        <v>16</v>
      </c>
      <c r="BA31" s="33"/>
      <c r="BB31" s="138"/>
      <c r="BC31" s="35"/>
      <c r="BD31" s="677"/>
      <c r="BE31" s="137" t="s">
        <v>15</v>
      </c>
      <c r="BF31" s="33"/>
      <c r="BG31" s="138"/>
      <c r="BH31" s="35"/>
      <c r="BM31" s="51"/>
      <c r="BN31" s="51"/>
      <c r="BO31" s="51"/>
      <c r="BP31" s="51"/>
      <c r="BQ31" s="51"/>
      <c r="BR31" s="51"/>
      <c r="BW31" s="27"/>
      <c r="BX31" s="27"/>
      <c r="BY31" s="27"/>
      <c r="BZ31" s="27"/>
      <c r="CA31" s="27"/>
      <c r="CB31" s="27"/>
    </row>
    <row r="32" spans="1:80" ht="61.5" customHeight="1" x14ac:dyDescent="0.25">
      <c r="A32" s="31"/>
      <c r="B32" s="162"/>
      <c r="C32" s="162"/>
      <c r="D32" s="162"/>
      <c r="F32" s="163"/>
      <c r="G32" s="163"/>
      <c r="H32" s="1413">
        <v>6</v>
      </c>
      <c r="I32" s="1413"/>
      <c r="J32" s="1413"/>
      <c r="K32" s="164"/>
      <c r="L32" s="160"/>
      <c r="M32" s="160"/>
      <c r="N32" s="160"/>
      <c r="O32" s="160"/>
      <c r="P32" s="160"/>
      <c r="Q32" s="1414" t="s">
        <v>255</v>
      </c>
      <c r="R32" s="1414"/>
      <c r="S32" s="1414"/>
      <c r="T32" s="1414"/>
      <c r="U32" s="1414"/>
      <c r="V32" s="1414"/>
      <c r="W32" s="165"/>
      <c r="X32" s="1409" t="s">
        <v>256</v>
      </c>
      <c r="Y32" s="1409"/>
      <c r="Z32" s="1409"/>
      <c r="AA32" s="1409"/>
      <c r="AB32" s="1409"/>
      <c r="AC32" s="1415">
        <f>B7+G7+L7+Q7+V7+AA7+AF7+AK7+AP7+AU7+AU13+AP13+AK13+AF13+AA13+V13+Q13+L13+G13+B13+B19</f>
        <v>0</v>
      </c>
      <c r="AD32" s="1415"/>
      <c r="AE32" s="1415"/>
      <c r="AF32" s="1415"/>
      <c r="AG32" s="1415"/>
      <c r="AH32" s="1415"/>
      <c r="AI32" s="166"/>
      <c r="AJ32" s="1416" t="s">
        <v>119</v>
      </c>
      <c r="AK32" s="1416"/>
      <c r="AL32" s="1416"/>
      <c r="AM32" s="1416"/>
      <c r="AN32" s="1416"/>
      <c r="AO32" s="1417">
        <f>D7+I7+N7+S7+X7+AC7+AH7+AM7+AR7+AW7+AW13+AR13+AM13+AH13+AC13+X13+S13+N13+I13+D13+D19</f>
        <v>0</v>
      </c>
      <c r="AP32" s="1417"/>
      <c r="AQ32" s="1417"/>
      <c r="AR32" s="1417"/>
      <c r="AS32" s="1417"/>
      <c r="AT32" s="1402" t="s">
        <v>120</v>
      </c>
      <c r="AU32" s="1402"/>
      <c r="AV32" s="1402"/>
      <c r="AW32" s="1402"/>
      <c r="AX32" s="127"/>
      <c r="AY32" s="72"/>
      <c r="AZ32" s="72"/>
      <c r="BA32" s="72"/>
      <c r="BB32" s="72"/>
      <c r="BC32" s="72"/>
      <c r="BD32" s="72"/>
      <c r="BE32" t="s">
        <v>16</v>
      </c>
      <c r="BF32" s="167"/>
      <c r="BG32" s="167"/>
      <c r="BH32" s="167"/>
      <c r="BM32" s="51"/>
      <c r="BN32" s="51"/>
      <c r="BO32" s="51"/>
      <c r="BP32" s="51"/>
      <c r="BQ32" s="51"/>
      <c r="BR32" s="51"/>
      <c r="BW32" s="27"/>
      <c r="BX32" s="27"/>
      <c r="BY32" s="27"/>
      <c r="BZ32" s="27"/>
      <c r="CA32" s="27"/>
      <c r="CB32" s="27"/>
    </row>
    <row r="33" spans="1:80" ht="30" customHeight="1" x14ac:dyDescent="0.25">
      <c r="B33" s="162"/>
      <c r="C33" s="162"/>
      <c r="D33" s="162"/>
      <c r="E33" s="163"/>
      <c r="F33" s="163"/>
      <c r="G33" s="163"/>
      <c r="H33" s="1413"/>
      <c r="I33" s="1413"/>
      <c r="J33" s="1413"/>
      <c r="K33" s="168"/>
      <c r="L33" s="160"/>
      <c r="M33" s="160"/>
      <c r="N33" s="160"/>
      <c r="O33" s="160"/>
      <c r="P33" s="160"/>
      <c r="Q33" s="1414"/>
      <c r="R33" s="1414"/>
      <c r="S33" s="1414"/>
      <c r="T33" s="1414"/>
      <c r="U33" s="1414"/>
      <c r="V33" s="1414"/>
      <c r="W33" s="169"/>
      <c r="X33" s="1409"/>
      <c r="Y33" s="1409"/>
      <c r="Z33" s="1409"/>
      <c r="AA33" s="1409"/>
      <c r="AB33" s="1409"/>
      <c r="AC33" s="1415"/>
      <c r="AD33" s="1415"/>
      <c r="AE33" s="1415"/>
      <c r="AF33" s="1415"/>
      <c r="AG33" s="1415"/>
      <c r="AH33" s="1415"/>
      <c r="AI33" s="166"/>
      <c r="AJ33" s="1416"/>
      <c r="AK33" s="1416"/>
      <c r="AL33" s="1416"/>
      <c r="AM33" s="1416"/>
      <c r="AN33" s="1416"/>
      <c r="AO33" s="1417"/>
      <c r="AP33" s="1417"/>
      <c r="AQ33" s="1417"/>
      <c r="AR33" s="1417"/>
      <c r="AS33" s="1417"/>
      <c r="AT33" s="1402"/>
      <c r="AU33" s="1402"/>
      <c r="AV33" s="1402"/>
      <c r="AW33" s="1402"/>
      <c r="BI33" s="50"/>
      <c r="BJ33" s="50"/>
      <c r="BM33" s="51"/>
      <c r="BN33" s="51"/>
      <c r="BO33" s="51"/>
      <c r="BP33" s="51"/>
      <c r="BQ33" s="51"/>
      <c r="BR33" s="51"/>
      <c r="BS33" s="27"/>
      <c r="BT33" s="27"/>
      <c r="BU33" s="27"/>
      <c r="BW33" s="27"/>
      <c r="BX33" s="27"/>
      <c r="BY33" s="27"/>
      <c r="BZ33" s="27"/>
      <c r="CA33" s="27"/>
      <c r="CB33" s="27"/>
    </row>
    <row r="34" spans="1:80" ht="15" customHeight="1" x14ac:dyDescent="0.25">
      <c r="B34" s="162"/>
      <c r="C34" s="162"/>
      <c r="D34" s="162"/>
      <c r="E34" s="163"/>
      <c r="F34" s="163"/>
      <c r="G34" s="163"/>
      <c r="H34" s="168"/>
      <c r="I34" s="168"/>
      <c r="J34" s="168"/>
      <c r="K34" s="168"/>
      <c r="L34" s="160"/>
      <c r="M34" s="160"/>
      <c r="N34" s="160"/>
      <c r="O34" s="160"/>
      <c r="P34" s="160"/>
      <c r="Q34" s="1414"/>
      <c r="R34" s="1414"/>
      <c r="S34" s="1414"/>
      <c r="T34" s="1414"/>
      <c r="U34" s="1414"/>
      <c r="V34" s="1414"/>
      <c r="W34" s="169"/>
      <c r="X34" s="1409"/>
      <c r="Y34" s="1409"/>
      <c r="Z34" s="1409"/>
      <c r="AA34" s="1409"/>
      <c r="AB34" s="1409"/>
      <c r="AC34" s="1415"/>
      <c r="AD34" s="1415"/>
      <c r="AE34" s="1415"/>
      <c r="AF34" s="1415"/>
      <c r="AG34" s="1415"/>
      <c r="AH34" s="1415"/>
      <c r="AI34" s="166"/>
      <c r="AJ34" s="1416"/>
      <c r="AK34" s="1416"/>
      <c r="AL34" s="1416"/>
      <c r="AM34" s="1416"/>
      <c r="AN34" s="1416"/>
      <c r="AO34" s="1403">
        <f>AO32*1.5</f>
        <v>0</v>
      </c>
      <c r="AP34" s="1403"/>
      <c r="AQ34" s="1403"/>
      <c r="AR34" s="1403"/>
      <c r="AS34" s="1403"/>
      <c r="AT34" s="1403"/>
      <c r="AU34" s="1403"/>
      <c r="AV34" s="1404" t="s">
        <v>121</v>
      </c>
      <c r="AW34" s="1404"/>
      <c r="BI34" s="50"/>
      <c r="BJ34" s="50"/>
      <c r="BM34" s="27"/>
      <c r="BN34" s="27"/>
      <c r="BO34" s="27"/>
      <c r="BP34" s="27"/>
      <c r="BQ34" s="27"/>
      <c r="BR34" s="27"/>
      <c r="BS34" s="27"/>
      <c r="BT34" s="27"/>
      <c r="BU34" s="27"/>
      <c r="BW34" s="27"/>
      <c r="BX34" s="27"/>
      <c r="BY34" s="27"/>
      <c r="BZ34" s="27"/>
      <c r="CA34" s="27"/>
      <c r="CB34" s="27"/>
    </row>
    <row r="35" spans="1:80" ht="54.75" customHeight="1" x14ac:dyDescent="0.25">
      <c r="B35" s="162"/>
      <c r="C35" s="162"/>
      <c r="D35" s="162"/>
      <c r="E35" s="163"/>
      <c r="F35" s="163"/>
      <c r="G35" s="163"/>
      <c r="H35" s="1405" cm="1">
        <f t="array" aca="1" ref="H35" ca="1">SUM(COUNTIF(INDIRECT({"B7","G7","L7","Q7","V7","AA7","AF7","AK7","AP7","AU7","B13","G13","L13","Q13","V13","AA13","AF13","AK13","AP13","AU13","B19","G19","L19","Q19","V19","AA19"}),"&gt;0"))</f>
        <v>0</v>
      </c>
      <c r="I35" s="1405"/>
      <c r="J35" s="1405"/>
      <c r="K35" s="168"/>
      <c r="L35" s="160"/>
      <c r="M35" s="160"/>
      <c r="N35" s="160"/>
      <c r="O35" s="160"/>
      <c r="P35" s="160"/>
      <c r="Q35" s="2537"/>
      <c r="R35" s="1417"/>
      <c r="S35" s="1417"/>
      <c r="T35" s="1417"/>
      <c r="U35" s="1417"/>
      <c r="V35" s="1417"/>
      <c r="W35" s="169"/>
      <c r="X35" s="1409"/>
      <c r="Y35" s="1409"/>
      <c r="Z35" s="1409"/>
      <c r="AA35" s="1409"/>
      <c r="AB35" s="1409"/>
      <c r="AC35" s="1415"/>
      <c r="AD35" s="1415"/>
      <c r="AE35" s="1415"/>
      <c r="AF35" s="1415"/>
      <c r="AG35" s="1415"/>
      <c r="AH35" s="1415"/>
      <c r="AI35" s="166"/>
      <c r="AJ35" s="1416"/>
      <c r="AK35" s="1416"/>
      <c r="AL35" s="1416"/>
      <c r="AM35" s="1416"/>
      <c r="AN35" s="1416"/>
      <c r="AO35" s="1403"/>
      <c r="AP35" s="1403"/>
      <c r="AQ35" s="1403"/>
      <c r="AR35" s="1403"/>
      <c r="AS35" s="1403"/>
      <c r="AT35" s="1403"/>
      <c r="AU35" s="1403"/>
      <c r="AV35" s="1404"/>
      <c r="AW35" s="1404"/>
      <c r="BI35" s="50"/>
      <c r="BJ35" s="50"/>
      <c r="BM35" s="27"/>
      <c r="BN35" s="27"/>
      <c r="BO35" s="27"/>
      <c r="BP35" s="27"/>
      <c r="BQ35" s="27"/>
      <c r="BR35" s="27"/>
      <c r="BS35" s="27"/>
      <c r="BT35" s="27"/>
      <c r="BU35" s="27"/>
      <c r="BW35" s="27"/>
      <c r="BX35" s="27"/>
      <c r="BY35" s="27"/>
      <c r="BZ35" s="27"/>
      <c r="CA35" s="27"/>
      <c r="CB35" s="27"/>
    </row>
    <row r="36" spans="1:80" ht="65.25" customHeight="1" x14ac:dyDescent="0.25">
      <c r="B36" s="162"/>
      <c r="C36" s="162"/>
      <c r="D36" s="162"/>
      <c r="E36" s="162"/>
      <c r="F36" s="162"/>
      <c r="G36" s="164"/>
      <c r="H36" s="1408"/>
      <c r="I36" s="1408"/>
      <c r="J36" s="1408"/>
      <c r="K36" s="168"/>
      <c r="L36" s="160"/>
      <c r="M36" s="160"/>
      <c r="N36" s="160"/>
      <c r="O36" s="160"/>
      <c r="P36" s="160"/>
      <c r="Q36" s="1417"/>
      <c r="R36" s="1417"/>
      <c r="S36" s="1417"/>
      <c r="T36" s="1417"/>
      <c r="U36" s="1417"/>
      <c r="V36" s="1417"/>
      <c r="W36" s="169"/>
      <c r="X36" s="1409"/>
      <c r="Y36" s="1409"/>
      <c r="Z36" s="1409"/>
      <c r="AA36" s="1409"/>
      <c r="AB36" s="1409"/>
      <c r="AC36" s="1415"/>
      <c r="AD36" s="1415"/>
      <c r="AE36" s="1415"/>
      <c r="AF36" s="1415"/>
      <c r="AG36" s="1415"/>
      <c r="AH36" s="1415"/>
      <c r="AI36" s="166"/>
      <c r="AJ36" s="1416"/>
      <c r="AK36" s="1416"/>
      <c r="AL36" s="1416"/>
      <c r="AM36" s="1416"/>
      <c r="AN36" s="1416"/>
      <c r="AO36" s="1403"/>
      <c r="AP36" s="1403"/>
      <c r="AQ36" s="1403"/>
      <c r="AR36" s="1403"/>
      <c r="AS36" s="1403"/>
      <c r="AT36" s="1403"/>
      <c r="AU36" s="1403"/>
      <c r="AV36" s="1404"/>
      <c r="AW36" s="1404"/>
      <c r="BI36" s="50"/>
      <c r="BJ36" s="50"/>
      <c r="BM36" s="27"/>
      <c r="BN36" s="27"/>
      <c r="BO36" s="27"/>
      <c r="BP36" s="27"/>
      <c r="BQ36" s="27"/>
      <c r="BR36" s="27"/>
      <c r="BS36" s="27"/>
      <c r="BT36" s="27"/>
      <c r="BU36" s="27"/>
      <c r="BW36" s="27"/>
      <c r="BX36" s="27"/>
      <c r="BY36" s="27"/>
      <c r="BZ36" s="27"/>
      <c r="CA36" s="27"/>
      <c r="CB36" s="27"/>
    </row>
    <row r="37" spans="1:80" ht="15" customHeight="1" x14ac:dyDescent="0.25">
      <c r="B37" s="162"/>
      <c r="C37" s="162"/>
      <c r="D37" s="162"/>
      <c r="E37" s="162"/>
      <c r="F37" s="162"/>
      <c r="G37" s="164"/>
      <c r="H37" s="1408"/>
      <c r="I37" s="1408"/>
      <c r="J37" s="1408"/>
      <c r="K37" s="164"/>
      <c r="L37" s="165"/>
      <c r="M37" s="165"/>
      <c r="N37" s="165"/>
      <c r="O37" s="165"/>
      <c r="P37" s="165"/>
      <c r="Q37" s="1417"/>
      <c r="R37" s="1417"/>
      <c r="S37" s="1417"/>
      <c r="T37" s="1417"/>
      <c r="U37" s="1417"/>
      <c r="V37" s="1417"/>
      <c r="W37" s="165"/>
      <c r="X37" s="1409" t="s">
        <v>257</v>
      </c>
      <c r="Y37" s="1409"/>
      <c r="Z37" s="1409"/>
      <c r="AA37" s="1409"/>
      <c r="AB37" s="1409"/>
      <c r="AC37" s="1410">
        <f>AC32-AD45</f>
        <v>0</v>
      </c>
      <c r="AD37" s="1410"/>
      <c r="AE37" s="1410"/>
      <c r="AF37" s="1410"/>
      <c r="AG37" s="1410"/>
      <c r="AH37" s="1410"/>
      <c r="AI37" s="166"/>
      <c r="AJ37" s="1416"/>
      <c r="AK37" s="1416"/>
      <c r="AL37" s="1416"/>
      <c r="AM37" s="1416"/>
      <c r="AN37" s="1416"/>
      <c r="AO37" s="1403"/>
      <c r="AP37" s="1403"/>
      <c r="AQ37" s="1403"/>
      <c r="AR37" s="1403"/>
      <c r="AS37" s="1403"/>
      <c r="AT37" s="1403"/>
      <c r="AU37" s="1403"/>
      <c r="AV37" s="1404"/>
      <c r="AW37" s="1404"/>
      <c r="BI37" s="53"/>
      <c r="BJ37" s="53"/>
    </row>
    <row r="38" spans="1:80" ht="28.5" customHeight="1" x14ac:dyDescent="0.25">
      <c r="B38" s="162"/>
      <c r="C38" s="162"/>
      <c r="D38" s="162"/>
      <c r="E38" s="162"/>
      <c r="F38" s="162"/>
      <c r="G38" s="164"/>
      <c r="H38" s="1411"/>
      <c r="I38" s="1411"/>
      <c r="J38" s="1411"/>
      <c r="K38" s="168"/>
      <c r="L38" s="165"/>
      <c r="M38" s="165"/>
      <c r="N38" s="165"/>
      <c r="O38" s="165"/>
      <c r="P38" s="165"/>
      <c r="Q38" s="1417"/>
      <c r="R38" s="1417"/>
      <c r="S38" s="1417"/>
      <c r="T38" s="1417"/>
      <c r="U38" s="1417"/>
      <c r="V38" s="1417"/>
      <c r="W38" s="165"/>
      <c r="X38" s="1409"/>
      <c r="Y38" s="1409"/>
      <c r="Z38" s="1409"/>
      <c r="AA38" s="1409"/>
      <c r="AB38" s="1409"/>
      <c r="AC38" s="1410"/>
      <c r="AD38" s="1410"/>
      <c r="AE38" s="1410"/>
      <c r="AF38" s="1410"/>
      <c r="AG38" s="1410"/>
      <c r="AH38" s="1410"/>
      <c r="AI38" s="166"/>
      <c r="AJ38" s="1416"/>
      <c r="AK38" s="1416"/>
      <c r="AL38" s="1416"/>
      <c r="AM38" s="1416"/>
      <c r="AN38" s="1416"/>
      <c r="AO38" s="1403"/>
      <c r="AP38" s="1403"/>
      <c r="AQ38" s="1403"/>
      <c r="AR38" s="1403"/>
      <c r="AS38" s="1403"/>
      <c r="AT38" s="1403"/>
      <c r="AU38" s="1403"/>
      <c r="AV38" s="1404"/>
      <c r="AW38" s="1404"/>
      <c r="BI38" s="53"/>
      <c r="BJ38" s="53"/>
    </row>
    <row r="39" spans="1:80" ht="15" customHeight="1" x14ac:dyDescent="0.25">
      <c r="B39" s="162"/>
      <c r="C39" s="162"/>
      <c r="D39" s="162"/>
      <c r="E39" s="162"/>
      <c r="F39" s="162"/>
      <c r="G39" s="164"/>
      <c r="H39" s="1411"/>
      <c r="I39" s="1411"/>
      <c r="J39" s="1411"/>
      <c r="K39" s="168"/>
      <c r="L39" s="165"/>
      <c r="M39" s="165"/>
      <c r="N39" s="165"/>
      <c r="O39" s="165"/>
      <c r="P39" s="165"/>
      <c r="Q39" s="1417"/>
      <c r="R39" s="1417"/>
      <c r="S39" s="1417"/>
      <c r="T39" s="1417"/>
      <c r="U39" s="1417"/>
      <c r="V39" s="1417"/>
      <c r="W39" s="165"/>
      <c r="X39" s="1409"/>
      <c r="Y39" s="1409"/>
      <c r="Z39" s="1409"/>
      <c r="AA39" s="1409"/>
      <c r="AB39" s="1409"/>
      <c r="AC39" s="1410"/>
      <c r="AD39" s="1410"/>
      <c r="AE39" s="1410"/>
      <c r="AF39" s="1410"/>
      <c r="AG39" s="1410"/>
      <c r="AH39" s="1410"/>
      <c r="AI39" s="166"/>
      <c r="AJ39" s="1416"/>
      <c r="AK39" s="1416"/>
      <c r="AL39" s="1416"/>
      <c r="AM39" s="1416"/>
      <c r="AN39" s="1416"/>
      <c r="AO39" s="1403"/>
      <c r="AP39" s="1403"/>
      <c r="AQ39" s="1403"/>
      <c r="AR39" s="1403"/>
      <c r="AS39" s="1403"/>
      <c r="AT39" s="1403"/>
      <c r="AU39" s="1403"/>
      <c r="AV39" s="1404"/>
      <c r="AW39" s="1404"/>
      <c r="BI39" s="53"/>
      <c r="BJ39" s="53"/>
    </row>
    <row r="40" spans="1:80" ht="42.75" customHeight="1" x14ac:dyDescent="0.35">
      <c r="A40" s="54"/>
      <c r="B40" s="162"/>
      <c r="C40" s="162"/>
      <c r="D40" s="162"/>
      <c r="E40" s="162"/>
      <c r="F40" s="162"/>
      <c r="G40" s="164"/>
      <c r="H40" s="1411"/>
      <c r="I40" s="1411"/>
      <c r="J40" s="1411"/>
      <c r="K40" s="168"/>
      <c r="L40" s="165"/>
      <c r="M40" s="165"/>
      <c r="N40" s="165"/>
      <c r="O40" s="165"/>
      <c r="P40" s="165"/>
      <c r="Q40" s="1417"/>
      <c r="R40" s="1417"/>
      <c r="S40" s="1417"/>
      <c r="T40" s="1417"/>
      <c r="U40" s="1417"/>
      <c r="V40" s="1417"/>
      <c r="W40" s="165"/>
      <c r="X40" s="1409"/>
      <c r="Y40" s="1409"/>
      <c r="Z40" s="1409"/>
      <c r="AA40" s="1409"/>
      <c r="AB40" s="1409"/>
      <c r="AC40" s="1410"/>
      <c r="AD40" s="1410"/>
      <c r="AE40" s="1410"/>
      <c r="AF40" s="1410"/>
      <c r="AG40" s="1410"/>
      <c r="AH40" s="1410"/>
      <c r="AI40" s="166"/>
      <c r="AJ40" s="1416"/>
      <c r="AK40" s="1416"/>
      <c r="AL40" s="1416"/>
      <c r="AM40" s="1416"/>
      <c r="AN40" s="1416"/>
      <c r="AO40" s="1403"/>
      <c r="AP40" s="1403"/>
      <c r="AQ40" s="1403"/>
      <c r="AR40" s="1403"/>
      <c r="AS40" s="1403"/>
      <c r="AT40" s="1403"/>
      <c r="AU40" s="1403"/>
      <c r="AV40" s="1404"/>
      <c r="AW40" s="1404"/>
      <c r="BI40" s="53"/>
      <c r="BJ40" s="53"/>
    </row>
    <row r="41" spans="1:80" ht="38.25" customHeight="1" x14ac:dyDescent="0.35">
      <c r="A41" s="54"/>
      <c r="B41" s="162"/>
      <c r="C41" s="162"/>
      <c r="D41" s="162"/>
      <c r="E41" s="162"/>
      <c r="F41" s="162"/>
      <c r="G41" s="164"/>
      <c r="H41" s="1412"/>
      <c r="I41" s="1412"/>
      <c r="J41" s="1412"/>
      <c r="K41" s="168"/>
      <c r="L41" s="175"/>
      <c r="M41" s="175"/>
      <c r="N41" s="175"/>
      <c r="O41" s="175"/>
      <c r="P41" s="175"/>
      <c r="Q41" s="1417"/>
      <c r="R41" s="1417"/>
      <c r="S41" s="1417"/>
      <c r="T41" s="1417"/>
      <c r="U41" s="1417"/>
      <c r="V41" s="1417"/>
      <c r="W41" s="176"/>
      <c r="X41" s="1409"/>
      <c r="Y41" s="1409"/>
      <c r="Z41" s="1409"/>
      <c r="AA41" s="1409"/>
      <c r="AB41" s="1409"/>
      <c r="AC41" s="1410"/>
      <c r="AD41" s="1410"/>
      <c r="AE41" s="1410"/>
      <c r="AF41" s="1410"/>
      <c r="AG41" s="1410"/>
      <c r="AH41" s="1410"/>
      <c r="AI41" s="166"/>
      <c r="AJ41" s="1416"/>
      <c r="AK41" s="1416"/>
      <c r="AL41" s="1416"/>
      <c r="AM41" s="1416"/>
      <c r="AN41" s="1416"/>
      <c r="AO41" s="1418"/>
      <c r="AP41" s="1418"/>
      <c r="AQ41" s="1418"/>
      <c r="AR41" s="1418"/>
      <c r="AS41" s="1418"/>
      <c r="AT41" s="1418"/>
      <c r="AU41" s="1418"/>
      <c r="AV41" s="1418"/>
      <c r="AW41" s="1418"/>
      <c r="AX41" s="54"/>
      <c r="AY41" s="54"/>
      <c r="BI41" s="170"/>
      <c r="BJ41" s="170"/>
    </row>
    <row r="42" spans="1:80" ht="60" customHeight="1" x14ac:dyDescent="0.35">
      <c r="H42" s="1412"/>
      <c r="I42" s="1412"/>
      <c r="J42" s="1412"/>
      <c r="L42" s="175"/>
      <c r="M42" s="175"/>
      <c r="N42" s="175"/>
      <c r="O42" s="175"/>
      <c r="P42" s="175"/>
      <c r="Q42" s="1417"/>
      <c r="R42" s="1417"/>
      <c r="S42" s="1417"/>
      <c r="T42" s="1417"/>
      <c r="U42" s="1417"/>
      <c r="V42" s="1417"/>
      <c r="W42" s="176"/>
      <c r="X42" s="1409"/>
      <c r="Y42" s="1409"/>
      <c r="Z42" s="1409"/>
      <c r="AA42" s="1409"/>
      <c r="AB42" s="1409"/>
      <c r="AC42" s="1410"/>
      <c r="AD42" s="1410"/>
      <c r="AE42" s="1410"/>
      <c r="AF42" s="1410"/>
      <c r="AG42" s="1410"/>
      <c r="AH42" s="1410"/>
      <c r="AI42" s="166"/>
      <c r="AJ42" s="1416"/>
      <c r="AK42" s="1416"/>
      <c r="AL42" s="1416"/>
      <c r="AM42" s="1416"/>
      <c r="AN42" s="1416"/>
      <c r="AO42" s="1418"/>
      <c r="AP42" s="1418"/>
      <c r="AQ42" s="1418"/>
      <c r="AR42" s="1418"/>
      <c r="AS42" s="1418"/>
      <c r="AT42" s="1418"/>
      <c r="AU42" s="1418"/>
      <c r="AV42" s="1418"/>
      <c r="AW42" s="1418"/>
      <c r="AX42" s="54"/>
      <c r="AY42" s="54"/>
      <c r="BI42" s="170"/>
      <c r="BJ42" s="170"/>
    </row>
    <row r="43" spans="1:80" ht="15" customHeight="1" x14ac:dyDescent="0.35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1"/>
      <c r="AI43" s="171"/>
      <c r="AJ43" s="171"/>
      <c r="AK43" s="171"/>
      <c r="AL43" s="171"/>
      <c r="AM43" s="171"/>
      <c r="AN43" s="171"/>
      <c r="AO43" s="172"/>
      <c r="AP43" s="172"/>
      <c r="AQ43" s="172"/>
      <c r="AR43" s="172"/>
      <c r="AS43" s="172"/>
      <c r="AT43" s="172"/>
      <c r="AU43" s="172"/>
      <c r="AV43" s="172"/>
      <c r="AW43" s="172"/>
    </row>
    <row r="44" spans="1:80" ht="15.75" customHeight="1" thickBot="1" x14ac:dyDescent="0.4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3"/>
      <c r="Y44" s="171"/>
      <c r="Z44" s="171"/>
      <c r="AA44" s="171"/>
      <c r="AB44" s="171"/>
      <c r="AC44" s="171"/>
      <c r="AD44" s="171"/>
      <c r="AE44" s="171"/>
      <c r="AF44" s="171"/>
      <c r="AG44" s="171"/>
      <c r="AH44" s="171"/>
      <c r="AI44" s="171"/>
      <c r="AJ44" s="171"/>
      <c r="AK44" s="171"/>
      <c r="AL44" s="171"/>
      <c r="AM44" s="171"/>
      <c r="AN44" s="171"/>
      <c r="AO44" s="172"/>
      <c r="AP44" s="172"/>
      <c r="AQ44" s="172"/>
      <c r="AR44" s="172"/>
      <c r="AS44" s="172"/>
      <c r="AT44" s="172"/>
      <c r="AU44" s="172"/>
      <c r="AV44" s="172"/>
      <c r="AW44" s="172"/>
    </row>
    <row r="45" spans="1:80" ht="15.75" thickTop="1" x14ac:dyDescent="0.25">
      <c r="J45" t="s">
        <v>16</v>
      </c>
      <c r="AD45" s="775">
        <v>0</v>
      </c>
      <c r="AE45" s="776"/>
      <c r="AF45" s="776"/>
      <c r="AG45" s="776"/>
      <c r="AH45" s="777"/>
      <c r="AL45" s="727" t="s">
        <v>122</v>
      </c>
      <c r="AM45" s="727"/>
      <c r="AN45" s="727"/>
      <c r="AO45" s="727" t="s">
        <v>123</v>
      </c>
      <c r="AP45" s="727"/>
      <c r="AQ45" s="727"/>
      <c r="AR45" s="727" t="s">
        <v>124</v>
      </c>
      <c r="AS45" s="727"/>
      <c r="AT45" s="727" t="s">
        <v>125</v>
      </c>
      <c r="AU45" s="727"/>
      <c r="AY45" s="739" t="s">
        <v>126</v>
      </c>
      <c r="AZ45" s="740"/>
      <c r="BA45" s="740"/>
      <c r="BB45" s="740"/>
      <c r="BC45" s="740"/>
      <c r="BD45" s="740"/>
      <c r="BE45" s="740"/>
      <c r="BF45" s="740"/>
      <c r="BG45" s="740"/>
      <c r="BH45" s="741"/>
    </row>
    <row r="46" spans="1:80" x14ac:dyDescent="0.25">
      <c r="AD46" s="778"/>
      <c r="AE46" s="779"/>
      <c r="AF46" s="779"/>
      <c r="AG46" s="779"/>
      <c r="AH46" s="780"/>
      <c r="AL46" s="727"/>
      <c r="AM46" s="727"/>
      <c r="AN46" s="727"/>
      <c r="AO46" s="727"/>
      <c r="AP46" s="727"/>
      <c r="AQ46" s="727"/>
      <c r="AR46" s="727"/>
      <c r="AS46" s="727"/>
      <c r="AT46" s="727"/>
      <c r="AU46" s="727"/>
      <c r="AY46" s="750"/>
      <c r="AZ46" s="751"/>
      <c r="BA46" s="751"/>
      <c r="BB46" s="751"/>
      <c r="BC46" s="751"/>
      <c r="BD46" s="751"/>
      <c r="BE46" s="751"/>
      <c r="BF46" s="751"/>
      <c r="BG46" s="751"/>
      <c r="BH46" s="752"/>
    </row>
    <row r="47" spans="1:80" x14ac:dyDescent="0.25">
      <c r="AA47" s="56"/>
      <c r="AD47" s="778"/>
      <c r="AE47" s="779"/>
      <c r="AF47" s="779"/>
      <c r="AG47" s="779"/>
      <c r="AH47" s="780"/>
      <c r="AL47" s="727"/>
      <c r="AM47" s="727"/>
      <c r="AN47" s="727"/>
      <c r="AO47" s="727"/>
      <c r="AP47" s="727"/>
      <c r="AQ47" s="727"/>
      <c r="AR47" s="727"/>
      <c r="AS47" s="727"/>
      <c r="AT47" s="727"/>
      <c r="AU47" s="727"/>
      <c r="AY47" s="742"/>
      <c r="AZ47" s="743"/>
      <c r="BA47" s="743"/>
      <c r="BB47" s="743"/>
      <c r="BC47" s="743"/>
      <c r="BD47" s="743"/>
      <c r="BE47" s="743"/>
      <c r="BF47" s="743"/>
      <c r="BG47" s="743"/>
      <c r="BH47" s="744"/>
    </row>
    <row r="48" spans="1:80" x14ac:dyDescent="0.25">
      <c r="K48" t="s">
        <v>258</v>
      </c>
      <c r="AD48" s="778"/>
      <c r="AE48" s="779"/>
      <c r="AF48" s="779"/>
      <c r="AG48" s="779"/>
      <c r="AH48" s="780"/>
      <c r="AL48" s="727">
        <v>255</v>
      </c>
      <c r="AM48" s="727"/>
      <c r="AN48" s="727"/>
      <c r="AO48" s="727">
        <f>AT73</f>
        <v>0</v>
      </c>
      <c r="AP48" s="727"/>
      <c r="AQ48" s="727"/>
      <c r="AR48" s="1689">
        <f>AC32</f>
        <v>0</v>
      </c>
      <c r="AS48" s="1689"/>
      <c r="AT48" s="1689">
        <f>AC32+AO34</f>
        <v>0</v>
      </c>
      <c r="AU48" s="1689"/>
      <c r="AY48" s="727" t="s">
        <v>128</v>
      </c>
      <c r="AZ48" s="727"/>
      <c r="BA48" s="727"/>
      <c r="BB48" s="727"/>
      <c r="BC48" s="727"/>
      <c r="BD48" s="727"/>
      <c r="BE48" s="727"/>
      <c r="BF48" s="727"/>
      <c r="BG48" s="727"/>
      <c r="BH48" s="727"/>
    </row>
    <row r="49" spans="7:60" x14ac:dyDescent="0.25">
      <c r="G49" t="s">
        <v>16</v>
      </c>
      <c r="AD49" s="778"/>
      <c r="AE49" s="779"/>
      <c r="AF49" s="779"/>
      <c r="AG49" s="779"/>
      <c r="AH49" s="780"/>
      <c r="AL49" s="727"/>
      <c r="AM49" s="727"/>
      <c r="AN49" s="727"/>
      <c r="AO49" s="727"/>
      <c r="AP49" s="727"/>
      <c r="AQ49" s="727"/>
      <c r="AR49" s="1689"/>
      <c r="AS49" s="1689"/>
      <c r="AT49" s="1689"/>
      <c r="AU49" s="1689"/>
      <c r="AY49" s="727"/>
      <c r="AZ49" s="727"/>
      <c r="BA49" s="727"/>
      <c r="BB49" s="727"/>
      <c r="BC49" s="727"/>
      <c r="BD49" s="727"/>
      <c r="BE49" s="727"/>
      <c r="BF49" s="727"/>
      <c r="BG49" s="727"/>
      <c r="BH49" s="727"/>
    </row>
    <row r="50" spans="7:60" ht="15" customHeight="1" x14ac:dyDescent="0.25">
      <c r="AD50" s="778"/>
      <c r="AE50" s="779"/>
      <c r="AF50" s="779"/>
      <c r="AG50" s="779"/>
      <c r="AH50" s="780"/>
      <c r="AL50" s="727"/>
      <c r="AM50" s="727"/>
      <c r="AN50" s="727"/>
      <c r="AO50" s="727"/>
      <c r="AP50" s="727"/>
      <c r="AQ50" s="727"/>
      <c r="AR50" s="1689"/>
      <c r="AS50" s="1689"/>
      <c r="AT50" s="1689"/>
      <c r="AU50" s="1689"/>
      <c r="AY50" s="728" t="e">
        <f>AR48/((96*3.1415/59)*(AO48/3.281))</f>
        <v>#DIV/0!</v>
      </c>
      <c r="AZ50" s="729"/>
      <c r="BA50" s="729"/>
      <c r="BB50" s="729"/>
      <c r="BC50" s="729"/>
      <c r="BD50" s="729"/>
      <c r="BE50" s="729"/>
      <c r="BF50" s="729"/>
      <c r="BG50" s="729"/>
      <c r="BH50" s="730"/>
    </row>
    <row r="51" spans="7:60" ht="15.75" customHeight="1" thickBot="1" x14ac:dyDescent="0.3">
      <c r="AD51" s="781"/>
      <c r="AE51" s="782"/>
      <c r="AF51" s="782"/>
      <c r="AG51" s="782"/>
      <c r="AH51" s="783"/>
      <c r="AL51" s="727"/>
      <c r="AM51" s="727"/>
      <c r="AN51" s="727"/>
      <c r="AO51" s="727"/>
      <c r="AP51" s="727"/>
      <c r="AQ51" s="727"/>
      <c r="AR51" s="1689"/>
      <c r="AS51" s="1689"/>
      <c r="AT51" s="1689"/>
      <c r="AU51" s="1689"/>
      <c r="AY51" s="731"/>
      <c r="AZ51" s="732"/>
      <c r="BA51" s="732"/>
      <c r="BB51" s="732"/>
      <c r="BC51" s="732"/>
      <c r="BD51" s="732"/>
      <c r="BE51" s="732"/>
      <c r="BF51" s="732"/>
      <c r="BG51" s="732"/>
      <c r="BH51" s="733"/>
    </row>
    <row r="52" spans="7:60" ht="15.75" customHeight="1" thickTop="1" x14ac:dyDescent="0.25">
      <c r="AY52" s="734"/>
      <c r="AZ52" s="735"/>
      <c r="BA52" s="735"/>
      <c r="BB52" s="735"/>
      <c r="BC52" s="735"/>
      <c r="BD52" s="735"/>
      <c r="BE52" s="735"/>
      <c r="BF52" s="735"/>
      <c r="BG52" s="735"/>
      <c r="BH52" s="736"/>
    </row>
    <row r="53" spans="7:60" x14ac:dyDescent="0.25">
      <c r="AY53" s="739" t="s">
        <v>129</v>
      </c>
      <c r="AZ53" s="740"/>
      <c r="BA53" s="740"/>
      <c r="BB53" s="740"/>
      <c r="BC53" s="740"/>
      <c r="BD53" s="740"/>
      <c r="BE53" s="740"/>
      <c r="BF53" s="740"/>
      <c r="BG53" s="740"/>
      <c r="BH53" s="741"/>
    </row>
    <row r="54" spans="7:60" x14ac:dyDescent="0.25">
      <c r="AY54" s="742"/>
      <c r="AZ54" s="743"/>
      <c r="BA54" s="743"/>
      <c r="BB54" s="743"/>
      <c r="BC54" s="743"/>
      <c r="BD54" s="743"/>
      <c r="BE54" s="743"/>
      <c r="BF54" s="743"/>
      <c r="BG54" s="743"/>
      <c r="BH54" s="744"/>
    </row>
    <row r="55" spans="7:60" x14ac:dyDescent="0.25">
      <c r="AN55" s="727">
        <v>42.5</v>
      </c>
      <c r="AO55" s="727"/>
      <c r="AP55" s="727"/>
      <c r="AQ55" s="746">
        <v>0</v>
      </c>
      <c r="AR55" s="746"/>
      <c r="AS55" s="746"/>
      <c r="AT55" s="747">
        <f>AQ55*AN55</f>
        <v>0</v>
      </c>
      <c r="AU55" s="748"/>
      <c r="AV55" s="748"/>
      <c r="AW55" s="749"/>
      <c r="AY55" s="739" t="s">
        <v>130</v>
      </c>
      <c r="AZ55" s="740"/>
      <c r="BA55" s="740"/>
      <c r="BB55" s="740"/>
      <c r="BC55" s="740"/>
      <c r="BD55" s="740"/>
      <c r="BE55" s="740"/>
      <c r="BF55" s="740"/>
      <c r="BG55" s="740"/>
      <c r="BH55" s="741"/>
    </row>
    <row r="56" spans="7:60" x14ac:dyDescent="0.25">
      <c r="AN56" s="727"/>
      <c r="AO56" s="727"/>
      <c r="AP56" s="727"/>
      <c r="AQ56" s="746"/>
      <c r="AR56" s="746"/>
      <c r="AS56" s="746"/>
      <c r="AT56" s="747"/>
      <c r="AU56" s="748"/>
      <c r="AV56" s="748"/>
      <c r="AW56" s="749"/>
      <c r="AY56" s="750"/>
      <c r="AZ56" s="751"/>
      <c r="BA56" s="751"/>
      <c r="BB56" s="751"/>
      <c r="BC56" s="751"/>
      <c r="BD56" s="751"/>
      <c r="BE56" s="751"/>
      <c r="BF56" s="751"/>
      <c r="BG56" s="751"/>
      <c r="BH56" s="752"/>
    </row>
    <row r="57" spans="7:60" ht="15" customHeight="1" x14ac:dyDescent="0.25">
      <c r="AN57" s="727"/>
      <c r="AO57" s="727"/>
      <c r="AP57" s="727"/>
      <c r="AQ57" s="746"/>
      <c r="AR57" s="746"/>
      <c r="AS57" s="746"/>
      <c r="AT57" s="747"/>
      <c r="AU57" s="748"/>
      <c r="AV57" s="748"/>
      <c r="AW57" s="749"/>
      <c r="AY57" s="750"/>
      <c r="AZ57" s="751"/>
      <c r="BA57" s="751"/>
      <c r="BB57" s="751"/>
      <c r="BC57" s="751"/>
      <c r="BD57" s="751"/>
      <c r="BE57" s="751"/>
      <c r="BF57" s="751"/>
      <c r="BG57" s="751"/>
      <c r="BH57" s="752"/>
    </row>
    <row r="58" spans="7:60" ht="15" customHeight="1" x14ac:dyDescent="0.25">
      <c r="AN58" s="727"/>
      <c r="AO58" s="727"/>
      <c r="AP58" s="727"/>
      <c r="AQ58" s="746"/>
      <c r="AR58" s="746"/>
      <c r="AS58" s="746"/>
      <c r="AT58" s="747"/>
      <c r="AU58" s="748"/>
      <c r="AV58" s="748"/>
      <c r="AW58" s="749"/>
      <c r="AY58" s="742"/>
      <c r="AZ58" s="743"/>
      <c r="BA58" s="743"/>
      <c r="BB58" s="743"/>
      <c r="BC58" s="743"/>
      <c r="BD58" s="743"/>
      <c r="BE58" s="743"/>
      <c r="BF58" s="743"/>
      <c r="BG58" s="743"/>
      <c r="BH58" s="744"/>
    </row>
    <row r="59" spans="7:60" ht="15" customHeight="1" x14ac:dyDescent="0.25">
      <c r="AN59" s="727"/>
      <c r="AO59" s="727"/>
      <c r="AP59" s="727"/>
      <c r="AQ59" s="746"/>
      <c r="AR59" s="746"/>
      <c r="AS59" s="746"/>
      <c r="AT59" s="747"/>
      <c r="AU59" s="748"/>
      <c r="AV59" s="748"/>
      <c r="AW59" s="749"/>
      <c r="AY59" s="728" t="e">
        <f>AT48/((96*3.1415/59)*(AO48/3.281))</f>
        <v>#DIV/0!</v>
      </c>
      <c r="AZ59" s="729"/>
      <c r="BA59" s="729"/>
      <c r="BB59" s="729"/>
      <c r="BC59" s="729"/>
      <c r="BD59" s="729"/>
      <c r="BE59" s="729"/>
      <c r="BF59" s="729"/>
      <c r="BG59" s="729"/>
      <c r="BH59" s="730"/>
    </row>
    <row r="60" spans="7:60" ht="15" customHeight="1" x14ac:dyDescent="0.25">
      <c r="AN60" s="727"/>
      <c r="AO60" s="727"/>
      <c r="AP60" s="727"/>
      <c r="AQ60" s="746"/>
      <c r="AR60" s="746"/>
      <c r="AS60" s="746"/>
      <c r="AT60" s="747"/>
      <c r="AU60" s="748"/>
      <c r="AV60" s="748"/>
      <c r="AW60" s="749"/>
      <c r="AY60" s="731"/>
      <c r="AZ60" s="732"/>
      <c r="BA60" s="732"/>
      <c r="BB60" s="732"/>
      <c r="BC60" s="732"/>
      <c r="BD60" s="732"/>
      <c r="BE60" s="732"/>
      <c r="BF60" s="732"/>
      <c r="BG60" s="732"/>
      <c r="BH60" s="733"/>
    </row>
    <row r="61" spans="7:60" ht="15" customHeight="1" x14ac:dyDescent="0.25">
      <c r="AN61" s="727"/>
      <c r="AO61" s="727"/>
      <c r="AP61" s="727"/>
      <c r="AQ61" s="746"/>
      <c r="AR61" s="746"/>
      <c r="AS61" s="746"/>
      <c r="AT61" s="747"/>
      <c r="AU61" s="748"/>
      <c r="AV61" s="748"/>
      <c r="AW61" s="749"/>
      <c r="AY61" s="731"/>
      <c r="AZ61" s="732"/>
      <c r="BA61" s="732"/>
      <c r="BB61" s="732"/>
      <c r="BC61" s="732"/>
      <c r="BD61" s="732"/>
      <c r="BE61" s="732"/>
      <c r="BF61" s="732"/>
      <c r="BG61" s="732"/>
      <c r="BH61" s="733"/>
    </row>
    <row r="62" spans="7:60" ht="15" customHeight="1" x14ac:dyDescent="0.25">
      <c r="AN62" s="727"/>
      <c r="AO62" s="727"/>
      <c r="AP62" s="727"/>
      <c r="AQ62" s="746"/>
      <c r="AR62" s="746"/>
      <c r="AS62" s="746"/>
      <c r="AT62" s="747"/>
      <c r="AU62" s="748"/>
      <c r="AV62" s="748"/>
      <c r="AW62" s="749"/>
      <c r="AY62" s="731"/>
      <c r="AZ62" s="732"/>
      <c r="BA62" s="732"/>
      <c r="BB62" s="732"/>
      <c r="BC62" s="732"/>
      <c r="BD62" s="732"/>
      <c r="BE62" s="732"/>
      <c r="BF62" s="732"/>
      <c r="BG62" s="732"/>
      <c r="BH62" s="733"/>
    </row>
    <row r="63" spans="7:60" ht="15" customHeight="1" x14ac:dyDescent="0.25">
      <c r="AN63" s="727"/>
      <c r="AO63" s="727"/>
      <c r="AP63" s="727"/>
      <c r="AQ63" s="746"/>
      <c r="AR63" s="746"/>
      <c r="AS63" s="746"/>
      <c r="AT63" s="747"/>
      <c r="AU63" s="748"/>
      <c r="AV63" s="748"/>
      <c r="AW63" s="749"/>
      <c r="AY63" s="734"/>
      <c r="AZ63" s="735"/>
      <c r="BA63" s="735"/>
      <c r="BB63" s="735"/>
      <c r="BC63" s="735"/>
      <c r="BD63" s="735"/>
      <c r="BE63" s="735"/>
      <c r="BF63" s="735"/>
      <c r="BG63" s="735"/>
      <c r="BH63" s="736"/>
    </row>
    <row r="64" spans="7:60" ht="15" customHeight="1" x14ac:dyDescent="0.25">
      <c r="AN64" s="727"/>
      <c r="AO64" s="727"/>
      <c r="AP64" s="727"/>
      <c r="AQ64" s="746"/>
      <c r="AR64" s="746"/>
      <c r="AS64" s="746"/>
      <c r="AT64" s="747"/>
      <c r="AU64" s="748"/>
      <c r="AV64" s="748"/>
      <c r="AW64" s="749"/>
    </row>
    <row r="65" spans="40:49" ht="15" customHeight="1" x14ac:dyDescent="0.25">
      <c r="AN65" s="727"/>
      <c r="AO65" s="727"/>
      <c r="AP65" s="727"/>
      <c r="AQ65" s="746"/>
      <c r="AR65" s="746"/>
      <c r="AS65" s="746"/>
      <c r="AT65" s="747"/>
      <c r="AU65" s="748"/>
      <c r="AV65" s="748"/>
      <c r="AW65" s="749"/>
    </row>
    <row r="66" spans="40:49" ht="15" customHeight="1" x14ac:dyDescent="0.25">
      <c r="AN66" s="727"/>
      <c r="AO66" s="727"/>
      <c r="AP66" s="727"/>
      <c r="AQ66" s="746"/>
      <c r="AR66" s="746"/>
      <c r="AS66" s="746"/>
      <c r="AT66" s="747"/>
      <c r="AU66" s="748"/>
      <c r="AV66" s="748"/>
      <c r="AW66" s="749"/>
    </row>
    <row r="67" spans="40:49" ht="15" customHeight="1" x14ac:dyDescent="0.25">
      <c r="AN67" s="727"/>
      <c r="AO67" s="727"/>
      <c r="AP67" s="727"/>
      <c r="AQ67" s="746"/>
      <c r="AR67" s="746"/>
      <c r="AS67" s="746"/>
      <c r="AT67" s="747"/>
      <c r="AU67" s="748"/>
      <c r="AV67" s="748"/>
      <c r="AW67" s="749"/>
    </row>
    <row r="68" spans="40:49" ht="15" customHeight="1" x14ac:dyDescent="0.25">
      <c r="AN68" s="727"/>
      <c r="AO68" s="727"/>
      <c r="AP68" s="727"/>
      <c r="AQ68" s="746"/>
      <c r="AR68" s="746"/>
      <c r="AS68" s="746"/>
      <c r="AT68" s="747"/>
      <c r="AU68" s="748"/>
      <c r="AV68" s="748"/>
      <c r="AW68" s="749"/>
    </row>
    <row r="69" spans="40:49" ht="15" customHeight="1" x14ac:dyDescent="0.25">
      <c r="AN69" s="727"/>
      <c r="AO69" s="727"/>
      <c r="AP69" s="727"/>
      <c r="AQ69" s="746"/>
      <c r="AR69" s="746"/>
      <c r="AS69" s="746"/>
      <c r="AT69" s="747"/>
      <c r="AU69" s="748"/>
      <c r="AV69" s="748"/>
      <c r="AW69" s="749"/>
    </row>
    <row r="70" spans="40:49" ht="15" customHeight="1" x14ac:dyDescent="0.25">
      <c r="AN70" s="727"/>
      <c r="AO70" s="727"/>
      <c r="AP70" s="727"/>
      <c r="AQ70" s="746"/>
      <c r="AR70" s="746"/>
      <c r="AS70" s="746"/>
      <c r="AT70" s="747"/>
      <c r="AU70" s="748"/>
      <c r="AV70" s="748"/>
      <c r="AW70" s="749"/>
    </row>
    <row r="71" spans="40:49" ht="15" customHeight="1" x14ac:dyDescent="0.25">
      <c r="AN71" s="727"/>
      <c r="AO71" s="727"/>
      <c r="AP71" s="727"/>
      <c r="AQ71" s="746"/>
      <c r="AR71" s="746"/>
      <c r="AS71" s="746"/>
      <c r="AT71" s="747"/>
      <c r="AU71" s="748"/>
      <c r="AV71" s="748"/>
      <c r="AW71" s="749"/>
    </row>
    <row r="72" spans="40:49" ht="15" customHeight="1" x14ac:dyDescent="0.25">
      <c r="AN72" s="727"/>
      <c r="AO72" s="727"/>
      <c r="AP72" s="727"/>
      <c r="AQ72" s="746"/>
      <c r="AR72" s="746"/>
      <c r="AS72" s="746"/>
      <c r="AT72" s="747"/>
      <c r="AU72" s="748"/>
      <c r="AV72" s="748"/>
      <c r="AW72" s="749"/>
    </row>
    <row r="73" spans="40:49" ht="15" customHeight="1" x14ac:dyDescent="0.25">
      <c r="AQ73" s="2279">
        <f>AQ55+AQ61+AQ64+AQ67+AQ70</f>
        <v>0</v>
      </c>
      <c r="AR73" s="2280"/>
      <c r="AS73" s="2281"/>
      <c r="AT73" s="1457">
        <f>AT55+AT58+AT61+AT64+AT67+AT70</f>
        <v>0</v>
      </c>
      <c r="AU73" s="1458"/>
      <c r="AV73" s="1458"/>
      <c r="AW73" s="1459"/>
    </row>
    <row r="74" spans="40:49" ht="15" customHeight="1" x14ac:dyDescent="0.25">
      <c r="AQ74" s="2282"/>
      <c r="AR74" s="2283"/>
      <c r="AS74" s="2284"/>
      <c r="AT74" s="2288"/>
      <c r="AU74" s="2289"/>
      <c r="AV74" s="2289"/>
      <c r="AW74" s="2290"/>
    </row>
    <row r="75" spans="40:49" ht="15" customHeight="1" x14ac:dyDescent="0.25">
      <c r="AQ75" s="2285"/>
      <c r="AR75" s="2286"/>
      <c r="AS75" s="2287"/>
      <c r="AT75" s="1785"/>
      <c r="AU75" s="1786"/>
      <c r="AV75" s="1786"/>
      <c r="AW75" s="1787"/>
    </row>
    <row r="76" spans="40:49" ht="15" customHeight="1" x14ac:dyDescent="0.25"/>
    <row r="77" spans="40:49" ht="15" customHeight="1" x14ac:dyDescent="0.25">
      <c r="AS77" s="27"/>
      <c r="AT77" s="27"/>
      <c r="AU77" s="27"/>
    </row>
  </sheetData>
  <mergeCells count="238">
    <mergeCell ref="AQ73:AS75"/>
    <mergeCell ref="AT73:AW75"/>
    <mergeCell ref="K2:M2"/>
    <mergeCell ref="N2:O2"/>
    <mergeCell ref="K3:O5"/>
    <mergeCell ref="K6:K7"/>
    <mergeCell ref="L6:O6"/>
    <mergeCell ref="AJ2:AL2"/>
    <mergeCell ref="AM2:AN2"/>
    <mergeCell ref="AJ3:AN5"/>
    <mergeCell ref="AN67:AP69"/>
    <mergeCell ref="AQ67:AS69"/>
    <mergeCell ref="AT67:AW69"/>
    <mergeCell ref="AN70:AP72"/>
    <mergeCell ref="AQ70:AS72"/>
    <mergeCell ref="AT70:AW72"/>
    <mergeCell ref="AD45:AH51"/>
    <mergeCell ref="AL45:AN47"/>
    <mergeCell ref="AO45:AQ47"/>
    <mergeCell ref="AR45:AS47"/>
    <mergeCell ref="AT45:AU47"/>
    <mergeCell ref="AT30:AT31"/>
    <mergeCell ref="AU30:AX30"/>
    <mergeCell ref="AT21:AV23"/>
    <mergeCell ref="AY59:BH63"/>
    <mergeCell ref="AN61:AP63"/>
    <mergeCell ref="AQ61:AS63"/>
    <mergeCell ref="AT61:AW63"/>
    <mergeCell ref="AN64:AP66"/>
    <mergeCell ref="AQ64:AS66"/>
    <mergeCell ref="AT64:AW66"/>
    <mergeCell ref="AY48:BH49"/>
    <mergeCell ref="AY50:BH52"/>
    <mergeCell ref="AY53:BH54"/>
    <mergeCell ref="AN55:AP57"/>
    <mergeCell ref="AQ55:AS57"/>
    <mergeCell ref="AT55:AW57"/>
    <mergeCell ref="AY55:BH58"/>
    <mergeCell ref="AN58:AP60"/>
    <mergeCell ref="AQ58:AS60"/>
    <mergeCell ref="AT58:AW60"/>
    <mergeCell ref="AY45:BH47"/>
    <mergeCell ref="AL48:AN51"/>
    <mergeCell ref="AO48:AQ51"/>
    <mergeCell ref="AR48:AS51"/>
    <mergeCell ref="AT48:AU51"/>
    <mergeCell ref="AT32:AW33"/>
    <mergeCell ref="AO34:AU40"/>
    <mergeCell ref="AV34:AW40"/>
    <mergeCell ref="H35:J35"/>
    <mergeCell ref="Q35:V42"/>
    <mergeCell ref="H36:J37"/>
    <mergeCell ref="X37:AB42"/>
    <mergeCell ref="AC37:AH42"/>
    <mergeCell ref="H38:J40"/>
    <mergeCell ref="H41:J42"/>
    <mergeCell ref="H32:J33"/>
    <mergeCell ref="Q32:V34"/>
    <mergeCell ref="X32:AB36"/>
    <mergeCell ref="AC32:AH36"/>
    <mergeCell ref="AJ32:AN42"/>
    <mergeCell ref="AO32:AS33"/>
    <mergeCell ref="AO41:AW42"/>
    <mergeCell ref="AY27:BA29"/>
    <mergeCell ref="BD27:BF29"/>
    <mergeCell ref="A30:A31"/>
    <mergeCell ref="B30:E30"/>
    <mergeCell ref="F30:F31"/>
    <mergeCell ref="G30:J30"/>
    <mergeCell ref="K30:K31"/>
    <mergeCell ref="L30:O30"/>
    <mergeCell ref="P30:P31"/>
    <mergeCell ref="Q30:T30"/>
    <mergeCell ref="AY30:AY31"/>
    <mergeCell ref="AZ30:BC30"/>
    <mergeCell ref="BD30:BD31"/>
    <mergeCell ref="BE30:BH30"/>
    <mergeCell ref="U30:U31"/>
    <mergeCell ref="V30:Y30"/>
    <mergeCell ref="Z30:Z31"/>
    <mergeCell ref="AA30:AD30"/>
    <mergeCell ref="AE30:AE31"/>
    <mergeCell ref="AF30:AI30"/>
    <mergeCell ref="A27:C29"/>
    <mergeCell ref="F27:H29"/>
    <mergeCell ref="K27:M29"/>
    <mergeCell ref="P27:R29"/>
    <mergeCell ref="U27:W29"/>
    <mergeCell ref="Z27:AB29"/>
    <mergeCell ref="AE27:AG29"/>
    <mergeCell ref="AT27:AV29"/>
    <mergeCell ref="AE26:AG26"/>
    <mergeCell ref="AH26:AI26"/>
    <mergeCell ref="AT26:AV26"/>
    <mergeCell ref="A26:C26"/>
    <mergeCell ref="D26:E26"/>
    <mergeCell ref="F26:H26"/>
    <mergeCell ref="I26:J26"/>
    <mergeCell ref="K26:M26"/>
    <mergeCell ref="N26:O26"/>
    <mergeCell ref="P26:R26"/>
    <mergeCell ref="S26:T26"/>
    <mergeCell ref="U26:W26"/>
    <mergeCell ref="X26:Y26"/>
    <mergeCell ref="Z26:AB26"/>
    <mergeCell ref="AC26:AD26"/>
    <mergeCell ref="BG26:BH26"/>
    <mergeCell ref="A24:A25"/>
    <mergeCell ref="B24:E24"/>
    <mergeCell ref="F24:F25"/>
    <mergeCell ref="G24:J24"/>
    <mergeCell ref="K24:K25"/>
    <mergeCell ref="L24:O24"/>
    <mergeCell ref="AT24:AT25"/>
    <mergeCell ref="AU24:AX24"/>
    <mergeCell ref="AY24:AY25"/>
    <mergeCell ref="AZ24:BC24"/>
    <mergeCell ref="BD24:BD25"/>
    <mergeCell ref="BD26:BF26"/>
    <mergeCell ref="BE24:BH24"/>
    <mergeCell ref="AE24:AE25"/>
    <mergeCell ref="AF24:AI24"/>
    <mergeCell ref="AJ24:AJ25"/>
    <mergeCell ref="AK24:AN24"/>
    <mergeCell ref="AO24:AO25"/>
    <mergeCell ref="AP24:AS24"/>
    <mergeCell ref="AW26:AX26"/>
    <mergeCell ref="AY26:BA26"/>
    <mergeCell ref="BB26:BC26"/>
    <mergeCell ref="AY21:BA23"/>
    <mergeCell ref="BD21:BF23"/>
    <mergeCell ref="A21:C23"/>
    <mergeCell ref="F21:H23"/>
    <mergeCell ref="K21:M23"/>
    <mergeCell ref="P21:R23"/>
    <mergeCell ref="U21:W23"/>
    <mergeCell ref="Z21:AB23"/>
    <mergeCell ref="P24:P25"/>
    <mergeCell ref="Q24:T24"/>
    <mergeCell ref="U24:U25"/>
    <mergeCell ref="V24:Y24"/>
    <mergeCell ref="Z24:Z25"/>
    <mergeCell ref="AA24:AD24"/>
    <mergeCell ref="A20:C20"/>
    <mergeCell ref="D20:E20"/>
    <mergeCell ref="F20:H20"/>
    <mergeCell ref="I20:J20"/>
    <mergeCell ref="K20:M20"/>
    <mergeCell ref="N20:O20"/>
    <mergeCell ref="AE21:AG23"/>
    <mergeCell ref="AJ21:AL23"/>
    <mergeCell ref="AO21:AQ23"/>
    <mergeCell ref="BG20:BH20"/>
    <mergeCell ref="AE20:AG20"/>
    <mergeCell ref="AH20:AI20"/>
    <mergeCell ref="AJ20:AL20"/>
    <mergeCell ref="AM20:AN20"/>
    <mergeCell ref="AO20:AQ20"/>
    <mergeCell ref="AR20:AS20"/>
    <mergeCell ref="P20:R20"/>
    <mergeCell ref="S20:T20"/>
    <mergeCell ref="U20:W20"/>
    <mergeCell ref="X20:Y20"/>
    <mergeCell ref="Z20:AB20"/>
    <mergeCell ref="AC20:AD20"/>
    <mergeCell ref="AT20:AV20"/>
    <mergeCell ref="AW20:AX20"/>
    <mergeCell ref="AY20:BA20"/>
    <mergeCell ref="BB20:BC20"/>
    <mergeCell ref="BD20:BF20"/>
    <mergeCell ref="A18:A19"/>
    <mergeCell ref="B18:E18"/>
    <mergeCell ref="AY18:AY19"/>
    <mergeCell ref="AZ18:BC18"/>
    <mergeCell ref="BD18:BD19"/>
    <mergeCell ref="BE18:BH18"/>
    <mergeCell ref="BG14:BH14"/>
    <mergeCell ref="A15:E17"/>
    <mergeCell ref="AJ15:AL17"/>
    <mergeCell ref="AO15:AQ17"/>
    <mergeCell ref="AT15:AV17"/>
    <mergeCell ref="AY15:BA17"/>
    <mergeCell ref="BD15:BF17"/>
    <mergeCell ref="AR14:AS14"/>
    <mergeCell ref="AT14:AV14"/>
    <mergeCell ref="AW14:AX14"/>
    <mergeCell ref="AY14:BA14"/>
    <mergeCell ref="BB14:BC14"/>
    <mergeCell ref="BD14:BF14"/>
    <mergeCell ref="AY12:AY13"/>
    <mergeCell ref="AZ12:BC12"/>
    <mergeCell ref="BD12:BD13"/>
    <mergeCell ref="BE12:BH12"/>
    <mergeCell ref="A14:C14"/>
    <mergeCell ref="D14:E14"/>
    <mergeCell ref="AH14:AI14"/>
    <mergeCell ref="AJ14:AL14"/>
    <mergeCell ref="AM14:AN14"/>
    <mergeCell ref="AO14:AQ14"/>
    <mergeCell ref="AY8:BA8"/>
    <mergeCell ref="BB8:BC8"/>
    <mergeCell ref="BD8:BF8"/>
    <mergeCell ref="BG8:BH8"/>
    <mergeCell ref="AY9:BA11"/>
    <mergeCell ref="BB9:BJ11"/>
    <mergeCell ref="K8:AN9"/>
    <mergeCell ref="AE6:AE7"/>
    <mergeCell ref="AF6:AI6"/>
    <mergeCell ref="AY6:AY7"/>
    <mergeCell ref="AZ6:BC6"/>
    <mergeCell ref="BD6:BD7"/>
    <mergeCell ref="BE6:BH6"/>
    <mergeCell ref="AJ6:AJ7"/>
    <mergeCell ref="AK6:AN6"/>
    <mergeCell ref="P6:P7"/>
    <mergeCell ref="Q6:T6"/>
    <mergeCell ref="U6:U7"/>
    <mergeCell ref="V6:Y6"/>
    <mergeCell ref="Z6:Z7"/>
    <mergeCell ref="AA6:AD6"/>
    <mergeCell ref="BG2:BH2"/>
    <mergeCell ref="P2:R2"/>
    <mergeCell ref="S2:T2"/>
    <mergeCell ref="U2:W2"/>
    <mergeCell ref="X2:Y2"/>
    <mergeCell ref="Z2:AB2"/>
    <mergeCell ref="AC2:AD2"/>
    <mergeCell ref="P3:T5"/>
    <mergeCell ref="U3:Y5"/>
    <mergeCell ref="Z3:AD5"/>
    <mergeCell ref="AE3:AI5"/>
    <mergeCell ref="AY3:BA5"/>
    <mergeCell ref="BD3:BF5"/>
    <mergeCell ref="AE2:AG2"/>
    <mergeCell ref="AH2:AI2"/>
    <mergeCell ref="AY2:BA2"/>
    <mergeCell ref="BB2:BC2"/>
    <mergeCell ref="BD2:BF2"/>
  </mergeCells>
  <pageMargins left="0.75" right="0.5" top="1" bottom="0.5" header="0.3" footer="0.3"/>
  <pageSetup paperSize="8" scale="64" orientation="landscape" r:id="rId1"/>
  <headerFooter>
    <oddFooter>&amp;C&amp;"-,Bold Italic"&amp;16Prepared by Emir Cebecioglu&amp;RQuality Control Department</oddFooter>
  </headerFooter>
  <colBreaks count="1" manualBreakCount="1">
    <brk id="60" max="50" man="1"/>
  </colBreaks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CF899-CE59-44F2-9ED2-FD1AA722406A}">
  <sheetPr>
    <pageSetUpPr fitToPage="1"/>
  </sheetPr>
  <dimension ref="A1:CB77"/>
  <sheetViews>
    <sheetView view="pageBreakPreview" zoomScale="55" zoomScaleNormal="70" zoomScaleSheetLayoutView="55" zoomScalePageLayoutView="55" workbookViewId="0">
      <selection activeCell="U15" sqref="U15:Y17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140625" customWidth="1"/>
    <col min="47" max="47" width="10.71093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1" customWidth="1"/>
    <col min="62" max="62" width="56.7109375" customWidth="1"/>
    <col min="63" max="63" width="13" customWidth="1"/>
    <col min="64" max="64" width="7" customWidth="1"/>
  </cols>
  <sheetData>
    <row r="1" spans="1:80" ht="213" customHeight="1" thickBot="1" x14ac:dyDescent="0.3"/>
    <row r="2" spans="1:80" ht="39.950000000000003" customHeight="1" thickTop="1" x14ac:dyDescent="0.25">
      <c r="A2" s="2313" t="s">
        <v>250</v>
      </c>
      <c r="B2" s="2314"/>
      <c r="C2" s="2314"/>
      <c r="D2" s="2315">
        <f>B7/((78*3.1415/44)*(70/3.281))</f>
        <v>8.3322903421582401E-3</v>
      </c>
      <c r="E2" s="2316"/>
      <c r="F2" s="2313" t="s">
        <v>250</v>
      </c>
      <c r="G2" s="2314"/>
      <c r="H2" s="2314"/>
      <c r="I2" s="2315">
        <f t="shared" ref="I2" si="0">G7/((78*3.1415/44)*(70/3.281))</f>
        <v>1.2397438054544534E-2</v>
      </c>
      <c r="J2" s="2316"/>
      <c r="K2" s="2313" t="s">
        <v>250</v>
      </c>
      <c r="L2" s="2314"/>
      <c r="M2" s="2314"/>
      <c r="N2" s="2315">
        <f t="shared" ref="N2" si="1">L7/((78*3.1415/44)*(70/3.281))</f>
        <v>8.416454891068929E-16</v>
      </c>
      <c r="O2" s="2316"/>
      <c r="P2" s="2313" t="s">
        <v>250</v>
      </c>
      <c r="Q2" s="2314"/>
      <c r="R2" s="2314"/>
      <c r="S2" s="2315">
        <f t="shared" ref="S2" si="2">Q7/((78*3.1415/44)*(70/3.281))</f>
        <v>0</v>
      </c>
      <c r="T2" s="2316"/>
      <c r="U2" s="2313" t="s">
        <v>250</v>
      </c>
      <c r="V2" s="2314"/>
      <c r="W2" s="2314"/>
      <c r="X2" s="2315">
        <f t="shared" ref="X2" si="3">V7/((78*3.1415/44)*(70/3.281))</f>
        <v>0</v>
      </c>
      <c r="Y2" s="2316"/>
      <c r="Z2" s="2313" t="s">
        <v>250</v>
      </c>
      <c r="AA2" s="2314"/>
      <c r="AB2" s="2314"/>
      <c r="AC2" s="2315">
        <f t="shared" ref="AC2" si="4">AA7/((78*3.1415/44)*(70/3.281))</f>
        <v>0</v>
      </c>
      <c r="AD2" s="2316"/>
      <c r="AE2" s="2305" t="s">
        <v>250</v>
      </c>
      <c r="AF2" s="2306"/>
      <c r="AG2" s="2306"/>
      <c r="AH2" s="2307">
        <f>AF7/((78*3.1415/44)*(65/3.281))</f>
        <v>0</v>
      </c>
      <c r="AI2" s="2308"/>
      <c r="AJ2" s="2305" t="s">
        <v>250</v>
      </c>
      <c r="AK2" s="2306"/>
      <c r="AL2" s="2306"/>
      <c r="AM2" s="2307">
        <f>AK7/((78*3.1415/44)*(65/3.281))</f>
        <v>0</v>
      </c>
      <c r="AN2" s="2308"/>
      <c r="AO2" s="2305" t="s">
        <v>250</v>
      </c>
      <c r="AP2" s="2306"/>
      <c r="AQ2" s="2306"/>
      <c r="AR2" s="2307">
        <f>AP7/((78*3.1415/44)*(65/3.281))</f>
        <v>1.3583122322814042E-2</v>
      </c>
      <c r="AS2" s="2308"/>
      <c r="AT2" s="165"/>
      <c r="AU2" s="165"/>
      <c r="AV2" s="165"/>
      <c r="AW2" s="165"/>
      <c r="AX2" s="165"/>
      <c r="AY2" s="674"/>
      <c r="AZ2" s="674"/>
      <c r="BA2" s="674"/>
      <c r="BB2" s="1300"/>
      <c r="BC2" s="1300"/>
      <c r="BD2" s="674"/>
      <c r="BE2" s="674"/>
      <c r="BF2" s="674"/>
      <c r="BG2" s="1300"/>
      <c r="BH2" s="1300"/>
      <c r="BM2" s="27"/>
      <c r="BN2" s="27"/>
      <c r="BO2" s="27"/>
      <c r="BP2" s="27"/>
      <c r="BQ2" s="27"/>
      <c r="BR2" s="27"/>
      <c r="BW2" s="27"/>
      <c r="BX2" s="27"/>
      <c r="BY2" s="27"/>
      <c r="BZ2" s="27"/>
      <c r="CA2" s="27"/>
      <c r="CB2" s="27"/>
    </row>
    <row r="3" spans="1:80" ht="9.9499999999999993" hidden="1" customHeight="1" x14ac:dyDescent="0.25">
      <c r="A3" s="1680" t="s">
        <v>111</v>
      </c>
      <c r="B3" s="1681"/>
      <c r="C3" s="1681"/>
      <c r="D3" s="1681"/>
      <c r="E3" s="1682"/>
      <c r="F3" s="1680" t="s">
        <v>111</v>
      </c>
      <c r="G3" s="1681"/>
      <c r="H3" s="1681"/>
      <c r="I3" s="1681"/>
      <c r="J3" s="1682"/>
      <c r="K3" s="1680" t="s">
        <v>111</v>
      </c>
      <c r="L3" s="1681"/>
      <c r="M3" s="1681"/>
      <c r="N3" s="1681"/>
      <c r="O3" s="1682"/>
      <c r="P3" s="2427" t="s">
        <v>111</v>
      </c>
      <c r="Q3" s="2428"/>
      <c r="R3" s="2428"/>
      <c r="S3" s="2428"/>
      <c r="T3" s="2429"/>
      <c r="U3" s="2427" t="s">
        <v>111</v>
      </c>
      <c r="V3" s="2428"/>
      <c r="W3" s="2428"/>
      <c r="X3" s="2428"/>
      <c r="Y3" s="2429"/>
      <c r="Z3" s="2427" t="s">
        <v>111</v>
      </c>
      <c r="AA3" s="2428"/>
      <c r="AB3" s="2428"/>
      <c r="AC3" s="2428"/>
      <c r="AD3" s="2429"/>
      <c r="AE3" s="2562" t="s">
        <v>111</v>
      </c>
      <c r="AF3" s="2563"/>
      <c r="AG3" s="2563"/>
      <c r="AH3" s="2563"/>
      <c r="AI3" s="2564"/>
      <c r="AJ3" s="2562" t="s">
        <v>111</v>
      </c>
      <c r="AK3" s="2563"/>
      <c r="AL3" s="2563"/>
      <c r="AM3" s="2563"/>
      <c r="AN3" s="2564"/>
      <c r="AO3" s="1723" t="s">
        <v>744</v>
      </c>
      <c r="AP3" s="1724"/>
      <c r="AQ3" s="1724"/>
      <c r="AR3" s="1724"/>
      <c r="AS3" s="1725"/>
      <c r="AT3" s="165"/>
      <c r="AU3" s="165"/>
      <c r="AV3" s="165"/>
      <c r="AW3" s="165"/>
      <c r="AX3" s="165"/>
      <c r="AY3" s="676"/>
      <c r="AZ3" s="676"/>
      <c r="BA3" s="676"/>
      <c r="BB3" s="36"/>
      <c r="BC3" s="36"/>
      <c r="BD3" s="676"/>
      <c r="BE3" s="676"/>
      <c r="BF3" s="676"/>
      <c r="BG3" s="36"/>
      <c r="BH3" s="36"/>
    </row>
    <row r="4" spans="1:80" ht="24.95" hidden="1" customHeight="1" x14ac:dyDescent="0.25">
      <c r="A4" s="1683"/>
      <c r="B4" s="1684"/>
      <c r="C4" s="1684"/>
      <c r="D4" s="1684"/>
      <c r="E4" s="1685"/>
      <c r="F4" s="1683"/>
      <c r="G4" s="1684"/>
      <c r="H4" s="1684"/>
      <c r="I4" s="1684"/>
      <c r="J4" s="1685"/>
      <c r="K4" s="1683"/>
      <c r="L4" s="1684"/>
      <c r="M4" s="1684"/>
      <c r="N4" s="1684"/>
      <c r="O4" s="1685"/>
      <c r="P4" s="2430"/>
      <c r="Q4" s="2431"/>
      <c r="R4" s="2431"/>
      <c r="S4" s="2431"/>
      <c r="T4" s="2432"/>
      <c r="U4" s="2430"/>
      <c r="V4" s="2431"/>
      <c r="W4" s="2431"/>
      <c r="X4" s="2431"/>
      <c r="Y4" s="2432"/>
      <c r="Z4" s="2430"/>
      <c r="AA4" s="2431"/>
      <c r="AB4" s="2431"/>
      <c r="AC4" s="2431"/>
      <c r="AD4" s="2432"/>
      <c r="AE4" s="2565"/>
      <c r="AF4" s="2566"/>
      <c r="AG4" s="2566"/>
      <c r="AH4" s="2566"/>
      <c r="AI4" s="2567"/>
      <c r="AJ4" s="2565"/>
      <c r="AK4" s="2566"/>
      <c r="AL4" s="2566"/>
      <c r="AM4" s="2566"/>
      <c r="AN4" s="2567"/>
      <c r="AO4" s="1726"/>
      <c r="AP4" s="1727"/>
      <c r="AQ4" s="1727"/>
      <c r="AR4" s="1727"/>
      <c r="AS4" s="1728"/>
      <c r="AT4" s="165"/>
      <c r="AU4" s="165"/>
      <c r="AV4" s="165"/>
      <c r="AW4" s="165"/>
      <c r="AX4" s="165"/>
      <c r="AY4" s="676"/>
      <c r="AZ4" s="676"/>
      <c r="BA4" s="676"/>
      <c r="BB4" s="36"/>
      <c r="BC4" s="36"/>
      <c r="BD4" s="676"/>
      <c r="BE4" s="676"/>
      <c r="BF4" s="676"/>
      <c r="BG4" s="36"/>
      <c r="BH4" s="36"/>
    </row>
    <row r="5" spans="1:80" ht="25.5" customHeight="1" x14ac:dyDescent="0.25">
      <c r="A5" s="1686"/>
      <c r="B5" s="1687"/>
      <c r="C5" s="1687"/>
      <c r="D5" s="1687"/>
      <c r="E5" s="1688"/>
      <c r="F5" s="1686"/>
      <c r="G5" s="1687"/>
      <c r="H5" s="1687"/>
      <c r="I5" s="1687"/>
      <c r="J5" s="1688"/>
      <c r="K5" s="1686"/>
      <c r="L5" s="1687"/>
      <c r="M5" s="1687"/>
      <c r="N5" s="1687"/>
      <c r="O5" s="1688"/>
      <c r="P5" s="2433"/>
      <c r="Q5" s="2434"/>
      <c r="R5" s="2434"/>
      <c r="S5" s="2434"/>
      <c r="T5" s="2435"/>
      <c r="U5" s="2433"/>
      <c r="V5" s="2434"/>
      <c r="W5" s="2434"/>
      <c r="X5" s="2434"/>
      <c r="Y5" s="2435"/>
      <c r="Z5" s="2433"/>
      <c r="AA5" s="2434"/>
      <c r="AB5" s="2434"/>
      <c r="AC5" s="2434"/>
      <c r="AD5" s="2435"/>
      <c r="AE5" s="2568"/>
      <c r="AF5" s="2569"/>
      <c r="AG5" s="2569"/>
      <c r="AH5" s="2569"/>
      <c r="AI5" s="2570"/>
      <c r="AJ5" s="2568"/>
      <c r="AK5" s="2569"/>
      <c r="AL5" s="2569"/>
      <c r="AM5" s="2569"/>
      <c r="AN5" s="2570"/>
      <c r="AO5" s="1729"/>
      <c r="AP5" s="1730"/>
      <c r="AQ5" s="1730"/>
      <c r="AR5" s="1730"/>
      <c r="AS5" s="1731"/>
      <c r="AT5" s="165"/>
      <c r="AU5" s="165"/>
      <c r="AV5" s="165"/>
      <c r="AW5" s="165"/>
      <c r="AX5" s="165"/>
      <c r="AY5" s="676"/>
      <c r="AZ5" s="676"/>
      <c r="BA5" s="676"/>
      <c r="BB5" s="36"/>
      <c r="BC5" s="36"/>
      <c r="BD5" s="676"/>
      <c r="BE5" s="676"/>
      <c r="BF5" s="676"/>
      <c r="BG5" s="36"/>
      <c r="BH5" s="36"/>
    </row>
    <row r="6" spans="1:80" ht="72" customHeight="1" x14ac:dyDescent="0.25">
      <c r="A6" s="1325" t="s">
        <v>262</v>
      </c>
      <c r="B6" s="1714">
        <v>1</v>
      </c>
      <c r="C6" s="1715"/>
      <c r="D6" s="1715"/>
      <c r="E6" s="1716"/>
      <c r="F6" s="1325" t="s">
        <v>262</v>
      </c>
      <c r="G6" s="1714">
        <v>2</v>
      </c>
      <c r="H6" s="1715"/>
      <c r="I6" s="1715"/>
      <c r="J6" s="1716"/>
      <c r="K6" s="1325" t="s">
        <v>262</v>
      </c>
      <c r="L6" s="1714">
        <v>3</v>
      </c>
      <c r="M6" s="1715"/>
      <c r="N6" s="1715"/>
      <c r="O6" s="1716"/>
      <c r="P6" s="1325" t="s">
        <v>262</v>
      </c>
      <c r="Q6" s="1327">
        <v>6</v>
      </c>
      <c r="R6" s="1328"/>
      <c r="S6" s="1328"/>
      <c r="T6" s="1329"/>
      <c r="U6" s="1325" t="s">
        <v>262</v>
      </c>
      <c r="V6" s="1327">
        <v>13</v>
      </c>
      <c r="W6" s="1328"/>
      <c r="X6" s="1328"/>
      <c r="Y6" s="1329"/>
      <c r="Z6" s="1325" t="s">
        <v>262</v>
      </c>
      <c r="AA6" s="1327">
        <v>15</v>
      </c>
      <c r="AB6" s="1328"/>
      <c r="AC6" s="1328"/>
      <c r="AD6" s="1329"/>
      <c r="AE6" s="1926" t="s">
        <v>476</v>
      </c>
      <c r="AF6" s="1327">
        <v>11</v>
      </c>
      <c r="AG6" s="1328"/>
      <c r="AH6" s="1328"/>
      <c r="AI6" s="1329"/>
      <c r="AJ6" s="1926" t="s">
        <v>476</v>
      </c>
      <c r="AK6" s="1327">
        <v>12</v>
      </c>
      <c r="AL6" s="1328"/>
      <c r="AM6" s="1328"/>
      <c r="AN6" s="1329"/>
      <c r="AO6" s="1926" t="s">
        <v>476</v>
      </c>
      <c r="AP6" s="1714">
        <v>14</v>
      </c>
      <c r="AQ6" s="1715"/>
      <c r="AR6" s="1715"/>
      <c r="AS6" s="1716"/>
      <c r="AT6" s="165"/>
      <c r="AU6" s="165"/>
      <c r="AV6" s="165"/>
      <c r="AW6" s="165"/>
      <c r="AX6" s="165"/>
      <c r="AY6" s="677"/>
      <c r="AZ6" s="1332"/>
      <c r="BA6" s="1332"/>
      <c r="BB6" s="1332"/>
      <c r="BC6" s="1332"/>
      <c r="BD6" s="677"/>
      <c r="BE6" s="1332"/>
      <c r="BF6" s="1332"/>
      <c r="BG6" s="1332"/>
      <c r="BH6" s="1332"/>
      <c r="BM6" s="27"/>
      <c r="BN6" s="27"/>
      <c r="BO6" s="27"/>
      <c r="BP6" s="27"/>
      <c r="BQ6" s="27"/>
      <c r="BR6" s="27"/>
      <c r="BW6" s="27"/>
      <c r="BX6" s="27"/>
      <c r="BY6" s="27"/>
      <c r="BZ6" s="27"/>
      <c r="CA6" s="27"/>
      <c r="CB6" s="27"/>
    </row>
    <row r="7" spans="1:80" ht="35.1" customHeight="1" thickBot="1" x14ac:dyDescent="0.3">
      <c r="A7" s="1326"/>
      <c r="B7" s="241">
        <v>0.99</v>
      </c>
      <c r="C7" s="242" t="s">
        <v>113</v>
      </c>
      <c r="D7" s="243">
        <v>1</v>
      </c>
      <c r="E7" s="244" t="s">
        <v>114</v>
      </c>
      <c r="F7" s="1326"/>
      <c r="G7" s="241">
        <v>1.4730000000000001</v>
      </c>
      <c r="H7" s="242" t="s">
        <v>113</v>
      </c>
      <c r="I7" s="243">
        <v>1</v>
      </c>
      <c r="J7" s="244" t="s">
        <v>114</v>
      </c>
      <c r="K7" s="1326"/>
      <c r="L7" s="241">
        <v>1E-13</v>
      </c>
      <c r="M7" s="242" t="s">
        <v>113</v>
      </c>
      <c r="N7" s="243"/>
      <c r="O7" s="244" t="s">
        <v>114</v>
      </c>
      <c r="P7" s="1326"/>
      <c r="Q7" s="327"/>
      <c r="R7" s="328" t="s">
        <v>113</v>
      </c>
      <c r="S7" s="329"/>
      <c r="T7" s="330" t="s">
        <v>114</v>
      </c>
      <c r="U7" s="1326"/>
      <c r="V7" s="327"/>
      <c r="W7" s="328" t="s">
        <v>113</v>
      </c>
      <c r="X7" s="329"/>
      <c r="Y7" s="330" t="s">
        <v>114</v>
      </c>
      <c r="Z7" s="1326"/>
      <c r="AA7" s="327"/>
      <c r="AB7" s="328" t="s">
        <v>113</v>
      </c>
      <c r="AC7" s="329"/>
      <c r="AD7" s="330" t="s">
        <v>114</v>
      </c>
      <c r="AE7" s="1927"/>
      <c r="AF7" s="327"/>
      <c r="AG7" s="328" t="s">
        <v>113</v>
      </c>
      <c r="AH7" s="329"/>
      <c r="AI7" s="330" t="s">
        <v>114</v>
      </c>
      <c r="AJ7" s="1927"/>
      <c r="AK7" s="327"/>
      <c r="AL7" s="328" t="s">
        <v>113</v>
      </c>
      <c r="AM7" s="329"/>
      <c r="AN7" s="330" t="s">
        <v>114</v>
      </c>
      <c r="AO7" s="1927"/>
      <c r="AP7" s="241">
        <v>1.4985999999999999</v>
      </c>
      <c r="AQ7" s="242" t="s">
        <v>113</v>
      </c>
      <c r="AR7" s="243"/>
      <c r="AS7" s="244" t="s">
        <v>114</v>
      </c>
      <c r="AT7" s="165"/>
      <c r="AU7" s="165"/>
      <c r="AV7" s="165"/>
      <c r="AW7" s="165"/>
      <c r="AX7" s="165"/>
      <c r="AY7" s="677"/>
      <c r="AZ7" s="137"/>
      <c r="BA7" s="33"/>
      <c r="BB7" s="138"/>
      <c r="BC7" s="35"/>
      <c r="BD7" s="677"/>
      <c r="BE7" s="137"/>
      <c r="BF7" s="33"/>
      <c r="BG7" s="138"/>
      <c r="BH7" s="35"/>
      <c r="BM7" s="27"/>
      <c r="BN7" s="27"/>
      <c r="BO7" s="27"/>
      <c r="BP7" s="27"/>
      <c r="BQ7" s="27"/>
      <c r="BR7" s="27"/>
      <c r="BW7" s="27"/>
      <c r="BX7" s="27"/>
      <c r="BY7" s="27"/>
      <c r="BZ7" s="27"/>
      <c r="CA7" s="27"/>
      <c r="CB7" s="27"/>
    </row>
    <row r="8" spans="1:80" ht="39" customHeight="1" thickTop="1" x14ac:dyDescent="0.25">
      <c r="A8" s="2558" t="s">
        <v>250</v>
      </c>
      <c r="B8" s="2559"/>
      <c r="C8" s="2559"/>
      <c r="D8" s="2560">
        <f>B13/((78*3.1415/44)*(60/3.281))</f>
        <v>1.8705570995400694E-2</v>
      </c>
      <c r="E8" s="2561"/>
      <c r="F8" s="2558" t="s">
        <v>250</v>
      </c>
      <c r="G8" s="2559"/>
      <c r="H8" s="2559"/>
      <c r="I8" s="2560">
        <f>G13/((78*3.1415/44)*(60/3.281))</f>
        <v>0</v>
      </c>
      <c r="J8" s="2561"/>
      <c r="K8" s="2299" t="s">
        <v>250</v>
      </c>
      <c r="L8" s="2300"/>
      <c r="M8" s="2300"/>
      <c r="N8" s="2301">
        <f>L13/((78*3.1415/44)*(55/3.281))</f>
        <v>5.7094169451960318E-3</v>
      </c>
      <c r="O8" s="2302"/>
      <c r="P8" s="1744" t="s">
        <v>250</v>
      </c>
      <c r="Q8" s="1745"/>
      <c r="R8" s="1745"/>
      <c r="S8" s="1742">
        <f>Q13/((78*3.1415/44)*(50/3.281))</f>
        <v>0</v>
      </c>
      <c r="T8" s="1743"/>
      <c r="U8" s="2293" t="s">
        <v>250</v>
      </c>
      <c r="V8" s="2294"/>
      <c r="W8" s="2294"/>
      <c r="X8" s="2291">
        <f>V13/((78*3.1415/44)*(32.5/3.281))</f>
        <v>1.8127748996148461E-15</v>
      </c>
      <c r="Y8" s="2292"/>
      <c r="Z8" s="2293" t="s">
        <v>250</v>
      </c>
      <c r="AA8" s="2294"/>
      <c r="AB8" s="2294"/>
      <c r="AC8" s="2291">
        <f>AA13/((78*3.1415/44)*(32.5/3.281))</f>
        <v>1.8127748996148461E-15</v>
      </c>
      <c r="AD8" s="2292"/>
      <c r="AE8" s="165"/>
      <c r="AF8" s="165"/>
      <c r="AG8" s="165"/>
      <c r="AH8" s="165"/>
      <c r="AI8" s="165"/>
      <c r="AJ8" s="165"/>
      <c r="AK8" s="165"/>
      <c r="AL8" s="165"/>
      <c r="AM8" s="165"/>
      <c r="AN8" s="165"/>
      <c r="AO8" s="165"/>
      <c r="AP8" s="165"/>
      <c r="AQ8" s="165"/>
      <c r="AR8" s="165"/>
      <c r="AS8" s="165"/>
      <c r="AT8" s="165"/>
      <c r="AU8" s="165"/>
      <c r="AV8" s="165"/>
      <c r="AW8" s="165"/>
      <c r="AX8" s="165"/>
      <c r="AY8" s="674"/>
      <c r="AZ8" s="674"/>
      <c r="BA8" s="674"/>
      <c r="BB8" s="1300"/>
      <c r="BC8" s="1300"/>
      <c r="BD8" s="674"/>
      <c r="BE8" s="674"/>
      <c r="BF8" s="674"/>
      <c r="BG8" s="1300"/>
      <c r="BH8" s="1300"/>
      <c r="BM8" s="27"/>
      <c r="BN8" s="27"/>
      <c r="BO8" s="27"/>
      <c r="BP8" s="27"/>
      <c r="BQ8" s="27"/>
      <c r="BR8" s="27"/>
      <c r="BW8" s="27"/>
      <c r="BX8" s="27"/>
      <c r="BY8" s="27"/>
      <c r="BZ8" s="27"/>
      <c r="CA8" s="27"/>
      <c r="CB8" s="27"/>
    </row>
    <row r="9" spans="1:80" ht="9.9499999999999993" hidden="1" customHeight="1" x14ac:dyDescent="0.25">
      <c r="A9" s="1723" t="s">
        <v>744</v>
      </c>
      <c r="B9" s="1724"/>
      <c r="C9" s="1724"/>
      <c r="D9" s="1724"/>
      <c r="E9" s="1725"/>
      <c r="F9" s="2538" t="s">
        <v>111</v>
      </c>
      <c r="G9" s="2539"/>
      <c r="H9" s="2539"/>
      <c r="I9" s="2539"/>
      <c r="J9" s="2540"/>
      <c r="K9" s="1723" t="s">
        <v>744</v>
      </c>
      <c r="L9" s="1724"/>
      <c r="M9" s="1724"/>
      <c r="N9" s="1724"/>
      <c r="O9" s="1725"/>
      <c r="P9" s="2547" t="s">
        <v>111</v>
      </c>
      <c r="Q9" s="2548"/>
      <c r="R9" s="2548"/>
      <c r="S9" s="2548"/>
      <c r="T9" s="2549"/>
      <c r="U9" s="1723" t="s">
        <v>744</v>
      </c>
      <c r="V9" s="1724"/>
      <c r="W9" s="1724"/>
      <c r="X9" s="1724"/>
      <c r="Y9" s="1725"/>
      <c r="Z9" s="1723" t="s">
        <v>744</v>
      </c>
      <c r="AA9" s="1724"/>
      <c r="AB9" s="1724"/>
      <c r="AC9" s="1724"/>
      <c r="AD9" s="1725"/>
      <c r="AE9" s="165"/>
      <c r="AF9" s="165"/>
      <c r="AG9" s="165"/>
      <c r="AH9" s="165"/>
      <c r="AI9" s="165"/>
      <c r="AJ9" s="165"/>
      <c r="AK9" s="165"/>
      <c r="AL9" s="165"/>
      <c r="AM9" s="165"/>
      <c r="AN9" s="165"/>
      <c r="AO9" s="165"/>
      <c r="AP9" s="165"/>
      <c r="AQ9" s="165"/>
      <c r="AR9" s="165"/>
      <c r="AS9" s="165"/>
      <c r="AT9" s="165"/>
      <c r="AU9" s="165"/>
      <c r="AV9" s="165"/>
      <c r="AW9" s="165"/>
      <c r="AX9" s="165"/>
      <c r="AY9" s="676"/>
      <c r="AZ9" s="676"/>
      <c r="BA9" s="676"/>
      <c r="BB9" s="674"/>
      <c r="BC9" s="674"/>
      <c r="BD9" s="674"/>
      <c r="BE9" s="674"/>
      <c r="BF9" s="674"/>
      <c r="BG9" s="674"/>
      <c r="BH9" s="674"/>
      <c r="BI9" s="674"/>
      <c r="BJ9" s="674"/>
    </row>
    <row r="10" spans="1:80" ht="24.95" hidden="1" customHeight="1" x14ac:dyDescent="0.25">
      <c r="A10" s="1726"/>
      <c r="B10" s="1727"/>
      <c r="C10" s="1727"/>
      <c r="D10" s="1727"/>
      <c r="E10" s="1728"/>
      <c r="F10" s="2541"/>
      <c r="G10" s="2542"/>
      <c r="H10" s="2542"/>
      <c r="I10" s="2542"/>
      <c r="J10" s="2543"/>
      <c r="K10" s="1726"/>
      <c r="L10" s="1727"/>
      <c r="M10" s="1727"/>
      <c r="N10" s="1727"/>
      <c r="O10" s="1728"/>
      <c r="P10" s="2550"/>
      <c r="Q10" s="2551"/>
      <c r="R10" s="2551"/>
      <c r="S10" s="2551"/>
      <c r="T10" s="2552"/>
      <c r="U10" s="1726"/>
      <c r="V10" s="1727"/>
      <c r="W10" s="1727"/>
      <c r="X10" s="1727"/>
      <c r="Y10" s="1728"/>
      <c r="Z10" s="1726"/>
      <c r="AA10" s="1727"/>
      <c r="AB10" s="1727"/>
      <c r="AC10" s="1727"/>
      <c r="AD10" s="1728"/>
      <c r="AE10" s="165"/>
      <c r="AF10" s="165"/>
      <c r="AG10" s="165"/>
      <c r="AH10" s="165"/>
      <c r="AI10" s="165"/>
      <c r="AJ10" s="165"/>
      <c r="AK10" s="165"/>
      <c r="AL10" s="165"/>
      <c r="AM10" s="165"/>
      <c r="AN10" s="165"/>
      <c r="AO10" s="165"/>
      <c r="AP10" s="165"/>
      <c r="AQ10" s="165"/>
      <c r="AR10" s="165"/>
      <c r="AS10" s="165"/>
      <c r="AT10" s="165"/>
      <c r="AU10" s="165"/>
      <c r="AV10" s="165"/>
      <c r="AW10" s="165"/>
      <c r="AX10" s="165"/>
      <c r="AY10" s="676"/>
      <c r="AZ10" s="676"/>
      <c r="BA10" s="676"/>
      <c r="BB10" s="674"/>
      <c r="BC10" s="674"/>
      <c r="BD10" s="674"/>
      <c r="BE10" s="674"/>
      <c r="BF10" s="674"/>
      <c r="BG10" s="674"/>
      <c r="BH10" s="674"/>
      <c r="BI10" s="674"/>
      <c r="BJ10" s="674"/>
    </row>
    <row r="11" spans="1:80" ht="25.5" customHeight="1" x14ac:dyDescent="0.25">
      <c r="A11" s="1729"/>
      <c r="B11" s="1730"/>
      <c r="C11" s="1730"/>
      <c r="D11" s="1730"/>
      <c r="E11" s="1731"/>
      <c r="F11" s="2544"/>
      <c r="G11" s="2545"/>
      <c r="H11" s="2545"/>
      <c r="I11" s="2545"/>
      <c r="J11" s="2546"/>
      <c r="K11" s="1729"/>
      <c r="L11" s="1730"/>
      <c r="M11" s="1730"/>
      <c r="N11" s="1730"/>
      <c r="O11" s="1731"/>
      <c r="P11" s="2553"/>
      <c r="Q11" s="2554"/>
      <c r="R11" s="2554"/>
      <c r="S11" s="2554"/>
      <c r="T11" s="2555"/>
      <c r="U11" s="1729"/>
      <c r="V11" s="1730"/>
      <c r="W11" s="1730"/>
      <c r="X11" s="1730"/>
      <c r="Y11" s="1731"/>
      <c r="Z11" s="1729"/>
      <c r="AA11" s="1730"/>
      <c r="AB11" s="1730"/>
      <c r="AC11" s="1730"/>
      <c r="AD11" s="1731"/>
      <c r="AE11" s="165"/>
      <c r="AF11" s="165"/>
      <c r="AG11" s="165"/>
      <c r="AH11" s="165"/>
      <c r="AI11" s="165"/>
      <c r="AJ11" s="165"/>
      <c r="AK11" s="165"/>
      <c r="AL11" s="165"/>
      <c r="AM11" s="165"/>
      <c r="AN11" s="165"/>
      <c r="AO11" s="165"/>
      <c r="AP11" s="165"/>
      <c r="AQ11" s="165"/>
      <c r="AR11" s="165"/>
      <c r="AS11" s="165"/>
      <c r="AT11" s="165"/>
      <c r="AU11" s="165"/>
      <c r="AV11" s="165"/>
      <c r="AW11" s="165"/>
      <c r="AX11" s="165"/>
      <c r="AY11" s="676"/>
      <c r="AZ11" s="676"/>
      <c r="BA11" s="676"/>
      <c r="BB11" s="674"/>
      <c r="BC11" s="674"/>
      <c r="BD11" s="674"/>
      <c r="BE11" s="674"/>
      <c r="BF11" s="674"/>
      <c r="BG11" s="674"/>
      <c r="BH11" s="674"/>
      <c r="BI11" s="674"/>
      <c r="BJ11" s="674"/>
    </row>
    <row r="12" spans="1:80" ht="72" customHeight="1" x14ac:dyDescent="0.25">
      <c r="A12" s="2556" t="s">
        <v>474</v>
      </c>
      <c r="B12" s="1714">
        <v>9</v>
      </c>
      <c r="C12" s="1715"/>
      <c r="D12" s="1715"/>
      <c r="E12" s="1716"/>
      <c r="F12" s="2556" t="s">
        <v>474</v>
      </c>
      <c r="G12" s="1327">
        <v>10</v>
      </c>
      <c r="H12" s="1328"/>
      <c r="I12" s="1328"/>
      <c r="J12" s="1329"/>
      <c r="K12" s="1330" t="s">
        <v>475</v>
      </c>
      <c r="L12" s="1714">
        <v>8</v>
      </c>
      <c r="M12" s="1715"/>
      <c r="N12" s="1715"/>
      <c r="O12" s="1716"/>
      <c r="P12" s="1721" t="s">
        <v>477</v>
      </c>
      <c r="Q12" s="1327">
        <v>7</v>
      </c>
      <c r="R12" s="1328"/>
      <c r="S12" s="1328"/>
      <c r="T12" s="1329"/>
      <c r="U12" s="2297" t="s">
        <v>486</v>
      </c>
      <c r="V12" s="1714">
        <v>4</v>
      </c>
      <c r="W12" s="1715"/>
      <c r="X12" s="1715"/>
      <c r="Y12" s="1716"/>
      <c r="Z12" s="2297" t="s">
        <v>486</v>
      </c>
      <c r="AA12" s="1714">
        <v>5</v>
      </c>
      <c r="AB12" s="1715"/>
      <c r="AC12" s="1715"/>
      <c r="AD12" s="1716"/>
      <c r="AE12" s="165"/>
      <c r="AF12" s="165"/>
      <c r="AG12" s="165"/>
      <c r="AH12" s="165"/>
      <c r="AI12" s="165"/>
      <c r="AJ12" s="165"/>
      <c r="AK12" s="165"/>
      <c r="AL12" s="165"/>
      <c r="AM12" s="165"/>
      <c r="AN12" s="165"/>
      <c r="AO12" s="165"/>
      <c r="AP12" s="165"/>
      <c r="AQ12" s="165"/>
      <c r="AR12" s="165"/>
      <c r="AS12" s="165"/>
      <c r="AT12" s="165"/>
      <c r="AU12" s="165"/>
      <c r="AV12" s="165"/>
      <c r="AW12" s="165"/>
      <c r="AX12" s="165"/>
      <c r="AY12" s="677"/>
      <c r="AZ12" s="1332"/>
      <c r="BA12" s="1332"/>
      <c r="BB12" s="1332"/>
      <c r="BC12" s="1332"/>
      <c r="BD12" s="677"/>
      <c r="BE12" s="1332"/>
      <c r="BF12" s="1332"/>
      <c r="BG12" s="1332"/>
      <c r="BH12" s="1332"/>
      <c r="BM12" s="51"/>
      <c r="BN12" s="51"/>
      <c r="BO12" s="51"/>
      <c r="BP12" s="51"/>
      <c r="BQ12" s="51"/>
      <c r="BR12" s="51"/>
      <c r="BW12" s="27"/>
      <c r="BX12" s="27"/>
      <c r="BY12" s="27"/>
      <c r="BZ12" s="27"/>
      <c r="CA12" s="27"/>
      <c r="CB12" s="27"/>
    </row>
    <row r="13" spans="1:80" ht="35.1" customHeight="1" thickBot="1" x14ac:dyDescent="0.3">
      <c r="A13" s="2557"/>
      <c r="B13" s="241">
        <v>1.905</v>
      </c>
      <c r="C13" s="242" t="s">
        <v>113</v>
      </c>
      <c r="D13" s="243">
        <v>1</v>
      </c>
      <c r="E13" s="244" t="s">
        <v>114</v>
      </c>
      <c r="F13" s="2557"/>
      <c r="G13" s="327"/>
      <c r="H13" s="328" t="s">
        <v>113</v>
      </c>
      <c r="I13" s="329"/>
      <c r="J13" s="330" t="s">
        <v>114</v>
      </c>
      <c r="K13" s="1331"/>
      <c r="L13" s="241">
        <v>0.53300000000000003</v>
      </c>
      <c r="M13" s="242" t="s">
        <v>113</v>
      </c>
      <c r="N13" s="243"/>
      <c r="O13" s="244" t="s">
        <v>114</v>
      </c>
      <c r="P13" s="1722"/>
      <c r="Q13" s="327"/>
      <c r="R13" s="328" t="s">
        <v>113</v>
      </c>
      <c r="S13" s="329"/>
      <c r="T13" s="330" t="s">
        <v>114</v>
      </c>
      <c r="U13" s="2298"/>
      <c r="V13" s="241">
        <v>1E-13</v>
      </c>
      <c r="W13" s="242" t="s">
        <v>113</v>
      </c>
      <c r="X13" s="243"/>
      <c r="Y13" s="244" t="s">
        <v>114</v>
      </c>
      <c r="Z13" s="2298"/>
      <c r="AA13" s="241">
        <v>1E-13</v>
      </c>
      <c r="AB13" s="242" t="s">
        <v>113</v>
      </c>
      <c r="AC13" s="243"/>
      <c r="AD13" s="244" t="s">
        <v>114</v>
      </c>
      <c r="AE13" s="165"/>
      <c r="AF13" s="165"/>
      <c r="AG13" s="165"/>
      <c r="AH13" s="165"/>
      <c r="AI13" s="165"/>
      <c r="AJ13" s="165"/>
      <c r="AK13" s="165"/>
      <c r="AL13" s="165"/>
      <c r="AM13" s="165"/>
      <c r="AN13" s="165"/>
      <c r="AO13" s="165"/>
      <c r="AP13" s="165"/>
      <c r="AQ13" s="165"/>
      <c r="AR13" s="165"/>
      <c r="AS13" s="165"/>
      <c r="AT13" s="165"/>
      <c r="AU13" s="165"/>
      <c r="AV13" s="165"/>
      <c r="AW13" s="165"/>
      <c r="AX13" s="165"/>
      <c r="AY13" s="677"/>
      <c r="AZ13" s="137"/>
      <c r="BA13" s="33"/>
      <c r="BB13" s="138"/>
      <c r="BC13" s="35"/>
      <c r="BD13" s="677"/>
      <c r="BE13" s="137"/>
      <c r="BF13" s="33"/>
      <c r="BG13" s="138"/>
      <c r="BH13" s="35"/>
      <c r="BM13" s="51"/>
      <c r="BN13" s="51"/>
      <c r="BO13" s="51"/>
      <c r="BP13" s="51"/>
      <c r="BQ13" s="51"/>
      <c r="BR13" s="51"/>
      <c r="BW13" s="27"/>
      <c r="BX13" s="27"/>
      <c r="BY13" s="27"/>
      <c r="BZ13" s="27"/>
      <c r="CA13" s="27"/>
      <c r="CB13" s="27"/>
    </row>
    <row r="14" spans="1:80" ht="39.950000000000003" hidden="1" customHeight="1" thickTop="1" x14ac:dyDescent="0.25">
      <c r="A14" s="1695" t="s">
        <v>250</v>
      </c>
      <c r="B14" s="1696"/>
      <c r="C14" s="1696"/>
      <c r="D14" s="1697">
        <f>B19/((42*3.1415/59)*(30/3.281))</f>
        <v>0</v>
      </c>
      <c r="E14" s="1698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Z14" s="44"/>
      <c r="AA14" s="44"/>
      <c r="AB14" s="44"/>
      <c r="AC14" s="44"/>
      <c r="AD14" s="44"/>
      <c r="AE14" s="44"/>
      <c r="AF14" s="44"/>
      <c r="AG14" s="44"/>
      <c r="AH14" s="1300"/>
      <c r="AI14" s="1300"/>
      <c r="AJ14" s="674"/>
      <c r="AK14" s="674"/>
      <c r="AL14" s="674"/>
      <c r="AM14" s="1300"/>
      <c r="AN14" s="1300"/>
      <c r="AO14" s="674"/>
      <c r="AP14" s="674"/>
      <c r="AQ14" s="674"/>
      <c r="AR14" s="1300"/>
      <c r="AS14" s="1300"/>
      <c r="AT14" s="1389"/>
      <c r="AU14" s="1389"/>
      <c r="AV14" s="1389"/>
      <c r="AW14" s="1390"/>
      <c r="AX14" s="1390"/>
      <c r="AY14" s="674"/>
      <c r="AZ14" s="674"/>
      <c r="BA14" s="674"/>
      <c r="BB14" s="1300"/>
      <c r="BC14" s="1300"/>
      <c r="BD14" s="674"/>
      <c r="BE14" s="674"/>
      <c r="BF14" s="674"/>
      <c r="BG14" s="1300"/>
      <c r="BH14" s="1300"/>
      <c r="BM14" s="51"/>
      <c r="BN14" s="51"/>
      <c r="BO14" s="51"/>
      <c r="BP14" s="51"/>
      <c r="BQ14" s="51"/>
      <c r="BR14" s="51"/>
      <c r="BW14" s="27"/>
      <c r="BX14" s="27"/>
      <c r="BY14" s="27"/>
      <c r="BZ14" s="27"/>
      <c r="CA14" s="27"/>
      <c r="CB14" s="27"/>
    </row>
    <row r="15" spans="1:80" ht="9.9499999999999993" hidden="1" customHeight="1" x14ac:dyDescent="0.25">
      <c r="A15" s="1379" t="s">
        <v>252</v>
      </c>
      <c r="B15" s="1380"/>
      <c r="C15" s="1380"/>
      <c r="D15" s="1380"/>
      <c r="E15" s="1381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Z15" s="47"/>
      <c r="AA15" s="47"/>
      <c r="AB15" s="47"/>
      <c r="AC15" s="47"/>
      <c r="AD15" s="47"/>
      <c r="AE15" s="47"/>
      <c r="AF15" s="47"/>
      <c r="AG15" s="47"/>
      <c r="AH15" s="36"/>
      <c r="AI15" s="36"/>
      <c r="AJ15" s="676"/>
      <c r="AK15" s="676"/>
      <c r="AL15" s="676"/>
      <c r="AM15" s="36"/>
      <c r="AN15" s="36"/>
      <c r="AO15" s="676"/>
      <c r="AP15" s="676"/>
      <c r="AQ15" s="676"/>
      <c r="AR15" s="36"/>
      <c r="AS15" s="36"/>
      <c r="AT15" s="1388"/>
      <c r="AU15" s="1388"/>
      <c r="AV15" s="1388"/>
      <c r="AW15" s="139"/>
      <c r="AX15" s="139"/>
      <c r="AY15" s="676"/>
      <c r="AZ15" s="676"/>
      <c r="BA15" s="676"/>
      <c r="BB15" s="36"/>
      <c r="BC15" s="36"/>
      <c r="BD15" s="676"/>
      <c r="BE15" s="676"/>
      <c r="BF15" s="676"/>
      <c r="BG15" s="36"/>
      <c r="BH15" s="36"/>
    </row>
    <row r="16" spans="1:80" ht="24.95" hidden="1" customHeight="1" x14ac:dyDescent="0.25">
      <c r="A16" s="1382"/>
      <c r="B16" s="1383"/>
      <c r="C16" s="1383"/>
      <c r="D16" s="1383"/>
      <c r="E16" s="1384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Z16" s="47"/>
      <c r="AA16" s="47"/>
      <c r="AB16" s="47"/>
      <c r="AC16" s="47"/>
      <c r="AD16" s="47"/>
      <c r="AE16" s="47"/>
      <c r="AF16" s="47"/>
      <c r="AG16" s="47"/>
      <c r="AH16" s="140"/>
      <c r="AI16" s="36"/>
      <c r="AJ16" s="676"/>
      <c r="AK16" s="676"/>
      <c r="AL16" s="676"/>
      <c r="AM16" s="140"/>
      <c r="AN16" s="36"/>
      <c r="AO16" s="676"/>
      <c r="AP16" s="676"/>
      <c r="AQ16" s="676"/>
      <c r="AR16" s="140"/>
      <c r="AS16" s="36"/>
      <c r="AT16" s="1388"/>
      <c r="AU16" s="1388"/>
      <c r="AV16" s="1388"/>
      <c r="AW16" s="141"/>
      <c r="AX16" s="139"/>
      <c r="AY16" s="676"/>
      <c r="AZ16" s="676"/>
      <c r="BA16" s="676"/>
      <c r="BB16" s="36"/>
      <c r="BC16" s="36"/>
      <c r="BD16" s="676"/>
      <c r="BE16" s="676"/>
      <c r="BF16" s="676"/>
      <c r="BG16" s="36"/>
      <c r="BH16" s="36"/>
    </row>
    <row r="17" spans="1:80" ht="9.9499999999999993" hidden="1" customHeight="1" x14ac:dyDescent="0.25">
      <c r="A17" s="1385"/>
      <c r="B17" s="1386"/>
      <c r="C17" s="1386"/>
      <c r="D17" s="1386"/>
      <c r="E17" s="138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Z17" s="47"/>
      <c r="AA17" s="47"/>
      <c r="AB17" s="47"/>
      <c r="AC17" s="47"/>
      <c r="AD17" s="47"/>
      <c r="AE17" s="47"/>
      <c r="AF17" s="47"/>
      <c r="AG17" s="47"/>
      <c r="AH17" s="36"/>
      <c r="AI17" s="36"/>
      <c r="AJ17" s="676"/>
      <c r="AK17" s="676"/>
      <c r="AL17" s="676"/>
      <c r="AM17" s="36"/>
      <c r="AN17" s="36"/>
      <c r="AO17" s="676"/>
      <c r="AP17" s="676"/>
      <c r="AQ17" s="676"/>
      <c r="AR17" s="36"/>
      <c r="AS17" s="36"/>
      <c r="AT17" s="1388"/>
      <c r="AU17" s="1388"/>
      <c r="AV17" s="1388"/>
      <c r="AW17" s="139"/>
      <c r="AX17" s="139"/>
      <c r="AY17" s="676"/>
      <c r="AZ17" s="676"/>
      <c r="BA17" s="676"/>
      <c r="BB17" s="36"/>
      <c r="BC17" s="36"/>
      <c r="BD17" s="676"/>
      <c r="BE17" s="676"/>
      <c r="BF17" s="676"/>
      <c r="BG17" s="36"/>
      <c r="BH17" s="36"/>
    </row>
    <row r="18" spans="1:80" ht="72" hidden="1" customHeight="1" x14ac:dyDescent="0.25">
      <c r="A18" s="1374" t="s">
        <v>253</v>
      </c>
      <c r="B18" s="1376"/>
      <c r="C18" s="1377"/>
      <c r="D18" s="1377"/>
      <c r="E18" s="1378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3"/>
      <c r="AU18" s="143"/>
      <c r="AV18" s="143"/>
      <c r="AW18" s="143"/>
      <c r="AX18" s="143"/>
      <c r="AY18" s="677"/>
      <c r="AZ18" s="1332"/>
      <c r="BA18" s="1332"/>
      <c r="BB18" s="1332"/>
      <c r="BC18" s="1332"/>
      <c r="BD18" s="677"/>
      <c r="BE18" s="1332" t="s">
        <v>16</v>
      </c>
      <c r="BF18" s="1332"/>
      <c r="BG18" s="1332"/>
      <c r="BH18" s="1332"/>
      <c r="BM18" s="51"/>
      <c r="BN18" s="51"/>
      <c r="BO18" s="51"/>
      <c r="BP18" s="51"/>
      <c r="BQ18" s="51"/>
      <c r="BR18" s="51"/>
      <c r="BW18" s="27"/>
      <c r="BX18" s="27"/>
      <c r="BY18" s="27"/>
      <c r="BZ18" s="27"/>
      <c r="CA18" s="27"/>
      <c r="CB18" s="27"/>
    </row>
    <row r="19" spans="1:80" ht="35.1" hidden="1" customHeight="1" thickBot="1" x14ac:dyDescent="0.3">
      <c r="A19" s="1375"/>
      <c r="B19" s="144"/>
      <c r="C19" s="145" t="s">
        <v>113</v>
      </c>
      <c r="D19" s="146"/>
      <c r="E19" s="147" t="s">
        <v>114</v>
      </c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148"/>
      <c r="AU19" s="148"/>
      <c r="AV19" s="148"/>
      <c r="AW19" s="148"/>
      <c r="AX19" s="148"/>
      <c r="AY19" s="677"/>
      <c r="AZ19" s="137"/>
      <c r="BA19" s="33"/>
      <c r="BB19" s="138"/>
      <c r="BC19" s="35"/>
      <c r="BD19" s="677"/>
      <c r="BE19" s="137"/>
      <c r="BF19" s="33"/>
      <c r="BG19" s="138"/>
      <c r="BH19" s="35"/>
      <c r="BM19" s="51"/>
      <c r="BN19" s="51"/>
      <c r="BO19" s="51"/>
      <c r="BP19" s="51"/>
      <c r="BQ19" s="51"/>
      <c r="BR19" s="51"/>
      <c r="BW19" s="27"/>
      <c r="BX19" s="27"/>
      <c r="BY19" s="27"/>
      <c r="BZ19" s="27"/>
      <c r="CA19" s="27"/>
      <c r="CB19" s="27"/>
    </row>
    <row r="20" spans="1:80" ht="27" hidden="1" thickTop="1" x14ac:dyDescent="0.25">
      <c r="A20" s="1396"/>
      <c r="B20" s="1396"/>
      <c r="C20" s="1396"/>
      <c r="D20" s="1397"/>
      <c r="E20" s="1397"/>
      <c r="F20" s="674"/>
      <c r="G20" s="674"/>
      <c r="H20" s="674"/>
      <c r="I20" s="1300"/>
      <c r="J20" s="1300"/>
      <c r="K20" s="674"/>
      <c r="L20" s="674"/>
      <c r="M20" s="674"/>
      <c r="N20" s="1300"/>
      <c r="O20" s="1300"/>
      <c r="P20" s="674"/>
      <c r="Q20" s="674"/>
      <c r="R20" s="674"/>
      <c r="S20" s="1300"/>
      <c r="T20" s="1300"/>
      <c r="U20" s="674"/>
      <c r="V20" s="674"/>
      <c r="W20" s="674"/>
      <c r="X20" s="1300"/>
      <c r="Y20" s="1300"/>
      <c r="Z20" s="674"/>
      <c r="AA20" s="674"/>
      <c r="AB20" s="674"/>
      <c r="AC20" s="1300"/>
      <c r="AD20" s="1300"/>
      <c r="AE20" s="674"/>
      <c r="AF20" s="674"/>
      <c r="AG20" s="674"/>
      <c r="AH20" s="1300"/>
      <c r="AI20" s="1300"/>
      <c r="AJ20" s="674"/>
      <c r="AK20" s="674"/>
      <c r="AL20" s="674"/>
      <c r="AM20" s="1300"/>
      <c r="AN20" s="1300"/>
      <c r="AO20" s="674"/>
      <c r="AP20" s="674"/>
      <c r="AQ20" s="674"/>
      <c r="AR20" s="1300"/>
      <c r="AS20" s="1300"/>
      <c r="AT20" s="1389"/>
      <c r="AU20" s="1389"/>
      <c r="AV20" s="1389"/>
      <c r="AW20" s="1390"/>
      <c r="AX20" s="1390"/>
      <c r="AY20" s="674"/>
      <c r="AZ20" s="674"/>
      <c r="BA20" s="674"/>
      <c r="BB20" s="1300"/>
      <c r="BC20" s="1300"/>
      <c r="BD20" s="674"/>
      <c r="BE20" s="674"/>
      <c r="BF20" s="674"/>
      <c r="BG20" s="1300"/>
      <c r="BH20" s="1300"/>
      <c r="BM20" s="51"/>
      <c r="BN20" s="51"/>
      <c r="BO20" s="51"/>
      <c r="BP20" s="51"/>
      <c r="BQ20" s="51"/>
      <c r="BR20" s="51"/>
      <c r="BW20" s="27"/>
      <c r="BX20" s="27"/>
      <c r="BY20" s="27"/>
      <c r="BZ20" s="27"/>
      <c r="CA20" s="27"/>
      <c r="CB20" s="27"/>
    </row>
    <row r="21" spans="1:80" ht="19.5" hidden="1" thickTop="1" x14ac:dyDescent="0.25">
      <c r="A21" s="1395"/>
      <c r="B21" s="1395"/>
      <c r="C21" s="1395"/>
      <c r="D21" s="149"/>
      <c r="E21" s="149"/>
      <c r="F21" s="676"/>
      <c r="G21" s="676"/>
      <c r="H21" s="676"/>
      <c r="I21" s="36"/>
      <c r="J21" s="36"/>
      <c r="K21" s="676"/>
      <c r="L21" s="676"/>
      <c r="M21" s="676"/>
      <c r="N21" s="36"/>
      <c r="O21" s="36"/>
      <c r="P21" s="676"/>
      <c r="Q21" s="676"/>
      <c r="R21" s="676"/>
      <c r="S21" s="36"/>
      <c r="T21" s="36"/>
      <c r="U21" s="676"/>
      <c r="V21" s="676"/>
      <c r="W21" s="676"/>
      <c r="X21" s="36"/>
      <c r="Y21" s="36"/>
      <c r="Z21" s="676"/>
      <c r="AA21" s="676"/>
      <c r="AB21" s="676"/>
      <c r="AC21" s="36"/>
      <c r="AD21" s="36"/>
      <c r="AE21" s="676"/>
      <c r="AF21" s="676"/>
      <c r="AG21" s="676"/>
      <c r="AH21" s="36"/>
      <c r="AI21" s="36"/>
      <c r="AJ21" s="676"/>
      <c r="AK21" s="676"/>
      <c r="AL21" s="676"/>
      <c r="AM21" s="36"/>
      <c r="AN21" s="36"/>
      <c r="AO21" s="676"/>
      <c r="AP21" s="676"/>
      <c r="AQ21" s="676"/>
      <c r="AR21" s="36"/>
      <c r="AS21" s="36"/>
      <c r="AT21" s="1388"/>
      <c r="AU21" s="1388"/>
      <c r="AV21" s="1388"/>
      <c r="AW21" s="139"/>
      <c r="AX21" s="139"/>
      <c r="AY21" s="676"/>
      <c r="AZ21" s="676"/>
      <c r="BA21" s="676"/>
      <c r="BB21" s="36"/>
      <c r="BC21" s="36"/>
      <c r="BD21" s="676"/>
      <c r="BE21" s="676"/>
      <c r="BF21" s="676"/>
      <c r="BG21" s="36"/>
      <c r="BH21" s="36"/>
    </row>
    <row r="22" spans="1:80" ht="36.75" hidden="1" thickTop="1" x14ac:dyDescent="0.25">
      <c r="A22" s="1395"/>
      <c r="B22" s="1395"/>
      <c r="C22" s="1395"/>
      <c r="D22" s="150"/>
      <c r="E22" s="149"/>
      <c r="F22" s="676"/>
      <c r="G22" s="676"/>
      <c r="H22" s="676"/>
      <c r="I22" s="140"/>
      <c r="J22" s="36"/>
      <c r="K22" s="676"/>
      <c r="L22" s="676"/>
      <c r="M22" s="676"/>
      <c r="N22" s="140"/>
      <c r="O22" s="36"/>
      <c r="P22" s="676"/>
      <c r="Q22" s="676"/>
      <c r="R22" s="676"/>
      <c r="S22" s="140"/>
      <c r="T22" s="36"/>
      <c r="U22" s="676"/>
      <c r="V22" s="676"/>
      <c r="W22" s="676"/>
      <c r="X22" s="140"/>
      <c r="Y22" s="36"/>
      <c r="Z22" s="676"/>
      <c r="AA22" s="676"/>
      <c r="AB22" s="676"/>
      <c r="AC22" s="140"/>
      <c r="AD22" s="36"/>
      <c r="AE22" s="676"/>
      <c r="AF22" s="676"/>
      <c r="AG22" s="676"/>
      <c r="AH22" s="140"/>
      <c r="AI22" s="36"/>
      <c r="AJ22" s="676"/>
      <c r="AK22" s="676"/>
      <c r="AL22" s="676"/>
      <c r="AM22" s="140"/>
      <c r="AN22" s="36"/>
      <c r="AO22" s="676"/>
      <c r="AP22" s="676"/>
      <c r="AQ22" s="676"/>
      <c r="AR22" s="140"/>
      <c r="AS22" s="36"/>
      <c r="AT22" s="1388"/>
      <c r="AU22" s="1388"/>
      <c r="AV22" s="1388"/>
      <c r="AW22" s="141"/>
      <c r="AX22" s="139"/>
      <c r="AY22" s="676"/>
      <c r="AZ22" s="676"/>
      <c r="BA22" s="676"/>
      <c r="BB22" s="36"/>
      <c r="BC22" s="36"/>
      <c r="BD22" s="676"/>
      <c r="BE22" s="676"/>
      <c r="BF22" s="676"/>
      <c r="BG22" s="36"/>
      <c r="BH22" s="36"/>
    </row>
    <row r="23" spans="1:80" ht="19.5" hidden="1" thickTop="1" x14ac:dyDescent="0.25">
      <c r="A23" s="1395"/>
      <c r="B23" s="1395"/>
      <c r="C23" s="1395"/>
      <c r="D23" s="149"/>
      <c r="E23" s="149"/>
      <c r="F23" s="676"/>
      <c r="G23" s="676"/>
      <c r="H23" s="676"/>
      <c r="I23" s="36"/>
      <c r="J23" s="36"/>
      <c r="K23" s="676"/>
      <c r="L23" s="676"/>
      <c r="M23" s="676"/>
      <c r="N23" s="36"/>
      <c r="O23" s="36"/>
      <c r="P23" s="676"/>
      <c r="Q23" s="676"/>
      <c r="R23" s="676"/>
      <c r="S23" s="36"/>
      <c r="T23" s="36"/>
      <c r="U23" s="676"/>
      <c r="V23" s="676"/>
      <c r="W23" s="676"/>
      <c r="X23" s="36"/>
      <c r="Y23" s="36"/>
      <c r="Z23" s="676"/>
      <c r="AA23" s="676"/>
      <c r="AB23" s="676"/>
      <c r="AC23" s="36"/>
      <c r="AD23" s="36"/>
      <c r="AE23" s="676"/>
      <c r="AF23" s="676"/>
      <c r="AG23" s="676"/>
      <c r="AH23" s="36"/>
      <c r="AI23" s="36"/>
      <c r="AJ23" s="676"/>
      <c r="AK23" s="676"/>
      <c r="AL23" s="676"/>
      <c r="AM23" s="36"/>
      <c r="AN23" s="36"/>
      <c r="AO23" s="676"/>
      <c r="AP23" s="676"/>
      <c r="AQ23" s="676"/>
      <c r="AR23" s="36"/>
      <c r="AS23" s="36"/>
      <c r="AT23" s="1388"/>
      <c r="AU23" s="1388"/>
      <c r="AV23" s="1388"/>
      <c r="AW23" s="139"/>
      <c r="AX23" s="139"/>
      <c r="AY23" s="676"/>
      <c r="AZ23" s="676"/>
      <c r="BA23" s="676"/>
      <c r="BB23" s="36"/>
      <c r="BC23" s="36"/>
      <c r="BD23" s="676"/>
      <c r="BE23" s="676"/>
      <c r="BF23" s="676"/>
      <c r="BG23" s="36"/>
      <c r="BH23" s="36"/>
    </row>
    <row r="24" spans="1:80" ht="78" hidden="1" thickTop="1" x14ac:dyDescent="0.25">
      <c r="A24" s="1398"/>
      <c r="B24" s="1399"/>
      <c r="C24" s="1399"/>
      <c r="D24" s="1399"/>
      <c r="E24" s="1399"/>
      <c r="F24" s="1370"/>
      <c r="G24" s="1371"/>
      <c r="H24" s="1371"/>
      <c r="I24" s="1371"/>
      <c r="J24" s="1371"/>
      <c r="K24" s="1370"/>
      <c r="L24" s="1371"/>
      <c r="M24" s="1371"/>
      <c r="N24" s="1371"/>
      <c r="O24" s="1371"/>
      <c r="P24" s="1370"/>
      <c r="Q24" s="1371"/>
      <c r="R24" s="1371"/>
      <c r="S24" s="1371"/>
      <c r="T24" s="1371"/>
      <c r="U24" s="1370"/>
      <c r="V24" s="1371"/>
      <c r="W24" s="1371"/>
      <c r="X24" s="1371"/>
      <c r="Y24" s="1371"/>
      <c r="Z24" s="1370"/>
      <c r="AA24" s="1371"/>
      <c r="AB24" s="1371"/>
      <c r="AC24" s="1371"/>
      <c r="AD24" s="1371"/>
      <c r="AE24" s="1370"/>
      <c r="AF24" s="1371"/>
      <c r="AG24" s="1371"/>
      <c r="AH24" s="1371"/>
      <c r="AI24" s="1371"/>
      <c r="AJ24" s="1370"/>
      <c r="AK24" s="1371"/>
      <c r="AL24" s="1371"/>
      <c r="AM24" s="1371"/>
      <c r="AN24" s="1371"/>
      <c r="AO24" s="1370"/>
      <c r="AP24" s="1371"/>
      <c r="AQ24" s="1371"/>
      <c r="AR24" s="1371"/>
      <c r="AS24" s="1371"/>
      <c r="AT24" s="1439"/>
      <c r="AU24" s="1440"/>
      <c r="AV24" s="1440"/>
      <c r="AW24" s="1440"/>
      <c r="AX24" s="1440"/>
      <c r="AY24" s="677"/>
      <c r="AZ24" s="1332"/>
      <c r="BA24" s="1332"/>
      <c r="BB24" s="1332"/>
      <c r="BC24" s="1332"/>
      <c r="BD24" s="677"/>
      <c r="BE24" s="1332"/>
      <c r="BF24" s="1332"/>
      <c r="BG24" s="1332"/>
      <c r="BH24" s="1332"/>
      <c r="BM24" s="51"/>
      <c r="BN24" s="51"/>
      <c r="BO24" s="51"/>
      <c r="BP24" s="51"/>
      <c r="BQ24" s="51"/>
      <c r="BR24" s="51"/>
      <c r="BW24" s="27"/>
      <c r="BX24" s="27"/>
      <c r="BY24" s="27"/>
      <c r="BZ24" s="27"/>
      <c r="CA24" s="27"/>
      <c r="CB24" s="27"/>
    </row>
    <row r="25" spans="1:80" ht="27" hidden="1" thickTop="1" x14ac:dyDescent="0.25">
      <c r="A25" s="1398"/>
      <c r="B25" s="151"/>
      <c r="C25" s="152"/>
      <c r="D25" s="153"/>
      <c r="E25" s="154"/>
      <c r="F25" s="1370"/>
      <c r="G25" s="32"/>
      <c r="H25" s="33"/>
      <c r="I25" s="34"/>
      <c r="J25" s="35"/>
      <c r="K25" s="1370"/>
      <c r="L25" s="32"/>
      <c r="M25" s="33"/>
      <c r="N25" s="34"/>
      <c r="O25" s="35"/>
      <c r="P25" s="1370"/>
      <c r="Q25" s="32"/>
      <c r="R25" s="33"/>
      <c r="S25" s="34"/>
      <c r="T25" s="35"/>
      <c r="U25" s="1370"/>
      <c r="V25" s="32"/>
      <c r="W25" s="33"/>
      <c r="X25" s="34"/>
      <c r="Y25" s="35"/>
      <c r="Z25" s="1370"/>
      <c r="AA25" s="32"/>
      <c r="AB25" s="33"/>
      <c r="AC25" s="34"/>
      <c r="AD25" s="35"/>
      <c r="AE25" s="1370"/>
      <c r="AF25" s="32"/>
      <c r="AG25" s="33"/>
      <c r="AH25" s="34"/>
      <c r="AI25" s="35"/>
      <c r="AJ25" s="1370"/>
      <c r="AK25" s="32"/>
      <c r="AL25" s="33"/>
      <c r="AM25" s="34"/>
      <c r="AN25" s="35"/>
      <c r="AO25" s="1370"/>
      <c r="AP25" s="32"/>
      <c r="AQ25" s="33"/>
      <c r="AR25" s="34"/>
      <c r="AS25" s="35"/>
      <c r="AT25" s="1439"/>
      <c r="AU25" s="155"/>
      <c r="AV25" s="148"/>
      <c r="AW25" s="156"/>
      <c r="AX25" s="157"/>
      <c r="AY25" s="677"/>
      <c r="AZ25" s="137"/>
      <c r="BA25" s="33"/>
      <c r="BB25" s="138"/>
      <c r="BC25" s="35"/>
      <c r="BD25" s="677"/>
      <c r="BE25" s="137"/>
      <c r="BF25" s="33"/>
      <c r="BG25" s="138"/>
      <c r="BH25" s="35"/>
      <c r="BM25" s="51"/>
      <c r="BN25" s="51"/>
      <c r="BO25" s="51"/>
      <c r="BP25" s="51"/>
      <c r="BQ25" s="51"/>
      <c r="BR25" s="51"/>
      <c r="BW25" s="27"/>
      <c r="BX25" s="27"/>
      <c r="BY25" s="27"/>
      <c r="BZ25" s="27"/>
      <c r="CA25" s="27"/>
      <c r="CB25" s="27"/>
    </row>
    <row r="26" spans="1:80" ht="27" hidden="1" thickTop="1" x14ac:dyDescent="0.25">
      <c r="A26" s="1396"/>
      <c r="B26" s="1396"/>
      <c r="C26" s="1396"/>
      <c r="D26" s="1397"/>
      <c r="E26" s="1397"/>
      <c r="F26" s="674"/>
      <c r="G26" s="674"/>
      <c r="H26" s="674"/>
      <c r="I26" s="1300"/>
      <c r="J26" s="1300"/>
      <c r="K26" s="674"/>
      <c r="L26" s="674"/>
      <c r="M26" s="674"/>
      <c r="N26" s="1300"/>
      <c r="O26" s="1300"/>
      <c r="P26" s="674"/>
      <c r="Q26" s="674"/>
      <c r="R26" s="674"/>
      <c r="S26" s="1300"/>
      <c r="T26" s="1300"/>
      <c r="U26" s="674"/>
      <c r="V26" s="674"/>
      <c r="W26" s="674"/>
      <c r="X26" s="1300"/>
      <c r="Y26" s="1300"/>
      <c r="Z26" s="674"/>
      <c r="AA26" s="674"/>
      <c r="AB26" s="674"/>
      <c r="AC26" s="1300"/>
      <c r="AD26" s="1300"/>
      <c r="AE26" s="674"/>
      <c r="AF26" s="674"/>
      <c r="AG26" s="674"/>
      <c r="AH26" s="1300"/>
      <c r="AI26" s="1300"/>
      <c r="AJ26" s="44"/>
      <c r="AK26" s="44"/>
      <c r="AP26" s="44"/>
      <c r="AQ26" s="44"/>
      <c r="AT26" s="1389"/>
      <c r="AU26" s="1389"/>
      <c r="AV26" s="1389"/>
      <c r="AW26" s="1390"/>
      <c r="AX26" s="1390"/>
      <c r="AY26" s="674"/>
      <c r="AZ26" s="674"/>
      <c r="BA26" s="674"/>
      <c r="BB26" s="1300"/>
      <c r="BC26" s="1300"/>
      <c r="BD26" s="674"/>
      <c r="BE26" s="674"/>
      <c r="BF26" s="674"/>
      <c r="BG26" s="1300"/>
      <c r="BH26" s="1300"/>
      <c r="BM26" s="51"/>
      <c r="BN26" s="51"/>
      <c r="BO26" s="51"/>
      <c r="BP26" s="51"/>
      <c r="BQ26" s="51"/>
      <c r="BR26" s="51"/>
      <c r="BW26" s="27"/>
      <c r="BX26" s="27"/>
      <c r="BY26" s="27"/>
      <c r="BZ26" s="27"/>
      <c r="CA26" s="27"/>
      <c r="CB26" s="27"/>
    </row>
    <row r="27" spans="1:80" ht="21.75" hidden="1" thickTop="1" x14ac:dyDescent="0.25">
      <c r="A27" s="1395"/>
      <c r="B27" s="1395"/>
      <c r="C27" s="1395"/>
      <c r="D27" s="149"/>
      <c r="E27" s="149"/>
      <c r="F27" s="676"/>
      <c r="G27" s="676"/>
      <c r="H27" s="676"/>
      <c r="I27" s="36"/>
      <c r="J27" s="36"/>
      <c r="K27" s="676"/>
      <c r="L27" s="676"/>
      <c r="M27" s="676"/>
      <c r="N27" s="36"/>
      <c r="O27" s="36"/>
      <c r="P27" s="676"/>
      <c r="Q27" s="676"/>
      <c r="R27" s="676"/>
      <c r="S27" s="36"/>
      <c r="T27" s="36"/>
      <c r="U27" s="676"/>
      <c r="V27" s="676"/>
      <c r="W27" s="676"/>
      <c r="X27" s="36"/>
      <c r="Y27" s="36"/>
      <c r="Z27" s="676"/>
      <c r="AA27" s="676"/>
      <c r="AB27" s="676"/>
      <c r="AC27" s="36"/>
      <c r="AD27" s="36"/>
      <c r="AE27" s="676"/>
      <c r="AF27" s="676"/>
      <c r="AG27" s="676"/>
      <c r="AH27" s="36"/>
      <c r="AI27" s="36"/>
      <c r="AJ27" s="47"/>
      <c r="AK27" s="47"/>
      <c r="AP27" s="47"/>
      <c r="AQ27" s="47"/>
      <c r="AT27" s="1388"/>
      <c r="AU27" s="1388"/>
      <c r="AV27" s="1388"/>
      <c r="AW27" s="139"/>
      <c r="AX27" s="139"/>
      <c r="AY27" s="676"/>
      <c r="AZ27" s="676"/>
      <c r="BA27" s="676"/>
      <c r="BB27" s="36"/>
      <c r="BC27" s="36"/>
      <c r="BD27" s="676"/>
      <c r="BE27" s="676"/>
      <c r="BF27" s="676"/>
      <c r="BG27" s="36"/>
      <c r="BH27" s="36"/>
    </row>
    <row r="28" spans="1:80" ht="36.75" hidden="1" thickTop="1" x14ac:dyDescent="0.25">
      <c r="A28" s="1395"/>
      <c r="B28" s="1395"/>
      <c r="C28" s="1395"/>
      <c r="D28" s="150"/>
      <c r="E28" s="149"/>
      <c r="F28" s="676"/>
      <c r="G28" s="676"/>
      <c r="H28" s="676"/>
      <c r="I28" s="140"/>
      <c r="J28" s="36"/>
      <c r="K28" s="676"/>
      <c r="L28" s="676"/>
      <c r="M28" s="676"/>
      <c r="N28" s="140"/>
      <c r="O28" s="36"/>
      <c r="P28" s="676"/>
      <c r="Q28" s="676"/>
      <c r="R28" s="676"/>
      <c r="S28" s="140"/>
      <c r="T28" s="36"/>
      <c r="U28" s="676"/>
      <c r="V28" s="676"/>
      <c r="W28" s="676"/>
      <c r="X28" s="140"/>
      <c r="Y28" s="36"/>
      <c r="Z28" s="676"/>
      <c r="AA28" s="676"/>
      <c r="AB28" s="676"/>
      <c r="AC28" s="140"/>
      <c r="AD28" s="36"/>
      <c r="AE28" s="676"/>
      <c r="AF28" s="676"/>
      <c r="AG28" s="676"/>
      <c r="AH28" s="36"/>
      <c r="AI28" s="36"/>
      <c r="AJ28" s="47"/>
      <c r="AK28" s="47"/>
      <c r="AP28" s="47"/>
      <c r="AQ28" s="47"/>
      <c r="AT28" s="1388"/>
      <c r="AU28" s="1388"/>
      <c r="AV28" s="1388"/>
      <c r="AW28" s="139"/>
      <c r="AX28" s="139"/>
      <c r="AY28" s="676"/>
      <c r="AZ28" s="676"/>
      <c r="BA28" s="676"/>
      <c r="BB28" s="36"/>
      <c r="BC28" s="36"/>
      <c r="BD28" s="676"/>
      <c r="BE28" s="676"/>
      <c r="BF28" s="676"/>
      <c r="BG28" s="36"/>
      <c r="BH28" s="36"/>
    </row>
    <row r="29" spans="1:80" ht="21.75" hidden="1" thickTop="1" x14ac:dyDescent="0.25">
      <c r="A29" s="1395"/>
      <c r="B29" s="1395"/>
      <c r="C29" s="1395"/>
      <c r="D29" s="149"/>
      <c r="E29" s="149"/>
      <c r="F29" s="676"/>
      <c r="G29" s="676"/>
      <c r="H29" s="676"/>
      <c r="I29" s="36"/>
      <c r="J29" s="36"/>
      <c r="K29" s="676"/>
      <c r="L29" s="676"/>
      <c r="M29" s="676"/>
      <c r="N29" s="36"/>
      <c r="O29" s="36"/>
      <c r="P29" s="676"/>
      <c r="Q29" s="676"/>
      <c r="R29" s="676"/>
      <c r="S29" s="36"/>
      <c r="T29" s="36"/>
      <c r="U29" s="676"/>
      <c r="V29" s="676"/>
      <c r="W29" s="676"/>
      <c r="X29" s="36"/>
      <c r="Y29" s="36"/>
      <c r="Z29" s="676"/>
      <c r="AA29" s="676"/>
      <c r="AB29" s="676"/>
      <c r="AC29" s="36"/>
      <c r="AD29" s="36"/>
      <c r="AE29" s="676"/>
      <c r="AF29" s="676"/>
      <c r="AG29" s="676"/>
      <c r="AH29" s="36"/>
      <c r="AI29" s="36"/>
      <c r="AJ29" s="47"/>
      <c r="AK29" s="47"/>
      <c r="AP29" s="47"/>
      <c r="AQ29" s="47"/>
      <c r="AR29" s="36"/>
      <c r="AS29" s="36"/>
      <c r="AT29" s="1388"/>
      <c r="AU29" s="1388"/>
      <c r="AV29" s="1388"/>
      <c r="AW29" s="139"/>
      <c r="AX29" s="139"/>
      <c r="AY29" s="676"/>
      <c r="AZ29" s="676"/>
      <c r="BA29" s="676"/>
      <c r="BB29" s="36"/>
      <c r="BC29" s="36"/>
      <c r="BD29" s="676"/>
      <c r="BE29" s="676"/>
      <c r="BF29" s="676"/>
      <c r="BG29" s="36"/>
      <c r="BH29" s="36"/>
    </row>
    <row r="30" spans="1:80" ht="78" hidden="1" thickTop="1" x14ac:dyDescent="0.25">
      <c r="A30" s="1400"/>
      <c r="B30" s="1401"/>
      <c r="C30" s="1401"/>
      <c r="D30" s="1401"/>
      <c r="E30" s="1401"/>
      <c r="F30" s="1370"/>
      <c r="G30" s="1371"/>
      <c r="H30" s="1371"/>
      <c r="I30" s="1371"/>
      <c r="J30" s="1371"/>
      <c r="K30" s="1370"/>
      <c r="L30" s="1371"/>
      <c r="M30" s="1371"/>
      <c r="N30" s="1371"/>
      <c r="O30" s="1371"/>
      <c r="P30" s="1370"/>
      <c r="Q30" s="1371"/>
      <c r="R30" s="1371"/>
      <c r="S30" s="1371"/>
      <c r="T30" s="1371"/>
      <c r="U30" s="1370"/>
      <c r="V30" s="1371"/>
      <c r="W30" s="1371"/>
      <c r="X30" s="1371"/>
      <c r="Y30" s="1371"/>
      <c r="Z30" s="1370"/>
      <c r="AA30" s="1371"/>
      <c r="AB30" s="1371"/>
      <c r="AC30" s="1371"/>
      <c r="AD30" s="1371"/>
      <c r="AE30" s="677"/>
      <c r="AF30" s="1332"/>
      <c r="AG30" s="1332"/>
      <c r="AH30" s="1332"/>
      <c r="AI30" s="1332"/>
      <c r="AJ30" s="70"/>
      <c r="AR30" s="132"/>
      <c r="AS30" s="132"/>
      <c r="AT30" s="677"/>
      <c r="AU30" s="1332"/>
      <c r="AV30" s="1332"/>
      <c r="AW30" s="1332"/>
      <c r="AX30" s="1332"/>
      <c r="AY30" s="677"/>
      <c r="AZ30" s="1332"/>
      <c r="BA30" s="1332"/>
      <c r="BB30" s="1332"/>
      <c r="BC30" s="1332"/>
      <c r="BD30" s="677" t="s">
        <v>254</v>
      </c>
      <c r="BE30" s="1332"/>
      <c r="BF30" s="1332"/>
      <c r="BG30" s="1332"/>
      <c r="BH30" s="1332"/>
      <c r="BM30" s="51"/>
      <c r="BN30" s="51"/>
      <c r="BO30" s="51"/>
      <c r="BP30" s="51"/>
      <c r="BQ30" s="51"/>
      <c r="BR30" s="51"/>
      <c r="BW30" s="27"/>
      <c r="BX30" s="27"/>
      <c r="BY30" s="27"/>
      <c r="BZ30" s="27"/>
      <c r="CA30" s="27"/>
      <c r="CB30" s="27"/>
    </row>
    <row r="31" spans="1:80" ht="138.75" customHeight="1" thickTop="1" x14ac:dyDescent="0.25">
      <c r="A31" s="1400"/>
      <c r="B31" s="158"/>
      <c r="C31" s="159"/>
      <c r="D31" s="160"/>
      <c r="E31" s="161"/>
      <c r="F31" s="1370"/>
      <c r="G31" s="32"/>
      <c r="H31" s="33"/>
      <c r="I31" s="34"/>
      <c r="J31" s="35"/>
      <c r="K31" s="1370"/>
      <c r="L31" s="32"/>
      <c r="M31" s="33"/>
      <c r="N31" s="34"/>
      <c r="O31" s="35"/>
      <c r="P31" s="1370"/>
      <c r="Q31" s="32"/>
      <c r="R31" s="33"/>
      <c r="S31" s="34"/>
      <c r="T31" s="35"/>
      <c r="U31" s="1370"/>
      <c r="V31" s="32"/>
      <c r="W31" s="33"/>
      <c r="X31" s="34"/>
      <c r="Y31" s="35"/>
      <c r="Z31" s="1370"/>
      <c r="AA31" s="32"/>
      <c r="AB31" s="33"/>
      <c r="AC31" s="34"/>
      <c r="AD31" s="35"/>
      <c r="AE31" s="677"/>
      <c r="AF31" s="137"/>
      <c r="AG31" s="33"/>
      <c r="AH31" s="138"/>
      <c r="AI31" s="35"/>
      <c r="AJ31" s="70"/>
      <c r="AK31" s="137"/>
      <c r="AL31" s="33"/>
      <c r="AM31" s="138"/>
      <c r="AN31" s="35"/>
      <c r="AO31" s="70"/>
      <c r="AP31" s="137"/>
      <c r="AQ31" s="33"/>
      <c r="AR31" s="138"/>
      <c r="AS31" s="35"/>
      <c r="AT31" s="677"/>
      <c r="AU31" s="137"/>
      <c r="AV31" s="33"/>
      <c r="AW31" s="138"/>
      <c r="AX31" s="35"/>
      <c r="AY31" s="677"/>
      <c r="AZ31" s="137" t="s">
        <v>16</v>
      </c>
      <c r="BA31" s="33"/>
      <c r="BB31" s="138"/>
      <c r="BC31" s="35"/>
      <c r="BD31" s="677"/>
      <c r="BE31" s="137" t="s">
        <v>15</v>
      </c>
      <c r="BF31" s="33"/>
      <c r="BG31" s="138"/>
      <c r="BH31" s="35"/>
      <c r="BM31" s="51"/>
      <c r="BN31" s="51"/>
      <c r="BO31" s="51"/>
      <c r="BP31" s="51"/>
      <c r="BQ31" s="51"/>
      <c r="BR31" s="51"/>
      <c r="BW31" s="27"/>
      <c r="BX31" s="27"/>
      <c r="BY31" s="27"/>
      <c r="BZ31" s="27"/>
      <c r="CA31" s="27"/>
      <c r="CB31" s="27"/>
    </row>
    <row r="32" spans="1:80" ht="61.5" customHeight="1" x14ac:dyDescent="0.25">
      <c r="A32" s="31"/>
      <c r="B32" s="162"/>
      <c r="C32" s="162"/>
      <c r="D32" s="162"/>
      <c r="F32" s="163"/>
      <c r="G32" s="163"/>
      <c r="H32" s="1413" cm="1">
        <f t="array" aca="1" ref="H32" ca="1">SUM(COUNTIF(INDIRECT({"B6","G6","L6","Q6","V6","AA6","AF6","AK6","AP6","AU6","B12","G12","L12","Q12","V12","AA12","AF12","AK12","AP12","AU12","B18","G18","L18","Q18","V18","AA18"}),"&gt;0"))</f>
        <v>15</v>
      </c>
      <c r="I32" s="1413"/>
      <c r="J32" s="1413"/>
      <c r="K32" s="164"/>
      <c r="L32" s="160"/>
      <c r="M32" s="160"/>
      <c r="N32" s="160"/>
      <c r="O32" s="160"/>
      <c r="P32" s="160"/>
      <c r="Q32" s="1414" t="s">
        <v>255</v>
      </c>
      <c r="R32" s="1414"/>
      <c r="S32" s="1414"/>
      <c r="T32" s="1414"/>
      <c r="U32" s="1414"/>
      <c r="V32" s="1414"/>
      <c r="W32" s="165"/>
      <c r="X32" s="1409" t="s">
        <v>256</v>
      </c>
      <c r="Y32" s="1409"/>
      <c r="Z32" s="1409"/>
      <c r="AA32" s="1409"/>
      <c r="AB32" s="1409"/>
      <c r="AC32" s="1415">
        <f>B7+G7+L7+Q7+V7+AA7+AF7+AK7+AP7+AU7+AU13+AP13+AK13+AF13+AA13+V13+Q13+L13+G13+B13+B19</f>
        <v>6.3996000000003006</v>
      </c>
      <c r="AD32" s="1415"/>
      <c r="AE32" s="1415"/>
      <c r="AF32" s="1415"/>
      <c r="AG32" s="1415"/>
      <c r="AH32" s="1415"/>
      <c r="AI32" s="166"/>
      <c r="AJ32" s="1416" t="s">
        <v>119</v>
      </c>
      <c r="AK32" s="1416"/>
      <c r="AL32" s="1416"/>
      <c r="AM32" s="1416"/>
      <c r="AN32" s="1416"/>
      <c r="AO32" s="1417">
        <f>D7+I7+N7+S7+X7+AC7+AH7+AM7+AR7+AW7+AW13+AR13+AM13+AH13+AC13+X13+S13+N13+I13+D13+D19</f>
        <v>3</v>
      </c>
      <c r="AP32" s="1417"/>
      <c r="AQ32" s="1417"/>
      <c r="AR32" s="1417"/>
      <c r="AS32" s="1417"/>
      <c r="AT32" s="1402" t="s">
        <v>120</v>
      </c>
      <c r="AU32" s="1402"/>
      <c r="AV32" s="1402"/>
      <c r="AW32" s="1402"/>
      <c r="AX32" s="127"/>
      <c r="AY32" s="72"/>
      <c r="AZ32" s="72"/>
      <c r="BA32" s="72"/>
      <c r="BB32" s="72"/>
      <c r="BC32" s="72"/>
      <c r="BD32" s="72"/>
      <c r="BE32" t="s">
        <v>16</v>
      </c>
      <c r="BF32" s="167"/>
      <c r="BG32" s="167"/>
      <c r="BH32" s="167"/>
      <c r="BM32" s="51"/>
      <c r="BN32" s="51"/>
      <c r="BO32" s="51"/>
      <c r="BP32" s="51"/>
      <c r="BQ32" s="51"/>
      <c r="BR32" s="51"/>
      <c r="BW32" s="27"/>
      <c r="BX32" s="27"/>
      <c r="BY32" s="27"/>
      <c r="BZ32" s="27"/>
      <c r="CA32" s="27"/>
      <c r="CB32" s="27"/>
    </row>
    <row r="33" spans="1:80" ht="30" customHeight="1" x14ac:dyDescent="0.25">
      <c r="B33" s="162"/>
      <c r="C33" s="162"/>
      <c r="D33" s="162"/>
      <c r="E33" s="163"/>
      <c r="F33" s="163"/>
      <c r="G33" s="163"/>
      <c r="H33" s="1413"/>
      <c r="I33" s="1413"/>
      <c r="J33" s="1413"/>
      <c r="K33" s="168"/>
      <c r="L33" s="160"/>
      <c r="M33" s="160"/>
      <c r="N33" s="160"/>
      <c r="O33" s="160"/>
      <c r="P33" s="160"/>
      <c r="Q33" s="1414"/>
      <c r="R33" s="1414"/>
      <c r="S33" s="1414"/>
      <c r="T33" s="1414"/>
      <c r="U33" s="1414"/>
      <c r="V33" s="1414"/>
      <c r="W33" s="169"/>
      <c r="X33" s="1409"/>
      <c r="Y33" s="1409"/>
      <c r="Z33" s="1409"/>
      <c r="AA33" s="1409"/>
      <c r="AB33" s="1409"/>
      <c r="AC33" s="1415"/>
      <c r="AD33" s="1415"/>
      <c r="AE33" s="1415"/>
      <c r="AF33" s="1415"/>
      <c r="AG33" s="1415"/>
      <c r="AH33" s="1415"/>
      <c r="AI33" s="166"/>
      <c r="AJ33" s="1416"/>
      <c r="AK33" s="1416"/>
      <c r="AL33" s="1416"/>
      <c r="AM33" s="1416"/>
      <c r="AN33" s="1416"/>
      <c r="AO33" s="1417"/>
      <c r="AP33" s="1417"/>
      <c r="AQ33" s="1417"/>
      <c r="AR33" s="1417"/>
      <c r="AS33" s="1417"/>
      <c r="AT33" s="1402"/>
      <c r="AU33" s="1402"/>
      <c r="AV33" s="1402"/>
      <c r="AW33" s="1402"/>
      <c r="BI33" s="50"/>
      <c r="BJ33" s="50"/>
      <c r="BM33" s="51"/>
      <c r="BN33" s="51"/>
      <c r="BO33" s="51"/>
      <c r="BP33" s="51"/>
      <c r="BQ33" s="51"/>
      <c r="BR33" s="51"/>
      <c r="BS33" s="27"/>
      <c r="BT33" s="27"/>
      <c r="BU33" s="27"/>
      <c r="BW33" s="27"/>
      <c r="BX33" s="27"/>
      <c r="BY33" s="27"/>
      <c r="BZ33" s="27"/>
      <c r="CA33" s="27"/>
      <c r="CB33" s="27"/>
    </row>
    <row r="34" spans="1:80" ht="15" customHeight="1" x14ac:dyDescent="0.25">
      <c r="B34" s="162"/>
      <c r="C34" s="162"/>
      <c r="D34" s="162"/>
      <c r="E34" s="163"/>
      <c r="F34" s="163"/>
      <c r="G34" s="163"/>
      <c r="H34" s="168"/>
      <c r="I34" s="168"/>
      <c r="J34" s="168"/>
      <c r="K34" s="168"/>
      <c r="L34" s="160"/>
      <c r="M34" s="160"/>
      <c r="N34" s="160"/>
      <c r="O34" s="160"/>
      <c r="P34" s="160"/>
      <c r="Q34" s="1414"/>
      <c r="R34" s="1414"/>
      <c r="S34" s="1414"/>
      <c r="T34" s="1414"/>
      <c r="U34" s="1414"/>
      <c r="V34" s="1414"/>
      <c r="W34" s="169"/>
      <c r="X34" s="1409"/>
      <c r="Y34" s="1409"/>
      <c r="Z34" s="1409"/>
      <c r="AA34" s="1409"/>
      <c r="AB34" s="1409"/>
      <c r="AC34" s="1415"/>
      <c r="AD34" s="1415"/>
      <c r="AE34" s="1415"/>
      <c r="AF34" s="1415"/>
      <c r="AG34" s="1415"/>
      <c r="AH34" s="1415"/>
      <c r="AI34" s="166"/>
      <c r="AJ34" s="1416"/>
      <c r="AK34" s="1416"/>
      <c r="AL34" s="1416"/>
      <c r="AM34" s="1416"/>
      <c r="AN34" s="1416"/>
      <c r="AO34" s="1403">
        <f>AO32*1.5</f>
        <v>4.5</v>
      </c>
      <c r="AP34" s="1403"/>
      <c r="AQ34" s="1403"/>
      <c r="AR34" s="1403"/>
      <c r="AS34" s="1403"/>
      <c r="AT34" s="1403"/>
      <c r="AU34" s="1403"/>
      <c r="AV34" s="1404" t="s">
        <v>121</v>
      </c>
      <c r="AW34" s="1404"/>
      <c r="BI34" s="50"/>
      <c r="BJ34" s="50"/>
      <c r="BM34" s="27"/>
      <c r="BN34" s="27"/>
      <c r="BO34" s="27"/>
      <c r="BP34" s="27"/>
      <c r="BQ34" s="27"/>
      <c r="BR34" s="27"/>
      <c r="BS34" s="27"/>
      <c r="BT34" s="27"/>
      <c r="BU34" s="27"/>
      <c r="BW34" s="27"/>
      <c r="BX34" s="27"/>
      <c r="BY34" s="27"/>
      <c r="BZ34" s="27"/>
      <c r="CA34" s="27"/>
      <c r="CB34" s="27"/>
    </row>
    <row r="35" spans="1:80" ht="54.75" customHeight="1" x14ac:dyDescent="0.25">
      <c r="B35" s="162"/>
      <c r="C35" s="162"/>
      <c r="D35" s="162"/>
      <c r="E35" s="163"/>
      <c r="F35" s="163"/>
      <c r="G35" s="163"/>
      <c r="H35" s="1405" cm="1">
        <f t="array" aca="1" ref="H35" ca="1">SUM(COUNTIF(INDIRECT({"B7","G7","L7","Q7","V7","AA7","AF7","AK7","AP7","AU7","B13","G13","L13","Q13","V13","AA13","AF13","AK13","AP13","AU13","B19","G19","L19","Q19","V19","AA19"}),"&gt;0"))</f>
        <v>8</v>
      </c>
      <c r="I35" s="1405"/>
      <c r="J35" s="1405"/>
      <c r="K35" s="168"/>
      <c r="L35" s="160"/>
      <c r="M35" s="160"/>
      <c r="N35" s="160"/>
      <c r="O35" s="160"/>
      <c r="P35" s="160"/>
      <c r="Q35" s="2295"/>
      <c r="R35" s="2296"/>
      <c r="S35" s="2296"/>
      <c r="T35" s="2296"/>
      <c r="U35" s="2296"/>
      <c r="V35" s="2296"/>
      <c r="W35" s="169"/>
      <c r="X35" s="1409"/>
      <c r="Y35" s="1409"/>
      <c r="Z35" s="1409"/>
      <c r="AA35" s="1409"/>
      <c r="AB35" s="1409"/>
      <c r="AC35" s="1415"/>
      <c r="AD35" s="1415"/>
      <c r="AE35" s="1415"/>
      <c r="AF35" s="1415"/>
      <c r="AG35" s="1415"/>
      <c r="AH35" s="1415"/>
      <c r="AI35" s="166"/>
      <c r="AJ35" s="1416"/>
      <c r="AK35" s="1416"/>
      <c r="AL35" s="1416"/>
      <c r="AM35" s="1416"/>
      <c r="AN35" s="1416"/>
      <c r="AO35" s="1403"/>
      <c r="AP35" s="1403"/>
      <c r="AQ35" s="1403"/>
      <c r="AR35" s="1403"/>
      <c r="AS35" s="1403"/>
      <c r="AT35" s="1403"/>
      <c r="AU35" s="1403"/>
      <c r="AV35" s="1404"/>
      <c r="AW35" s="1404"/>
      <c r="BI35" s="50"/>
      <c r="BJ35" s="50"/>
      <c r="BM35" s="27"/>
      <c r="BN35" s="27"/>
      <c r="BO35" s="27"/>
      <c r="BP35" s="27"/>
      <c r="BQ35" s="27"/>
      <c r="BR35" s="27"/>
      <c r="BS35" s="27"/>
      <c r="BT35" s="27"/>
      <c r="BU35" s="27"/>
      <c r="BW35" s="27"/>
      <c r="BX35" s="27"/>
      <c r="BY35" s="27"/>
      <c r="BZ35" s="27"/>
      <c r="CA35" s="27"/>
      <c r="CB35" s="27"/>
    </row>
    <row r="36" spans="1:80" ht="65.25" customHeight="1" x14ac:dyDescent="0.25">
      <c r="B36" s="162"/>
      <c r="C36" s="162"/>
      <c r="D36" s="162"/>
      <c r="E36" s="162"/>
      <c r="F36" s="162"/>
      <c r="G36" s="164"/>
      <c r="H36" s="1408"/>
      <c r="I36" s="1408"/>
      <c r="J36" s="1408"/>
      <c r="K36" s="168"/>
      <c r="L36" s="160"/>
      <c r="M36" s="160"/>
      <c r="N36" s="160"/>
      <c r="O36" s="160"/>
      <c r="P36" s="160"/>
      <c r="Q36" s="2296"/>
      <c r="R36" s="2296"/>
      <c r="S36" s="2296"/>
      <c r="T36" s="2296"/>
      <c r="U36" s="2296"/>
      <c r="V36" s="2296"/>
      <c r="W36" s="169"/>
      <c r="X36" s="1409"/>
      <c r="Y36" s="1409"/>
      <c r="Z36" s="1409"/>
      <c r="AA36" s="1409"/>
      <c r="AB36" s="1409"/>
      <c r="AC36" s="1415"/>
      <c r="AD36" s="1415"/>
      <c r="AE36" s="1415"/>
      <c r="AF36" s="1415"/>
      <c r="AG36" s="1415"/>
      <c r="AH36" s="1415"/>
      <c r="AI36" s="166"/>
      <c r="AJ36" s="1416"/>
      <c r="AK36" s="1416"/>
      <c r="AL36" s="1416"/>
      <c r="AM36" s="1416"/>
      <c r="AN36" s="1416"/>
      <c r="AO36" s="1403"/>
      <c r="AP36" s="1403"/>
      <c r="AQ36" s="1403"/>
      <c r="AR36" s="1403"/>
      <c r="AS36" s="1403"/>
      <c r="AT36" s="1403"/>
      <c r="AU36" s="1403"/>
      <c r="AV36" s="1404"/>
      <c r="AW36" s="1404"/>
      <c r="BI36" s="50"/>
      <c r="BJ36" s="50"/>
      <c r="BM36" s="27"/>
      <c r="BN36" s="27"/>
      <c r="BO36" s="27"/>
      <c r="BP36" s="27"/>
      <c r="BQ36" s="27"/>
      <c r="BR36" s="27"/>
      <c r="BS36" s="27"/>
      <c r="BT36" s="27"/>
      <c r="BU36" s="27"/>
      <c r="BW36" s="27"/>
      <c r="BX36" s="27"/>
      <c r="BY36" s="27"/>
      <c r="BZ36" s="27"/>
      <c r="CA36" s="27"/>
      <c r="CB36" s="27"/>
    </row>
    <row r="37" spans="1:80" ht="15" customHeight="1" x14ac:dyDescent="0.25">
      <c r="B37" s="162"/>
      <c r="C37" s="162"/>
      <c r="D37" s="162"/>
      <c r="E37" s="162"/>
      <c r="F37" s="162"/>
      <c r="G37" s="164"/>
      <c r="H37" s="1408"/>
      <c r="I37" s="1408"/>
      <c r="J37" s="1408"/>
      <c r="K37" s="164"/>
      <c r="L37" s="165"/>
      <c r="M37" s="165"/>
      <c r="N37" s="165"/>
      <c r="O37" s="165"/>
      <c r="P37" s="165"/>
      <c r="Q37" s="2296"/>
      <c r="R37" s="2296"/>
      <c r="S37" s="2296"/>
      <c r="T37" s="2296"/>
      <c r="U37" s="2296"/>
      <c r="V37" s="2296"/>
      <c r="W37" s="165"/>
      <c r="X37" s="1409" t="s">
        <v>257</v>
      </c>
      <c r="Y37" s="1409"/>
      <c r="Z37" s="1409"/>
      <c r="AA37" s="1409"/>
      <c r="AB37" s="1409"/>
      <c r="AC37" s="1410">
        <f>AC32-AD45</f>
        <v>0</v>
      </c>
      <c r="AD37" s="1410"/>
      <c r="AE37" s="1410"/>
      <c r="AF37" s="1410"/>
      <c r="AG37" s="1410"/>
      <c r="AH37" s="1410"/>
      <c r="AI37" s="166"/>
      <c r="AJ37" s="1416"/>
      <c r="AK37" s="1416"/>
      <c r="AL37" s="1416"/>
      <c r="AM37" s="1416"/>
      <c r="AN37" s="1416"/>
      <c r="AO37" s="1403"/>
      <c r="AP37" s="1403"/>
      <c r="AQ37" s="1403"/>
      <c r="AR37" s="1403"/>
      <c r="AS37" s="1403"/>
      <c r="AT37" s="1403"/>
      <c r="AU37" s="1403"/>
      <c r="AV37" s="1404"/>
      <c r="AW37" s="1404"/>
      <c r="BI37" s="53"/>
      <c r="BJ37" s="53"/>
    </row>
    <row r="38" spans="1:80" ht="28.5" customHeight="1" x14ac:dyDescent="0.25">
      <c r="B38" s="162"/>
      <c r="C38" s="162"/>
      <c r="D38" s="162"/>
      <c r="E38" s="162"/>
      <c r="F38" s="162"/>
      <c r="G38" s="164"/>
      <c r="H38" s="1411"/>
      <c r="I38" s="1411"/>
      <c r="J38" s="1411"/>
      <c r="K38" s="168"/>
      <c r="L38" s="165"/>
      <c r="M38" s="165"/>
      <c r="N38" s="165"/>
      <c r="O38" s="165"/>
      <c r="P38" s="165"/>
      <c r="Q38" s="2296"/>
      <c r="R38" s="2296"/>
      <c r="S38" s="2296"/>
      <c r="T38" s="2296"/>
      <c r="U38" s="2296"/>
      <c r="V38" s="2296"/>
      <c r="W38" s="165"/>
      <c r="X38" s="1409"/>
      <c r="Y38" s="1409"/>
      <c r="Z38" s="1409"/>
      <c r="AA38" s="1409"/>
      <c r="AB38" s="1409"/>
      <c r="AC38" s="1410"/>
      <c r="AD38" s="1410"/>
      <c r="AE38" s="1410"/>
      <c r="AF38" s="1410"/>
      <c r="AG38" s="1410"/>
      <c r="AH38" s="1410"/>
      <c r="AI38" s="166"/>
      <c r="AJ38" s="1416"/>
      <c r="AK38" s="1416"/>
      <c r="AL38" s="1416"/>
      <c r="AM38" s="1416"/>
      <c r="AN38" s="1416"/>
      <c r="AO38" s="1403"/>
      <c r="AP38" s="1403"/>
      <c r="AQ38" s="1403"/>
      <c r="AR38" s="1403"/>
      <c r="AS38" s="1403"/>
      <c r="AT38" s="1403"/>
      <c r="AU38" s="1403"/>
      <c r="AV38" s="1404"/>
      <c r="AW38" s="1404"/>
      <c r="BI38" s="53"/>
      <c r="BJ38" s="53"/>
    </row>
    <row r="39" spans="1:80" ht="15" customHeight="1" x14ac:dyDescent="0.25">
      <c r="B39" s="162"/>
      <c r="C39" s="162"/>
      <c r="D39" s="162"/>
      <c r="E39" s="162"/>
      <c r="F39" s="162"/>
      <c r="G39" s="164"/>
      <c r="H39" s="1411"/>
      <c r="I39" s="1411"/>
      <c r="J39" s="1411"/>
      <c r="K39" s="168"/>
      <c r="L39" s="165"/>
      <c r="M39" s="165"/>
      <c r="N39" s="165"/>
      <c r="O39" s="165"/>
      <c r="P39" s="165"/>
      <c r="Q39" s="2296"/>
      <c r="R39" s="2296"/>
      <c r="S39" s="2296"/>
      <c r="T39" s="2296"/>
      <c r="U39" s="2296"/>
      <c r="V39" s="2296"/>
      <c r="W39" s="165"/>
      <c r="X39" s="1409"/>
      <c r="Y39" s="1409"/>
      <c r="Z39" s="1409"/>
      <c r="AA39" s="1409"/>
      <c r="AB39" s="1409"/>
      <c r="AC39" s="1410"/>
      <c r="AD39" s="1410"/>
      <c r="AE39" s="1410"/>
      <c r="AF39" s="1410"/>
      <c r="AG39" s="1410"/>
      <c r="AH39" s="1410"/>
      <c r="AI39" s="166"/>
      <c r="AJ39" s="1416"/>
      <c r="AK39" s="1416"/>
      <c r="AL39" s="1416"/>
      <c r="AM39" s="1416"/>
      <c r="AN39" s="1416"/>
      <c r="AO39" s="1403"/>
      <c r="AP39" s="1403"/>
      <c r="AQ39" s="1403"/>
      <c r="AR39" s="1403"/>
      <c r="AS39" s="1403"/>
      <c r="AT39" s="1403"/>
      <c r="AU39" s="1403"/>
      <c r="AV39" s="1404"/>
      <c r="AW39" s="1404"/>
      <c r="BI39" s="53"/>
      <c r="BJ39" s="53"/>
    </row>
    <row r="40" spans="1:80" ht="42.75" customHeight="1" x14ac:dyDescent="0.35">
      <c r="A40" s="54"/>
      <c r="B40" s="162"/>
      <c r="C40" s="162"/>
      <c r="D40" s="162"/>
      <c r="E40" s="162"/>
      <c r="F40" s="162"/>
      <c r="G40" s="164"/>
      <c r="H40" s="1411"/>
      <c r="I40" s="1411"/>
      <c r="J40" s="1411"/>
      <c r="K40" s="168"/>
      <c r="L40" s="165"/>
      <c r="M40" s="165"/>
      <c r="N40" s="165"/>
      <c r="O40" s="165"/>
      <c r="P40" s="165"/>
      <c r="Q40" s="2296"/>
      <c r="R40" s="2296"/>
      <c r="S40" s="2296"/>
      <c r="T40" s="2296"/>
      <c r="U40" s="2296"/>
      <c r="V40" s="2296"/>
      <c r="W40" s="165"/>
      <c r="X40" s="1409"/>
      <c r="Y40" s="1409"/>
      <c r="Z40" s="1409"/>
      <c r="AA40" s="1409"/>
      <c r="AB40" s="1409"/>
      <c r="AC40" s="1410"/>
      <c r="AD40" s="1410"/>
      <c r="AE40" s="1410"/>
      <c r="AF40" s="1410"/>
      <c r="AG40" s="1410"/>
      <c r="AH40" s="1410"/>
      <c r="AI40" s="166"/>
      <c r="AJ40" s="1416"/>
      <c r="AK40" s="1416"/>
      <c r="AL40" s="1416"/>
      <c r="AM40" s="1416"/>
      <c r="AN40" s="1416"/>
      <c r="AO40" s="1403"/>
      <c r="AP40" s="1403"/>
      <c r="AQ40" s="1403"/>
      <c r="AR40" s="1403"/>
      <c r="AS40" s="1403"/>
      <c r="AT40" s="1403"/>
      <c r="AU40" s="1403"/>
      <c r="AV40" s="1404"/>
      <c r="AW40" s="1404"/>
      <c r="BI40" s="53"/>
      <c r="BJ40" s="53"/>
    </row>
    <row r="41" spans="1:80" ht="38.25" customHeight="1" x14ac:dyDescent="0.35">
      <c r="A41" s="54"/>
      <c r="B41" s="162"/>
      <c r="C41" s="162"/>
      <c r="D41" s="162"/>
      <c r="E41" s="162"/>
      <c r="F41" s="162"/>
      <c r="G41" s="164"/>
      <c r="H41" s="1412"/>
      <c r="I41" s="1412"/>
      <c r="J41" s="1412"/>
      <c r="K41" s="168"/>
      <c r="L41" s="175"/>
      <c r="M41" s="175"/>
      <c r="N41" s="175"/>
      <c r="O41" s="175"/>
      <c r="P41" s="175"/>
      <c r="Q41" s="2296"/>
      <c r="R41" s="2296"/>
      <c r="S41" s="2296"/>
      <c r="T41" s="2296"/>
      <c r="U41" s="2296"/>
      <c r="V41" s="2296"/>
      <c r="W41" s="176"/>
      <c r="X41" s="1409"/>
      <c r="Y41" s="1409"/>
      <c r="Z41" s="1409"/>
      <c r="AA41" s="1409"/>
      <c r="AB41" s="1409"/>
      <c r="AC41" s="1410"/>
      <c r="AD41" s="1410"/>
      <c r="AE41" s="1410"/>
      <c r="AF41" s="1410"/>
      <c r="AG41" s="1410"/>
      <c r="AH41" s="1410"/>
      <c r="AI41" s="166"/>
      <c r="AJ41" s="1416"/>
      <c r="AK41" s="1416"/>
      <c r="AL41" s="1416"/>
      <c r="AM41" s="1416"/>
      <c r="AN41" s="1416"/>
      <c r="AO41" s="1418"/>
      <c r="AP41" s="1418"/>
      <c r="AQ41" s="1418"/>
      <c r="AR41" s="1418"/>
      <c r="AS41" s="1418"/>
      <c r="AT41" s="1418"/>
      <c r="AU41" s="1418"/>
      <c r="AV41" s="1418"/>
      <c r="AW41" s="1418"/>
      <c r="AX41" s="54"/>
      <c r="AY41" s="54"/>
      <c r="BI41" s="170"/>
      <c r="BJ41" s="170"/>
    </row>
    <row r="42" spans="1:80" ht="60" customHeight="1" x14ac:dyDescent="0.35">
      <c r="H42" s="1412"/>
      <c r="I42" s="1412"/>
      <c r="J42" s="1412"/>
      <c r="L42" s="175"/>
      <c r="M42" s="175"/>
      <c r="N42" s="175"/>
      <c r="O42" s="175"/>
      <c r="P42" s="175"/>
      <c r="Q42" s="2296"/>
      <c r="R42" s="2296"/>
      <c r="S42" s="2296"/>
      <c r="T42" s="2296"/>
      <c r="U42" s="2296"/>
      <c r="V42" s="2296"/>
      <c r="W42" s="176"/>
      <c r="X42" s="1409"/>
      <c r="Y42" s="1409"/>
      <c r="Z42" s="1409"/>
      <c r="AA42" s="1409"/>
      <c r="AB42" s="1409"/>
      <c r="AC42" s="1410"/>
      <c r="AD42" s="1410"/>
      <c r="AE42" s="1410"/>
      <c r="AF42" s="1410"/>
      <c r="AG42" s="1410"/>
      <c r="AH42" s="1410"/>
      <c r="AI42" s="166"/>
      <c r="AJ42" s="1416"/>
      <c r="AK42" s="1416"/>
      <c r="AL42" s="1416"/>
      <c r="AM42" s="1416"/>
      <c r="AN42" s="1416"/>
      <c r="AO42" s="1418"/>
      <c r="AP42" s="1418"/>
      <c r="AQ42" s="1418"/>
      <c r="AR42" s="1418"/>
      <c r="AS42" s="1418"/>
      <c r="AT42" s="1418"/>
      <c r="AU42" s="1418"/>
      <c r="AV42" s="1418"/>
      <c r="AW42" s="1418"/>
      <c r="AX42" s="54"/>
      <c r="AY42" s="54"/>
      <c r="BI42" s="170"/>
      <c r="BJ42" s="170"/>
    </row>
    <row r="43" spans="1:80" ht="15" customHeight="1" x14ac:dyDescent="0.35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1"/>
      <c r="AI43" s="171"/>
      <c r="AJ43" s="171"/>
      <c r="AK43" s="171"/>
      <c r="AL43" s="171"/>
      <c r="AM43" s="171"/>
      <c r="AN43" s="171"/>
      <c r="AO43" s="172"/>
      <c r="AP43" s="172"/>
      <c r="AQ43" s="172"/>
      <c r="AR43" s="172"/>
      <c r="AS43" s="172"/>
      <c r="AT43" s="172"/>
      <c r="AU43" s="172"/>
      <c r="AV43" s="172"/>
      <c r="AW43" s="172"/>
    </row>
    <row r="44" spans="1:80" ht="15.75" customHeight="1" thickBot="1" x14ac:dyDescent="0.4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3"/>
      <c r="Y44" s="171"/>
      <c r="Z44" s="171"/>
      <c r="AA44" s="171"/>
      <c r="AB44" s="171"/>
      <c r="AC44" s="171"/>
      <c r="AD44" s="171"/>
      <c r="AE44" s="171"/>
      <c r="AF44" s="171"/>
      <c r="AG44" s="171"/>
      <c r="AH44" s="171"/>
      <c r="AI44" s="171"/>
      <c r="AJ44" s="171"/>
      <c r="AK44" s="171"/>
      <c r="AL44" s="171"/>
      <c r="AM44" s="171"/>
      <c r="AN44" s="171"/>
      <c r="AO44" s="172"/>
      <c r="AP44" s="172"/>
      <c r="AQ44" s="172"/>
      <c r="AR44" s="172"/>
      <c r="AS44" s="172"/>
      <c r="AT44" s="172"/>
      <c r="AU44" s="172"/>
      <c r="AV44" s="172"/>
      <c r="AW44" s="172"/>
    </row>
    <row r="45" spans="1:80" ht="15.75" thickTop="1" x14ac:dyDescent="0.25">
      <c r="J45" t="s">
        <v>16</v>
      </c>
      <c r="AD45" s="775">
        <v>6.3996000000003006</v>
      </c>
      <c r="AE45" s="776"/>
      <c r="AF45" s="776"/>
      <c r="AG45" s="776"/>
      <c r="AH45" s="777"/>
      <c r="AL45" s="727" t="s">
        <v>122</v>
      </c>
      <c r="AM45" s="727"/>
      <c r="AN45" s="727"/>
      <c r="AO45" s="727" t="s">
        <v>123</v>
      </c>
      <c r="AP45" s="727"/>
      <c r="AQ45" s="727"/>
      <c r="AR45" s="727" t="s">
        <v>124</v>
      </c>
      <c r="AS45" s="727"/>
      <c r="AT45" s="727" t="s">
        <v>125</v>
      </c>
      <c r="AU45" s="727"/>
      <c r="AY45" s="739" t="s">
        <v>126</v>
      </c>
      <c r="AZ45" s="740"/>
      <c r="BA45" s="740"/>
      <c r="BB45" s="740"/>
      <c r="BC45" s="740"/>
      <c r="BD45" s="740"/>
      <c r="BE45" s="740"/>
      <c r="BF45" s="740"/>
      <c r="BG45" s="740"/>
      <c r="BH45" s="741"/>
    </row>
    <row r="46" spans="1:80" x14ac:dyDescent="0.25">
      <c r="AD46" s="778"/>
      <c r="AE46" s="779"/>
      <c r="AF46" s="779"/>
      <c r="AG46" s="779"/>
      <c r="AH46" s="780"/>
      <c r="AL46" s="727"/>
      <c r="AM46" s="727"/>
      <c r="AN46" s="727"/>
      <c r="AO46" s="727"/>
      <c r="AP46" s="727"/>
      <c r="AQ46" s="727"/>
      <c r="AR46" s="727"/>
      <c r="AS46" s="727"/>
      <c r="AT46" s="727"/>
      <c r="AU46" s="727"/>
      <c r="AY46" s="750"/>
      <c r="AZ46" s="751"/>
      <c r="BA46" s="751"/>
      <c r="BB46" s="751"/>
      <c r="BC46" s="751"/>
      <c r="BD46" s="751"/>
      <c r="BE46" s="751"/>
      <c r="BF46" s="751"/>
      <c r="BG46" s="751"/>
      <c r="BH46" s="752"/>
    </row>
    <row r="47" spans="1:80" x14ac:dyDescent="0.25">
      <c r="AA47" s="56"/>
      <c r="AD47" s="778"/>
      <c r="AE47" s="779"/>
      <c r="AF47" s="779"/>
      <c r="AG47" s="779"/>
      <c r="AH47" s="780"/>
      <c r="AL47" s="727"/>
      <c r="AM47" s="727"/>
      <c r="AN47" s="727"/>
      <c r="AO47" s="727"/>
      <c r="AP47" s="727"/>
      <c r="AQ47" s="727"/>
      <c r="AR47" s="727"/>
      <c r="AS47" s="727"/>
      <c r="AT47" s="727"/>
      <c r="AU47" s="727"/>
      <c r="AY47" s="742"/>
      <c r="AZ47" s="743"/>
      <c r="BA47" s="743"/>
      <c r="BB47" s="743"/>
      <c r="BC47" s="743"/>
      <c r="BD47" s="743"/>
      <c r="BE47" s="743"/>
      <c r="BF47" s="743"/>
      <c r="BG47" s="743"/>
      <c r="BH47" s="744"/>
    </row>
    <row r="48" spans="1:80" x14ac:dyDescent="0.25">
      <c r="K48" t="s">
        <v>258</v>
      </c>
      <c r="AD48" s="778"/>
      <c r="AE48" s="779"/>
      <c r="AF48" s="779"/>
      <c r="AG48" s="779"/>
      <c r="AH48" s="780"/>
      <c r="AL48" s="727">
        <v>905</v>
      </c>
      <c r="AM48" s="727"/>
      <c r="AN48" s="727"/>
      <c r="AO48" s="727">
        <f>AT73</f>
        <v>455</v>
      </c>
      <c r="AP48" s="727"/>
      <c r="AQ48" s="727"/>
      <c r="AR48" s="1689">
        <f>AC32</f>
        <v>6.3996000000003006</v>
      </c>
      <c r="AS48" s="1689"/>
      <c r="AT48" s="1689">
        <f>AC32+AO34</f>
        <v>10.899600000000301</v>
      </c>
      <c r="AU48" s="1689"/>
      <c r="AY48" s="727" t="s">
        <v>128</v>
      </c>
      <c r="AZ48" s="727"/>
      <c r="BA48" s="727"/>
      <c r="BB48" s="727"/>
      <c r="BC48" s="727"/>
      <c r="BD48" s="727"/>
      <c r="BE48" s="727"/>
      <c r="BF48" s="727"/>
      <c r="BG48" s="727"/>
      <c r="BH48" s="727"/>
    </row>
    <row r="49" spans="7:60" x14ac:dyDescent="0.25">
      <c r="G49" t="s">
        <v>16</v>
      </c>
      <c r="AD49" s="778"/>
      <c r="AE49" s="779"/>
      <c r="AF49" s="779"/>
      <c r="AG49" s="779"/>
      <c r="AH49" s="780"/>
      <c r="AL49" s="727"/>
      <c r="AM49" s="727"/>
      <c r="AN49" s="727"/>
      <c r="AO49" s="727"/>
      <c r="AP49" s="727"/>
      <c r="AQ49" s="727"/>
      <c r="AR49" s="1689"/>
      <c r="AS49" s="1689"/>
      <c r="AT49" s="1689"/>
      <c r="AU49" s="1689"/>
      <c r="AY49" s="727"/>
      <c r="AZ49" s="727"/>
      <c r="BA49" s="727"/>
      <c r="BB49" s="727"/>
      <c r="BC49" s="727"/>
      <c r="BD49" s="727"/>
      <c r="BE49" s="727"/>
      <c r="BF49" s="727"/>
      <c r="BG49" s="727"/>
      <c r="BH49" s="727"/>
    </row>
    <row r="50" spans="7:60" ht="15" customHeight="1" x14ac:dyDescent="0.25">
      <c r="AD50" s="778"/>
      <c r="AE50" s="779"/>
      <c r="AF50" s="779"/>
      <c r="AG50" s="779"/>
      <c r="AH50" s="780"/>
      <c r="AL50" s="727"/>
      <c r="AM50" s="727"/>
      <c r="AN50" s="727"/>
      <c r="AO50" s="727"/>
      <c r="AP50" s="727"/>
      <c r="AQ50" s="727"/>
      <c r="AR50" s="1689"/>
      <c r="AS50" s="1689"/>
      <c r="AT50" s="1689"/>
      <c r="AU50" s="1689"/>
      <c r="AY50" s="728">
        <f>AR48/((78*3.1415/44)*(AO48/3.281))</f>
        <v>8.2864530339826527E-3</v>
      </c>
      <c r="AZ50" s="729"/>
      <c r="BA50" s="729"/>
      <c r="BB50" s="729"/>
      <c r="BC50" s="729"/>
      <c r="BD50" s="729"/>
      <c r="BE50" s="729"/>
      <c r="BF50" s="729"/>
      <c r="BG50" s="729"/>
      <c r="BH50" s="730"/>
    </row>
    <row r="51" spans="7:60" ht="15.75" customHeight="1" thickBot="1" x14ac:dyDescent="0.3">
      <c r="AD51" s="781"/>
      <c r="AE51" s="782"/>
      <c r="AF51" s="782"/>
      <c r="AG51" s="782"/>
      <c r="AH51" s="783"/>
      <c r="AL51" s="727"/>
      <c r="AM51" s="727"/>
      <c r="AN51" s="727"/>
      <c r="AO51" s="727"/>
      <c r="AP51" s="727"/>
      <c r="AQ51" s="727"/>
      <c r="AR51" s="1689"/>
      <c r="AS51" s="1689"/>
      <c r="AT51" s="1689"/>
      <c r="AU51" s="1689"/>
      <c r="AY51" s="731"/>
      <c r="AZ51" s="732"/>
      <c r="BA51" s="732"/>
      <c r="BB51" s="732"/>
      <c r="BC51" s="732"/>
      <c r="BD51" s="732"/>
      <c r="BE51" s="732"/>
      <c r="BF51" s="732"/>
      <c r="BG51" s="732"/>
      <c r="BH51" s="733"/>
    </row>
    <row r="52" spans="7:60" ht="15.75" customHeight="1" thickTop="1" x14ac:dyDescent="0.25">
      <c r="AY52" s="734"/>
      <c r="AZ52" s="735"/>
      <c r="BA52" s="735"/>
      <c r="BB52" s="735"/>
      <c r="BC52" s="735"/>
      <c r="BD52" s="735"/>
      <c r="BE52" s="735"/>
      <c r="BF52" s="735"/>
      <c r="BG52" s="735"/>
      <c r="BH52" s="736"/>
    </row>
    <row r="53" spans="7:60" x14ac:dyDescent="0.25">
      <c r="AY53" s="739" t="s">
        <v>129</v>
      </c>
      <c r="AZ53" s="740"/>
      <c r="BA53" s="740"/>
      <c r="BB53" s="740"/>
      <c r="BC53" s="740"/>
      <c r="BD53" s="740"/>
      <c r="BE53" s="740"/>
      <c r="BF53" s="740"/>
      <c r="BG53" s="740"/>
      <c r="BH53" s="741"/>
    </row>
    <row r="54" spans="7:60" x14ac:dyDescent="0.25">
      <c r="AY54" s="742"/>
      <c r="AZ54" s="743"/>
      <c r="BA54" s="743"/>
      <c r="BB54" s="743"/>
      <c r="BC54" s="743"/>
      <c r="BD54" s="743"/>
      <c r="BE54" s="743"/>
      <c r="BF54" s="743"/>
      <c r="BG54" s="743"/>
      <c r="BH54" s="744"/>
    </row>
    <row r="55" spans="7:60" x14ac:dyDescent="0.25">
      <c r="AN55" s="727">
        <v>70</v>
      </c>
      <c r="AO55" s="727"/>
      <c r="AP55" s="727"/>
      <c r="AQ55" s="746">
        <v>3</v>
      </c>
      <c r="AR55" s="746"/>
      <c r="AS55" s="746"/>
      <c r="AT55" s="747">
        <f>AQ55*AN55</f>
        <v>210</v>
      </c>
      <c r="AU55" s="748"/>
      <c r="AV55" s="748"/>
      <c r="AW55" s="749"/>
      <c r="AY55" s="739" t="s">
        <v>130</v>
      </c>
      <c r="AZ55" s="740"/>
      <c r="BA55" s="740"/>
      <c r="BB55" s="740"/>
      <c r="BC55" s="740"/>
      <c r="BD55" s="740"/>
      <c r="BE55" s="740"/>
      <c r="BF55" s="740"/>
      <c r="BG55" s="740"/>
      <c r="BH55" s="741"/>
    </row>
    <row r="56" spans="7:60" x14ac:dyDescent="0.25">
      <c r="AN56" s="727"/>
      <c r="AO56" s="727"/>
      <c r="AP56" s="727"/>
      <c r="AQ56" s="746"/>
      <c r="AR56" s="746"/>
      <c r="AS56" s="746"/>
      <c r="AT56" s="747"/>
      <c r="AU56" s="748"/>
      <c r="AV56" s="748"/>
      <c r="AW56" s="749"/>
      <c r="AY56" s="750"/>
      <c r="AZ56" s="751"/>
      <c r="BA56" s="751"/>
      <c r="BB56" s="751"/>
      <c r="BC56" s="751"/>
      <c r="BD56" s="751"/>
      <c r="BE56" s="751"/>
      <c r="BF56" s="751"/>
      <c r="BG56" s="751"/>
      <c r="BH56" s="752"/>
    </row>
    <row r="57" spans="7:60" ht="15" customHeight="1" x14ac:dyDescent="0.25">
      <c r="AN57" s="727"/>
      <c r="AO57" s="727"/>
      <c r="AP57" s="727"/>
      <c r="AQ57" s="746"/>
      <c r="AR57" s="746"/>
      <c r="AS57" s="746"/>
      <c r="AT57" s="747"/>
      <c r="AU57" s="748"/>
      <c r="AV57" s="748"/>
      <c r="AW57" s="749"/>
      <c r="AY57" s="750"/>
      <c r="AZ57" s="751"/>
      <c r="BA57" s="751"/>
      <c r="BB57" s="751"/>
      <c r="BC57" s="751"/>
      <c r="BD57" s="751"/>
      <c r="BE57" s="751"/>
      <c r="BF57" s="751"/>
      <c r="BG57" s="751"/>
      <c r="BH57" s="752"/>
    </row>
    <row r="58" spans="7:60" ht="15" customHeight="1" x14ac:dyDescent="0.25">
      <c r="AN58" s="727">
        <v>65</v>
      </c>
      <c r="AO58" s="727"/>
      <c r="AP58" s="727"/>
      <c r="AQ58" s="746">
        <v>1</v>
      </c>
      <c r="AR58" s="746"/>
      <c r="AS58" s="746"/>
      <c r="AT58" s="747">
        <f t="shared" ref="AT58" si="5">AQ58*AN58</f>
        <v>65</v>
      </c>
      <c r="AU58" s="748"/>
      <c r="AV58" s="748"/>
      <c r="AW58" s="749"/>
      <c r="AY58" s="742"/>
      <c r="AZ58" s="743"/>
      <c r="BA58" s="743"/>
      <c r="BB58" s="743"/>
      <c r="BC58" s="743"/>
      <c r="BD58" s="743"/>
      <c r="BE58" s="743"/>
      <c r="BF58" s="743"/>
      <c r="BG58" s="743"/>
      <c r="BH58" s="744"/>
    </row>
    <row r="59" spans="7:60" ht="15" customHeight="1" x14ac:dyDescent="0.25">
      <c r="AN59" s="727"/>
      <c r="AO59" s="727"/>
      <c r="AP59" s="727"/>
      <c r="AQ59" s="746"/>
      <c r="AR59" s="746"/>
      <c r="AS59" s="746"/>
      <c r="AT59" s="747"/>
      <c r="AU59" s="748"/>
      <c r="AV59" s="748"/>
      <c r="AW59" s="749"/>
      <c r="AY59" s="728">
        <f>AT48/((78*3.1415/44)*(AO48/3.281))</f>
        <v>1.4113229497030375E-2</v>
      </c>
      <c r="AZ59" s="729"/>
      <c r="BA59" s="729"/>
      <c r="BB59" s="729"/>
      <c r="BC59" s="729"/>
      <c r="BD59" s="729"/>
      <c r="BE59" s="729"/>
      <c r="BF59" s="729"/>
      <c r="BG59" s="729"/>
      <c r="BH59" s="730"/>
    </row>
    <row r="60" spans="7:60" ht="15" customHeight="1" x14ac:dyDescent="0.25">
      <c r="AN60" s="727"/>
      <c r="AO60" s="727"/>
      <c r="AP60" s="727"/>
      <c r="AQ60" s="746"/>
      <c r="AR60" s="746"/>
      <c r="AS60" s="746"/>
      <c r="AT60" s="747"/>
      <c r="AU60" s="748"/>
      <c r="AV60" s="748"/>
      <c r="AW60" s="749"/>
      <c r="AY60" s="731"/>
      <c r="AZ60" s="732"/>
      <c r="BA60" s="732"/>
      <c r="BB60" s="732"/>
      <c r="BC60" s="732"/>
      <c r="BD60" s="732"/>
      <c r="BE60" s="732"/>
      <c r="BF60" s="732"/>
      <c r="BG60" s="732"/>
      <c r="BH60" s="733"/>
    </row>
    <row r="61" spans="7:60" ht="15" customHeight="1" x14ac:dyDescent="0.25">
      <c r="AN61" s="727">
        <v>60</v>
      </c>
      <c r="AO61" s="727"/>
      <c r="AP61" s="727"/>
      <c r="AQ61" s="746">
        <v>1</v>
      </c>
      <c r="AR61" s="746"/>
      <c r="AS61" s="746"/>
      <c r="AT61" s="747">
        <f t="shared" ref="AT61" si="6">AQ61*AN61</f>
        <v>60</v>
      </c>
      <c r="AU61" s="748"/>
      <c r="AV61" s="748"/>
      <c r="AW61" s="749"/>
      <c r="AY61" s="731"/>
      <c r="AZ61" s="732"/>
      <c r="BA61" s="732"/>
      <c r="BB61" s="732"/>
      <c r="BC61" s="732"/>
      <c r="BD61" s="732"/>
      <c r="BE61" s="732"/>
      <c r="BF61" s="732"/>
      <c r="BG61" s="732"/>
      <c r="BH61" s="733"/>
    </row>
    <row r="62" spans="7:60" ht="15" customHeight="1" x14ac:dyDescent="0.25">
      <c r="AN62" s="727"/>
      <c r="AO62" s="727"/>
      <c r="AP62" s="727"/>
      <c r="AQ62" s="746"/>
      <c r="AR62" s="746"/>
      <c r="AS62" s="746"/>
      <c r="AT62" s="747"/>
      <c r="AU62" s="748"/>
      <c r="AV62" s="748"/>
      <c r="AW62" s="749"/>
      <c r="AY62" s="731"/>
      <c r="AZ62" s="732"/>
      <c r="BA62" s="732"/>
      <c r="BB62" s="732"/>
      <c r="BC62" s="732"/>
      <c r="BD62" s="732"/>
      <c r="BE62" s="732"/>
      <c r="BF62" s="732"/>
      <c r="BG62" s="732"/>
      <c r="BH62" s="733"/>
    </row>
    <row r="63" spans="7:60" ht="15" customHeight="1" x14ac:dyDescent="0.25">
      <c r="AN63" s="727"/>
      <c r="AO63" s="727"/>
      <c r="AP63" s="727"/>
      <c r="AQ63" s="746"/>
      <c r="AR63" s="746"/>
      <c r="AS63" s="746"/>
      <c r="AT63" s="747"/>
      <c r="AU63" s="748"/>
      <c r="AV63" s="748"/>
      <c r="AW63" s="749"/>
      <c r="AY63" s="734"/>
      <c r="AZ63" s="735"/>
      <c r="BA63" s="735"/>
      <c r="BB63" s="735"/>
      <c r="BC63" s="735"/>
      <c r="BD63" s="735"/>
      <c r="BE63" s="735"/>
      <c r="BF63" s="735"/>
      <c r="BG63" s="735"/>
      <c r="BH63" s="736"/>
    </row>
    <row r="64" spans="7:60" ht="15" customHeight="1" x14ac:dyDescent="0.25">
      <c r="AN64" s="727">
        <v>55</v>
      </c>
      <c r="AO64" s="727"/>
      <c r="AP64" s="727"/>
      <c r="AQ64" s="746">
        <v>1</v>
      </c>
      <c r="AR64" s="746"/>
      <c r="AS64" s="746"/>
      <c r="AT64" s="747">
        <f t="shared" ref="AT64" si="7">AQ64*AN64</f>
        <v>55</v>
      </c>
      <c r="AU64" s="748"/>
      <c r="AV64" s="748"/>
      <c r="AW64" s="749"/>
    </row>
    <row r="65" spans="40:49" ht="15" customHeight="1" x14ac:dyDescent="0.25">
      <c r="AN65" s="727"/>
      <c r="AO65" s="727"/>
      <c r="AP65" s="727"/>
      <c r="AQ65" s="746"/>
      <c r="AR65" s="746"/>
      <c r="AS65" s="746"/>
      <c r="AT65" s="747"/>
      <c r="AU65" s="748"/>
      <c r="AV65" s="748"/>
      <c r="AW65" s="749"/>
    </row>
    <row r="66" spans="40:49" ht="15" customHeight="1" x14ac:dyDescent="0.25">
      <c r="AN66" s="727"/>
      <c r="AO66" s="727"/>
      <c r="AP66" s="727"/>
      <c r="AQ66" s="746"/>
      <c r="AR66" s="746"/>
      <c r="AS66" s="746"/>
      <c r="AT66" s="747"/>
      <c r="AU66" s="748"/>
      <c r="AV66" s="748"/>
      <c r="AW66" s="749"/>
    </row>
    <row r="67" spans="40:49" ht="15" customHeight="1" x14ac:dyDescent="0.25">
      <c r="AN67" s="727">
        <v>50</v>
      </c>
      <c r="AO67" s="727"/>
      <c r="AP67" s="727"/>
      <c r="AQ67" s="746">
        <v>0</v>
      </c>
      <c r="AR67" s="746"/>
      <c r="AS67" s="746"/>
      <c r="AT67" s="747">
        <f t="shared" ref="AT67" si="8">AQ67*AN67</f>
        <v>0</v>
      </c>
      <c r="AU67" s="748"/>
      <c r="AV67" s="748"/>
      <c r="AW67" s="749"/>
    </row>
    <row r="68" spans="40:49" ht="15" customHeight="1" x14ac:dyDescent="0.25">
      <c r="AN68" s="727"/>
      <c r="AO68" s="727"/>
      <c r="AP68" s="727"/>
      <c r="AQ68" s="746"/>
      <c r="AR68" s="746"/>
      <c r="AS68" s="746"/>
      <c r="AT68" s="747"/>
      <c r="AU68" s="748"/>
      <c r="AV68" s="748"/>
      <c r="AW68" s="749"/>
    </row>
    <row r="69" spans="40:49" ht="15" customHeight="1" x14ac:dyDescent="0.25">
      <c r="AN69" s="727"/>
      <c r="AO69" s="727"/>
      <c r="AP69" s="727"/>
      <c r="AQ69" s="746"/>
      <c r="AR69" s="746"/>
      <c r="AS69" s="746"/>
      <c r="AT69" s="747"/>
      <c r="AU69" s="748"/>
      <c r="AV69" s="748"/>
      <c r="AW69" s="749"/>
    </row>
    <row r="70" spans="40:49" ht="15" customHeight="1" x14ac:dyDescent="0.25">
      <c r="AN70" s="727">
        <v>32.5</v>
      </c>
      <c r="AO70" s="727"/>
      <c r="AP70" s="727"/>
      <c r="AQ70" s="746">
        <v>2</v>
      </c>
      <c r="AR70" s="746"/>
      <c r="AS70" s="746"/>
      <c r="AT70" s="747">
        <f t="shared" ref="AT70" si="9">AQ70*AN70</f>
        <v>65</v>
      </c>
      <c r="AU70" s="748"/>
      <c r="AV70" s="748"/>
      <c r="AW70" s="749"/>
    </row>
    <row r="71" spans="40:49" ht="15" customHeight="1" x14ac:dyDescent="0.25">
      <c r="AN71" s="727"/>
      <c r="AO71" s="727"/>
      <c r="AP71" s="727"/>
      <c r="AQ71" s="746"/>
      <c r="AR71" s="746"/>
      <c r="AS71" s="746"/>
      <c r="AT71" s="747"/>
      <c r="AU71" s="748"/>
      <c r="AV71" s="748"/>
      <c r="AW71" s="749"/>
    </row>
    <row r="72" spans="40:49" ht="15" customHeight="1" x14ac:dyDescent="0.25">
      <c r="AN72" s="727"/>
      <c r="AO72" s="727"/>
      <c r="AP72" s="727"/>
      <c r="AQ72" s="746"/>
      <c r="AR72" s="746"/>
      <c r="AS72" s="746"/>
      <c r="AT72" s="747"/>
      <c r="AU72" s="748"/>
      <c r="AV72" s="748"/>
      <c r="AW72" s="749"/>
    </row>
    <row r="73" spans="40:49" ht="15" customHeight="1" x14ac:dyDescent="0.25">
      <c r="AQ73" s="2279">
        <f>AQ55+AQ58+AQ61+AQ64+AQ67+AQ70</f>
        <v>8</v>
      </c>
      <c r="AR73" s="2280"/>
      <c r="AS73" s="2281"/>
      <c r="AT73" s="1457">
        <f>AT55+AT58+AT61+AT64+AT67+AT70</f>
        <v>455</v>
      </c>
      <c r="AU73" s="1458"/>
      <c r="AV73" s="1458"/>
      <c r="AW73" s="1459"/>
    </row>
    <row r="74" spans="40:49" ht="15" customHeight="1" x14ac:dyDescent="0.25">
      <c r="AQ74" s="2282"/>
      <c r="AR74" s="2283"/>
      <c r="AS74" s="2284"/>
      <c r="AT74" s="2288"/>
      <c r="AU74" s="2289"/>
      <c r="AV74" s="2289"/>
      <c r="AW74" s="2290"/>
    </row>
    <row r="75" spans="40:49" ht="15" customHeight="1" x14ac:dyDescent="0.25">
      <c r="AQ75" s="2285"/>
      <c r="AR75" s="2286"/>
      <c r="AS75" s="2287"/>
      <c r="AT75" s="1785"/>
      <c r="AU75" s="1786"/>
      <c r="AV75" s="1786"/>
      <c r="AW75" s="1787"/>
    </row>
    <row r="76" spans="40:49" ht="15" customHeight="1" x14ac:dyDescent="0.25"/>
    <row r="77" spans="40:49" ht="15" customHeight="1" x14ac:dyDescent="0.25">
      <c r="AS77" s="27"/>
      <c r="AT77" s="27"/>
      <c r="AU77" s="27"/>
    </row>
  </sheetData>
  <mergeCells count="282">
    <mergeCell ref="A2:C2"/>
    <mergeCell ref="D2:E2"/>
    <mergeCell ref="F2:H2"/>
    <mergeCell ref="I2:J2"/>
    <mergeCell ref="K2:M2"/>
    <mergeCell ref="N2:O2"/>
    <mergeCell ref="BG2:BH2"/>
    <mergeCell ref="AE2:AG2"/>
    <mergeCell ref="AH2:AI2"/>
    <mergeCell ref="AJ2:AL2"/>
    <mergeCell ref="AM2:AN2"/>
    <mergeCell ref="AO2:AQ2"/>
    <mergeCell ref="AR2:AS2"/>
    <mergeCell ref="P2:R2"/>
    <mergeCell ref="S2:T2"/>
    <mergeCell ref="U2:W2"/>
    <mergeCell ref="X2:Y2"/>
    <mergeCell ref="Z2:AB2"/>
    <mergeCell ref="AC2:AD2"/>
    <mergeCell ref="Z3:AD5"/>
    <mergeCell ref="AE3:AI5"/>
    <mergeCell ref="AJ3:AN5"/>
    <mergeCell ref="AO3:AS5"/>
    <mergeCell ref="AY3:BA5"/>
    <mergeCell ref="BD3:BF5"/>
    <mergeCell ref="AY2:BA2"/>
    <mergeCell ref="BB2:BC2"/>
    <mergeCell ref="BD2:BF2"/>
    <mergeCell ref="A6:A7"/>
    <mergeCell ref="B6:E6"/>
    <mergeCell ref="F6:F7"/>
    <mergeCell ref="G6:J6"/>
    <mergeCell ref="K6:K7"/>
    <mergeCell ref="L6:O6"/>
    <mergeCell ref="AZ6:BC6"/>
    <mergeCell ref="BD6:BD7"/>
    <mergeCell ref="BE6:BH6"/>
    <mergeCell ref="AE6:AE7"/>
    <mergeCell ref="AF6:AI6"/>
    <mergeCell ref="AJ6:AJ7"/>
    <mergeCell ref="AK6:AN6"/>
    <mergeCell ref="AO6:AO7"/>
    <mergeCell ref="AP6:AS6"/>
    <mergeCell ref="AY6:AY7"/>
    <mergeCell ref="AA6:AD6"/>
    <mergeCell ref="F8:H8"/>
    <mergeCell ref="I8:J8"/>
    <mergeCell ref="K8:M8"/>
    <mergeCell ref="N8:O8"/>
    <mergeCell ref="P6:P7"/>
    <mergeCell ref="Q6:T6"/>
    <mergeCell ref="U6:U7"/>
    <mergeCell ref="V6:Y6"/>
    <mergeCell ref="Z6:Z7"/>
    <mergeCell ref="A12:A13"/>
    <mergeCell ref="B12:E12"/>
    <mergeCell ref="F12:F13"/>
    <mergeCell ref="G12:J12"/>
    <mergeCell ref="K12:K13"/>
    <mergeCell ref="L12:O12"/>
    <mergeCell ref="AY9:BA11"/>
    <mergeCell ref="BB9:BJ11"/>
    <mergeCell ref="BD8:BF8"/>
    <mergeCell ref="BG8:BH8"/>
    <mergeCell ref="AY8:BA8"/>
    <mergeCell ref="BB8:BC8"/>
    <mergeCell ref="P8:R8"/>
    <mergeCell ref="S8:T8"/>
    <mergeCell ref="U8:W8"/>
    <mergeCell ref="X8:Y8"/>
    <mergeCell ref="Z8:AB8"/>
    <mergeCell ref="AC8:AD8"/>
    <mergeCell ref="BD12:BD13"/>
    <mergeCell ref="BE12:BH12"/>
    <mergeCell ref="AY12:AY13"/>
    <mergeCell ref="AZ12:BC12"/>
    <mergeCell ref="A8:C8"/>
    <mergeCell ref="D8:E8"/>
    <mergeCell ref="AT14:AV14"/>
    <mergeCell ref="P12:P13"/>
    <mergeCell ref="Q12:T12"/>
    <mergeCell ref="U12:U13"/>
    <mergeCell ref="V12:Y12"/>
    <mergeCell ref="Z12:Z13"/>
    <mergeCell ref="AA12:AD12"/>
    <mergeCell ref="BD15:BF17"/>
    <mergeCell ref="A18:A19"/>
    <mergeCell ref="B18:E18"/>
    <mergeCell ref="AY18:AY19"/>
    <mergeCell ref="AZ18:BC18"/>
    <mergeCell ref="BD18:BD19"/>
    <mergeCell ref="BE18:BH18"/>
    <mergeCell ref="AW14:AX14"/>
    <mergeCell ref="AY14:BA14"/>
    <mergeCell ref="BB14:BC14"/>
    <mergeCell ref="BD14:BF14"/>
    <mergeCell ref="BG14:BH14"/>
    <mergeCell ref="A15:E17"/>
    <mergeCell ref="AJ15:AL17"/>
    <mergeCell ref="AO15:AQ17"/>
    <mergeCell ref="AT15:AV17"/>
    <mergeCell ref="AY15:BA17"/>
    <mergeCell ref="A14:C14"/>
    <mergeCell ref="D14:E14"/>
    <mergeCell ref="AH14:AI14"/>
    <mergeCell ref="AJ14:AL14"/>
    <mergeCell ref="AM14:AN14"/>
    <mergeCell ref="AO14:AQ14"/>
    <mergeCell ref="AR14:AS14"/>
    <mergeCell ref="P20:R20"/>
    <mergeCell ref="S20:T20"/>
    <mergeCell ref="U20:W20"/>
    <mergeCell ref="X20:Y20"/>
    <mergeCell ref="Z20:AB20"/>
    <mergeCell ref="AC20:AD20"/>
    <mergeCell ref="A20:C20"/>
    <mergeCell ref="D20:E20"/>
    <mergeCell ref="F20:H20"/>
    <mergeCell ref="I20:J20"/>
    <mergeCell ref="K20:M20"/>
    <mergeCell ref="N20:O20"/>
    <mergeCell ref="AT20:AV20"/>
    <mergeCell ref="AW20:AX20"/>
    <mergeCell ref="AY20:BA20"/>
    <mergeCell ref="BB20:BC20"/>
    <mergeCell ref="BD20:BF20"/>
    <mergeCell ref="BG20:BH20"/>
    <mergeCell ref="AE20:AG20"/>
    <mergeCell ref="AH20:AI20"/>
    <mergeCell ref="AJ20:AL20"/>
    <mergeCell ref="AM20:AN20"/>
    <mergeCell ref="AO20:AQ20"/>
    <mergeCell ref="AR20:AS20"/>
    <mergeCell ref="AE21:AG23"/>
    <mergeCell ref="AJ21:AL23"/>
    <mergeCell ref="AO21:AQ23"/>
    <mergeCell ref="AT21:AV23"/>
    <mergeCell ref="AY21:BA23"/>
    <mergeCell ref="BD21:BF23"/>
    <mergeCell ref="A21:C23"/>
    <mergeCell ref="F21:H23"/>
    <mergeCell ref="K21:M23"/>
    <mergeCell ref="P21:R23"/>
    <mergeCell ref="U21:W23"/>
    <mergeCell ref="Z21:AB23"/>
    <mergeCell ref="P24:P25"/>
    <mergeCell ref="Q24:T24"/>
    <mergeCell ref="U24:U25"/>
    <mergeCell ref="V24:Y24"/>
    <mergeCell ref="Z24:Z25"/>
    <mergeCell ref="AA24:AD24"/>
    <mergeCell ref="A24:A25"/>
    <mergeCell ref="B24:E24"/>
    <mergeCell ref="F24:F25"/>
    <mergeCell ref="G24:J24"/>
    <mergeCell ref="K24:K25"/>
    <mergeCell ref="L24:O24"/>
    <mergeCell ref="AU24:AX24"/>
    <mergeCell ref="AY24:AY25"/>
    <mergeCell ref="AZ24:BC24"/>
    <mergeCell ref="BD24:BD25"/>
    <mergeCell ref="BE24:BH24"/>
    <mergeCell ref="AE24:AE25"/>
    <mergeCell ref="AF24:AI24"/>
    <mergeCell ref="AJ24:AJ25"/>
    <mergeCell ref="AK24:AN24"/>
    <mergeCell ref="AO24:AO25"/>
    <mergeCell ref="AP24:AS24"/>
    <mergeCell ref="BD26:BF26"/>
    <mergeCell ref="BG26:BH26"/>
    <mergeCell ref="A27:C29"/>
    <mergeCell ref="F27:H29"/>
    <mergeCell ref="K27:M29"/>
    <mergeCell ref="P27:R29"/>
    <mergeCell ref="U27:W29"/>
    <mergeCell ref="Z27:AB29"/>
    <mergeCell ref="AE27:AG29"/>
    <mergeCell ref="AT27:AV29"/>
    <mergeCell ref="AE26:AG26"/>
    <mergeCell ref="AH26:AI26"/>
    <mergeCell ref="AT26:AV26"/>
    <mergeCell ref="AW26:AX26"/>
    <mergeCell ref="AY26:BA26"/>
    <mergeCell ref="BB26:BC26"/>
    <mergeCell ref="P26:R26"/>
    <mergeCell ref="S26:T26"/>
    <mergeCell ref="U26:W26"/>
    <mergeCell ref="X26:Y26"/>
    <mergeCell ref="Z26:AB26"/>
    <mergeCell ref="AC26:AD26"/>
    <mergeCell ref="A26:C26"/>
    <mergeCell ref="D26:E26"/>
    <mergeCell ref="AY27:BA29"/>
    <mergeCell ref="BD27:BF29"/>
    <mergeCell ref="A30:A31"/>
    <mergeCell ref="B30:E30"/>
    <mergeCell ref="F30:F31"/>
    <mergeCell ref="G30:J30"/>
    <mergeCell ref="K30:K31"/>
    <mergeCell ref="L30:O30"/>
    <mergeCell ref="P30:P31"/>
    <mergeCell ref="Q30:T30"/>
    <mergeCell ref="AY30:AY31"/>
    <mergeCell ref="AZ30:BC30"/>
    <mergeCell ref="BD30:BD31"/>
    <mergeCell ref="BE30:BH30"/>
    <mergeCell ref="U30:U31"/>
    <mergeCell ref="V30:Y30"/>
    <mergeCell ref="Z30:Z31"/>
    <mergeCell ref="AA30:AD30"/>
    <mergeCell ref="AE30:AE31"/>
    <mergeCell ref="AF30:AI30"/>
    <mergeCell ref="AY45:BH47"/>
    <mergeCell ref="AL48:AN51"/>
    <mergeCell ref="AO48:AQ51"/>
    <mergeCell ref="AR48:AS51"/>
    <mergeCell ref="AT48:AU51"/>
    <mergeCell ref="AT32:AW33"/>
    <mergeCell ref="AO34:AU40"/>
    <mergeCell ref="AV34:AW40"/>
    <mergeCell ref="H35:J35"/>
    <mergeCell ref="Q35:V42"/>
    <mergeCell ref="H36:J37"/>
    <mergeCell ref="X37:AB42"/>
    <mergeCell ref="AC37:AH42"/>
    <mergeCell ref="H38:J40"/>
    <mergeCell ref="H41:J42"/>
    <mergeCell ref="H32:J33"/>
    <mergeCell ref="Q32:V34"/>
    <mergeCell ref="X32:AB36"/>
    <mergeCell ref="AC32:AH36"/>
    <mergeCell ref="AJ32:AN42"/>
    <mergeCell ref="AO32:AS33"/>
    <mergeCell ref="AO41:AW42"/>
    <mergeCell ref="A3:E5"/>
    <mergeCell ref="F3:J5"/>
    <mergeCell ref="K3:O5"/>
    <mergeCell ref="P3:T5"/>
    <mergeCell ref="U3:Y5"/>
    <mergeCell ref="AY59:BH63"/>
    <mergeCell ref="AN61:AP63"/>
    <mergeCell ref="AQ61:AS63"/>
    <mergeCell ref="AT61:AW63"/>
    <mergeCell ref="AY48:BH49"/>
    <mergeCell ref="AY50:BH52"/>
    <mergeCell ref="AY53:BH54"/>
    <mergeCell ref="AN55:AP57"/>
    <mergeCell ref="AQ55:AS57"/>
    <mergeCell ref="AT55:AW57"/>
    <mergeCell ref="AY55:BH58"/>
    <mergeCell ref="AN58:AP60"/>
    <mergeCell ref="AQ58:AS60"/>
    <mergeCell ref="AT58:AW60"/>
    <mergeCell ref="AD45:AH51"/>
    <mergeCell ref="AL45:AN47"/>
    <mergeCell ref="AO45:AQ47"/>
    <mergeCell ref="AR45:AS47"/>
    <mergeCell ref="AT45:AU47"/>
    <mergeCell ref="AT70:AW72"/>
    <mergeCell ref="AQ70:AS72"/>
    <mergeCell ref="AQ73:AS75"/>
    <mergeCell ref="AT73:AW75"/>
    <mergeCell ref="AN70:AP72"/>
    <mergeCell ref="A9:E11"/>
    <mergeCell ref="F9:J11"/>
    <mergeCell ref="K9:O11"/>
    <mergeCell ref="P9:T11"/>
    <mergeCell ref="U9:Y11"/>
    <mergeCell ref="Z9:AD11"/>
    <mergeCell ref="AN67:AP69"/>
    <mergeCell ref="AQ67:AS69"/>
    <mergeCell ref="AT67:AW69"/>
    <mergeCell ref="AN64:AP66"/>
    <mergeCell ref="AQ64:AS66"/>
    <mergeCell ref="AT64:AW66"/>
    <mergeCell ref="AT30:AT31"/>
    <mergeCell ref="AU30:AX30"/>
    <mergeCell ref="F26:H26"/>
    <mergeCell ref="I26:J26"/>
    <mergeCell ref="K26:M26"/>
    <mergeCell ref="N26:O26"/>
    <mergeCell ref="AT24:AT25"/>
  </mergeCells>
  <pageMargins left="0.75" right="0.5" top="1" bottom="0.5" header="0.3" footer="0.3"/>
  <pageSetup paperSize="8" scale="64" orientation="landscape" r:id="rId1"/>
  <headerFooter>
    <oddFooter>&amp;C&amp;"-,Bold Italic"&amp;16Prepared by Emir Cebecioglu&amp;RQuality Control Department</oddFooter>
  </headerFooter>
  <colBreaks count="1" manualBreakCount="1">
    <brk id="60" max="50" man="1"/>
  </colBreaks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7AC31-EA76-4769-9BEC-571D7BBEFBBC}">
  <sheetPr>
    <pageSetUpPr fitToPage="1"/>
  </sheetPr>
  <dimension ref="A1:CB77"/>
  <sheetViews>
    <sheetView view="pageBreakPreview" zoomScale="70" zoomScaleNormal="70" zoomScaleSheetLayoutView="70" zoomScalePageLayoutView="55" workbookViewId="0">
      <selection activeCell="U15" sqref="U15:Y17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140625" customWidth="1"/>
    <col min="47" max="47" width="10.71093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1" customWidth="1"/>
    <col min="62" max="62" width="56.7109375" customWidth="1"/>
    <col min="63" max="63" width="13" customWidth="1"/>
    <col min="64" max="64" width="7" customWidth="1"/>
  </cols>
  <sheetData>
    <row r="1" spans="1:80" ht="213" customHeight="1" thickBot="1" x14ac:dyDescent="0.3"/>
    <row r="2" spans="1:80" ht="39.950000000000003" customHeight="1" thickTop="1" x14ac:dyDescent="0.25">
      <c r="A2" s="165"/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2580" t="s">
        <v>250</v>
      </c>
      <c r="Q2" s="2581"/>
      <c r="R2" s="2581"/>
      <c r="S2" s="2582">
        <f>Q7/((96*3.1415/59)*(40/3.281))</f>
        <v>0</v>
      </c>
      <c r="T2" s="2583"/>
      <c r="U2" s="2580" t="s">
        <v>250</v>
      </c>
      <c r="V2" s="2581"/>
      <c r="W2" s="2581"/>
      <c r="X2" s="2582">
        <f>V7/((96*3.1415/59)*(40/3.281))</f>
        <v>3.5460342242957188E-2</v>
      </c>
      <c r="Y2" s="2583"/>
      <c r="Z2" s="2299" t="s">
        <v>250</v>
      </c>
      <c r="AA2" s="2300"/>
      <c r="AB2" s="2300"/>
      <c r="AC2" s="2301">
        <f>AA7/((96*3.1415/59)*(47.5/3.281))</f>
        <v>1.3378010420767821E-2</v>
      </c>
      <c r="AD2" s="2302"/>
      <c r="AE2" s="2299" t="s">
        <v>250</v>
      </c>
      <c r="AF2" s="2300"/>
      <c r="AG2" s="2300"/>
      <c r="AH2" s="2301">
        <f>AF7/((96*3.1415/59)*(47.5/3.281))</f>
        <v>9.9456723936213291E-3</v>
      </c>
      <c r="AI2" s="2302"/>
      <c r="AJ2" s="165"/>
      <c r="AK2" s="165"/>
      <c r="AL2" s="165"/>
      <c r="AM2" s="165"/>
      <c r="AN2" s="165"/>
      <c r="AO2" s="165"/>
      <c r="AP2" s="165"/>
      <c r="AQ2" s="165"/>
      <c r="AR2" s="165"/>
      <c r="AS2" s="165"/>
      <c r="AT2" s="165"/>
      <c r="AU2" s="165"/>
      <c r="AV2" s="165"/>
      <c r="AW2" s="165"/>
      <c r="AX2" s="165"/>
      <c r="AY2" s="674"/>
      <c r="AZ2" s="674"/>
      <c r="BA2" s="674"/>
      <c r="BB2" s="1300"/>
      <c r="BC2" s="1300"/>
      <c r="BD2" s="674"/>
      <c r="BE2" s="674"/>
      <c r="BF2" s="674"/>
      <c r="BG2" s="1300"/>
      <c r="BH2" s="1300"/>
      <c r="BM2" s="27"/>
      <c r="BN2" s="27"/>
      <c r="BO2" s="27"/>
      <c r="BP2" s="27"/>
      <c r="BQ2" s="27"/>
      <c r="BR2" s="27"/>
      <c r="BW2" s="27"/>
      <c r="BX2" s="27"/>
      <c r="BY2" s="27"/>
      <c r="BZ2" s="27"/>
      <c r="CA2" s="27"/>
      <c r="CB2" s="27"/>
    </row>
    <row r="3" spans="1:80" ht="9.9499999999999993" hidden="1" customHeight="1" x14ac:dyDescent="0.25">
      <c r="A3" s="165"/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2571" t="s">
        <v>111</v>
      </c>
      <c r="Q3" s="2572"/>
      <c r="R3" s="2572"/>
      <c r="S3" s="2572"/>
      <c r="T3" s="2573"/>
      <c r="U3" s="1723" t="s">
        <v>544</v>
      </c>
      <c r="V3" s="1724"/>
      <c r="W3" s="1724"/>
      <c r="X3" s="1724"/>
      <c r="Y3" s="1725"/>
      <c r="Z3" s="1723" t="s">
        <v>544</v>
      </c>
      <c r="AA3" s="1724"/>
      <c r="AB3" s="1724"/>
      <c r="AC3" s="1724"/>
      <c r="AD3" s="1725"/>
      <c r="AE3" s="1723" t="s">
        <v>544</v>
      </c>
      <c r="AF3" s="1724"/>
      <c r="AG3" s="1724"/>
      <c r="AH3" s="1724"/>
      <c r="AI3" s="1725"/>
      <c r="AJ3" s="165"/>
      <c r="AK3" s="165"/>
      <c r="AL3" s="165"/>
      <c r="AM3" s="165"/>
      <c r="AN3" s="165"/>
      <c r="AO3" s="165"/>
      <c r="AP3" s="165"/>
      <c r="AQ3" s="165"/>
      <c r="AR3" s="165"/>
      <c r="AS3" s="165"/>
      <c r="AT3" s="165"/>
      <c r="AU3" s="165"/>
      <c r="AV3" s="165"/>
      <c r="AW3" s="165"/>
      <c r="AX3" s="165"/>
      <c r="AY3" s="676"/>
      <c r="AZ3" s="676"/>
      <c r="BA3" s="676"/>
      <c r="BB3" s="36"/>
      <c r="BC3" s="36"/>
      <c r="BD3" s="676"/>
      <c r="BE3" s="676"/>
      <c r="BF3" s="676"/>
      <c r="BG3" s="36"/>
      <c r="BH3" s="36"/>
    </row>
    <row r="4" spans="1:80" ht="24.95" hidden="1" customHeight="1" x14ac:dyDescent="0.25">
      <c r="A4" s="165"/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2574"/>
      <c r="Q4" s="2575"/>
      <c r="R4" s="2575"/>
      <c r="S4" s="2575"/>
      <c r="T4" s="2576"/>
      <c r="U4" s="1726"/>
      <c r="V4" s="1727"/>
      <c r="W4" s="1727"/>
      <c r="X4" s="1727"/>
      <c r="Y4" s="1728"/>
      <c r="Z4" s="1726"/>
      <c r="AA4" s="1727"/>
      <c r="AB4" s="1727"/>
      <c r="AC4" s="1727"/>
      <c r="AD4" s="1728"/>
      <c r="AE4" s="1726"/>
      <c r="AF4" s="1727"/>
      <c r="AG4" s="1727"/>
      <c r="AH4" s="1727"/>
      <c r="AI4" s="1728"/>
      <c r="AJ4" s="165"/>
      <c r="AK4" s="165"/>
      <c r="AL4" s="165"/>
      <c r="AM4" s="165"/>
      <c r="AN4" s="165"/>
      <c r="AO4" s="165"/>
      <c r="AP4" s="165"/>
      <c r="AQ4" s="165"/>
      <c r="AR4" s="165"/>
      <c r="AS4" s="165"/>
      <c r="AT4" s="165"/>
      <c r="AU4" s="165"/>
      <c r="AV4" s="165"/>
      <c r="AW4" s="165"/>
      <c r="AX4" s="165"/>
      <c r="AY4" s="676"/>
      <c r="AZ4" s="676"/>
      <c r="BA4" s="676"/>
      <c r="BB4" s="36"/>
      <c r="BC4" s="36"/>
      <c r="BD4" s="676"/>
      <c r="BE4" s="676"/>
      <c r="BF4" s="676"/>
      <c r="BG4" s="36"/>
      <c r="BH4" s="36"/>
    </row>
    <row r="5" spans="1:80" ht="25.5" customHeight="1" x14ac:dyDescent="0.25">
      <c r="A5" s="165"/>
      <c r="B5" s="165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2577"/>
      <c r="Q5" s="2578"/>
      <c r="R5" s="2578"/>
      <c r="S5" s="2578"/>
      <c r="T5" s="2579"/>
      <c r="U5" s="1729"/>
      <c r="V5" s="1730"/>
      <c r="W5" s="1730"/>
      <c r="X5" s="1730"/>
      <c r="Y5" s="1731"/>
      <c r="Z5" s="1729"/>
      <c r="AA5" s="1730"/>
      <c r="AB5" s="1730"/>
      <c r="AC5" s="1730"/>
      <c r="AD5" s="1731"/>
      <c r="AE5" s="1729"/>
      <c r="AF5" s="1730"/>
      <c r="AG5" s="1730"/>
      <c r="AH5" s="1730"/>
      <c r="AI5" s="1731"/>
      <c r="AJ5" s="165"/>
      <c r="AK5" s="165"/>
      <c r="AL5" s="165"/>
      <c r="AM5" s="165"/>
      <c r="AN5" s="165"/>
      <c r="AO5" s="165"/>
      <c r="AP5" s="165"/>
      <c r="AQ5" s="165"/>
      <c r="AR5" s="165"/>
      <c r="AS5" s="165"/>
      <c r="AT5" s="165"/>
      <c r="AU5" s="165"/>
      <c r="AV5" s="165"/>
      <c r="AW5" s="165"/>
      <c r="AX5" s="165"/>
      <c r="AY5" s="676"/>
      <c r="AZ5" s="676"/>
      <c r="BA5" s="676"/>
      <c r="BB5" s="36"/>
      <c r="BC5" s="36"/>
      <c r="BD5" s="676"/>
      <c r="BE5" s="676"/>
      <c r="BF5" s="676"/>
      <c r="BG5" s="36"/>
      <c r="BH5" s="36"/>
    </row>
    <row r="6" spans="1:80" ht="72" customHeight="1" x14ac:dyDescent="0.25">
      <c r="A6" s="165"/>
      <c r="B6" s="165"/>
      <c r="C6" s="165"/>
      <c r="D6" s="165"/>
      <c r="E6" s="165"/>
      <c r="F6" s="165"/>
      <c r="G6" s="165"/>
      <c r="H6" s="165"/>
      <c r="I6" s="165"/>
      <c r="J6" s="165"/>
      <c r="K6" s="165"/>
      <c r="L6" s="165"/>
      <c r="M6" s="165"/>
      <c r="N6" s="165"/>
      <c r="O6" s="165"/>
      <c r="P6" s="2584" t="s">
        <v>478</v>
      </c>
      <c r="Q6" s="1327">
        <v>1</v>
      </c>
      <c r="R6" s="1328"/>
      <c r="S6" s="1328"/>
      <c r="T6" s="1329"/>
      <c r="U6" s="2584" t="s">
        <v>478</v>
      </c>
      <c r="V6" s="1714">
        <v>4</v>
      </c>
      <c r="W6" s="1715"/>
      <c r="X6" s="1715"/>
      <c r="Y6" s="1716"/>
      <c r="Z6" s="1330" t="s">
        <v>685</v>
      </c>
      <c r="AA6" s="1714">
        <v>2</v>
      </c>
      <c r="AB6" s="1715"/>
      <c r="AC6" s="1715"/>
      <c r="AD6" s="1716"/>
      <c r="AE6" s="1330" t="s">
        <v>685</v>
      </c>
      <c r="AF6" s="1714">
        <v>3</v>
      </c>
      <c r="AG6" s="1715"/>
      <c r="AH6" s="1715"/>
      <c r="AI6" s="1716"/>
      <c r="AJ6" s="165"/>
      <c r="AK6" s="165"/>
      <c r="AL6" s="1998" t="s">
        <v>695</v>
      </c>
      <c r="AM6" s="1998"/>
      <c r="AN6" s="1998"/>
      <c r="AO6" s="1998"/>
      <c r="AP6" s="1998"/>
      <c r="AQ6" s="1998"/>
      <c r="AR6" s="1998"/>
      <c r="AS6" s="1998"/>
      <c r="AT6" s="1998"/>
      <c r="AU6" s="1998"/>
      <c r="AV6" s="1998"/>
      <c r="AW6" s="1998"/>
      <c r="AX6" s="165"/>
      <c r="AY6" s="677"/>
      <c r="AZ6" s="1332"/>
      <c r="BA6" s="1332"/>
      <c r="BB6" s="1332"/>
      <c r="BC6" s="1332"/>
      <c r="BD6" s="677"/>
      <c r="BE6" s="1332"/>
      <c r="BF6" s="1332"/>
      <c r="BG6" s="1332"/>
      <c r="BH6" s="1332"/>
      <c r="BM6" s="27"/>
      <c r="BN6" s="27"/>
      <c r="BO6" s="27"/>
      <c r="BP6" s="27"/>
      <c r="BQ6" s="27"/>
      <c r="BR6" s="27"/>
      <c r="BW6" s="27"/>
      <c r="BX6" s="27"/>
      <c r="BY6" s="27"/>
      <c r="BZ6" s="27"/>
      <c r="CA6" s="27"/>
      <c r="CB6" s="27"/>
    </row>
    <row r="7" spans="1:80" ht="35.1" customHeight="1" thickBot="1" x14ac:dyDescent="0.3">
      <c r="A7" s="165"/>
      <c r="B7" s="165"/>
      <c r="C7" s="165"/>
      <c r="D7" s="165"/>
      <c r="E7" s="165"/>
      <c r="F7" s="165"/>
      <c r="G7" s="165"/>
      <c r="H7" s="165"/>
      <c r="I7" s="165"/>
      <c r="J7" s="165"/>
      <c r="K7" s="165"/>
      <c r="L7" s="165"/>
      <c r="M7" s="165"/>
      <c r="N7" s="165"/>
      <c r="O7" s="165"/>
      <c r="P7" s="2585"/>
      <c r="Q7" s="327"/>
      <c r="R7" s="328" t="s">
        <v>113</v>
      </c>
      <c r="S7" s="329"/>
      <c r="T7" s="330" t="s">
        <v>114</v>
      </c>
      <c r="U7" s="2585"/>
      <c r="V7" s="241">
        <v>2.2098</v>
      </c>
      <c r="W7" s="242" t="s">
        <v>113</v>
      </c>
      <c r="X7" s="243">
        <v>1</v>
      </c>
      <c r="Y7" s="244" t="s">
        <v>114</v>
      </c>
      <c r="Z7" s="1331"/>
      <c r="AA7" s="241">
        <v>0.99</v>
      </c>
      <c r="AB7" s="242" t="s">
        <v>113</v>
      </c>
      <c r="AC7" s="243">
        <v>1</v>
      </c>
      <c r="AD7" s="244" t="s">
        <v>114</v>
      </c>
      <c r="AE7" s="1331"/>
      <c r="AF7" s="241">
        <v>0.73599999999999999</v>
      </c>
      <c r="AG7" s="242" t="s">
        <v>113</v>
      </c>
      <c r="AH7" s="243"/>
      <c r="AI7" s="244" t="s">
        <v>114</v>
      </c>
      <c r="AJ7" s="165"/>
      <c r="AK7" s="165"/>
      <c r="AL7" s="1998"/>
      <c r="AM7" s="1998"/>
      <c r="AN7" s="1998"/>
      <c r="AO7" s="1998"/>
      <c r="AP7" s="1998"/>
      <c r="AQ7" s="1998"/>
      <c r="AR7" s="1998"/>
      <c r="AS7" s="1998"/>
      <c r="AT7" s="1998"/>
      <c r="AU7" s="1998"/>
      <c r="AV7" s="1998"/>
      <c r="AW7" s="1998"/>
      <c r="AX7" s="165"/>
      <c r="AY7" s="677"/>
      <c r="AZ7" s="137"/>
      <c r="BA7" s="33"/>
      <c r="BB7" s="138"/>
      <c r="BC7" s="35"/>
      <c r="BD7" s="677"/>
      <c r="BE7" s="137"/>
      <c r="BF7" s="33"/>
      <c r="BG7" s="138"/>
      <c r="BH7" s="35"/>
      <c r="BM7" s="27"/>
      <c r="BN7" s="27"/>
      <c r="BO7" s="27"/>
      <c r="BP7" s="27"/>
      <c r="BQ7" s="27"/>
      <c r="BR7" s="27"/>
      <c r="BW7" s="27"/>
      <c r="BX7" s="27"/>
      <c r="BY7" s="27"/>
      <c r="BZ7" s="27"/>
      <c r="CA7" s="27"/>
      <c r="CB7" s="27"/>
    </row>
    <row r="8" spans="1:80" ht="39" customHeight="1" thickTop="1" x14ac:dyDescent="0.25">
      <c r="A8" s="165"/>
      <c r="B8" s="165"/>
      <c r="C8" s="165"/>
      <c r="D8" s="165"/>
      <c r="E8" s="165"/>
      <c r="F8" s="165"/>
      <c r="G8" s="165"/>
      <c r="H8" s="165"/>
      <c r="I8" s="165"/>
      <c r="J8" s="165"/>
      <c r="K8" s="165"/>
      <c r="L8" s="165"/>
      <c r="M8" s="165"/>
      <c r="N8" s="165"/>
      <c r="O8" s="165"/>
      <c r="P8" s="1706" t="s">
        <v>554</v>
      </c>
      <c r="Q8" s="1707"/>
      <c r="R8" s="1707"/>
      <c r="S8" s="1707"/>
      <c r="T8" s="1707"/>
      <c r="U8" s="1707"/>
      <c r="V8" s="1707"/>
      <c r="W8" s="1707"/>
      <c r="X8" s="1707"/>
      <c r="Y8" s="1707"/>
      <c r="Z8" s="1706" t="s">
        <v>554</v>
      </c>
      <c r="AA8" s="1707"/>
      <c r="AB8" s="1707"/>
      <c r="AC8" s="1707"/>
      <c r="AD8" s="1707"/>
      <c r="AE8" s="1707"/>
      <c r="AF8" s="1707"/>
      <c r="AG8" s="1707"/>
      <c r="AH8" s="1707"/>
      <c r="AI8" s="1708"/>
      <c r="AJ8" s="165"/>
      <c r="AK8" s="165"/>
      <c r="AL8" s="1998"/>
      <c r="AM8" s="1998"/>
      <c r="AN8" s="1998"/>
      <c r="AO8" s="1998"/>
      <c r="AP8" s="1998"/>
      <c r="AQ8" s="1998"/>
      <c r="AR8" s="1998"/>
      <c r="AS8" s="1998"/>
      <c r="AT8" s="1998"/>
      <c r="AU8" s="1998"/>
      <c r="AV8" s="1998"/>
      <c r="AW8" s="1998"/>
      <c r="AX8" s="165"/>
      <c r="AY8" s="674"/>
      <c r="AZ8" s="674"/>
      <c r="BA8" s="674"/>
      <c r="BB8" s="1300"/>
      <c r="BC8" s="1300"/>
      <c r="BD8" s="674"/>
      <c r="BE8" s="674"/>
      <c r="BF8" s="674"/>
      <c r="BG8" s="1300"/>
      <c r="BH8" s="1300"/>
      <c r="BM8" s="27"/>
      <c r="BN8" s="27"/>
      <c r="BO8" s="27"/>
      <c r="BP8" s="27"/>
      <c r="BQ8" s="27"/>
      <c r="BR8" s="27"/>
      <c r="BW8" s="27"/>
      <c r="BX8" s="27"/>
      <c r="BY8" s="27"/>
      <c r="BZ8" s="27"/>
      <c r="CA8" s="27"/>
      <c r="CB8" s="27"/>
    </row>
    <row r="9" spans="1:80" ht="17.25" customHeight="1" thickBot="1" x14ac:dyDescent="0.3">
      <c r="A9" s="165"/>
      <c r="B9" s="165"/>
      <c r="C9" s="165"/>
      <c r="D9" s="165"/>
      <c r="E9" s="165"/>
      <c r="F9" s="165"/>
      <c r="G9" s="165"/>
      <c r="H9" s="165"/>
      <c r="I9" s="165"/>
      <c r="J9" s="165"/>
      <c r="K9" s="165"/>
      <c r="L9" s="165"/>
      <c r="M9" s="165"/>
      <c r="N9" s="165"/>
      <c r="O9" s="165"/>
      <c r="P9" s="1709"/>
      <c r="Q9" s="1710"/>
      <c r="R9" s="1710"/>
      <c r="S9" s="1710"/>
      <c r="T9" s="1710"/>
      <c r="U9" s="1710"/>
      <c r="V9" s="1710"/>
      <c r="W9" s="1710"/>
      <c r="X9" s="1710"/>
      <c r="Y9" s="1710"/>
      <c r="Z9" s="1709"/>
      <c r="AA9" s="1710"/>
      <c r="AB9" s="1710"/>
      <c r="AC9" s="1710"/>
      <c r="AD9" s="1710"/>
      <c r="AE9" s="1710"/>
      <c r="AF9" s="1710"/>
      <c r="AG9" s="1710"/>
      <c r="AH9" s="1710"/>
      <c r="AI9" s="1711"/>
      <c r="AJ9" s="165"/>
      <c r="AK9" s="165"/>
      <c r="AL9" s="165"/>
      <c r="AM9" s="165"/>
      <c r="AN9" s="165"/>
      <c r="AO9" s="165"/>
      <c r="AP9" s="165"/>
      <c r="AQ9" s="165"/>
      <c r="AR9" s="165"/>
      <c r="AS9" s="165"/>
      <c r="AT9" s="165"/>
      <c r="AU9" s="165"/>
      <c r="AV9" s="165"/>
      <c r="AW9" s="165"/>
      <c r="AX9" s="165"/>
      <c r="AY9" s="676"/>
      <c r="AZ9" s="676"/>
      <c r="BA9" s="676"/>
      <c r="BB9" s="674"/>
      <c r="BC9" s="674"/>
      <c r="BD9" s="674"/>
      <c r="BE9" s="674"/>
      <c r="BF9" s="674"/>
      <c r="BG9" s="674"/>
      <c r="BH9" s="674"/>
      <c r="BI9" s="674"/>
      <c r="BJ9" s="674"/>
    </row>
    <row r="10" spans="1:80" ht="34.5" thickTop="1" x14ac:dyDescent="0.25">
      <c r="A10" s="165"/>
      <c r="B10" s="165"/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  <c r="Z10" s="165"/>
      <c r="AA10" s="165"/>
      <c r="AB10" s="165"/>
      <c r="AC10" s="165"/>
      <c r="AD10" s="165"/>
      <c r="AE10" s="165"/>
      <c r="AF10" s="165"/>
      <c r="AG10" s="165"/>
      <c r="AH10" s="165"/>
      <c r="AI10" s="165"/>
      <c r="AJ10" s="165"/>
      <c r="AK10" s="165"/>
      <c r="AL10" s="165"/>
      <c r="AM10" s="165"/>
      <c r="AN10" s="165"/>
      <c r="AO10" s="165"/>
      <c r="AP10" s="165"/>
      <c r="AQ10" s="165"/>
      <c r="AR10" s="165"/>
      <c r="AS10" s="165"/>
      <c r="AT10" s="165"/>
      <c r="AU10" s="165"/>
      <c r="AV10" s="165"/>
      <c r="AW10" s="165"/>
      <c r="AX10" s="165"/>
      <c r="AY10" s="676"/>
      <c r="AZ10" s="676"/>
      <c r="BA10" s="676"/>
      <c r="BB10" s="674"/>
      <c r="BC10" s="674"/>
      <c r="BD10" s="674"/>
      <c r="BE10" s="674"/>
      <c r="BF10" s="674"/>
      <c r="BG10" s="674"/>
      <c r="BH10" s="674"/>
      <c r="BI10" s="674"/>
      <c r="BJ10" s="674"/>
    </row>
    <row r="11" spans="1:80" ht="25.5" customHeight="1" x14ac:dyDescent="0.25">
      <c r="A11" s="165"/>
      <c r="B11" s="165"/>
      <c r="C11" s="165"/>
      <c r="D11" s="165"/>
      <c r="E11" s="165"/>
      <c r="F11" s="165"/>
      <c r="G11" s="165"/>
      <c r="H11" s="165"/>
      <c r="I11" s="165"/>
      <c r="J11" s="165"/>
      <c r="K11" s="165"/>
      <c r="L11" s="165"/>
      <c r="M11" s="165"/>
      <c r="N11" s="165"/>
      <c r="O11" s="165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5"/>
      <c r="AA11" s="165"/>
      <c r="AB11" s="165"/>
      <c r="AC11" s="165"/>
      <c r="AD11" s="165"/>
      <c r="AE11" s="165"/>
      <c r="AF11" s="165"/>
      <c r="AG11" s="165"/>
      <c r="AH11" s="165"/>
      <c r="AI11" s="165"/>
      <c r="AJ11" s="165"/>
      <c r="AK11" s="165"/>
      <c r="AL11" s="165"/>
      <c r="AM11" s="165"/>
      <c r="AN11" s="165"/>
      <c r="AO11" s="165"/>
      <c r="AP11" s="165"/>
      <c r="AQ11" s="165"/>
      <c r="AR11" s="165"/>
      <c r="AS11" s="165"/>
      <c r="AT11" s="165"/>
      <c r="AU11" s="165"/>
      <c r="AV11" s="165"/>
      <c r="AW11" s="165"/>
      <c r="AX11" s="165"/>
      <c r="AY11" s="676"/>
      <c r="AZ11" s="676"/>
      <c r="BA11" s="676"/>
      <c r="BB11" s="674"/>
      <c r="BC11" s="674"/>
      <c r="BD11" s="674"/>
      <c r="BE11" s="674"/>
      <c r="BF11" s="674"/>
      <c r="BG11" s="674"/>
      <c r="BH11" s="674"/>
      <c r="BI11" s="674"/>
      <c r="BJ11" s="674"/>
    </row>
    <row r="12" spans="1:80" ht="72" customHeight="1" x14ac:dyDescent="0.25">
      <c r="A12" s="165"/>
      <c r="B12" s="165"/>
      <c r="C12" s="165"/>
      <c r="D12" s="165"/>
      <c r="E12" s="165"/>
      <c r="F12" s="165"/>
      <c r="G12" s="165"/>
      <c r="H12" s="165"/>
      <c r="I12" s="165"/>
      <c r="J12" s="165"/>
      <c r="K12" s="165"/>
      <c r="L12" s="165"/>
      <c r="M12" s="165"/>
      <c r="N12" s="165"/>
      <c r="O12" s="165"/>
      <c r="P12" s="165"/>
      <c r="Q12" s="165"/>
      <c r="R12" s="165"/>
      <c r="S12" s="165"/>
      <c r="T12" s="165"/>
      <c r="U12" s="165"/>
      <c r="V12" s="165"/>
      <c r="W12" s="165"/>
      <c r="X12" s="165"/>
      <c r="Y12" s="165"/>
      <c r="Z12" s="165"/>
      <c r="AA12" s="165"/>
      <c r="AB12" s="165"/>
      <c r="AC12" s="165"/>
      <c r="AD12" s="165"/>
      <c r="AE12" s="165"/>
      <c r="AF12" s="165"/>
      <c r="AG12" s="165"/>
      <c r="AH12" s="165"/>
      <c r="AI12" s="165"/>
      <c r="AJ12" s="165"/>
      <c r="AK12" s="165"/>
      <c r="AL12" s="165"/>
      <c r="AM12" s="165"/>
      <c r="AN12" s="165"/>
      <c r="AO12" s="165"/>
      <c r="AP12" s="165"/>
      <c r="AQ12" s="165"/>
      <c r="AR12" s="165"/>
      <c r="AS12" s="165"/>
      <c r="AT12" s="165"/>
      <c r="AU12" s="165"/>
      <c r="AV12" s="165"/>
      <c r="AW12" s="165"/>
      <c r="AX12" s="165"/>
      <c r="AY12" s="677"/>
      <c r="AZ12" s="1332"/>
      <c r="BA12" s="1332"/>
      <c r="BB12" s="1332"/>
      <c r="BC12" s="1332"/>
      <c r="BD12" s="677"/>
      <c r="BE12" s="1332"/>
      <c r="BF12" s="1332"/>
      <c r="BG12" s="1332"/>
      <c r="BH12" s="1332"/>
      <c r="BM12" s="51"/>
      <c r="BN12" s="51"/>
      <c r="BO12" s="51"/>
      <c r="BP12" s="51"/>
      <c r="BQ12" s="51"/>
      <c r="BR12" s="51"/>
      <c r="BW12" s="27"/>
      <c r="BX12" s="27"/>
      <c r="BY12" s="27"/>
      <c r="BZ12" s="27"/>
      <c r="CA12" s="27"/>
      <c r="CB12" s="27"/>
    </row>
    <row r="13" spans="1:80" ht="35.1" customHeight="1" x14ac:dyDescent="0.25">
      <c r="A13" s="165"/>
      <c r="B13" s="165"/>
      <c r="C13" s="165"/>
      <c r="D13" s="165"/>
      <c r="E13" s="165"/>
      <c r="F13" s="165"/>
      <c r="G13" s="165"/>
      <c r="H13" s="165"/>
      <c r="I13" s="165"/>
      <c r="J13" s="165"/>
      <c r="K13" s="165"/>
      <c r="L13" s="165"/>
      <c r="M13" s="165"/>
      <c r="N13" s="165"/>
      <c r="O13" s="165"/>
      <c r="P13" s="165"/>
      <c r="Q13" s="165"/>
      <c r="R13" s="165"/>
      <c r="S13" s="165"/>
      <c r="T13" s="165"/>
      <c r="U13" s="165"/>
      <c r="V13" s="165"/>
      <c r="W13" s="165"/>
      <c r="X13" s="165"/>
      <c r="Y13" s="165"/>
      <c r="Z13" s="165"/>
      <c r="AA13" s="165"/>
      <c r="AB13" s="165"/>
      <c r="AC13" s="165"/>
      <c r="AD13" s="165"/>
      <c r="AE13" s="165"/>
      <c r="AF13" s="165"/>
      <c r="AG13" s="165"/>
      <c r="AH13" s="165"/>
      <c r="AI13" s="165"/>
      <c r="AJ13" s="165"/>
      <c r="AK13" s="165"/>
      <c r="AL13" s="165"/>
      <c r="AM13" s="165"/>
      <c r="AN13" s="165"/>
      <c r="AO13" s="165"/>
      <c r="AP13" s="165"/>
      <c r="AQ13" s="165"/>
      <c r="AR13" s="165"/>
      <c r="AS13" s="165"/>
      <c r="AT13" s="165"/>
      <c r="AU13" s="165"/>
      <c r="AV13" s="165"/>
      <c r="AW13" s="165"/>
      <c r="AX13" s="165"/>
      <c r="AY13" s="677"/>
      <c r="AZ13" s="137"/>
      <c r="BA13" s="33"/>
      <c r="BB13" s="138"/>
      <c r="BC13" s="35"/>
      <c r="BD13" s="677"/>
      <c r="BE13" s="137"/>
      <c r="BF13" s="33"/>
      <c r="BG13" s="138"/>
      <c r="BH13" s="35"/>
      <c r="BM13" s="51"/>
      <c r="BN13" s="51"/>
      <c r="BO13" s="51"/>
      <c r="BP13" s="51"/>
      <c r="BQ13" s="51"/>
      <c r="BR13" s="51"/>
      <c r="BW13" s="27"/>
      <c r="BX13" s="27"/>
      <c r="BY13" s="27"/>
      <c r="BZ13" s="27"/>
      <c r="CA13" s="27"/>
      <c r="CB13" s="27"/>
    </row>
    <row r="14" spans="1:80" ht="39.950000000000003" hidden="1" customHeight="1" thickTop="1" x14ac:dyDescent="0.25">
      <c r="A14" s="1695" t="s">
        <v>250</v>
      </c>
      <c r="B14" s="1696"/>
      <c r="C14" s="1696"/>
      <c r="D14" s="1697">
        <f>B19/((42*3.1415/59)*(30/3.281))</f>
        <v>0</v>
      </c>
      <c r="E14" s="1698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Z14" s="44"/>
      <c r="AA14" s="44"/>
      <c r="AB14" s="44"/>
      <c r="AC14" s="44"/>
      <c r="AD14" s="44"/>
      <c r="AE14" s="44"/>
      <c r="AF14" s="44"/>
      <c r="AG14" s="44"/>
      <c r="AH14" s="1300"/>
      <c r="AI14" s="1300"/>
      <c r="AJ14" s="674"/>
      <c r="AK14" s="674"/>
      <c r="AL14" s="674"/>
      <c r="AM14" s="1300"/>
      <c r="AN14" s="1300"/>
      <c r="AO14" s="674"/>
      <c r="AP14" s="674"/>
      <c r="AQ14" s="674"/>
      <c r="AR14" s="1300"/>
      <c r="AS14" s="1300"/>
      <c r="AT14" s="1389"/>
      <c r="AU14" s="1389"/>
      <c r="AV14" s="1389"/>
      <c r="AW14" s="1390"/>
      <c r="AX14" s="1390"/>
      <c r="AY14" s="674"/>
      <c r="AZ14" s="674"/>
      <c r="BA14" s="674"/>
      <c r="BB14" s="1300"/>
      <c r="BC14" s="1300"/>
      <c r="BD14" s="674"/>
      <c r="BE14" s="674"/>
      <c r="BF14" s="674"/>
      <c r="BG14" s="1300"/>
      <c r="BH14" s="1300"/>
      <c r="BM14" s="51"/>
      <c r="BN14" s="51"/>
      <c r="BO14" s="51"/>
      <c r="BP14" s="51"/>
      <c r="BQ14" s="51"/>
      <c r="BR14" s="51"/>
      <c r="BW14" s="27"/>
      <c r="BX14" s="27"/>
      <c r="BY14" s="27"/>
      <c r="BZ14" s="27"/>
      <c r="CA14" s="27"/>
      <c r="CB14" s="27"/>
    </row>
    <row r="15" spans="1:80" ht="9.9499999999999993" hidden="1" customHeight="1" x14ac:dyDescent="0.25">
      <c r="A15" s="1379" t="s">
        <v>252</v>
      </c>
      <c r="B15" s="1380"/>
      <c r="C15" s="1380"/>
      <c r="D15" s="1380"/>
      <c r="E15" s="1381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Z15" s="47"/>
      <c r="AA15" s="47"/>
      <c r="AB15" s="47"/>
      <c r="AC15" s="47"/>
      <c r="AD15" s="47"/>
      <c r="AE15" s="47"/>
      <c r="AF15" s="47"/>
      <c r="AG15" s="47"/>
      <c r="AH15" s="36"/>
      <c r="AI15" s="36"/>
      <c r="AJ15" s="676"/>
      <c r="AK15" s="676"/>
      <c r="AL15" s="676"/>
      <c r="AM15" s="36"/>
      <c r="AN15" s="36"/>
      <c r="AO15" s="676"/>
      <c r="AP15" s="676"/>
      <c r="AQ15" s="676"/>
      <c r="AR15" s="36"/>
      <c r="AS15" s="36"/>
      <c r="AT15" s="1388"/>
      <c r="AU15" s="1388"/>
      <c r="AV15" s="1388"/>
      <c r="AW15" s="139"/>
      <c r="AX15" s="139"/>
      <c r="AY15" s="676"/>
      <c r="AZ15" s="676"/>
      <c r="BA15" s="676"/>
      <c r="BB15" s="36"/>
      <c r="BC15" s="36"/>
      <c r="BD15" s="676"/>
      <c r="BE15" s="676"/>
      <c r="BF15" s="676"/>
      <c r="BG15" s="36"/>
      <c r="BH15" s="36"/>
    </row>
    <row r="16" spans="1:80" ht="24.95" hidden="1" customHeight="1" x14ac:dyDescent="0.25">
      <c r="A16" s="1382"/>
      <c r="B16" s="1383"/>
      <c r="C16" s="1383"/>
      <c r="D16" s="1383"/>
      <c r="E16" s="1384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Z16" s="47"/>
      <c r="AA16" s="47"/>
      <c r="AB16" s="47"/>
      <c r="AC16" s="47"/>
      <c r="AD16" s="47"/>
      <c r="AE16" s="47"/>
      <c r="AF16" s="47"/>
      <c r="AG16" s="47"/>
      <c r="AH16" s="140"/>
      <c r="AI16" s="36"/>
      <c r="AJ16" s="676"/>
      <c r="AK16" s="676"/>
      <c r="AL16" s="676"/>
      <c r="AM16" s="140"/>
      <c r="AN16" s="36"/>
      <c r="AO16" s="676"/>
      <c r="AP16" s="676"/>
      <c r="AQ16" s="676"/>
      <c r="AR16" s="140"/>
      <c r="AS16" s="36"/>
      <c r="AT16" s="1388"/>
      <c r="AU16" s="1388"/>
      <c r="AV16" s="1388"/>
      <c r="AW16" s="141"/>
      <c r="AX16" s="139"/>
      <c r="AY16" s="676"/>
      <c r="AZ16" s="676"/>
      <c r="BA16" s="676"/>
      <c r="BB16" s="36"/>
      <c r="BC16" s="36"/>
      <c r="BD16" s="676"/>
      <c r="BE16" s="676"/>
      <c r="BF16" s="676"/>
      <c r="BG16" s="36"/>
      <c r="BH16" s="36"/>
    </row>
    <row r="17" spans="1:80" ht="9.9499999999999993" hidden="1" customHeight="1" x14ac:dyDescent="0.25">
      <c r="A17" s="1385"/>
      <c r="B17" s="1386"/>
      <c r="C17" s="1386"/>
      <c r="D17" s="1386"/>
      <c r="E17" s="138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Z17" s="47"/>
      <c r="AA17" s="47"/>
      <c r="AB17" s="47"/>
      <c r="AC17" s="47"/>
      <c r="AD17" s="47"/>
      <c r="AE17" s="47"/>
      <c r="AF17" s="47"/>
      <c r="AG17" s="47"/>
      <c r="AH17" s="36"/>
      <c r="AI17" s="36"/>
      <c r="AJ17" s="676"/>
      <c r="AK17" s="676"/>
      <c r="AL17" s="676"/>
      <c r="AM17" s="36"/>
      <c r="AN17" s="36"/>
      <c r="AO17" s="676"/>
      <c r="AP17" s="676"/>
      <c r="AQ17" s="676"/>
      <c r="AR17" s="36"/>
      <c r="AS17" s="36"/>
      <c r="AT17" s="1388"/>
      <c r="AU17" s="1388"/>
      <c r="AV17" s="1388"/>
      <c r="AW17" s="139"/>
      <c r="AX17" s="139"/>
      <c r="AY17" s="676"/>
      <c r="AZ17" s="676"/>
      <c r="BA17" s="676"/>
      <c r="BB17" s="36"/>
      <c r="BC17" s="36"/>
      <c r="BD17" s="676"/>
      <c r="BE17" s="676"/>
      <c r="BF17" s="676"/>
      <c r="BG17" s="36"/>
      <c r="BH17" s="36"/>
    </row>
    <row r="18" spans="1:80" ht="72" hidden="1" customHeight="1" x14ac:dyDescent="0.25">
      <c r="A18" s="1374" t="s">
        <v>253</v>
      </c>
      <c r="B18" s="1376"/>
      <c r="C18" s="1377"/>
      <c r="D18" s="1377"/>
      <c r="E18" s="1378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3"/>
      <c r="AU18" s="143"/>
      <c r="AV18" s="143"/>
      <c r="AW18" s="143"/>
      <c r="AX18" s="143"/>
      <c r="AY18" s="677"/>
      <c r="AZ18" s="1332"/>
      <c r="BA18" s="1332"/>
      <c r="BB18" s="1332"/>
      <c r="BC18" s="1332"/>
      <c r="BD18" s="677"/>
      <c r="BE18" s="1332" t="s">
        <v>16</v>
      </c>
      <c r="BF18" s="1332"/>
      <c r="BG18" s="1332"/>
      <c r="BH18" s="1332"/>
      <c r="BM18" s="51"/>
      <c r="BN18" s="51"/>
      <c r="BO18" s="51"/>
      <c r="BP18" s="51"/>
      <c r="BQ18" s="51"/>
      <c r="BR18" s="51"/>
      <c r="BW18" s="27"/>
      <c r="BX18" s="27"/>
      <c r="BY18" s="27"/>
      <c r="BZ18" s="27"/>
      <c r="CA18" s="27"/>
      <c r="CB18" s="27"/>
    </row>
    <row r="19" spans="1:80" ht="35.1" hidden="1" customHeight="1" thickBot="1" x14ac:dyDescent="0.3">
      <c r="A19" s="1375"/>
      <c r="B19" s="144"/>
      <c r="C19" s="145" t="s">
        <v>113</v>
      </c>
      <c r="D19" s="146"/>
      <c r="E19" s="147" t="s">
        <v>114</v>
      </c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148"/>
      <c r="AU19" s="148"/>
      <c r="AV19" s="148"/>
      <c r="AW19" s="148"/>
      <c r="AX19" s="148"/>
      <c r="AY19" s="677"/>
      <c r="AZ19" s="137"/>
      <c r="BA19" s="33"/>
      <c r="BB19" s="138"/>
      <c r="BC19" s="35"/>
      <c r="BD19" s="677"/>
      <c r="BE19" s="137"/>
      <c r="BF19" s="33"/>
      <c r="BG19" s="138"/>
      <c r="BH19" s="35"/>
      <c r="BM19" s="51"/>
      <c r="BN19" s="51"/>
      <c r="BO19" s="51"/>
      <c r="BP19" s="51"/>
      <c r="BQ19" s="51"/>
      <c r="BR19" s="51"/>
      <c r="BW19" s="27"/>
      <c r="BX19" s="27"/>
      <c r="BY19" s="27"/>
      <c r="BZ19" s="27"/>
      <c r="CA19" s="27"/>
      <c r="CB19" s="27"/>
    </row>
    <row r="20" spans="1:80" ht="26.25" hidden="1" x14ac:dyDescent="0.25">
      <c r="A20" s="1396"/>
      <c r="B20" s="1396"/>
      <c r="C20" s="1396"/>
      <c r="D20" s="1397"/>
      <c r="E20" s="1397"/>
      <c r="F20" s="674"/>
      <c r="G20" s="674"/>
      <c r="H20" s="674"/>
      <c r="I20" s="1300"/>
      <c r="J20" s="1300"/>
      <c r="K20" s="674"/>
      <c r="L20" s="674"/>
      <c r="M20" s="674"/>
      <c r="N20" s="1300"/>
      <c r="O20" s="1300"/>
      <c r="P20" s="674"/>
      <c r="Q20" s="674"/>
      <c r="R20" s="674"/>
      <c r="S20" s="1300"/>
      <c r="T20" s="1300"/>
      <c r="U20" s="674"/>
      <c r="V20" s="674"/>
      <c r="W20" s="674"/>
      <c r="X20" s="1300"/>
      <c r="Y20" s="1300"/>
      <c r="Z20" s="674"/>
      <c r="AA20" s="674"/>
      <c r="AB20" s="674"/>
      <c r="AC20" s="1300"/>
      <c r="AD20" s="1300"/>
      <c r="AE20" s="674"/>
      <c r="AF20" s="674"/>
      <c r="AG20" s="674"/>
      <c r="AH20" s="1300"/>
      <c r="AI20" s="1300"/>
      <c r="AJ20" s="674"/>
      <c r="AK20" s="674"/>
      <c r="AL20" s="674"/>
      <c r="AM20" s="1300"/>
      <c r="AN20" s="1300"/>
      <c r="AO20" s="674"/>
      <c r="AP20" s="674"/>
      <c r="AQ20" s="674"/>
      <c r="AR20" s="1300"/>
      <c r="AS20" s="1300"/>
      <c r="AT20" s="1389"/>
      <c r="AU20" s="1389"/>
      <c r="AV20" s="1389"/>
      <c r="AW20" s="1390"/>
      <c r="AX20" s="1390"/>
      <c r="AY20" s="674"/>
      <c r="AZ20" s="674"/>
      <c r="BA20" s="674"/>
      <c r="BB20" s="1300"/>
      <c r="BC20" s="1300"/>
      <c r="BD20" s="674"/>
      <c r="BE20" s="674"/>
      <c r="BF20" s="674"/>
      <c r="BG20" s="1300"/>
      <c r="BH20" s="1300"/>
      <c r="BM20" s="51"/>
      <c r="BN20" s="51"/>
      <c r="BO20" s="51"/>
      <c r="BP20" s="51"/>
      <c r="BQ20" s="51"/>
      <c r="BR20" s="51"/>
      <c r="BW20" s="27"/>
      <c r="BX20" s="27"/>
      <c r="BY20" s="27"/>
      <c r="BZ20" s="27"/>
      <c r="CA20" s="27"/>
      <c r="CB20" s="27"/>
    </row>
    <row r="21" spans="1:80" ht="18.75" hidden="1" x14ac:dyDescent="0.25">
      <c r="A21" s="1395"/>
      <c r="B21" s="1395"/>
      <c r="C21" s="1395"/>
      <c r="D21" s="149"/>
      <c r="E21" s="149"/>
      <c r="F21" s="676"/>
      <c r="G21" s="676"/>
      <c r="H21" s="676"/>
      <c r="I21" s="36"/>
      <c r="J21" s="36"/>
      <c r="K21" s="676"/>
      <c r="L21" s="676"/>
      <c r="M21" s="676"/>
      <c r="N21" s="36"/>
      <c r="O21" s="36"/>
      <c r="P21" s="676"/>
      <c r="Q21" s="676"/>
      <c r="R21" s="676"/>
      <c r="S21" s="36"/>
      <c r="T21" s="36"/>
      <c r="U21" s="676"/>
      <c r="V21" s="676"/>
      <c r="W21" s="676"/>
      <c r="X21" s="36"/>
      <c r="Y21" s="36"/>
      <c r="Z21" s="676"/>
      <c r="AA21" s="676"/>
      <c r="AB21" s="676"/>
      <c r="AC21" s="36"/>
      <c r="AD21" s="36"/>
      <c r="AE21" s="676"/>
      <c r="AF21" s="676"/>
      <c r="AG21" s="676"/>
      <c r="AH21" s="36"/>
      <c r="AI21" s="36"/>
      <c r="AJ21" s="676"/>
      <c r="AK21" s="676"/>
      <c r="AL21" s="676"/>
      <c r="AM21" s="36"/>
      <c r="AN21" s="36"/>
      <c r="AO21" s="676"/>
      <c r="AP21" s="676"/>
      <c r="AQ21" s="676"/>
      <c r="AR21" s="36"/>
      <c r="AS21" s="36"/>
      <c r="AT21" s="1388"/>
      <c r="AU21" s="1388"/>
      <c r="AV21" s="1388"/>
      <c r="AW21" s="139"/>
      <c r="AX21" s="139"/>
      <c r="AY21" s="676"/>
      <c r="AZ21" s="676"/>
      <c r="BA21" s="676"/>
      <c r="BB21" s="36"/>
      <c r="BC21" s="36"/>
      <c r="BD21" s="676"/>
      <c r="BE21" s="676"/>
      <c r="BF21" s="676"/>
      <c r="BG21" s="36"/>
      <c r="BH21" s="36"/>
    </row>
    <row r="22" spans="1:80" ht="36" hidden="1" x14ac:dyDescent="0.25">
      <c r="A22" s="1395"/>
      <c r="B22" s="1395"/>
      <c r="C22" s="1395"/>
      <c r="D22" s="150"/>
      <c r="E22" s="149"/>
      <c r="F22" s="676"/>
      <c r="G22" s="676"/>
      <c r="H22" s="676"/>
      <c r="I22" s="140"/>
      <c r="J22" s="36"/>
      <c r="K22" s="676"/>
      <c r="L22" s="676"/>
      <c r="M22" s="676"/>
      <c r="N22" s="140"/>
      <c r="O22" s="36"/>
      <c r="P22" s="676"/>
      <c r="Q22" s="676"/>
      <c r="R22" s="676"/>
      <c r="S22" s="140"/>
      <c r="T22" s="36"/>
      <c r="U22" s="676"/>
      <c r="V22" s="676"/>
      <c r="W22" s="676"/>
      <c r="X22" s="140"/>
      <c r="Y22" s="36"/>
      <c r="Z22" s="676"/>
      <c r="AA22" s="676"/>
      <c r="AB22" s="676"/>
      <c r="AC22" s="140"/>
      <c r="AD22" s="36"/>
      <c r="AE22" s="676"/>
      <c r="AF22" s="676"/>
      <c r="AG22" s="676"/>
      <c r="AH22" s="140"/>
      <c r="AI22" s="36"/>
      <c r="AJ22" s="676"/>
      <c r="AK22" s="676"/>
      <c r="AL22" s="676"/>
      <c r="AM22" s="140"/>
      <c r="AN22" s="36"/>
      <c r="AO22" s="676"/>
      <c r="AP22" s="676"/>
      <c r="AQ22" s="676"/>
      <c r="AR22" s="140"/>
      <c r="AS22" s="36"/>
      <c r="AT22" s="1388"/>
      <c r="AU22" s="1388"/>
      <c r="AV22" s="1388"/>
      <c r="AW22" s="141"/>
      <c r="AX22" s="139"/>
      <c r="AY22" s="676"/>
      <c r="AZ22" s="676"/>
      <c r="BA22" s="676"/>
      <c r="BB22" s="36"/>
      <c r="BC22" s="36"/>
      <c r="BD22" s="676"/>
      <c r="BE22" s="676"/>
      <c r="BF22" s="676"/>
      <c r="BG22" s="36"/>
      <c r="BH22" s="36"/>
    </row>
    <row r="23" spans="1:80" ht="18.75" hidden="1" x14ac:dyDescent="0.25">
      <c r="A23" s="1395"/>
      <c r="B23" s="1395"/>
      <c r="C23" s="1395"/>
      <c r="D23" s="149"/>
      <c r="E23" s="149"/>
      <c r="F23" s="676"/>
      <c r="G23" s="676"/>
      <c r="H23" s="676"/>
      <c r="I23" s="36"/>
      <c r="J23" s="36"/>
      <c r="K23" s="676"/>
      <c r="L23" s="676"/>
      <c r="M23" s="676"/>
      <c r="N23" s="36"/>
      <c r="O23" s="36"/>
      <c r="P23" s="676"/>
      <c r="Q23" s="676"/>
      <c r="R23" s="676"/>
      <c r="S23" s="36"/>
      <c r="T23" s="36"/>
      <c r="U23" s="676"/>
      <c r="V23" s="676"/>
      <c r="W23" s="676"/>
      <c r="X23" s="36"/>
      <c r="Y23" s="36"/>
      <c r="Z23" s="676"/>
      <c r="AA23" s="676"/>
      <c r="AB23" s="676"/>
      <c r="AC23" s="36"/>
      <c r="AD23" s="36"/>
      <c r="AE23" s="676"/>
      <c r="AF23" s="676"/>
      <c r="AG23" s="676"/>
      <c r="AH23" s="36"/>
      <c r="AI23" s="36"/>
      <c r="AJ23" s="676"/>
      <c r="AK23" s="676"/>
      <c r="AL23" s="676"/>
      <c r="AM23" s="36"/>
      <c r="AN23" s="36"/>
      <c r="AO23" s="676"/>
      <c r="AP23" s="676"/>
      <c r="AQ23" s="676"/>
      <c r="AR23" s="36"/>
      <c r="AS23" s="36"/>
      <c r="AT23" s="1388"/>
      <c r="AU23" s="1388"/>
      <c r="AV23" s="1388"/>
      <c r="AW23" s="139"/>
      <c r="AX23" s="139"/>
      <c r="AY23" s="676"/>
      <c r="AZ23" s="676"/>
      <c r="BA23" s="676"/>
      <c r="BB23" s="36"/>
      <c r="BC23" s="36"/>
      <c r="BD23" s="676"/>
      <c r="BE23" s="676"/>
      <c r="BF23" s="676"/>
      <c r="BG23" s="36"/>
      <c r="BH23" s="36"/>
    </row>
    <row r="24" spans="1:80" ht="77.25" hidden="1" x14ac:dyDescent="0.25">
      <c r="A24" s="1398"/>
      <c r="B24" s="1399"/>
      <c r="C24" s="1399"/>
      <c r="D24" s="1399"/>
      <c r="E24" s="1399"/>
      <c r="F24" s="1370"/>
      <c r="G24" s="1371"/>
      <c r="H24" s="1371"/>
      <c r="I24" s="1371"/>
      <c r="J24" s="1371"/>
      <c r="K24" s="1370"/>
      <c r="L24" s="1371"/>
      <c r="M24" s="1371"/>
      <c r="N24" s="1371"/>
      <c r="O24" s="1371"/>
      <c r="P24" s="1370"/>
      <c r="Q24" s="1371"/>
      <c r="R24" s="1371"/>
      <c r="S24" s="1371"/>
      <c r="T24" s="1371"/>
      <c r="U24" s="1370"/>
      <c r="V24" s="1371"/>
      <c r="W24" s="1371"/>
      <c r="X24" s="1371"/>
      <c r="Y24" s="1371"/>
      <c r="Z24" s="1370"/>
      <c r="AA24" s="1371"/>
      <c r="AB24" s="1371"/>
      <c r="AC24" s="1371"/>
      <c r="AD24" s="1371"/>
      <c r="AE24" s="1370"/>
      <c r="AF24" s="1371"/>
      <c r="AG24" s="1371"/>
      <c r="AH24" s="1371"/>
      <c r="AI24" s="1371"/>
      <c r="AJ24" s="1370"/>
      <c r="AK24" s="1371"/>
      <c r="AL24" s="1371"/>
      <c r="AM24" s="1371"/>
      <c r="AN24" s="1371"/>
      <c r="AO24" s="1370"/>
      <c r="AP24" s="1371"/>
      <c r="AQ24" s="1371"/>
      <c r="AR24" s="1371"/>
      <c r="AS24" s="1371"/>
      <c r="AT24" s="1439"/>
      <c r="AU24" s="1440"/>
      <c r="AV24" s="1440"/>
      <c r="AW24" s="1440"/>
      <c r="AX24" s="1440"/>
      <c r="AY24" s="677"/>
      <c r="AZ24" s="1332"/>
      <c r="BA24" s="1332"/>
      <c r="BB24" s="1332"/>
      <c r="BC24" s="1332"/>
      <c r="BD24" s="677"/>
      <c r="BE24" s="1332"/>
      <c r="BF24" s="1332"/>
      <c r="BG24" s="1332"/>
      <c r="BH24" s="1332"/>
      <c r="BM24" s="51"/>
      <c r="BN24" s="51"/>
      <c r="BO24" s="51"/>
      <c r="BP24" s="51"/>
      <c r="BQ24" s="51"/>
      <c r="BR24" s="51"/>
      <c r="BW24" s="27"/>
      <c r="BX24" s="27"/>
      <c r="BY24" s="27"/>
      <c r="BZ24" s="27"/>
      <c r="CA24" s="27"/>
      <c r="CB24" s="27"/>
    </row>
    <row r="25" spans="1:80" ht="26.25" hidden="1" x14ac:dyDescent="0.25">
      <c r="A25" s="1398"/>
      <c r="B25" s="151"/>
      <c r="C25" s="152"/>
      <c r="D25" s="153"/>
      <c r="E25" s="154"/>
      <c r="F25" s="1370"/>
      <c r="G25" s="32"/>
      <c r="H25" s="33"/>
      <c r="I25" s="34"/>
      <c r="J25" s="35"/>
      <c r="K25" s="1370"/>
      <c r="L25" s="32"/>
      <c r="M25" s="33"/>
      <c r="N25" s="34"/>
      <c r="O25" s="35"/>
      <c r="P25" s="1370"/>
      <c r="Q25" s="32"/>
      <c r="R25" s="33"/>
      <c r="S25" s="34"/>
      <c r="T25" s="35"/>
      <c r="U25" s="1370"/>
      <c r="V25" s="32"/>
      <c r="W25" s="33"/>
      <c r="X25" s="34"/>
      <c r="Y25" s="35"/>
      <c r="Z25" s="1370"/>
      <c r="AA25" s="32"/>
      <c r="AB25" s="33"/>
      <c r="AC25" s="34"/>
      <c r="AD25" s="35"/>
      <c r="AE25" s="1370"/>
      <c r="AF25" s="32"/>
      <c r="AG25" s="33"/>
      <c r="AH25" s="34"/>
      <c r="AI25" s="35"/>
      <c r="AJ25" s="1370"/>
      <c r="AK25" s="32"/>
      <c r="AL25" s="33"/>
      <c r="AM25" s="34"/>
      <c r="AN25" s="35"/>
      <c r="AO25" s="1370"/>
      <c r="AP25" s="32"/>
      <c r="AQ25" s="33"/>
      <c r="AR25" s="34"/>
      <c r="AS25" s="35"/>
      <c r="AT25" s="1439"/>
      <c r="AU25" s="155"/>
      <c r="AV25" s="148"/>
      <c r="AW25" s="156"/>
      <c r="AX25" s="157"/>
      <c r="AY25" s="677"/>
      <c r="AZ25" s="137"/>
      <c r="BA25" s="33"/>
      <c r="BB25" s="138"/>
      <c r="BC25" s="35"/>
      <c r="BD25" s="677"/>
      <c r="BE25" s="137"/>
      <c r="BF25" s="33"/>
      <c r="BG25" s="138"/>
      <c r="BH25" s="35"/>
      <c r="BM25" s="51"/>
      <c r="BN25" s="51"/>
      <c r="BO25" s="51"/>
      <c r="BP25" s="51"/>
      <c r="BQ25" s="51"/>
      <c r="BR25" s="51"/>
      <c r="BW25" s="27"/>
      <c r="BX25" s="27"/>
      <c r="BY25" s="27"/>
      <c r="BZ25" s="27"/>
      <c r="CA25" s="27"/>
      <c r="CB25" s="27"/>
    </row>
    <row r="26" spans="1:80" ht="26.25" hidden="1" x14ac:dyDescent="0.25">
      <c r="A26" s="1396"/>
      <c r="B26" s="1396"/>
      <c r="C26" s="1396"/>
      <c r="D26" s="1397"/>
      <c r="E26" s="1397"/>
      <c r="F26" s="674"/>
      <c r="G26" s="674"/>
      <c r="H26" s="674"/>
      <c r="I26" s="1300"/>
      <c r="J26" s="1300"/>
      <c r="K26" s="674"/>
      <c r="L26" s="674"/>
      <c r="M26" s="674"/>
      <c r="N26" s="1300"/>
      <c r="O26" s="1300"/>
      <c r="P26" s="674"/>
      <c r="Q26" s="674"/>
      <c r="R26" s="674"/>
      <c r="S26" s="1300"/>
      <c r="T26" s="1300"/>
      <c r="U26" s="674"/>
      <c r="V26" s="674"/>
      <c r="W26" s="674"/>
      <c r="X26" s="1300"/>
      <c r="Y26" s="1300"/>
      <c r="Z26" s="674"/>
      <c r="AA26" s="674"/>
      <c r="AB26" s="674"/>
      <c r="AC26" s="1300"/>
      <c r="AD26" s="1300"/>
      <c r="AE26" s="674"/>
      <c r="AF26" s="674"/>
      <c r="AG26" s="674"/>
      <c r="AH26" s="1300"/>
      <c r="AI26" s="1300"/>
      <c r="AJ26" s="44"/>
      <c r="AK26" s="44"/>
      <c r="AP26" s="44"/>
      <c r="AQ26" s="44"/>
      <c r="AT26" s="1389"/>
      <c r="AU26" s="1389"/>
      <c r="AV26" s="1389"/>
      <c r="AW26" s="1390"/>
      <c r="AX26" s="1390"/>
      <c r="AY26" s="674"/>
      <c r="AZ26" s="674"/>
      <c r="BA26" s="674"/>
      <c r="BB26" s="1300"/>
      <c r="BC26" s="1300"/>
      <c r="BD26" s="674"/>
      <c r="BE26" s="674"/>
      <c r="BF26" s="674"/>
      <c r="BG26" s="1300"/>
      <c r="BH26" s="1300"/>
      <c r="BM26" s="51"/>
      <c r="BN26" s="51"/>
      <c r="BO26" s="51"/>
      <c r="BP26" s="51"/>
      <c r="BQ26" s="51"/>
      <c r="BR26" s="51"/>
      <c r="BW26" s="27"/>
      <c r="BX26" s="27"/>
      <c r="BY26" s="27"/>
      <c r="BZ26" s="27"/>
      <c r="CA26" s="27"/>
      <c r="CB26" s="27"/>
    </row>
    <row r="27" spans="1:80" ht="21" hidden="1" x14ac:dyDescent="0.25">
      <c r="A27" s="1395"/>
      <c r="B27" s="1395"/>
      <c r="C27" s="1395"/>
      <c r="D27" s="149"/>
      <c r="E27" s="149"/>
      <c r="F27" s="676"/>
      <c r="G27" s="676"/>
      <c r="H27" s="676"/>
      <c r="I27" s="36"/>
      <c r="J27" s="36"/>
      <c r="K27" s="676"/>
      <c r="L27" s="676"/>
      <c r="M27" s="676"/>
      <c r="N27" s="36"/>
      <c r="O27" s="36"/>
      <c r="P27" s="676"/>
      <c r="Q27" s="676"/>
      <c r="R27" s="676"/>
      <c r="S27" s="36"/>
      <c r="T27" s="36"/>
      <c r="U27" s="676"/>
      <c r="V27" s="676"/>
      <c r="W27" s="676"/>
      <c r="X27" s="36"/>
      <c r="Y27" s="36"/>
      <c r="Z27" s="676"/>
      <c r="AA27" s="676"/>
      <c r="AB27" s="676"/>
      <c r="AC27" s="36"/>
      <c r="AD27" s="36"/>
      <c r="AE27" s="676"/>
      <c r="AF27" s="676"/>
      <c r="AG27" s="676"/>
      <c r="AH27" s="36"/>
      <c r="AI27" s="36"/>
      <c r="AJ27" s="47"/>
      <c r="AK27" s="47"/>
      <c r="AP27" s="47"/>
      <c r="AQ27" s="47"/>
      <c r="AT27" s="1388"/>
      <c r="AU27" s="1388"/>
      <c r="AV27" s="1388"/>
      <c r="AW27" s="139"/>
      <c r="AX27" s="139"/>
      <c r="AY27" s="676"/>
      <c r="AZ27" s="676"/>
      <c r="BA27" s="676"/>
      <c r="BB27" s="36"/>
      <c r="BC27" s="36"/>
      <c r="BD27" s="676"/>
      <c r="BE27" s="676"/>
      <c r="BF27" s="676"/>
      <c r="BG27" s="36"/>
      <c r="BH27" s="36"/>
    </row>
    <row r="28" spans="1:80" ht="36" hidden="1" x14ac:dyDescent="0.25">
      <c r="A28" s="1395"/>
      <c r="B28" s="1395"/>
      <c r="C28" s="1395"/>
      <c r="D28" s="150"/>
      <c r="E28" s="149"/>
      <c r="F28" s="676"/>
      <c r="G28" s="676"/>
      <c r="H28" s="676"/>
      <c r="I28" s="140"/>
      <c r="J28" s="36"/>
      <c r="K28" s="676"/>
      <c r="L28" s="676"/>
      <c r="M28" s="676"/>
      <c r="N28" s="140"/>
      <c r="O28" s="36"/>
      <c r="P28" s="676"/>
      <c r="Q28" s="676"/>
      <c r="R28" s="676"/>
      <c r="S28" s="140"/>
      <c r="T28" s="36"/>
      <c r="U28" s="676"/>
      <c r="V28" s="676"/>
      <c r="W28" s="676"/>
      <c r="X28" s="140"/>
      <c r="Y28" s="36"/>
      <c r="Z28" s="676"/>
      <c r="AA28" s="676"/>
      <c r="AB28" s="676"/>
      <c r="AC28" s="140"/>
      <c r="AD28" s="36"/>
      <c r="AE28" s="676"/>
      <c r="AF28" s="676"/>
      <c r="AG28" s="676"/>
      <c r="AH28" s="36"/>
      <c r="AI28" s="36"/>
      <c r="AJ28" s="47"/>
      <c r="AK28" s="47"/>
      <c r="AP28" s="47"/>
      <c r="AQ28" s="47"/>
      <c r="AT28" s="1388"/>
      <c r="AU28" s="1388"/>
      <c r="AV28" s="1388"/>
      <c r="AW28" s="139"/>
      <c r="AX28" s="139"/>
      <c r="AY28" s="676"/>
      <c r="AZ28" s="676"/>
      <c r="BA28" s="676"/>
      <c r="BB28" s="36"/>
      <c r="BC28" s="36"/>
      <c r="BD28" s="676"/>
      <c r="BE28" s="676"/>
      <c r="BF28" s="676"/>
      <c r="BG28" s="36"/>
      <c r="BH28" s="36"/>
    </row>
    <row r="29" spans="1:80" ht="21" hidden="1" x14ac:dyDescent="0.25">
      <c r="A29" s="1395"/>
      <c r="B29" s="1395"/>
      <c r="C29" s="1395"/>
      <c r="D29" s="149"/>
      <c r="E29" s="149"/>
      <c r="F29" s="676"/>
      <c r="G29" s="676"/>
      <c r="H29" s="676"/>
      <c r="I29" s="36"/>
      <c r="J29" s="36"/>
      <c r="K29" s="676"/>
      <c r="L29" s="676"/>
      <c r="M29" s="676"/>
      <c r="N29" s="36"/>
      <c r="O29" s="36"/>
      <c r="P29" s="676"/>
      <c r="Q29" s="676"/>
      <c r="R29" s="676"/>
      <c r="S29" s="36"/>
      <c r="T29" s="36"/>
      <c r="U29" s="676"/>
      <c r="V29" s="676"/>
      <c r="W29" s="676"/>
      <c r="X29" s="36"/>
      <c r="Y29" s="36"/>
      <c r="Z29" s="676"/>
      <c r="AA29" s="676"/>
      <c r="AB29" s="676"/>
      <c r="AC29" s="36"/>
      <c r="AD29" s="36"/>
      <c r="AE29" s="676"/>
      <c r="AF29" s="676"/>
      <c r="AG29" s="676"/>
      <c r="AH29" s="36"/>
      <c r="AI29" s="36"/>
      <c r="AJ29" s="47"/>
      <c r="AK29" s="47"/>
      <c r="AP29" s="47"/>
      <c r="AQ29" s="47"/>
      <c r="AR29" s="36"/>
      <c r="AS29" s="36"/>
      <c r="AT29" s="1388"/>
      <c r="AU29" s="1388"/>
      <c r="AV29" s="1388"/>
      <c r="AW29" s="139"/>
      <c r="AX29" s="139"/>
      <c r="AY29" s="676"/>
      <c r="AZ29" s="676"/>
      <c r="BA29" s="676"/>
      <c r="BB29" s="36"/>
      <c r="BC29" s="36"/>
      <c r="BD29" s="676"/>
      <c r="BE29" s="676"/>
      <c r="BF29" s="676"/>
      <c r="BG29" s="36"/>
      <c r="BH29" s="36"/>
    </row>
    <row r="30" spans="1:80" ht="77.25" hidden="1" x14ac:dyDescent="0.25">
      <c r="A30" s="1400"/>
      <c r="B30" s="1401"/>
      <c r="C30" s="1401"/>
      <c r="D30" s="1401"/>
      <c r="E30" s="1401"/>
      <c r="F30" s="1370"/>
      <c r="G30" s="1371"/>
      <c r="H30" s="1371"/>
      <c r="I30" s="1371"/>
      <c r="J30" s="1371"/>
      <c r="K30" s="1370"/>
      <c r="L30" s="1371"/>
      <c r="M30" s="1371"/>
      <c r="N30" s="1371"/>
      <c r="O30" s="1371"/>
      <c r="P30" s="1370"/>
      <c r="Q30" s="1371"/>
      <c r="R30" s="1371"/>
      <c r="S30" s="1371"/>
      <c r="T30" s="1371"/>
      <c r="U30" s="1370"/>
      <c r="V30" s="1371"/>
      <c r="W30" s="1371"/>
      <c r="X30" s="1371"/>
      <c r="Y30" s="1371"/>
      <c r="Z30" s="1370"/>
      <c r="AA30" s="1371"/>
      <c r="AB30" s="1371"/>
      <c r="AC30" s="1371"/>
      <c r="AD30" s="1371"/>
      <c r="AE30" s="677"/>
      <c r="AF30" s="1332"/>
      <c r="AG30" s="1332"/>
      <c r="AH30" s="1332"/>
      <c r="AI30" s="1332"/>
      <c r="AJ30" s="70"/>
      <c r="AR30" s="132"/>
      <c r="AS30" s="132"/>
      <c r="AT30" s="677"/>
      <c r="AU30" s="1332"/>
      <c r="AV30" s="1332"/>
      <c r="AW30" s="1332"/>
      <c r="AX30" s="1332"/>
      <c r="AY30" s="677"/>
      <c r="AZ30" s="1332"/>
      <c r="BA30" s="1332"/>
      <c r="BB30" s="1332"/>
      <c r="BC30" s="1332"/>
      <c r="BD30" s="677" t="s">
        <v>254</v>
      </c>
      <c r="BE30" s="1332"/>
      <c r="BF30" s="1332"/>
      <c r="BG30" s="1332"/>
      <c r="BH30" s="1332"/>
      <c r="BM30" s="51"/>
      <c r="BN30" s="51"/>
      <c r="BO30" s="51"/>
      <c r="BP30" s="51"/>
      <c r="BQ30" s="51"/>
      <c r="BR30" s="51"/>
      <c r="BW30" s="27"/>
      <c r="BX30" s="27"/>
      <c r="BY30" s="27"/>
      <c r="BZ30" s="27"/>
      <c r="CA30" s="27"/>
      <c r="CB30" s="27"/>
    </row>
    <row r="31" spans="1:80" ht="138.75" customHeight="1" x14ac:dyDescent="0.25">
      <c r="A31" s="1400"/>
      <c r="B31" s="158"/>
      <c r="C31" s="159"/>
      <c r="D31" s="160"/>
      <c r="E31" s="161"/>
      <c r="F31" s="1370"/>
      <c r="G31" s="32"/>
      <c r="H31" s="33"/>
      <c r="I31" s="34"/>
      <c r="J31" s="35"/>
      <c r="K31" s="1370"/>
      <c r="L31" s="32"/>
      <c r="M31" s="33"/>
      <c r="N31" s="34"/>
      <c r="O31" s="35"/>
      <c r="P31" s="1370"/>
      <c r="Q31" s="32"/>
      <c r="R31" s="33"/>
      <c r="S31" s="34"/>
      <c r="T31" s="35"/>
      <c r="U31" s="1370"/>
      <c r="V31" s="32"/>
      <c r="W31" s="33"/>
      <c r="X31" s="34"/>
      <c r="Y31" s="35"/>
      <c r="Z31" s="1370"/>
      <c r="AA31" s="32"/>
      <c r="AB31" s="33"/>
      <c r="AC31" s="34"/>
      <c r="AD31" s="35"/>
      <c r="AE31" s="677"/>
      <c r="AF31" s="137"/>
      <c r="AG31" s="33"/>
      <c r="AH31" s="138"/>
      <c r="AI31" s="35"/>
      <c r="AJ31" s="70"/>
      <c r="AK31" s="137"/>
      <c r="AL31" s="33"/>
      <c r="AM31" s="138"/>
      <c r="AN31" s="35"/>
      <c r="AO31" s="70"/>
      <c r="AP31" s="137"/>
      <c r="AQ31" s="33"/>
      <c r="AR31" s="138"/>
      <c r="AS31" s="35"/>
      <c r="AT31" s="677"/>
      <c r="AU31" s="137"/>
      <c r="AV31" s="33"/>
      <c r="AW31" s="138"/>
      <c r="AX31" s="35"/>
      <c r="AY31" s="677"/>
      <c r="AZ31" s="137" t="s">
        <v>16</v>
      </c>
      <c r="BA31" s="33"/>
      <c r="BB31" s="138"/>
      <c r="BC31" s="35"/>
      <c r="BD31" s="677"/>
      <c r="BE31" s="137" t="s">
        <v>15</v>
      </c>
      <c r="BF31" s="33"/>
      <c r="BG31" s="138"/>
      <c r="BH31" s="35"/>
      <c r="BM31" s="51"/>
      <c r="BN31" s="51"/>
      <c r="BO31" s="51"/>
      <c r="BP31" s="51"/>
      <c r="BQ31" s="51"/>
      <c r="BR31" s="51"/>
      <c r="BW31" s="27"/>
      <c r="BX31" s="27"/>
      <c r="BY31" s="27"/>
      <c r="BZ31" s="27"/>
      <c r="CA31" s="27"/>
      <c r="CB31" s="27"/>
    </row>
    <row r="32" spans="1:80" ht="61.5" customHeight="1" x14ac:dyDescent="0.25">
      <c r="A32" s="31"/>
      <c r="B32" s="162"/>
      <c r="C32" s="162"/>
      <c r="D32" s="162"/>
      <c r="F32" s="163"/>
      <c r="G32" s="163"/>
      <c r="H32" s="1413">
        <v>4</v>
      </c>
      <c r="I32" s="1413"/>
      <c r="J32" s="1413"/>
      <c r="K32" s="164"/>
      <c r="L32" s="160"/>
      <c r="M32" s="160"/>
      <c r="N32" s="160"/>
      <c r="O32" s="160"/>
      <c r="P32" s="160"/>
      <c r="Q32" s="1414" t="s">
        <v>255</v>
      </c>
      <c r="R32" s="1414"/>
      <c r="S32" s="1414"/>
      <c r="T32" s="1414"/>
      <c r="U32" s="1414"/>
      <c r="V32" s="1414"/>
      <c r="W32" s="165"/>
      <c r="X32" s="1409" t="s">
        <v>256</v>
      </c>
      <c r="Y32" s="1409"/>
      <c r="Z32" s="1409"/>
      <c r="AA32" s="1409"/>
      <c r="AB32" s="1409"/>
      <c r="AC32" s="1415">
        <f>B7+G7+L7+Q7+V7+AA7+AF7+AK7+AP7+AU7+AU13+AP13+AK13+AF13+AA13+V13+Q13+L13+G13+B13+B19</f>
        <v>3.9357999999999995</v>
      </c>
      <c r="AD32" s="1415"/>
      <c r="AE32" s="1415"/>
      <c r="AF32" s="1415"/>
      <c r="AG32" s="1415"/>
      <c r="AH32" s="1415"/>
      <c r="AI32" s="166"/>
      <c r="AJ32" s="1416" t="s">
        <v>119</v>
      </c>
      <c r="AK32" s="1416"/>
      <c r="AL32" s="1416"/>
      <c r="AM32" s="1416"/>
      <c r="AN32" s="1416"/>
      <c r="AO32" s="1417">
        <f>D7+I7+N7+S7+X7+AC7+AH7+AM7+AR7+AW7+AW13+AR13+AM13+AH13+AC13+X13+S13+N13+I13+D13+D19</f>
        <v>2</v>
      </c>
      <c r="AP32" s="1417"/>
      <c r="AQ32" s="1417"/>
      <c r="AR32" s="1417"/>
      <c r="AS32" s="1417"/>
      <c r="AT32" s="1402" t="s">
        <v>120</v>
      </c>
      <c r="AU32" s="1402"/>
      <c r="AV32" s="1402"/>
      <c r="AW32" s="1402"/>
      <c r="AX32" s="127"/>
      <c r="AY32" s="72"/>
      <c r="AZ32" s="72"/>
      <c r="BA32" s="72"/>
      <c r="BB32" s="72"/>
      <c r="BC32" s="72"/>
      <c r="BD32" s="72"/>
      <c r="BE32" t="s">
        <v>16</v>
      </c>
      <c r="BF32" s="167"/>
      <c r="BG32" s="167"/>
      <c r="BH32" s="167"/>
      <c r="BM32" s="51"/>
      <c r="BN32" s="51"/>
      <c r="BO32" s="51"/>
      <c r="BP32" s="51"/>
      <c r="BQ32" s="51"/>
      <c r="BR32" s="51"/>
      <c r="BW32" s="27"/>
      <c r="BX32" s="27"/>
      <c r="BY32" s="27"/>
      <c r="BZ32" s="27"/>
      <c r="CA32" s="27"/>
      <c r="CB32" s="27"/>
    </row>
    <row r="33" spans="1:80" ht="30" customHeight="1" x14ac:dyDescent="0.25">
      <c r="B33" s="162"/>
      <c r="C33" s="162"/>
      <c r="D33" s="162"/>
      <c r="E33" s="163"/>
      <c r="F33" s="163"/>
      <c r="G33" s="163"/>
      <c r="H33" s="1413"/>
      <c r="I33" s="1413"/>
      <c r="J33" s="1413"/>
      <c r="K33" s="168"/>
      <c r="L33" s="160"/>
      <c r="M33" s="160"/>
      <c r="N33" s="160"/>
      <c r="O33" s="160"/>
      <c r="P33" s="160"/>
      <c r="Q33" s="1414"/>
      <c r="R33" s="1414"/>
      <c r="S33" s="1414"/>
      <c r="T33" s="1414"/>
      <c r="U33" s="1414"/>
      <c r="V33" s="1414"/>
      <c r="W33" s="169"/>
      <c r="X33" s="1409"/>
      <c r="Y33" s="1409"/>
      <c r="Z33" s="1409"/>
      <c r="AA33" s="1409"/>
      <c r="AB33" s="1409"/>
      <c r="AC33" s="1415"/>
      <c r="AD33" s="1415"/>
      <c r="AE33" s="1415"/>
      <c r="AF33" s="1415"/>
      <c r="AG33" s="1415"/>
      <c r="AH33" s="1415"/>
      <c r="AI33" s="166"/>
      <c r="AJ33" s="1416"/>
      <c r="AK33" s="1416"/>
      <c r="AL33" s="1416"/>
      <c r="AM33" s="1416"/>
      <c r="AN33" s="1416"/>
      <c r="AO33" s="1417"/>
      <c r="AP33" s="1417"/>
      <c r="AQ33" s="1417"/>
      <c r="AR33" s="1417"/>
      <c r="AS33" s="1417"/>
      <c r="AT33" s="1402"/>
      <c r="AU33" s="1402"/>
      <c r="AV33" s="1402"/>
      <c r="AW33" s="1402"/>
      <c r="BI33" s="50"/>
      <c r="BJ33" s="50"/>
      <c r="BM33" s="51"/>
      <c r="BN33" s="51"/>
      <c r="BO33" s="51"/>
      <c r="BP33" s="51"/>
      <c r="BQ33" s="51"/>
      <c r="BR33" s="51"/>
      <c r="BS33" s="27"/>
      <c r="BT33" s="27"/>
      <c r="BU33" s="27"/>
      <c r="BW33" s="27"/>
      <c r="BX33" s="27"/>
      <c r="BY33" s="27"/>
      <c r="BZ33" s="27"/>
      <c r="CA33" s="27"/>
      <c r="CB33" s="27"/>
    </row>
    <row r="34" spans="1:80" ht="15" customHeight="1" x14ac:dyDescent="0.25">
      <c r="B34" s="162"/>
      <c r="C34" s="162"/>
      <c r="D34" s="162"/>
      <c r="E34" s="163"/>
      <c r="F34" s="163"/>
      <c r="G34" s="163"/>
      <c r="H34" s="168"/>
      <c r="I34" s="168"/>
      <c r="J34" s="168"/>
      <c r="K34" s="168"/>
      <c r="L34" s="160"/>
      <c r="M34" s="160"/>
      <c r="N34" s="160"/>
      <c r="O34" s="160"/>
      <c r="P34" s="160"/>
      <c r="Q34" s="1414"/>
      <c r="R34" s="1414"/>
      <c r="S34" s="1414"/>
      <c r="T34" s="1414"/>
      <c r="U34" s="1414"/>
      <c r="V34" s="1414"/>
      <c r="W34" s="169"/>
      <c r="X34" s="1409"/>
      <c r="Y34" s="1409"/>
      <c r="Z34" s="1409"/>
      <c r="AA34" s="1409"/>
      <c r="AB34" s="1409"/>
      <c r="AC34" s="1415"/>
      <c r="AD34" s="1415"/>
      <c r="AE34" s="1415"/>
      <c r="AF34" s="1415"/>
      <c r="AG34" s="1415"/>
      <c r="AH34" s="1415"/>
      <c r="AI34" s="166"/>
      <c r="AJ34" s="1416"/>
      <c r="AK34" s="1416"/>
      <c r="AL34" s="1416"/>
      <c r="AM34" s="1416"/>
      <c r="AN34" s="1416"/>
      <c r="AO34" s="1403">
        <f>AO32*1.5</f>
        <v>3</v>
      </c>
      <c r="AP34" s="1403"/>
      <c r="AQ34" s="1403"/>
      <c r="AR34" s="1403"/>
      <c r="AS34" s="1403"/>
      <c r="AT34" s="1403"/>
      <c r="AU34" s="1403"/>
      <c r="AV34" s="1404" t="s">
        <v>121</v>
      </c>
      <c r="AW34" s="1404"/>
      <c r="BI34" s="50"/>
      <c r="BJ34" s="50"/>
      <c r="BM34" s="27"/>
      <c r="BN34" s="27"/>
      <c r="BO34" s="27"/>
      <c r="BP34" s="27"/>
      <c r="BQ34" s="27"/>
      <c r="BR34" s="27"/>
      <c r="BS34" s="27"/>
      <c r="BT34" s="27"/>
      <c r="BU34" s="27"/>
      <c r="BW34" s="27"/>
      <c r="BX34" s="27"/>
      <c r="BY34" s="27"/>
      <c r="BZ34" s="27"/>
      <c r="CA34" s="27"/>
      <c r="CB34" s="27"/>
    </row>
    <row r="35" spans="1:80" ht="54.75" customHeight="1" x14ac:dyDescent="0.25">
      <c r="B35" s="162"/>
      <c r="C35" s="162"/>
      <c r="D35" s="162"/>
      <c r="E35" s="163"/>
      <c r="F35" s="163"/>
      <c r="G35" s="163"/>
      <c r="H35" s="1405" cm="1">
        <f t="array" aca="1" ref="H35" ca="1">SUM(COUNTIF(INDIRECT({"B7","G7","L7","Q7","V7","AA7","AF7","AK7","AP7","AU7","B13","G13","L13","Q13","V13","AA13","AF13","AK13","AP13","AU13","B19","G19","L19","Q19","V19","AA19"}),"&gt;0"))</f>
        <v>3</v>
      </c>
      <c r="I35" s="1405"/>
      <c r="J35" s="1405"/>
      <c r="K35" s="168"/>
      <c r="L35" s="160"/>
      <c r="M35" s="160"/>
      <c r="N35" s="160"/>
      <c r="O35" s="160"/>
      <c r="P35" s="160"/>
      <c r="Q35" s="2295" t="s">
        <v>13</v>
      </c>
      <c r="R35" s="2296"/>
      <c r="S35" s="2296"/>
      <c r="T35" s="2296"/>
      <c r="U35" s="2296"/>
      <c r="V35" s="2296"/>
      <c r="W35" s="169"/>
      <c r="X35" s="1409"/>
      <c r="Y35" s="1409"/>
      <c r="Z35" s="1409"/>
      <c r="AA35" s="1409"/>
      <c r="AB35" s="1409"/>
      <c r="AC35" s="1415"/>
      <c r="AD35" s="1415"/>
      <c r="AE35" s="1415"/>
      <c r="AF35" s="1415"/>
      <c r="AG35" s="1415"/>
      <c r="AH35" s="1415"/>
      <c r="AI35" s="166"/>
      <c r="AJ35" s="1416"/>
      <c r="AK35" s="1416"/>
      <c r="AL35" s="1416"/>
      <c r="AM35" s="1416"/>
      <c r="AN35" s="1416"/>
      <c r="AO35" s="1403"/>
      <c r="AP35" s="1403"/>
      <c r="AQ35" s="1403"/>
      <c r="AR35" s="1403"/>
      <c r="AS35" s="1403"/>
      <c r="AT35" s="1403"/>
      <c r="AU35" s="1403"/>
      <c r="AV35" s="1404"/>
      <c r="AW35" s="1404"/>
      <c r="BI35" s="50"/>
      <c r="BJ35" s="50"/>
      <c r="BM35" s="27"/>
      <c r="BN35" s="27"/>
      <c r="BO35" s="27"/>
      <c r="BP35" s="27"/>
      <c r="BQ35" s="27"/>
      <c r="BR35" s="27"/>
      <c r="BS35" s="27"/>
      <c r="BT35" s="27"/>
      <c r="BU35" s="27"/>
      <c r="BW35" s="27"/>
      <c r="BX35" s="27"/>
      <c r="BY35" s="27"/>
      <c r="BZ35" s="27"/>
      <c r="CA35" s="27"/>
      <c r="CB35" s="27"/>
    </row>
    <row r="36" spans="1:80" ht="65.25" customHeight="1" x14ac:dyDescent="0.25">
      <c r="B36" s="162"/>
      <c r="C36" s="162"/>
      <c r="D36" s="162"/>
      <c r="E36" s="162"/>
      <c r="F36" s="162"/>
      <c r="G36" s="164"/>
      <c r="H36" s="1408"/>
      <c r="I36" s="1408"/>
      <c r="J36" s="1408"/>
      <c r="K36" s="168"/>
      <c r="L36" s="160"/>
      <c r="M36" s="160"/>
      <c r="N36" s="160"/>
      <c r="O36" s="160"/>
      <c r="P36" s="160"/>
      <c r="Q36" s="2296"/>
      <c r="R36" s="2296"/>
      <c r="S36" s="2296"/>
      <c r="T36" s="2296"/>
      <c r="U36" s="2296"/>
      <c r="V36" s="2296"/>
      <c r="W36" s="169"/>
      <c r="X36" s="1409"/>
      <c r="Y36" s="1409"/>
      <c r="Z36" s="1409"/>
      <c r="AA36" s="1409"/>
      <c r="AB36" s="1409"/>
      <c r="AC36" s="1415"/>
      <c r="AD36" s="1415"/>
      <c r="AE36" s="1415"/>
      <c r="AF36" s="1415"/>
      <c r="AG36" s="1415"/>
      <c r="AH36" s="1415"/>
      <c r="AI36" s="166"/>
      <c r="AJ36" s="1416"/>
      <c r="AK36" s="1416"/>
      <c r="AL36" s="1416"/>
      <c r="AM36" s="1416"/>
      <c r="AN36" s="1416"/>
      <c r="AO36" s="1403"/>
      <c r="AP36" s="1403"/>
      <c r="AQ36" s="1403"/>
      <c r="AR36" s="1403"/>
      <c r="AS36" s="1403"/>
      <c r="AT36" s="1403"/>
      <c r="AU36" s="1403"/>
      <c r="AV36" s="1404"/>
      <c r="AW36" s="1404"/>
      <c r="BI36" s="50"/>
      <c r="BJ36" s="50"/>
      <c r="BM36" s="27"/>
      <c r="BN36" s="27"/>
      <c r="BO36" s="27"/>
      <c r="BP36" s="27"/>
      <c r="BQ36" s="27"/>
      <c r="BR36" s="27"/>
      <c r="BS36" s="27"/>
      <c r="BT36" s="27"/>
      <c r="BU36" s="27"/>
      <c r="BW36" s="27"/>
      <c r="BX36" s="27"/>
      <c r="BY36" s="27"/>
      <c r="BZ36" s="27"/>
      <c r="CA36" s="27"/>
      <c r="CB36" s="27"/>
    </row>
    <row r="37" spans="1:80" ht="15" customHeight="1" x14ac:dyDescent="0.25">
      <c r="B37" s="162"/>
      <c r="C37" s="162"/>
      <c r="D37" s="162"/>
      <c r="E37" s="162"/>
      <c r="F37" s="162"/>
      <c r="G37" s="164"/>
      <c r="H37" s="1408"/>
      <c r="I37" s="1408"/>
      <c r="J37" s="1408"/>
      <c r="K37" s="164"/>
      <c r="L37" s="165"/>
      <c r="M37" s="165"/>
      <c r="N37" s="165"/>
      <c r="O37" s="165"/>
      <c r="P37" s="165"/>
      <c r="Q37" s="2296"/>
      <c r="R37" s="2296"/>
      <c r="S37" s="2296"/>
      <c r="T37" s="2296"/>
      <c r="U37" s="2296"/>
      <c r="V37" s="2296"/>
      <c r="W37" s="165"/>
      <c r="X37" s="1409" t="s">
        <v>257</v>
      </c>
      <c r="Y37" s="1409"/>
      <c r="Z37" s="1409"/>
      <c r="AA37" s="1409"/>
      <c r="AB37" s="1409"/>
      <c r="AC37" s="1410">
        <f>AC32-AD45</f>
        <v>0</v>
      </c>
      <c r="AD37" s="1410"/>
      <c r="AE37" s="1410"/>
      <c r="AF37" s="1410"/>
      <c r="AG37" s="1410"/>
      <c r="AH37" s="1410"/>
      <c r="AI37" s="166"/>
      <c r="AJ37" s="1416"/>
      <c r="AK37" s="1416"/>
      <c r="AL37" s="1416"/>
      <c r="AM37" s="1416"/>
      <c r="AN37" s="1416"/>
      <c r="AO37" s="1403"/>
      <c r="AP37" s="1403"/>
      <c r="AQ37" s="1403"/>
      <c r="AR37" s="1403"/>
      <c r="AS37" s="1403"/>
      <c r="AT37" s="1403"/>
      <c r="AU37" s="1403"/>
      <c r="AV37" s="1404"/>
      <c r="AW37" s="1404"/>
      <c r="BI37" s="53"/>
      <c r="BJ37" s="53"/>
    </row>
    <row r="38" spans="1:80" ht="28.5" customHeight="1" x14ac:dyDescent="0.25">
      <c r="B38" s="162"/>
      <c r="C38" s="162"/>
      <c r="D38" s="162"/>
      <c r="E38" s="162"/>
      <c r="F38" s="162"/>
      <c r="G38" s="164"/>
      <c r="H38" s="1411"/>
      <c r="I38" s="1411"/>
      <c r="J38" s="1411"/>
      <c r="K38" s="168"/>
      <c r="L38" s="165"/>
      <c r="M38" s="165"/>
      <c r="N38" s="165"/>
      <c r="O38" s="165"/>
      <c r="P38" s="165"/>
      <c r="Q38" s="2296"/>
      <c r="R38" s="2296"/>
      <c r="S38" s="2296"/>
      <c r="T38" s="2296"/>
      <c r="U38" s="2296"/>
      <c r="V38" s="2296"/>
      <c r="W38" s="165"/>
      <c r="X38" s="1409"/>
      <c r="Y38" s="1409"/>
      <c r="Z38" s="1409"/>
      <c r="AA38" s="1409"/>
      <c r="AB38" s="1409"/>
      <c r="AC38" s="1410"/>
      <c r="AD38" s="1410"/>
      <c r="AE38" s="1410"/>
      <c r="AF38" s="1410"/>
      <c r="AG38" s="1410"/>
      <c r="AH38" s="1410"/>
      <c r="AI38" s="166"/>
      <c r="AJ38" s="1416"/>
      <c r="AK38" s="1416"/>
      <c r="AL38" s="1416"/>
      <c r="AM38" s="1416"/>
      <c r="AN38" s="1416"/>
      <c r="AO38" s="1403"/>
      <c r="AP38" s="1403"/>
      <c r="AQ38" s="1403"/>
      <c r="AR38" s="1403"/>
      <c r="AS38" s="1403"/>
      <c r="AT38" s="1403"/>
      <c r="AU38" s="1403"/>
      <c r="AV38" s="1404"/>
      <c r="AW38" s="1404"/>
      <c r="BI38" s="53"/>
      <c r="BJ38" s="53"/>
    </row>
    <row r="39" spans="1:80" ht="15" customHeight="1" x14ac:dyDescent="0.25">
      <c r="B39" s="162"/>
      <c r="C39" s="162"/>
      <c r="D39" s="162"/>
      <c r="E39" s="162"/>
      <c r="F39" s="162"/>
      <c r="G39" s="164"/>
      <c r="H39" s="1411"/>
      <c r="I39" s="1411"/>
      <c r="J39" s="1411"/>
      <c r="K39" s="168"/>
      <c r="L39" s="165"/>
      <c r="M39" s="165"/>
      <c r="N39" s="165"/>
      <c r="O39" s="165"/>
      <c r="P39" s="165"/>
      <c r="Q39" s="2296"/>
      <c r="R39" s="2296"/>
      <c r="S39" s="2296"/>
      <c r="T39" s="2296"/>
      <c r="U39" s="2296"/>
      <c r="V39" s="2296"/>
      <c r="W39" s="165"/>
      <c r="X39" s="1409"/>
      <c r="Y39" s="1409"/>
      <c r="Z39" s="1409"/>
      <c r="AA39" s="1409"/>
      <c r="AB39" s="1409"/>
      <c r="AC39" s="1410"/>
      <c r="AD39" s="1410"/>
      <c r="AE39" s="1410"/>
      <c r="AF39" s="1410"/>
      <c r="AG39" s="1410"/>
      <c r="AH39" s="1410"/>
      <c r="AI39" s="166"/>
      <c r="AJ39" s="1416"/>
      <c r="AK39" s="1416"/>
      <c r="AL39" s="1416"/>
      <c r="AM39" s="1416"/>
      <c r="AN39" s="1416"/>
      <c r="AO39" s="1403"/>
      <c r="AP39" s="1403"/>
      <c r="AQ39" s="1403"/>
      <c r="AR39" s="1403"/>
      <c r="AS39" s="1403"/>
      <c r="AT39" s="1403"/>
      <c r="AU39" s="1403"/>
      <c r="AV39" s="1404"/>
      <c r="AW39" s="1404"/>
      <c r="BI39" s="53"/>
      <c r="BJ39" s="53"/>
    </row>
    <row r="40" spans="1:80" ht="42.75" customHeight="1" x14ac:dyDescent="0.35">
      <c r="A40" s="54"/>
      <c r="B40" s="162"/>
      <c r="C40" s="162"/>
      <c r="D40" s="162"/>
      <c r="E40" s="162"/>
      <c r="F40" s="162"/>
      <c r="G40" s="164"/>
      <c r="H40" s="1411"/>
      <c r="I40" s="1411"/>
      <c r="J40" s="1411"/>
      <c r="K40" s="168"/>
      <c r="L40" s="165"/>
      <c r="M40" s="165"/>
      <c r="N40" s="165"/>
      <c r="O40" s="165"/>
      <c r="P40" s="165"/>
      <c r="Q40" s="2296"/>
      <c r="R40" s="2296"/>
      <c r="S40" s="2296"/>
      <c r="T40" s="2296"/>
      <c r="U40" s="2296"/>
      <c r="V40" s="2296"/>
      <c r="W40" s="165"/>
      <c r="X40" s="1409"/>
      <c r="Y40" s="1409"/>
      <c r="Z40" s="1409"/>
      <c r="AA40" s="1409"/>
      <c r="AB40" s="1409"/>
      <c r="AC40" s="1410"/>
      <c r="AD40" s="1410"/>
      <c r="AE40" s="1410"/>
      <c r="AF40" s="1410"/>
      <c r="AG40" s="1410"/>
      <c r="AH40" s="1410"/>
      <c r="AI40" s="166"/>
      <c r="AJ40" s="1416"/>
      <c r="AK40" s="1416"/>
      <c r="AL40" s="1416"/>
      <c r="AM40" s="1416"/>
      <c r="AN40" s="1416"/>
      <c r="AO40" s="1403"/>
      <c r="AP40" s="1403"/>
      <c r="AQ40" s="1403"/>
      <c r="AR40" s="1403"/>
      <c r="AS40" s="1403"/>
      <c r="AT40" s="1403"/>
      <c r="AU40" s="1403"/>
      <c r="AV40" s="1404"/>
      <c r="AW40" s="1404"/>
      <c r="BI40" s="53"/>
      <c r="BJ40" s="53"/>
    </row>
    <row r="41" spans="1:80" ht="38.25" customHeight="1" x14ac:dyDescent="0.35">
      <c r="A41" s="54"/>
      <c r="B41" s="162"/>
      <c r="C41" s="162"/>
      <c r="D41" s="162"/>
      <c r="E41" s="162"/>
      <c r="F41" s="162"/>
      <c r="G41" s="164"/>
      <c r="H41" s="1412"/>
      <c r="I41" s="1412"/>
      <c r="J41" s="1412"/>
      <c r="K41" s="168"/>
      <c r="L41" s="175"/>
      <c r="M41" s="175"/>
      <c r="N41" s="175"/>
      <c r="O41" s="175"/>
      <c r="P41" s="175"/>
      <c r="Q41" s="2296"/>
      <c r="R41" s="2296"/>
      <c r="S41" s="2296"/>
      <c r="T41" s="2296"/>
      <c r="U41" s="2296"/>
      <c r="V41" s="2296"/>
      <c r="W41" s="176"/>
      <c r="X41" s="1409"/>
      <c r="Y41" s="1409"/>
      <c r="Z41" s="1409"/>
      <c r="AA41" s="1409"/>
      <c r="AB41" s="1409"/>
      <c r="AC41" s="1410"/>
      <c r="AD41" s="1410"/>
      <c r="AE41" s="1410"/>
      <c r="AF41" s="1410"/>
      <c r="AG41" s="1410"/>
      <c r="AH41" s="1410"/>
      <c r="AI41" s="166"/>
      <c r="AJ41" s="1416"/>
      <c r="AK41" s="1416"/>
      <c r="AL41" s="1416"/>
      <c r="AM41" s="1416"/>
      <c r="AN41" s="1416"/>
      <c r="AO41" s="1418"/>
      <c r="AP41" s="1418"/>
      <c r="AQ41" s="1418"/>
      <c r="AR41" s="1418"/>
      <c r="AS41" s="1418"/>
      <c r="AT41" s="1418"/>
      <c r="AU41" s="1418"/>
      <c r="AV41" s="1418"/>
      <c r="AW41" s="1418"/>
      <c r="AX41" s="54"/>
      <c r="AY41" s="54"/>
      <c r="BI41" s="170"/>
      <c r="BJ41" s="170"/>
    </row>
    <row r="42" spans="1:80" ht="60" customHeight="1" x14ac:dyDescent="0.35">
      <c r="H42" s="1412"/>
      <c r="I42" s="1412"/>
      <c r="J42" s="1412"/>
      <c r="L42" s="175"/>
      <c r="M42" s="175"/>
      <c r="N42" s="175"/>
      <c r="O42" s="175"/>
      <c r="P42" s="175"/>
      <c r="Q42" s="2296"/>
      <c r="R42" s="2296"/>
      <c r="S42" s="2296"/>
      <c r="T42" s="2296"/>
      <c r="U42" s="2296"/>
      <c r="V42" s="2296"/>
      <c r="W42" s="176"/>
      <c r="X42" s="1409"/>
      <c r="Y42" s="1409"/>
      <c r="Z42" s="1409"/>
      <c r="AA42" s="1409"/>
      <c r="AB42" s="1409"/>
      <c r="AC42" s="1410"/>
      <c r="AD42" s="1410"/>
      <c r="AE42" s="1410"/>
      <c r="AF42" s="1410"/>
      <c r="AG42" s="1410"/>
      <c r="AH42" s="1410"/>
      <c r="AI42" s="166"/>
      <c r="AJ42" s="1416"/>
      <c r="AK42" s="1416"/>
      <c r="AL42" s="1416"/>
      <c r="AM42" s="1416"/>
      <c r="AN42" s="1416"/>
      <c r="AO42" s="1418"/>
      <c r="AP42" s="1418"/>
      <c r="AQ42" s="1418"/>
      <c r="AR42" s="1418"/>
      <c r="AS42" s="1418"/>
      <c r="AT42" s="1418"/>
      <c r="AU42" s="1418"/>
      <c r="AV42" s="1418"/>
      <c r="AW42" s="1418"/>
      <c r="AX42" s="54"/>
      <c r="AY42" s="54"/>
      <c r="BI42" s="170"/>
      <c r="BJ42" s="170"/>
    </row>
    <row r="43" spans="1:80" ht="15" customHeight="1" x14ac:dyDescent="0.35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1"/>
      <c r="AI43" s="171"/>
      <c r="AJ43" s="171"/>
      <c r="AK43" s="171"/>
      <c r="AL43" s="171"/>
      <c r="AM43" s="171"/>
      <c r="AN43" s="171"/>
      <c r="AO43" s="172"/>
      <c r="AP43" s="172"/>
      <c r="AQ43" s="172"/>
      <c r="AR43" s="172"/>
      <c r="AS43" s="172"/>
      <c r="AT43" s="172"/>
      <c r="AU43" s="172"/>
      <c r="AV43" s="172"/>
      <c r="AW43" s="172"/>
    </row>
    <row r="44" spans="1:80" ht="15.75" customHeight="1" thickBot="1" x14ac:dyDescent="0.4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3"/>
      <c r="Y44" s="171"/>
      <c r="Z44" s="171"/>
      <c r="AA44" s="171"/>
      <c r="AB44" s="171"/>
      <c r="AC44" s="171"/>
      <c r="AD44" s="171"/>
      <c r="AE44" s="171"/>
      <c r="AF44" s="171"/>
      <c r="AG44" s="171"/>
      <c r="AH44" s="171"/>
      <c r="AI44" s="171"/>
      <c r="AJ44" s="171"/>
      <c r="AK44" s="171"/>
      <c r="AL44" s="171"/>
      <c r="AM44" s="171"/>
      <c r="AN44" s="171"/>
      <c r="AO44" s="172"/>
      <c r="AP44" s="172"/>
      <c r="AQ44" s="172"/>
      <c r="AR44" s="172"/>
      <c r="AS44" s="172"/>
      <c r="AT44" s="172"/>
      <c r="AU44" s="172"/>
      <c r="AV44" s="172"/>
      <c r="AW44" s="172"/>
    </row>
    <row r="45" spans="1:80" ht="15.75" thickTop="1" x14ac:dyDescent="0.25">
      <c r="J45" t="s">
        <v>16</v>
      </c>
      <c r="AD45" s="775">
        <v>3.9357999999999995</v>
      </c>
      <c r="AE45" s="776"/>
      <c r="AF45" s="776"/>
      <c r="AG45" s="776"/>
      <c r="AH45" s="777"/>
      <c r="AL45" s="727" t="s">
        <v>122</v>
      </c>
      <c r="AM45" s="727"/>
      <c r="AN45" s="727"/>
      <c r="AO45" s="727" t="s">
        <v>123</v>
      </c>
      <c r="AP45" s="727"/>
      <c r="AQ45" s="727"/>
      <c r="AR45" s="727" t="s">
        <v>124</v>
      </c>
      <c r="AS45" s="727"/>
      <c r="AT45" s="727" t="s">
        <v>125</v>
      </c>
      <c r="AU45" s="727"/>
      <c r="AY45" s="739" t="s">
        <v>126</v>
      </c>
      <c r="AZ45" s="740"/>
      <c r="BA45" s="740"/>
      <c r="BB45" s="740"/>
      <c r="BC45" s="740"/>
      <c r="BD45" s="740"/>
      <c r="BE45" s="740"/>
      <c r="BF45" s="740"/>
      <c r="BG45" s="740"/>
      <c r="BH45" s="741"/>
    </row>
    <row r="46" spans="1:80" x14ac:dyDescent="0.25">
      <c r="AD46" s="778"/>
      <c r="AE46" s="779"/>
      <c r="AF46" s="779"/>
      <c r="AG46" s="779"/>
      <c r="AH46" s="780"/>
      <c r="AL46" s="727"/>
      <c r="AM46" s="727"/>
      <c r="AN46" s="727"/>
      <c r="AO46" s="727"/>
      <c r="AP46" s="727"/>
      <c r="AQ46" s="727"/>
      <c r="AR46" s="727"/>
      <c r="AS46" s="727"/>
      <c r="AT46" s="727"/>
      <c r="AU46" s="727"/>
      <c r="AY46" s="750"/>
      <c r="AZ46" s="751"/>
      <c r="BA46" s="751"/>
      <c r="BB46" s="751"/>
      <c r="BC46" s="751"/>
      <c r="BD46" s="751"/>
      <c r="BE46" s="751"/>
      <c r="BF46" s="751"/>
      <c r="BG46" s="751"/>
      <c r="BH46" s="752"/>
    </row>
    <row r="47" spans="1:80" x14ac:dyDescent="0.25">
      <c r="M47" s="513"/>
      <c r="AA47" s="56"/>
      <c r="AD47" s="778"/>
      <c r="AE47" s="779"/>
      <c r="AF47" s="779"/>
      <c r="AG47" s="779"/>
      <c r="AH47" s="780"/>
      <c r="AL47" s="727"/>
      <c r="AM47" s="727"/>
      <c r="AN47" s="727"/>
      <c r="AO47" s="727"/>
      <c r="AP47" s="727"/>
      <c r="AQ47" s="727"/>
      <c r="AR47" s="727"/>
      <c r="AS47" s="727"/>
      <c r="AT47" s="727"/>
      <c r="AU47" s="727"/>
      <c r="AY47" s="742"/>
      <c r="AZ47" s="743"/>
      <c r="BA47" s="743"/>
      <c r="BB47" s="743"/>
      <c r="BC47" s="743"/>
      <c r="BD47" s="743"/>
      <c r="BE47" s="743"/>
      <c r="BF47" s="743"/>
      <c r="BG47" s="743"/>
      <c r="BH47" s="744"/>
    </row>
    <row r="48" spans="1:80" x14ac:dyDescent="0.25">
      <c r="K48" t="s">
        <v>258</v>
      </c>
      <c r="AD48" s="778"/>
      <c r="AE48" s="779"/>
      <c r="AF48" s="779"/>
      <c r="AG48" s="779"/>
      <c r="AH48" s="780"/>
      <c r="AL48" s="727">
        <v>175</v>
      </c>
      <c r="AM48" s="727"/>
      <c r="AN48" s="727"/>
      <c r="AO48" s="727">
        <f>AT73</f>
        <v>135</v>
      </c>
      <c r="AP48" s="727"/>
      <c r="AQ48" s="727"/>
      <c r="AR48" s="1689">
        <f>AC32</f>
        <v>3.9357999999999995</v>
      </c>
      <c r="AS48" s="1689"/>
      <c r="AT48" s="1689">
        <f>AC32+AO34</f>
        <v>6.9357999999999995</v>
      </c>
      <c r="AU48" s="1689"/>
      <c r="AY48" s="727" t="s">
        <v>128</v>
      </c>
      <c r="AZ48" s="727"/>
      <c r="BA48" s="727"/>
      <c r="BB48" s="727"/>
      <c r="BC48" s="727"/>
      <c r="BD48" s="727"/>
      <c r="BE48" s="727"/>
      <c r="BF48" s="727"/>
      <c r="BG48" s="727"/>
      <c r="BH48" s="727"/>
    </row>
    <row r="49" spans="7:60" x14ac:dyDescent="0.25">
      <c r="G49" t="s">
        <v>16</v>
      </c>
      <c r="AD49" s="778"/>
      <c r="AE49" s="779"/>
      <c r="AF49" s="779"/>
      <c r="AG49" s="779"/>
      <c r="AH49" s="780"/>
      <c r="AL49" s="727"/>
      <c r="AM49" s="727"/>
      <c r="AN49" s="727"/>
      <c r="AO49" s="727"/>
      <c r="AP49" s="727"/>
      <c r="AQ49" s="727"/>
      <c r="AR49" s="1689"/>
      <c r="AS49" s="1689"/>
      <c r="AT49" s="1689"/>
      <c r="AU49" s="1689"/>
      <c r="AY49" s="727"/>
      <c r="AZ49" s="727"/>
      <c r="BA49" s="727"/>
      <c r="BB49" s="727"/>
      <c r="BC49" s="727"/>
      <c r="BD49" s="727"/>
      <c r="BE49" s="727"/>
      <c r="BF49" s="727"/>
      <c r="BG49" s="727"/>
      <c r="BH49" s="727"/>
    </row>
    <row r="50" spans="7:60" ht="15" customHeight="1" x14ac:dyDescent="0.25">
      <c r="AD50" s="778"/>
      <c r="AE50" s="779"/>
      <c r="AF50" s="779"/>
      <c r="AG50" s="779"/>
      <c r="AH50" s="780"/>
      <c r="AL50" s="727"/>
      <c r="AM50" s="727"/>
      <c r="AN50" s="727"/>
      <c r="AO50" s="727"/>
      <c r="AP50" s="727"/>
      <c r="AQ50" s="727"/>
      <c r="AR50" s="1689"/>
      <c r="AS50" s="1689"/>
      <c r="AT50" s="1689"/>
      <c r="AU50" s="1689"/>
      <c r="AY50" s="728">
        <f>AR48/((96*3.1415/59)*(AO48/3.281))</f>
        <v>1.8713249062235347E-2</v>
      </c>
      <c r="AZ50" s="729"/>
      <c r="BA50" s="729"/>
      <c r="BB50" s="729"/>
      <c r="BC50" s="729"/>
      <c r="BD50" s="729"/>
      <c r="BE50" s="729"/>
      <c r="BF50" s="729"/>
      <c r="BG50" s="729"/>
      <c r="BH50" s="730"/>
    </row>
    <row r="51" spans="7:60" ht="15.75" customHeight="1" thickBot="1" x14ac:dyDescent="0.3">
      <c r="AD51" s="781"/>
      <c r="AE51" s="782"/>
      <c r="AF51" s="782"/>
      <c r="AG51" s="782"/>
      <c r="AH51" s="783"/>
      <c r="AL51" s="727"/>
      <c r="AM51" s="727"/>
      <c r="AN51" s="727"/>
      <c r="AO51" s="727"/>
      <c r="AP51" s="727"/>
      <c r="AQ51" s="727"/>
      <c r="AR51" s="1689"/>
      <c r="AS51" s="1689"/>
      <c r="AT51" s="1689"/>
      <c r="AU51" s="1689"/>
      <c r="AY51" s="731"/>
      <c r="AZ51" s="732"/>
      <c r="BA51" s="732"/>
      <c r="BB51" s="732"/>
      <c r="BC51" s="732"/>
      <c r="BD51" s="732"/>
      <c r="BE51" s="732"/>
      <c r="BF51" s="732"/>
      <c r="BG51" s="732"/>
      <c r="BH51" s="733"/>
    </row>
    <row r="52" spans="7:60" ht="15.75" customHeight="1" thickTop="1" x14ac:dyDescent="0.25">
      <c r="AY52" s="734"/>
      <c r="AZ52" s="735"/>
      <c r="BA52" s="735"/>
      <c r="BB52" s="735"/>
      <c r="BC52" s="735"/>
      <c r="BD52" s="735"/>
      <c r="BE52" s="735"/>
      <c r="BF52" s="735"/>
      <c r="BG52" s="735"/>
      <c r="BH52" s="736"/>
    </row>
    <row r="53" spans="7:60" x14ac:dyDescent="0.25">
      <c r="AY53" s="739" t="s">
        <v>129</v>
      </c>
      <c r="AZ53" s="740"/>
      <c r="BA53" s="740"/>
      <c r="BB53" s="740"/>
      <c r="BC53" s="740"/>
      <c r="BD53" s="740"/>
      <c r="BE53" s="740"/>
      <c r="BF53" s="740"/>
      <c r="BG53" s="740"/>
      <c r="BH53" s="741"/>
    </row>
    <row r="54" spans="7:60" x14ac:dyDescent="0.25">
      <c r="AY54" s="742"/>
      <c r="AZ54" s="743"/>
      <c r="BA54" s="743"/>
      <c r="BB54" s="743"/>
      <c r="BC54" s="743"/>
      <c r="BD54" s="743"/>
      <c r="BE54" s="743"/>
      <c r="BF54" s="743"/>
      <c r="BG54" s="743"/>
      <c r="BH54" s="744"/>
    </row>
    <row r="55" spans="7:60" x14ac:dyDescent="0.25">
      <c r="AN55" s="727">
        <v>40</v>
      </c>
      <c r="AO55" s="727"/>
      <c r="AP55" s="727"/>
      <c r="AQ55" s="746">
        <v>1</v>
      </c>
      <c r="AR55" s="746"/>
      <c r="AS55" s="746"/>
      <c r="AT55" s="747">
        <f>AQ55*AN55</f>
        <v>40</v>
      </c>
      <c r="AU55" s="748"/>
      <c r="AV55" s="748"/>
      <c r="AW55" s="749"/>
      <c r="AY55" s="739" t="s">
        <v>130</v>
      </c>
      <c r="AZ55" s="740"/>
      <c r="BA55" s="740"/>
      <c r="BB55" s="740"/>
      <c r="BC55" s="740"/>
      <c r="BD55" s="740"/>
      <c r="BE55" s="740"/>
      <c r="BF55" s="740"/>
      <c r="BG55" s="740"/>
      <c r="BH55" s="741"/>
    </row>
    <row r="56" spans="7:60" x14ac:dyDescent="0.25">
      <c r="AN56" s="727"/>
      <c r="AO56" s="727"/>
      <c r="AP56" s="727"/>
      <c r="AQ56" s="746"/>
      <c r="AR56" s="746"/>
      <c r="AS56" s="746"/>
      <c r="AT56" s="747"/>
      <c r="AU56" s="748"/>
      <c r="AV56" s="748"/>
      <c r="AW56" s="749"/>
      <c r="AY56" s="750"/>
      <c r="AZ56" s="751"/>
      <c r="BA56" s="751"/>
      <c r="BB56" s="751"/>
      <c r="BC56" s="751"/>
      <c r="BD56" s="751"/>
      <c r="BE56" s="751"/>
      <c r="BF56" s="751"/>
      <c r="BG56" s="751"/>
      <c r="BH56" s="752"/>
    </row>
    <row r="57" spans="7:60" ht="15" customHeight="1" x14ac:dyDescent="0.25">
      <c r="AN57" s="727"/>
      <c r="AO57" s="727"/>
      <c r="AP57" s="727"/>
      <c r="AQ57" s="746"/>
      <c r="AR57" s="746"/>
      <c r="AS57" s="746"/>
      <c r="AT57" s="747"/>
      <c r="AU57" s="748"/>
      <c r="AV57" s="748"/>
      <c r="AW57" s="749"/>
      <c r="AY57" s="750"/>
      <c r="AZ57" s="751"/>
      <c r="BA57" s="751"/>
      <c r="BB57" s="751"/>
      <c r="BC57" s="751"/>
      <c r="BD57" s="751"/>
      <c r="BE57" s="751"/>
      <c r="BF57" s="751"/>
      <c r="BG57" s="751"/>
      <c r="BH57" s="752"/>
    </row>
    <row r="58" spans="7:60" ht="15" customHeight="1" x14ac:dyDescent="0.25">
      <c r="AN58" s="727">
        <v>47.5</v>
      </c>
      <c r="AO58" s="727"/>
      <c r="AP58" s="727"/>
      <c r="AQ58" s="746">
        <v>2</v>
      </c>
      <c r="AR58" s="746"/>
      <c r="AS58" s="746"/>
      <c r="AT58" s="747">
        <f>AQ58*AN58</f>
        <v>95</v>
      </c>
      <c r="AU58" s="748"/>
      <c r="AV58" s="748"/>
      <c r="AW58" s="749"/>
      <c r="AY58" s="742"/>
      <c r="AZ58" s="743"/>
      <c r="BA58" s="743"/>
      <c r="BB58" s="743"/>
      <c r="BC58" s="743"/>
      <c r="BD58" s="743"/>
      <c r="BE58" s="743"/>
      <c r="BF58" s="743"/>
      <c r="BG58" s="743"/>
      <c r="BH58" s="744"/>
    </row>
    <row r="59" spans="7:60" ht="15" customHeight="1" x14ac:dyDescent="0.25">
      <c r="AN59" s="727"/>
      <c r="AO59" s="727"/>
      <c r="AP59" s="727"/>
      <c r="AQ59" s="746"/>
      <c r="AR59" s="746"/>
      <c r="AS59" s="746"/>
      <c r="AT59" s="747"/>
      <c r="AU59" s="748"/>
      <c r="AV59" s="748"/>
      <c r="AW59" s="749"/>
      <c r="AY59" s="728">
        <f>AT48/((96*3.1415/59)*(AO48/3.281))</f>
        <v>3.2977121003570288E-2</v>
      </c>
      <c r="AZ59" s="729"/>
      <c r="BA59" s="729"/>
      <c r="BB59" s="729"/>
      <c r="BC59" s="729"/>
      <c r="BD59" s="729"/>
      <c r="BE59" s="729"/>
      <c r="BF59" s="729"/>
      <c r="BG59" s="729"/>
      <c r="BH59" s="730"/>
    </row>
    <row r="60" spans="7:60" ht="15" customHeight="1" x14ac:dyDescent="0.25">
      <c r="AN60" s="727"/>
      <c r="AO60" s="727"/>
      <c r="AP60" s="727"/>
      <c r="AQ60" s="746"/>
      <c r="AR60" s="746"/>
      <c r="AS60" s="746"/>
      <c r="AT60" s="747"/>
      <c r="AU60" s="748"/>
      <c r="AV60" s="748"/>
      <c r="AW60" s="749"/>
      <c r="AY60" s="731"/>
      <c r="AZ60" s="732"/>
      <c r="BA60" s="732"/>
      <c r="BB60" s="732"/>
      <c r="BC60" s="732"/>
      <c r="BD60" s="732"/>
      <c r="BE60" s="732"/>
      <c r="BF60" s="732"/>
      <c r="BG60" s="732"/>
      <c r="BH60" s="733"/>
    </row>
    <row r="61" spans="7:60" ht="15" customHeight="1" x14ac:dyDescent="0.25">
      <c r="AN61" s="727"/>
      <c r="AO61" s="727"/>
      <c r="AP61" s="727"/>
      <c r="AQ61" s="746"/>
      <c r="AR61" s="746"/>
      <c r="AS61" s="746"/>
      <c r="AT61" s="747"/>
      <c r="AU61" s="748"/>
      <c r="AV61" s="748"/>
      <c r="AW61" s="749"/>
      <c r="AY61" s="731"/>
      <c r="AZ61" s="732"/>
      <c r="BA61" s="732"/>
      <c r="BB61" s="732"/>
      <c r="BC61" s="732"/>
      <c r="BD61" s="732"/>
      <c r="BE61" s="732"/>
      <c r="BF61" s="732"/>
      <c r="BG61" s="732"/>
      <c r="BH61" s="733"/>
    </row>
    <row r="62" spans="7:60" ht="15" customHeight="1" x14ac:dyDescent="0.25">
      <c r="AN62" s="727"/>
      <c r="AO62" s="727"/>
      <c r="AP62" s="727"/>
      <c r="AQ62" s="746"/>
      <c r="AR62" s="746"/>
      <c r="AS62" s="746"/>
      <c r="AT62" s="747"/>
      <c r="AU62" s="748"/>
      <c r="AV62" s="748"/>
      <c r="AW62" s="749"/>
      <c r="AY62" s="731"/>
      <c r="AZ62" s="732"/>
      <c r="BA62" s="732"/>
      <c r="BB62" s="732"/>
      <c r="BC62" s="732"/>
      <c r="BD62" s="732"/>
      <c r="BE62" s="732"/>
      <c r="BF62" s="732"/>
      <c r="BG62" s="732"/>
      <c r="BH62" s="733"/>
    </row>
    <row r="63" spans="7:60" ht="15" customHeight="1" x14ac:dyDescent="0.25">
      <c r="AN63" s="727"/>
      <c r="AO63" s="727"/>
      <c r="AP63" s="727"/>
      <c r="AQ63" s="746"/>
      <c r="AR63" s="746"/>
      <c r="AS63" s="746"/>
      <c r="AT63" s="747"/>
      <c r="AU63" s="748"/>
      <c r="AV63" s="748"/>
      <c r="AW63" s="749"/>
      <c r="AY63" s="734"/>
      <c r="AZ63" s="735"/>
      <c r="BA63" s="735"/>
      <c r="BB63" s="735"/>
      <c r="BC63" s="735"/>
      <c r="BD63" s="735"/>
      <c r="BE63" s="735"/>
      <c r="BF63" s="735"/>
      <c r="BG63" s="735"/>
      <c r="BH63" s="736"/>
    </row>
    <row r="64" spans="7:60" ht="15" customHeight="1" x14ac:dyDescent="0.25">
      <c r="AN64" s="727"/>
      <c r="AO64" s="727"/>
      <c r="AP64" s="727"/>
      <c r="AQ64" s="746"/>
      <c r="AR64" s="746"/>
      <c r="AS64" s="746"/>
      <c r="AT64" s="747"/>
      <c r="AU64" s="748"/>
      <c r="AV64" s="748"/>
      <c r="AW64" s="749"/>
    </row>
    <row r="65" spans="40:49" ht="15" customHeight="1" x14ac:dyDescent="0.25">
      <c r="AN65" s="727"/>
      <c r="AO65" s="727"/>
      <c r="AP65" s="727"/>
      <c r="AQ65" s="746"/>
      <c r="AR65" s="746"/>
      <c r="AS65" s="746"/>
      <c r="AT65" s="747"/>
      <c r="AU65" s="748"/>
      <c r="AV65" s="748"/>
      <c r="AW65" s="749"/>
    </row>
    <row r="66" spans="40:49" ht="15" customHeight="1" x14ac:dyDescent="0.25">
      <c r="AN66" s="727"/>
      <c r="AO66" s="727"/>
      <c r="AP66" s="727"/>
      <c r="AQ66" s="746"/>
      <c r="AR66" s="746"/>
      <c r="AS66" s="746"/>
      <c r="AT66" s="747"/>
      <c r="AU66" s="748"/>
      <c r="AV66" s="748"/>
      <c r="AW66" s="749"/>
    </row>
    <row r="67" spans="40:49" ht="15" customHeight="1" x14ac:dyDescent="0.25">
      <c r="AN67" s="727"/>
      <c r="AO67" s="727"/>
      <c r="AP67" s="727"/>
      <c r="AQ67" s="746"/>
      <c r="AR67" s="746"/>
      <c r="AS67" s="746"/>
      <c r="AT67" s="747"/>
      <c r="AU67" s="748"/>
      <c r="AV67" s="748"/>
      <c r="AW67" s="749"/>
    </row>
    <row r="68" spans="40:49" ht="15" customHeight="1" x14ac:dyDescent="0.25">
      <c r="AN68" s="727"/>
      <c r="AO68" s="727"/>
      <c r="AP68" s="727"/>
      <c r="AQ68" s="746"/>
      <c r="AR68" s="746"/>
      <c r="AS68" s="746"/>
      <c r="AT68" s="747"/>
      <c r="AU68" s="748"/>
      <c r="AV68" s="748"/>
      <c r="AW68" s="749"/>
    </row>
    <row r="69" spans="40:49" ht="15" customHeight="1" x14ac:dyDescent="0.25">
      <c r="AN69" s="727"/>
      <c r="AO69" s="727"/>
      <c r="AP69" s="727"/>
      <c r="AQ69" s="746"/>
      <c r="AR69" s="746"/>
      <c r="AS69" s="746"/>
      <c r="AT69" s="747"/>
      <c r="AU69" s="748"/>
      <c r="AV69" s="748"/>
      <c r="AW69" s="749"/>
    </row>
    <row r="70" spans="40:49" ht="15" customHeight="1" x14ac:dyDescent="0.25">
      <c r="AN70" s="727"/>
      <c r="AO70" s="727"/>
      <c r="AP70" s="727"/>
      <c r="AQ70" s="746"/>
      <c r="AR70" s="746"/>
      <c r="AS70" s="746"/>
      <c r="AT70" s="747"/>
      <c r="AU70" s="748"/>
      <c r="AV70" s="748"/>
      <c r="AW70" s="749"/>
    </row>
    <row r="71" spans="40:49" ht="15" customHeight="1" x14ac:dyDescent="0.25">
      <c r="AN71" s="727"/>
      <c r="AO71" s="727"/>
      <c r="AP71" s="727"/>
      <c r="AQ71" s="746"/>
      <c r="AR71" s="746"/>
      <c r="AS71" s="746"/>
      <c r="AT71" s="747"/>
      <c r="AU71" s="748"/>
      <c r="AV71" s="748"/>
      <c r="AW71" s="749"/>
    </row>
    <row r="72" spans="40:49" ht="15" customHeight="1" x14ac:dyDescent="0.25">
      <c r="AN72" s="727"/>
      <c r="AO72" s="727"/>
      <c r="AP72" s="727"/>
      <c r="AQ72" s="746"/>
      <c r="AR72" s="746"/>
      <c r="AS72" s="746"/>
      <c r="AT72" s="747"/>
      <c r="AU72" s="748"/>
      <c r="AV72" s="748"/>
      <c r="AW72" s="749"/>
    </row>
    <row r="73" spans="40:49" ht="15" customHeight="1" x14ac:dyDescent="0.25">
      <c r="AQ73" s="2279">
        <f>AQ55+AQ61+AQ64+AQ67+AQ70</f>
        <v>1</v>
      </c>
      <c r="AR73" s="2280"/>
      <c r="AS73" s="2281"/>
      <c r="AT73" s="1457">
        <f>AT55+AT58+AT61+AT64+AT67+AT70</f>
        <v>135</v>
      </c>
      <c r="AU73" s="1458"/>
      <c r="AV73" s="1458"/>
      <c r="AW73" s="1459"/>
    </row>
    <row r="74" spans="40:49" ht="15" customHeight="1" x14ac:dyDescent="0.25">
      <c r="AQ74" s="2282"/>
      <c r="AR74" s="2283"/>
      <c r="AS74" s="2284"/>
      <c r="AT74" s="2288"/>
      <c r="AU74" s="2289"/>
      <c r="AV74" s="2289"/>
      <c r="AW74" s="2290"/>
    </row>
    <row r="75" spans="40:49" ht="15" customHeight="1" x14ac:dyDescent="0.25">
      <c r="AQ75" s="2285"/>
      <c r="AR75" s="2286"/>
      <c r="AS75" s="2287"/>
      <c r="AT75" s="1785"/>
      <c r="AU75" s="1786"/>
      <c r="AV75" s="1786"/>
      <c r="AW75" s="1787"/>
    </row>
    <row r="76" spans="40:49" ht="15" customHeight="1" x14ac:dyDescent="0.25"/>
    <row r="77" spans="40:49" ht="15" customHeight="1" x14ac:dyDescent="0.25">
      <c r="AS77" s="27"/>
      <c r="AT77" s="27"/>
      <c r="AU77" s="27"/>
    </row>
  </sheetData>
  <mergeCells count="230">
    <mergeCell ref="P8:Y9"/>
    <mergeCell ref="Z8:AI9"/>
    <mergeCell ref="BG2:BH2"/>
    <mergeCell ref="P3:T5"/>
    <mergeCell ref="U3:Y5"/>
    <mergeCell ref="Z3:AD5"/>
    <mergeCell ref="AY3:BA5"/>
    <mergeCell ref="BD3:BF5"/>
    <mergeCell ref="P2:R2"/>
    <mergeCell ref="S2:T2"/>
    <mergeCell ref="U2:W2"/>
    <mergeCell ref="X2:Y2"/>
    <mergeCell ref="Z2:AB2"/>
    <mergeCell ref="AC2:AD2"/>
    <mergeCell ref="P6:P7"/>
    <mergeCell ref="Q6:T6"/>
    <mergeCell ref="U6:U7"/>
    <mergeCell ref="V6:Y6"/>
    <mergeCell ref="Z6:Z7"/>
    <mergeCell ref="AA6:AD6"/>
    <mergeCell ref="AY2:BA2"/>
    <mergeCell ref="BB2:BC2"/>
    <mergeCell ref="BD2:BF2"/>
    <mergeCell ref="AY9:BA11"/>
    <mergeCell ref="BB9:BJ11"/>
    <mergeCell ref="AY12:AY13"/>
    <mergeCell ref="AZ12:BC12"/>
    <mergeCell ref="BD12:BD13"/>
    <mergeCell ref="BE12:BH12"/>
    <mergeCell ref="AY6:AY7"/>
    <mergeCell ref="AZ6:BC6"/>
    <mergeCell ref="BD6:BD7"/>
    <mergeCell ref="BE6:BH6"/>
    <mergeCell ref="AY8:BA8"/>
    <mergeCell ref="BB8:BC8"/>
    <mergeCell ref="BD8:BF8"/>
    <mergeCell ref="BG8:BH8"/>
    <mergeCell ref="A18:A19"/>
    <mergeCell ref="B18:E18"/>
    <mergeCell ref="AY18:AY19"/>
    <mergeCell ref="AZ18:BC18"/>
    <mergeCell ref="BD18:BD19"/>
    <mergeCell ref="BE18:BH18"/>
    <mergeCell ref="BG14:BH14"/>
    <mergeCell ref="A15:E17"/>
    <mergeCell ref="AJ15:AL17"/>
    <mergeCell ref="AO15:AQ17"/>
    <mergeCell ref="AT15:AV17"/>
    <mergeCell ref="AY15:BA17"/>
    <mergeCell ref="BD15:BF17"/>
    <mergeCell ref="AR14:AS14"/>
    <mergeCell ref="AT14:AV14"/>
    <mergeCell ref="AW14:AX14"/>
    <mergeCell ref="AY14:BA14"/>
    <mergeCell ref="BB14:BC14"/>
    <mergeCell ref="BD14:BF14"/>
    <mergeCell ref="A14:C14"/>
    <mergeCell ref="D14:E14"/>
    <mergeCell ref="AH14:AI14"/>
    <mergeCell ref="AJ14:AL14"/>
    <mergeCell ref="AM14:AN14"/>
    <mergeCell ref="BG20:BH20"/>
    <mergeCell ref="AE20:AG20"/>
    <mergeCell ref="AH20:AI20"/>
    <mergeCell ref="AJ20:AL20"/>
    <mergeCell ref="AM20:AN20"/>
    <mergeCell ref="AO20:AQ20"/>
    <mergeCell ref="AR20:AS20"/>
    <mergeCell ref="P20:R20"/>
    <mergeCell ref="S20:T20"/>
    <mergeCell ref="U20:W20"/>
    <mergeCell ref="X20:Y20"/>
    <mergeCell ref="Z20:AB20"/>
    <mergeCell ref="AC20:AD20"/>
    <mergeCell ref="AY21:BA23"/>
    <mergeCell ref="BD21:BF23"/>
    <mergeCell ref="A21:C23"/>
    <mergeCell ref="F21:H23"/>
    <mergeCell ref="K21:M23"/>
    <mergeCell ref="P21:R23"/>
    <mergeCell ref="U21:W23"/>
    <mergeCell ref="Z21:AB23"/>
    <mergeCell ref="AT20:AV20"/>
    <mergeCell ref="AW20:AX20"/>
    <mergeCell ref="AY20:BA20"/>
    <mergeCell ref="BB20:BC20"/>
    <mergeCell ref="BD20:BF20"/>
    <mergeCell ref="A20:C20"/>
    <mergeCell ref="D20:E20"/>
    <mergeCell ref="F20:H20"/>
    <mergeCell ref="I20:J20"/>
    <mergeCell ref="K20:M20"/>
    <mergeCell ref="N20:O20"/>
    <mergeCell ref="A24:A25"/>
    <mergeCell ref="B24:E24"/>
    <mergeCell ref="F24:F25"/>
    <mergeCell ref="G24:J24"/>
    <mergeCell ref="K24:K25"/>
    <mergeCell ref="L24:O24"/>
    <mergeCell ref="AE21:AG23"/>
    <mergeCell ref="AJ21:AL23"/>
    <mergeCell ref="AO21:AQ23"/>
    <mergeCell ref="P24:P25"/>
    <mergeCell ref="Q24:T24"/>
    <mergeCell ref="U24:U25"/>
    <mergeCell ref="V24:Y24"/>
    <mergeCell ref="Z24:Z25"/>
    <mergeCell ref="AA24:AD24"/>
    <mergeCell ref="BD24:BD25"/>
    <mergeCell ref="BD26:BF26"/>
    <mergeCell ref="BE24:BH24"/>
    <mergeCell ref="AE24:AE25"/>
    <mergeCell ref="AF24:AI24"/>
    <mergeCell ref="AJ24:AJ25"/>
    <mergeCell ref="AK24:AN24"/>
    <mergeCell ref="AO24:AO25"/>
    <mergeCell ref="AP24:AS24"/>
    <mergeCell ref="BG26:BH26"/>
    <mergeCell ref="AY26:BA26"/>
    <mergeCell ref="BB26:BC26"/>
    <mergeCell ref="AT24:AT25"/>
    <mergeCell ref="AU24:AX24"/>
    <mergeCell ref="AY24:AY25"/>
    <mergeCell ref="AZ24:BC24"/>
    <mergeCell ref="AE26:AG26"/>
    <mergeCell ref="P27:R29"/>
    <mergeCell ref="U27:W29"/>
    <mergeCell ref="Z27:AB29"/>
    <mergeCell ref="N26:O26"/>
    <mergeCell ref="P26:R26"/>
    <mergeCell ref="AH26:AI26"/>
    <mergeCell ref="AT26:AV26"/>
    <mergeCell ref="AC26:AD26"/>
    <mergeCell ref="AY27:BA29"/>
    <mergeCell ref="A26:C26"/>
    <mergeCell ref="D26:E26"/>
    <mergeCell ref="F26:H26"/>
    <mergeCell ref="I26:J26"/>
    <mergeCell ref="K26:M26"/>
    <mergeCell ref="S26:T26"/>
    <mergeCell ref="U26:W26"/>
    <mergeCell ref="X26:Y26"/>
    <mergeCell ref="Z26:AB26"/>
    <mergeCell ref="BD27:BF29"/>
    <mergeCell ref="A30:A31"/>
    <mergeCell ref="B30:E30"/>
    <mergeCell ref="F30:F31"/>
    <mergeCell ref="G30:J30"/>
    <mergeCell ref="K30:K31"/>
    <mergeCell ref="L30:O30"/>
    <mergeCell ref="P30:P31"/>
    <mergeCell ref="Q30:T30"/>
    <mergeCell ref="AY30:AY31"/>
    <mergeCell ref="AZ30:BC30"/>
    <mergeCell ref="BD30:BD31"/>
    <mergeCell ref="BE30:BH30"/>
    <mergeCell ref="U30:U31"/>
    <mergeCell ref="V30:Y30"/>
    <mergeCell ref="Z30:Z31"/>
    <mergeCell ref="AA30:AD30"/>
    <mergeCell ref="AE30:AE31"/>
    <mergeCell ref="AF30:AI30"/>
    <mergeCell ref="AE27:AG29"/>
    <mergeCell ref="AT27:AV29"/>
    <mergeCell ref="A27:C29"/>
    <mergeCell ref="F27:H29"/>
    <mergeCell ref="K27:M29"/>
    <mergeCell ref="AV34:AW40"/>
    <mergeCell ref="H35:J35"/>
    <mergeCell ref="Q35:V42"/>
    <mergeCell ref="H36:J37"/>
    <mergeCell ref="X37:AB42"/>
    <mergeCell ref="AC37:AH42"/>
    <mergeCell ref="H38:J40"/>
    <mergeCell ref="H41:J42"/>
    <mergeCell ref="H32:J33"/>
    <mergeCell ref="Q32:V34"/>
    <mergeCell ref="X32:AB36"/>
    <mergeCell ref="AC32:AH36"/>
    <mergeCell ref="AJ32:AN42"/>
    <mergeCell ref="AO32:AS33"/>
    <mergeCell ref="AO41:AW42"/>
    <mergeCell ref="AY45:BH47"/>
    <mergeCell ref="AL48:AN51"/>
    <mergeCell ref="AO48:AQ51"/>
    <mergeCell ref="AR48:AS51"/>
    <mergeCell ref="AT48:AU51"/>
    <mergeCell ref="AT32:AW33"/>
    <mergeCell ref="AL6:AW8"/>
    <mergeCell ref="AQ73:AS75"/>
    <mergeCell ref="AT73:AW75"/>
    <mergeCell ref="AY59:BH63"/>
    <mergeCell ref="AN61:AP63"/>
    <mergeCell ref="AQ61:AS63"/>
    <mergeCell ref="AT61:AW63"/>
    <mergeCell ref="AN64:AP66"/>
    <mergeCell ref="AQ64:AS66"/>
    <mergeCell ref="AT64:AW66"/>
    <mergeCell ref="AY48:BH49"/>
    <mergeCell ref="AY50:BH52"/>
    <mergeCell ref="AY53:BH54"/>
    <mergeCell ref="AN55:AP57"/>
    <mergeCell ref="AQ55:AS57"/>
    <mergeCell ref="AT55:AW57"/>
    <mergeCell ref="AY55:BH58"/>
    <mergeCell ref="AN58:AP60"/>
    <mergeCell ref="AE2:AG2"/>
    <mergeCell ref="AH2:AI2"/>
    <mergeCell ref="AE3:AI5"/>
    <mergeCell ref="AE6:AE7"/>
    <mergeCell ref="AF6:AI6"/>
    <mergeCell ref="AN67:AP69"/>
    <mergeCell ref="AQ67:AS69"/>
    <mergeCell ref="AT67:AW69"/>
    <mergeCell ref="AN70:AP72"/>
    <mergeCell ref="AQ70:AS72"/>
    <mergeCell ref="AT70:AW72"/>
    <mergeCell ref="AD45:AH51"/>
    <mergeCell ref="AL45:AN47"/>
    <mergeCell ref="AO45:AQ47"/>
    <mergeCell ref="AR45:AS47"/>
    <mergeCell ref="AT45:AU47"/>
    <mergeCell ref="AT30:AT31"/>
    <mergeCell ref="AU30:AX30"/>
    <mergeCell ref="AT21:AV23"/>
    <mergeCell ref="AO14:AQ14"/>
    <mergeCell ref="AW26:AX26"/>
    <mergeCell ref="AQ58:AS60"/>
    <mergeCell ref="AT58:AW60"/>
    <mergeCell ref="AO34:AU40"/>
  </mergeCells>
  <pageMargins left="0.75" right="0.5" top="1" bottom="0.5" header="0.3" footer="0.3"/>
  <pageSetup paperSize="8" scale="64" orientation="landscape" r:id="rId1"/>
  <headerFooter>
    <oddFooter>&amp;C&amp;"-,Bold Italic"&amp;16Prepared by Emir Cebecioglu&amp;RQuality Control Department</oddFooter>
  </headerFooter>
  <colBreaks count="1" manualBreakCount="1">
    <brk id="60" max="50" man="1"/>
  </colBreaks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2E7BF-6BFD-460E-A99F-F184FBE4A5A8}">
  <sheetPr>
    <pageSetUpPr fitToPage="1"/>
  </sheetPr>
  <dimension ref="A1:CB84"/>
  <sheetViews>
    <sheetView view="pageBreakPreview" zoomScale="55" zoomScaleNormal="70" zoomScaleSheetLayoutView="55" zoomScalePageLayoutView="55" workbookViewId="0">
      <selection activeCell="U15" sqref="U15:Y17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140625" customWidth="1"/>
    <col min="47" max="47" width="10.71093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1" customWidth="1"/>
    <col min="62" max="62" width="56.7109375" customWidth="1"/>
    <col min="63" max="63" width="13" customWidth="1"/>
    <col min="64" max="64" width="7" customWidth="1"/>
  </cols>
  <sheetData>
    <row r="1" spans="1:80" ht="237.75" customHeight="1" thickBot="1" x14ac:dyDescent="0.3"/>
    <row r="2" spans="1:80" ht="39.950000000000003" customHeight="1" thickTop="1" x14ac:dyDescent="0.25">
      <c r="A2" s="2313" t="s">
        <v>250</v>
      </c>
      <c r="B2" s="2314"/>
      <c r="C2" s="2314"/>
      <c r="D2" s="2315">
        <f>B7/((60*3.1415/64)*(70/3.281))</f>
        <v>1.5914751066748521E-10</v>
      </c>
      <c r="E2" s="2316"/>
      <c r="F2" s="2305" t="s">
        <v>250</v>
      </c>
      <c r="G2" s="2306"/>
      <c r="H2" s="2306"/>
      <c r="I2" s="2307">
        <f>G7/((60*3.1415/64)*(65/3.281))</f>
        <v>0.18501510220905415</v>
      </c>
      <c r="J2" s="2308"/>
      <c r="K2" s="2305" t="s">
        <v>250</v>
      </c>
      <c r="L2" s="2306"/>
      <c r="M2" s="2306"/>
      <c r="N2" s="2307">
        <f>L7/((60*3.1415/64)*(65/3.281))</f>
        <v>2.0895823308316703E-2</v>
      </c>
      <c r="O2" s="2308"/>
      <c r="P2" s="2305" t="s">
        <v>250</v>
      </c>
      <c r="Q2" s="2306"/>
      <c r="R2" s="2306"/>
      <c r="S2" s="2307">
        <f>Q7/((60*3.1415/64)*(65/3.281))</f>
        <v>1.0009154209364299E-2</v>
      </c>
      <c r="T2" s="2308"/>
      <c r="U2" s="2309" t="s">
        <v>250</v>
      </c>
      <c r="V2" s="2310"/>
      <c r="W2" s="2310"/>
      <c r="X2" s="2311">
        <f>V7/((60*3.1415/64)*(60/3.281))</f>
        <v>1.8567209577873273E-11</v>
      </c>
      <c r="Y2" s="2312"/>
      <c r="Z2" s="2309" t="s">
        <v>250</v>
      </c>
      <c r="AA2" s="2310"/>
      <c r="AB2" s="2310"/>
      <c r="AC2" s="2311">
        <f>AA7/((60*3.1415/64)*(60/3.281))</f>
        <v>9.9037495888376036E-3</v>
      </c>
      <c r="AD2" s="2312"/>
      <c r="AE2" s="2309" t="s">
        <v>250</v>
      </c>
      <c r="AF2" s="2310"/>
      <c r="AG2" s="2310"/>
      <c r="AH2" s="2311">
        <f>AF7/((60*3.1415/64)*(60/3.281))</f>
        <v>4.7160712327798116E-3</v>
      </c>
      <c r="AI2" s="2312"/>
      <c r="AJ2" s="2309" t="s">
        <v>250</v>
      </c>
      <c r="AK2" s="2310"/>
      <c r="AL2" s="2310"/>
      <c r="AM2" s="2311">
        <f t="shared" ref="AM2" si="0">AK7/((60*3.1415/64)*(60/3.281))</f>
        <v>1.273339232850549E-2</v>
      </c>
      <c r="AN2" s="2312"/>
      <c r="AO2" s="2309" t="s">
        <v>250</v>
      </c>
      <c r="AP2" s="2310"/>
      <c r="AQ2" s="2310"/>
      <c r="AR2" s="2311">
        <f t="shared" ref="AR2" si="1">AP7/((60*3.1415/64)*(60/3.281))</f>
        <v>1.8567209577873273E-16</v>
      </c>
      <c r="AS2" s="2312"/>
      <c r="AT2" s="2309" t="s">
        <v>250</v>
      </c>
      <c r="AU2" s="2310"/>
      <c r="AV2" s="2310"/>
      <c r="AW2" s="2311">
        <f t="shared" ref="AW2" si="2">AU7/((60*3.1415/64)*(60/3.281))</f>
        <v>8.1116425203812764E-2</v>
      </c>
      <c r="AX2" s="2312"/>
      <c r="AY2" s="674"/>
      <c r="AZ2" s="674"/>
      <c r="BA2" s="674"/>
      <c r="BB2" s="1300"/>
      <c r="BC2" s="1300"/>
      <c r="BD2" s="674"/>
      <c r="BE2" s="674"/>
      <c r="BF2" s="674"/>
      <c r="BG2" s="1300"/>
      <c r="BH2" s="1300"/>
      <c r="BM2" s="27"/>
      <c r="BN2" s="27"/>
      <c r="BO2" s="27"/>
      <c r="BP2" s="27"/>
      <c r="BQ2" s="27"/>
      <c r="BR2" s="27"/>
      <c r="BW2" s="27"/>
      <c r="BX2" s="27"/>
      <c r="BY2" s="27"/>
      <c r="BZ2" s="27"/>
      <c r="CA2" s="27"/>
      <c r="CB2" s="27"/>
    </row>
    <row r="3" spans="1:80" ht="9.9499999999999993" hidden="1" customHeight="1" x14ac:dyDescent="0.25">
      <c r="A3" s="2586" t="s">
        <v>111</v>
      </c>
      <c r="B3" s="2587"/>
      <c r="C3" s="2587"/>
      <c r="D3" s="2587"/>
      <c r="E3" s="2588"/>
      <c r="F3" s="1680" t="s">
        <v>111</v>
      </c>
      <c r="G3" s="1681"/>
      <c r="H3" s="1681"/>
      <c r="I3" s="1681"/>
      <c r="J3" s="1682"/>
      <c r="K3" s="1680" t="s">
        <v>111</v>
      </c>
      <c r="L3" s="1681"/>
      <c r="M3" s="1681"/>
      <c r="N3" s="1681"/>
      <c r="O3" s="1682"/>
      <c r="P3" s="2586" t="s">
        <v>111</v>
      </c>
      <c r="Q3" s="2587"/>
      <c r="R3" s="2587"/>
      <c r="S3" s="2587"/>
      <c r="T3" s="2588"/>
      <c r="U3" s="2586" t="s">
        <v>111</v>
      </c>
      <c r="V3" s="2587"/>
      <c r="W3" s="2587"/>
      <c r="X3" s="2587"/>
      <c r="Y3" s="2588"/>
      <c r="Z3" s="2586" t="s">
        <v>111</v>
      </c>
      <c r="AA3" s="2587"/>
      <c r="AB3" s="2587"/>
      <c r="AC3" s="2587"/>
      <c r="AD3" s="2588"/>
      <c r="AE3" s="2586" t="s">
        <v>111</v>
      </c>
      <c r="AF3" s="2587"/>
      <c r="AG3" s="2587"/>
      <c r="AH3" s="2587"/>
      <c r="AI3" s="2588"/>
      <c r="AJ3" s="2586" t="s">
        <v>111</v>
      </c>
      <c r="AK3" s="2587"/>
      <c r="AL3" s="2587"/>
      <c r="AM3" s="2587"/>
      <c r="AN3" s="2588"/>
      <c r="AO3" s="2586" t="s">
        <v>111</v>
      </c>
      <c r="AP3" s="2587"/>
      <c r="AQ3" s="2587"/>
      <c r="AR3" s="2587"/>
      <c r="AS3" s="2588"/>
      <c r="AT3" s="2586" t="s">
        <v>111</v>
      </c>
      <c r="AU3" s="2587"/>
      <c r="AV3" s="2587"/>
      <c r="AW3" s="2587"/>
      <c r="AX3" s="2588"/>
      <c r="AY3" s="676"/>
      <c r="AZ3" s="676"/>
      <c r="BA3" s="676"/>
      <c r="BB3" s="36"/>
      <c r="BC3" s="36"/>
      <c r="BD3" s="676"/>
      <c r="BE3" s="676"/>
      <c r="BF3" s="676"/>
      <c r="BG3" s="36"/>
      <c r="BH3" s="36"/>
    </row>
    <row r="4" spans="1:80" ht="24.95" hidden="1" customHeight="1" x14ac:dyDescent="0.25">
      <c r="A4" s="2589"/>
      <c r="B4" s="2590"/>
      <c r="C4" s="2590"/>
      <c r="D4" s="2590"/>
      <c r="E4" s="2591"/>
      <c r="F4" s="1683"/>
      <c r="G4" s="1684"/>
      <c r="H4" s="1684"/>
      <c r="I4" s="1684"/>
      <c r="J4" s="1685"/>
      <c r="K4" s="1683"/>
      <c r="L4" s="1684"/>
      <c r="M4" s="1684"/>
      <c r="N4" s="1684"/>
      <c r="O4" s="1685"/>
      <c r="P4" s="2589"/>
      <c r="Q4" s="2590"/>
      <c r="R4" s="2590"/>
      <c r="S4" s="2590"/>
      <c r="T4" s="2591"/>
      <c r="U4" s="2589"/>
      <c r="V4" s="2590"/>
      <c r="W4" s="2590"/>
      <c r="X4" s="2590"/>
      <c r="Y4" s="2591"/>
      <c r="Z4" s="2589"/>
      <c r="AA4" s="2590"/>
      <c r="AB4" s="2590"/>
      <c r="AC4" s="2590"/>
      <c r="AD4" s="2591"/>
      <c r="AE4" s="2589"/>
      <c r="AF4" s="2590"/>
      <c r="AG4" s="2590"/>
      <c r="AH4" s="2590"/>
      <c r="AI4" s="2591"/>
      <c r="AJ4" s="2589"/>
      <c r="AK4" s="2590"/>
      <c r="AL4" s="2590"/>
      <c r="AM4" s="2590"/>
      <c r="AN4" s="2591"/>
      <c r="AO4" s="2589"/>
      <c r="AP4" s="2590"/>
      <c r="AQ4" s="2590"/>
      <c r="AR4" s="2590"/>
      <c r="AS4" s="2591"/>
      <c r="AT4" s="2589"/>
      <c r="AU4" s="2590"/>
      <c r="AV4" s="2590"/>
      <c r="AW4" s="2590"/>
      <c r="AX4" s="2591"/>
      <c r="AY4" s="676"/>
      <c r="AZ4" s="676"/>
      <c r="BA4" s="676"/>
      <c r="BB4" s="36"/>
      <c r="BC4" s="36"/>
      <c r="BD4" s="676"/>
      <c r="BE4" s="676"/>
      <c r="BF4" s="676"/>
      <c r="BG4" s="36"/>
      <c r="BH4" s="36"/>
    </row>
    <row r="5" spans="1:80" ht="25.5" customHeight="1" x14ac:dyDescent="0.25">
      <c r="A5" s="2592"/>
      <c r="B5" s="2593"/>
      <c r="C5" s="2593"/>
      <c r="D5" s="2593"/>
      <c r="E5" s="2594"/>
      <c r="F5" s="1686"/>
      <c r="G5" s="1687"/>
      <c r="H5" s="1687"/>
      <c r="I5" s="1687"/>
      <c r="J5" s="1688"/>
      <c r="K5" s="1686"/>
      <c r="L5" s="1687"/>
      <c r="M5" s="1687"/>
      <c r="N5" s="1687"/>
      <c r="O5" s="1688"/>
      <c r="P5" s="2592"/>
      <c r="Q5" s="2593"/>
      <c r="R5" s="2593"/>
      <c r="S5" s="2593"/>
      <c r="T5" s="2594"/>
      <c r="U5" s="2592"/>
      <c r="V5" s="2593"/>
      <c r="W5" s="2593"/>
      <c r="X5" s="2593"/>
      <c r="Y5" s="2594"/>
      <c r="Z5" s="2592"/>
      <c r="AA5" s="2593"/>
      <c r="AB5" s="2593"/>
      <c r="AC5" s="2593"/>
      <c r="AD5" s="2594"/>
      <c r="AE5" s="2592"/>
      <c r="AF5" s="2593"/>
      <c r="AG5" s="2593"/>
      <c r="AH5" s="2593"/>
      <c r="AI5" s="2594"/>
      <c r="AJ5" s="2592"/>
      <c r="AK5" s="2593"/>
      <c r="AL5" s="2593"/>
      <c r="AM5" s="2593"/>
      <c r="AN5" s="2594"/>
      <c r="AO5" s="2592"/>
      <c r="AP5" s="2593"/>
      <c r="AQ5" s="2593"/>
      <c r="AR5" s="2593"/>
      <c r="AS5" s="2594"/>
      <c r="AT5" s="2592"/>
      <c r="AU5" s="2593"/>
      <c r="AV5" s="2593"/>
      <c r="AW5" s="2593"/>
      <c r="AX5" s="2594"/>
      <c r="AY5" s="676"/>
      <c r="AZ5" s="676"/>
      <c r="BA5" s="676"/>
      <c r="BB5" s="36"/>
      <c r="BC5" s="36"/>
      <c r="BD5" s="676"/>
      <c r="BE5" s="676"/>
      <c r="BF5" s="676"/>
      <c r="BG5" s="36"/>
      <c r="BH5" s="36"/>
    </row>
    <row r="6" spans="1:80" ht="72" customHeight="1" x14ac:dyDescent="0.25">
      <c r="A6" s="1325" t="s">
        <v>262</v>
      </c>
      <c r="B6" s="1714">
        <v>6</v>
      </c>
      <c r="C6" s="1715"/>
      <c r="D6" s="1715"/>
      <c r="E6" s="1716"/>
      <c r="F6" s="1926" t="s">
        <v>476</v>
      </c>
      <c r="G6" s="1714">
        <v>1</v>
      </c>
      <c r="H6" s="1715"/>
      <c r="I6" s="1715"/>
      <c r="J6" s="1716"/>
      <c r="K6" s="1926" t="s">
        <v>476</v>
      </c>
      <c r="L6" s="1714">
        <v>5</v>
      </c>
      <c r="M6" s="1715"/>
      <c r="N6" s="1715"/>
      <c r="O6" s="1716"/>
      <c r="P6" s="1926" t="s">
        <v>476</v>
      </c>
      <c r="Q6" s="1714">
        <v>9</v>
      </c>
      <c r="R6" s="1715"/>
      <c r="S6" s="1715"/>
      <c r="T6" s="1716"/>
      <c r="U6" s="2303" t="s">
        <v>487</v>
      </c>
      <c r="V6" s="1714">
        <v>11</v>
      </c>
      <c r="W6" s="1715"/>
      <c r="X6" s="1715"/>
      <c r="Y6" s="1716"/>
      <c r="Z6" s="2303" t="s">
        <v>487</v>
      </c>
      <c r="AA6" s="1714">
        <v>12</v>
      </c>
      <c r="AB6" s="1715"/>
      <c r="AC6" s="1715"/>
      <c r="AD6" s="1716"/>
      <c r="AE6" s="2303" t="s">
        <v>487</v>
      </c>
      <c r="AF6" s="1714">
        <v>14</v>
      </c>
      <c r="AG6" s="1715"/>
      <c r="AH6" s="1715"/>
      <c r="AI6" s="1716"/>
      <c r="AJ6" s="2303" t="s">
        <v>487</v>
      </c>
      <c r="AK6" s="1714">
        <v>15</v>
      </c>
      <c r="AL6" s="1715"/>
      <c r="AM6" s="1715"/>
      <c r="AN6" s="1716"/>
      <c r="AO6" s="2303" t="s">
        <v>487</v>
      </c>
      <c r="AP6" s="1714">
        <v>16</v>
      </c>
      <c r="AQ6" s="1715"/>
      <c r="AR6" s="1715"/>
      <c r="AS6" s="1716"/>
      <c r="AT6" s="2303" t="s">
        <v>487</v>
      </c>
      <c r="AU6" s="1714">
        <v>17</v>
      </c>
      <c r="AV6" s="1715"/>
      <c r="AW6" s="1715"/>
      <c r="AX6" s="1716"/>
      <c r="AY6" s="677"/>
      <c r="AZ6" s="1332"/>
      <c r="BA6" s="1332"/>
      <c r="BB6" s="1332"/>
      <c r="BC6" s="1332"/>
      <c r="BD6" s="677"/>
      <c r="BE6" s="1332"/>
      <c r="BF6" s="1332"/>
      <c r="BG6" s="1332"/>
      <c r="BH6" s="1332"/>
      <c r="BM6" s="27"/>
      <c r="BN6" s="27"/>
      <c r="BO6" s="27"/>
      <c r="BP6" s="27"/>
      <c r="BQ6" s="27"/>
      <c r="BR6" s="27"/>
      <c r="BW6" s="27"/>
      <c r="BX6" s="27"/>
      <c r="BY6" s="27"/>
      <c r="BZ6" s="27"/>
      <c r="CA6" s="27"/>
      <c r="CB6" s="27"/>
    </row>
    <row r="7" spans="1:80" ht="35.1" customHeight="1" thickBot="1" x14ac:dyDescent="0.3">
      <c r="A7" s="1326"/>
      <c r="B7" s="241">
        <v>1E-8</v>
      </c>
      <c r="C7" s="242" t="s">
        <v>113</v>
      </c>
      <c r="D7" s="243"/>
      <c r="E7" s="244" t="s">
        <v>114</v>
      </c>
      <c r="F7" s="1927"/>
      <c r="G7" s="241">
        <v>10.795</v>
      </c>
      <c r="H7" s="242" t="s">
        <v>113</v>
      </c>
      <c r="I7" s="243"/>
      <c r="J7" s="244" t="s">
        <v>114</v>
      </c>
      <c r="K7" s="1927"/>
      <c r="L7" s="241">
        <v>1.2192000000000001</v>
      </c>
      <c r="M7" s="242" t="s">
        <v>113</v>
      </c>
      <c r="N7" s="243"/>
      <c r="O7" s="244" t="s">
        <v>114</v>
      </c>
      <c r="P7" s="1927"/>
      <c r="Q7" s="241">
        <v>0.58399999999999996</v>
      </c>
      <c r="R7" s="242" t="s">
        <v>113</v>
      </c>
      <c r="S7" s="243">
        <v>1</v>
      </c>
      <c r="T7" s="244" t="s">
        <v>114</v>
      </c>
      <c r="U7" s="2304"/>
      <c r="V7" s="241">
        <v>1.0000000000000001E-9</v>
      </c>
      <c r="W7" s="242" t="s">
        <v>113</v>
      </c>
      <c r="X7" s="243"/>
      <c r="Y7" s="244" t="s">
        <v>114</v>
      </c>
      <c r="Z7" s="2304"/>
      <c r="AA7" s="241">
        <v>0.53339999999999999</v>
      </c>
      <c r="AB7" s="242" t="s">
        <v>113</v>
      </c>
      <c r="AC7" s="243"/>
      <c r="AD7" s="244" t="s">
        <v>114</v>
      </c>
      <c r="AE7" s="2304"/>
      <c r="AF7" s="241">
        <v>0.254</v>
      </c>
      <c r="AG7" s="242" t="s">
        <v>113</v>
      </c>
      <c r="AH7" s="243">
        <v>1</v>
      </c>
      <c r="AI7" s="244" t="s">
        <v>114</v>
      </c>
      <c r="AJ7" s="2304"/>
      <c r="AK7" s="241">
        <v>0.68579999999999997</v>
      </c>
      <c r="AL7" s="242" t="s">
        <v>113</v>
      </c>
      <c r="AM7" s="243"/>
      <c r="AN7" s="244" t="s">
        <v>114</v>
      </c>
      <c r="AO7" s="2304"/>
      <c r="AP7" s="241">
        <v>1E-14</v>
      </c>
      <c r="AQ7" s="242" t="s">
        <v>113</v>
      </c>
      <c r="AR7" s="243"/>
      <c r="AS7" s="244" t="s">
        <v>114</v>
      </c>
      <c r="AT7" s="2304"/>
      <c r="AU7" s="241">
        <v>4.3688000000000002</v>
      </c>
      <c r="AV7" s="242" t="s">
        <v>113</v>
      </c>
      <c r="AW7" s="243"/>
      <c r="AX7" s="244" t="s">
        <v>114</v>
      </c>
      <c r="AY7" s="677"/>
      <c r="AZ7" s="137"/>
      <c r="BA7" s="33"/>
      <c r="BB7" s="138"/>
      <c r="BC7" s="35"/>
      <c r="BD7" s="677"/>
      <c r="BE7" s="137"/>
      <c r="BF7" s="33"/>
      <c r="BG7" s="138"/>
      <c r="BH7" s="35"/>
      <c r="BM7" s="27"/>
      <c r="BN7" s="27"/>
      <c r="BO7" s="27"/>
      <c r="BP7" s="27"/>
      <c r="BQ7" s="27"/>
      <c r="BR7" s="27"/>
      <c r="BW7" s="27"/>
      <c r="BX7" s="27"/>
      <c r="BY7" s="27"/>
      <c r="BZ7" s="27"/>
      <c r="CA7" s="27"/>
      <c r="CB7" s="27"/>
    </row>
    <row r="8" spans="1:80" ht="39" customHeight="1" thickTop="1" x14ac:dyDescent="0.25">
      <c r="A8" s="2309" t="s">
        <v>250</v>
      </c>
      <c r="B8" s="2310"/>
      <c r="C8" s="2310"/>
      <c r="D8" s="2311">
        <f>B13/((60*3.1415/64)*(60/3.281))</f>
        <v>5.187678356057792E-3</v>
      </c>
      <c r="E8" s="2312"/>
      <c r="F8" s="1744" t="s">
        <v>250</v>
      </c>
      <c r="G8" s="1745"/>
      <c r="H8" s="1745"/>
      <c r="I8" s="1742">
        <f>G13/((60*3.1415/64)*(55/3.281))</f>
        <v>2.0255137721316297E-12</v>
      </c>
      <c r="J8" s="1743"/>
      <c r="K8" s="1744" t="s">
        <v>250</v>
      </c>
      <c r="L8" s="1745"/>
      <c r="M8" s="1745"/>
      <c r="N8" s="1742">
        <f>L13/((60*3.1415/64)*(55/3.281))</f>
        <v>2.5197391325317474E-2</v>
      </c>
      <c r="O8" s="1743"/>
      <c r="P8" s="1744" t="s">
        <v>250</v>
      </c>
      <c r="Q8" s="1745"/>
      <c r="R8" s="1745"/>
      <c r="S8" s="1742">
        <f>Q13/((60*3.1415/64)*(55/3.281))</f>
        <v>1.2347531954914415E-2</v>
      </c>
      <c r="T8" s="1743"/>
      <c r="U8" s="1744" t="s">
        <v>250</v>
      </c>
      <c r="V8" s="1745"/>
      <c r="W8" s="1745"/>
      <c r="X8" s="1742">
        <f>V13/((60*3.1415/64)*(55/3.281))</f>
        <v>2.0255137721316297E-11</v>
      </c>
      <c r="Y8" s="1743"/>
      <c r="Z8" s="2293" t="s">
        <v>250</v>
      </c>
      <c r="AA8" s="2294"/>
      <c r="AB8" s="2294"/>
      <c r="AC8" s="2291">
        <f>AA13/((64*3.1415/60)*(50/3.281))</f>
        <v>2.1388119926786572E-2</v>
      </c>
      <c r="AD8" s="2292"/>
      <c r="AE8" s="2293" t="s">
        <v>250</v>
      </c>
      <c r="AF8" s="2294"/>
      <c r="AG8" s="2294"/>
      <c r="AH8" s="2291">
        <f>AF13/((64*3.1415/60)*(50/3.281))</f>
        <v>1.9582603851663222E-11</v>
      </c>
      <c r="AI8" s="2292"/>
      <c r="AJ8" s="2293" t="s">
        <v>250</v>
      </c>
      <c r="AK8" s="2294"/>
      <c r="AL8" s="2294"/>
      <c r="AM8" s="2291">
        <f>AK13/((64*3.1415/60)*(50/3.281))</f>
        <v>7.2122729985675635E-2</v>
      </c>
      <c r="AN8" s="2292"/>
      <c r="AO8" s="2601" t="s">
        <v>250</v>
      </c>
      <c r="AP8" s="2602"/>
      <c r="AQ8" s="2602"/>
      <c r="AR8" s="2603">
        <f>AP13/((60*3.1415/64)*(45/3.281))</f>
        <v>6.2880949770397487E-3</v>
      </c>
      <c r="AS8" s="2604"/>
      <c r="AT8" s="2595" t="s">
        <v>250</v>
      </c>
      <c r="AU8" s="2596"/>
      <c r="AV8" s="2596"/>
      <c r="AW8" s="2597">
        <f>AU13/((60*3.1415/64)*(40/3.281))</f>
        <v>2.7850814366809905E-13</v>
      </c>
      <c r="AX8" s="2598"/>
      <c r="AY8" s="674"/>
      <c r="AZ8" s="674"/>
      <c r="BA8" s="674"/>
      <c r="BB8" s="1300"/>
      <c r="BC8" s="1300"/>
      <c r="BD8" s="674"/>
      <c r="BE8" s="674"/>
      <c r="BF8" s="674"/>
      <c r="BG8" s="1300"/>
      <c r="BH8" s="1300"/>
      <c r="BM8" s="27"/>
      <c r="BN8" s="27"/>
      <c r="BO8" s="27"/>
      <c r="BP8" s="27"/>
      <c r="BQ8" s="27"/>
      <c r="BR8" s="27"/>
      <c r="BW8" s="27"/>
      <c r="BX8" s="27"/>
      <c r="BY8" s="27"/>
      <c r="BZ8" s="27"/>
      <c r="CA8" s="27"/>
      <c r="CB8" s="27"/>
    </row>
    <row r="9" spans="1:80" ht="9.9499999999999993" hidden="1" customHeight="1" x14ac:dyDescent="0.25">
      <c r="A9" s="2586" t="s">
        <v>111</v>
      </c>
      <c r="B9" s="2587"/>
      <c r="C9" s="2587"/>
      <c r="D9" s="2587"/>
      <c r="E9" s="2588"/>
      <c r="F9" s="1680" t="s">
        <v>111</v>
      </c>
      <c r="G9" s="1681"/>
      <c r="H9" s="1681"/>
      <c r="I9" s="1681"/>
      <c r="J9" s="1682"/>
      <c r="K9" s="1680" t="s">
        <v>111</v>
      </c>
      <c r="L9" s="1681"/>
      <c r="M9" s="1681"/>
      <c r="N9" s="1681"/>
      <c r="O9" s="1682"/>
      <c r="P9" s="2586" t="s">
        <v>111</v>
      </c>
      <c r="Q9" s="2587"/>
      <c r="R9" s="2587"/>
      <c r="S9" s="2587"/>
      <c r="T9" s="2588"/>
      <c r="U9" s="2586" t="s">
        <v>111</v>
      </c>
      <c r="V9" s="2587"/>
      <c r="W9" s="2587"/>
      <c r="X9" s="2587"/>
      <c r="Y9" s="2588"/>
      <c r="Z9" s="1680" t="s">
        <v>111</v>
      </c>
      <c r="AA9" s="1681"/>
      <c r="AB9" s="1681"/>
      <c r="AC9" s="1681"/>
      <c r="AD9" s="1682"/>
      <c r="AE9" s="2586" t="s">
        <v>111</v>
      </c>
      <c r="AF9" s="2587"/>
      <c r="AG9" s="2587"/>
      <c r="AH9" s="2587"/>
      <c r="AI9" s="2588"/>
      <c r="AJ9" s="2586" t="s">
        <v>111</v>
      </c>
      <c r="AK9" s="2587"/>
      <c r="AL9" s="2587"/>
      <c r="AM9" s="2587"/>
      <c r="AN9" s="2588"/>
      <c r="AO9" s="2586" t="s">
        <v>111</v>
      </c>
      <c r="AP9" s="2587"/>
      <c r="AQ9" s="2587"/>
      <c r="AR9" s="2587"/>
      <c r="AS9" s="2588"/>
      <c r="AT9" s="2586" t="s">
        <v>111</v>
      </c>
      <c r="AU9" s="2587"/>
      <c r="AV9" s="2587"/>
      <c r="AW9" s="2587"/>
      <c r="AX9" s="2588"/>
      <c r="AY9" s="676"/>
      <c r="AZ9" s="676"/>
      <c r="BA9" s="676"/>
      <c r="BB9" s="674"/>
      <c r="BC9" s="674"/>
      <c r="BD9" s="674"/>
      <c r="BE9" s="674"/>
      <c r="BF9" s="674"/>
      <c r="BG9" s="674"/>
      <c r="BH9" s="674"/>
      <c r="BI9" s="674"/>
      <c r="BJ9" s="674"/>
    </row>
    <row r="10" spans="1:80" ht="24.95" hidden="1" customHeight="1" x14ac:dyDescent="0.25">
      <c r="A10" s="2589"/>
      <c r="B10" s="2590"/>
      <c r="C10" s="2590"/>
      <c r="D10" s="2590"/>
      <c r="E10" s="2591"/>
      <c r="F10" s="1683"/>
      <c r="G10" s="1684"/>
      <c r="H10" s="1684"/>
      <c r="I10" s="1684"/>
      <c r="J10" s="1685"/>
      <c r="K10" s="1683"/>
      <c r="L10" s="1684"/>
      <c r="M10" s="1684"/>
      <c r="N10" s="1684"/>
      <c r="O10" s="1685"/>
      <c r="P10" s="2589"/>
      <c r="Q10" s="2590"/>
      <c r="R10" s="2590"/>
      <c r="S10" s="2590"/>
      <c r="T10" s="2591"/>
      <c r="U10" s="2589"/>
      <c r="V10" s="2590"/>
      <c r="W10" s="2590"/>
      <c r="X10" s="2590"/>
      <c r="Y10" s="2591"/>
      <c r="Z10" s="1683"/>
      <c r="AA10" s="1684"/>
      <c r="AB10" s="1684"/>
      <c r="AC10" s="1684"/>
      <c r="AD10" s="1685"/>
      <c r="AE10" s="2589"/>
      <c r="AF10" s="2590"/>
      <c r="AG10" s="2590"/>
      <c r="AH10" s="2590"/>
      <c r="AI10" s="2591"/>
      <c r="AJ10" s="2589"/>
      <c r="AK10" s="2590"/>
      <c r="AL10" s="2590"/>
      <c r="AM10" s="2590"/>
      <c r="AN10" s="2591"/>
      <c r="AO10" s="2589"/>
      <c r="AP10" s="2590"/>
      <c r="AQ10" s="2590"/>
      <c r="AR10" s="2590"/>
      <c r="AS10" s="2591"/>
      <c r="AT10" s="2589"/>
      <c r="AU10" s="2590"/>
      <c r="AV10" s="2590"/>
      <c r="AW10" s="2590"/>
      <c r="AX10" s="2591"/>
      <c r="AY10" s="676"/>
      <c r="AZ10" s="676"/>
      <c r="BA10" s="676"/>
      <c r="BB10" s="674"/>
      <c r="BC10" s="674"/>
      <c r="BD10" s="674"/>
      <c r="BE10" s="674"/>
      <c r="BF10" s="674"/>
      <c r="BG10" s="674"/>
      <c r="BH10" s="674"/>
      <c r="BI10" s="674"/>
      <c r="BJ10" s="674"/>
    </row>
    <row r="11" spans="1:80" ht="25.5" customHeight="1" x14ac:dyDescent="0.25">
      <c r="A11" s="2592"/>
      <c r="B11" s="2593"/>
      <c r="C11" s="2593"/>
      <c r="D11" s="2593"/>
      <c r="E11" s="2594"/>
      <c r="F11" s="1686"/>
      <c r="G11" s="1687"/>
      <c r="H11" s="1687"/>
      <c r="I11" s="1687"/>
      <c r="J11" s="1688"/>
      <c r="K11" s="1686"/>
      <c r="L11" s="1687"/>
      <c r="M11" s="1687"/>
      <c r="N11" s="1687"/>
      <c r="O11" s="1688"/>
      <c r="P11" s="2592"/>
      <c r="Q11" s="2593"/>
      <c r="R11" s="2593"/>
      <c r="S11" s="2593"/>
      <c r="T11" s="2594"/>
      <c r="U11" s="2592"/>
      <c r="V11" s="2593"/>
      <c r="W11" s="2593"/>
      <c r="X11" s="2593"/>
      <c r="Y11" s="2594"/>
      <c r="Z11" s="1686"/>
      <c r="AA11" s="1687"/>
      <c r="AB11" s="1687"/>
      <c r="AC11" s="1687"/>
      <c r="AD11" s="1688"/>
      <c r="AE11" s="2592"/>
      <c r="AF11" s="2593"/>
      <c r="AG11" s="2593"/>
      <c r="AH11" s="2593"/>
      <c r="AI11" s="2594"/>
      <c r="AJ11" s="2592"/>
      <c r="AK11" s="2593"/>
      <c r="AL11" s="2593"/>
      <c r="AM11" s="2593"/>
      <c r="AN11" s="2594"/>
      <c r="AO11" s="2592"/>
      <c r="AP11" s="2593"/>
      <c r="AQ11" s="2593"/>
      <c r="AR11" s="2593"/>
      <c r="AS11" s="2594"/>
      <c r="AT11" s="2592"/>
      <c r="AU11" s="2593"/>
      <c r="AV11" s="2593"/>
      <c r="AW11" s="2593"/>
      <c r="AX11" s="2594"/>
      <c r="AY11" s="676"/>
      <c r="AZ11" s="676"/>
      <c r="BA11" s="676"/>
      <c r="BB11" s="674"/>
      <c r="BC11" s="674"/>
      <c r="BD11" s="674"/>
      <c r="BE11" s="674"/>
      <c r="BF11" s="674"/>
      <c r="BG11" s="674"/>
      <c r="BH11" s="674"/>
      <c r="BI11" s="674"/>
      <c r="BJ11" s="674"/>
    </row>
    <row r="12" spans="1:80" ht="72" customHeight="1" x14ac:dyDescent="0.25">
      <c r="A12" s="2303" t="s">
        <v>487</v>
      </c>
      <c r="B12" s="1714">
        <v>20</v>
      </c>
      <c r="C12" s="1715"/>
      <c r="D12" s="1715"/>
      <c r="E12" s="1716"/>
      <c r="F12" s="2605" t="s">
        <v>475</v>
      </c>
      <c r="G12" s="1714">
        <v>2</v>
      </c>
      <c r="H12" s="1715"/>
      <c r="I12" s="1715"/>
      <c r="J12" s="1716"/>
      <c r="K12" s="2605" t="s">
        <v>475</v>
      </c>
      <c r="L12" s="1714">
        <v>4</v>
      </c>
      <c r="M12" s="1715"/>
      <c r="N12" s="1715"/>
      <c r="O12" s="1716"/>
      <c r="P12" s="1721" t="s">
        <v>475</v>
      </c>
      <c r="Q12" s="1714">
        <v>13</v>
      </c>
      <c r="R12" s="1715"/>
      <c r="S12" s="1715"/>
      <c r="T12" s="1716"/>
      <c r="U12" s="1721" t="s">
        <v>475</v>
      </c>
      <c r="V12" s="1714">
        <v>18</v>
      </c>
      <c r="W12" s="1715"/>
      <c r="X12" s="1715"/>
      <c r="Y12" s="1716"/>
      <c r="Z12" s="2297" t="s">
        <v>477</v>
      </c>
      <c r="AA12" s="1714">
        <v>3</v>
      </c>
      <c r="AB12" s="1715"/>
      <c r="AC12" s="1715"/>
      <c r="AD12" s="1716"/>
      <c r="AE12" s="2297" t="s">
        <v>477</v>
      </c>
      <c r="AF12" s="1714">
        <v>19</v>
      </c>
      <c r="AG12" s="1715"/>
      <c r="AH12" s="1715"/>
      <c r="AI12" s="1716"/>
      <c r="AJ12" s="2297" t="s">
        <v>477</v>
      </c>
      <c r="AK12" s="1714">
        <v>22</v>
      </c>
      <c r="AL12" s="1715"/>
      <c r="AM12" s="1715"/>
      <c r="AN12" s="1716"/>
      <c r="AO12" s="2607" t="s">
        <v>479</v>
      </c>
      <c r="AP12" s="1714">
        <v>21</v>
      </c>
      <c r="AQ12" s="1715"/>
      <c r="AR12" s="1715"/>
      <c r="AS12" s="1716"/>
      <c r="AT12" s="2599" t="s">
        <v>478</v>
      </c>
      <c r="AU12" s="1714">
        <v>7</v>
      </c>
      <c r="AV12" s="1715"/>
      <c r="AW12" s="1715"/>
      <c r="AX12" s="1716"/>
      <c r="AY12" s="677"/>
      <c r="AZ12" s="1332"/>
      <c r="BA12" s="1332"/>
      <c r="BB12" s="1332"/>
      <c r="BC12" s="1332"/>
      <c r="BD12" s="677"/>
      <c r="BE12" s="1332"/>
      <c r="BF12" s="1332"/>
      <c r="BG12" s="1332"/>
      <c r="BH12" s="1332"/>
      <c r="BM12" s="51"/>
      <c r="BN12" s="51"/>
      <c r="BO12" s="51"/>
      <c r="BP12" s="51"/>
      <c r="BQ12" s="51"/>
      <c r="BR12" s="51"/>
      <c r="BW12" s="27"/>
      <c r="BX12" s="27"/>
      <c r="BY12" s="27"/>
      <c r="BZ12" s="27"/>
      <c r="CA12" s="27"/>
      <c r="CB12" s="27"/>
    </row>
    <row r="13" spans="1:80" ht="35.1" customHeight="1" thickBot="1" x14ac:dyDescent="0.3">
      <c r="A13" s="2304"/>
      <c r="B13" s="241">
        <v>0.27939999999999998</v>
      </c>
      <c r="C13" s="242" t="s">
        <v>113</v>
      </c>
      <c r="D13" s="243"/>
      <c r="E13" s="244" t="s">
        <v>114</v>
      </c>
      <c r="F13" s="2606"/>
      <c r="G13" s="241">
        <v>1E-10</v>
      </c>
      <c r="H13" s="242" t="s">
        <v>113</v>
      </c>
      <c r="I13" s="243"/>
      <c r="J13" s="244" t="s">
        <v>114</v>
      </c>
      <c r="K13" s="2606"/>
      <c r="L13" s="241">
        <v>1.244</v>
      </c>
      <c r="M13" s="242" t="s">
        <v>113</v>
      </c>
      <c r="N13" s="243">
        <v>1</v>
      </c>
      <c r="O13" s="244" t="s">
        <v>114</v>
      </c>
      <c r="P13" s="1722"/>
      <c r="Q13" s="241">
        <v>0.60960000000000003</v>
      </c>
      <c r="R13" s="242" t="s">
        <v>113</v>
      </c>
      <c r="S13" s="243"/>
      <c r="T13" s="244" t="s">
        <v>114</v>
      </c>
      <c r="U13" s="1722"/>
      <c r="V13" s="241">
        <v>1.0000000000000001E-9</v>
      </c>
      <c r="W13" s="242" t="s">
        <v>113</v>
      </c>
      <c r="X13" s="243">
        <v>1</v>
      </c>
      <c r="Y13" s="244" t="s">
        <v>114</v>
      </c>
      <c r="Z13" s="2298"/>
      <c r="AA13" s="241">
        <v>1.0922000000000001</v>
      </c>
      <c r="AB13" s="242" t="s">
        <v>113</v>
      </c>
      <c r="AC13" s="243"/>
      <c r="AD13" s="244" t="s">
        <v>114</v>
      </c>
      <c r="AE13" s="2298"/>
      <c r="AF13" s="241">
        <v>1.0000000000000001E-9</v>
      </c>
      <c r="AG13" s="242" t="s">
        <v>113</v>
      </c>
      <c r="AH13" s="243"/>
      <c r="AI13" s="244" t="s">
        <v>114</v>
      </c>
      <c r="AJ13" s="2298"/>
      <c r="AK13" s="241">
        <v>3.6829999999999998</v>
      </c>
      <c r="AL13" s="242" t="s">
        <v>113</v>
      </c>
      <c r="AM13" s="243"/>
      <c r="AN13" s="244" t="s">
        <v>114</v>
      </c>
      <c r="AO13" s="2608"/>
      <c r="AP13" s="241">
        <v>0.254</v>
      </c>
      <c r="AQ13" s="242" t="s">
        <v>113</v>
      </c>
      <c r="AR13" s="243"/>
      <c r="AS13" s="244" t="s">
        <v>114</v>
      </c>
      <c r="AT13" s="2600"/>
      <c r="AU13" s="241">
        <v>9.9999999999999994E-12</v>
      </c>
      <c r="AV13" s="242" t="s">
        <v>113</v>
      </c>
      <c r="AW13" s="243"/>
      <c r="AX13" s="244" t="s">
        <v>114</v>
      </c>
      <c r="AY13" s="677"/>
      <c r="AZ13" s="137"/>
      <c r="BA13" s="33"/>
      <c r="BB13" s="138"/>
      <c r="BC13" s="35"/>
      <c r="BD13" s="677"/>
      <c r="BE13" s="137"/>
      <c r="BF13" s="33"/>
      <c r="BG13" s="138"/>
      <c r="BH13" s="35"/>
      <c r="BM13" s="51"/>
      <c r="BN13" s="51"/>
      <c r="BO13" s="51"/>
      <c r="BP13" s="51"/>
      <c r="BQ13" s="51"/>
      <c r="BR13" s="51"/>
      <c r="BW13" s="27"/>
      <c r="BX13" s="27"/>
      <c r="BY13" s="27"/>
      <c r="BZ13" s="27"/>
      <c r="CA13" s="27"/>
      <c r="CB13" s="27"/>
    </row>
    <row r="14" spans="1:80" ht="39" customHeight="1" thickTop="1" x14ac:dyDescent="0.25">
      <c r="A14" s="672"/>
      <c r="B14" s="672"/>
      <c r="C14" s="672"/>
      <c r="D14" s="1368"/>
      <c r="E14" s="1368"/>
      <c r="F14" s="672"/>
      <c r="G14" s="672"/>
      <c r="H14" s="672"/>
      <c r="I14" s="1368"/>
      <c r="J14" s="1368"/>
      <c r="K14" s="672"/>
      <c r="L14" s="672"/>
      <c r="M14" s="672"/>
      <c r="N14" s="1368"/>
      <c r="O14" s="1368"/>
      <c r="P14" s="672"/>
      <c r="Q14" s="672"/>
      <c r="R14" s="672"/>
      <c r="S14" s="1368"/>
      <c r="T14" s="1368"/>
      <c r="U14" s="672"/>
      <c r="V14" s="672"/>
      <c r="W14" s="672"/>
      <c r="X14" s="1368"/>
      <c r="Y14" s="1368"/>
      <c r="Z14" s="672"/>
      <c r="AA14" s="672"/>
      <c r="AB14" s="672"/>
      <c r="AC14" s="1368"/>
      <c r="AD14" s="1368"/>
      <c r="AE14" s="672"/>
      <c r="AF14" s="672"/>
      <c r="AG14" s="672"/>
      <c r="AH14" s="1368"/>
      <c r="AI14" s="1368"/>
      <c r="AJ14" s="672"/>
      <c r="AK14" s="672"/>
      <c r="AL14" s="672"/>
      <c r="AM14" s="1368"/>
      <c r="AN14" s="1369"/>
      <c r="AO14" s="2595" t="s">
        <v>250</v>
      </c>
      <c r="AP14" s="2596"/>
      <c r="AQ14" s="2596"/>
      <c r="AR14" s="2597">
        <f>AP19/((60*3.1415/64)*(40/3.281))</f>
        <v>9.1907687410472706E-3</v>
      </c>
      <c r="AS14" s="2598"/>
      <c r="AT14" s="2595" t="s">
        <v>250</v>
      </c>
      <c r="AU14" s="2596"/>
      <c r="AV14" s="2596"/>
      <c r="AW14" s="2597">
        <f>AU19/((60*3.1415/64)*(40/3.281))</f>
        <v>2.7850814366809911E-12</v>
      </c>
      <c r="AX14" s="2598"/>
      <c r="AY14" s="674"/>
      <c r="AZ14" s="674"/>
      <c r="BA14" s="674"/>
      <c r="BB14" s="1300"/>
      <c r="BC14" s="1300"/>
      <c r="BD14" s="674"/>
      <c r="BE14" s="674"/>
      <c r="BF14" s="674"/>
      <c r="BG14" s="1300"/>
      <c r="BH14" s="1300"/>
      <c r="BM14" s="27"/>
      <c r="BN14" s="27"/>
      <c r="BO14" s="27"/>
      <c r="BP14" s="27"/>
      <c r="BQ14" s="27"/>
      <c r="BR14" s="27"/>
      <c r="BW14" s="27"/>
      <c r="BX14" s="27"/>
      <c r="BY14" s="27"/>
      <c r="BZ14" s="27"/>
      <c r="CA14" s="27"/>
      <c r="CB14" s="27"/>
    </row>
    <row r="15" spans="1:80" ht="9.9499999999999993" hidden="1" customHeight="1" x14ac:dyDescent="0.25">
      <c r="A15" s="676"/>
      <c r="B15" s="676"/>
      <c r="C15" s="676"/>
      <c r="D15" s="676"/>
      <c r="E15" s="676"/>
      <c r="F15" s="676"/>
      <c r="G15" s="676"/>
      <c r="H15" s="676"/>
      <c r="I15" s="676"/>
      <c r="J15" s="676"/>
      <c r="K15" s="676"/>
      <c r="L15" s="676"/>
      <c r="M15" s="676"/>
      <c r="N15" s="676"/>
      <c r="O15" s="676"/>
      <c r="P15" s="676"/>
      <c r="Q15" s="676"/>
      <c r="R15" s="676"/>
      <c r="S15" s="676"/>
      <c r="T15" s="676"/>
      <c r="U15" s="676"/>
      <c r="V15" s="676"/>
      <c r="W15" s="676"/>
      <c r="X15" s="676"/>
      <c r="Y15" s="676"/>
      <c r="Z15" s="676"/>
      <c r="AA15" s="676"/>
      <c r="AB15" s="676"/>
      <c r="AC15" s="676"/>
      <c r="AD15" s="676"/>
      <c r="AE15" s="676"/>
      <c r="AF15" s="676"/>
      <c r="AG15" s="676"/>
      <c r="AH15" s="676"/>
      <c r="AI15" s="676"/>
      <c r="AJ15" s="676"/>
      <c r="AK15" s="676"/>
      <c r="AL15" s="676"/>
      <c r="AM15" s="676"/>
      <c r="AN15" s="1442"/>
      <c r="AO15" s="2586" t="s">
        <v>111</v>
      </c>
      <c r="AP15" s="2587"/>
      <c r="AQ15" s="2587"/>
      <c r="AR15" s="2587"/>
      <c r="AS15" s="2588"/>
      <c r="AT15" s="2586" t="s">
        <v>111</v>
      </c>
      <c r="AU15" s="2587"/>
      <c r="AV15" s="2587"/>
      <c r="AW15" s="2587"/>
      <c r="AX15" s="2588"/>
      <c r="AY15" s="676"/>
      <c r="AZ15" s="676"/>
      <c r="BA15" s="676"/>
      <c r="BB15" s="674"/>
      <c r="BC15" s="674"/>
      <c r="BD15" s="674"/>
      <c r="BE15" s="674"/>
      <c r="BF15" s="674"/>
      <c r="BG15" s="674"/>
      <c r="BH15" s="674"/>
      <c r="BI15" s="674"/>
      <c r="BJ15" s="674"/>
    </row>
    <row r="16" spans="1:80" ht="24.95" hidden="1" customHeight="1" x14ac:dyDescent="0.25">
      <c r="A16" s="676"/>
      <c r="B16" s="676"/>
      <c r="C16" s="676"/>
      <c r="D16" s="676"/>
      <c r="E16" s="676"/>
      <c r="F16" s="676"/>
      <c r="G16" s="676"/>
      <c r="H16" s="676"/>
      <c r="I16" s="676"/>
      <c r="J16" s="676"/>
      <c r="K16" s="676"/>
      <c r="L16" s="676"/>
      <c r="M16" s="676"/>
      <c r="N16" s="676"/>
      <c r="O16" s="676"/>
      <c r="P16" s="676"/>
      <c r="Q16" s="676"/>
      <c r="R16" s="676"/>
      <c r="S16" s="676"/>
      <c r="T16" s="676"/>
      <c r="U16" s="676"/>
      <c r="V16" s="676"/>
      <c r="W16" s="676"/>
      <c r="X16" s="676"/>
      <c r="Y16" s="676"/>
      <c r="Z16" s="676"/>
      <c r="AA16" s="676"/>
      <c r="AB16" s="676"/>
      <c r="AC16" s="676"/>
      <c r="AD16" s="676"/>
      <c r="AE16" s="676"/>
      <c r="AF16" s="676"/>
      <c r="AG16" s="676"/>
      <c r="AH16" s="676"/>
      <c r="AI16" s="676"/>
      <c r="AJ16" s="676"/>
      <c r="AK16" s="676"/>
      <c r="AL16" s="676"/>
      <c r="AM16" s="676"/>
      <c r="AN16" s="1442"/>
      <c r="AO16" s="2589"/>
      <c r="AP16" s="2590"/>
      <c r="AQ16" s="2590"/>
      <c r="AR16" s="2590"/>
      <c r="AS16" s="2591"/>
      <c r="AT16" s="2589"/>
      <c r="AU16" s="2590"/>
      <c r="AV16" s="2590"/>
      <c r="AW16" s="2590"/>
      <c r="AX16" s="2591"/>
      <c r="AY16" s="676"/>
      <c r="AZ16" s="676"/>
      <c r="BA16" s="676"/>
      <c r="BB16" s="674"/>
      <c r="BC16" s="674"/>
      <c r="BD16" s="674"/>
      <c r="BE16" s="674"/>
      <c r="BF16" s="674"/>
      <c r="BG16" s="674"/>
      <c r="BH16" s="674"/>
      <c r="BI16" s="674"/>
      <c r="BJ16" s="674"/>
    </row>
    <row r="17" spans="1:80" ht="25.5" customHeight="1" x14ac:dyDescent="0.25">
      <c r="A17" s="676"/>
      <c r="B17" s="676"/>
      <c r="C17" s="676"/>
      <c r="D17" s="676"/>
      <c r="E17" s="676"/>
      <c r="F17" s="676"/>
      <c r="G17" s="676"/>
      <c r="H17" s="676"/>
      <c r="I17" s="676"/>
      <c r="J17" s="676"/>
      <c r="K17" s="676"/>
      <c r="L17" s="676"/>
      <c r="M17" s="676"/>
      <c r="N17" s="676"/>
      <c r="O17" s="676"/>
      <c r="P17" s="676"/>
      <c r="Q17" s="676"/>
      <c r="R17" s="676"/>
      <c r="S17" s="676"/>
      <c r="T17" s="676"/>
      <c r="U17" s="676"/>
      <c r="V17" s="676"/>
      <c r="W17" s="676"/>
      <c r="X17" s="676"/>
      <c r="Y17" s="676"/>
      <c r="Z17" s="676"/>
      <c r="AA17" s="676"/>
      <c r="AB17" s="676"/>
      <c r="AC17" s="676"/>
      <c r="AD17" s="676"/>
      <c r="AE17" s="676"/>
      <c r="AF17" s="676"/>
      <c r="AG17" s="676"/>
      <c r="AH17" s="676"/>
      <c r="AI17" s="676"/>
      <c r="AJ17" s="676"/>
      <c r="AK17" s="676"/>
      <c r="AL17" s="676"/>
      <c r="AM17" s="676"/>
      <c r="AN17" s="1442"/>
      <c r="AO17" s="2592"/>
      <c r="AP17" s="2593"/>
      <c r="AQ17" s="2593"/>
      <c r="AR17" s="2593"/>
      <c r="AS17" s="2594"/>
      <c r="AT17" s="2592"/>
      <c r="AU17" s="2593"/>
      <c r="AV17" s="2593"/>
      <c r="AW17" s="2593"/>
      <c r="AX17" s="2594"/>
      <c r="AY17" s="676"/>
      <c r="AZ17" s="676"/>
      <c r="BA17" s="676"/>
      <c r="BB17" s="674"/>
      <c r="BC17" s="674"/>
      <c r="BD17" s="674"/>
      <c r="BE17" s="674"/>
      <c r="BF17" s="674"/>
      <c r="BG17" s="674"/>
      <c r="BH17" s="674"/>
      <c r="BI17" s="674"/>
      <c r="BJ17" s="674"/>
    </row>
    <row r="18" spans="1:80" ht="72" customHeight="1" x14ac:dyDescent="0.25">
      <c r="A18" s="1370"/>
      <c r="B18" s="1371"/>
      <c r="C18" s="1371"/>
      <c r="D18" s="1371"/>
      <c r="E18" s="1371"/>
      <c r="F18" s="1370"/>
      <c r="G18" s="1371"/>
      <c r="H18" s="1371"/>
      <c r="I18" s="1371"/>
      <c r="J18" s="1371"/>
      <c r="K18" s="1370"/>
      <c r="L18" s="1371"/>
      <c r="M18" s="1371"/>
      <c r="N18" s="1371"/>
      <c r="O18" s="1371"/>
      <c r="P18" s="1370"/>
      <c r="Q18" s="1371"/>
      <c r="R18" s="1371"/>
      <c r="S18" s="1371"/>
      <c r="T18" s="1371"/>
      <c r="U18" s="1370"/>
      <c r="V18" s="1371"/>
      <c r="W18" s="1371"/>
      <c r="X18" s="1371"/>
      <c r="Y18" s="1371"/>
      <c r="Z18" s="1370"/>
      <c r="AA18" s="1371"/>
      <c r="AB18" s="1371"/>
      <c r="AC18" s="1371"/>
      <c r="AD18" s="1371"/>
      <c r="AE18" s="1370"/>
      <c r="AF18" s="1371"/>
      <c r="AG18" s="1371"/>
      <c r="AH18" s="1371"/>
      <c r="AI18" s="1371"/>
      <c r="AJ18" s="1370"/>
      <c r="AK18" s="1371"/>
      <c r="AL18" s="1371"/>
      <c r="AM18" s="1371"/>
      <c r="AN18" s="1441"/>
      <c r="AO18" s="2599" t="s">
        <v>478</v>
      </c>
      <c r="AP18" s="1714">
        <v>8</v>
      </c>
      <c r="AQ18" s="1715"/>
      <c r="AR18" s="1715"/>
      <c r="AS18" s="1716"/>
      <c r="AT18" s="2599" t="s">
        <v>478</v>
      </c>
      <c r="AU18" s="1714">
        <v>10</v>
      </c>
      <c r="AV18" s="1715"/>
      <c r="AW18" s="1715"/>
      <c r="AX18" s="1716"/>
      <c r="AY18" s="677"/>
      <c r="AZ18" s="1332"/>
      <c r="BA18" s="1332"/>
      <c r="BB18" s="1332"/>
      <c r="BC18" s="1332"/>
      <c r="BD18" s="677"/>
      <c r="BE18" s="1332"/>
      <c r="BF18" s="1332"/>
      <c r="BG18" s="1332"/>
      <c r="BH18" s="1332"/>
      <c r="BM18" s="51"/>
      <c r="BN18" s="51"/>
      <c r="BO18" s="51"/>
      <c r="BP18" s="51"/>
      <c r="BQ18" s="51"/>
      <c r="BR18" s="51"/>
      <c r="BW18" s="27"/>
      <c r="BX18" s="27"/>
      <c r="BY18" s="27"/>
      <c r="BZ18" s="27"/>
      <c r="CA18" s="27"/>
      <c r="CB18" s="27"/>
    </row>
    <row r="19" spans="1:80" ht="35.1" customHeight="1" thickBot="1" x14ac:dyDescent="0.3">
      <c r="A19" s="1370"/>
      <c r="B19" s="32"/>
      <c r="C19" s="33"/>
      <c r="D19" s="34"/>
      <c r="E19" s="35"/>
      <c r="F19" s="1370"/>
      <c r="G19" s="32"/>
      <c r="H19" s="33"/>
      <c r="I19" s="34"/>
      <c r="J19" s="35"/>
      <c r="K19" s="1370"/>
      <c r="L19" s="32"/>
      <c r="M19" s="33"/>
      <c r="N19" s="34"/>
      <c r="O19" s="35"/>
      <c r="P19" s="1370"/>
      <c r="Q19" s="32"/>
      <c r="R19" s="33"/>
      <c r="S19" s="34"/>
      <c r="T19" s="35"/>
      <c r="U19" s="1370"/>
      <c r="V19" s="32"/>
      <c r="W19" s="33"/>
      <c r="X19" s="34"/>
      <c r="Y19" s="35"/>
      <c r="Z19" s="1370"/>
      <c r="AA19" s="32"/>
      <c r="AB19" s="33"/>
      <c r="AC19" s="34"/>
      <c r="AD19" s="35"/>
      <c r="AE19" s="1370"/>
      <c r="AF19" s="32"/>
      <c r="AG19" s="33"/>
      <c r="AH19" s="34"/>
      <c r="AI19" s="35"/>
      <c r="AJ19" s="1370"/>
      <c r="AK19" s="32"/>
      <c r="AL19" s="33"/>
      <c r="AM19" s="34"/>
      <c r="AN19" s="333"/>
      <c r="AO19" s="2600"/>
      <c r="AP19" s="241">
        <v>0.33</v>
      </c>
      <c r="AQ19" s="242" t="s">
        <v>113</v>
      </c>
      <c r="AR19" s="243"/>
      <c r="AS19" s="244" t="s">
        <v>114</v>
      </c>
      <c r="AT19" s="2600"/>
      <c r="AU19" s="241">
        <v>1E-10</v>
      </c>
      <c r="AV19" s="242" t="s">
        <v>113</v>
      </c>
      <c r="AW19" s="243"/>
      <c r="AX19" s="244" t="s">
        <v>114</v>
      </c>
      <c r="AY19" s="677"/>
      <c r="AZ19" s="137"/>
      <c r="BA19" s="33"/>
      <c r="BB19" s="138"/>
      <c r="BC19" s="35"/>
      <c r="BD19" s="677"/>
      <c r="BE19" s="137"/>
      <c r="BF19" s="33"/>
      <c r="BG19" s="138"/>
      <c r="BH19" s="35"/>
      <c r="BM19" s="51"/>
      <c r="BN19" s="51"/>
      <c r="BO19" s="51"/>
      <c r="BP19" s="51"/>
      <c r="BQ19" s="51"/>
      <c r="BR19" s="51"/>
      <c r="BW19" s="27"/>
      <c r="BX19" s="27"/>
      <c r="BY19" s="27"/>
      <c r="BZ19" s="27"/>
      <c r="CA19" s="27"/>
      <c r="CB19" s="27"/>
    </row>
    <row r="20" spans="1:80" ht="39.950000000000003" hidden="1" customHeight="1" thickTop="1" x14ac:dyDescent="0.25">
      <c r="A20" s="1391" t="s">
        <v>250</v>
      </c>
      <c r="B20" s="1392"/>
      <c r="C20" s="1392"/>
      <c r="D20" s="1393">
        <f>B25/((42*3.1415/59)*(30/3.281))</f>
        <v>0</v>
      </c>
      <c r="E20" s="139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Z20" s="44"/>
      <c r="AA20" s="44"/>
      <c r="AB20" s="44"/>
      <c r="AC20" s="44"/>
      <c r="AD20" s="44"/>
      <c r="AE20" s="44"/>
      <c r="AF20" s="44"/>
      <c r="AG20" s="44"/>
      <c r="AH20" s="1300"/>
      <c r="AI20" s="1300"/>
      <c r="AJ20" s="674"/>
      <c r="AK20" s="674"/>
      <c r="AL20" s="674"/>
      <c r="AM20" s="1300"/>
      <c r="AN20" s="1300"/>
      <c r="AO20" s="674"/>
      <c r="AP20" s="674"/>
      <c r="AQ20" s="674"/>
      <c r="AR20" s="1300"/>
      <c r="AS20" s="1300"/>
      <c r="AT20" s="1389"/>
      <c r="AU20" s="1389"/>
      <c r="AV20" s="1389"/>
      <c r="AW20" s="1390"/>
      <c r="AX20" s="1390"/>
      <c r="AY20" s="674"/>
      <c r="AZ20" s="674"/>
      <c r="BA20" s="674"/>
      <c r="BB20" s="1300"/>
      <c r="BC20" s="1300"/>
      <c r="BD20" s="674"/>
      <c r="BE20" s="674"/>
      <c r="BF20" s="674"/>
      <c r="BG20" s="1300"/>
      <c r="BH20" s="1300"/>
      <c r="BM20" s="51"/>
      <c r="BN20" s="51"/>
      <c r="BO20" s="51"/>
      <c r="BP20" s="51"/>
      <c r="BQ20" s="51"/>
      <c r="BR20" s="51"/>
      <c r="BW20" s="27"/>
      <c r="BX20" s="27"/>
      <c r="BY20" s="27"/>
      <c r="BZ20" s="27"/>
      <c r="CA20" s="27"/>
      <c r="CB20" s="27"/>
    </row>
    <row r="21" spans="1:80" ht="9.9499999999999993" hidden="1" customHeight="1" x14ac:dyDescent="0.25">
      <c r="A21" s="1379" t="s">
        <v>252</v>
      </c>
      <c r="B21" s="1380"/>
      <c r="C21" s="1380"/>
      <c r="D21" s="1380"/>
      <c r="E21" s="1381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Z21" s="47"/>
      <c r="AA21" s="47"/>
      <c r="AB21" s="47"/>
      <c r="AC21" s="47"/>
      <c r="AD21" s="47"/>
      <c r="AE21" s="47"/>
      <c r="AF21" s="47"/>
      <c r="AG21" s="47"/>
      <c r="AH21" s="36"/>
      <c r="AI21" s="36"/>
      <c r="AJ21" s="676"/>
      <c r="AK21" s="676"/>
      <c r="AL21" s="676"/>
      <c r="AM21" s="36"/>
      <c r="AN21" s="36"/>
      <c r="AO21" s="676"/>
      <c r="AP21" s="676"/>
      <c r="AQ21" s="676"/>
      <c r="AR21" s="36"/>
      <c r="AS21" s="36"/>
      <c r="AT21" s="1388"/>
      <c r="AU21" s="1388"/>
      <c r="AV21" s="1388"/>
      <c r="AW21" s="139"/>
      <c r="AX21" s="139"/>
      <c r="AY21" s="676"/>
      <c r="AZ21" s="676"/>
      <c r="BA21" s="676"/>
      <c r="BB21" s="36"/>
      <c r="BC21" s="36"/>
      <c r="BD21" s="676"/>
      <c r="BE21" s="676"/>
      <c r="BF21" s="676"/>
      <c r="BG21" s="36"/>
      <c r="BH21" s="36"/>
    </row>
    <row r="22" spans="1:80" ht="24.95" hidden="1" customHeight="1" x14ac:dyDescent="0.25">
      <c r="A22" s="1382"/>
      <c r="B22" s="1383"/>
      <c r="C22" s="1383"/>
      <c r="D22" s="1383"/>
      <c r="E22" s="1384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Z22" s="47"/>
      <c r="AA22" s="47"/>
      <c r="AB22" s="47"/>
      <c r="AC22" s="47"/>
      <c r="AD22" s="47"/>
      <c r="AE22" s="47"/>
      <c r="AF22" s="47"/>
      <c r="AG22" s="47"/>
      <c r="AH22" s="140"/>
      <c r="AI22" s="36"/>
      <c r="AJ22" s="676"/>
      <c r="AK22" s="676"/>
      <c r="AL22" s="676"/>
      <c r="AM22" s="140"/>
      <c r="AN22" s="36"/>
      <c r="AO22" s="676"/>
      <c r="AP22" s="676"/>
      <c r="AQ22" s="676"/>
      <c r="AR22" s="140"/>
      <c r="AS22" s="36"/>
      <c r="AT22" s="1388"/>
      <c r="AU22" s="1388"/>
      <c r="AV22" s="1388"/>
      <c r="AW22" s="141"/>
      <c r="AX22" s="139"/>
      <c r="AY22" s="676"/>
      <c r="AZ22" s="676"/>
      <c r="BA22" s="676"/>
      <c r="BB22" s="36"/>
      <c r="BC22" s="36"/>
      <c r="BD22" s="676"/>
      <c r="BE22" s="676"/>
      <c r="BF22" s="676"/>
      <c r="BG22" s="36"/>
      <c r="BH22" s="36"/>
    </row>
    <row r="23" spans="1:80" ht="9.9499999999999993" hidden="1" customHeight="1" x14ac:dyDescent="0.25">
      <c r="A23" s="1385"/>
      <c r="B23" s="1386"/>
      <c r="C23" s="1386"/>
      <c r="D23" s="1386"/>
      <c r="E23" s="138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Z23" s="47"/>
      <c r="AA23" s="47"/>
      <c r="AB23" s="47"/>
      <c r="AC23" s="47"/>
      <c r="AD23" s="47"/>
      <c r="AE23" s="47"/>
      <c r="AF23" s="47"/>
      <c r="AG23" s="47"/>
      <c r="AH23" s="36"/>
      <c r="AI23" s="36"/>
      <c r="AJ23" s="676"/>
      <c r="AK23" s="676"/>
      <c r="AL23" s="676"/>
      <c r="AM23" s="36"/>
      <c r="AN23" s="36"/>
      <c r="AO23" s="676"/>
      <c r="AP23" s="676"/>
      <c r="AQ23" s="676"/>
      <c r="AR23" s="36"/>
      <c r="AS23" s="36"/>
      <c r="AT23" s="1388"/>
      <c r="AU23" s="1388"/>
      <c r="AV23" s="1388"/>
      <c r="AW23" s="139"/>
      <c r="AX23" s="139"/>
      <c r="AY23" s="676"/>
      <c r="AZ23" s="676"/>
      <c r="BA23" s="676"/>
      <c r="BB23" s="36"/>
      <c r="BC23" s="36"/>
      <c r="BD23" s="676"/>
      <c r="BE23" s="676"/>
      <c r="BF23" s="676"/>
      <c r="BG23" s="36"/>
      <c r="BH23" s="36"/>
    </row>
    <row r="24" spans="1:80" ht="72" hidden="1" customHeight="1" x14ac:dyDescent="0.25">
      <c r="A24" s="1374" t="s">
        <v>253</v>
      </c>
      <c r="B24" s="1376"/>
      <c r="C24" s="1377"/>
      <c r="D24" s="1377"/>
      <c r="E24" s="1378"/>
      <c r="F24" s="142"/>
      <c r="G24" s="142"/>
      <c r="H24" s="142"/>
      <c r="I24" s="142"/>
      <c r="J24" s="142"/>
      <c r="K24" s="142"/>
      <c r="L24" s="142"/>
      <c r="M24" s="142"/>
      <c r="N24" s="142"/>
      <c r="O24" s="142"/>
      <c r="P24" s="142"/>
      <c r="Q24" s="142"/>
      <c r="R24" s="142"/>
      <c r="S24" s="142"/>
      <c r="T24" s="142"/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  <c r="AK24" s="142"/>
      <c r="AL24" s="142"/>
      <c r="AM24" s="142"/>
      <c r="AN24" s="142"/>
      <c r="AO24" s="142"/>
      <c r="AP24" s="142"/>
      <c r="AQ24" s="142"/>
      <c r="AR24" s="142"/>
      <c r="AS24" s="142"/>
      <c r="AT24" s="143"/>
      <c r="AU24" s="143"/>
      <c r="AV24" s="143"/>
      <c r="AW24" s="143"/>
      <c r="AX24" s="143"/>
      <c r="AY24" s="677"/>
      <c r="AZ24" s="1332"/>
      <c r="BA24" s="1332"/>
      <c r="BB24" s="1332"/>
      <c r="BC24" s="1332"/>
      <c r="BD24" s="677"/>
      <c r="BE24" s="1332" t="s">
        <v>16</v>
      </c>
      <c r="BF24" s="1332"/>
      <c r="BG24" s="1332"/>
      <c r="BH24" s="1332"/>
      <c r="BM24" s="51"/>
      <c r="BN24" s="51"/>
      <c r="BO24" s="51"/>
      <c r="BP24" s="51"/>
      <c r="BQ24" s="51"/>
      <c r="BR24" s="51"/>
      <c r="BW24" s="27"/>
      <c r="BX24" s="27"/>
      <c r="BY24" s="27"/>
      <c r="BZ24" s="27"/>
      <c r="CA24" s="27"/>
      <c r="CB24" s="27"/>
    </row>
    <row r="25" spans="1:80" ht="35.1" hidden="1" customHeight="1" thickBot="1" x14ac:dyDescent="0.3">
      <c r="A25" s="1375"/>
      <c r="B25" s="144"/>
      <c r="C25" s="145" t="s">
        <v>113</v>
      </c>
      <c r="D25" s="146"/>
      <c r="E25" s="147" t="s">
        <v>114</v>
      </c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148"/>
      <c r="AU25" s="148"/>
      <c r="AV25" s="148"/>
      <c r="AW25" s="148"/>
      <c r="AX25" s="148"/>
      <c r="AY25" s="677"/>
      <c r="AZ25" s="137"/>
      <c r="BA25" s="33"/>
      <c r="BB25" s="138"/>
      <c r="BC25" s="35"/>
      <c r="BD25" s="677"/>
      <c r="BE25" s="137"/>
      <c r="BF25" s="33"/>
      <c r="BG25" s="138"/>
      <c r="BH25" s="35"/>
      <c r="BM25" s="51"/>
      <c r="BN25" s="51"/>
      <c r="BO25" s="51"/>
      <c r="BP25" s="51"/>
      <c r="BQ25" s="51"/>
      <c r="BR25" s="51"/>
      <c r="BW25" s="27"/>
      <c r="BX25" s="27"/>
      <c r="BY25" s="27"/>
      <c r="BZ25" s="27"/>
      <c r="CA25" s="27"/>
      <c r="CB25" s="27"/>
    </row>
    <row r="26" spans="1:80" ht="27" hidden="1" thickTop="1" x14ac:dyDescent="0.25">
      <c r="A26" s="1396"/>
      <c r="B26" s="1396"/>
      <c r="C26" s="1396"/>
      <c r="D26" s="1397"/>
      <c r="E26" s="1397"/>
      <c r="F26" s="674"/>
      <c r="G26" s="674"/>
      <c r="H26" s="674"/>
      <c r="I26" s="1300"/>
      <c r="J26" s="1300"/>
      <c r="K26" s="674"/>
      <c r="L26" s="674"/>
      <c r="M26" s="674"/>
      <c r="N26" s="1300"/>
      <c r="O26" s="1300"/>
      <c r="P26" s="674"/>
      <c r="Q26" s="674"/>
      <c r="R26" s="674"/>
      <c r="S26" s="1300"/>
      <c r="T26" s="1300"/>
      <c r="U26" s="674"/>
      <c r="V26" s="674"/>
      <c r="W26" s="674"/>
      <c r="X26" s="1300"/>
      <c r="Y26" s="1300"/>
      <c r="Z26" s="674"/>
      <c r="AA26" s="674"/>
      <c r="AB26" s="674"/>
      <c r="AC26" s="1300"/>
      <c r="AD26" s="1300"/>
      <c r="AE26" s="674"/>
      <c r="AF26" s="674"/>
      <c r="AG26" s="674"/>
      <c r="AH26" s="1300"/>
      <c r="AI26" s="1300"/>
      <c r="AJ26" s="674"/>
      <c r="AK26" s="674"/>
      <c r="AL26" s="674"/>
      <c r="AM26" s="1300"/>
      <c r="AN26" s="1300"/>
      <c r="AO26" s="674"/>
      <c r="AP26" s="674"/>
      <c r="AQ26" s="674"/>
      <c r="AR26" s="1300"/>
      <c r="AS26" s="1300"/>
      <c r="AT26" s="1389"/>
      <c r="AU26" s="1389"/>
      <c r="AV26" s="1389"/>
      <c r="AW26" s="1390"/>
      <c r="AX26" s="1390"/>
      <c r="AY26" s="674"/>
      <c r="AZ26" s="674"/>
      <c r="BA26" s="674"/>
      <c r="BB26" s="1300"/>
      <c r="BC26" s="1300"/>
      <c r="BD26" s="674"/>
      <c r="BE26" s="674"/>
      <c r="BF26" s="674"/>
      <c r="BG26" s="1300"/>
      <c r="BH26" s="1300"/>
      <c r="BM26" s="51"/>
      <c r="BN26" s="51"/>
      <c r="BO26" s="51"/>
      <c r="BP26" s="51"/>
      <c r="BQ26" s="51"/>
      <c r="BR26" s="51"/>
      <c r="BW26" s="27"/>
      <c r="BX26" s="27"/>
      <c r="BY26" s="27"/>
      <c r="BZ26" s="27"/>
      <c r="CA26" s="27"/>
      <c r="CB26" s="27"/>
    </row>
    <row r="27" spans="1:80" ht="19.5" hidden="1" thickTop="1" x14ac:dyDescent="0.25">
      <c r="A27" s="1395"/>
      <c r="B27" s="1395"/>
      <c r="C27" s="1395"/>
      <c r="D27" s="149"/>
      <c r="E27" s="149"/>
      <c r="F27" s="676"/>
      <c r="G27" s="676"/>
      <c r="H27" s="676"/>
      <c r="I27" s="36"/>
      <c r="J27" s="36"/>
      <c r="K27" s="676"/>
      <c r="L27" s="676"/>
      <c r="M27" s="676"/>
      <c r="N27" s="36"/>
      <c r="O27" s="36"/>
      <c r="P27" s="676"/>
      <c r="Q27" s="676"/>
      <c r="R27" s="676"/>
      <c r="S27" s="36"/>
      <c r="T27" s="36"/>
      <c r="U27" s="676"/>
      <c r="V27" s="676"/>
      <c r="W27" s="676"/>
      <c r="X27" s="36"/>
      <c r="Y27" s="36"/>
      <c r="Z27" s="676"/>
      <c r="AA27" s="676"/>
      <c r="AB27" s="676"/>
      <c r="AC27" s="36"/>
      <c r="AD27" s="36"/>
      <c r="AE27" s="676"/>
      <c r="AF27" s="676"/>
      <c r="AG27" s="676"/>
      <c r="AH27" s="36"/>
      <c r="AI27" s="36"/>
      <c r="AJ27" s="676"/>
      <c r="AK27" s="676"/>
      <c r="AL27" s="676"/>
      <c r="AM27" s="36"/>
      <c r="AN27" s="36"/>
      <c r="AO27" s="676"/>
      <c r="AP27" s="676"/>
      <c r="AQ27" s="676"/>
      <c r="AR27" s="36"/>
      <c r="AS27" s="36"/>
      <c r="AT27" s="1388"/>
      <c r="AU27" s="1388"/>
      <c r="AV27" s="1388"/>
      <c r="AW27" s="139"/>
      <c r="AX27" s="139"/>
      <c r="AY27" s="676"/>
      <c r="AZ27" s="676"/>
      <c r="BA27" s="676"/>
      <c r="BB27" s="36"/>
      <c r="BC27" s="36"/>
      <c r="BD27" s="676"/>
      <c r="BE27" s="676"/>
      <c r="BF27" s="676"/>
      <c r="BG27" s="36"/>
      <c r="BH27" s="36"/>
    </row>
    <row r="28" spans="1:80" ht="36.75" hidden="1" thickTop="1" x14ac:dyDescent="0.25">
      <c r="A28" s="1395"/>
      <c r="B28" s="1395"/>
      <c r="C28" s="1395"/>
      <c r="D28" s="150"/>
      <c r="E28" s="149"/>
      <c r="F28" s="676"/>
      <c r="G28" s="676"/>
      <c r="H28" s="676"/>
      <c r="I28" s="140"/>
      <c r="J28" s="36"/>
      <c r="K28" s="676"/>
      <c r="L28" s="676"/>
      <c r="M28" s="676"/>
      <c r="N28" s="140"/>
      <c r="O28" s="36"/>
      <c r="P28" s="676"/>
      <c r="Q28" s="676"/>
      <c r="R28" s="676"/>
      <c r="S28" s="140"/>
      <c r="T28" s="36"/>
      <c r="U28" s="676"/>
      <c r="V28" s="676"/>
      <c r="W28" s="676"/>
      <c r="X28" s="140"/>
      <c r="Y28" s="36"/>
      <c r="Z28" s="676"/>
      <c r="AA28" s="676"/>
      <c r="AB28" s="676"/>
      <c r="AC28" s="140"/>
      <c r="AD28" s="36"/>
      <c r="AE28" s="676"/>
      <c r="AF28" s="676"/>
      <c r="AG28" s="676"/>
      <c r="AH28" s="140"/>
      <c r="AI28" s="36"/>
      <c r="AJ28" s="676"/>
      <c r="AK28" s="676"/>
      <c r="AL28" s="676"/>
      <c r="AM28" s="140"/>
      <c r="AN28" s="36"/>
      <c r="AO28" s="676"/>
      <c r="AP28" s="676"/>
      <c r="AQ28" s="676"/>
      <c r="AR28" s="140"/>
      <c r="AS28" s="36"/>
      <c r="AT28" s="1388"/>
      <c r="AU28" s="1388"/>
      <c r="AV28" s="1388"/>
      <c r="AW28" s="141"/>
      <c r="AX28" s="139"/>
      <c r="AY28" s="676"/>
      <c r="AZ28" s="676"/>
      <c r="BA28" s="676"/>
      <c r="BB28" s="36"/>
      <c r="BC28" s="36"/>
      <c r="BD28" s="676"/>
      <c r="BE28" s="676"/>
      <c r="BF28" s="676"/>
      <c r="BG28" s="36"/>
      <c r="BH28" s="36"/>
    </row>
    <row r="29" spans="1:80" ht="19.5" hidden="1" thickTop="1" x14ac:dyDescent="0.25">
      <c r="A29" s="1395"/>
      <c r="B29" s="1395"/>
      <c r="C29" s="1395"/>
      <c r="D29" s="149"/>
      <c r="E29" s="149"/>
      <c r="F29" s="676"/>
      <c r="G29" s="676"/>
      <c r="H29" s="676"/>
      <c r="I29" s="36"/>
      <c r="J29" s="36"/>
      <c r="K29" s="676"/>
      <c r="L29" s="676"/>
      <c r="M29" s="676"/>
      <c r="N29" s="36"/>
      <c r="O29" s="36"/>
      <c r="P29" s="676"/>
      <c r="Q29" s="676"/>
      <c r="R29" s="676"/>
      <c r="S29" s="36"/>
      <c r="T29" s="36"/>
      <c r="U29" s="676"/>
      <c r="V29" s="676"/>
      <c r="W29" s="676"/>
      <c r="X29" s="36"/>
      <c r="Y29" s="36"/>
      <c r="Z29" s="676"/>
      <c r="AA29" s="676"/>
      <c r="AB29" s="676"/>
      <c r="AC29" s="36"/>
      <c r="AD29" s="36"/>
      <c r="AE29" s="676"/>
      <c r="AF29" s="676"/>
      <c r="AG29" s="676"/>
      <c r="AH29" s="36"/>
      <c r="AI29" s="36"/>
      <c r="AJ29" s="676"/>
      <c r="AK29" s="676"/>
      <c r="AL29" s="676"/>
      <c r="AM29" s="36"/>
      <c r="AN29" s="36"/>
      <c r="AO29" s="676"/>
      <c r="AP29" s="676"/>
      <c r="AQ29" s="676"/>
      <c r="AR29" s="36"/>
      <c r="AS29" s="36"/>
      <c r="AT29" s="1388"/>
      <c r="AU29" s="1388"/>
      <c r="AV29" s="1388"/>
      <c r="AW29" s="139"/>
      <c r="AX29" s="139"/>
      <c r="AY29" s="676"/>
      <c r="AZ29" s="676"/>
      <c r="BA29" s="676"/>
      <c r="BB29" s="36"/>
      <c r="BC29" s="36"/>
      <c r="BD29" s="676"/>
      <c r="BE29" s="676"/>
      <c r="BF29" s="676"/>
      <c r="BG29" s="36"/>
      <c r="BH29" s="36"/>
    </row>
    <row r="30" spans="1:80" ht="78" hidden="1" thickTop="1" x14ac:dyDescent="0.25">
      <c r="A30" s="1398"/>
      <c r="B30" s="1399"/>
      <c r="C30" s="1399"/>
      <c r="D30" s="1399"/>
      <c r="E30" s="1399"/>
      <c r="F30" s="1370"/>
      <c r="G30" s="1371"/>
      <c r="H30" s="1371"/>
      <c r="I30" s="1371"/>
      <c r="J30" s="1371"/>
      <c r="K30" s="1370"/>
      <c r="L30" s="1371"/>
      <c r="M30" s="1371"/>
      <c r="N30" s="1371"/>
      <c r="O30" s="1371"/>
      <c r="P30" s="1370"/>
      <c r="Q30" s="1371"/>
      <c r="R30" s="1371"/>
      <c r="S30" s="1371"/>
      <c r="T30" s="1371"/>
      <c r="U30" s="1370"/>
      <c r="V30" s="1371"/>
      <c r="W30" s="1371"/>
      <c r="X30" s="1371"/>
      <c r="Y30" s="1371"/>
      <c r="Z30" s="1370"/>
      <c r="AA30" s="1371"/>
      <c r="AB30" s="1371"/>
      <c r="AC30" s="1371"/>
      <c r="AD30" s="1371"/>
      <c r="AE30" s="1370"/>
      <c r="AF30" s="1371"/>
      <c r="AG30" s="1371"/>
      <c r="AH30" s="1371"/>
      <c r="AI30" s="1371"/>
      <c r="AJ30" s="1370"/>
      <c r="AK30" s="1371"/>
      <c r="AL30" s="1371"/>
      <c r="AM30" s="1371"/>
      <c r="AN30" s="1371"/>
      <c r="AO30" s="1370"/>
      <c r="AP30" s="1371"/>
      <c r="AQ30" s="1371"/>
      <c r="AR30" s="1371"/>
      <c r="AS30" s="1371"/>
      <c r="AT30" s="1439"/>
      <c r="AU30" s="1440"/>
      <c r="AV30" s="1440"/>
      <c r="AW30" s="1440"/>
      <c r="AX30" s="1440"/>
      <c r="AY30" s="677"/>
      <c r="AZ30" s="1332"/>
      <c r="BA30" s="1332"/>
      <c r="BB30" s="1332"/>
      <c r="BC30" s="1332"/>
      <c r="BD30" s="677"/>
      <c r="BE30" s="1332"/>
      <c r="BF30" s="1332"/>
      <c r="BG30" s="1332"/>
      <c r="BH30" s="1332"/>
      <c r="BM30" s="51"/>
      <c r="BN30" s="51"/>
      <c r="BO30" s="51"/>
      <c r="BP30" s="51"/>
      <c r="BQ30" s="51"/>
      <c r="BR30" s="51"/>
      <c r="BW30" s="27"/>
      <c r="BX30" s="27"/>
      <c r="BY30" s="27"/>
      <c r="BZ30" s="27"/>
      <c r="CA30" s="27"/>
      <c r="CB30" s="27"/>
    </row>
    <row r="31" spans="1:80" ht="27" hidden="1" thickTop="1" x14ac:dyDescent="0.25">
      <c r="A31" s="1398"/>
      <c r="B31" s="151"/>
      <c r="C31" s="152"/>
      <c r="D31" s="153"/>
      <c r="E31" s="154"/>
      <c r="F31" s="1370"/>
      <c r="G31" s="32"/>
      <c r="H31" s="33"/>
      <c r="I31" s="34"/>
      <c r="J31" s="35"/>
      <c r="K31" s="1370"/>
      <c r="L31" s="32"/>
      <c r="M31" s="33"/>
      <c r="N31" s="34"/>
      <c r="O31" s="35"/>
      <c r="P31" s="1370"/>
      <c r="Q31" s="32"/>
      <c r="R31" s="33"/>
      <c r="S31" s="34"/>
      <c r="T31" s="35"/>
      <c r="U31" s="1370"/>
      <c r="V31" s="32"/>
      <c r="W31" s="33"/>
      <c r="X31" s="34"/>
      <c r="Y31" s="35"/>
      <c r="Z31" s="1370"/>
      <c r="AA31" s="32"/>
      <c r="AB31" s="33"/>
      <c r="AC31" s="34"/>
      <c r="AD31" s="35"/>
      <c r="AE31" s="1370"/>
      <c r="AF31" s="32"/>
      <c r="AG31" s="33"/>
      <c r="AH31" s="34"/>
      <c r="AI31" s="35"/>
      <c r="AJ31" s="1370"/>
      <c r="AK31" s="32"/>
      <c r="AL31" s="33"/>
      <c r="AM31" s="34"/>
      <c r="AN31" s="35"/>
      <c r="AO31" s="1370"/>
      <c r="AP31" s="32"/>
      <c r="AQ31" s="33"/>
      <c r="AR31" s="34"/>
      <c r="AS31" s="35"/>
      <c r="AT31" s="1439"/>
      <c r="AU31" s="155"/>
      <c r="AV31" s="148"/>
      <c r="AW31" s="156"/>
      <c r="AX31" s="157"/>
      <c r="AY31" s="677"/>
      <c r="AZ31" s="137"/>
      <c r="BA31" s="33"/>
      <c r="BB31" s="138"/>
      <c r="BC31" s="35"/>
      <c r="BD31" s="677"/>
      <c r="BE31" s="137"/>
      <c r="BF31" s="33"/>
      <c r="BG31" s="138"/>
      <c r="BH31" s="35"/>
      <c r="BM31" s="51"/>
      <c r="BN31" s="51"/>
      <c r="BO31" s="51"/>
      <c r="BP31" s="51"/>
      <c r="BQ31" s="51"/>
      <c r="BR31" s="51"/>
      <c r="BW31" s="27"/>
      <c r="BX31" s="27"/>
      <c r="BY31" s="27"/>
      <c r="BZ31" s="27"/>
      <c r="CA31" s="27"/>
      <c r="CB31" s="27"/>
    </row>
    <row r="32" spans="1:80" ht="27" hidden="1" thickTop="1" x14ac:dyDescent="0.25">
      <c r="A32" s="1396"/>
      <c r="B32" s="1396"/>
      <c r="C32" s="1396"/>
      <c r="D32" s="1397"/>
      <c r="E32" s="1397"/>
      <c r="F32" s="674"/>
      <c r="G32" s="674"/>
      <c r="H32" s="674"/>
      <c r="I32" s="1300"/>
      <c r="J32" s="1300"/>
      <c r="K32" s="674"/>
      <c r="L32" s="674"/>
      <c r="M32" s="674"/>
      <c r="N32" s="1300"/>
      <c r="O32" s="1300"/>
      <c r="P32" s="674"/>
      <c r="Q32" s="674"/>
      <c r="R32" s="674"/>
      <c r="S32" s="1300"/>
      <c r="T32" s="1300"/>
      <c r="U32" s="674"/>
      <c r="V32" s="674"/>
      <c r="W32" s="674"/>
      <c r="X32" s="1300"/>
      <c r="Y32" s="1300"/>
      <c r="Z32" s="674"/>
      <c r="AA32" s="674"/>
      <c r="AB32" s="674"/>
      <c r="AC32" s="1300"/>
      <c r="AD32" s="1300"/>
      <c r="AE32" s="674"/>
      <c r="AF32" s="674"/>
      <c r="AG32" s="674"/>
      <c r="AH32" s="1300"/>
      <c r="AI32" s="1300"/>
      <c r="AJ32" s="44"/>
      <c r="AK32" s="44"/>
      <c r="AP32" s="44"/>
      <c r="AQ32" s="44"/>
      <c r="AT32" s="1389"/>
      <c r="AU32" s="1389"/>
      <c r="AV32" s="1389"/>
      <c r="AW32" s="1390"/>
      <c r="AX32" s="1390"/>
      <c r="AY32" s="674"/>
      <c r="AZ32" s="674"/>
      <c r="BA32" s="674"/>
      <c r="BB32" s="1300"/>
      <c r="BC32" s="1300"/>
      <c r="BD32" s="674"/>
      <c r="BE32" s="674"/>
      <c r="BF32" s="674"/>
      <c r="BG32" s="1300"/>
      <c r="BH32" s="1300"/>
      <c r="BM32" s="51"/>
      <c r="BN32" s="51"/>
      <c r="BO32" s="51"/>
      <c r="BP32" s="51"/>
      <c r="BQ32" s="51"/>
      <c r="BR32" s="51"/>
      <c r="BW32" s="27"/>
      <c r="BX32" s="27"/>
      <c r="BY32" s="27"/>
      <c r="BZ32" s="27"/>
      <c r="CA32" s="27"/>
      <c r="CB32" s="27"/>
    </row>
    <row r="33" spans="1:80" ht="21.75" hidden="1" thickTop="1" x14ac:dyDescent="0.25">
      <c r="A33" s="1395"/>
      <c r="B33" s="1395"/>
      <c r="C33" s="1395"/>
      <c r="D33" s="149"/>
      <c r="E33" s="149"/>
      <c r="F33" s="676"/>
      <c r="G33" s="676"/>
      <c r="H33" s="676"/>
      <c r="I33" s="36"/>
      <c r="J33" s="36"/>
      <c r="K33" s="676"/>
      <c r="L33" s="676"/>
      <c r="M33" s="676"/>
      <c r="N33" s="36"/>
      <c r="O33" s="36"/>
      <c r="P33" s="676"/>
      <c r="Q33" s="676"/>
      <c r="R33" s="676"/>
      <c r="S33" s="36"/>
      <c r="T33" s="36"/>
      <c r="U33" s="676"/>
      <c r="V33" s="676"/>
      <c r="W33" s="676"/>
      <c r="X33" s="36"/>
      <c r="Y33" s="36"/>
      <c r="Z33" s="676"/>
      <c r="AA33" s="676"/>
      <c r="AB33" s="676"/>
      <c r="AC33" s="36"/>
      <c r="AD33" s="36"/>
      <c r="AE33" s="676"/>
      <c r="AF33" s="676"/>
      <c r="AG33" s="676"/>
      <c r="AH33" s="36"/>
      <c r="AI33" s="36"/>
      <c r="AJ33" s="47"/>
      <c r="AK33" s="47"/>
      <c r="AP33" s="47"/>
      <c r="AQ33" s="47"/>
      <c r="AT33" s="1388"/>
      <c r="AU33" s="1388"/>
      <c r="AV33" s="1388"/>
      <c r="AW33" s="139"/>
      <c r="AX33" s="139"/>
      <c r="AY33" s="676"/>
      <c r="AZ33" s="676"/>
      <c r="BA33" s="676"/>
      <c r="BB33" s="36"/>
      <c r="BC33" s="36"/>
      <c r="BD33" s="676"/>
      <c r="BE33" s="676"/>
      <c r="BF33" s="676"/>
      <c r="BG33" s="36"/>
      <c r="BH33" s="36"/>
    </row>
    <row r="34" spans="1:80" ht="36.75" hidden="1" thickTop="1" x14ac:dyDescent="0.25">
      <c r="A34" s="1395"/>
      <c r="B34" s="1395"/>
      <c r="C34" s="1395"/>
      <c r="D34" s="150"/>
      <c r="E34" s="149"/>
      <c r="F34" s="676"/>
      <c r="G34" s="676"/>
      <c r="H34" s="676"/>
      <c r="I34" s="140"/>
      <c r="J34" s="36"/>
      <c r="K34" s="676"/>
      <c r="L34" s="676"/>
      <c r="M34" s="676"/>
      <c r="N34" s="140"/>
      <c r="O34" s="36"/>
      <c r="P34" s="676"/>
      <c r="Q34" s="676"/>
      <c r="R34" s="676"/>
      <c r="S34" s="140"/>
      <c r="T34" s="36"/>
      <c r="U34" s="676"/>
      <c r="V34" s="676"/>
      <c r="W34" s="676"/>
      <c r="X34" s="140"/>
      <c r="Y34" s="36"/>
      <c r="Z34" s="676"/>
      <c r="AA34" s="676"/>
      <c r="AB34" s="676"/>
      <c r="AC34" s="140"/>
      <c r="AD34" s="36"/>
      <c r="AE34" s="676"/>
      <c r="AF34" s="676"/>
      <c r="AG34" s="676"/>
      <c r="AH34" s="36"/>
      <c r="AI34" s="36"/>
      <c r="AJ34" s="47"/>
      <c r="AK34" s="47"/>
      <c r="AP34" s="47"/>
      <c r="AQ34" s="47"/>
      <c r="AT34" s="1388"/>
      <c r="AU34" s="1388"/>
      <c r="AV34" s="1388"/>
      <c r="AW34" s="139"/>
      <c r="AX34" s="139"/>
      <c r="AY34" s="676"/>
      <c r="AZ34" s="676"/>
      <c r="BA34" s="676"/>
      <c r="BB34" s="36"/>
      <c r="BC34" s="36"/>
      <c r="BD34" s="676"/>
      <c r="BE34" s="676"/>
      <c r="BF34" s="676"/>
      <c r="BG34" s="36"/>
      <c r="BH34" s="36"/>
    </row>
    <row r="35" spans="1:80" ht="21.75" hidden="1" thickTop="1" x14ac:dyDescent="0.25">
      <c r="A35" s="1395"/>
      <c r="B35" s="1395"/>
      <c r="C35" s="1395"/>
      <c r="D35" s="149"/>
      <c r="E35" s="149"/>
      <c r="F35" s="676"/>
      <c r="G35" s="676"/>
      <c r="H35" s="676"/>
      <c r="I35" s="36"/>
      <c r="J35" s="36"/>
      <c r="K35" s="676"/>
      <c r="L35" s="676"/>
      <c r="M35" s="676"/>
      <c r="N35" s="36"/>
      <c r="O35" s="36"/>
      <c r="P35" s="676"/>
      <c r="Q35" s="676"/>
      <c r="R35" s="676"/>
      <c r="S35" s="36"/>
      <c r="T35" s="36"/>
      <c r="U35" s="676"/>
      <c r="V35" s="676"/>
      <c r="W35" s="676"/>
      <c r="X35" s="36"/>
      <c r="Y35" s="36"/>
      <c r="Z35" s="676"/>
      <c r="AA35" s="676"/>
      <c r="AB35" s="676"/>
      <c r="AC35" s="36"/>
      <c r="AD35" s="36"/>
      <c r="AE35" s="676"/>
      <c r="AF35" s="676"/>
      <c r="AG35" s="676"/>
      <c r="AH35" s="36"/>
      <c r="AI35" s="36"/>
      <c r="AJ35" s="47"/>
      <c r="AK35" s="47"/>
      <c r="AP35" s="47"/>
      <c r="AQ35" s="47"/>
      <c r="AR35" s="36"/>
      <c r="AS35" s="36"/>
      <c r="AT35" s="1388"/>
      <c r="AU35" s="1388"/>
      <c r="AV35" s="1388"/>
      <c r="AW35" s="139"/>
      <c r="AX35" s="139"/>
      <c r="AY35" s="676"/>
      <c r="AZ35" s="676"/>
      <c r="BA35" s="676"/>
      <c r="BB35" s="36"/>
      <c r="BC35" s="36"/>
      <c r="BD35" s="676"/>
      <c r="BE35" s="676"/>
      <c r="BF35" s="676"/>
      <c r="BG35" s="36"/>
      <c r="BH35" s="36"/>
    </row>
    <row r="36" spans="1:80" ht="77.25" hidden="1" x14ac:dyDescent="0.25">
      <c r="A36" s="1400"/>
      <c r="B36" s="1401"/>
      <c r="C36" s="1401"/>
      <c r="D36" s="1401"/>
      <c r="E36" s="1401"/>
      <c r="F36" s="1370"/>
      <c r="G36" s="1371"/>
      <c r="H36" s="1371"/>
      <c r="I36" s="1371"/>
      <c r="J36" s="1371"/>
      <c r="K36" s="1370"/>
      <c r="L36" s="1371"/>
      <c r="M36" s="1371"/>
      <c r="N36" s="1371"/>
      <c r="O36" s="1371"/>
      <c r="P36" s="1370"/>
      <c r="Q36" s="1371"/>
      <c r="R36" s="1371"/>
      <c r="S36" s="1371"/>
      <c r="T36" s="1371"/>
      <c r="U36" s="1370"/>
      <c r="V36" s="1371"/>
      <c r="W36" s="1371"/>
      <c r="X36" s="1371"/>
      <c r="Y36" s="1371"/>
      <c r="Z36" s="1370"/>
      <c r="AA36" s="1371"/>
      <c r="AB36" s="1371"/>
      <c r="AC36" s="1371"/>
      <c r="AD36" s="1371"/>
      <c r="AE36" s="677"/>
      <c r="AF36" s="1332"/>
      <c r="AG36" s="1332"/>
      <c r="AH36" s="1332"/>
      <c r="AI36" s="1332"/>
      <c r="AJ36" s="70"/>
      <c r="AR36" s="132"/>
      <c r="AS36" s="132"/>
      <c r="AT36" s="677"/>
      <c r="AU36" s="1332"/>
      <c r="AV36" s="1332"/>
      <c r="AW36" s="1332"/>
      <c r="AX36" s="1332"/>
      <c r="AY36" s="677"/>
      <c r="AZ36" s="1332"/>
      <c r="BA36" s="1332"/>
      <c r="BB36" s="1332"/>
      <c r="BC36" s="1332"/>
      <c r="BD36" s="677" t="s">
        <v>254</v>
      </c>
      <c r="BE36" s="1332"/>
      <c r="BF36" s="1332"/>
      <c r="BG36" s="1332"/>
      <c r="BH36" s="1332"/>
      <c r="BM36" s="51"/>
      <c r="BN36" s="51"/>
      <c r="BO36" s="51"/>
      <c r="BP36" s="51"/>
      <c r="BQ36" s="51"/>
      <c r="BR36" s="51"/>
      <c r="BW36" s="27"/>
      <c r="BX36" s="27"/>
      <c r="BY36" s="27"/>
      <c r="BZ36" s="27"/>
      <c r="CA36" s="27"/>
      <c r="CB36" s="27"/>
    </row>
    <row r="37" spans="1:80" ht="138.75" customHeight="1" thickTop="1" x14ac:dyDescent="0.25">
      <c r="A37" s="1400"/>
      <c r="B37" s="158"/>
      <c r="C37" s="159"/>
      <c r="D37" s="160"/>
      <c r="E37" s="161"/>
      <c r="F37" s="1370"/>
      <c r="G37" s="32"/>
      <c r="H37" s="33"/>
      <c r="I37" s="34"/>
      <c r="J37" s="35"/>
      <c r="K37" s="1370"/>
      <c r="L37" s="32"/>
      <c r="M37" s="33"/>
      <c r="N37" s="34"/>
      <c r="O37" s="35"/>
      <c r="P37" s="1370"/>
      <c r="Q37" s="32"/>
      <c r="R37" s="33"/>
      <c r="S37" s="34"/>
      <c r="T37" s="35"/>
      <c r="U37" s="1370"/>
      <c r="V37" s="32"/>
      <c r="W37" s="33"/>
      <c r="X37" s="34"/>
      <c r="Y37" s="35"/>
      <c r="Z37" s="1370"/>
      <c r="AA37" s="32"/>
      <c r="AB37" s="33"/>
      <c r="AC37" s="34"/>
      <c r="AD37" s="35"/>
      <c r="AE37" s="677"/>
      <c r="AF37" s="137"/>
      <c r="AG37" s="33"/>
      <c r="AH37" s="138"/>
      <c r="AI37" s="35"/>
      <c r="AJ37" s="70"/>
      <c r="AK37" s="137"/>
      <c r="AL37" s="33"/>
      <c r="AM37" s="138"/>
      <c r="AN37" s="35"/>
      <c r="AO37" s="70"/>
      <c r="AP37" s="137"/>
      <c r="AQ37" s="33"/>
      <c r="AR37" s="138"/>
      <c r="AS37" s="35"/>
      <c r="AT37" s="677"/>
      <c r="AU37" s="137"/>
      <c r="AV37" s="33"/>
      <c r="AW37" s="138"/>
      <c r="AX37" s="35"/>
      <c r="AY37" s="677"/>
      <c r="AZ37" s="137" t="s">
        <v>16</v>
      </c>
      <c r="BA37" s="33"/>
      <c r="BB37" s="138"/>
      <c r="BC37" s="35"/>
      <c r="BD37" s="677"/>
      <c r="BE37" s="137" t="s">
        <v>15</v>
      </c>
      <c r="BF37" s="33"/>
      <c r="BG37" s="138"/>
      <c r="BH37" s="35"/>
      <c r="BM37" s="51"/>
      <c r="BN37" s="51"/>
      <c r="BO37" s="51"/>
      <c r="BP37" s="51"/>
      <c r="BQ37" s="51"/>
      <c r="BR37" s="51"/>
      <c r="BW37" s="27"/>
      <c r="BX37" s="27"/>
      <c r="BY37" s="27"/>
      <c r="BZ37" s="27"/>
      <c r="CA37" s="27"/>
      <c r="CB37" s="27"/>
    </row>
    <row r="38" spans="1:80" ht="61.5" customHeight="1" x14ac:dyDescent="0.25">
      <c r="A38" s="31"/>
      <c r="B38" s="162"/>
      <c r="C38" s="162"/>
      <c r="D38" s="162"/>
      <c r="F38" s="163"/>
      <c r="G38" s="163"/>
      <c r="H38" s="1413" cm="1">
        <f t="array" aca="1" ref="H38" ca="1">SUM(COUNTIF(INDIRECT({"B6","G6","L6","Q6","V6","AA6","AF6","AK6","AP6","AU6","B12","G12","L12","Q12","V12","AA12","AF12","AK12","AP12","AU12","ap18","au18"}),"&gt;0"))</f>
        <v>22</v>
      </c>
      <c r="I38" s="1413"/>
      <c r="J38" s="1413"/>
      <c r="K38" s="164"/>
      <c r="L38" s="160"/>
      <c r="M38" s="160"/>
      <c r="N38" s="160"/>
      <c r="O38" s="160"/>
      <c r="P38" s="160"/>
      <c r="Q38" s="1414" t="s">
        <v>255</v>
      </c>
      <c r="R38" s="1414"/>
      <c r="S38" s="1414"/>
      <c r="T38" s="1414"/>
      <c r="U38" s="1414"/>
      <c r="V38" s="1414"/>
      <c r="W38" s="165"/>
      <c r="X38" s="1409" t="s">
        <v>256</v>
      </c>
      <c r="Y38" s="1409"/>
      <c r="Z38" s="1409"/>
      <c r="AA38" s="1409"/>
      <c r="AB38" s="1409"/>
      <c r="AC38" s="1415">
        <f>B7+G7+L7+Q7+V7+AA7+AF7+AK7+AP7+AU7+AU13+AU19+AP19+AP13+AK13+AF13+AA13+V13+Q13+L13+G13+B13</f>
        <v>25.93240001321001</v>
      </c>
      <c r="AD38" s="1415"/>
      <c r="AE38" s="1415"/>
      <c r="AF38" s="1415"/>
      <c r="AG38" s="1415"/>
      <c r="AH38" s="1415"/>
      <c r="AI38" s="166"/>
      <c r="AJ38" s="1416" t="s">
        <v>119</v>
      </c>
      <c r="AK38" s="1416"/>
      <c r="AL38" s="1416"/>
      <c r="AM38" s="1416"/>
      <c r="AN38" s="1416"/>
      <c r="AO38" s="1417">
        <f>D7+I7+N7+S7+X7+AC7+AH7+AM7+AR7+AW7+AW13+AW19+AR19+AR13+AM13+AH13+AC13+X13+S13+N13+I13+D13</f>
        <v>4</v>
      </c>
      <c r="AP38" s="1417"/>
      <c r="AQ38" s="1417"/>
      <c r="AR38" s="1417"/>
      <c r="AS38" s="1417"/>
      <c r="AT38" s="1402" t="s">
        <v>120</v>
      </c>
      <c r="AU38" s="1402"/>
      <c r="AV38" s="1402"/>
      <c r="AW38" s="1402"/>
      <c r="AX38" s="127"/>
      <c r="AY38" s="72"/>
      <c r="AZ38" s="72"/>
      <c r="BA38" s="72"/>
      <c r="BB38" s="72"/>
      <c r="BC38" s="72"/>
      <c r="BD38" s="72"/>
      <c r="BE38" t="s">
        <v>16</v>
      </c>
      <c r="BF38" s="167"/>
      <c r="BG38" s="167"/>
      <c r="BH38" s="167"/>
      <c r="BM38" s="51"/>
      <c r="BN38" s="51"/>
      <c r="BO38" s="51"/>
      <c r="BP38" s="51"/>
      <c r="BQ38" s="51"/>
      <c r="BR38" s="51"/>
      <c r="BW38" s="27"/>
      <c r="BX38" s="27"/>
      <c r="BY38" s="27"/>
      <c r="BZ38" s="27"/>
      <c r="CA38" s="27"/>
      <c r="CB38" s="27"/>
    </row>
    <row r="39" spans="1:80" ht="30" customHeight="1" x14ac:dyDescent="0.25">
      <c r="B39" s="162"/>
      <c r="C39" s="162"/>
      <c r="D39" s="162"/>
      <c r="E39" s="163"/>
      <c r="F39" s="163"/>
      <c r="G39" s="163"/>
      <c r="H39" s="1413"/>
      <c r="I39" s="1413"/>
      <c r="J39" s="1413"/>
      <c r="K39" s="168"/>
      <c r="L39" s="160"/>
      <c r="M39" s="160"/>
      <c r="N39" s="160"/>
      <c r="O39" s="160"/>
      <c r="P39" s="160"/>
      <c r="Q39" s="1414"/>
      <c r="R39" s="1414"/>
      <c r="S39" s="1414"/>
      <c r="T39" s="1414"/>
      <c r="U39" s="1414"/>
      <c r="V39" s="1414"/>
      <c r="W39" s="169"/>
      <c r="X39" s="1409"/>
      <c r="Y39" s="1409"/>
      <c r="Z39" s="1409"/>
      <c r="AA39" s="1409"/>
      <c r="AB39" s="1409"/>
      <c r="AC39" s="1415"/>
      <c r="AD39" s="1415"/>
      <c r="AE39" s="1415"/>
      <c r="AF39" s="1415"/>
      <c r="AG39" s="1415"/>
      <c r="AH39" s="1415"/>
      <c r="AI39" s="166"/>
      <c r="AJ39" s="1416"/>
      <c r="AK39" s="1416"/>
      <c r="AL39" s="1416"/>
      <c r="AM39" s="1416"/>
      <c r="AN39" s="1416"/>
      <c r="AO39" s="1417"/>
      <c r="AP39" s="1417"/>
      <c r="AQ39" s="1417"/>
      <c r="AR39" s="1417"/>
      <c r="AS39" s="1417"/>
      <c r="AT39" s="1402"/>
      <c r="AU39" s="1402"/>
      <c r="AV39" s="1402"/>
      <c r="AW39" s="1402"/>
      <c r="BI39" s="50"/>
      <c r="BJ39" s="50"/>
      <c r="BM39" s="51"/>
      <c r="BN39" s="51"/>
      <c r="BO39" s="51"/>
      <c r="BP39" s="51"/>
      <c r="BQ39" s="51"/>
      <c r="BR39" s="51"/>
      <c r="BS39" s="27"/>
      <c r="BT39" s="27"/>
      <c r="BU39" s="27"/>
      <c r="BW39" s="27"/>
      <c r="BX39" s="27"/>
      <c r="BY39" s="27"/>
      <c r="BZ39" s="27"/>
      <c r="CA39" s="27"/>
      <c r="CB39" s="27"/>
    </row>
    <row r="40" spans="1:80" ht="15" customHeight="1" x14ac:dyDescent="0.25">
      <c r="B40" s="162"/>
      <c r="C40" s="162"/>
      <c r="D40" s="162"/>
      <c r="E40" s="163"/>
      <c r="F40" s="163"/>
      <c r="G40" s="163"/>
      <c r="H40" s="168"/>
      <c r="I40" s="168"/>
      <c r="J40" s="168"/>
      <c r="K40" s="168"/>
      <c r="L40" s="160"/>
      <c r="M40" s="160"/>
      <c r="N40" s="160"/>
      <c r="O40" s="160"/>
      <c r="P40" s="160"/>
      <c r="Q40" s="1414"/>
      <c r="R40" s="1414"/>
      <c r="S40" s="1414"/>
      <c r="T40" s="1414"/>
      <c r="U40" s="1414"/>
      <c r="V40" s="1414"/>
      <c r="W40" s="169"/>
      <c r="X40" s="1409"/>
      <c r="Y40" s="1409"/>
      <c r="Z40" s="1409"/>
      <c r="AA40" s="1409"/>
      <c r="AB40" s="1409"/>
      <c r="AC40" s="1415"/>
      <c r="AD40" s="1415"/>
      <c r="AE40" s="1415"/>
      <c r="AF40" s="1415"/>
      <c r="AG40" s="1415"/>
      <c r="AH40" s="1415"/>
      <c r="AI40" s="166"/>
      <c r="AJ40" s="1416"/>
      <c r="AK40" s="1416"/>
      <c r="AL40" s="1416"/>
      <c r="AM40" s="1416"/>
      <c r="AN40" s="1416"/>
      <c r="AO40" s="1403">
        <f>AO38*1.5</f>
        <v>6</v>
      </c>
      <c r="AP40" s="1403"/>
      <c r="AQ40" s="1403"/>
      <c r="AR40" s="1403"/>
      <c r="AS40" s="1403"/>
      <c r="AT40" s="1403"/>
      <c r="AU40" s="1403"/>
      <c r="AV40" s="1404" t="s">
        <v>121</v>
      </c>
      <c r="AW40" s="1404"/>
      <c r="BI40" s="50"/>
      <c r="BJ40" s="50"/>
      <c r="BM40" s="27"/>
      <c r="BN40" s="27"/>
      <c r="BO40" s="27"/>
      <c r="BP40" s="27"/>
      <c r="BQ40" s="27"/>
      <c r="BR40" s="27"/>
      <c r="BS40" s="27"/>
      <c r="BT40" s="27"/>
      <c r="BU40" s="27"/>
      <c r="BW40" s="27"/>
      <c r="BX40" s="27"/>
      <c r="BY40" s="27"/>
      <c r="BZ40" s="27"/>
      <c r="CA40" s="27"/>
      <c r="CB40" s="27"/>
    </row>
    <row r="41" spans="1:80" ht="54.75" customHeight="1" x14ac:dyDescent="0.25">
      <c r="B41" s="162"/>
      <c r="C41" s="162"/>
      <c r="D41" s="162"/>
      <c r="E41" s="163"/>
      <c r="F41" s="163"/>
      <c r="G41" s="163"/>
      <c r="H41" s="1405" cm="1">
        <f t="array" aca="1" ref="H41" ca="1">SUM(COUNTIF(INDIRECT({"B7","G7","L7","Q7","V7","AA7","AF7","AK7","AP7","AU7","B13","G13","L13","Q13","V13","AA13","AF13","AK13","AP13","AU13","ap19","au19"}),"&gt;0"))</f>
        <v>22</v>
      </c>
      <c r="I41" s="1405"/>
      <c r="J41" s="1405"/>
      <c r="K41" s="168"/>
      <c r="L41" s="160"/>
      <c r="M41" s="160"/>
      <c r="N41" s="160"/>
      <c r="O41" s="160"/>
      <c r="P41" s="160"/>
      <c r="Q41" s="2295"/>
      <c r="R41" s="2296"/>
      <c r="S41" s="2296"/>
      <c r="T41" s="2296"/>
      <c r="U41" s="2296"/>
      <c r="V41" s="2296"/>
      <c r="W41" s="169"/>
      <c r="X41" s="1409"/>
      <c r="Y41" s="1409"/>
      <c r="Z41" s="1409"/>
      <c r="AA41" s="1409"/>
      <c r="AB41" s="1409"/>
      <c r="AC41" s="1415"/>
      <c r="AD41" s="1415"/>
      <c r="AE41" s="1415"/>
      <c r="AF41" s="1415"/>
      <c r="AG41" s="1415"/>
      <c r="AH41" s="1415"/>
      <c r="AI41" s="166"/>
      <c r="AJ41" s="1416"/>
      <c r="AK41" s="1416"/>
      <c r="AL41" s="1416"/>
      <c r="AM41" s="1416"/>
      <c r="AN41" s="1416"/>
      <c r="AO41" s="1403"/>
      <c r="AP41" s="1403"/>
      <c r="AQ41" s="1403"/>
      <c r="AR41" s="1403"/>
      <c r="AS41" s="1403"/>
      <c r="AT41" s="1403"/>
      <c r="AU41" s="1403"/>
      <c r="AV41" s="1404"/>
      <c r="AW41" s="1404"/>
      <c r="BI41" s="50"/>
      <c r="BJ41" s="50"/>
      <c r="BM41" s="27"/>
      <c r="BN41" s="27"/>
      <c r="BO41" s="27"/>
      <c r="BP41" s="27"/>
      <c r="BQ41" s="27"/>
      <c r="BR41" s="27"/>
      <c r="BS41" s="27"/>
      <c r="BT41" s="27"/>
      <c r="BU41" s="27"/>
      <c r="BW41" s="27"/>
      <c r="BX41" s="27"/>
      <c r="BY41" s="27"/>
      <c r="BZ41" s="27"/>
      <c r="CA41" s="27"/>
      <c r="CB41" s="27"/>
    </row>
    <row r="42" spans="1:80" ht="65.25" customHeight="1" x14ac:dyDescent="0.25">
      <c r="B42" s="162"/>
      <c r="C42" s="162"/>
      <c r="D42" s="162"/>
      <c r="E42" s="162"/>
      <c r="F42" s="162"/>
      <c r="G42" s="164"/>
      <c r="H42" s="1408"/>
      <c r="I42" s="1408"/>
      <c r="J42" s="1408"/>
      <c r="K42" s="168"/>
      <c r="L42" s="160"/>
      <c r="M42" s="160"/>
      <c r="N42" s="160"/>
      <c r="O42" s="160"/>
      <c r="P42" s="160"/>
      <c r="Q42" s="2296"/>
      <c r="R42" s="2296"/>
      <c r="S42" s="2296"/>
      <c r="T42" s="2296"/>
      <c r="U42" s="2296"/>
      <c r="V42" s="2296"/>
      <c r="W42" s="169"/>
      <c r="X42" s="1409"/>
      <c r="Y42" s="1409"/>
      <c r="Z42" s="1409"/>
      <c r="AA42" s="1409"/>
      <c r="AB42" s="1409"/>
      <c r="AC42" s="1415"/>
      <c r="AD42" s="1415"/>
      <c r="AE42" s="1415"/>
      <c r="AF42" s="1415"/>
      <c r="AG42" s="1415"/>
      <c r="AH42" s="1415"/>
      <c r="AI42" s="166"/>
      <c r="AJ42" s="1416"/>
      <c r="AK42" s="1416"/>
      <c r="AL42" s="1416"/>
      <c r="AM42" s="1416"/>
      <c r="AN42" s="1416"/>
      <c r="AO42" s="1403"/>
      <c r="AP42" s="1403"/>
      <c r="AQ42" s="1403"/>
      <c r="AR42" s="1403"/>
      <c r="AS42" s="1403"/>
      <c r="AT42" s="1403"/>
      <c r="AU42" s="1403"/>
      <c r="AV42" s="1404"/>
      <c r="AW42" s="1404"/>
      <c r="BI42" s="50"/>
      <c r="BJ42" s="514"/>
      <c r="BM42" s="27"/>
      <c r="BN42" s="27"/>
      <c r="BO42" s="27"/>
      <c r="BP42" s="27"/>
      <c r="BQ42" s="27"/>
      <c r="BR42" s="27"/>
      <c r="BS42" s="27"/>
      <c r="BT42" s="27"/>
      <c r="BU42" s="27"/>
      <c r="BW42" s="27"/>
      <c r="BX42" s="27"/>
      <c r="BY42" s="27"/>
      <c r="BZ42" s="27"/>
      <c r="CA42" s="27"/>
      <c r="CB42" s="27"/>
    </row>
    <row r="43" spans="1:80" ht="15" customHeight="1" x14ac:dyDescent="0.25">
      <c r="B43" s="162"/>
      <c r="C43" s="162"/>
      <c r="D43" s="162"/>
      <c r="E43" s="162"/>
      <c r="F43" s="162"/>
      <c r="G43" s="164"/>
      <c r="H43" s="1408"/>
      <c r="I43" s="1408"/>
      <c r="J43" s="1408"/>
      <c r="K43" s="164"/>
      <c r="L43" s="165"/>
      <c r="M43" s="165"/>
      <c r="N43" s="165"/>
      <c r="O43" s="165"/>
      <c r="P43" s="165"/>
      <c r="Q43" s="2296"/>
      <c r="R43" s="2296"/>
      <c r="S43" s="2296"/>
      <c r="T43" s="2296"/>
      <c r="U43" s="2296"/>
      <c r="V43" s="2296"/>
      <c r="W43" s="165"/>
      <c r="X43" s="1409" t="s">
        <v>257</v>
      </c>
      <c r="Y43" s="1409"/>
      <c r="Z43" s="1409"/>
      <c r="AA43" s="1409"/>
      <c r="AB43" s="1409"/>
      <c r="AC43" s="1410">
        <f>AC38-AD51</f>
        <v>0</v>
      </c>
      <c r="AD43" s="1410"/>
      <c r="AE43" s="1410"/>
      <c r="AF43" s="1410"/>
      <c r="AG43" s="1410"/>
      <c r="AH43" s="1410"/>
      <c r="AI43" s="166"/>
      <c r="AJ43" s="1416"/>
      <c r="AK43" s="1416"/>
      <c r="AL43" s="1416"/>
      <c r="AM43" s="1416"/>
      <c r="AN43" s="1416"/>
      <c r="AO43" s="1403"/>
      <c r="AP43" s="1403"/>
      <c r="AQ43" s="1403"/>
      <c r="AR43" s="1403"/>
      <c r="AS43" s="1403"/>
      <c r="AT43" s="1403"/>
      <c r="AU43" s="1403"/>
      <c r="AV43" s="1404"/>
      <c r="AW43" s="1404"/>
      <c r="BI43" s="53"/>
      <c r="BJ43" s="53"/>
    </row>
    <row r="44" spans="1:80" ht="28.5" customHeight="1" x14ac:dyDescent="0.25">
      <c r="B44" s="162"/>
      <c r="C44" s="162"/>
      <c r="D44" s="162"/>
      <c r="E44" s="162"/>
      <c r="F44" s="162"/>
      <c r="G44" s="164"/>
      <c r="H44" s="1411"/>
      <c r="I44" s="1411"/>
      <c r="J44" s="1411"/>
      <c r="K44" s="168"/>
      <c r="L44" s="165"/>
      <c r="M44" s="165"/>
      <c r="N44" s="165"/>
      <c r="O44" s="165"/>
      <c r="P44" s="165"/>
      <c r="Q44" s="2296"/>
      <c r="R44" s="2296"/>
      <c r="S44" s="2296"/>
      <c r="T44" s="2296"/>
      <c r="U44" s="2296"/>
      <c r="V44" s="2296"/>
      <c r="W44" s="165"/>
      <c r="X44" s="1409"/>
      <c r="Y44" s="1409"/>
      <c r="Z44" s="1409"/>
      <c r="AA44" s="1409"/>
      <c r="AB44" s="1409"/>
      <c r="AC44" s="1410"/>
      <c r="AD44" s="1410"/>
      <c r="AE44" s="1410"/>
      <c r="AF44" s="1410"/>
      <c r="AG44" s="1410"/>
      <c r="AH44" s="1410"/>
      <c r="AI44" s="166"/>
      <c r="AJ44" s="1416"/>
      <c r="AK44" s="1416"/>
      <c r="AL44" s="1416"/>
      <c r="AM44" s="1416"/>
      <c r="AN44" s="1416"/>
      <c r="AO44" s="1403"/>
      <c r="AP44" s="1403"/>
      <c r="AQ44" s="1403"/>
      <c r="AR44" s="1403"/>
      <c r="AS44" s="1403"/>
      <c r="AT44" s="1403"/>
      <c r="AU44" s="1403"/>
      <c r="AV44" s="1404"/>
      <c r="AW44" s="1404"/>
      <c r="BI44" s="53"/>
      <c r="BJ44" s="53"/>
    </row>
    <row r="45" spans="1:80" ht="15" customHeight="1" x14ac:dyDescent="0.25">
      <c r="B45" s="162"/>
      <c r="C45" s="162"/>
      <c r="D45" s="162"/>
      <c r="E45" s="162"/>
      <c r="F45" s="162"/>
      <c r="G45" s="164"/>
      <c r="H45" s="1411"/>
      <c r="I45" s="1411"/>
      <c r="J45" s="1411"/>
      <c r="K45" s="168"/>
      <c r="L45" s="165"/>
      <c r="M45" s="165"/>
      <c r="N45" s="165"/>
      <c r="O45" s="165"/>
      <c r="P45" s="165"/>
      <c r="Q45" s="2296"/>
      <c r="R45" s="2296"/>
      <c r="S45" s="2296"/>
      <c r="T45" s="2296"/>
      <c r="U45" s="2296"/>
      <c r="V45" s="2296"/>
      <c r="W45" s="165"/>
      <c r="X45" s="1409"/>
      <c r="Y45" s="1409"/>
      <c r="Z45" s="1409"/>
      <c r="AA45" s="1409"/>
      <c r="AB45" s="1409"/>
      <c r="AC45" s="1410"/>
      <c r="AD45" s="1410"/>
      <c r="AE45" s="1410"/>
      <c r="AF45" s="1410"/>
      <c r="AG45" s="1410"/>
      <c r="AH45" s="1410"/>
      <c r="AI45" s="166"/>
      <c r="AJ45" s="1416"/>
      <c r="AK45" s="1416"/>
      <c r="AL45" s="1416"/>
      <c r="AM45" s="1416"/>
      <c r="AN45" s="1416"/>
      <c r="AO45" s="1403"/>
      <c r="AP45" s="1403"/>
      <c r="AQ45" s="1403"/>
      <c r="AR45" s="1403"/>
      <c r="AS45" s="1403"/>
      <c r="AT45" s="1403"/>
      <c r="AU45" s="1403"/>
      <c r="AV45" s="1404"/>
      <c r="AW45" s="1404"/>
      <c r="BI45" s="53"/>
      <c r="BJ45" s="53"/>
    </row>
    <row r="46" spans="1:80" ht="42.75" customHeight="1" x14ac:dyDescent="0.35">
      <c r="A46" s="54"/>
      <c r="B46" s="162"/>
      <c r="C46" s="162"/>
      <c r="D46" s="162"/>
      <c r="E46" s="162"/>
      <c r="F46" s="162"/>
      <c r="G46" s="164"/>
      <c r="H46" s="1411"/>
      <c r="I46" s="1411"/>
      <c r="J46" s="1411"/>
      <c r="K46" s="168"/>
      <c r="L46" s="165"/>
      <c r="M46" s="165"/>
      <c r="N46" s="165"/>
      <c r="O46" s="165"/>
      <c r="P46" s="165"/>
      <c r="Q46" s="2296"/>
      <c r="R46" s="2296"/>
      <c r="S46" s="2296"/>
      <c r="T46" s="2296"/>
      <c r="U46" s="2296"/>
      <c r="V46" s="2296"/>
      <c r="W46" s="165"/>
      <c r="X46" s="1409"/>
      <c r="Y46" s="1409"/>
      <c r="Z46" s="1409"/>
      <c r="AA46" s="1409"/>
      <c r="AB46" s="1409"/>
      <c r="AC46" s="1410"/>
      <c r="AD46" s="1410"/>
      <c r="AE46" s="1410"/>
      <c r="AF46" s="1410"/>
      <c r="AG46" s="1410"/>
      <c r="AH46" s="1410"/>
      <c r="AI46" s="166"/>
      <c r="AJ46" s="1416"/>
      <c r="AK46" s="1416"/>
      <c r="AL46" s="1416"/>
      <c r="AM46" s="1416"/>
      <c r="AN46" s="1416"/>
      <c r="AO46" s="1403"/>
      <c r="AP46" s="1403"/>
      <c r="AQ46" s="1403"/>
      <c r="AR46" s="1403"/>
      <c r="AS46" s="1403"/>
      <c r="AT46" s="1403"/>
      <c r="AU46" s="1403"/>
      <c r="AV46" s="1404"/>
      <c r="AW46" s="1404"/>
      <c r="BI46" s="53"/>
      <c r="BJ46" s="53"/>
    </row>
    <row r="47" spans="1:80" ht="38.25" customHeight="1" x14ac:dyDescent="0.35">
      <c r="A47" s="54"/>
      <c r="B47" s="162"/>
      <c r="C47" s="162"/>
      <c r="D47" s="162"/>
      <c r="E47" s="162"/>
      <c r="F47" s="162"/>
      <c r="G47" s="164"/>
      <c r="H47" s="1412"/>
      <c r="I47" s="1412"/>
      <c r="J47" s="1412"/>
      <c r="K47" s="168"/>
      <c r="L47" s="175"/>
      <c r="M47" s="175"/>
      <c r="N47" s="175"/>
      <c r="O47" s="175"/>
      <c r="P47" s="175"/>
      <c r="Q47" s="2296"/>
      <c r="R47" s="2296"/>
      <c r="S47" s="2296"/>
      <c r="T47" s="2296"/>
      <c r="U47" s="2296"/>
      <c r="V47" s="2296"/>
      <c r="W47" s="176"/>
      <c r="X47" s="1409"/>
      <c r="Y47" s="1409"/>
      <c r="Z47" s="1409"/>
      <c r="AA47" s="1409"/>
      <c r="AB47" s="1409"/>
      <c r="AC47" s="1410"/>
      <c r="AD47" s="1410"/>
      <c r="AE47" s="1410"/>
      <c r="AF47" s="1410"/>
      <c r="AG47" s="1410"/>
      <c r="AH47" s="1410"/>
      <c r="AI47" s="166"/>
      <c r="AJ47" s="1416"/>
      <c r="AK47" s="1416"/>
      <c r="AL47" s="1416"/>
      <c r="AM47" s="1416"/>
      <c r="AN47" s="1416"/>
      <c r="AO47" s="1418"/>
      <c r="AP47" s="1418"/>
      <c r="AQ47" s="1418"/>
      <c r="AR47" s="1418"/>
      <c r="AS47" s="1418"/>
      <c r="AT47" s="1418"/>
      <c r="AU47" s="1418"/>
      <c r="AV47" s="1418"/>
      <c r="AW47" s="1418"/>
      <c r="AX47" s="54"/>
      <c r="AY47" s="54"/>
      <c r="BI47" s="170"/>
      <c r="BJ47" s="170"/>
    </row>
    <row r="48" spans="1:80" ht="60" customHeight="1" x14ac:dyDescent="0.35">
      <c r="H48" s="1412"/>
      <c r="I48" s="1412"/>
      <c r="J48" s="1412"/>
      <c r="L48" s="175"/>
      <c r="M48" s="175"/>
      <c r="N48" s="175"/>
      <c r="O48" s="175"/>
      <c r="P48" s="175"/>
      <c r="Q48" s="2296"/>
      <c r="R48" s="2296"/>
      <c r="S48" s="2296"/>
      <c r="T48" s="2296"/>
      <c r="U48" s="2296"/>
      <c r="V48" s="2296"/>
      <c r="W48" s="176"/>
      <c r="X48" s="1409"/>
      <c r="Y48" s="1409"/>
      <c r="Z48" s="1409"/>
      <c r="AA48" s="1409"/>
      <c r="AB48" s="1409"/>
      <c r="AC48" s="1410"/>
      <c r="AD48" s="1410"/>
      <c r="AE48" s="1410"/>
      <c r="AF48" s="1410"/>
      <c r="AG48" s="1410"/>
      <c r="AH48" s="1410"/>
      <c r="AI48" s="166"/>
      <c r="AJ48" s="1416"/>
      <c r="AK48" s="1416"/>
      <c r="AL48" s="1416"/>
      <c r="AM48" s="1416"/>
      <c r="AN48" s="1416"/>
      <c r="AO48" s="1418"/>
      <c r="AP48" s="1418"/>
      <c r="AQ48" s="1418"/>
      <c r="AR48" s="1418"/>
      <c r="AS48" s="1418"/>
      <c r="AT48" s="1418"/>
      <c r="AU48" s="1418"/>
      <c r="AV48" s="1418"/>
      <c r="AW48" s="1418"/>
      <c r="AX48" s="54"/>
      <c r="AY48" s="54"/>
      <c r="BI48" s="170"/>
      <c r="BJ48" s="170"/>
    </row>
    <row r="49" spans="1:60" ht="15" customHeight="1" x14ac:dyDescent="0.35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71"/>
      <c r="AA49" s="171"/>
      <c r="AB49" s="171"/>
      <c r="AC49" s="171"/>
      <c r="AD49" s="171"/>
      <c r="AE49" s="171"/>
      <c r="AF49" s="171"/>
      <c r="AG49" s="171"/>
      <c r="AH49" s="171"/>
      <c r="AI49" s="171"/>
      <c r="AJ49" s="171"/>
      <c r="AK49" s="171"/>
      <c r="AL49" s="171"/>
      <c r="AM49" s="171"/>
      <c r="AN49" s="171"/>
      <c r="AO49" s="172"/>
      <c r="AP49" s="172"/>
      <c r="AQ49" s="172"/>
      <c r="AR49" s="172"/>
      <c r="AS49" s="172"/>
      <c r="AT49" s="172"/>
      <c r="AU49" s="172"/>
      <c r="AV49" s="172"/>
      <c r="AW49" s="172"/>
    </row>
    <row r="50" spans="1:60" ht="15.75" customHeight="1" thickBot="1" x14ac:dyDescent="0.4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171"/>
      <c r="M50" s="171"/>
      <c r="N50" s="171"/>
      <c r="O50" s="171"/>
      <c r="P50" s="171"/>
      <c r="Q50" s="171"/>
      <c r="R50" s="171"/>
      <c r="S50" s="171"/>
      <c r="T50" s="171"/>
      <c r="U50" s="171"/>
      <c r="V50" s="171"/>
      <c r="W50" s="171"/>
      <c r="X50" s="173"/>
      <c r="Y50" s="171"/>
      <c r="Z50" s="171"/>
      <c r="AA50" s="171"/>
      <c r="AB50" s="171"/>
      <c r="AC50" s="171"/>
      <c r="AD50" s="171"/>
      <c r="AE50" s="171"/>
      <c r="AF50" s="171"/>
      <c r="AG50" s="171"/>
      <c r="AH50" s="171"/>
      <c r="AI50" s="171"/>
      <c r="AJ50" s="171"/>
      <c r="AK50" s="171"/>
      <c r="AL50" s="171"/>
      <c r="AM50" s="171"/>
      <c r="AN50" s="171"/>
      <c r="AO50" s="172"/>
      <c r="AP50" s="172"/>
      <c r="AQ50" s="172"/>
      <c r="AR50" s="172"/>
      <c r="AS50" s="172"/>
      <c r="AT50" s="172"/>
      <c r="AU50" s="172"/>
      <c r="AV50" s="172"/>
      <c r="AW50" s="172"/>
    </row>
    <row r="51" spans="1:60" ht="15.75" thickTop="1" x14ac:dyDescent="0.25">
      <c r="J51" t="s">
        <v>16</v>
      </c>
      <c r="AD51" s="775">
        <v>25.93240001321001</v>
      </c>
      <c r="AE51" s="776"/>
      <c r="AF51" s="776"/>
      <c r="AG51" s="776"/>
      <c r="AH51" s="777"/>
      <c r="AL51" s="727" t="s">
        <v>122</v>
      </c>
      <c r="AM51" s="727"/>
      <c r="AN51" s="727"/>
      <c r="AO51" s="727" t="s">
        <v>123</v>
      </c>
      <c r="AP51" s="727"/>
      <c r="AQ51" s="727"/>
      <c r="AR51" s="727" t="s">
        <v>124</v>
      </c>
      <c r="AS51" s="727"/>
      <c r="AT51" s="727" t="s">
        <v>125</v>
      </c>
      <c r="AU51" s="727"/>
      <c r="AY51" s="739" t="s">
        <v>126</v>
      </c>
      <c r="AZ51" s="740"/>
      <c r="BA51" s="740"/>
      <c r="BB51" s="740"/>
      <c r="BC51" s="740"/>
      <c r="BD51" s="740"/>
      <c r="BE51" s="740"/>
      <c r="BF51" s="740"/>
      <c r="BG51" s="740"/>
      <c r="BH51" s="741"/>
    </row>
    <row r="52" spans="1:60" x14ac:dyDescent="0.25">
      <c r="AD52" s="778"/>
      <c r="AE52" s="779"/>
      <c r="AF52" s="779"/>
      <c r="AG52" s="779"/>
      <c r="AH52" s="780"/>
      <c r="AL52" s="727"/>
      <c r="AM52" s="727"/>
      <c r="AN52" s="727"/>
      <c r="AO52" s="727"/>
      <c r="AP52" s="727"/>
      <c r="AQ52" s="727"/>
      <c r="AR52" s="727"/>
      <c r="AS52" s="727"/>
      <c r="AT52" s="727"/>
      <c r="AU52" s="727"/>
      <c r="AY52" s="750"/>
      <c r="AZ52" s="751"/>
      <c r="BA52" s="751"/>
      <c r="BB52" s="751"/>
      <c r="BC52" s="751"/>
      <c r="BD52" s="751"/>
      <c r="BE52" s="751"/>
      <c r="BF52" s="751"/>
      <c r="BG52" s="751"/>
      <c r="BH52" s="752"/>
    </row>
    <row r="53" spans="1:60" x14ac:dyDescent="0.25">
      <c r="AA53" s="56"/>
      <c r="AD53" s="778"/>
      <c r="AE53" s="779"/>
      <c r="AF53" s="779"/>
      <c r="AG53" s="779"/>
      <c r="AH53" s="780"/>
      <c r="AL53" s="727"/>
      <c r="AM53" s="727"/>
      <c r="AN53" s="727"/>
      <c r="AO53" s="727"/>
      <c r="AP53" s="727"/>
      <c r="AQ53" s="727"/>
      <c r="AR53" s="727"/>
      <c r="AS53" s="727"/>
      <c r="AT53" s="727"/>
      <c r="AU53" s="727"/>
      <c r="AY53" s="742"/>
      <c r="AZ53" s="743"/>
      <c r="BA53" s="743"/>
      <c r="BB53" s="743"/>
      <c r="BC53" s="743"/>
      <c r="BD53" s="743"/>
      <c r="BE53" s="743"/>
      <c r="BF53" s="743"/>
      <c r="BG53" s="743"/>
      <c r="BH53" s="744"/>
    </row>
    <row r="54" spans="1:60" x14ac:dyDescent="0.25">
      <c r="K54" t="s">
        <v>258</v>
      </c>
      <c r="AD54" s="778"/>
      <c r="AE54" s="779"/>
      <c r="AF54" s="779"/>
      <c r="AG54" s="779"/>
      <c r="AH54" s="780"/>
      <c r="AL54" s="727">
        <v>1220</v>
      </c>
      <c r="AM54" s="727"/>
      <c r="AN54" s="727"/>
      <c r="AO54" s="727">
        <f>AT82</f>
        <v>1220</v>
      </c>
      <c r="AP54" s="727"/>
      <c r="AQ54" s="727"/>
      <c r="AR54" s="1689">
        <f>AC38</f>
        <v>25.93240001321001</v>
      </c>
      <c r="AS54" s="1689"/>
      <c r="AT54" s="1689">
        <f>AC38+AO40</f>
        <v>31.93240001321001</v>
      </c>
      <c r="AU54" s="1689"/>
      <c r="AY54" s="727" t="s">
        <v>128</v>
      </c>
      <c r="AZ54" s="727"/>
      <c r="BA54" s="727"/>
      <c r="BB54" s="727"/>
      <c r="BC54" s="727"/>
      <c r="BD54" s="727"/>
      <c r="BE54" s="727"/>
      <c r="BF54" s="727"/>
      <c r="BG54" s="727"/>
      <c r="BH54" s="727"/>
    </row>
    <row r="55" spans="1:60" x14ac:dyDescent="0.25">
      <c r="G55" t="s">
        <v>16</v>
      </c>
      <c r="AD55" s="778"/>
      <c r="AE55" s="779"/>
      <c r="AF55" s="779"/>
      <c r="AG55" s="779"/>
      <c r="AH55" s="780"/>
      <c r="AL55" s="727"/>
      <c r="AM55" s="727"/>
      <c r="AN55" s="727"/>
      <c r="AO55" s="727"/>
      <c r="AP55" s="727"/>
      <c r="AQ55" s="727"/>
      <c r="AR55" s="1689"/>
      <c r="AS55" s="1689"/>
      <c r="AT55" s="1689"/>
      <c r="AU55" s="1689"/>
      <c r="AY55" s="727"/>
      <c r="AZ55" s="727"/>
      <c r="BA55" s="727"/>
      <c r="BB55" s="727"/>
      <c r="BC55" s="727"/>
      <c r="BD55" s="727"/>
      <c r="BE55" s="727"/>
      <c r="BF55" s="727"/>
      <c r="BG55" s="727"/>
      <c r="BH55" s="727"/>
    </row>
    <row r="56" spans="1:60" ht="15" customHeight="1" x14ac:dyDescent="0.25">
      <c r="AD56" s="778"/>
      <c r="AE56" s="779"/>
      <c r="AF56" s="779"/>
      <c r="AG56" s="779"/>
      <c r="AH56" s="780"/>
      <c r="AL56" s="727"/>
      <c r="AM56" s="727"/>
      <c r="AN56" s="727"/>
      <c r="AO56" s="727"/>
      <c r="AP56" s="727"/>
      <c r="AQ56" s="727"/>
      <c r="AR56" s="1689"/>
      <c r="AS56" s="1689"/>
      <c r="AT56" s="1689"/>
      <c r="AU56" s="1689"/>
      <c r="AY56" s="728">
        <f>AR54/((60*3.1415/64)*(AO54/3.281))</f>
        <v>2.3679949470615441E-2</v>
      </c>
      <c r="AZ56" s="729"/>
      <c r="BA56" s="729"/>
      <c r="BB56" s="729"/>
      <c r="BC56" s="729"/>
      <c r="BD56" s="729"/>
      <c r="BE56" s="729"/>
      <c r="BF56" s="729"/>
      <c r="BG56" s="729"/>
      <c r="BH56" s="730"/>
    </row>
    <row r="57" spans="1:60" ht="15.75" customHeight="1" thickBot="1" x14ac:dyDescent="0.3">
      <c r="AD57" s="781"/>
      <c r="AE57" s="782"/>
      <c r="AF57" s="782"/>
      <c r="AG57" s="782"/>
      <c r="AH57" s="783"/>
      <c r="AL57" s="727"/>
      <c r="AM57" s="727"/>
      <c r="AN57" s="727"/>
      <c r="AO57" s="727"/>
      <c r="AP57" s="727"/>
      <c r="AQ57" s="727"/>
      <c r="AR57" s="1689"/>
      <c r="AS57" s="1689"/>
      <c r="AT57" s="1689"/>
      <c r="AU57" s="1689"/>
      <c r="AY57" s="731"/>
      <c r="AZ57" s="732"/>
      <c r="BA57" s="732"/>
      <c r="BB57" s="732"/>
      <c r="BC57" s="732"/>
      <c r="BD57" s="732"/>
      <c r="BE57" s="732"/>
      <c r="BF57" s="732"/>
      <c r="BG57" s="732"/>
      <c r="BH57" s="733"/>
    </row>
    <row r="58" spans="1:60" ht="15.75" customHeight="1" thickTop="1" x14ac:dyDescent="0.25">
      <c r="AY58" s="734"/>
      <c r="AZ58" s="735"/>
      <c r="BA58" s="735"/>
      <c r="BB58" s="735"/>
      <c r="BC58" s="735"/>
      <c r="BD58" s="735"/>
      <c r="BE58" s="735"/>
      <c r="BF58" s="735"/>
      <c r="BG58" s="735"/>
      <c r="BH58" s="736"/>
    </row>
    <row r="59" spans="1:60" x14ac:dyDescent="0.25">
      <c r="AY59" s="739" t="s">
        <v>129</v>
      </c>
      <c r="AZ59" s="740"/>
      <c r="BA59" s="740"/>
      <c r="BB59" s="740"/>
      <c r="BC59" s="740"/>
      <c r="BD59" s="740"/>
      <c r="BE59" s="740"/>
      <c r="BF59" s="740"/>
      <c r="BG59" s="740"/>
      <c r="BH59" s="741"/>
    </row>
    <row r="60" spans="1:60" x14ac:dyDescent="0.25">
      <c r="AY60" s="742"/>
      <c r="AZ60" s="743"/>
      <c r="BA60" s="743"/>
      <c r="BB60" s="743"/>
      <c r="BC60" s="743"/>
      <c r="BD60" s="743"/>
      <c r="BE60" s="743"/>
      <c r="BF60" s="743"/>
      <c r="BG60" s="743"/>
      <c r="BH60" s="744"/>
    </row>
    <row r="61" spans="1:60" x14ac:dyDescent="0.25">
      <c r="AN61" s="727">
        <v>70</v>
      </c>
      <c r="AO61" s="727"/>
      <c r="AP61" s="727"/>
      <c r="AQ61" s="746">
        <v>1</v>
      </c>
      <c r="AR61" s="746"/>
      <c r="AS61" s="746"/>
      <c r="AT61" s="747">
        <f>AQ61*AN61</f>
        <v>70</v>
      </c>
      <c r="AU61" s="748"/>
      <c r="AV61" s="748"/>
      <c r="AW61" s="749"/>
      <c r="AY61" s="739" t="s">
        <v>130</v>
      </c>
      <c r="AZ61" s="740"/>
      <c r="BA61" s="740"/>
      <c r="BB61" s="740"/>
      <c r="BC61" s="740"/>
      <c r="BD61" s="740"/>
      <c r="BE61" s="740"/>
      <c r="BF61" s="740"/>
      <c r="BG61" s="740"/>
      <c r="BH61" s="741"/>
    </row>
    <row r="62" spans="1:60" x14ac:dyDescent="0.25">
      <c r="AN62" s="727"/>
      <c r="AO62" s="727"/>
      <c r="AP62" s="727"/>
      <c r="AQ62" s="746"/>
      <c r="AR62" s="746"/>
      <c r="AS62" s="746"/>
      <c r="AT62" s="747"/>
      <c r="AU62" s="748"/>
      <c r="AV62" s="748"/>
      <c r="AW62" s="749"/>
      <c r="AY62" s="750"/>
      <c r="AZ62" s="751"/>
      <c r="BA62" s="751"/>
      <c r="BB62" s="751"/>
      <c r="BC62" s="751"/>
      <c r="BD62" s="751"/>
      <c r="BE62" s="751"/>
      <c r="BF62" s="751"/>
      <c r="BG62" s="751"/>
      <c r="BH62" s="752"/>
    </row>
    <row r="63" spans="1:60" ht="15" customHeight="1" x14ac:dyDescent="0.25">
      <c r="AN63" s="727"/>
      <c r="AO63" s="727"/>
      <c r="AP63" s="727"/>
      <c r="AQ63" s="746"/>
      <c r="AR63" s="746"/>
      <c r="AS63" s="746"/>
      <c r="AT63" s="747"/>
      <c r="AU63" s="748"/>
      <c r="AV63" s="748"/>
      <c r="AW63" s="749"/>
      <c r="AY63" s="750"/>
      <c r="AZ63" s="751"/>
      <c r="BA63" s="751"/>
      <c r="BB63" s="751"/>
      <c r="BC63" s="751"/>
      <c r="BD63" s="751"/>
      <c r="BE63" s="751"/>
      <c r="BF63" s="751"/>
      <c r="BG63" s="751"/>
      <c r="BH63" s="752"/>
    </row>
    <row r="64" spans="1:60" ht="15" customHeight="1" x14ac:dyDescent="0.25">
      <c r="AN64" s="727">
        <v>65</v>
      </c>
      <c r="AO64" s="727"/>
      <c r="AP64" s="727"/>
      <c r="AQ64" s="746">
        <v>3</v>
      </c>
      <c r="AR64" s="746"/>
      <c r="AS64" s="746"/>
      <c r="AT64" s="747">
        <f t="shared" ref="AT64" si="3">AQ64*AN64</f>
        <v>195</v>
      </c>
      <c r="AU64" s="748"/>
      <c r="AV64" s="748"/>
      <c r="AW64" s="749"/>
      <c r="AY64" s="742"/>
      <c r="AZ64" s="743"/>
      <c r="BA64" s="743"/>
      <c r="BB64" s="743"/>
      <c r="BC64" s="743"/>
      <c r="BD64" s="743"/>
      <c r="BE64" s="743"/>
      <c r="BF64" s="743"/>
      <c r="BG64" s="743"/>
      <c r="BH64" s="744"/>
    </row>
    <row r="65" spans="40:60" ht="15" customHeight="1" x14ac:dyDescent="0.25">
      <c r="AN65" s="727"/>
      <c r="AO65" s="727"/>
      <c r="AP65" s="727"/>
      <c r="AQ65" s="746"/>
      <c r="AR65" s="746"/>
      <c r="AS65" s="746"/>
      <c r="AT65" s="747"/>
      <c r="AU65" s="748"/>
      <c r="AV65" s="748"/>
      <c r="AW65" s="749"/>
      <c r="AY65" s="728">
        <f>AT54/((60*3.1415/64)*(AO54/3.281))</f>
        <v>2.9158798198512473E-2</v>
      </c>
      <c r="AZ65" s="729"/>
      <c r="BA65" s="729"/>
      <c r="BB65" s="729"/>
      <c r="BC65" s="729"/>
      <c r="BD65" s="729"/>
      <c r="BE65" s="729"/>
      <c r="BF65" s="729"/>
      <c r="BG65" s="729"/>
      <c r="BH65" s="730"/>
    </row>
    <row r="66" spans="40:60" ht="15" customHeight="1" x14ac:dyDescent="0.25">
      <c r="AN66" s="727"/>
      <c r="AO66" s="727"/>
      <c r="AP66" s="727"/>
      <c r="AQ66" s="746"/>
      <c r="AR66" s="746"/>
      <c r="AS66" s="746"/>
      <c r="AT66" s="747"/>
      <c r="AU66" s="748"/>
      <c r="AV66" s="748"/>
      <c r="AW66" s="749"/>
      <c r="AY66" s="731"/>
      <c r="AZ66" s="732"/>
      <c r="BA66" s="732"/>
      <c r="BB66" s="732"/>
      <c r="BC66" s="732"/>
      <c r="BD66" s="732"/>
      <c r="BE66" s="732"/>
      <c r="BF66" s="732"/>
      <c r="BG66" s="732"/>
      <c r="BH66" s="733"/>
    </row>
    <row r="67" spans="40:60" ht="15" customHeight="1" x14ac:dyDescent="0.25">
      <c r="AN67" s="727">
        <v>60</v>
      </c>
      <c r="AO67" s="727"/>
      <c r="AP67" s="727"/>
      <c r="AQ67" s="746">
        <v>7</v>
      </c>
      <c r="AR67" s="746"/>
      <c r="AS67" s="746"/>
      <c r="AT67" s="747">
        <f t="shared" ref="AT67" si="4">AQ67*AN67</f>
        <v>420</v>
      </c>
      <c r="AU67" s="748"/>
      <c r="AV67" s="748"/>
      <c r="AW67" s="749"/>
      <c r="AY67" s="731"/>
      <c r="AZ67" s="732"/>
      <c r="BA67" s="732"/>
      <c r="BB67" s="732"/>
      <c r="BC67" s="732"/>
      <c r="BD67" s="732"/>
      <c r="BE67" s="732"/>
      <c r="BF67" s="732"/>
      <c r="BG67" s="732"/>
      <c r="BH67" s="733"/>
    </row>
    <row r="68" spans="40:60" ht="15" customHeight="1" x14ac:dyDescent="0.25">
      <c r="AN68" s="727"/>
      <c r="AO68" s="727"/>
      <c r="AP68" s="727"/>
      <c r="AQ68" s="746"/>
      <c r="AR68" s="746"/>
      <c r="AS68" s="746"/>
      <c r="AT68" s="747"/>
      <c r="AU68" s="748"/>
      <c r="AV68" s="748"/>
      <c r="AW68" s="749"/>
      <c r="AY68" s="731"/>
      <c r="AZ68" s="732"/>
      <c r="BA68" s="732"/>
      <c r="BB68" s="732"/>
      <c r="BC68" s="732"/>
      <c r="BD68" s="732"/>
      <c r="BE68" s="732"/>
      <c r="BF68" s="732"/>
      <c r="BG68" s="732"/>
      <c r="BH68" s="733"/>
    </row>
    <row r="69" spans="40:60" ht="15" customHeight="1" x14ac:dyDescent="0.25">
      <c r="AN69" s="727"/>
      <c r="AO69" s="727"/>
      <c r="AP69" s="727"/>
      <c r="AQ69" s="746"/>
      <c r="AR69" s="746"/>
      <c r="AS69" s="746"/>
      <c r="AT69" s="747"/>
      <c r="AU69" s="748"/>
      <c r="AV69" s="748"/>
      <c r="AW69" s="749"/>
      <c r="AY69" s="734"/>
      <c r="AZ69" s="735"/>
      <c r="BA69" s="735"/>
      <c r="BB69" s="735"/>
      <c r="BC69" s="735"/>
      <c r="BD69" s="735"/>
      <c r="BE69" s="735"/>
      <c r="BF69" s="735"/>
      <c r="BG69" s="735"/>
      <c r="BH69" s="736"/>
    </row>
    <row r="70" spans="40:60" ht="15" customHeight="1" x14ac:dyDescent="0.25">
      <c r="AN70" s="727">
        <v>55</v>
      </c>
      <c r="AO70" s="727"/>
      <c r="AP70" s="727"/>
      <c r="AQ70" s="746">
        <v>4</v>
      </c>
      <c r="AR70" s="746"/>
      <c r="AS70" s="746"/>
      <c r="AT70" s="747">
        <f t="shared" ref="AT70" si="5">AQ70*AN70</f>
        <v>220</v>
      </c>
      <c r="AU70" s="748"/>
      <c r="AV70" s="748"/>
      <c r="AW70" s="749"/>
    </row>
    <row r="71" spans="40:60" ht="15" customHeight="1" x14ac:dyDescent="0.25">
      <c r="AN71" s="727"/>
      <c r="AO71" s="727"/>
      <c r="AP71" s="727"/>
      <c r="AQ71" s="746"/>
      <c r="AR71" s="746"/>
      <c r="AS71" s="746"/>
      <c r="AT71" s="747"/>
      <c r="AU71" s="748"/>
      <c r="AV71" s="748"/>
      <c r="AW71" s="749"/>
    </row>
    <row r="72" spans="40:60" ht="15" customHeight="1" x14ac:dyDescent="0.25">
      <c r="AN72" s="727"/>
      <c r="AO72" s="727"/>
      <c r="AP72" s="727"/>
      <c r="AQ72" s="746"/>
      <c r="AR72" s="746"/>
      <c r="AS72" s="746"/>
      <c r="AT72" s="747"/>
      <c r="AU72" s="748"/>
      <c r="AV72" s="748"/>
      <c r="AW72" s="749"/>
    </row>
    <row r="73" spans="40:60" ht="15" customHeight="1" x14ac:dyDescent="0.25">
      <c r="AN73" s="727">
        <v>50</v>
      </c>
      <c r="AO73" s="727"/>
      <c r="AP73" s="727"/>
      <c r="AQ73" s="746">
        <v>3</v>
      </c>
      <c r="AR73" s="746"/>
      <c r="AS73" s="746"/>
      <c r="AT73" s="747">
        <f t="shared" ref="AT73" si="6">AQ73*AN73</f>
        <v>150</v>
      </c>
      <c r="AU73" s="748"/>
      <c r="AV73" s="748"/>
      <c r="AW73" s="749"/>
    </row>
    <row r="74" spans="40:60" ht="15" customHeight="1" x14ac:dyDescent="0.25">
      <c r="AN74" s="727"/>
      <c r="AO74" s="727"/>
      <c r="AP74" s="727"/>
      <c r="AQ74" s="746"/>
      <c r="AR74" s="746"/>
      <c r="AS74" s="746"/>
      <c r="AT74" s="747"/>
      <c r="AU74" s="748"/>
      <c r="AV74" s="748"/>
      <c r="AW74" s="749"/>
    </row>
    <row r="75" spans="40:60" ht="15" customHeight="1" x14ac:dyDescent="0.25">
      <c r="AN75" s="727"/>
      <c r="AO75" s="727"/>
      <c r="AP75" s="727"/>
      <c r="AQ75" s="746"/>
      <c r="AR75" s="746"/>
      <c r="AS75" s="746"/>
      <c r="AT75" s="747"/>
      <c r="AU75" s="748"/>
      <c r="AV75" s="748"/>
      <c r="AW75" s="749"/>
    </row>
    <row r="76" spans="40:60" ht="15" customHeight="1" x14ac:dyDescent="0.25">
      <c r="AN76" s="727">
        <v>45</v>
      </c>
      <c r="AO76" s="727"/>
      <c r="AP76" s="727"/>
      <c r="AQ76" s="746">
        <v>1</v>
      </c>
      <c r="AR76" s="746"/>
      <c r="AS76" s="746"/>
      <c r="AT76" s="747">
        <f t="shared" ref="AT76" si="7">AQ76*AN76</f>
        <v>45</v>
      </c>
      <c r="AU76" s="748"/>
      <c r="AV76" s="748"/>
      <c r="AW76" s="749"/>
    </row>
    <row r="77" spans="40:60" ht="15" customHeight="1" x14ac:dyDescent="0.25">
      <c r="AN77" s="727"/>
      <c r="AO77" s="727"/>
      <c r="AP77" s="727"/>
      <c r="AQ77" s="746"/>
      <c r="AR77" s="746"/>
      <c r="AS77" s="746"/>
      <c r="AT77" s="747"/>
      <c r="AU77" s="748"/>
      <c r="AV77" s="748"/>
      <c r="AW77" s="749"/>
    </row>
    <row r="78" spans="40:60" ht="15" customHeight="1" x14ac:dyDescent="0.25">
      <c r="AN78" s="727"/>
      <c r="AO78" s="727"/>
      <c r="AP78" s="727"/>
      <c r="AQ78" s="746"/>
      <c r="AR78" s="746"/>
      <c r="AS78" s="746"/>
      <c r="AT78" s="747"/>
      <c r="AU78" s="748"/>
      <c r="AV78" s="748"/>
      <c r="AW78" s="749"/>
    </row>
    <row r="79" spans="40:60" ht="15" customHeight="1" x14ac:dyDescent="0.25">
      <c r="AN79" s="727">
        <v>40</v>
      </c>
      <c r="AO79" s="727"/>
      <c r="AP79" s="727"/>
      <c r="AQ79" s="746">
        <v>3</v>
      </c>
      <c r="AR79" s="746"/>
      <c r="AS79" s="746"/>
      <c r="AT79" s="747">
        <f t="shared" ref="AT79" si="8">AQ79*AN79</f>
        <v>120</v>
      </c>
      <c r="AU79" s="748"/>
      <c r="AV79" s="748"/>
      <c r="AW79" s="749"/>
    </row>
    <row r="80" spans="40:60" ht="15" customHeight="1" x14ac:dyDescent="0.25">
      <c r="AN80" s="727"/>
      <c r="AO80" s="727"/>
      <c r="AP80" s="727"/>
      <c r="AQ80" s="746"/>
      <c r="AR80" s="746"/>
      <c r="AS80" s="746"/>
      <c r="AT80" s="747"/>
      <c r="AU80" s="748"/>
      <c r="AV80" s="748"/>
      <c r="AW80" s="749"/>
    </row>
    <row r="81" spans="40:49" ht="15" customHeight="1" x14ac:dyDescent="0.25">
      <c r="AN81" s="727"/>
      <c r="AO81" s="727"/>
      <c r="AP81" s="727"/>
      <c r="AQ81" s="746"/>
      <c r="AR81" s="746"/>
      <c r="AS81" s="746"/>
      <c r="AT81" s="747"/>
      <c r="AU81" s="748"/>
      <c r="AV81" s="748"/>
      <c r="AW81" s="749"/>
    </row>
    <row r="82" spans="40:49" ht="15" customHeight="1" x14ac:dyDescent="0.25">
      <c r="AQ82" s="2279">
        <f>AQ61+AQ64+AQ67+AQ70+AQ73+AQ76+AQ79</f>
        <v>22</v>
      </c>
      <c r="AR82" s="2280"/>
      <c r="AS82" s="2281"/>
      <c r="AT82" s="1457">
        <f>AT61+AT64+AT67+AT70+AT73+AT76+AT79</f>
        <v>1220</v>
      </c>
      <c r="AU82" s="1458"/>
      <c r="AV82" s="1458"/>
      <c r="AW82" s="1459"/>
    </row>
    <row r="83" spans="40:49" ht="15" customHeight="1" x14ac:dyDescent="0.25">
      <c r="AQ83" s="2282"/>
      <c r="AR83" s="2283"/>
      <c r="AS83" s="2284"/>
      <c r="AT83" s="2288"/>
      <c r="AU83" s="2289"/>
      <c r="AV83" s="2289"/>
      <c r="AW83" s="2290"/>
    </row>
    <row r="84" spans="40:49" x14ac:dyDescent="0.25">
      <c r="AQ84" s="2285"/>
      <c r="AR84" s="2286"/>
      <c r="AS84" s="2287"/>
      <c r="AT84" s="1785"/>
      <c r="AU84" s="1786"/>
      <c r="AV84" s="1786"/>
      <c r="AW84" s="1787"/>
    </row>
  </sheetData>
  <mergeCells count="370">
    <mergeCell ref="AT12:AT13"/>
    <mergeCell ref="AU12:AX12"/>
    <mergeCell ref="AY12:AY13"/>
    <mergeCell ref="AZ12:BC12"/>
    <mergeCell ref="BD12:BD13"/>
    <mergeCell ref="BE12:BH12"/>
    <mergeCell ref="AE12:AE13"/>
    <mergeCell ref="AF12:AI12"/>
    <mergeCell ref="AJ12:AJ13"/>
    <mergeCell ref="AK12:AN12"/>
    <mergeCell ref="AO12:AO13"/>
    <mergeCell ref="AP12:AS12"/>
    <mergeCell ref="P12:P13"/>
    <mergeCell ref="Q12:T12"/>
    <mergeCell ref="U12:U13"/>
    <mergeCell ref="V12:Y12"/>
    <mergeCell ref="Z12:Z13"/>
    <mergeCell ref="AA12:AD12"/>
    <mergeCell ref="A12:A13"/>
    <mergeCell ref="B12:E12"/>
    <mergeCell ref="F12:F13"/>
    <mergeCell ref="G12:J12"/>
    <mergeCell ref="K12:K13"/>
    <mergeCell ref="L12:O12"/>
    <mergeCell ref="AE9:AI11"/>
    <mergeCell ref="AJ9:AN11"/>
    <mergeCell ref="AO9:AS11"/>
    <mergeCell ref="AT9:AX11"/>
    <mergeCell ref="AY9:BA11"/>
    <mergeCell ref="BB9:BJ11"/>
    <mergeCell ref="A9:E11"/>
    <mergeCell ref="F9:J11"/>
    <mergeCell ref="K9:O11"/>
    <mergeCell ref="P9:T11"/>
    <mergeCell ref="U9:Y11"/>
    <mergeCell ref="Z9:AD11"/>
    <mergeCell ref="AT8:AV8"/>
    <mergeCell ref="AW8:AX8"/>
    <mergeCell ref="AY8:BA8"/>
    <mergeCell ref="BB8:BC8"/>
    <mergeCell ref="BD8:BF8"/>
    <mergeCell ref="BG8:BH8"/>
    <mergeCell ref="AE8:AG8"/>
    <mergeCell ref="AH8:AI8"/>
    <mergeCell ref="AJ8:AL8"/>
    <mergeCell ref="AM8:AN8"/>
    <mergeCell ref="AO8:AQ8"/>
    <mergeCell ref="AR8:AS8"/>
    <mergeCell ref="X8:Y8"/>
    <mergeCell ref="Z8:AB8"/>
    <mergeCell ref="AC8:AD8"/>
    <mergeCell ref="A8:C8"/>
    <mergeCell ref="D8:E8"/>
    <mergeCell ref="F8:H8"/>
    <mergeCell ref="I8:J8"/>
    <mergeCell ref="K8:M8"/>
    <mergeCell ref="N8:O8"/>
    <mergeCell ref="AN79:AP81"/>
    <mergeCell ref="AQ79:AS81"/>
    <mergeCell ref="AT79:AW81"/>
    <mergeCell ref="AR14:AS14"/>
    <mergeCell ref="AO15:AS17"/>
    <mergeCell ref="AO18:AO19"/>
    <mergeCell ref="AP18:AS18"/>
    <mergeCell ref="AT14:AV14"/>
    <mergeCell ref="AW14:AX14"/>
    <mergeCell ref="AT15:AX17"/>
    <mergeCell ref="AT18:AT19"/>
    <mergeCell ref="AU18:AX18"/>
    <mergeCell ref="AW32:AX32"/>
    <mergeCell ref="AQ82:AS84"/>
    <mergeCell ref="AT82:AW84"/>
    <mergeCell ref="U14:W14"/>
    <mergeCell ref="X14:Y14"/>
    <mergeCell ref="U15:Y17"/>
    <mergeCell ref="U18:U19"/>
    <mergeCell ref="V18:Y18"/>
    <mergeCell ref="AN73:AP75"/>
    <mergeCell ref="AQ73:AS75"/>
    <mergeCell ref="AT73:AW75"/>
    <mergeCell ref="AN76:AP78"/>
    <mergeCell ref="AQ76:AS78"/>
    <mergeCell ref="AT76:AW78"/>
    <mergeCell ref="AD51:AH57"/>
    <mergeCell ref="AL51:AN53"/>
    <mergeCell ref="AO51:AQ53"/>
    <mergeCell ref="AR51:AS53"/>
    <mergeCell ref="AT51:AU53"/>
    <mergeCell ref="AT36:AT37"/>
    <mergeCell ref="AU36:AX36"/>
    <mergeCell ref="AT27:AV29"/>
    <mergeCell ref="AO20:AQ20"/>
    <mergeCell ref="AJ14:AL14"/>
    <mergeCell ref="AM14:AN14"/>
    <mergeCell ref="AY65:BH69"/>
    <mergeCell ref="AN67:AP69"/>
    <mergeCell ref="AQ67:AS69"/>
    <mergeCell ref="AT67:AW69"/>
    <mergeCell ref="AN70:AP72"/>
    <mergeCell ref="AQ70:AS72"/>
    <mergeCell ref="AT70:AW72"/>
    <mergeCell ref="AY54:BH55"/>
    <mergeCell ref="AY56:BH58"/>
    <mergeCell ref="AY59:BH60"/>
    <mergeCell ref="AN61:AP63"/>
    <mergeCell ref="AQ61:AS63"/>
    <mergeCell ref="AT61:AW63"/>
    <mergeCell ref="AY61:BH64"/>
    <mergeCell ref="AN64:AP66"/>
    <mergeCell ref="AQ64:AS66"/>
    <mergeCell ref="AT64:AW66"/>
    <mergeCell ref="AY51:BH53"/>
    <mergeCell ref="AL54:AN57"/>
    <mergeCell ref="AO54:AQ57"/>
    <mergeCell ref="AR54:AS57"/>
    <mergeCell ref="AT54:AU57"/>
    <mergeCell ref="AT38:AW39"/>
    <mergeCell ref="AO40:AU46"/>
    <mergeCell ref="AV40:AW46"/>
    <mergeCell ref="H41:J41"/>
    <mergeCell ref="Q41:V48"/>
    <mergeCell ref="H42:J43"/>
    <mergeCell ref="X43:AB48"/>
    <mergeCell ref="AC43:AH48"/>
    <mergeCell ref="H44:J46"/>
    <mergeCell ref="H47:J48"/>
    <mergeCell ref="H38:J39"/>
    <mergeCell ref="Q38:V40"/>
    <mergeCell ref="X38:AB42"/>
    <mergeCell ref="AC38:AH42"/>
    <mergeCell ref="AJ38:AN48"/>
    <mergeCell ref="AO38:AS39"/>
    <mergeCell ref="AO47:AW48"/>
    <mergeCell ref="BD33:BF35"/>
    <mergeCell ref="A36:A37"/>
    <mergeCell ref="B36:E36"/>
    <mergeCell ref="F36:F37"/>
    <mergeCell ref="G36:J36"/>
    <mergeCell ref="K36:K37"/>
    <mergeCell ref="L36:O36"/>
    <mergeCell ref="P36:P37"/>
    <mergeCell ref="Q36:T36"/>
    <mergeCell ref="AY36:AY37"/>
    <mergeCell ref="AZ36:BC36"/>
    <mergeCell ref="BD36:BD37"/>
    <mergeCell ref="BE36:BH36"/>
    <mergeCell ref="U36:U37"/>
    <mergeCell ref="V36:Y36"/>
    <mergeCell ref="Z36:Z37"/>
    <mergeCell ref="AA36:AD36"/>
    <mergeCell ref="AE36:AE37"/>
    <mergeCell ref="AF36:AI36"/>
    <mergeCell ref="AE33:AG35"/>
    <mergeCell ref="AT33:AV35"/>
    <mergeCell ref="A33:C35"/>
    <mergeCell ref="F33:H35"/>
    <mergeCell ref="K33:M35"/>
    <mergeCell ref="A32:C32"/>
    <mergeCell ref="D32:E32"/>
    <mergeCell ref="F32:H32"/>
    <mergeCell ref="I32:J32"/>
    <mergeCell ref="K32:M32"/>
    <mergeCell ref="S32:T32"/>
    <mergeCell ref="U32:W32"/>
    <mergeCell ref="X32:Y32"/>
    <mergeCell ref="Z32:AB32"/>
    <mergeCell ref="P33:R35"/>
    <mergeCell ref="U33:W35"/>
    <mergeCell ref="Z33:AB35"/>
    <mergeCell ref="N32:O32"/>
    <mergeCell ref="AT30:AT31"/>
    <mergeCell ref="AU30:AX30"/>
    <mergeCell ref="AY30:AY31"/>
    <mergeCell ref="AZ30:BC30"/>
    <mergeCell ref="P30:P31"/>
    <mergeCell ref="Q30:T30"/>
    <mergeCell ref="U30:U31"/>
    <mergeCell ref="V30:Y30"/>
    <mergeCell ref="Z30:Z31"/>
    <mergeCell ref="AA30:AD30"/>
    <mergeCell ref="P32:R32"/>
    <mergeCell ref="AE32:AG32"/>
    <mergeCell ref="AH32:AI32"/>
    <mergeCell ref="AT32:AV32"/>
    <mergeCell ref="AC32:AD32"/>
    <mergeCell ref="AY33:BA35"/>
    <mergeCell ref="BD30:BD31"/>
    <mergeCell ref="BD32:BF32"/>
    <mergeCell ref="BE30:BH30"/>
    <mergeCell ref="AE30:AE31"/>
    <mergeCell ref="AF30:AI30"/>
    <mergeCell ref="AJ30:AJ31"/>
    <mergeCell ref="AK30:AN30"/>
    <mergeCell ref="AO30:AO31"/>
    <mergeCell ref="AP30:AS30"/>
    <mergeCell ref="BG32:BH32"/>
    <mergeCell ref="AY32:BA32"/>
    <mergeCell ref="BB32:BC32"/>
    <mergeCell ref="A30:A31"/>
    <mergeCell ref="B30:E30"/>
    <mergeCell ref="F30:F31"/>
    <mergeCell ref="G30:J30"/>
    <mergeCell ref="K30:K31"/>
    <mergeCell ref="L30:O30"/>
    <mergeCell ref="AE27:AG29"/>
    <mergeCell ref="AJ27:AL29"/>
    <mergeCell ref="AO27:AQ29"/>
    <mergeCell ref="AY27:BA29"/>
    <mergeCell ref="BD27:BF29"/>
    <mergeCell ref="A27:C29"/>
    <mergeCell ref="F27:H29"/>
    <mergeCell ref="K27:M29"/>
    <mergeCell ref="P27:R29"/>
    <mergeCell ref="U27:W29"/>
    <mergeCell ref="Z27:AB29"/>
    <mergeCell ref="AT26:AV26"/>
    <mergeCell ref="AW26:AX26"/>
    <mergeCell ref="AY26:BA26"/>
    <mergeCell ref="BB26:BC26"/>
    <mergeCell ref="BD26:BF26"/>
    <mergeCell ref="A26:C26"/>
    <mergeCell ref="D26:E26"/>
    <mergeCell ref="F26:H26"/>
    <mergeCell ref="I26:J26"/>
    <mergeCell ref="K26:M26"/>
    <mergeCell ref="N26:O26"/>
    <mergeCell ref="BG26:BH26"/>
    <mergeCell ref="AE26:AG26"/>
    <mergeCell ref="AH26:AI26"/>
    <mergeCell ref="AJ26:AL26"/>
    <mergeCell ref="AM26:AN26"/>
    <mergeCell ref="AO26:AQ26"/>
    <mergeCell ref="AR26:AS26"/>
    <mergeCell ref="P26:R26"/>
    <mergeCell ref="S26:T26"/>
    <mergeCell ref="U26:W26"/>
    <mergeCell ref="X26:Y26"/>
    <mergeCell ref="Z26:AB26"/>
    <mergeCell ref="AC26:AD26"/>
    <mergeCell ref="A24:A25"/>
    <mergeCell ref="B24:E24"/>
    <mergeCell ref="AY24:AY25"/>
    <mergeCell ref="AZ24:BC24"/>
    <mergeCell ref="BD24:BD25"/>
    <mergeCell ref="BE24:BH24"/>
    <mergeCell ref="BG20:BH20"/>
    <mergeCell ref="A21:E23"/>
    <mergeCell ref="AJ21:AL23"/>
    <mergeCell ref="AO21:AQ23"/>
    <mergeCell ref="AT21:AV23"/>
    <mergeCell ref="AY21:BA23"/>
    <mergeCell ref="BD21:BF23"/>
    <mergeCell ref="AR20:AS20"/>
    <mergeCell ref="AT20:AV20"/>
    <mergeCell ref="AW20:AX20"/>
    <mergeCell ref="AY20:BA20"/>
    <mergeCell ref="BB20:BC20"/>
    <mergeCell ref="BD20:BF20"/>
    <mergeCell ref="A20:C20"/>
    <mergeCell ref="D20:E20"/>
    <mergeCell ref="AH20:AI20"/>
    <mergeCell ref="AJ20:AL20"/>
    <mergeCell ref="AM20:AN20"/>
    <mergeCell ref="P18:P19"/>
    <mergeCell ref="Q18:T18"/>
    <mergeCell ref="AY18:AY19"/>
    <mergeCell ref="AZ18:BC18"/>
    <mergeCell ref="BD18:BD19"/>
    <mergeCell ref="BE18:BH18"/>
    <mergeCell ref="Z18:Z19"/>
    <mergeCell ref="AA18:AD18"/>
    <mergeCell ref="AE18:AE19"/>
    <mergeCell ref="AF18:AI18"/>
    <mergeCell ref="AJ18:AJ19"/>
    <mergeCell ref="AK18:AN18"/>
    <mergeCell ref="A18:A19"/>
    <mergeCell ref="B18:E18"/>
    <mergeCell ref="F18:F19"/>
    <mergeCell ref="G18:J18"/>
    <mergeCell ref="K18:K19"/>
    <mergeCell ref="L18:O18"/>
    <mergeCell ref="A15:E17"/>
    <mergeCell ref="F15:J17"/>
    <mergeCell ref="K15:O17"/>
    <mergeCell ref="P15:T17"/>
    <mergeCell ref="AY15:BA17"/>
    <mergeCell ref="BB15:BJ17"/>
    <mergeCell ref="Z15:AD17"/>
    <mergeCell ref="AE15:AI17"/>
    <mergeCell ref="P14:R14"/>
    <mergeCell ref="S14:T14"/>
    <mergeCell ref="AY14:BA14"/>
    <mergeCell ref="BB14:BC14"/>
    <mergeCell ref="BD14:BF14"/>
    <mergeCell ref="BG14:BH14"/>
    <mergeCell ref="Z14:AB14"/>
    <mergeCell ref="AC14:AD14"/>
    <mergeCell ref="AE14:AG14"/>
    <mergeCell ref="AH14:AI14"/>
    <mergeCell ref="AJ15:AN17"/>
    <mergeCell ref="AO14:AQ14"/>
    <mergeCell ref="A14:C14"/>
    <mergeCell ref="D14:E14"/>
    <mergeCell ref="F14:H14"/>
    <mergeCell ref="I14:J14"/>
    <mergeCell ref="K14:M14"/>
    <mergeCell ref="N14:O14"/>
    <mergeCell ref="AT6:AT7"/>
    <mergeCell ref="AU6:AX6"/>
    <mergeCell ref="AY6:AY7"/>
    <mergeCell ref="P6:P7"/>
    <mergeCell ref="Q6:T6"/>
    <mergeCell ref="U6:U7"/>
    <mergeCell ref="V6:Y6"/>
    <mergeCell ref="Z6:Z7"/>
    <mergeCell ref="AA6:AD6"/>
    <mergeCell ref="A6:A7"/>
    <mergeCell ref="B6:E6"/>
    <mergeCell ref="F6:F7"/>
    <mergeCell ref="G6:J6"/>
    <mergeCell ref="K6:K7"/>
    <mergeCell ref="L6:O6"/>
    <mergeCell ref="P8:R8"/>
    <mergeCell ref="S8:T8"/>
    <mergeCell ref="U8:W8"/>
    <mergeCell ref="AZ6:BC6"/>
    <mergeCell ref="BD6:BD7"/>
    <mergeCell ref="BE6:BH6"/>
    <mergeCell ref="AE6:AE7"/>
    <mergeCell ref="AF6:AI6"/>
    <mergeCell ref="AJ6:AJ7"/>
    <mergeCell ref="AK6:AN6"/>
    <mergeCell ref="AO6:AO7"/>
    <mergeCell ref="AP6:AS6"/>
    <mergeCell ref="AE3:AI5"/>
    <mergeCell ref="AJ3:AN5"/>
    <mergeCell ref="AO3:AS5"/>
    <mergeCell ref="AT3:AX5"/>
    <mergeCell ref="AY3:BA5"/>
    <mergeCell ref="BD3:BF5"/>
    <mergeCell ref="A3:E5"/>
    <mergeCell ref="F3:J5"/>
    <mergeCell ref="K3:O5"/>
    <mergeCell ref="P3:T5"/>
    <mergeCell ref="U3:Y5"/>
    <mergeCell ref="Z3:AD5"/>
    <mergeCell ref="AT2:AV2"/>
    <mergeCell ref="AW2:AX2"/>
    <mergeCell ref="AY2:BA2"/>
    <mergeCell ref="BB2:BC2"/>
    <mergeCell ref="BD2:BF2"/>
    <mergeCell ref="BG2:BH2"/>
    <mergeCell ref="AE2:AG2"/>
    <mergeCell ref="AH2:AI2"/>
    <mergeCell ref="AJ2:AL2"/>
    <mergeCell ref="AM2:AN2"/>
    <mergeCell ref="AO2:AQ2"/>
    <mergeCell ref="AR2:AS2"/>
    <mergeCell ref="P2:R2"/>
    <mergeCell ref="S2:T2"/>
    <mergeCell ref="U2:W2"/>
    <mergeCell ref="X2:Y2"/>
    <mergeCell ref="Z2:AB2"/>
    <mergeCell ref="AC2:AD2"/>
    <mergeCell ref="A2:C2"/>
    <mergeCell ref="D2:E2"/>
    <mergeCell ref="F2:H2"/>
    <mergeCell ref="I2:J2"/>
    <mergeCell ref="K2:M2"/>
    <mergeCell ref="N2:O2"/>
  </mergeCells>
  <pageMargins left="0.75" right="0.5" top="1" bottom="0.5" header="0.3" footer="0.3"/>
  <pageSetup paperSize="8" scale="57" orientation="landscape" r:id="rId1"/>
  <headerFooter>
    <oddFooter>&amp;C&amp;"-,Bold Italic"&amp;16Prepared by Emir Cebecioglu&amp;RQuality Control Department</oddFooter>
  </headerFooter>
  <colBreaks count="1" manualBreakCount="1">
    <brk id="60" max="50" man="1"/>
  </colBreak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1803B-25EE-4F21-BEA8-4B2EA9D482A4}">
  <sheetPr>
    <tabColor rgb="FFFFC000"/>
    <pageSetUpPr fitToPage="1"/>
  </sheetPr>
  <dimension ref="A1:FP175"/>
  <sheetViews>
    <sheetView view="pageBreakPreview" topLeftCell="A81" zoomScale="40" zoomScaleNormal="55" zoomScaleSheetLayoutView="40" zoomScalePageLayoutView="25" workbookViewId="0">
      <selection activeCell="U15" sqref="U15:Y17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4" width="5.5703125" customWidth="1"/>
    <col min="5" max="5" width="10.28515625" customWidth="1"/>
    <col min="6" max="6" width="4.140625" customWidth="1"/>
    <col min="7" max="7" width="10.7109375" customWidth="1"/>
    <col min="8" max="8" width="4.28515625" customWidth="1"/>
    <col min="9" max="9" width="9.140625" customWidth="1"/>
    <col min="10" max="10" width="7.7109375" customWidth="1"/>
    <col min="11" max="11" width="4.140625" customWidth="1"/>
    <col min="12" max="12" width="10.7109375" customWidth="1"/>
    <col min="13" max="13" width="4.28515625" customWidth="1"/>
    <col min="14" max="14" width="5.5703125" customWidth="1"/>
    <col min="15" max="15" width="9.85546875" customWidth="1"/>
    <col min="16" max="16" width="4.140625" customWidth="1"/>
    <col min="17" max="17" width="10.7109375" customWidth="1"/>
    <col min="18" max="18" width="5" customWidth="1"/>
    <col min="19" max="19" width="8.42578125" customWidth="1"/>
    <col min="20" max="20" width="7.42578125" customWidth="1"/>
    <col min="21" max="21" width="4.140625" customWidth="1"/>
    <col min="22" max="22" width="10.7109375" customWidth="1"/>
    <col min="23" max="23" width="4.28515625" customWidth="1"/>
    <col min="24" max="24" width="5.5703125" customWidth="1"/>
    <col min="25" max="25" width="10" customWidth="1"/>
    <col min="26" max="26" width="4.140625" customWidth="1"/>
    <col min="27" max="27" width="10.7109375" customWidth="1"/>
    <col min="28" max="28" width="4.28515625" customWidth="1"/>
    <col min="29" max="29" width="9.5703125" customWidth="1"/>
    <col min="30" max="30" width="5.5703125" customWidth="1"/>
    <col min="31" max="31" width="4.140625" customWidth="1"/>
    <col min="32" max="32" width="10.7109375" customWidth="1"/>
    <col min="33" max="33" width="4.28515625" customWidth="1"/>
    <col min="34" max="34" width="9.5703125" customWidth="1"/>
    <col min="35" max="35" width="5.5703125" customWidth="1"/>
    <col min="36" max="36" width="4.140625" customWidth="1"/>
    <col min="37" max="37" width="10.7109375" customWidth="1"/>
    <col min="38" max="38" width="8.5703125" customWidth="1"/>
    <col min="39" max="40" width="5.5703125" customWidth="1"/>
    <col min="41" max="41" width="4.140625" customWidth="1"/>
    <col min="42" max="42" width="10.7109375" customWidth="1"/>
    <col min="43" max="43" width="5.7109375" customWidth="1"/>
    <col min="44" max="44" width="5.5703125" customWidth="1"/>
    <col min="45" max="45" width="8.7109375" customWidth="1"/>
    <col min="46" max="46" width="4.140625" customWidth="1"/>
    <col min="47" max="47" width="10.7109375" customWidth="1"/>
    <col min="48" max="48" width="4.28515625" customWidth="1"/>
    <col min="49" max="49" width="5.5703125" customWidth="1"/>
    <col min="50" max="50" width="9.140625" customWidth="1"/>
    <col min="51" max="51" width="4.140625" customWidth="1"/>
    <col min="52" max="52" width="10.7109375" customWidth="1"/>
    <col min="53" max="53" width="5.42578125" customWidth="1"/>
    <col min="54" max="54" width="8.140625" customWidth="1"/>
    <col min="55" max="55" width="5.5703125" customWidth="1"/>
    <col min="56" max="56" width="4.140625" customWidth="1"/>
    <col min="57" max="57" width="10.7109375" customWidth="1"/>
    <col min="58" max="58" width="4.28515625" customWidth="1"/>
    <col min="59" max="59" width="5.5703125" customWidth="1"/>
    <col min="60" max="60" width="9.85546875" customWidth="1"/>
    <col min="61" max="61" width="4.140625" customWidth="1"/>
    <col min="62" max="62" width="10.7109375" customWidth="1"/>
    <col min="63" max="63" width="4.28515625" customWidth="1"/>
    <col min="64" max="64" width="5.5703125" customWidth="1"/>
    <col min="65" max="65" width="10.28515625" customWidth="1"/>
    <col min="66" max="66" width="4.140625" customWidth="1"/>
    <col min="67" max="67" width="14" customWidth="1"/>
    <col min="68" max="68" width="4.28515625" customWidth="1"/>
    <col min="69" max="70" width="5.5703125" customWidth="1"/>
    <col min="71" max="71" width="1" customWidth="1"/>
    <col min="72" max="72" width="56.7109375" customWidth="1"/>
    <col min="73" max="73" width="13" customWidth="1"/>
    <col min="74" max="74" width="7" customWidth="1"/>
    <col min="82" max="82" width="25.5703125" bestFit="1" customWidth="1"/>
  </cols>
  <sheetData>
    <row r="1" spans="1:83" ht="158.25" customHeight="1" thickBot="1" x14ac:dyDescent="0.3"/>
    <row r="2" spans="1:83" ht="44.25" customHeight="1" thickTop="1" x14ac:dyDescent="0.25">
      <c r="A2" s="645" t="s">
        <v>110</v>
      </c>
      <c r="B2" s="646"/>
      <c r="C2" s="647">
        <f>B7/((66*3.1415/64)*(35/3.281))</f>
        <v>5.8797771213878171E-2</v>
      </c>
      <c r="D2" s="647"/>
      <c r="E2" s="648"/>
      <c r="F2" s="645" t="s">
        <v>110</v>
      </c>
      <c r="G2" s="646"/>
      <c r="H2" s="647">
        <f t="shared" ref="H2" si="0">G7/((66*3.1415/64)*(35/3.281))</f>
        <v>8.0846935419082479E-3</v>
      </c>
      <c r="I2" s="647"/>
      <c r="J2" s="648"/>
      <c r="K2" s="645" t="s">
        <v>110</v>
      </c>
      <c r="L2" s="646"/>
      <c r="M2" s="647">
        <f t="shared" ref="M2" si="1">L7/((66*3.1415/64)*(35/3.281))</f>
        <v>4.3982584766286822E-3</v>
      </c>
      <c r="N2" s="647"/>
      <c r="O2" s="648"/>
      <c r="P2" s="645" t="s">
        <v>110</v>
      </c>
      <c r="Q2" s="646"/>
      <c r="R2" s="647">
        <f t="shared" ref="R2" si="2">Q7/((66*3.1415/64)*(35/3.281))</f>
        <v>2.792315414438604E-2</v>
      </c>
      <c r="S2" s="647"/>
      <c r="T2" s="648"/>
      <c r="U2" s="645" t="s">
        <v>110</v>
      </c>
      <c r="V2" s="646"/>
      <c r="W2" s="647">
        <f t="shared" ref="W2" si="3">V7/((66*3.1415/64)*(35/3.281))</f>
        <v>5.584630828877208E-2</v>
      </c>
      <c r="X2" s="647"/>
      <c r="Y2" s="648"/>
      <c r="Z2" s="645" t="s">
        <v>110</v>
      </c>
      <c r="AA2" s="646"/>
      <c r="AB2" s="647">
        <f t="shared" ref="AB2" si="4">AA7/((66*3.1415/64)*(35/3.281))</f>
        <v>0.12788515239018503</v>
      </c>
      <c r="AC2" s="647"/>
      <c r="AD2" s="648"/>
      <c r="AE2" s="645" t="s">
        <v>110</v>
      </c>
      <c r="AF2" s="646"/>
      <c r="AG2" s="647">
        <f t="shared" ref="AG2" si="5">AF7/((66*3.1415/64)*(35/3.281))</f>
        <v>2.8935911030451857E-10</v>
      </c>
      <c r="AH2" s="647"/>
      <c r="AI2" s="648"/>
      <c r="AJ2" s="645" t="s">
        <v>110</v>
      </c>
      <c r="AK2" s="646"/>
      <c r="AL2" s="647">
        <f t="shared" ref="AL2" si="6">AK7/((66*3.1415/64)*(35/3.281))</f>
        <v>2.8935911030451857E-8</v>
      </c>
      <c r="AM2" s="647"/>
      <c r="AN2" s="648"/>
      <c r="AO2" s="645" t="s">
        <v>110</v>
      </c>
      <c r="AP2" s="646"/>
      <c r="AQ2" s="647">
        <f t="shared" ref="AQ2" si="7">AP7/((66*3.1415/64)*(35/3.281))</f>
        <v>2.893591103045186E-11</v>
      </c>
      <c r="AR2" s="647"/>
      <c r="AS2" s="648"/>
      <c r="AT2" s="645" t="s">
        <v>110</v>
      </c>
      <c r="AU2" s="646"/>
      <c r="AV2" s="647">
        <f t="shared" ref="AV2" si="8">AU7/((66*3.1415/64)*(35/3.281))</f>
        <v>2.8935911030451855E-13</v>
      </c>
      <c r="AW2" s="647"/>
      <c r="AX2" s="648"/>
      <c r="AY2" s="645" t="s">
        <v>110</v>
      </c>
      <c r="AZ2" s="646"/>
      <c r="BA2" s="647">
        <f t="shared" ref="BA2" si="9">AZ7/((66*3.1415/64)*(35/3.281))</f>
        <v>8.819665682081727E-3</v>
      </c>
      <c r="BB2" s="647"/>
      <c r="BC2" s="648"/>
      <c r="BD2" s="2616" t="s">
        <v>110</v>
      </c>
      <c r="BE2" s="2617"/>
      <c r="BF2" s="2618">
        <f>BE7/((66*3.1415/64)*(40/3.281))</f>
        <v>5.2734251057446994E-2</v>
      </c>
      <c r="BG2" s="2618"/>
      <c r="BH2" s="2619"/>
      <c r="BI2" s="2616" t="s">
        <v>110</v>
      </c>
      <c r="BJ2" s="2617"/>
      <c r="BK2" s="2618">
        <f>BJ7/((66*3.1415/64)*(40/3.281))</f>
        <v>3.6013634868500385E-2</v>
      </c>
      <c r="BL2" s="2618"/>
      <c r="BM2" s="2619"/>
      <c r="BN2" s="2616" t="s">
        <v>110</v>
      </c>
      <c r="BO2" s="2617"/>
      <c r="BP2" s="2618">
        <f>BO7/((66*3.1415/64)*(40/3.281))</f>
        <v>2.5318922151645372E-13</v>
      </c>
      <c r="BQ2" s="2618"/>
      <c r="BR2" s="2619"/>
      <c r="BX2" s="645" t="s">
        <v>110</v>
      </c>
      <c r="BY2" s="646"/>
      <c r="BZ2" s="647">
        <f t="shared" ref="BZ2" si="10">BY7/((66*3.1415/64)*(35/3.281))</f>
        <v>0.12788515239018503</v>
      </c>
      <c r="CA2" s="647"/>
      <c r="CB2" s="648"/>
    </row>
    <row r="3" spans="1:83" ht="6.75" customHeight="1" x14ac:dyDescent="0.25">
      <c r="A3" s="1791" t="s">
        <v>489</v>
      </c>
      <c r="B3" s="1792"/>
      <c r="C3" s="1792"/>
      <c r="D3" s="1792"/>
      <c r="E3" s="1793"/>
      <c r="F3" s="1791" t="s">
        <v>489</v>
      </c>
      <c r="G3" s="1792"/>
      <c r="H3" s="1792"/>
      <c r="I3" s="1792"/>
      <c r="J3" s="1793"/>
      <c r="K3" s="1791" t="s">
        <v>489</v>
      </c>
      <c r="L3" s="1792"/>
      <c r="M3" s="1792"/>
      <c r="N3" s="1792"/>
      <c r="O3" s="1793"/>
      <c r="P3" s="1791" t="s">
        <v>489</v>
      </c>
      <c r="Q3" s="1792"/>
      <c r="R3" s="1792"/>
      <c r="S3" s="1792"/>
      <c r="T3" s="1793"/>
      <c r="U3" s="1791" t="s">
        <v>489</v>
      </c>
      <c r="V3" s="1792"/>
      <c r="W3" s="1792"/>
      <c r="X3" s="1792"/>
      <c r="Y3" s="1793"/>
      <c r="Z3" s="2360" t="s">
        <v>489</v>
      </c>
      <c r="AA3" s="1632"/>
      <c r="AB3" s="1632"/>
      <c r="AC3" s="1632"/>
      <c r="AD3" s="1633"/>
      <c r="AE3" s="2360" t="s">
        <v>489</v>
      </c>
      <c r="AF3" s="1632"/>
      <c r="AG3" s="1632"/>
      <c r="AH3" s="1632"/>
      <c r="AI3" s="1633"/>
      <c r="AJ3" s="2360" t="s">
        <v>489</v>
      </c>
      <c r="AK3" s="1632"/>
      <c r="AL3" s="1632"/>
      <c r="AM3" s="1632"/>
      <c r="AN3" s="1633"/>
      <c r="AO3" s="2360" t="s">
        <v>489</v>
      </c>
      <c r="AP3" s="1632"/>
      <c r="AQ3" s="1632"/>
      <c r="AR3" s="1632"/>
      <c r="AS3" s="1633"/>
      <c r="AT3" s="2360" t="s">
        <v>489</v>
      </c>
      <c r="AU3" s="1632"/>
      <c r="AV3" s="1632"/>
      <c r="AW3" s="1632"/>
      <c r="AX3" s="1633"/>
      <c r="AY3" s="2360" t="s">
        <v>489</v>
      </c>
      <c r="AZ3" s="1632"/>
      <c r="BA3" s="1632"/>
      <c r="BB3" s="1632"/>
      <c r="BC3" s="1633"/>
      <c r="BD3" s="1791" t="s">
        <v>489</v>
      </c>
      <c r="BE3" s="1792"/>
      <c r="BF3" s="1792"/>
      <c r="BG3" s="1792"/>
      <c r="BH3" s="1793"/>
      <c r="BI3" s="1791" t="s">
        <v>489</v>
      </c>
      <c r="BJ3" s="1792"/>
      <c r="BK3" s="1792"/>
      <c r="BL3" s="1792"/>
      <c r="BM3" s="1793"/>
      <c r="BN3" s="1791" t="s">
        <v>489</v>
      </c>
      <c r="BO3" s="1792"/>
      <c r="BP3" s="1792"/>
      <c r="BQ3" s="1792"/>
      <c r="BR3" s="1793"/>
      <c r="BX3" s="2476" t="s">
        <v>489</v>
      </c>
      <c r="BY3" s="2477"/>
      <c r="BZ3" s="2477"/>
      <c r="CA3" s="2477"/>
      <c r="CB3" s="2478"/>
    </row>
    <row r="4" spans="1:83" ht="18" customHeight="1" x14ac:dyDescent="0.25">
      <c r="A4" s="2363"/>
      <c r="B4" s="2364"/>
      <c r="C4" s="2364"/>
      <c r="D4" s="2364"/>
      <c r="E4" s="2365"/>
      <c r="F4" s="2363"/>
      <c r="G4" s="2364"/>
      <c r="H4" s="2364"/>
      <c r="I4" s="2364"/>
      <c r="J4" s="2365"/>
      <c r="K4" s="2363"/>
      <c r="L4" s="2364"/>
      <c r="M4" s="2364"/>
      <c r="N4" s="2364"/>
      <c r="O4" s="2365"/>
      <c r="P4" s="2363"/>
      <c r="Q4" s="2364"/>
      <c r="R4" s="2364"/>
      <c r="S4" s="2364"/>
      <c r="T4" s="2365"/>
      <c r="U4" s="2363"/>
      <c r="V4" s="2364"/>
      <c r="W4" s="2364"/>
      <c r="X4" s="2364"/>
      <c r="Y4" s="2365"/>
      <c r="Z4" s="2361"/>
      <c r="AA4" s="1635"/>
      <c r="AB4" s="1635"/>
      <c r="AC4" s="1635"/>
      <c r="AD4" s="1636"/>
      <c r="AE4" s="2361"/>
      <c r="AF4" s="1635"/>
      <c r="AG4" s="1635"/>
      <c r="AH4" s="1635"/>
      <c r="AI4" s="1636"/>
      <c r="AJ4" s="2361"/>
      <c r="AK4" s="1635"/>
      <c r="AL4" s="1635"/>
      <c r="AM4" s="1635"/>
      <c r="AN4" s="1636"/>
      <c r="AO4" s="2361"/>
      <c r="AP4" s="1635"/>
      <c r="AQ4" s="1635"/>
      <c r="AR4" s="1635"/>
      <c r="AS4" s="1636"/>
      <c r="AT4" s="2361"/>
      <c r="AU4" s="1635"/>
      <c r="AV4" s="1635"/>
      <c r="AW4" s="1635"/>
      <c r="AX4" s="1636"/>
      <c r="AY4" s="2361"/>
      <c r="AZ4" s="1635"/>
      <c r="BA4" s="1635"/>
      <c r="BB4" s="1635"/>
      <c r="BC4" s="1636"/>
      <c r="BD4" s="2363"/>
      <c r="BE4" s="2364"/>
      <c r="BF4" s="2364"/>
      <c r="BG4" s="2364"/>
      <c r="BH4" s="2365"/>
      <c r="BI4" s="2363"/>
      <c r="BJ4" s="2364"/>
      <c r="BK4" s="2364"/>
      <c r="BL4" s="2364"/>
      <c r="BM4" s="2365"/>
      <c r="BN4" s="2363"/>
      <c r="BO4" s="2364"/>
      <c r="BP4" s="2364"/>
      <c r="BQ4" s="2364"/>
      <c r="BR4" s="2365"/>
      <c r="BX4" s="2611"/>
      <c r="BY4" s="2612"/>
      <c r="BZ4" s="2612"/>
      <c r="CA4" s="2612"/>
      <c r="CB4" s="2613"/>
    </row>
    <row r="5" spans="1:83" ht="6" customHeight="1" x14ac:dyDescent="0.25">
      <c r="A5" s="1794"/>
      <c r="B5" s="1795"/>
      <c r="C5" s="1795"/>
      <c r="D5" s="1795"/>
      <c r="E5" s="1796"/>
      <c r="F5" s="1794"/>
      <c r="G5" s="1795"/>
      <c r="H5" s="1795"/>
      <c r="I5" s="1795"/>
      <c r="J5" s="1796"/>
      <c r="K5" s="1794"/>
      <c r="L5" s="1795"/>
      <c r="M5" s="1795"/>
      <c r="N5" s="1795"/>
      <c r="O5" s="1796"/>
      <c r="P5" s="1794"/>
      <c r="Q5" s="1795"/>
      <c r="R5" s="1795"/>
      <c r="S5" s="1795"/>
      <c r="T5" s="1796"/>
      <c r="U5" s="1794"/>
      <c r="V5" s="1795"/>
      <c r="W5" s="1795"/>
      <c r="X5" s="1795"/>
      <c r="Y5" s="1796"/>
      <c r="Z5" s="2362"/>
      <c r="AA5" s="1638"/>
      <c r="AB5" s="1638"/>
      <c r="AC5" s="1638"/>
      <c r="AD5" s="1639"/>
      <c r="AE5" s="2362"/>
      <c r="AF5" s="1638"/>
      <c r="AG5" s="1638"/>
      <c r="AH5" s="1638"/>
      <c r="AI5" s="1639"/>
      <c r="AJ5" s="2362"/>
      <c r="AK5" s="1638"/>
      <c r="AL5" s="1638"/>
      <c r="AM5" s="1638"/>
      <c r="AN5" s="1639"/>
      <c r="AO5" s="2362"/>
      <c r="AP5" s="1638"/>
      <c r="AQ5" s="1638"/>
      <c r="AR5" s="1638"/>
      <c r="AS5" s="1639"/>
      <c r="AT5" s="2362"/>
      <c r="AU5" s="1638"/>
      <c r="AV5" s="1638"/>
      <c r="AW5" s="1638"/>
      <c r="AX5" s="1639"/>
      <c r="AY5" s="2362"/>
      <c r="AZ5" s="1638"/>
      <c r="BA5" s="1638"/>
      <c r="BB5" s="1638"/>
      <c r="BC5" s="1639"/>
      <c r="BD5" s="1794"/>
      <c r="BE5" s="1795"/>
      <c r="BF5" s="1795"/>
      <c r="BG5" s="1795"/>
      <c r="BH5" s="1796"/>
      <c r="BI5" s="1794"/>
      <c r="BJ5" s="1795"/>
      <c r="BK5" s="1795"/>
      <c r="BL5" s="1795"/>
      <c r="BM5" s="1796"/>
      <c r="BN5" s="1794"/>
      <c r="BO5" s="1795"/>
      <c r="BP5" s="1795"/>
      <c r="BQ5" s="1795"/>
      <c r="BR5" s="1796"/>
      <c r="BX5" s="2479"/>
      <c r="BY5" s="2480"/>
      <c r="BZ5" s="2480"/>
      <c r="CA5" s="2480"/>
      <c r="CB5" s="2481"/>
    </row>
    <row r="6" spans="1:83" s="22" customFormat="1" ht="111.75" customHeight="1" x14ac:dyDescent="1.35">
      <c r="A6" s="639" t="s">
        <v>490</v>
      </c>
      <c r="B6" s="588">
        <v>1</v>
      </c>
      <c r="C6" s="589"/>
      <c r="D6" s="589"/>
      <c r="E6" s="590"/>
      <c r="F6" s="639" t="s">
        <v>490</v>
      </c>
      <c r="G6" s="588">
        <v>30</v>
      </c>
      <c r="H6" s="589"/>
      <c r="I6" s="589"/>
      <c r="J6" s="590"/>
      <c r="K6" s="639" t="s">
        <v>490</v>
      </c>
      <c r="L6" s="588">
        <v>38</v>
      </c>
      <c r="M6" s="589"/>
      <c r="N6" s="589"/>
      <c r="O6" s="590"/>
      <c r="P6" s="639" t="s">
        <v>490</v>
      </c>
      <c r="Q6" s="588">
        <v>39</v>
      </c>
      <c r="R6" s="589"/>
      <c r="S6" s="589"/>
      <c r="T6" s="590"/>
      <c r="U6" s="639" t="s">
        <v>490</v>
      </c>
      <c r="V6" s="588">
        <v>40</v>
      </c>
      <c r="W6" s="589"/>
      <c r="X6" s="589"/>
      <c r="Y6" s="590"/>
      <c r="Z6" s="639" t="s">
        <v>490</v>
      </c>
      <c r="AA6" s="588">
        <v>100</v>
      </c>
      <c r="AB6" s="589"/>
      <c r="AC6" s="589"/>
      <c r="AD6" s="590"/>
      <c r="AE6" s="639" t="s">
        <v>490</v>
      </c>
      <c r="AF6" s="588">
        <v>161</v>
      </c>
      <c r="AG6" s="589"/>
      <c r="AH6" s="589"/>
      <c r="AI6" s="590"/>
      <c r="AJ6" s="639" t="s">
        <v>490</v>
      </c>
      <c r="AK6" s="588">
        <v>162</v>
      </c>
      <c r="AL6" s="589"/>
      <c r="AM6" s="589"/>
      <c r="AN6" s="590"/>
      <c r="AO6" s="639" t="s">
        <v>490</v>
      </c>
      <c r="AP6" s="588">
        <v>163</v>
      </c>
      <c r="AQ6" s="589"/>
      <c r="AR6" s="589"/>
      <c r="AS6" s="590"/>
      <c r="AT6" s="639" t="s">
        <v>490</v>
      </c>
      <c r="AU6" s="588">
        <v>164</v>
      </c>
      <c r="AV6" s="589"/>
      <c r="AW6" s="589"/>
      <c r="AX6" s="590"/>
      <c r="AY6" s="639" t="s">
        <v>490</v>
      </c>
      <c r="AZ6" s="588">
        <v>166</v>
      </c>
      <c r="BA6" s="589"/>
      <c r="BB6" s="589"/>
      <c r="BC6" s="590"/>
      <c r="BD6" s="2614" t="s">
        <v>491</v>
      </c>
      <c r="BE6" s="588">
        <v>12</v>
      </c>
      <c r="BF6" s="589"/>
      <c r="BG6" s="589"/>
      <c r="BH6" s="590"/>
      <c r="BI6" s="2614" t="s">
        <v>491</v>
      </c>
      <c r="BJ6" s="588">
        <v>28</v>
      </c>
      <c r="BK6" s="589"/>
      <c r="BL6" s="589"/>
      <c r="BM6" s="590"/>
      <c r="BN6" s="2614" t="s">
        <v>491</v>
      </c>
      <c r="BO6" s="588">
        <v>44</v>
      </c>
      <c r="BP6" s="589"/>
      <c r="BQ6" s="589"/>
      <c r="BR6" s="590"/>
      <c r="BX6" s="639" t="s">
        <v>490</v>
      </c>
      <c r="BY6" s="694" t="s">
        <v>540</v>
      </c>
      <c r="BZ6" s="695"/>
      <c r="CA6" s="695"/>
      <c r="CB6" s="696"/>
      <c r="CD6" s="22">
        <v>100</v>
      </c>
    </row>
    <row r="7" spans="1:83" ht="50.25" customHeight="1" thickBot="1" x14ac:dyDescent="0.3">
      <c r="A7" s="640"/>
      <c r="B7" s="61">
        <v>2.032</v>
      </c>
      <c r="C7" s="62" t="s">
        <v>113</v>
      </c>
      <c r="D7" s="63"/>
      <c r="E7" s="64" t="s">
        <v>114</v>
      </c>
      <c r="F7" s="640"/>
      <c r="G7" s="61">
        <v>0.27939999999999998</v>
      </c>
      <c r="H7" s="62" t="s">
        <v>113</v>
      </c>
      <c r="I7" s="63">
        <v>1</v>
      </c>
      <c r="J7" s="64" t="s">
        <v>114</v>
      </c>
      <c r="K7" s="640"/>
      <c r="L7" s="61">
        <v>0.152</v>
      </c>
      <c r="M7" s="62" t="s">
        <v>113</v>
      </c>
      <c r="N7" s="63"/>
      <c r="O7" s="64" t="s">
        <v>114</v>
      </c>
      <c r="P7" s="640"/>
      <c r="Q7" s="61">
        <v>0.96499999999999997</v>
      </c>
      <c r="R7" s="62" t="s">
        <v>113</v>
      </c>
      <c r="S7" s="63"/>
      <c r="T7" s="64" t="s">
        <v>114</v>
      </c>
      <c r="U7" s="640"/>
      <c r="V7" s="61">
        <v>1.93</v>
      </c>
      <c r="W7" s="62" t="s">
        <v>113</v>
      </c>
      <c r="X7" s="63">
        <v>1</v>
      </c>
      <c r="Y7" s="64" t="s">
        <v>114</v>
      </c>
      <c r="Z7" s="640"/>
      <c r="AA7" s="61">
        <v>4.4196</v>
      </c>
      <c r="AB7" s="62" t="s">
        <v>113</v>
      </c>
      <c r="AC7" s="63"/>
      <c r="AD7" s="64" t="s">
        <v>114</v>
      </c>
      <c r="AE7" s="640"/>
      <c r="AF7" s="61">
        <v>1E-8</v>
      </c>
      <c r="AG7" s="62" t="s">
        <v>113</v>
      </c>
      <c r="AH7" s="63"/>
      <c r="AI7" s="64" t="s">
        <v>114</v>
      </c>
      <c r="AJ7" s="640"/>
      <c r="AK7" s="61">
        <v>9.9999999999999995E-7</v>
      </c>
      <c r="AL7" s="62" t="s">
        <v>113</v>
      </c>
      <c r="AM7" s="63"/>
      <c r="AN7" s="64" t="s">
        <v>114</v>
      </c>
      <c r="AO7" s="640"/>
      <c r="AP7" s="61">
        <v>1.0000000000000001E-9</v>
      </c>
      <c r="AQ7" s="62" t="s">
        <v>113</v>
      </c>
      <c r="AR7" s="63">
        <v>1</v>
      </c>
      <c r="AS7" s="64" t="s">
        <v>114</v>
      </c>
      <c r="AT7" s="640"/>
      <c r="AU7" s="61">
        <v>9.9999999999999994E-12</v>
      </c>
      <c r="AV7" s="62" t="s">
        <v>113</v>
      </c>
      <c r="AW7" s="63"/>
      <c r="AX7" s="64" t="s">
        <v>114</v>
      </c>
      <c r="AY7" s="640"/>
      <c r="AZ7" s="61">
        <v>0.30480000000000002</v>
      </c>
      <c r="BA7" s="62" t="s">
        <v>113</v>
      </c>
      <c r="BB7" s="63"/>
      <c r="BC7" s="64" t="s">
        <v>114</v>
      </c>
      <c r="BD7" s="2615"/>
      <c r="BE7" s="61">
        <v>2.0828000000000002</v>
      </c>
      <c r="BF7" s="62" t="s">
        <v>113</v>
      </c>
      <c r="BG7" s="63"/>
      <c r="BH7" s="64" t="s">
        <v>114</v>
      </c>
      <c r="BI7" s="2615"/>
      <c r="BJ7" s="61">
        <v>1.4224000000000001</v>
      </c>
      <c r="BK7" s="62" t="s">
        <v>113</v>
      </c>
      <c r="BL7" s="63"/>
      <c r="BM7" s="64" t="s">
        <v>114</v>
      </c>
      <c r="BN7" s="2615"/>
      <c r="BO7" s="61">
        <v>9.9999999999999994E-12</v>
      </c>
      <c r="BP7" s="62" t="s">
        <v>113</v>
      </c>
      <c r="BQ7" s="63"/>
      <c r="BR7" s="64" t="s">
        <v>114</v>
      </c>
      <c r="BW7" s="27"/>
      <c r="BX7" s="640"/>
      <c r="BY7" s="334">
        <v>4.4196</v>
      </c>
      <c r="BZ7" s="335" t="s">
        <v>113</v>
      </c>
      <c r="CA7" s="336"/>
      <c r="CB7" s="337" t="s">
        <v>114</v>
      </c>
      <c r="CC7" s="27"/>
      <c r="CD7" s="27"/>
      <c r="CE7" s="27"/>
    </row>
    <row r="8" spans="1:83" ht="44.25" customHeight="1" thickTop="1" x14ac:dyDescent="0.25">
      <c r="A8" s="2616" t="s">
        <v>110</v>
      </c>
      <c r="B8" s="2617"/>
      <c r="C8" s="2618">
        <f t="shared" ref="C8" si="11">B13/((66*3.1415/64)*(40/3.281))</f>
        <v>2.5318922151645375E-12</v>
      </c>
      <c r="D8" s="2618"/>
      <c r="E8" s="2619"/>
      <c r="F8" s="2616" t="s">
        <v>110</v>
      </c>
      <c r="G8" s="2617"/>
      <c r="H8" s="2618">
        <f t="shared" ref="H8" si="12">G13/((66*3.1415/64)*(40/3.281))</f>
        <v>2.5318922151645374E-14</v>
      </c>
      <c r="I8" s="2618"/>
      <c r="J8" s="2619"/>
      <c r="K8" s="2616" t="s">
        <v>110</v>
      </c>
      <c r="L8" s="2617"/>
      <c r="M8" s="2618">
        <f t="shared" ref="M8" si="13">L13/((66*3.1415/64)*(40/3.281))</f>
        <v>1.6720616188946606E-2</v>
      </c>
      <c r="N8" s="2618"/>
      <c r="O8" s="2619"/>
      <c r="P8" s="2616" t="s">
        <v>110</v>
      </c>
      <c r="Q8" s="2617"/>
      <c r="R8" s="2618">
        <f t="shared" ref="R8" si="14">Q13/((66*3.1415/64)*(40/3.281))</f>
        <v>2.5318922151645377E-15</v>
      </c>
      <c r="S8" s="2618"/>
      <c r="T8" s="2619"/>
      <c r="U8" s="2616" t="s">
        <v>110</v>
      </c>
      <c r="V8" s="2617"/>
      <c r="W8" s="2618">
        <f t="shared" ref="W8" si="15">V13/((66*3.1415/64)*(40/3.281))</f>
        <v>3.0868829887286044E-2</v>
      </c>
      <c r="X8" s="2618"/>
      <c r="Y8" s="2619"/>
      <c r="Z8" s="2616" t="s">
        <v>110</v>
      </c>
      <c r="AA8" s="2617"/>
      <c r="AB8" s="2618">
        <f t="shared" ref="AB8" si="16">AA13/((66*3.1415/64)*(40/3.281))</f>
        <v>7.2027269737000771E-2</v>
      </c>
      <c r="AC8" s="2618"/>
      <c r="AD8" s="2619"/>
      <c r="AE8" s="2616" t="s">
        <v>110</v>
      </c>
      <c r="AF8" s="2617"/>
      <c r="AG8" s="2618">
        <f t="shared" ref="AG8" si="17">AF13/((66*3.1415/64)*(40/3.281))</f>
        <v>4.437394296297368E-2</v>
      </c>
      <c r="AH8" s="2618"/>
      <c r="AI8" s="2619"/>
      <c r="AJ8" s="2616" t="s">
        <v>110</v>
      </c>
      <c r="AK8" s="2617"/>
      <c r="AL8" s="2618">
        <f t="shared" ref="AL8" si="18">AK13/((66*3.1415/64)*(40/3.281))</f>
        <v>5.14480498121434E-3</v>
      </c>
      <c r="AM8" s="2618"/>
      <c r="AN8" s="2619"/>
      <c r="AO8" s="2616" t="s">
        <v>110</v>
      </c>
      <c r="AP8" s="2617"/>
      <c r="AQ8" s="2618">
        <f t="shared" ref="AQ8" si="19">AP13/((66*3.1415/64)*(40/3.281))</f>
        <v>1.3505113075687643E-2</v>
      </c>
      <c r="AR8" s="2618"/>
      <c r="AS8" s="2619"/>
      <c r="AT8" s="2616" t="s">
        <v>110</v>
      </c>
      <c r="AU8" s="2617"/>
      <c r="AV8" s="2618">
        <f t="shared" ref="AV8" si="20">AU13/((66*3.1415/64)*(40/3.281))</f>
        <v>4.5017043585625482E-3</v>
      </c>
      <c r="AW8" s="2618"/>
      <c r="AX8" s="2619"/>
      <c r="AY8" s="2370" t="s">
        <v>110</v>
      </c>
      <c r="AZ8" s="2371"/>
      <c r="BA8" s="2372">
        <f>AZ13/((66*3.1415/64)*(45/3.281))</f>
        <v>0.13480919438964961</v>
      </c>
      <c r="BB8" s="2372"/>
      <c r="BC8" s="2404"/>
      <c r="BD8" s="2370" t="s">
        <v>110</v>
      </c>
      <c r="BE8" s="2371"/>
      <c r="BF8" s="2372">
        <f>BE13/((66*3.1415/64)*(45/3.281))</f>
        <v>6.8417354080890606E-3</v>
      </c>
      <c r="BG8" s="2372"/>
      <c r="BH8" s="2404"/>
      <c r="BI8" s="2370" t="s">
        <v>110</v>
      </c>
      <c r="BJ8" s="2371"/>
      <c r="BK8" s="2372">
        <f>BJ13/((66*3.1415/64)*(45/3.281))</f>
        <v>1.4291124947817611E-2</v>
      </c>
      <c r="BL8" s="2372"/>
      <c r="BM8" s="2404"/>
      <c r="BN8" s="2370" t="s">
        <v>110</v>
      </c>
      <c r="BO8" s="2371"/>
      <c r="BP8" s="2372">
        <f>BO13/((66*3.1415/64)*(45/3.281))</f>
        <v>2.2505708579240334E-10</v>
      </c>
      <c r="BQ8" s="2372"/>
      <c r="BR8" s="2404"/>
    </row>
    <row r="9" spans="1:83" ht="6.75" customHeight="1" x14ac:dyDescent="0.25">
      <c r="A9" s="1791" t="s">
        <v>489</v>
      </c>
      <c r="B9" s="1792"/>
      <c r="C9" s="1792"/>
      <c r="D9" s="1792"/>
      <c r="E9" s="1793"/>
      <c r="F9" s="1791" t="s">
        <v>489</v>
      </c>
      <c r="G9" s="1792"/>
      <c r="H9" s="1792"/>
      <c r="I9" s="1792"/>
      <c r="J9" s="1793"/>
      <c r="K9" s="2360" t="s">
        <v>489</v>
      </c>
      <c r="L9" s="1632"/>
      <c r="M9" s="1632"/>
      <c r="N9" s="1632"/>
      <c r="O9" s="1633"/>
      <c r="P9" s="2360" t="s">
        <v>489</v>
      </c>
      <c r="Q9" s="1632"/>
      <c r="R9" s="1632"/>
      <c r="S9" s="1632"/>
      <c r="T9" s="1633"/>
      <c r="U9" s="2360" t="s">
        <v>489</v>
      </c>
      <c r="V9" s="1632"/>
      <c r="W9" s="1632"/>
      <c r="X9" s="1632"/>
      <c r="Y9" s="1633"/>
      <c r="Z9" s="2360" t="s">
        <v>489</v>
      </c>
      <c r="AA9" s="1632"/>
      <c r="AB9" s="1632"/>
      <c r="AC9" s="1632"/>
      <c r="AD9" s="1633"/>
      <c r="AE9" s="2360" t="s">
        <v>489</v>
      </c>
      <c r="AF9" s="1632"/>
      <c r="AG9" s="1632"/>
      <c r="AH9" s="1632"/>
      <c r="AI9" s="1633"/>
      <c r="AJ9" s="2360" t="s">
        <v>489</v>
      </c>
      <c r="AK9" s="1632"/>
      <c r="AL9" s="1632"/>
      <c r="AM9" s="1632"/>
      <c r="AN9" s="1633"/>
      <c r="AO9" s="2360" t="s">
        <v>489</v>
      </c>
      <c r="AP9" s="1632"/>
      <c r="AQ9" s="1632"/>
      <c r="AR9" s="1632"/>
      <c r="AS9" s="1633"/>
      <c r="AT9" s="2360" t="s">
        <v>489</v>
      </c>
      <c r="AU9" s="1632"/>
      <c r="AV9" s="1632"/>
      <c r="AW9" s="1632"/>
      <c r="AX9" s="1633"/>
      <c r="AY9" s="1791" t="s">
        <v>489</v>
      </c>
      <c r="AZ9" s="1792"/>
      <c r="BA9" s="1792"/>
      <c r="BB9" s="1792"/>
      <c r="BC9" s="1793"/>
      <c r="BD9" s="1791" t="s">
        <v>489</v>
      </c>
      <c r="BE9" s="1792"/>
      <c r="BF9" s="1792"/>
      <c r="BG9" s="1792"/>
      <c r="BH9" s="1793"/>
      <c r="BI9" s="1791" t="s">
        <v>489</v>
      </c>
      <c r="BJ9" s="1792"/>
      <c r="BK9" s="1792"/>
      <c r="BL9" s="1792"/>
      <c r="BM9" s="1793"/>
      <c r="BN9" s="1791" t="s">
        <v>489</v>
      </c>
      <c r="BO9" s="1792"/>
      <c r="BP9" s="1792"/>
      <c r="BQ9" s="1792"/>
      <c r="BR9" s="1793"/>
    </row>
    <row r="10" spans="1:83" ht="15.75" customHeight="1" x14ac:dyDescent="0.25">
      <c r="A10" s="2363"/>
      <c r="B10" s="2364"/>
      <c r="C10" s="2364"/>
      <c r="D10" s="2364"/>
      <c r="E10" s="2365"/>
      <c r="F10" s="2363"/>
      <c r="G10" s="2364"/>
      <c r="H10" s="2364"/>
      <c r="I10" s="2364"/>
      <c r="J10" s="2365"/>
      <c r="K10" s="2361"/>
      <c r="L10" s="1635"/>
      <c r="M10" s="1635"/>
      <c r="N10" s="1635"/>
      <c r="O10" s="1636"/>
      <c r="P10" s="2361"/>
      <c r="Q10" s="1635"/>
      <c r="R10" s="1635"/>
      <c r="S10" s="1635"/>
      <c r="T10" s="1636"/>
      <c r="U10" s="2361"/>
      <c r="V10" s="1635"/>
      <c r="W10" s="1635"/>
      <c r="X10" s="1635"/>
      <c r="Y10" s="1636"/>
      <c r="Z10" s="2361"/>
      <c r="AA10" s="1635"/>
      <c r="AB10" s="1635"/>
      <c r="AC10" s="1635"/>
      <c r="AD10" s="1636"/>
      <c r="AE10" s="2361"/>
      <c r="AF10" s="1635"/>
      <c r="AG10" s="1635"/>
      <c r="AH10" s="1635"/>
      <c r="AI10" s="1636"/>
      <c r="AJ10" s="2361"/>
      <c r="AK10" s="1635"/>
      <c r="AL10" s="1635"/>
      <c r="AM10" s="1635"/>
      <c r="AN10" s="1636"/>
      <c r="AO10" s="2361"/>
      <c r="AP10" s="1635"/>
      <c r="AQ10" s="1635"/>
      <c r="AR10" s="1635"/>
      <c r="AS10" s="1636"/>
      <c r="AT10" s="2361"/>
      <c r="AU10" s="1635"/>
      <c r="AV10" s="1635"/>
      <c r="AW10" s="1635"/>
      <c r="AX10" s="1636"/>
      <c r="AY10" s="2363"/>
      <c r="AZ10" s="2364"/>
      <c r="BA10" s="2364"/>
      <c r="BB10" s="2364"/>
      <c r="BC10" s="2365"/>
      <c r="BD10" s="2363"/>
      <c r="BE10" s="2364"/>
      <c r="BF10" s="2364"/>
      <c r="BG10" s="2364"/>
      <c r="BH10" s="2365"/>
      <c r="BI10" s="2363"/>
      <c r="BJ10" s="2364"/>
      <c r="BK10" s="2364"/>
      <c r="BL10" s="2364"/>
      <c r="BM10" s="2365"/>
      <c r="BN10" s="2363"/>
      <c r="BO10" s="2364"/>
      <c r="BP10" s="2364"/>
      <c r="BQ10" s="2364"/>
      <c r="BR10" s="2365"/>
    </row>
    <row r="11" spans="1:83" ht="6" customHeight="1" x14ac:dyDescent="0.25">
      <c r="A11" s="1794"/>
      <c r="B11" s="1795"/>
      <c r="C11" s="1795"/>
      <c r="D11" s="1795"/>
      <c r="E11" s="1796"/>
      <c r="F11" s="1794"/>
      <c r="G11" s="1795"/>
      <c r="H11" s="1795"/>
      <c r="I11" s="1795"/>
      <c r="J11" s="1796"/>
      <c r="K11" s="2362"/>
      <c r="L11" s="1638"/>
      <c r="M11" s="1638"/>
      <c r="N11" s="1638"/>
      <c r="O11" s="1639"/>
      <c r="P11" s="2362"/>
      <c r="Q11" s="1638"/>
      <c r="R11" s="1638"/>
      <c r="S11" s="1638"/>
      <c r="T11" s="1639"/>
      <c r="U11" s="2362"/>
      <c r="V11" s="1638"/>
      <c r="W11" s="1638"/>
      <c r="X11" s="1638"/>
      <c r="Y11" s="1639"/>
      <c r="Z11" s="2362"/>
      <c r="AA11" s="1638"/>
      <c r="AB11" s="1638"/>
      <c r="AC11" s="1638"/>
      <c r="AD11" s="1639"/>
      <c r="AE11" s="2362"/>
      <c r="AF11" s="1638"/>
      <c r="AG11" s="1638"/>
      <c r="AH11" s="1638"/>
      <c r="AI11" s="1639"/>
      <c r="AJ11" s="2362"/>
      <c r="AK11" s="1638"/>
      <c r="AL11" s="1638"/>
      <c r="AM11" s="1638"/>
      <c r="AN11" s="1639"/>
      <c r="AO11" s="2362"/>
      <c r="AP11" s="1638"/>
      <c r="AQ11" s="1638"/>
      <c r="AR11" s="1638"/>
      <c r="AS11" s="1639"/>
      <c r="AT11" s="2362"/>
      <c r="AU11" s="1638"/>
      <c r="AV11" s="1638"/>
      <c r="AW11" s="1638"/>
      <c r="AX11" s="1639"/>
      <c r="AY11" s="1794"/>
      <c r="AZ11" s="1795"/>
      <c r="BA11" s="1795"/>
      <c r="BB11" s="1795"/>
      <c r="BC11" s="1796"/>
      <c r="BD11" s="1794"/>
      <c r="BE11" s="1795"/>
      <c r="BF11" s="1795"/>
      <c r="BG11" s="1795"/>
      <c r="BH11" s="1796"/>
      <c r="BI11" s="1794"/>
      <c r="BJ11" s="1795"/>
      <c r="BK11" s="1795"/>
      <c r="BL11" s="1795"/>
      <c r="BM11" s="1796"/>
      <c r="BN11" s="1794"/>
      <c r="BO11" s="1795"/>
      <c r="BP11" s="1795"/>
      <c r="BQ11" s="1795"/>
      <c r="BR11" s="1796"/>
    </row>
    <row r="12" spans="1:83" s="22" customFormat="1" ht="111.75" customHeight="1" x14ac:dyDescent="1.35">
      <c r="A12" s="2614" t="s">
        <v>491</v>
      </c>
      <c r="B12" s="588">
        <v>55</v>
      </c>
      <c r="C12" s="589"/>
      <c r="D12" s="589"/>
      <c r="E12" s="590"/>
      <c r="F12" s="2614" t="s">
        <v>491</v>
      </c>
      <c r="G12" s="588">
        <v>57</v>
      </c>
      <c r="H12" s="589"/>
      <c r="I12" s="589"/>
      <c r="J12" s="590"/>
      <c r="K12" s="2614" t="s">
        <v>491</v>
      </c>
      <c r="L12" s="588">
        <v>126</v>
      </c>
      <c r="M12" s="589"/>
      <c r="N12" s="589"/>
      <c r="O12" s="590"/>
      <c r="P12" s="2614" t="s">
        <v>491</v>
      </c>
      <c r="Q12" s="588">
        <v>155</v>
      </c>
      <c r="R12" s="589"/>
      <c r="S12" s="589"/>
      <c r="T12" s="590"/>
      <c r="U12" s="2614" t="s">
        <v>491</v>
      </c>
      <c r="V12" s="588">
        <v>156</v>
      </c>
      <c r="W12" s="589"/>
      <c r="X12" s="589"/>
      <c r="Y12" s="590"/>
      <c r="Z12" s="2614" t="s">
        <v>491</v>
      </c>
      <c r="AA12" s="588">
        <v>157</v>
      </c>
      <c r="AB12" s="589"/>
      <c r="AC12" s="589"/>
      <c r="AD12" s="590"/>
      <c r="AE12" s="2614" t="s">
        <v>491</v>
      </c>
      <c r="AF12" s="588">
        <v>158</v>
      </c>
      <c r="AG12" s="589"/>
      <c r="AH12" s="589"/>
      <c r="AI12" s="590"/>
      <c r="AJ12" s="2614" t="s">
        <v>491</v>
      </c>
      <c r="AK12" s="588">
        <v>159</v>
      </c>
      <c r="AL12" s="589"/>
      <c r="AM12" s="589"/>
      <c r="AN12" s="590"/>
      <c r="AO12" s="2614" t="s">
        <v>491</v>
      </c>
      <c r="AP12" s="588">
        <v>160</v>
      </c>
      <c r="AQ12" s="589"/>
      <c r="AR12" s="589"/>
      <c r="AS12" s="590"/>
      <c r="AT12" s="2614" t="s">
        <v>491</v>
      </c>
      <c r="AU12" s="2622">
        <v>208</v>
      </c>
      <c r="AV12" s="2623"/>
      <c r="AW12" s="2623"/>
      <c r="AX12" s="2624"/>
      <c r="AY12" s="2356" t="s">
        <v>133</v>
      </c>
      <c r="AZ12" s="588">
        <v>31</v>
      </c>
      <c r="BA12" s="589"/>
      <c r="BB12" s="589"/>
      <c r="BC12" s="590"/>
      <c r="BD12" s="2356" t="s">
        <v>133</v>
      </c>
      <c r="BE12" s="588">
        <v>34</v>
      </c>
      <c r="BF12" s="589"/>
      <c r="BG12" s="589"/>
      <c r="BH12" s="590"/>
      <c r="BI12" s="2356" t="s">
        <v>133</v>
      </c>
      <c r="BJ12" s="588">
        <v>35</v>
      </c>
      <c r="BK12" s="589"/>
      <c r="BL12" s="589"/>
      <c r="BM12" s="590"/>
      <c r="BN12" s="2356" t="s">
        <v>133</v>
      </c>
      <c r="BO12" s="588">
        <v>36</v>
      </c>
      <c r="BP12" s="589"/>
      <c r="BQ12" s="589"/>
      <c r="BR12" s="590"/>
    </row>
    <row r="13" spans="1:83" ht="50.25" customHeight="1" thickBot="1" x14ac:dyDescent="0.3">
      <c r="A13" s="2615"/>
      <c r="B13" s="61">
        <v>1E-10</v>
      </c>
      <c r="C13" s="62" t="s">
        <v>113</v>
      </c>
      <c r="D13" s="63"/>
      <c r="E13" s="64" t="s">
        <v>114</v>
      </c>
      <c r="F13" s="2615"/>
      <c r="G13" s="61">
        <v>9.9999999999999998E-13</v>
      </c>
      <c r="H13" s="62" t="s">
        <v>113</v>
      </c>
      <c r="I13" s="63">
        <v>1</v>
      </c>
      <c r="J13" s="64" t="s">
        <v>114</v>
      </c>
      <c r="K13" s="2615"/>
      <c r="L13" s="61">
        <v>0.66039999999999999</v>
      </c>
      <c r="M13" s="62" t="s">
        <v>113</v>
      </c>
      <c r="N13" s="63"/>
      <c r="O13" s="64" t="s">
        <v>114</v>
      </c>
      <c r="P13" s="2615"/>
      <c r="Q13" s="61">
        <v>1E-13</v>
      </c>
      <c r="R13" s="62" t="s">
        <v>113</v>
      </c>
      <c r="S13" s="63"/>
      <c r="T13" s="64" t="s">
        <v>114</v>
      </c>
      <c r="U13" s="2615"/>
      <c r="V13" s="61">
        <v>1.2192000000000001</v>
      </c>
      <c r="W13" s="62" t="s">
        <v>113</v>
      </c>
      <c r="X13" s="63"/>
      <c r="Y13" s="64" t="s">
        <v>114</v>
      </c>
      <c r="Z13" s="2615"/>
      <c r="AA13" s="61">
        <v>2.8448000000000002</v>
      </c>
      <c r="AB13" s="62" t="s">
        <v>113</v>
      </c>
      <c r="AC13" s="63">
        <v>1</v>
      </c>
      <c r="AD13" s="64" t="s">
        <v>114</v>
      </c>
      <c r="AE13" s="2615"/>
      <c r="AF13" s="61">
        <v>1.7525999999999999</v>
      </c>
      <c r="AG13" s="62" t="s">
        <v>113</v>
      </c>
      <c r="AH13" s="63"/>
      <c r="AI13" s="64" t="s">
        <v>114</v>
      </c>
      <c r="AJ13" s="2615"/>
      <c r="AK13" s="61">
        <v>0.20319999999999999</v>
      </c>
      <c r="AL13" s="62" t="s">
        <v>113</v>
      </c>
      <c r="AM13" s="63"/>
      <c r="AN13" s="64" t="s">
        <v>114</v>
      </c>
      <c r="AO13" s="2615"/>
      <c r="AP13" s="61">
        <v>0.53339999999999999</v>
      </c>
      <c r="AQ13" s="62" t="s">
        <v>113</v>
      </c>
      <c r="AR13" s="63"/>
      <c r="AS13" s="64" t="s">
        <v>114</v>
      </c>
      <c r="AT13" s="2615"/>
      <c r="AU13" s="61">
        <v>0.17780000000000001</v>
      </c>
      <c r="AV13" s="62" t="s">
        <v>113</v>
      </c>
      <c r="AW13" s="63"/>
      <c r="AX13" s="64" t="s">
        <v>114</v>
      </c>
      <c r="AY13" s="2357"/>
      <c r="AZ13" s="61">
        <v>5.99</v>
      </c>
      <c r="BA13" s="62" t="s">
        <v>113</v>
      </c>
      <c r="BB13" s="63"/>
      <c r="BC13" s="64" t="s">
        <v>114</v>
      </c>
      <c r="BD13" s="2357"/>
      <c r="BE13" s="61">
        <v>0.30399999999999999</v>
      </c>
      <c r="BF13" s="62" t="s">
        <v>113</v>
      </c>
      <c r="BG13" s="63"/>
      <c r="BH13" s="64" t="s">
        <v>114</v>
      </c>
      <c r="BI13" s="2357"/>
      <c r="BJ13" s="61">
        <v>0.63500000000000001</v>
      </c>
      <c r="BK13" s="62" t="s">
        <v>113</v>
      </c>
      <c r="BL13" s="63">
        <v>1</v>
      </c>
      <c r="BM13" s="64" t="s">
        <v>114</v>
      </c>
      <c r="BN13" s="2357"/>
      <c r="BO13" s="61">
        <v>1E-8</v>
      </c>
      <c r="BP13" s="62" t="s">
        <v>113</v>
      </c>
      <c r="BQ13" s="63"/>
      <c r="BR13" s="64" t="s">
        <v>114</v>
      </c>
      <c r="BW13" s="27"/>
      <c r="BX13" s="27"/>
      <c r="BY13" s="27"/>
      <c r="BZ13" s="27"/>
      <c r="CA13" s="27"/>
      <c r="CB13" s="27"/>
      <c r="CC13" s="27"/>
      <c r="CD13" s="27"/>
      <c r="CE13" s="27"/>
    </row>
    <row r="14" spans="1:83" ht="42.75" customHeight="1" thickTop="1" x14ac:dyDescent="0.25">
      <c r="A14" s="2370" t="s">
        <v>110</v>
      </c>
      <c r="B14" s="2371"/>
      <c r="C14" s="2372">
        <f t="shared" ref="C14" si="21">B19/((66*3.1415/64)*(45/3.281))</f>
        <v>2.2505708579240335E-11</v>
      </c>
      <c r="D14" s="2372"/>
      <c r="E14" s="2404"/>
      <c r="F14" s="2370" t="s">
        <v>110</v>
      </c>
      <c r="G14" s="2371"/>
      <c r="H14" s="2372">
        <f t="shared" ref="H14" si="22">G19/((66*3.1415/64)*(45/3.281))</f>
        <v>9.1373176831715756E-3</v>
      </c>
      <c r="I14" s="2372"/>
      <c r="J14" s="2404"/>
      <c r="K14" s="2370" t="s">
        <v>110</v>
      </c>
      <c r="L14" s="2371"/>
      <c r="M14" s="2372">
        <f t="shared" ref="M14" si="23">L19/((66*3.1415/64)*(45/3.281))</f>
        <v>2.2505708579240335E-11</v>
      </c>
      <c r="N14" s="2372"/>
      <c r="O14" s="2404"/>
      <c r="P14" s="2370" t="s">
        <v>110</v>
      </c>
      <c r="Q14" s="2371"/>
      <c r="R14" s="2372">
        <f t="shared" ref="R14" si="24">Q19/((66*3.1415/64)*(45/3.281))</f>
        <v>2.2505708579240332E-13</v>
      </c>
      <c r="S14" s="2372"/>
      <c r="T14" s="2404"/>
      <c r="U14" s="2370" t="s">
        <v>110</v>
      </c>
      <c r="V14" s="2371"/>
      <c r="W14" s="2372">
        <f t="shared" ref="W14" si="25">V19/((66*3.1415/64)*(45/3.281))</f>
        <v>2.3991085345470196E-2</v>
      </c>
      <c r="X14" s="2372"/>
      <c r="Y14" s="2404"/>
      <c r="Z14" s="2370" t="s">
        <v>110</v>
      </c>
      <c r="AA14" s="2371"/>
      <c r="AB14" s="2372">
        <f t="shared" ref="AB14" si="26">AA19/((66*3.1415/64)*(45/3.281))</f>
        <v>2.2505708579240332E-13</v>
      </c>
      <c r="AC14" s="2372"/>
      <c r="AD14" s="2404"/>
      <c r="AE14" s="2370" t="s">
        <v>110</v>
      </c>
      <c r="AF14" s="2371"/>
      <c r="AG14" s="2372">
        <f t="shared" ref="AG14" si="27">AF19/((66*3.1415/64)*(45/3.281))</f>
        <v>2.2505708579240333E-14</v>
      </c>
      <c r="AH14" s="2372"/>
      <c r="AI14" s="2404"/>
      <c r="AJ14" s="2370" t="s">
        <v>110</v>
      </c>
      <c r="AK14" s="2371"/>
      <c r="AL14" s="2372">
        <f t="shared" ref="AL14" si="28">AK19/((66*3.1415/64)*(45/3.281))</f>
        <v>2.2505708579240334E-17</v>
      </c>
      <c r="AM14" s="2372"/>
      <c r="AN14" s="2404"/>
      <c r="AO14" s="2370" t="s">
        <v>110</v>
      </c>
      <c r="AP14" s="2371"/>
      <c r="AQ14" s="2372">
        <f t="shared" ref="AQ14" si="29">AP19/((66*3.1415/64)*(45/3.281))</f>
        <v>2.2505708579240333E-15</v>
      </c>
      <c r="AR14" s="2372"/>
      <c r="AS14" s="2404"/>
      <c r="AT14" s="2370" t="s">
        <v>110</v>
      </c>
      <c r="AU14" s="2371"/>
      <c r="AV14" s="2372">
        <f t="shared" ref="AV14" si="30">AU19/((66*3.1415/64)*(45/3.281))</f>
        <v>2.2505708579240334E-10</v>
      </c>
      <c r="AW14" s="2372"/>
      <c r="AX14" s="2404"/>
      <c r="AY14" s="2370" t="s">
        <v>110</v>
      </c>
      <c r="AZ14" s="2371"/>
      <c r="BA14" s="2372">
        <f t="shared" ref="BA14" si="31">AZ19/((66*3.1415/64)*(45/3.281))</f>
        <v>2.2505708579240335E-12</v>
      </c>
      <c r="BB14" s="2372"/>
      <c r="BC14" s="2404"/>
      <c r="BD14" s="2370" t="s">
        <v>110</v>
      </c>
      <c r="BE14" s="2371"/>
      <c r="BF14" s="2372">
        <f t="shared" ref="BF14" si="32">BE19/((66*3.1415/64)*(45/3.281))</f>
        <v>2.2505708579240335E-11</v>
      </c>
      <c r="BG14" s="2372"/>
      <c r="BH14" s="2404"/>
      <c r="BI14" s="2370" t="s">
        <v>110</v>
      </c>
      <c r="BJ14" s="2371"/>
      <c r="BK14" s="2372">
        <f t="shared" ref="BK14" si="33">BJ19/((66*3.1415/64)*(45/3.281))</f>
        <v>2.2505708579240335E-11</v>
      </c>
      <c r="BL14" s="2372"/>
      <c r="BM14" s="2404"/>
      <c r="BN14" s="2370" t="s">
        <v>110</v>
      </c>
      <c r="BO14" s="2371"/>
      <c r="BP14" s="2372">
        <f t="shared" ref="BP14" si="34">BO19/((66*3.1415/64)*(45/3.281))</f>
        <v>2.2505708579240332E-9</v>
      </c>
      <c r="BQ14" s="2372"/>
      <c r="BR14" s="2404"/>
    </row>
    <row r="15" spans="1:83" ht="10.5" customHeight="1" x14ac:dyDescent="0.25">
      <c r="A15" s="1791" t="s">
        <v>489</v>
      </c>
      <c r="B15" s="1792"/>
      <c r="C15" s="1792"/>
      <c r="D15" s="1792"/>
      <c r="E15" s="1793"/>
      <c r="F15" s="1791" t="s">
        <v>489</v>
      </c>
      <c r="G15" s="1792"/>
      <c r="H15" s="1792"/>
      <c r="I15" s="1792"/>
      <c r="J15" s="1793"/>
      <c r="K15" s="1791" t="s">
        <v>489</v>
      </c>
      <c r="L15" s="1792"/>
      <c r="M15" s="1792"/>
      <c r="N15" s="1792"/>
      <c r="O15" s="1793"/>
      <c r="P15" s="1791" t="s">
        <v>489</v>
      </c>
      <c r="Q15" s="1792"/>
      <c r="R15" s="1792"/>
      <c r="S15" s="1792"/>
      <c r="T15" s="1793"/>
      <c r="U15" s="1791" t="s">
        <v>489</v>
      </c>
      <c r="V15" s="1792"/>
      <c r="W15" s="1792"/>
      <c r="X15" s="1792"/>
      <c r="Y15" s="1793"/>
      <c r="Z15" s="1791" t="s">
        <v>489</v>
      </c>
      <c r="AA15" s="1792"/>
      <c r="AB15" s="1792"/>
      <c r="AC15" s="1792"/>
      <c r="AD15" s="1793"/>
      <c r="AE15" s="1791" t="s">
        <v>489</v>
      </c>
      <c r="AF15" s="1792"/>
      <c r="AG15" s="1792"/>
      <c r="AH15" s="1792"/>
      <c r="AI15" s="1793"/>
      <c r="AJ15" s="1791" t="s">
        <v>489</v>
      </c>
      <c r="AK15" s="1792"/>
      <c r="AL15" s="1792"/>
      <c r="AM15" s="1792"/>
      <c r="AN15" s="1793"/>
      <c r="AO15" s="1791" t="s">
        <v>489</v>
      </c>
      <c r="AP15" s="1792"/>
      <c r="AQ15" s="1792"/>
      <c r="AR15" s="1792"/>
      <c r="AS15" s="1793"/>
      <c r="AT15" s="1791" t="s">
        <v>489</v>
      </c>
      <c r="AU15" s="1792"/>
      <c r="AV15" s="1792"/>
      <c r="AW15" s="1792"/>
      <c r="AX15" s="1793"/>
      <c r="AY15" s="1791" t="s">
        <v>489</v>
      </c>
      <c r="AZ15" s="1792"/>
      <c r="BA15" s="1792"/>
      <c r="BB15" s="1792"/>
      <c r="BC15" s="1793"/>
      <c r="BD15" s="1791" t="s">
        <v>489</v>
      </c>
      <c r="BE15" s="1792"/>
      <c r="BF15" s="1792"/>
      <c r="BG15" s="1792"/>
      <c r="BH15" s="1793"/>
      <c r="BI15" s="1791" t="s">
        <v>489</v>
      </c>
      <c r="BJ15" s="1792"/>
      <c r="BK15" s="1792"/>
      <c r="BL15" s="1792"/>
      <c r="BM15" s="1793"/>
      <c r="BN15" s="1791" t="s">
        <v>489</v>
      </c>
      <c r="BO15" s="1792"/>
      <c r="BP15" s="1792"/>
      <c r="BQ15" s="1792"/>
      <c r="BR15" s="1793"/>
    </row>
    <row r="16" spans="1:83" ht="12" customHeight="1" x14ac:dyDescent="0.25">
      <c r="A16" s="2363"/>
      <c r="B16" s="2364"/>
      <c r="C16" s="2364"/>
      <c r="D16" s="2364"/>
      <c r="E16" s="2365"/>
      <c r="F16" s="2363"/>
      <c r="G16" s="2364"/>
      <c r="H16" s="2364"/>
      <c r="I16" s="2364"/>
      <c r="J16" s="2365"/>
      <c r="K16" s="2363"/>
      <c r="L16" s="2364"/>
      <c r="M16" s="2364"/>
      <c r="N16" s="2364"/>
      <c r="O16" s="2365"/>
      <c r="P16" s="2363"/>
      <c r="Q16" s="2364"/>
      <c r="R16" s="2364"/>
      <c r="S16" s="2364"/>
      <c r="T16" s="2365"/>
      <c r="U16" s="2363"/>
      <c r="V16" s="2364"/>
      <c r="W16" s="2364"/>
      <c r="X16" s="2364"/>
      <c r="Y16" s="2365"/>
      <c r="Z16" s="2363"/>
      <c r="AA16" s="2364"/>
      <c r="AB16" s="2364"/>
      <c r="AC16" s="2364"/>
      <c r="AD16" s="2365"/>
      <c r="AE16" s="2363"/>
      <c r="AF16" s="2364"/>
      <c r="AG16" s="2364"/>
      <c r="AH16" s="2364"/>
      <c r="AI16" s="2365"/>
      <c r="AJ16" s="2363"/>
      <c r="AK16" s="2364"/>
      <c r="AL16" s="2364"/>
      <c r="AM16" s="2364"/>
      <c r="AN16" s="2365"/>
      <c r="AO16" s="2363"/>
      <c r="AP16" s="2364"/>
      <c r="AQ16" s="2364"/>
      <c r="AR16" s="2364"/>
      <c r="AS16" s="2365"/>
      <c r="AT16" s="2363"/>
      <c r="AU16" s="2364"/>
      <c r="AV16" s="2364"/>
      <c r="AW16" s="2364"/>
      <c r="AX16" s="2365"/>
      <c r="AY16" s="2363"/>
      <c r="AZ16" s="2364"/>
      <c r="BA16" s="2364"/>
      <c r="BB16" s="2364"/>
      <c r="BC16" s="2365"/>
      <c r="BD16" s="2363"/>
      <c r="BE16" s="2364"/>
      <c r="BF16" s="2364"/>
      <c r="BG16" s="2364"/>
      <c r="BH16" s="2365"/>
      <c r="BI16" s="2363"/>
      <c r="BJ16" s="2364"/>
      <c r="BK16" s="2364"/>
      <c r="BL16" s="2364"/>
      <c r="BM16" s="2365"/>
      <c r="BN16" s="2363"/>
      <c r="BO16" s="2364"/>
      <c r="BP16" s="2364"/>
      <c r="BQ16" s="2364"/>
      <c r="BR16" s="2365"/>
    </row>
    <row r="17" spans="1:138" ht="6" customHeight="1" x14ac:dyDescent="0.25">
      <c r="A17" s="1794"/>
      <c r="B17" s="1795"/>
      <c r="C17" s="1795"/>
      <c r="D17" s="1795"/>
      <c r="E17" s="1796"/>
      <c r="F17" s="1794"/>
      <c r="G17" s="1795"/>
      <c r="H17" s="1795"/>
      <c r="I17" s="1795"/>
      <c r="J17" s="1796"/>
      <c r="K17" s="1794"/>
      <c r="L17" s="1795"/>
      <c r="M17" s="1795"/>
      <c r="N17" s="1795"/>
      <c r="O17" s="1796"/>
      <c r="P17" s="1794"/>
      <c r="Q17" s="1795"/>
      <c r="R17" s="1795"/>
      <c r="S17" s="1795"/>
      <c r="T17" s="1796"/>
      <c r="U17" s="1794"/>
      <c r="V17" s="1795"/>
      <c r="W17" s="1795"/>
      <c r="X17" s="1795"/>
      <c r="Y17" s="1796"/>
      <c r="Z17" s="1794"/>
      <c r="AA17" s="1795"/>
      <c r="AB17" s="1795"/>
      <c r="AC17" s="1795"/>
      <c r="AD17" s="1796"/>
      <c r="AE17" s="1794"/>
      <c r="AF17" s="1795"/>
      <c r="AG17" s="1795"/>
      <c r="AH17" s="1795"/>
      <c r="AI17" s="1796"/>
      <c r="AJ17" s="1794"/>
      <c r="AK17" s="1795"/>
      <c r="AL17" s="1795"/>
      <c r="AM17" s="1795"/>
      <c r="AN17" s="1796"/>
      <c r="AO17" s="1794"/>
      <c r="AP17" s="1795"/>
      <c r="AQ17" s="1795"/>
      <c r="AR17" s="1795"/>
      <c r="AS17" s="1796"/>
      <c r="AT17" s="1794"/>
      <c r="AU17" s="1795"/>
      <c r="AV17" s="1795"/>
      <c r="AW17" s="1795"/>
      <c r="AX17" s="1796"/>
      <c r="AY17" s="1794"/>
      <c r="AZ17" s="1795"/>
      <c r="BA17" s="1795"/>
      <c r="BB17" s="1795"/>
      <c r="BC17" s="1796"/>
      <c r="BD17" s="1794"/>
      <c r="BE17" s="1795"/>
      <c r="BF17" s="1795"/>
      <c r="BG17" s="1795"/>
      <c r="BH17" s="1796"/>
      <c r="BI17" s="1794"/>
      <c r="BJ17" s="1795"/>
      <c r="BK17" s="1795"/>
      <c r="BL17" s="1795"/>
      <c r="BM17" s="1796"/>
      <c r="BN17" s="1794"/>
      <c r="BO17" s="1795"/>
      <c r="BP17" s="1795"/>
      <c r="BQ17" s="1795"/>
      <c r="BR17" s="1796"/>
    </row>
    <row r="18" spans="1:138" s="22" customFormat="1" ht="111.75" customHeight="1" x14ac:dyDescent="1.35">
      <c r="A18" s="2356" t="s">
        <v>133</v>
      </c>
      <c r="B18" s="588">
        <v>37</v>
      </c>
      <c r="C18" s="589"/>
      <c r="D18" s="589"/>
      <c r="E18" s="590"/>
      <c r="F18" s="2356" t="s">
        <v>133</v>
      </c>
      <c r="G18" s="588">
        <v>43</v>
      </c>
      <c r="H18" s="589"/>
      <c r="I18" s="589"/>
      <c r="J18" s="590"/>
      <c r="K18" s="2356" t="s">
        <v>133</v>
      </c>
      <c r="L18" s="588">
        <v>54</v>
      </c>
      <c r="M18" s="589"/>
      <c r="N18" s="589"/>
      <c r="O18" s="590"/>
      <c r="P18" s="2356" t="s">
        <v>133</v>
      </c>
      <c r="Q18" s="588">
        <v>65</v>
      </c>
      <c r="R18" s="589"/>
      <c r="S18" s="589"/>
      <c r="T18" s="590"/>
      <c r="U18" s="2356" t="s">
        <v>133</v>
      </c>
      <c r="V18" s="588">
        <v>69</v>
      </c>
      <c r="W18" s="589"/>
      <c r="X18" s="589"/>
      <c r="Y18" s="590"/>
      <c r="Z18" s="2356" t="s">
        <v>133</v>
      </c>
      <c r="AA18" s="588">
        <v>70</v>
      </c>
      <c r="AB18" s="589"/>
      <c r="AC18" s="589"/>
      <c r="AD18" s="590"/>
      <c r="AE18" s="2356" t="s">
        <v>133</v>
      </c>
      <c r="AF18" s="588">
        <v>71</v>
      </c>
      <c r="AG18" s="589"/>
      <c r="AH18" s="589"/>
      <c r="AI18" s="590"/>
      <c r="AJ18" s="2356" t="s">
        <v>133</v>
      </c>
      <c r="AK18" s="588">
        <v>72</v>
      </c>
      <c r="AL18" s="589"/>
      <c r="AM18" s="589"/>
      <c r="AN18" s="590"/>
      <c r="AO18" s="2356" t="s">
        <v>133</v>
      </c>
      <c r="AP18" s="588">
        <v>73</v>
      </c>
      <c r="AQ18" s="589"/>
      <c r="AR18" s="589"/>
      <c r="AS18" s="590"/>
      <c r="AT18" s="2356" t="s">
        <v>133</v>
      </c>
      <c r="AU18" s="588">
        <v>74</v>
      </c>
      <c r="AV18" s="589"/>
      <c r="AW18" s="589"/>
      <c r="AX18" s="590"/>
      <c r="AY18" s="2356" t="s">
        <v>133</v>
      </c>
      <c r="AZ18" s="588">
        <v>75</v>
      </c>
      <c r="BA18" s="589"/>
      <c r="BB18" s="589"/>
      <c r="BC18" s="590"/>
      <c r="BD18" s="2356" t="s">
        <v>133</v>
      </c>
      <c r="BE18" s="588">
        <v>76</v>
      </c>
      <c r="BF18" s="589"/>
      <c r="BG18" s="589"/>
      <c r="BH18" s="590"/>
      <c r="BI18" s="2356" t="s">
        <v>133</v>
      </c>
      <c r="BJ18" s="588">
        <v>77</v>
      </c>
      <c r="BK18" s="589"/>
      <c r="BL18" s="589"/>
      <c r="BM18" s="590"/>
      <c r="BN18" s="2356" t="s">
        <v>133</v>
      </c>
      <c r="BO18" s="588">
        <v>78</v>
      </c>
      <c r="BP18" s="589"/>
      <c r="BQ18" s="589"/>
      <c r="BR18" s="590"/>
    </row>
    <row r="19" spans="1:138" ht="50.25" customHeight="1" thickBot="1" x14ac:dyDescent="0.3">
      <c r="A19" s="2357"/>
      <c r="B19" s="61">
        <v>1.0000000000000001E-9</v>
      </c>
      <c r="C19" s="62" t="s">
        <v>113</v>
      </c>
      <c r="D19" s="63"/>
      <c r="E19" s="64" t="s">
        <v>114</v>
      </c>
      <c r="F19" s="2357"/>
      <c r="G19" s="61">
        <v>0.40600000000000003</v>
      </c>
      <c r="H19" s="62" t="s">
        <v>113</v>
      </c>
      <c r="I19" s="63"/>
      <c r="J19" s="64" t="s">
        <v>114</v>
      </c>
      <c r="K19" s="2357"/>
      <c r="L19" s="61">
        <v>1.0000000000000001E-9</v>
      </c>
      <c r="M19" s="62" t="s">
        <v>113</v>
      </c>
      <c r="N19" s="63"/>
      <c r="O19" s="64" t="s">
        <v>114</v>
      </c>
      <c r="P19" s="2357"/>
      <c r="Q19" s="61">
        <v>9.9999999999999994E-12</v>
      </c>
      <c r="R19" s="62" t="s">
        <v>113</v>
      </c>
      <c r="S19" s="63"/>
      <c r="T19" s="64" t="s">
        <v>114</v>
      </c>
      <c r="U19" s="2357"/>
      <c r="V19" s="61">
        <v>1.0660000000000001</v>
      </c>
      <c r="W19" s="62" t="s">
        <v>113</v>
      </c>
      <c r="X19" s="63"/>
      <c r="Y19" s="64" t="s">
        <v>114</v>
      </c>
      <c r="Z19" s="2357"/>
      <c r="AA19" s="61">
        <v>9.9999999999999994E-12</v>
      </c>
      <c r="AB19" s="62" t="s">
        <v>113</v>
      </c>
      <c r="AC19" s="63">
        <v>1</v>
      </c>
      <c r="AD19" s="64" t="s">
        <v>114</v>
      </c>
      <c r="AE19" s="2357"/>
      <c r="AF19" s="61">
        <v>9.9999999999999998E-13</v>
      </c>
      <c r="AG19" s="62" t="s">
        <v>113</v>
      </c>
      <c r="AH19" s="63"/>
      <c r="AI19" s="64" t="s">
        <v>114</v>
      </c>
      <c r="AJ19" s="2357"/>
      <c r="AK19" s="61">
        <v>1.0000000000000001E-15</v>
      </c>
      <c r="AL19" s="62" t="s">
        <v>113</v>
      </c>
      <c r="AM19" s="63"/>
      <c r="AN19" s="64" t="s">
        <v>114</v>
      </c>
      <c r="AO19" s="2357"/>
      <c r="AP19" s="61">
        <v>1E-13</v>
      </c>
      <c r="AQ19" s="62" t="s">
        <v>113</v>
      </c>
      <c r="AR19" s="63"/>
      <c r="AS19" s="64" t="s">
        <v>114</v>
      </c>
      <c r="AT19" s="2357"/>
      <c r="AU19" s="61">
        <v>1E-8</v>
      </c>
      <c r="AV19" s="62" t="s">
        <v>113</v>
      </c>
      <c r="AW19" s="63"/>
      <c r="AX19" s="64" t="s">
        <v>114</v>
      </c>
      <c r="AY19" s="2357"/>
      <c r="AZ19" s="61">
        <v>1E-10</v>
      </c>
      <c r="BA19" s="62" t="s">
        <v>113</v>
      </c>
      <c r="BB19" s="63">
        <v>1</v>
      </c>
      <c r="BC19" s="64" t="s">
        <v>114</v>
      </c>
      <c r="BD19" s="2357"/>
      <c r="BE19" s="61">
        <v>1.0000000000000001E-9</v>
      </c>
      <c r="BF19" s="62" t="s">
        <v>113</v>
      </c>
      <c r="BG19" s="63"/>
      <c r="BH19" s="64" t="s">
        <v>114</v>
      </c>
      <c r="BI19" s="2357"/>
      <c r="BJ19" s="61">
        <v>1.0000000000000001E-9</v>
      </c>
      <c r="BK19" s="62" t="s">
        <v>113</v>
      </c>
      <c r="BL19" s="63"/>
      <c r="BM19" s="64" t="s">
        <v>114</v>
      </c>
      <c r="BN19" s="2357"/>
      <c r="BO19" s="61">
        <v>9.9999999999999995E-8</v>
      </c>
      <c r="BP19" s="62" t="s">
        <v>113</v>
      </c>
      <c r="BQ19" s="63"/>
      <c r="BR19" s="64" t="s">
        <v>114</v>
      </c>
      <c r="BW19" s="27"/>
      <c r="BX19" s="27"/>
      <c r="BY19" s="27"/>
      <c r="BZ19" s="27"/>
      <c r="CA19" s="27"/>
      <c r="CB19" s="27"/>
      <c r="CC19" s="27"/>
      <c r="CD19" s="27"/>
      <c r="CE19" s="27"/>
    </row>
    <row r="20" spans="1:138" ht="42.75" customHeight="1" thickTop="1" x14ac:dyDescent="0.25">
      <c r="A20" s="2370" t="s">
        <v>110</v>
      </c>
      <c r="B20" s="2371"/>
      <c r="C20" s="2372">
        <f t="shared" ref="C20" si="35">B25/((66*3.1415/64)*(45/3.281))</f>
        <v>2.2505708579240332E-9</v>
      </c>
      <c r="D20" s="2372"/>
      <c r="E20" s="2404"/>
      <c r="F20" s="2370" t="s">
        <v>110</v>
      </c>
      <c r="G20" s="2371"/>
      <c r="H20" s="2372">
        <f t="shared" ref="H20" si="36">G25/((66*3.1415/64)*(45/3.281))</f>
        <v>2.2505708579240333E-15</v>
      </c>
      <c r="I20" s="2372"/>
      <c r="J20" s="2404"/>
      <c r="K20" s="2370" t="s">
        <v>110</v>
      </c>
      <c r="L20" s="2371"/>
      <c r="M20" s="2372">
        <f t="shared" ref="M20" si="37">L25/((66*3.1415/64)*(45/3.281))</f>
        <v>2.2505708579240335E-12</v>
      </c>
      <c r="N20" s="2372"/>
      <c r="O20" s="2404"/>
      <c r="P20" s="2370" t="s">
        <v>110</v>
      </c>
      <c r="Q20" s="2371"/>
      <c r="R20" s="2372">
        <f t="shared" ref="R20" si="38">Q25/((66*3.1415/64)*(45/3.281))</f>
        <v>2.250570857924033E-8</v>
      </c>
      <c r="S20" s="2372"/>
      <c r="T20" s="2404"/>
      <c r="U20" s="2370" t="s">
        <v>110</v>
      </c>
      <c r="V20" s="2371"/>
      <c r="W20" s="2372">
        <f t="shared" ref="W20" si="39">V25/((66*3.1415/64)*(45/3.281))</f>
        <v>5.7164499791270444E-3</v>
      </c>
      <c r="X20" s="2372"/>
      <c r="Y20" s="2404"/>
      <c r="Z20" s="2370" t="s">
        <v>110</v>
      </c>
      <c r="AA20" s="2371"/>
      <c r="AB20" s="2372">
        <f t="shared" ref="AB20" si="40">AA25/((66*3.1415/64)*(45/3.281))</f>
        <v>2.2505708579240332E-13</v>
      </c>
      <c r="AC20" s="2372"/>
      <c r="AD20" s="2404"/>
      <c r="AE20" s="2370" t="s">
        <v>110</v>
      </c>
      <c r="AF20" s="2371"/>
      <c r="AG20" s="2372">
        <f t="shared" ref="AG20" si="41">AF25/((66*3.1415/64)*(45/3.281))</f>
        <v>2.2505708579240333E-14</v>
      </c>
      <c r="AH20" s="2372"/>
      <c r="AI20" s="2404"/>
      <c r="AJ20" s="2370" t="s">
        <v>110</v>
      </c>
      <c r="AK20" s="2371"/>
      <c r="AL20" s="2372">
        <f t="shared" ref="AL20" si="42">AK25/((66*3.1415/64)*(45/3.281))</f>
        <v>2.2505708579240332E-9</v>
      </c>
      <c r="AM20" s="2372"/>
      <c r="AN20" s="2404"/>
      <c r="AO20" s="2370" t="s">
        <v>110</v>
      </c>
      <c r="AP20" s="2371"/>
      <c r="AQ20" s="2372">
        <f t="shared" ref="AQ20" si="43">AP25/((66*3.1415/64)*(45/3.281))</f>
        <v>2.2505708579240335E-12</v>
      </c>
      <c r="AR20" s="2372"/>
      <c r="AS20" s="2404"/>
      <c r="AT20" s="2370" t="s">
        <v>110</v>
      </c>
      <c r="AU20" s="2371"/>
      <c r="AV20" s="2372">
        <f t="shared" ref="AV20" si="44">AU25/((66*3.1415/64)*(45/3.281))</f>
        <v>2.2505708579240332E-16</v>
      </c>
      <c r="AW20" s="2372"/>
      <c r="AX20" s="2404"/>
      <c r="AY20" s="2370" t="s">
        <v>110</v>
      </c>
      <c r="AZ20" s="2371"/>
      <c r="BA20" s="2372">
        <f t="shared" ref="BA20" si="45">AZ25/((66*3.1415/64)*(45/3.281))</f>
        <v>2.2505708579240334E-10</v>
      </c>
      <c r="BB20" s="2372"/>
      <c r="BC20" s="2404"/>
      <c r="BD20" s="2370" t="s">
        <v>110</v>
      </c>
      <c r="BE20" s="2371"/>
      <c r="BF20" s="2372">
        <f t="shared" ref="BF20" si="46">BE25/((66*3.1415/64)*(45/3.281))</f>
        <v>1.3147834951992204E-2</v>
      </c>
      <c r="BG20" s="2372"/>
      <c r="BH20" s="2404"/>
      <c r="BI20" s="2370" t="s">
        <v>110</v>
      </c>
      <c r="BJ20" s="2371"/>
      <c r="BK20" s="2372">
        <f t="shared" ref="BK20" si="47">BJ25/((66*3.1415/64)*(45/3.281))</f>
        <v>2.2505708579240335E-12</v>
      </c>
      <c r="BL20" s="2372"/>
      <c r="BM20" s="2404"/>
      <c r="BN20" s="2370" t="s">
        <v>110</v>
      </c>
      <c r="BO20" s="2371"/>
      <c r="BP20" s="2372">
        <f t="shared" ref="BP20" si="48">BO25/((66*3.1415/64)*(45/3.281))</f>
        <v>2.2505708579240332E-13</v>
      </c>
      <c r="BQ20" s="2372"/>
      <c r="BR20" s="2404"/>
    </row>
    <row r="21" spans="1:138" ht="6.75" customHeight="1" x14ac:dyDescent="0.25">
      <c r="A21" s="1791" t="s">
        <v>489</v>
      </c>
      <c r="B21" s="1792"/>
      <c r="C21" s="1792"/>
      <c r="D21" s="1792"/>
      <c r="E21" s="1793"/>
      <c r="F21" s="1791" t="s">
        <v>489</v>
      </c>
      <c r="G21" s="1792"/>
      <c r="H21" s="1792"/>
      <c r="I21" s="1792"/>
      <c r="J21" s="1793"/>
      <c r="K21" s="2360" t="s">
        <v>489</v>
      </c>
      <c r="L21" s="1632"/>
      <c r="M21" s="1632"/>
      <c r="N21" s="1632"/>
      <c r="O21" s="1633"/>
      <c r="P21" s="2360" t="s">
        <v>489</v>
      </c>
      <c r="Q21" s="1632"/>
      <c r="R21" s="1632"/>
      <c r="S21" s="1632"/>
      <c r="T21" s="1633"/>
      <c r="U21" s="2360" t="s">
        <v>489</v>
      </c>
      <c r="V21" s="1632"/>
      <c r="W21" s="1632"/>
      <c r="X21" s="1632"/>
      <c r="Y21" s="1633"/>
      <c r="Z21" s="2360" t="s">
        <v>489</v>
      </c>
      <c r="AA21" s="1632"/>
      <c r="AB21" s="1632"/>
      <c r="AC21" s="1632"/>
      <c r="AD21" s="1633"/>
      <c r="AE21" s="2360" t="s">
        <v>489</v>
      </c>
      <c r="AF21" s="1632"/>
      <c r="AG21" s="1632"/>
      <c r="AH21" s="1632"/>
      <c r="AI21" s="1633"/>
      <c r="AJ21" s="2360" t="s">
        <v>489</v>
      </c>
      <c r="AK21" s="1632"/>
      <c r="AL21" s="1632"/>
      <c r="AM21" s="1632"/>
      <c r="AN21" s="1633"/>
      <c r="AO21" s="2360" t="s">
        <v>489</v>
      </c>
      <c r="AP21" s="1632"/>
      <c r="AQ21" s="1632"/>
      <c r="AR21" s="1632"/>
      <c r="AS21" s="1633"/>
      <c r="AT21" s="2360" t="s">
        <v>489</v>
      </c>
      <c r="AU21" s="1632"/>
      <c r="AV21" s="1632"/>
      <c r="AW21" s="1632"/>
      <c r="AX21" s="1633"/>
      <c r="AY21" s="2360" t="s">
        <v>489</v>
      </c>
      <c r="AZ21" s="1632"/>
      <c r="BA21" s="1632"/>
      <c r="BB21" s="1632"/>
      <c r="BC21" s="1633"/>
      <c r="BD21" s="2360" t="s">
        <v>489</v>
      </c>
      <c r="BE21" s="1632"/>
      <c r="BF21" s="1632"/>
      <c r="BG21" s="1632"/>
      <c r="BH21" s="1633"/>
      <c r="BI21" s="2360" t="s">
        <v>489</v>
      </c>
      <c r="BJ21" s="1632"/>
      <c r="BK21" s="1632"/>
      <c r="BL21" s="1632"/>
      <c r="BM21" s="1633"/>
      <c r="BN21" s="2360" t="s">
        <v>489</v>
      </c>
      <c r="BO21" s="1632"/>
      <c r="BP21" s="1632"/>
      <c r="BQ21" s="1632"/>
      <c r="BR21" s="1633"/>
    </row>
    <row r="22" spans="1:138" ht="18" customHeight="1" x14ac:dyDescent="0.25">
      <c r="A22" s="2363"/>
      <c r="B22" s="2364"/>
      <c r="C22" s="2364"/>
      <c r="D22" s="2364"/>
      <c r="E22" s="2365"/>
      <c r="F22" s="2363"/>
      <c r="G22" s="2364"/>
      <c r="H22" s="2364"/>
      <c r="I22" s="2364"/>
      <c r="J22" s="2365"/>
      <c r="K22" s="2361"/>
      <c r="L22" s="1635"/>
      <c r="M22" s="1635"/>
      <c r="N22" s="1635"/>
      <c r="O22" s="1636"/>
      <c r="P22" s="2361"/>
      <c r="Q22" s="1635"/>
      <c r="R22" s="1635"/>
      <c r="S22" s="1635"/>
      <c r="T22" s="1636"/>
      <c r="U22" s="2361"/>
      <c r="V22" s="1635"/>
      <c r="W22" s="1635"/>
      <c r="X22" s="1635"/>
      <c r="Y22" s="1636"/>
      <c r="Z22" s="2361"/>
      <c r="AA22" s="1635"/>
      <c r="AB22" s="1635"/>
      <c r="AC22" s="1635"/>
      <c r="AD22" s="1636"/>
      <c r="AE22" s="2361"/>
      <c r="AF22" s="1635"/>
      <c r="AG22" s="1635"/>
      <c r="AH22" s="1635"/>
      <c r="AI22" s="1636"/>
      <c r="AJ22" s="2361"/>
      <c r="AK22" s="1635"/>
      <c r="AL22" s="1635"/>
      <c r="AM22" s="1635"/>
      <c r="AN22" s="1636"/>
      <c r="AO22" s="2361"/>
      <c r="AP22" s="1635"/>
      <c r="AQ22" s="1635"/>
      <c r="AR22" s="1635"/>
      <c r="AS22" s="1636"/>
      <c r="AT22" s="2361"/>
      <c r="AU22" s="1635"/>
      <c r="AV22" s="1635"/>
      <c r="AW22" s="1635"/>
      <c r="AX22" s="1636"/>
      <c r="AY22" s="2361"/>
      <c r="AZ22" s="1635"/>
      <c r="BA22" s="1635"/>
      <c r="BB22" s="1635"/>
      <c r="BC22" s="1636"/>
      <c r="BD22" s="2361"/>
      <c r="BE22" s="1635"/>
      <c r="BF22" s="1635"/>
      <c r="BG22" s="1635"/>
      <c r="BH22" s="1636"/>
      <c r="BI22" s="2361"/>
      <c r="BJ22" s="1635"/>
      <c r="BK22" s="1635"/>
      <c r="BL22" s="1635"/>
      <c r="BM22" s="1636"/>
      <c r="BN22" s="2361"/>
      <c r="BO22" s="1635"/>
      <c r="BP22" s="1635"/>
      <c r="BQ22" s="1635"/>
      <c r="BR22" s="1636"/>
    </row>
    <row r="23" spans="1:138" ht="6" customHeight="1" x14ac:dyDescent="0.25">
      <c r="A23" s="1794"/>
      <c r="B23" s="1795"/>
      <c r="C23" s="1795"/>
      <c r="D23" s="1795"/>
      <c r="E23" s="1796"/>
      <c r="F23" s="1794"/>
      <c r="G23" s="1795"/>
      <c r="H23" s="1795"/>
      <c r="I23" s="1795"/>
      <c r="J23" s="1796"/>
      <c r="K23" s="2362"/>
      <c r="L23" s="1638"/>
      <c r="M23" s="1638"/>
      <c r="N23" s="1638"/>
      <c r="O23" s="1639"/>
      <c r="P23" s="2362"/>
      <c r="Q23" s="1638"/>
      <c r="R23" s="1638"/>
      <c r="S23" s="1638"/>
      <c r="T23" s="1639"/>
      <c r="U23" s="2362"/>
      <c r="V23" s="1638"/>
      <c r="W23" s="1638"/>
      <c r="X23" s="1638"/>
      <c r="Y23" s="1639"/>
      <c r="Z23" s="2362"/>
      <c r="AA23" s="1638"/>
      <c r="AB23" s="1638"/>
      <c r="AC23" s="1638"/>
      <c r="AD23" s="1639"/>
      <c r="AE23" s="2362"/>
      <c r="AF23" s="1638"/>
      <c r="AG23" s="1638"/>
      <c r="AH23" s="1638"/>
      <c r="AI23" s="1639"/>
      <c r="AJ23" s="2362"/>
      <c r="AK23" s="1638"/>
      <c r="AL23" s="1638"/>
      <c r="AM23" s="1638"/>
      <c r="AN23" s="1639"/>
      <c r="AO23" s="2362"/>
      <c r="AP23" s="1638"/>
      <c r="AQ23" s="1638"/>
      <c r="AR23" s="1638"/>
      <c r="AS23" s="1639"/>
      <c r="AT23" s="2362"/>
      <c r="AU23" s="1638"/>
      <c r="AV23" s="1638"/>
      <c r="AW23" s="1638"/>
      <c r="AX23" s="1639"/>
      <c r="AY23" s="2362"/>
      <c r="AZ23" s="1638"/>
      <c r="BA23" s="1638"/>
      <c r="BB23" s="1638"/>
      <c r="BC23" s="1639"/>
      <c r="BD23" s="2362"/>
      <c r="BE23" s="1638"/>
      <c r="BF23" s="1638"/>
      <c r="BG23" s="1638"/>
      <c r="BH23" s="1639"/>
      <c r="BI23" s="2362"/>
      <c r="BJ23" s="1638"/>
      <c r="BK23" s="1638"/>
      <c r="BL23" s="1638"/>
      <c r="BM23" s="1639"/>
      <c r="BN23" s="2362"/>
      <c r="BO23" s="1638"/>
      <c r="BP23" s="1638"/>
      <c r="BQ23" s="1638"/>
      <c r="BR23" s="1639"/>
    </row>
    <row r="24" spans="1:138" s="22" customFormat="1" ht="111.75" customHeight="1" x14ac:dyDescent="1.35">
      <c r="A24" s="2356" t="s">
        <v>133</v>
      </c>
      <c r="B24" s="588">
        <v>81</v>
      </c>
      <c r="C24" s="589"/>
      <c r="D24" s="589"/>
      <c r="E24" s="590"/>
      <c r="F24" s="2356" t="s">
        <v>133</v>
      </c>
      <c r="G24" s="588">
        <v>82</v>
      </c>
      <c r="H24" s="589"/>
      <c r="I24" s="589"/>
      <c r="J24" s="590"/>
      <c r="K24" s="2356" t="s">
        <v>133</v>
      </c>
      <c r="L24" s="588">
        <v>127</v>
      </c>
      <c r="M24" s="589"/>
      <c r="N24" s="589"/>
      <c r="O24" s="590"/>
      <c r="P24" s="2356" t="s">
        <v>133</v>
      </c>
      <c r="Q24" s="588">
        <v>128</v>
      </c>
      <c r="R24" s="589"/>
      <c r="S24" s="589"/>
      <c r="T24" s="590"/>
      <c r="U24" s="2356" t="s">
        <v>133</v>
      </c>
      <c r="V24" s="588">
        <v>129</v>
      </c>
      <c r="W24" s="589"/>
      <c r="X24" s="589"/>
      <c r="Y24" s="590"/>
      <c r="Z24" s="2356" t="s">
        <v>133</v>
      </c>
      <c r="AA24" s="588">
        <v>130</v>
      </c>
      <c r="AB24" s="589"/>
      <c r="AC24" s="589"/>
      <c r="AD24" s="590"/>
      <c r="AE24" s="2356" t="s">
        <v>133</v>
      </c>
      <c r="AF24" s="588">
        <v>131</v>
      </c>
      <c r="AG24" s="589"/>
      <c r="AH24" s="589"/>
      <c r="AI24" s="590"/>
      <c r="AJ24" s="2356" t="s">
        <v>133</v>
      </c>
      <c r="AK24" s="588">
        <v>132</v>
      </c>
      <c r="AL24" s="589"/>
      <c r="AM24" s="589"/>
      <c r="AN24" s="590"/>
      <c r="AO24" s="2356" t="s">
        <v>133</v>
      </c>
      <c r="AP24" s="588">
        <v>133</v>
      </c>
      <c r="AQ24" s="589"/>
      <c r="AR24" s="589"/>
      <c r="AS24" s="590"/>
      <c r="AT24" s="2356" t="s">
        <v>133</v>
      </c>
      <c r="AU24" s="588">
        <v>134</v>
      </c>
      <c r="AV24" s="589"/>
      <c r="AW24" s="589"/>
      <c r="AX24" s="590"/>
      <c r="AY24" s="2356" t="s">
        <v>133</v>
      </c>
      <c r="AZ24" s="588">
        <v>135</v>
      </c>
      <c r="BA24" s="589"/>
      <c r="BB24" s="589"/>
      <c r="BC24" s="590"/>
      <c r="BD24" s="2356" t="s">
        <v>133</v>
      </c>
      <c r="BE24" s="588">
        <v>136</v>
      </c>
      <c r="BF24" s="589"/>
      <c r="BG24" s="589"/>
      <c r="BH24" s="590"/>
      <c r="BI24" s="2356" t="s">
        <v>133</v>
      </c>
      <c r="BJ24" s="588">
        <v>137</v>
      </c>
      <c r="BK24" s="589"/>
      <c r="BL24" s="589"/>
      <c r="BM24" s="590"/>
      <c r="BN24" s="2356" t="s">
        <v>133</v>
      </c>
      <c r="BO24" s="588">
        <v>138</v>
      </c>
      <c r="BP24" s="589"/>
      <c r="BQ24" s="589"/>
      <c r="BR24" s="590"/>
    </row>
    <row r="25" spans="1:138" ht="50.25" customHeight="1" thickBot="1" x14ac:dyDescent="0.3">
      <c r="A25" s="2357"/>
      <c r="B25" s="61">
        <v>9.9999999999999995E-8</v>
      </c>
      <c r="C25" s="62" t="s">
        <v>113</v>
      </c>
      <c r="D25" s="63"/>
      <c r="E25" s="64" t="s">
        <v>114</v>
      </c>
      <c r="F25" s="2357"/>
      <c r="G25" s="61">
        <v>1E-13</v>
      </c>
      <c r="H25" s="62" t="s">
        <v>113</v>
      </c>
      <c r="I25" s="63"/>
      <c r="J25" s="64" t="s">
        <v>114</v>
      </c>
      <c r="K25" s="2357"/>
      <c r="L25" s="61">
        <v>1E-10</v>
      </c>
      <c r="M25" s="62" t="s">
        <v>113</v>
      </c>
      <c r="N25" s="63">
        <v>1</v>
      </c>
      <c r="O25" s="64" t="s">
        <v>114</v>
      </c>
      <c r="P25" s="2357"/>
      <c r="Q25" s="61">
        <v>9.9999999999999995E-7</v>
      </c>
      <c r="R25" s="62" t="s">
        <v>113</v>
      </c>
      <c r="S25" s="63"/>
      <c r="T25" s="64" t="s">
        <v>114</v>
      </c>
      <c r="U25" s="2357"/>
      <c r="V25" s="61">
        <v>0.254</v>
      </c>
      <c r="W25" s="62" t="s">
        <v>113</v>
      </c>
      <c r="X25" s="63"/>
      <c r="Y25" s="64" t="s">
        <v>114</v>
      </c>
      <c r="Z25" s="2357"/>
      <c r="AA25" s="61">
        <v>9.9999999999999994E-12</v>
      </c>
      <c r="AB25" s="62" t="s">
        <v>113</v>
      </c>
      <c r="AC25" s="63"/>
      <c r="AD25" s="64" t="s">
        <v>114</v>
      </c>
      <c r="AE25" s="2357"/>
      <c r="AF25" s="61">
        <v>9.9999999999999998E-13</v>
      </c>
      <c r="AG25" s="62" t="s">
        <v>113</v>
      </c>
      <c r="AH25" s="63"/>
      <c r="AI25" s="64" t="s">
        <v>114</v>
      </c>
      <c r="AJ25" s="2357"/>
      <c r="AK25" s="61">
        <v>9.9999999999999995E-8</v>
      </c>
      <c r="AL25" s="62" t="s">
        <v>113</v>
      </c>
      <c r="AM25" s="63">
        <v>1</v>
      </c>
      <c r="AN25" s="64" t="s">
        <v>114</v>
      </c>
      <c r="AO25" s="2357"/>
      <c r="AP25" s="61">
        <v>1E-10</v>
      </c>
      <c r="AQ25" s="62" t="s">
        <v>113</v>
      </c>
      <c r="AR25" s="63"/>
      <c r="AS25" s="64" t="s">
        <v>114</v>
      </c>
      <c r="AT25" s="2357"/>
      <c r="AU25" s="61">
        <v>1E-14</v>
      </c>
      <c r="AV25" s="62" t="s">
        <v>113</v>
      </c>
      <c r="AW25" s="63"/>
      <c r="AX25" s="64" t="s">
        <v>114</v>
      </c>
      <c r="AY25" s="2357"/>
      <c r="AZ25" s="61">
        <v>1E-8</v>
      </c>
      <c r="BA25" s="62" t="s">
        <v>113</v>
      </c>
      <c r="BB25" s="63"/>
      <c r="BC25" s="64" t="s">
        <v>114</v>
      </c>
      <c r="BD25" s="2357"/>
      <c r="BE25" s="61">
        <v>0.58420000000000005</v>
      </c>
      <c r="BF25" s="62" t="s">
        <v>113</v>
      </c>
      <c r="BG25" s="63"/>
      <c r="BH25" s="64" t="s">
        <v>114</v>
      </c>
      <c r="BI25" s="2357"/>
      <c r="BJ25" s="61">
        <v>1E-10</v>
      </c>
      <c r="BK25" s="62" t="s">
        <v>113</v>
      </c>
      <c r="BL25" s="63">
        <v>1</v>
      </c>
      <c r="BM25" s="64" t="s">
        <v>114</v>
      </c>
      <c r="BN25" s="2357"/>
      <c r="BO25" s="61">
        <v>9.9999999999999994E-12</v>
      </c>
      <c r="BP25" s="62" t="s">
        <v>113</v>
      </c>
      <c r="BQ25" s="63"/>
      <c r="BR25" s="64" t="s">
        <v>114</v>
      </c>
      <c r="BW25" s="27"/>
      <c r="BX25" s="27"/>
      <c r="BY25" s="27"/>
      <c r="BZ25" s="27"/>
      <c r="CA25" s="27"/>
      <c r="CB25" s="27"/>
      <c r="CC25" s="27"/>
      <c r="CD25" s="27"/>
      <c r="CE25" s="27"/>
    </row>
    <row r="26" spans="1:138" ht="42.75" customHeight="1" thickTop="1" x14ac:dyDescent="0.25">
      <c r="A26" s="2370" t="s">
        <v>110</v>
      </c>
      <c r="B26" s="2371"/>
      <c r="C26" s="2372">
        <f t="shared" ref="C26" si="49">B31/((66*3.1415/64)*(45/3.281))</f>
        <v>2.2505708579240332E-9</v>
      </c>
      <c r="D26" s="2372"/>
      <c r="E26" s="2404"/>
      <c r="F26" s="2370" t="s">
        <v>110</v>
      </c>
      <c r="G26" s="2371"/>
      <c r="H26" s="2372">
        <f t="shared" ref="H26" si="50">G31/((66*3.1415/64)*(45/3.281))</f>
        <v>2.2505708579240334E-10</v>
      </c>
      <c r="I26" s="2372"/>
      <c r="J26" s="2404"/>
      <c r="K26" s="2370" t="s">
        <v>110</v>
      </c>
      <c r="L26" s="2371"/>
      <c r="M26" s="2372">
        <f t="shared" ref="M26" si="51">L31/((66*3.1415/64)*(45/3.281))</f>
        <v>1.2004544956166794E-2</v>
      </c>
      <c r="N26" s="2372"/>
      <c r="O26" s="2404"/>
      <c r="P26" s="2370" t="s">
        <v>110</v>
      </c>
      <c r="Q26" s="2371"/>
      <c r="R26" s="2372">
        <f t="shared" ref="R26" si="52">Q31/((66*3.1415/64)*(45/3.281))</f>
        <v>2.2505708579240333E-14</v>
      </c>
      <c r="S26" s="2372"/>
      <c r="T26" s="2404"/>
      <c r="U26" s="2370" t="s">
        <v>110</v>
      </c>
      <c r="V26" s="2371"/>
      <c r="W26" s="2372">
        <f t="shared" ref="W26" si="53">V31/((66*3.1415/64)*(45/3.281))</f>
        <v>2.2505708579240333E-14</v>
      </c>
      <c r="X26" s="2372"/>
      <c r="Y26" s="2404"/>
      <c r="Z26" s="2370" t="s">
        <v>110</v>
      </c>
      <c r="AA26" s="2371"/>
      <c r="AB26" s="2372">
        <f t="shared" ref="AB26" si="54">AA31/((66*3.1415/64)*(45/3.281))</f>
        <v>4.8018179824667176E-2</v>
      </c>
      <c r="AC26" s="2372"/>
      <c r="AD26" s="2404"/>
      <c r="AE26" s="2370" t="s">
        <v>110</v>
      </c>
      <c r="AF26" s="2371"/>
      <c r="AG26" s="2372">
        <f t="shared" ref="AG26" si="55">AF31/((66*3.1415/64)*(45/3.281))</f>
        <v>1.0861254960341384E-2</v>
      </c>
      <c r="AH26" s="2372"/>
      <c r="AI26" s="2404"/>
      <c r="AJ26" s="2370" t="s">
        <v>110</v>
      </c>
      <c r="AK26" s="2371"/>
      <c r="AL26" s="2372">
        <f t="shared" ref="AL26" si="56">AK31/((66*3.1415/64)*(45/3.281))</f>
        <v>2.2294154918595474E-2</v>
      </c>
      <c r="AM26" s="2372"/>
      <c r="AN26" s="2404"/>
      <c r="AO26" s="2370" t="s">
        <v>110</v>
      </c>
      <c r="AP26" s="2371"/>
      <c r="AQ26" s="2372">
        <f t="shared" ref="AQ26" si="57">AP31/((66*3.1415/64)*(45/3.281))</f>
        <v>1.0861254960341384E-2</v>
      </c>
      <c r="AR26" s="2372"/>
      <c r="AS26" s="2404"/>
      <c r="AT26" s="2370" t="s">
        <v>110</v>
      </c>
      <c r="AU26" s="2371"/>
      <c r="AV26" s="2372">
        <f t="shared" ref="AV26" si="58">AU31/((66*3.1415/64)*(45/3.281))</f>
        <v>7.4313849728651574E-3</v>
      </c>
      <c r="AW26" s="2372"/>
      <c r="AX26" s="2404"/>
      <c r="AY26" s="2370" t="s">
        <v>110</v>
      </c>
      <c r="AZ26" s="2371"/>
      <c r="BA26" s="2372">
        <f t="shared" ref="BA26" si="59">AZ31/((66*3.1415/64)*(45/3.281))</f>
        <v>2.2505708579240332E-16</v>
      </c>
      <c r="BB26" s="2372"/>
      <c r="BC26" s="2404"/>
      <c r="BD26" s="2370" t="s">
        <v>110</v>
      </c>
      <c r="BE26" s="2371"/>
      <c r="BF26" s="2372">
        <f t="shared" ref="BF26" si="60">BE31/((66*3.1415/64)*(45/3.281))</f>
        <v>1.2576189954079497E-2</v>
      </c>
      <c r="BG26" s="2372"/>
      <c r="BH26" s="2404"/>
      <c r="BI26" s="2370" t="s">
        <v>110</v>
      </c>
      <c r="BJ26" s="2371"/>
      <c r="BK26" s="2372">
        <f t="shared" ref="BK26" si="61">BJ31/((66*3.1415/64)*(45/3.281))</f>
        <v>6.859739974952454E-3</v>
      </c>
      <c r="BL26" s="2372"/>
      <c r="BM26" s="2404"/>
      <c r="BN26" s="2370" t="s">
        <v>110</v>
      </c>
      <c r="BO26" s="2371"/>
      <c r="BP26" s="2372">
        <f t="shared" ref="BP26" si="62">BO31/((66*3.1415/64)*(45/3.281))</f>
        <v>3.7728569862238492E-2</v>
      </c>
      <c r="BQ26" s="2372"/>
      <c r="BR26" s="2404"/>
    </row>
    <row r="27" spans="1:138" ht="6.75" customHeight="1" x14ac:dyDescent="0.25">
      <c r="A27" s="2360" t="s">
        <v>489</v>
      </c>
      <c r="B27" s="1632"/>
      <c r="C27" s="1632"/>
      <c r="D27" s="1632"/>
      <c r="E27" s="1633"/>
      <c r="F27" s="2360" t="s">
        <v>489</v>
      </c>
      <c r="G27" s="1632"/>
      <c r="H27" s="1632"/>
      <c r="I27" s="1632"/>
      <c r="J27" s="1633"/>
      <c r="K27" s="2360" t="s">
        <v>489</v>
      </c>
      <c r="L27" s="1632"/>
      <c r="M27" s="1632"/>
      <c r="N27" s="1632"/>
      <c r="O27" s="1633"/>
      <c r="P27" s="2360" t="s">
        <v>489</v>
      </c>
      <c r="Q27" s="1632"/>
      <c r="R27" s="1632"/>
      <c r="S27" s="1632"/>
      <c r="T27" s="1633"/>
      <c r="U27" s="2360" t="s">
        <v>489</v>
      </c>
      <c r="V27" s="1632"/>
      <c r="W27" s="1632"/>
      <c r="X27" s="1632"/>
      <c r="Y27" s="1633"/>
      <c r="Z27" s="2360" t="s">
        <v>489</v>
      </c>
      <c r="AA27" s="1632"/>
      <c r="AB27" s="1632"/>
      <c r="AC27" s="1632"/>
      <c r="AD27" s="1633"/>
      <c r="AE27" s="2360" t="s">
        <v>489</v>
      </c>
      <c r="AF27" s="1632"/>
      <c r="AG27" s="1632"/>
      <c r="AH27" s="1632"/>
      <c r="AI27" s="1633"/>
      <c r="AJ27" s="2360" t="s">
        <v>489</v>
      </c>
      <c r="AK27" s="1632"/>
      <c r="AL27" s="1632"/>
      <c r="AM27" s="1632"/>
      <c r="AN27" s="1633"/>
      <c r="AO27" s="2360" t="s">
        <v>489</v>
      </c>
      <c r="AP27" s="1632"/>
      <c r="AQ27" s="1632"/>
      <c r="AR27" s="1632"/>
      <c r="AS27" s="1633"/>
      <c r="AT27" s="2360" t="s">
        <v>489</v>
      </c>
      <c r="AU27" s="1632"/>
      <c r="AV27" s="1632"/>
      <c r="AW27" s="1632"/>
      <c r="AX27" s="1633"/>
      <c r="AY27" s="2360" t="s">
        <v>489</v>
      </c>
      <c r="AZ27" s="1632"/>
      <c r="BA27" s="1632"/>
      <c r="BB27" s="1632"/>
      <c r="BC27" s="1633"/>
      <c r="BD27" s="2360" t="s">
        <v>489</v>
      </c>
      <c r="BE27" s="1632"/>
      <c r="BF27" s="1632"/>
      <c r="BG27" s="1632"/>
      <c r="BH27" s="1633"/>
      <c r="BI27" s="2360" t="s">
        <v>489</v>
      </c>
      <c r="BJ27" s="1632"/>
      <c r="BK27" s="1632"/>
      <c r="BL27" s="1632"/>
      <c r="BM27" s="1633"/>
      <c r="BN27" s="2360" t="s">
        <v>489</v>
      </c>
      <c r="BO27" s="1632"/>
      <c r="BP27" s="1632"/>
      <c r="BQ27" s="1632"/>
      <c r="BR27" s="1633"/>
    </row>
    <row r="28" spans="1:138" ht="14.25" customHeight="1" x14ac:dyDescent="0.25">
      <c r="A28" s="2361"/>
      <c r="B28" s="1635"/>
      <c r="C28" s="1635"/>
      <c r="D28" s="1635"/>
      <c r="E28" s="1636"/>
      <c r="F28" s="2361"/>
      <c r="G28" s="1635"/>
      <c r="H28" s="1635"/>
      <c r="I28" s="1635"/>
      <c r="J28" s="1636"/>
      <c r="K28" s="2361"/>
      <c r="L28" s="1635"/>
      <c r="M28" s="1635"/>
      <c r="N28" s="1635"/>
      <c r="O28" s="1636"/>
      <c r="P28" s="2361"/>
      <c r="Q28" s="1635"/>
      <c r="R28" s="1635"/>
      <c r="S28" s="1635"/>
      <c r="T28" s="1636"/>
      <c r="U28" s="2361"/>
      <c r="V28" s="1635"/>
      <c r="W28" s="1635"/>
      <c r="X28" s="1635"/>
      <c r="Y28" s="1636"/>
      <c r="Z28" s="2361"/>
      <c r="AA28" s="1635"/>
      <c r="AB28" s="1635"/>
      <c r="AC28" s="1635"/>
      <c r="AD28" s="1636"/>
      <c r="AE28" s="2361"/>
      <c r="AF28" s="1635"/>
      <c r="AG28" s="1635"/>
      <c r="AH28" s="1635"/>
      <c r="AI28" s="1636"/>
      <c r="AJ28" s="2361"/>
      <c r="AK28" s="1635"/>
      <c r="AL28" s="1635"/>
      <c r="AM28" s="1635"/>
      <c r="AN28" s="1636"/>
      <c r="AO28" s="2361"/>
      <c r="AP28" s="1635"/>
      <c r="AQ28" s="1635"/>
      <c r="AR28" s="1635"/>
      <c r="AS28" s="1636"/>
      <c r="AT28" s="2361"/>
      <c r="AU28" s="1635"/>
      <c r="AV28" s="1635"/>
      <c r="AW28" s="1635"/>
      <c r="AX28" s="1636"/>
      <c r="AY28" s="2361"/>
      <c r="AZ28" s="1635"/>
      <c r="BA28" s="1635"/>
      <c r="BB28" s="1635"/>
      <c r="BC28" s="1636"/>
      <c r="BD28" s="2361"/>
      <c r="BE28" s="1635"/>
      <c r="BF28" s="1635"/>
      <c r="BG28" s="1635"/>
      <c r="BH28" s="1636"/>
      <c r="BI28" s="2361"/>
      <c r="BJ28" s="1635"/>
      <c r="BK28" s="1635"/>
      <c r="BL28" s="1635"/>
      <c r="BM28" s="1636"/>
      <c r="BN28" s="2361"/>
      <c r="BO28" s="1635"/>
      <c r="BP28" s="1635"/>
      <c r="BQ28" s="1635"/>
      <c r="BR28" s="1636"/>
      <c r="ED28" s="13"/>
      <c r="EE28" s="13"/>
      <c r="EF28" s="13"/>
      <c r="EG28" s="13"/>
      <c r="EH28" s="13"/>
    </row>
    <row r="29" spans="1:138" ht="6" customHeight="1" x14ac:dyDescent="0.25">
      <c r="A29" s="2362"/>
      <c r="B29" s="1638"/>
      <c r="C29" s="1638"/>
      <c r="D29" s="1638"/>
      <c r="E29" s="1639"/>
      <c r="F29" s="2362"/>
      <c r="G29" s="1638"/>
      <c r="H29" s="1638"/>
      <c r="I29" s="1638"/>
      <c r="J29" s="1639"/>
      <c r="K29" s="2362"/>
      <c r="L29" s="1638"/>
      <c r="M29" s="1638"/>
      <c r="N29" s="1638"/>
      <c r="O29" s="1639"/>
      <c r="P29" s="2362"/>
      <c r="Q29" s="1638"/>
      <c r="R29" s="1638"/>
      <c r="S29" s="1638"/>
      <c r="T29" s="1639"/>
      <c r="U29" s="2362"/>
      <c r="V29" s="1638"/>
      <c r="W29" s="1638"/>
      <c r="X29" s="1638"/>
      <c r="Y29" s="1639"/>
      <c r="Z29" s="2362"/>
      <c r="AA29" s="1638"/>
      <c r="AB29" s="1638"/>
      <c r="AC29" s="1638"/>
      <c r="AD29" s="1639"/>
      <c r="AE29" s="2362"/>
      <c r="AF29" s="1638"/>
      <c r="AG29" s="1638"/>
      <c r="AH29" s="1638"/>
      <c r="AI29" s="1639"/>
      <c r="AJ29" s="2362"/>
      <c r="AK29" s="1638"/>
      <c r="AL29" s="1638"/>
      <c r="AM29" s="1638"/>
      <c r="AN29" s="1639"/>
      <c r="AO29" s="2362"/>
      <c r="AP29" s="1638"/>
      <c r="AQ29" s="1638"/>
      <c r="AR29" s="1638"/>
      <c r="AS29" s="1639"/>
      <c r="AT29" s="2362"/>
      <c r="AU29" s="1638"/>
      <c r="AV29" s="1638"/>
      <c r="AW29" s="1638"/>
      <c r="AX29" s="1639"/>
      <c r="AY29" s="2362"/>
      <c r="AZ29" s="1638"/>
      <c r="BA29" s="1638"/>
      <c r="BB29" s="1638"/>
      <c r="BC29" s="1639"/>
      <c r="BD29" s="2362"/>
      <c r="BE29" s="1638"/>
      <c r="BF29" s="1638"/>
      <c r="BG29" s="1638"/>
      <c r="BH29" s="1639"/>
      <c r="BI29" s="2362"/>
      <c r="BJ29" s="1638"/>
      <c r="BK29" s="1638"/>
      <c r="BL29" s="1638"/>
      <c r="BM29" s="1639"/>
      <c r="BN29" s="2362"/>
      <c r="BO29" s="1638"/>
      <c r="BP29" s="1638"/>
      <c r="BQ29" s="1638"/>
      <c r="BR29" s="1639"/>
      <c r="ED29" s="13"/>
      <c r="EE29" s="13"/>
      <c r="EF29" s="13"/>
      <c r="EG29" s="13"/>
      <c r="EH29" s="13"/>
    </row>
    <row r="30" spans="1:138" s="22" customFormat="1" ht="111.75" customHeight="1" x14ac:dyDescent="1.35">
      <c r="A30" s="2356" t="s">
        <v>133</v>
      </c>
      <c r="B30" s="588">
        <v>139</v>
      </c>
      <c r="C30" s="589"/>
      <c r="D30" s="589"/>
      <c r="E30" s="590"/>
      <c r="F30" s="2356" t="s">
        <v>133</v>
      </c>
      <c r="G30" s="588">
        <v>140</v>
      </c>
      <c r="H30" s="589"/>
      <c r="I30" s="589"/>
      <c r="J30" s="590"/>
      <c r="K30" s="2356" t="s">
        <v>133</v>
      </c>
      <c r="L30" s="588">
        <v>141</v>
      </c>
      <c r="M30" s="589"/>
      <c r="N30" s="589"/>
      <c r="O30" s="590"/>
      <c r="P30" s="2356" t="s">
        <v>133</v>
      </c>
      <c r="Q30" s="588">
        <v>142</v>
      </c>
      <c r="R30" s="589"/>
      <c r="S30" s="589"/>
      <c r="T30" s="590"/>
      <c r="U30" s="2356" t="s">
        <v>133</v>
      </c>
      <c r="V30" s="588">
        <v>143</v>
      </c>
      <c r="W30" s="589"/>
      <c r="X30" s="589"/>
      <c r="Y30" s="590"/>
      <c r="Z30" s="2356" t="s">
        <v>133</v>
      </c>
      <c r="AA30" s="588">
        <v>144</v>
      </c>
      <c r="AB30" s="589"/>
      <c r="AC30" s="589"/>
      <c r="AD30" s="590"/>
      <c r="AE30" s="2356" t="s">
        <v>133</v>
      </c>
      <c r="AF30" s="588">
        <v>145</v>
      </c>
      <c r="AG30" s="589"/>
      <c r="AH30" s="589"/>
      <c r="AI30" s="590"/>
      <c r="AJ30" s="2356" t="s">
        <v>133</v>
      </c>
      <c r="AK30" s="588">
        <v>146</v>
      </c>
      <c r="AL30" s="589"/>
      <c r="AM30" s="589"/>
      <c r="AN30" s="590"/>
      <c r="AO30" s="2356" t="s">
        <v>133</v>
      </c>
      <c r="AP30" s="588">
        <v>147</v>
      </c>
      <c r="AQ30" s="589"/>
      <c r="AR30" s="589"/>
      <c r="AS30" s="590"/>
      <c r="AT30" s="2356" t="s">
        <v>133</v>
      </c>
      <c r="AU30" s="588">
        <v>148</v>
      </c>
      <c r="AV30" s="589"/>
      <c r="AW30" s="589"/>
      <c r="AX30" s="590"/>
      <c r="AY30" s="2356" t="s">
        <v>133</v>
      </c>
      <c r="AZ30" s="588">
        <v>149</v>
      </c>
      <c r="BA30" s="589"/>
      <c r="BB30" s="589"/>
      <c r="BC30" s="590"/>
      <c r="BD30" s="2356" t="s">
        <v>133</v>
      </c>
      <c r="BE30" s="588">
        <v>150</v>
      </c>
      <c r="BF30" s="589"/>
      <c r="BG30" s="589"/>
      <c r="BH30" s="590"/>
      <c r="BI30" s="2356" t="s">
        <v>133</v>
      </c>
      <c r="BJ30" s="588">
        <v>151</v>
      </c>
      <c r="BK30" s="589"/>
      <c r="BL30" s="589"/>
      <c r="BM30" s="590"/>
      <c r="BN30" s="2356" t="s">
        <v>133</v>
      </c>
      <c r="BO30" s="588">
        <v>152</v>
      </c>
      <c r="BP30" s="589"/>
      <c r="BQ30" s="589"/>
      <c r="BR30" s="590"/>
      <c r="CU30" s="378"/>
      <c r="ED30" s="317"/>
      <c r="EE30" s="317"/>
      <c r="EF30" s="317"/>
      <c r="EG30" s="317"/>
      <c r="EH30" s="317"/>
    </row>
    <row r="31" spans="1:138" ht="50.25" customHeight="1" thickBot="1" x14ac:dyDescent="0.3">
      <c r="A31" s="2357"/>
      <c r="B31" s="61">
        <v>9.9999999999999995E-8</v>
      </c>
      <c r="C31" s="62" t="s">
        <v>113</v>
      </c>
      <c r="D31" s="63"/>
      <c r="E31" s="64" t="s">
        <v>114</v>
      </c>
      <c r="F31" s="2357"/>
      <c r="G31" s="61">
        <v>1E-8</v>
      </c>
      <c r="H31" s="62" t="s">
        <v>113</v>
      </c>
      <c r="I31" s="63"/>
      <c r="J31" s="64" t="s">
        <v>114</v>
      </c>
      <c r="K31" s="2357"/>
      <c r="L31" s="61">
        <v>0.53339999999999999</v>
      </c>
      <c r="M31" s="62" t="s">
        <v>113</v>
      </c>
      <c r="N31" s="63"/>
      <c r="O31" s="64" t="s">
        <v>114</v>
      </c>
      <c r="P31" s="2357"/>
      <c r="Q31" s="61">
        <v>9.9999999999999998E-13</v>
      </c>
      <c r="R31" s="62" t="s">
        <v>113</v>
      </c>
      <c r="S31" s="63">
        <v>1</v>
      </c>
      <c r="T31" s="64" t="s">
        <v>114</v>
      </c>
      <c r="U31" s="2357"/>
      <c r="V31" s="61">
        <v>9.9999999999999998E-13</v>
      </c>
      <c r="W31" s="62" t="s">
        <v>113</v>
      </c>
      <c r="X31" s="63"/>
      <c r="Y31" s="64" t="s">
        <v>114</v>
      </c>
      <c r="Z31" s="2357"/>
      <c r="AA31" s="61">
        <v>2.1335999999999999</v>
      </c>
      <c r="AB31" s="62" t="s">
        <v>113</v>
      </c>
      <c r="AC31" s="63"/>
      <c r="AD31" s="64" t="s">
        <v>114</v>
      </c>
      <c r="AE31" s="2357"/>
      <c r="AF31" s="61">
        <v>0.48259999999999997</v>
      </c>
      <c r="AG31" s="62" t="s">
        <v>113</v>
      </c>
      <c r="AH31" s="63"/>
      <c r="AI31" s="64" t="s">
        <v>114</v>
      </c>
      <c r="AJ31" s="2357"/>
      <c r="AK31" s="61">
        <v>0.99060000000000004</v>
      </c>
      <c r="AL31" s="62" t="s">
        <v>113</v>
      </c>
      <c r="AM31" s="63"/>
      <c r="AN31" s="64" t="s">
        <v>114</v>
      </c>
      <c r="AO31" s="2357"/>
      <c r="AP31" s="61">
        <v>0.48259999999999997</v>
      </c>
      <c r="AQ31" s="62" t="s">
        <v>113</v>
      </c>
      <c r="AR31" s="63">
        <v>1</v>
      </c>
      <c r="AS31" s="64" t="s">
        <v>114</v>
      </c>
      <c r="AT31" s="2357"/>
      <c r="AU31" s="61">
        <v>0.33019999999999999</v>
      </c>
      <c r="AV31" s="62" t="s">
        <v>113</v>
      </c>
      <c r="AW31" s="63"/>
      <c r="AX31" s="64" t="s">
        <v>114</v>
      </c>
      <c r="AY31" s="2357"/>
      <c r="AZ31" s="61">
        <v>1E-14</v>
      </c>
      <c r="BA31" s="62" t="s">
        <v>113</v>
      </c>
      <c r="BB31" s="63"/>
      <c r="BC31" s="64" t="s">
        <v>114</v>
      </c>
      <c r="BD31" s="2357"/>
      <c r="BE31" s="61">
        <v>0.55879999999999996</v>
      </c>
      <c r="BF31" s="62" t="s">
        <v>113</v>
      </c>
      <c r="BG31" s="63"/>
      <c r="BH31" s="64" t="s">
        <v>114</v>
      </c>
      <c r="BI31" s="2357"/>
      <c r="BJ31" s="61">
        <v>0.30480000000000002</v>
      </c>
      <c r="BK31" s="62" t="s">
        <v>113</v>
      </c>
      <c r="BL31" s="63"/>
      <c r="BM31" s="64" t="s">
        <v>114</v>
      </c>
      <c r="BN31" s="2357"/>
      <c r="BO31" s="61">
        <v>1.6763999999999999</v>
      </c>
      <c r="BP31" s="62" t="s">
        <v>113</v>
      </c>
      <c r="BQ31" s="63">
        <v>1</v>
      </c>
      <c r="BR31" s="64" t="s">
        <v>114</v>
      </c>
      <c r="BW31" s="27"/>
      <c r="BX31" s="27"/>
      <c r="BY31" s="27"/>
      <c r="BZ31" s="27"/>
      <c r="CA31" s="27"/>
      <c r="CB31" s="27"/>
      <c r="CC31" s="27"/>
      <c r="CD31" s="27"/>
      <c r="CE31" s="27"/>
      <c r="ED31" s="13"/>
      <c r="EE31" s="13"/>
      <c r="EF31" s="13"/>
      <c r="EG31" s="13"/>
      <c r="EH31" s="13"/>
    </row>
    <row r="32" spans="1:138" ht="42.75" customHeight="1" thickTop="1" x14ac:dyDescent="0.25">
      <c r="A32" s="2370" t="s">
        <v>110</v>
      </c>
      <c r="B32" s="2371"/>
      <c r="C32" s="2372">
        <f t="shared" ref="C32" si="63">B37/((66*3.1415/64)*(45/3.281))</f>
        <v>1.3719479949904908E-2</v>
      </c>
      <c r="D32" s="2372"/>
      <c r="E32" s="2404"/>
      <c r="F32" s="2370" t="s">
        <v>110</v>
      </c>
      <c r="G32" s="2371"/>
      <c r="H32" s="2372">
        <f t="shared" ref="H32" si="64">G37/((66*3.1415/64)*(45/3.281))</f>
        <v>5.9451079782921259E-2</v>
      </c>
      <c r="I32" s="2372"/>
      <c r="J32" s="2404"/>
      <c r="K32" s="2370" t="s">
        <v>110</v>
      </c>
      <c r="L32" s="2371"/>
      <c r="M32" s="2372">
        <f t="shared" ref="M32" si="65">L37/((66*3.1415/64)*(45/3.281))</f>
        <v>2.2505708579240334E-10</v>
      </c>
      <c r="N32" s="2372"/>
      <c r="O32" s="2404"/>
      <c r="P32" s="2098" t="s">
        <v>110</v>
      </c>
      <c r="Q32" s="2099"/>
      <c r="R32" s="2100">
        <f>Q37/((66*3.1415/64)*(50/3.281))</f>
        <v>1.3368390896068758E-2</v>
      </c>
      <c r="S32" s="2100"/>
      <c r="T32" s="2101"/>
      <c r="U32" s="2098" t="s">
        <v>110</v>
      </c>
      <c r="V32" s="2099"/>
      <c r="W32" s="2100">
        <f t="shared" ref="W32" si="66">V37/((66*3.1415/64)*(50/3.281))</f>
        <v>2.02551377213163E-9</v>
      </c>
      <c r="X32" s="2100"/>
      <c r="Y32" s="2101"/>
      <c r="Z32" s="2098" t="s">
        <v>110</v>
      </c>
      <c r="AA32" s="2099"/>
      <c r="AB32" s="2100">
        <f t="shared" ref="AB32" si="67">AA37/((66*3.1415/64)*(50/3.281))</f>
        <v>2.7769793815924648E-2</v>
      </c>
      <c r="AC32" s="2100"/>
      <c r="AD32" s="2101"/>
      <c r="AE32" s="2098" t="s">
        <v>110</v>
      </c>
      <c r="AF32" s="2099"/>
      <c r="AG32" s="2100">
        <f t="shared" ref="AG32" si="68">AF37/((66*3.1415/64)*(50/3.281))</f>
        <v>7.0483828242636465E-2</v>
      </c>
      <c r="AH32" s="2100"/>
      <c r="AI32" s="2101"/>
      <c r="AJ32" s="2098" t="s">
        <v>110</v>
      </c>
      <c r="AK32" s="2099"/>
      <c r="AL32" s="2100">
        <f t="shared" ref="AL32" si="69">AK37/((66*3.1415/64)*(50/3.281))</f>
        <v>2.0457689098529463E-3</v>
      </c>
      <c r="AM32" s="2100"/>
      <c r="AN32" s="2101"/>
      <c r="AO32" s="2098" t="s">
        <v>110</v>
      </c>
      <c r="AP32" s="2099"/>
      <c r="AQ32" s="2100">
        <f t="shared" ref="AQ32" si="70">AP37/((66*3.1415/64)*(50/3.281))</f>
        <v>2.0457689098529463E-3</v>
      </c>
      <c r="AR32" s="2100"/>
      <c r="AS32" s="2101"/>
      <c r="AT32" s="2098" t="s">
        <v>110</v>
      </c>
      <c r="AU32" s="2099"/>
      <c r="AV32" s="2100">
        <f t="shared" ref="AV32" si="71">AU37/((66*3.1415/64)*(50/3.281))</f>
        <v>5.6592854793357733E-3</v>
      </c>
      <c r="AW32" s="2100"/>
      <c r="AX32" s="2101"/>
      <c r="AY32" s="2098" t="s">
        <v>110</v>
      </c>
      <c r="AZ32" s="2099"/>
      <c r="BA32" s="2100">
        <f t="shared" ref="BA32" si="72">AZ37/((66*3.1415/64)*(50/3.281))</f>
        <v>2.02551377213163E-10</v>
      </c>
      <c r="BB32" s="2100"/>
      <c r="BC32" s="2101"/>
      <c r="BD32" s="2098" t="s">
        <v>110</v>
      </c>
      <c r="BE32" s="2099"/>
      <c r="BF32" s="2100">
        <f t="shared" ref="BF32" si="73">BE37/((66*3.1415/64)*(50/3.281))</f>
        <v>1.2862012453035851E-2</v>
      </c>
      <c r="BG32" s="2100"/>
      <c r="BH32" s="2101"/>
      <c r="BI32" s="2098" t="s">
        <v>110</v>
      </c>
      <c r="BJ32" s="2099"/>
      <c r="BK32" s="2100">
        <f t="shared" ref="BK32" si="74">BJ37/((66*3.1415/64)*(50/3.281))</f>
        <v>2.0255137721316298E-14</v>
      </c>
      <c r="BL32" s="2100"/>
      <c r="BM32" s="2101"/>
      <c r="BN32" s="2098" t="s">
        <v>110</v>
      </c>
      <c r="BO32" s="2099"/>
      <c r="BP32" s="2100">
        <f t="shared" ref="BP32" si="75">BO37/((66*3.1415/64)*(50/3.281))</f>
        <v>1.028960996242868E-2</v>
      </c>
      <c r="BQ32" s="2100"/>
      <c r="BR32" s="2101"/>
      <c r="ED32" s="13"/>
      <c r="EE32" s="13"/>
      <c r="EF32" s="13"/>
      <c r="EG32" s="13"/>
      <c r="EH32" s="13"/>
    </row>
    <row r="33" spans="1:138" ht="6.75" customHeight="1" x14ac:dyDescent="0.25">
      <c r="A33" s="2360" t="s">
        <v>489</v>
      </c>
      <c r="B33" s="1632"/>
      <c r="C33" s="1632"/>
      <c r="D33" s="1632"/>
      <c r="E33" s="1633"/>
      <c r="F33" s="2360" t="s">
        <v>489</v>
      </c>
      <c r="G33" s="1632"/>
      <c r="H33" s="1632"/>
      <c r="I33" s="1632"/>
      <c r="J33" s="1633"/>
      <c r="K33" s="2360" t="s">
        <v>489</v>
      </c>
      <c r="L33" s="1632"/>
      <c r="M33" s="1632"/>
      <c r="N33" s="1632"/>
      <c r="O33" s="1633"/>
      <c r="P33" s="1791" t="s">
        <v>489</v>
      </c>
      <c r="Q33" s="1792"/>
      <c r="R33" s="1792"/>
      <c r="S33" s="1792"/>
      <c r="T33" s="1793"/>
      <c r="U33" s="1791" t="s">
        <v>489</v>
      </c>
      <c r="V33" s="1792"/>
      <c r="W33" s="1792"/>
      <c r="X33" s="1792"/>
      <c r="Y33" s="1793"/>
      <c r="Z33" s="1791" t="s">
        <v>489</v>
      </c>
      <c r="AA33" s="1792"/>
      <c r="AB33" s="1792"/>
      <c r="AC33" s="1792"/>
      <c r="AD33" s="1793"/>
      <c r="AE33" s="1791" t="s">
        <v>489</v>
      </c>
      <c r="AF33" s="1792"/>
      <c r="AG33" s="1792"/>
      <c r="AH33" s="1792"/>
      <c r="AI33" s="1793"/>
      <c r="AJ33" s="1791" t="s">
        <v>489</v>
      </c>
      <c r="AK33" s="1792"/>
      <c r="AL33" s="1792"/>
      <c r="AM33" s="1792"/>
      <c r="AN33" s="1793"/>
      <c r="AO33" s="1791" t="s">
        <v>489</v>
      </c>
      <c r="AP33" s="1792"/>
      <c r="AQ33" s="1792"/>
      <c r="AR33" s="1792"/>
      <c r="AS33" s="1793"/>
      <c r="AT33" s="1791" t="s">
        <v>489</v>
      </c>
      <c r="AU33" s="1792"/>
      <c r="AV33" s="1792"/>
      <c r="AW33" s="1792"/>
      <c r="AX33" s="1793"/>
      <c r="AY33" s="1791" t="s">
        <v>489</v>
      </c>
      <c r="AZ33" s="1792"/>
      <c r="BA33" s="1792"/>
      <c r="BB33" s="1792"/>
      <c r="BC33" s="1793"/>
      <c r="BD33" s="1791" t="s">
        <v>489</v>
      </c>
      <c r="BE33" s="1792"/>
      <c r="BF33" s="1792"/>
      <c r="BG33" s="1792"/>
      <c r="BH33" s="1793"/>
      <c r="BI33" s="1791" t="s">
        <v>489</v>
      </c>
      <c r="BJ33" s="1792"/>
      <c r="BK33" s="1792"/>
      <c r="BL33" s="1792"/>
      <c r="BM33" s="1793"/>
      <c r="BN33" s="1791" t="s">
        <v>489</v>
      </c>
      <c r="BO33" s="1792"/>
      <c r="BP33" s="1792"/>
      <c r="BQ33" s="1792"/>
      <c r="BR33" s="1793"/>
      <c r="ED33" s="57"/>
      <c r="EE33" s="57"/>
      <c r="EF33" s="57"/>
      <c r="EG33" s="57"/>
      <c r="EH33" s="57"/>
    </row>
    <row r="34" spans="1:138" ht="18.75" customHeight="1" x14ac:dyDescent="0.25">
      <c r="A34" s="2361"/>
      <c r="B34" s="1635"/>
      <c r="C34" s="1635"/>
      <c r="D34" s="1635"/>
      <c r="E34" s="1636"/>
      <c r="F34" s="2361"/>
      <c r="G34" s="1635"/>
      <c r="H34" s="1635"/>
      <c r="I34" s="1635"/>
      <c r="J34" s="1636"/>
      <c r="K34" s="2361"/>
      <c r="L34" s="1635"/>
      <c r="M34" s="1635"/>
      <c r="N34" s="1635"/>
      <c r="O34" s="1636"/>
      <c r="P34" s="2363"/>
      <c r="Q34" s="2364"/>
      <c r="R34" s="2364"/>
      <c r="S34" s="2364"/>
      <c r="T34" s="2365"/>
      <c r="U34" s="2363"/>
      <c r="V34" s="2364"/>
      <c r="W34" s="2364"/>
      <c r="X34" s="2364"/>
      <c r="Y34" s="2365"/>
      <c r="Z34" s="2363"/>
      <c r="AA34" s="2364"/>
      <c r="AB34" s="2364"/>
      <c r="AC34" s="2364"/>
      <c r="AD34" s="2365"/>
      <c r="AE34" s="2363"/>
      <c r="AF34" s="2364"/>
      <c r="AG34" s="2364"/>
      <c r="AH34" s="2364"/>
      <c r="AI34" s="2365"/>
      <c r="AJ34" s="2363"/>
      <c r="AK34" s="2364"/>
      <c r="AL34" s="2364"/>
      <c r="AM34" s="2364"/>
      <c r="AN34" s="2365"/>
      <c r="AO34" s="2363"/>
      <c r="AP34" s="2364"/>
      <c r="AQ34" s="2364"/>
      <c r="AR34" s="2364"/>
      <c r="AS34" s="2365"/>
      <c r="AT34" s="2363"/>
      <c r="AU34" s="2364"/>
      <c r="AV34" s="2364"/>
      <c r="AW34" s="2364"/>
      <c r="AX34" s="2365"/>
      <c r="AY34" s="2363"/>
      <c r="AZ34" s="2364"/>
      <c r="BA34" s="2364"/>
      <c r="BB34" s="2364"/>
      <c r="BC34" s="2365"/>
      <c r="BD34" s="2363"/>
      <c r="BE34" s="2364"/>
      <c r="BF34" s="2364"/>
      <c r="BG34" s="2364"/>
      <c r="BH34" s="2365"/>
      <c r="BI34" s="2363"/>
      <c r="BJ34" s="2364"/>
      <c r="BK34" s="2364"/>
      <c r="BL34" s="2364"/>
      <c r="BM34" s="2365"/>
      <c r="BN34" s="2363"/>
      <c r="BO34" s="2364"/>
      <c r="BP34" s="2364"/>
      <c r="BQ34" s="2364"/>
      <c r="BR34" s="2365"/>
      <c r="ED34" s="57"/>
      <c r="EE34" s="57"/>
      <c r="EF34" s="57"/>
      <c r="EG34" s="57"/>
      <c r="EH34" s="57"/>
    </row>
    <row r="35" spans="1:138" ht="6" hidden="1" customHeight="1" x14ac:dyDescent="0.25">
      <c r="A35" s="2362"/>
      <c r="B35" s="1638"/>
      <c r="C35" s="1638"/>
      <c r="D35" s="1638"/>
      <c r="E35" s="1639"/>
      <c r="F35" s="2362"/>
      <c r="G35" s="1638"/>
      <c r="H35" s="1638"/>
      <c r="I35" s="1638"/>
      <c r="J35" s="1639"/>
      <c r="K35" s="2362"/>
      <c r="L35" s="1638"/>
      <c r="M35" s="1638"/>
      <c r="N35" s="1638"/>
      <c r="O35" s="1639"/>
      <c r="P35" s="1794"/>
      <c r="Q35" s="1795"/>
      <c r="R35" s="1795"/>
      <c r="S35" s="1795"/>
      <c r="T35" s="1796"/>
      <c r="U35" s="1794"/>
      <c r="V35" s="1795"/>
      <c r="W35" s="1795"/>
      <c r="X35" s="1795"/>
      <c r="Y35" s="1796"/>
      <c r="Z35" s="1794"/>
      <c r="AA35" s="1795"/>
      <c r="AB35" s="1795"/>
      <c r="AC35" s="1795"/>
      <c r="AD35" s="1796"/>
      <c r="AE35" s="1794"/>
      <c r="AF35" s="1795"/>
      <c r="AG35" s="1795"/>
      <c r="AH35" s="1795"/>
      <c r="AI35" s="1796"/>
      <c r="AJ35" s="1794"/>
      <c r="AK35" s="1795"/>
      <c r="AL35" s="1795"/>
      <c r="AM35" s="1795"/>
      <c r="AN35" s="1796"/>
      <c r="AO35" s="1794"/>
      <c r="AP35" s="1795"/>
      <c r="AQ35" s="1795"/>
      <c r="AR35" s="1795"/>
      <c r="AS35" s="1796"/>
      <c r="AT35" s="1794"/>
      <c r="AU35" s="1795"/>
      <c r="AV35" s="1795"/>
      <c r="AW35" s="1795"/>
      <c r="AX35" s="1796"/>
      <c r="AY35" s="1794"/>
      <c r="AZ35" s="1795"/>
      <c r="BA35" s="1795"/>
      <c r="BB35" s="1795"/>
      <c r="BC35" s="1796"/>
      <c r="BD35" s="1794"/>
      <c r="BE35" s="1795"/>
      <c r="BF35" s="1795"/>
      <c r="BG35" s="1795"/>
      <c r="BH35" s="1796"/>
      <c r="BI35" s="1794"/>
      <c r="BJ35" s="1795"/>
      <c r="BK35" s="1795"/>
      <c r="BL35" s="1795"/>
      <c r="BM35" s="1796"/>
      <c r="BN35" s="1794"/>
      <c r="BO35" s="1795"/>
      <c r="BP35" s="1795"/>
      <c r="BQ35" s="1795"/>
      <c r="BR35" s="1796"/>
      <c r="ED35" s="57"/>
      <c r="EE35" s="57"/>
      <c r="EF35" s="57"/>
      <c r="EG35" s="57"/>
      <c r="EH35" s="57"/>
    </row>
    <row r="36" spans="1:138" s="22" customFormat="1" ht="111.75" customHeight="1" x14ac:dyDescent="1.35">
      <c r="A36" s="2356" t="s">
        <v>133</v>
      </c>
      <c r="B36" s="588">
        <v>153</v>
      </c>
      <c r="C36" s="589"/>
      <c r="D36" s="589"/>
      <c r="E36" s="590"/>
      <c r="F36" s="2356" t="s">
        <v>133</v>
      </c>
      <c r="G36" s="588">
        <v>154</v>
      </c>
      <c r="H36" s="589"/>
      <c r="I36" s="589"/>
      <c r="J36" s="590"/>
      <c r="K36" s="2356" t="s">
        <v>133</v>
      </c>
      <c r="L36" s="588">
        <v>207</v>
      </c>
      <c r="M36" s="589"/>
      <c r="N36" s="589"/>
      <c r="O36" s="590"/>
      <c r="P36" s="2092" t="s">
        <v>131</v>
      </c>
      <c r="Q36" s="588">
        <v>20</v>
      </c>
      <c r="R36" s="589"/>
      <c r="S36" s="589"/>
      <c r="T36" s="590"/>
      <c r="U36" s="2092" t="s">
        <v>131</v>
      </c>
      <c r="V36" s="588">
        <v>21</v>
      </c>
      <c r="W36" s="589"/>
      <c r="X36" s="589"/>
      <c r="Y36" s="590"/>
      <c r="Z36" s="2092" t="s">
        <v>131</v>
      </c>
      <c r="AA36" s="588">
        <v>22</v>
      </c>
      <c r="AB36" s="589"/>
      <c r="AC36" s="589"/>
      <c r="AD36" s="590"/>
      <c r="AE36" s="2092" t="s">
        <v>131</v>
      </c>
      <c r="AF36" s="588">
        <v>23</v>
      </c>
      <c r="AG36" s="589"/>
      <c r="AH36" s="589"/>
      <c r="AI36" s="590"/>
      <c r="AJ36" s="2092" t="s">
        <v>131</v>
      </c>
      <c r="AK36" s="588">
        <v>24</v>
      </c>
      <c r="AL36" s="589"/>
      <c r="AM36" s="589"/>
      <c r="AN36" s="590"/>
      <c r="AO36" s="2092" t="s">
        <v>131</v>
      </c>
      <c r="AP36" s="588">
        <v>25</v>
      </c>
      <c r="AQ36" s="589"/>
      <c r="AR36" s="589"/>
      <c r="AS36" s="590"/>
      <c r="AT36" s="2092" t="s">
        <v>131</v>
      </c>
      <c r="AU36" s="588">
        <v>26</v>
      </c>
      <c r="AV36" s="589"/>
      <c r="AW36" s="589"/>
      <c r="AX36" s="590"/>
      <c r="AY36" s="2092" t="s">
        <v>131</v>
      </c>
      <c r="AZ36" s="588">
        <v>27</v>
      </c>
      <c r="BA36" s="589"/>
      <c r="BB36" s="589"/>
      <c r="BC36" s="590"/>
      <c r="BD36" s="2092" t="s">
        <v>131</v>
      </c>
      <c r="BE36" s="588">
        <v>41</v>
      </c>
      <c r="BF36" s="589"/>
      <c r="BG36" s="589"/>
      <c r="BH36" s="590"/>
      <c r="BI36" s="2092" t="s">
        <v>131</v>
      </c>
      <c r="BJ36" s="588">
        <v>42</v>
      </c>
      <c r="BK36" s="589"/>
      <c r="BL36" s="589"/>
      <c r="BM36" s="590"/>
      <c r="BN36" s="2092" t="s">
        <v>131</v>
      </c>
      <c r="BO36" s="588">
        <v>29</v>
      </c>
      <c r="BP36" s="589"/>
      <c r="BQ36" s="589"/>
      <c r="BR36" s="590"/>
      <c r="ED36" s="317"/>
      <c r="EE36" s="317"/>
      <c r="EF36" s="317"/>
      <c r="EG36" s="317"/>
      <c r="EH36" s="317"/>
    </row>
    <row r="37" spans="1:138" ht="50.25" customHeight="1" thickBot="1" x14ac:dyDescent="0.3">
      <c r="A37" s="2357"/>
      <c r="B37" s="61">
        <v>0.60960000000000003</v>
      </c>
      <c r="C37" s="62" t="s">
        <v>113</v>
      </c>
      <c r="D37" s="63"/>
      <c r="E37" s="64" t="s">
        <v>114</v>
      </c>
      <c r="F37" s="2357"/>
      <c r="G37" s="61">
        <v>2.6415999999999999</v>
      </c>
      <c r="H37" s="62" t="s">
        <v>113</v>
      </c>
      <c r="I37" s="63"/>
      <c r="J37" s="64" t="s">
        <v>114</v>
      </c>
      <c r="K37" s="2357"/>
      <c r="L37" s="61">
        <v>1E-8</v>
      </c>
      <c r="M37" s="62" t="s">
        <v>113</v>
      </c>
      <c r="N37" s="63"/>
      <c r="O37" s="64" t="s">
        <v>114</v>
      </c>
      <c r="P37" s="2093"/>
      <c r="Q37" s="61">
        <v>0.66</v>
      </c>
      <c r="R37" s="62" t="s">
        <v>113</v>
      </c>
      <c r="S37" s="63"/>
      <c r="T37" s="64" t="s">
        <v>114</v>
      </c>
      <c r="U37" s="2093"/>
      <c r="V37" s="61">
        <v>9.9999999999999995E-8</v>
      </c>
      <c r="W37" s="62" t="s">
        <v>113</v>
      </c>
      <c r="X37" s="63"/>
      <c r="Y37" s="64" t="s">
        <v>114</v>
      </c>
      <c r="Z37" s="2093"/>
      <c r="AA37" s="61">
        <v>1.371</v>
      </c>
      <c r="AB37" s="62" t="s">
        <v>113</v>
      </c>
      <c r="AC37" s="63">
        <v>1</v>
      </c>
      <c r="AD37" s="64" t="s">
        <v>114</v>
      </c>
      <c r="AE37" s="2093"/>
      <c r="AF37" s="61">
        <v>3.4798</v>
      </c>
      <c r="AG37" s="62" t="s">
        <v>113</v>
      </c>
      <c r="AH37" s="63"/>
      <c r="AI37" s="64" t="s">
        <v>114</v>
      </c>
      <c r="AJ37" s="2093"/>
      <c r="AK37" s="61">
        <v>0.10100000000000001</v>
      </c>
      <c r="AL37" s="62" t="s">
        <v>113</v>
      </c>
      <c r="AM37" s="63"/>
      <c r="AN37" s="64" t="s">
        <v>114</v>
      </c>
      <c r="AO37" s="2093"/>
      <c r="AP37" s="61">
        <v>0.10100000000000001</v>
      </c>
      <c r="AQ37" s="62" t="s">
        <v>113</v>
      </c>
      <c r="AR37" s="63"/>
      <c r="AS37" s="64" t="s">
        <v>114</v>
      </c>
      <c r="AT37" s="2093"/>
      <c r="AU37" s="61">
        <v>0.27939999999999998</v>
      </c>
      <c r="AV37" s="62" t="s">
        <v>113</v>
      </c>
      <c r="AW37" s="63">
        <v>1</v>
      </c>
      <c r="AX37" s="64" t="s">
        <v>114</v>
      </c>
      <c r="AY37" s="2093"/>
      <c r="AZ37" s="61">
        <v>1E-8</v>
      </c>
      <c r="BA37" s="62" t="s">
        <v>113</v>
      </c>
      <c r="BB37" s="63"/>
      <c r="BC37" s="64" t="s">
        <v>114</v>
      </c>
      <c r="BD37" s="2093"/>
      <c r="BE37" s="61">
        <v>0.63500000000000001</v>
      </c>
      <c r="BF37" s="62" t="s">
        <v>113</v>
      </c>
      <c r="BG37" s="63"/>
      <c r="BH37" s="64" t="s">
        <v>114</v>
      </c>
      <c r="BI37" s="2093"/>
      <c r="BJ37" s="61">
        <v>9.9999999999999998E-13</v>
      </c>
      <c r="BK37" s="62" t="s">
        <v>113</v>
      </c>
      <c r="BL37" s="63"/>
      <c r="BM37" s="64" t="s">
        <v>114</v>
      </c>
      <c r="BN37" s="2093"/>
      <c r="BO37" s="61">
        <v>0.50800000000000001</v>
      </c>
      <c r="BP37" s="62" t="s">
        <v>113</v>
      </c>
      <c r="BQ37" s="63">
        <v>1</v>
      </c>
      <c r="BR37" s="64" t="s">
        <v>114</v>
      </c>
      <c r="BW37" s="27"/>
      <c r="BX37" s="27"/>
      <c r="BY37" s="27"/>
      <c r="BZ37" s="27"/>
      <c r="CA37" s="27"/>
      <c r="CB37" s="27"/>
      <c r="CC37" s="27"/>
      <c r="CD37" s="27"/>
      <c r="CE37" s="27"/>
      <c r="ED37" s="13"/>
      <c r="EE37" s="13"/>
      <c r="EF37" s="13"/>
      <c r="EG37" s="13"/>
      <c r="EH37" s="13"/>
    </row>
    <row r="38" spans="1:138" ht="36" customHeight="1" thickTop="1" x14ac:dyDescent="0.25">
      <c r="A38" s="2098" t="s">
        <v>110</v>
      </c>
      <c r="B38" s="2099"/>
      <c r="C38" s="2100">
        <f t="shared" ref="C38" si="76">B43/((66*3.1415/64)*(50/3.281))</f>
        <v>2.0255137721316298E-21</v>
      </c>
      <c r="D38" s="2100"/>
      <c r="E38" s="2101"/>
      <c r="F38" s="2098" t="s">
        <v>110</v>
      </c>
      <c r="G38" s="2099"/>
      <c r="H38" s="2100">
        <f t="shared" ref="H38" si="77">G43/((66*3.1415/64)*(50/3.281))</f>
        <v>2.0255137721316298E-18</v>
      </c>
      <c r="I38" s="2100"/>
      <c r="J38" s="2101"/>
      <c r="K38" s="2098" t="s">
        <v>110</v>
      </c>
      <c r="L38" s="2099"/>
      <c r="M38" s="2100">
        <f t="shared" ref="M38" si="78">L43/((66*3.1415/64)*(50/3.281))</f>
        <v>2.02551377213163E-7</v>
      </c>
      <c r="N38" s="2100"/>
      <c r="O38" s="2101"/>
      <c r="P38" s="2098" t="s">
        <v>110</v>
      </c>
      <c r="Q38" s="2099"/>
      <c r="R38" s="2100">
        <f t="shared" ref="R38" si="79">Q43/((66*3.1415/64)*(50/3.281))</f>
        <v>2.0255137721316298E-14</v>
      </c>
      <c r="S38" s="2100"/>
      <c r="T38" s="2101"/>
      <c r="U38" s="2098" t="s">
        <v>110</v>
      </c>
      <c r="V38" s="2099"/>
      <c r="W38" s="2100">
        <f t="shared" ref="W38" si="80">V43/((66*3.1415/64)*(50/3.281))</f>
        <v>2.02551377213163E-11</v>
      </c>
      <c r="X38" s="2100"/>
      <c r="Y38" s="2101"/>
      <c r="Z38" s="2098" t="s">
        <v>110</v>
      </c>
      <c r="AA38" s="2099"/>
      <c r="AB38" s="2100">
        <f t="shared" ref="AB38" si="81">AA43/((66*3.1415/64)*(50/3.281))</f>
        <v>2.0255137721316301E-12</v>
      </c>
      <c r="AC38" s="2100"/>
      <c r="AD38" s="2101"/>
      <c r="AE38" s="2098" t="s">
        <v>110</v>
      </c>
      <c r="AF38" s="2099"/>
      <c r="AG38" s="2100">
        <f t="shared" ref="AG38" si="82">AF43/((66*3.1415/64)*(50/3.281))</f>
        <v>2.0255137721316301E-15</v>
      </c>
      <c r="AH38" s="2100"/>
      <c r="AI38" s="2101"/>
      <c r="AJ38" s="2098" t="s">
        <v>110</v>
      </c>
      <c r="AK38" s="2099"/>
      <c r="AL38" s="2100">
        <f t="shared" ref="AL38" si="83">AK43/((66*3.1415/64)*(50/3.281))</f>
        <v>2.02551377213163E-10</v>
      </c>
      <c r="AM38" s="2100"/>
      <c r="AN38" s="2101"/>
      <c r="AO38" s="2098" t="s">
        <v>110</v>
      </c>
      <c r="AP38" s="2099"/>
      <c r="AQ38" s="2100">
        <f t="shared" ref="AQ38" si="84">AP43/((66*3.1415/64)*(50/3.281))</f>
        <v>1.028960996242868E-2</v>
      </c>
      <c r="AR38" s="2100"/>
      <c r="AS38" s="2101"/>
      <c r="AT38" s="2098" t="s">
        <v>110</v>
      </c>
      <c r="AU38" s="2099"/>
      <c r="AV38" s="2100">
        <f t="shared" ref="AV38" si="85">AU43/((66*3.1415/64)*(50/3.281))</f>
        <v>6.1575618672801546E-3</v>
      </c>
      <c r="AW38" s="2100"/>
      <c r="AX38" s="2101"/>
      <c r="AY38" s="2098" t="s">
        <v>110</v>
      </c>
      <c r="AZ38" s="2099"/>
      <c r="BA38" s="2100">
        <f t="shared" ref="BA38" si="86">AZ43/((66*3.1415/64)*(50/3.281))</f>
        <v>2.0255137721316299E-13</v>
      </c>
      <c r="BB38" s="2100"/>
      <c r="BC38" s="2101"/>
      <c r="BD38" s="2098" t="s">
        <v>110</v>
      </c>
      <c r="BE38" s="2099"/>
      <c r="BF38" s="2100">
        <f t="shared" ref="BF38" si="87">BE43/((66*3.1415/64)*(50/3.281))</f>
        <v>3.0868829887286042E-3</v>
      </c>
      <c r="BG38" s="2100"/>
      <c r="BH38" s="2101"/>
      <c r="BI38" s="2098" t="s">
        <v>110</v>
      </c>
      <c r="BJ38" s="2099"/>
      <c r="BK38" s="2100">
        <f t="shared" ref="BK38" si="88">BJ43/((66*3.1415/64)*(50/3.281))</f>
        <v>2.2122661419221663E-2</v>
      </c>
      <c r="BL38" s="2100"/>
      <c r="BM38" s="2101"/>
      <c r="BN38" s="2098" t="s">
        <v>110</v>
      </c>
      <c r="BO38" s="2099"/>
      <c r="BP38" s="2100">
        <f t="shared" ref="BP38" si="89">BO43/((66*3.1415/64)*(50/3.281))</f>
        <v>2.0255137721316302E-33</v>
      </c>
      <c r="BQ38" s="2100"/>
      <c r="BR38" s="2101"/>
      <c r="ED38" s="13"/>
      <c r="EE38" s="13"/>
      <c r="EF38" s="13"/>
      <c r="EG38" s="13"/>
      <c r="EH38" s="13"/>
    </row>
    <row r="39" spans="1:138" ht="6.75" customHeight="1" x14ac:dyDescent="0.25">
      <c r="A39" s="1791" t="s">
        <v>489</v>
      </c>
      <c r="B39" s="1792"/>
      <c r="C39" s="1792"/>
      <c r="D39" s="1792"/>
      <c r="E39" s="1793"/>
      <c r="F39" s="1791" t="s">
        <v>489</v>
      </c>
      <c r="G39" s="1792"/>
      <c r="H39" s="1792"/>
      <c r="I39" s="1792"/>
      <c r="J39" s="1793"/>
      <c r="K39" s="1791" t="s">
        <v>489</v>
      </c>
      <c r="L39" s="1792"/>
      <c r="M39" s="1792"/>
      <c r="N39" s="1792"/>
      <c r="O39" s="1793"/>
      <c r="P39" s="1791" t="s">
        <v>489</v>
      </c>
      <c r="Q39" s="1792"/>
      <c r="R39" s="1792"/>
      <c r="S39" s="1792"/>
      <c r="T39" s="1793"/>
      <c r="U39" s="1791" t="s">
        <v>489</v>
      </c>
      <c r="V39" s="1792"/>
      <c r="W39" s="1792"/>
      <c r="X39" s="1792"/>
      <c r="Y39" s="1793"/>
      <c r="Z39" s="1791" t="s">
        <v>489</v>
      </c>
      <c r="AA39" s="1792"/>
      <c r="AB39" s="1792"/>
      <c r="AC39" s="1792"/>
      <c r="AD39" s="1793"/>
      <c r="AE39" s="1791" t="s">
        <v>489</v>
      </c>
      <c r="AF39" s="1792"/>
      <c r="AG39" s="1792"/>
      <c r="AH39" s="1792"/>
      <c r="AI39" s="1793"/>
      <c r="AJ39" s="1791" t="s">
        <v>489</v>
      </c>
      <c r="AK39" s="1792"/>
      <c r="AL39" s="1792"/>
      <c r="AM39" s="1792"/>
      <c r="AN39" s="1793"/>
      <c r="AO39" s="1791" t="s">
        <v>489</v>
      </c>
      <c r="AP39" s="1792"/>
      <c r="AQ39" s="1792"/>
      <c r="AR39" s="1792"/>
      <c r="AS39" s="1793"/>
      <c r="AT39" s="1791" t="s">
        <v>489</v>
      </c>
      <c r="AU39" s="1792"/>
      <c r="AV39" s="1792"/>
      <c r="AW39" s="1792"/>
      <c r="AX39" s="1793"/>
      <c r="AY39" s="1791" t="s">
        <v>489</v>
      </c>
      <c r="AZ39" s="1792"/>
      <c r="BA39" s="1792"/>
      <c r="BB39" s="1792"/>
      <c r="BC39" s="1793"/>
      <c r="BD39" s="1791" t="s">
        <v>489</v>
      </c>
      <c r="BE39" s="1792"/>
      <c r="BF39" s="1792"/>
      <c r="BG39" s="1792"/>
      <c r="BH39" s="1793"/>
      <c r="BI39" s="1791" t="s">
        <v>489</v>
      </c>
      <c r="BJ39" s="1792"/>
      <c r="BK39" s="1792"/>
      <c r="BL39" s="1792"/>
      <c r="BM39" s="1793"/>
      <c r="BN39" s="1791" t="s">
        <v>489</v>
      </c>
      <c r="BO39" s="1792"/>
      <c r="BP39" s="1792"/>
      <c r="BQ39" s="1792"/>
      <c r="BR39" s="1793"/>
      <c r="ED39" s="13"/>
      <c r="EE39" s="13"/>
      <c r="EF39" s="13"/>
      <c r="EG39" s="13"/>
      <c r="EH39" s="13"/>
    </row>
    <row r="40" spans="1:138" ht="15.75" customHeight="1" x14ac:dyDescent="0.25">
      <c r="A40" s="2363"/>
      <c r="B40" s="2364"/>
      <c r="C40" s="2364"/>
      <c r="D40" s="2364"/>
      <c r="E40" s="2365"/>
      <c r="F40" s="2363"/>
      <c r="G40" s="2364"/>
      <c r="H40" s="2364"/>
      <c r="I40" s="2364"/>
      <c r="J40" s="2365"/>
      <c r="K40" s="2363"/>
      <c r="L40" s="2364"/>
      <c r="M40" s="2364"/>
      <c r="N40" s="2364"/>
      <c r="O40" s="2365"/>
      <c r="P40" s="2363"/>
      <c r="Q40" s="2364"/>
      <c r="R40" s="2364"/>
      <c r="S40" s="2364"/>
      <c r="T40" s="2365"/>
      <c r="U40" s="2363"/>
      <c r="V40" s="2364"/>
      <c r="W40" s="2364"/>
      <c r="X40" s="2364"/>
      <c r="Y40" s="2365"/>
      <c r="Z40" s="2363"/>
      <c r="AA40" s="2364"/>
      <c r="AB40" s="2364"/>
      <c r="AC40" s="2364"/>
      <c r="AD40" s="2365"/>
      <c r="AE40" s="2363"/>
      <c r="AF40" s="2364"/>
      <c r="AG40" s="2364"/>
      <c r="AH40" s="2364"/>
      <c r="AI40" s="2365"/>
      <c r="AJ40" s="2363"/>
      <c r="AK40" s="2364"/>
      <c r="AL40" s="2364"/>
      <c r="AM40" s="2364"/>
      <c r="AN40" s="2365"/>
      <c r="AO40" s="2363"/>
      <c r="AP40" s="2364"/>
      <c r="AQ40" s="2364"/>
      <c r="AR40" s="2364"/>
      <c r="AS40" s="2365"/>
      <c r="AT40" s="2363"/>
      <c r="AU40" s="2364"/>
      <c r="AV40" s="2364"/>
      <c r="AW40" s="2364"/>
      <c r="AX40" s="2365"/>
      <c r="AY40" s="2363"/>
      <c r="AZ40" s="2364"/>
      <c r="BA40" s="2364"/>
      <c r="BB40" s="2364"/>
      <c r="BC40" s="2365"/>
      <c r="BD40" s="2363"/>
      <c r="BE40" s="2364"/>
      <c r="BF40" s="2364"/>
      <c r="BG40" s="2364"/>
      <c r="BH40" s="2365"/>
      <c r="BI40" s="2363"/>
      <c r="BJ40" s="2364"/>
      <c r="BK40" s="2364"/>
      <c r="BL40" s="2364"/>
      <c r="BM40" s="2365"/>
      <c r="BN40" s="2363"/>
      <c r="BO40" s="2364"/>
      <c r="BP40" s="2364"/>
      <c r="BQ40" s="2364"/>
      <c r="BR40" s="2365"/>
      <c r="ED40" s="13"/>
      <c r="EE40" s="13"/>
      <c r="EF40" s="13"/>
      <c r="EG40" s="13"/>
      <c r="EH40" s="13"/>
    </row>
    <row r="41" spans="1:138" ht="6" customHeight="1" x14ac:dyDescent="0.25">
      <c r="A41" s="1794"/>
      <c r="B41" s="1795"/>
      <c r="C41" s="1795"/>
      <c r="D41" s="1795"/>
      <c r="E41" s="1796"/>
      <c r="F41" s="1794"/>
      <c r="G41" s="1795"/>
      <c r="H41" s="1795"/>
      <c r="I41" s="1795"/>
      <c r="J41" s="1796"/>
      <c r="K41" s="1794"/>
      <c r="L41" s="1795"/>
      <c r="M41" s="1795"/>
      <c r="N41" s="1795"/>
      <c r="O41" s="1796"/>
      <c r="P41" s="1794"/>
      <c r="Q41" s="1795"/>
      <c r="R41" s="1795"/>
      <c r="S41" s="1795"/>
      <c r="T41" s="1796"/>
      <c r="U41" s="1794"/>
      <c r="V41" s="1795"/>
      <c r="W41" s="1795"/>
      <c r="X41" s="1795"/>
      <c r="Y41" s="1796"/>
      <c r="Z41" s="1794"/>
      <c r="AA41" s="1795"/>
      <c r="AB41" s="1795"/>
      <c r="AC41" s="1795"/>
      <c r="AD41" s="1796"/>
      <c r="AE41" s="1794"/>
      <c r="AF41" s="1795"/>
      <c r="AG41" s="1795"/>
      <c r="AH41" s="1795"/>
      <c r="AI41" s="1796"/>
      <c r="AJ41" s="1794"/>
      <c r="AK41" s="1795"/>
      <c r="AL41" s="1795"/>
      <c r="AM41" s="1795"/>
      <c r="AN41" s="1796"/>
      <c r="AO41" s="1794"/>
      <c r="AP41" s="1795"/>
      <c r="AQ41" s="1795"/>
      <c r="AR41" s="1795"/>
      <c r="AS41" s="1796"/>
      <c r="AT41" s="1794"/>
      <c r="AU41" s="1795"/>
      <c r="AV41" s="1795"/>
      <c r="AW41" s="1795"/>
      <c r="AX41" s="1796"/>
      <c r="AY41" s="1794"/>
      <c r="AZ41" s="1795"/>
      <c r="BA41" s="1795"/>
      <c r="BB41" s="1795"/>
      <c r="BC41" s="1796"/>
      <c r="BD41" s="1794"/>
      <c r="BE41" s="1795"/>
      <c r="BF41" s="1795"/>
      <c r="BG41" s="1795"/>
      <c r="BH41" s="1796"/>
      <c r="BI41" s="1794"/>
      <c r="BJ41" s="1795"/>
      <c r="BK41" s="1795"/>
      <c r="BL41" s="1795"/>
      <c r="BM41" s="1796"/>
      <c r="BN41" s="1794"/>
      <c r="BO41" s="1795"/>
      <c r="BP41" s="1795"/>
      <c r="BQ41" s="1795"/>
      <c r="BR41" s="1796"/>
      <c r="ED41" s="13"/>
      <c r="EE41" s="13"/>
      <c r="EF41" s="13"/>
      <c r="EG41" s="13"/>
      <c r="EH41" s="13"/>
    </row>
    <row r="42" spans="1:138" s="22" customFormat="1" ht="111.75" customHeight="1" x14ac:dyDescent="1.35">
      <c r="A42" s="2092" t="s">
        <v>131</v>
      </c>
      <c r="B42" s="588">
        <v>45</v>
      </c>
      <c r="C42" s="589"/>
      <c r="D42" s="589"/>
      <c r="E42" s="590"/>
      <c r="F42" s="2092" t="s">
        <v>131</v>
      </c>
      <c r="G42" s="588">
        <v>46</v>
      </c>
      <c r="H42" s="589"/>
      <c r="I42" s="589"/>
      <c r="J42" s="590"/>
      <c r="K42" s="2092" t="s">
        <v>131</v>
      </c>
      <c r="L42" s="588">
        <v>47</v>
      </c>
      <c r="M42" s="589"/>
      <c r="N42" s="589"/>
      <c r="O42" s="590"/>
      <c r="P42" s="2092" t="s">
        <v>131</v>
      </c>
      <c r="Q42" s="588">
        <v>48</v>
      </c>
      <c r="R42" s="589"/>
      <c r="S42" s="589"/>
      <c r="T42" s="590"/>
      <c r="U42" s="2092" t="s">
        <v>131</v>
      </c>
      <c r="V42" s="588">
        <v>49</v>
      </c>
      <c r="W42" s="589"/>
      <c r="X42" s="589"/>
      <c r="Y42" s="590"/>
      <c r="Z42" s="2092" t="s">
        <v>131</v>
      </c>
      <c r="AA42" s="588">
        <v>50</v>
      </c>
      <c r="AB42" s="589"/>
      <c r="AC42" s="589"/>
      <c r="AD42" s="590"/>
      <c r="AE42" s="2092" t="s">
        <v>131</v>
      </c>
      <c r="AF42" s="588">
        <v>58</v>
      </c>
      <c r="AG42" s="589"/>
      <c r="AH42" s="589"/>
      <c r="AI42" s="590"/>
      <c r="AJ42" s="2092" t="s">
        <v>131</v>
      </c>
      <c r="AK42" s="588">
        <v>63</v>
      </c>
      <c r="AL42" s="589"/>
      <c r="AM42" s="589"/>
      <c r="AN42" s="590"/>
      <c r="AO42" s="2092" t="s">
        <v>131</v>
      </c>
      <c r="AP42" s="588">
        <v>64</v>
      </c>
      <c r="AQ42" s="589"/>
      <c r="AR42" s="589"/>
      <c r="AS42" s="590"/>
      <c r="AT42" s="2092" t="s">
        <v>131</v>
      </c>
      <c r="AU42" s="588">
        <v>66</v>
      </c>
      <c r="AV42" s="589"/>
      <c r="AW42" s="589"/>
      <c r="AX42" s="590"/>
      <c r="AY42" s="2092" t="s">
        <v>131</v>
      </c>
      <c r="AZ42" s="588">
        <v>67</v>
      </c>
      <c r="BA42" s="589"/>
      <c r="BB42" s="589"/>
      <c r="BC42" s="590"/>
      <c r="BD42" s="2092" t="s">
        <v>131</v>
      </c>
      <c r="BE42" s="588">
        <v>68</v>
      </c>
      <c r="BF42" s="589"/>
      <c r="BG42" s="589"/>
      <c r="BH42" s="590"/>
      <c r="BI42" s="2092" t="s">
        <v>131</v>
      </c>
      <c r="BJ42" s="588">
        <v>88</v>
      </c>
      <c r="BK42" s="589"/>
      <c r="BL42" s="589"/>
      <c r="BM42" s="590"/>
      <c r="BN42" s="2092" t="s">
        <v>131</v>
      </c>
      <c r="BO42" s="588">
        <v>89</v>
      </c>
      <c r="BP42" s="589"/>
      <c r="BQ42" s="589"/>
      <c r="BR42" s="590"/>
      <c r="ED42" s="379"/>
      <c r="EE42" s="379"/>
      <c r="EF42" s="379"/>
      <c r="EG42" s="379"/>
      <c r="EH42" s="379"/>
    </row>
    <row r="43" spans="1:138" ht="50.25" customHeight="1" thickBot="1" x14ac:dyDescent="0.3">
      <c r="A43" s="2093"/>
      <c r="B43" s="61">
        <v>9.9999999999999998E-20</v>
      </c>
      <c r="C43" s="62" t="s">
        <v>113</v>
      </c>
      <c r="D43" s="63"/>
      <c r="E43" s="64" t="s">
        <v>114</v>
      </c>
      <c r="F43" s="2093"/>
      <c r="G43" s="61">
        <v>9.9999999999999998E-17</v>
      </c>
      <c r="H43" s="62" t="s">
        <v>113</v>
      </c>
      <c r="I43" s="63"/>
      <c r="J43" s="64" t="s">
        <v>114</v>
      </c>
      <c r="K43" s="2093"/>
      <c r="L43" s="61">
        <v>1.0000000000000001E-5</v>
      </c>
      <c r="M43" s="62" t="s">
        <v>113</v>
      </c>
      <c r="N43" s="63"/>
      <c r="O43" s="64" t="s">
        <v>114</v>
      </c>
      <c r="P43" s="2093"/>
      <c r="Q43" s="61">
        <v>9.9999999999999998E-13</v>
      </c>
      <c r="R43" s="62" t="s">
        <v>113</v>
      </c>
      <c r="S43" s="63">
        <v>1</v>
      </c>
      <c r="T43" s="64" t="s">
        <v>114</v>
      </c>
      <c r="U43" s="2093"/>
      <c r="V43" s="61">
        <v>1.0000000000000001E-9</v>
      </c>
      <c r="W43" s="62" t="s">
        <v>113</v>
      </c>
      <c r="X43" s="63"/>
      <c r="Y43" s="64" t="s">
        <v>114</v>
      </c>
      <c r="Z43" s="2093"/>
      <c r="AA43" s="61">
        <v>1E-10</v>
      </c>
      <c r="AB43" s="62" t="s">
        <v>113</v>
      </c>
      <c r="AC43" s="63"/>
      <c r="AD43" s="64" t="s">
        <v>114</v>
      </c>
      <c r="AE43" s="2093"/>
      <c r="AF43" s="61">
        <v>1E-13</v>
      </c>
      <c r="AG43" s="62" t="s">
        <v>113</v>
      </c>
      <c r="AH43" s="63"/>
      <c r="AI43" s="64" t="s">
        <v>114</v>
      </c>
      <c r="AJ43" s="2093"/>
      <c r="AK43" s="61">
        <v>1E-8</v>
      </c>
      <c r="AL43" s="62" t="s">
        <v>113</v>
      </c>
      <c r="AM43" s="63"/>
      <c r="AN43" s="64" t="s">
        <v>114</v>
      </c>
      <c r="AO43" s="2093"/>
      <c r="AP43" s="61">
        <v>0.50800000000000001</v>
      </c>
      <c r="AQ43" s="62" t="s">
        <v>113</v>
      </c>
      <c r="AR43" s="63"/>
      <c r="AS43" s="64" t="s">
        <v>114</v>
      </c>
      <c r="AT43" s="2093"/>
      <c r="AU43" s="61">
        <v>0.30399999999999999</v>
      </c>
      <c r="AV43" s="62" t="s">
        <v>113</v>
      </c>
      <c r="AW43" s="63">
        <v>1</v>
      </c>
      <c r="AX43" s="64" t="s">
        <v>114</v>
      </c>
      <c r="AY43" s="2093"/>
      <c r="AZ43" s="61">
        <v>9.9999999999999994E-12</v>
      </c>
      <c r="BA43" s="62" t="s">
        <v>113</v>
      </c>
      <c r="BB43" s="63"/>
      <c r="BC43" s="64" t="s">
        <v>114</v>
      </c>
      <c r="BD43" s="2093"/>
      <c r="BE43" s="61">
        <v>0.15240000000000001</v>
      </c>
      <c r="BF43" s="62" t="s">
        <v>113</v>
      </c>
      <c r="BG43" s="63"/>
      <c r="BH43" s="64" t="s">
        <v>114</v>
      </c>
      <c r="BI43" s="2093"/>
      <c r="BJ43" s="61">
        <v>1.0922000000000001</v>
      </c>
      <c r="BK43" s="62" t="s">
        <v>113</v>
      </c>
      <c r="BL43" s="63">
        <v>1</v>
      </c>
      <c r="BM43" s="64" t="s">
        <v>114</v>
      </c>
      <c r="BN43" s="2093"/>
      <c r="BO43" s="61">
        <v>1.0000000000000001E-31</v>
      </c>
      <c r="BP43" s="62" t="s">
        <v>113</v>
      </c>
      <c r="BQ43" s="63"/>
      <c r="BR43" s="64" t="s">
        <v>114</v>
      </c>
      <c r="BW43" s="27"/>
      <c r="BX43" s="27"/>
      <c r="BY43" s="27"/>
      <c r="BZ43" s="27"/>
      <c r="CA43" s="27"/>
      <c r="CB43" s="27"/>
      <c r="CC43" s="27"/>
      <c r="CD43" s="27"/>
      <c r="CE43" s="27"/>
      <c r="ED43" s="57"/>
      <c r="EE43" s="57"/>
      <c r="EF43" s="57"/>
      <c r="EG43" s="57"/>
      <c r="EH43" s="57"/>
    </row>
    <row r="44" spans="1:138" ht="36" customHeight="1" thickTop="1" x14ac:dyDescent="0.25">
      <c r="A44" s="2098" t="s">
        <v>110</v>
      </c>
      <c r="B44" s="2099"/>
      <c r="C44" s="2100">
        <f t="shared" ref="C44" si="90">B49/((66*3.1415/64)*(50/3.281))</f>
        <v>2.0255137721316298E-18</v>
      </c>
      <c r="D44" s="2100"/>
      <c r="E44" s="2101"/>
      <c r="F44" s="2098" t="s">
        <v>110</v>
      </c>
      <c r="G44" s="2099"/>
      <c r="H44" s="2100">
        <f t="shared" ref="H44" si="91">G49/((66*3.1415/64)*(50/3.281))</f>
        <v>2.0579219924857358E-3</v>
      </c>
      <c r="I44" s="2100"/>
      <c r="J44" s="2101"/>
      <c r="K44" s="2098" t="s">
        <v>110</v>
      </c>
      <c r="L44" s="2099"/>
      <c r="M44" s="2100">
        <f t="shared" ref="M44" si="92">L49/((66*3.1415/64)*(50/3.281))</f>
        <v>2.02551377213163E-8</v>
      </c>
      <c r="N44" s="2100"/>
      <c r="O44" s="2101"/>
      <c r="P44" s="2098" t="s">
        <v>110</v>
      </c>
      <c r="Q44" s="2099"/>
      <c r="R44" s="2100">
        <f t="shared" ref="R44" si="93">Q49/((66*3.1415/64)*(50/3.281))</f>
        <v>2.0255137721316298E-14</v>
      </c>
      <c r="S44" s="2100"/>
      <c r="T44" s="2101"/>
      <c r="U44" s="2098" t="s">
        <v>110</v>
      </c>
      <c r="V44" s="2099"/>
      <c r="W44" s="2100">
        <f t="shared" ref="W44" si="94">V49/((66*3.1415/64)*(50/3.281))</f>
        <v>8.7461684680643793E-3</v>
      </c>
      <c r="X44" s="2100"/>
      <c r="Y44" s="2101"/>
      <c r="Z44" s="2098" t="s">
        <v>110</v>
      </c>
      <c r="AA44" s="2099"/>
      <c r="AB44" s="2100">
        <f t="shared" ref="AB44" si="95">AA49/((66*3.1415/64)*(50/3.281))</f>
        <v>2.0255137721316298E-14</v>
      </c>
      <c r="AC44" s="2100"/>
      <c r="AD44" s="2101"/>
      <c r="AE44" s="2098" t="s">
        <v>110</v>
      </c>
      <c r="AF44" s="2099"/>
      <c r="AG44" s="2100">
        <f t="shared" ref="AG44" si="96">AF49/((66*3.1415/64)*(50/3.281))</f>
        <v>2.02551377213163E-11</v>
      </c>
      <c r="AH44" s="2100"/>
      <c r="AI44" s="2101"/>
      <c r="AJ44" s="2098" t="s">
        <v>110</v>
      </c>
      <c r="AK44" s="2099"/>
      <c r="AL44" s="2100">
        <f t="shared" ref="AL44" si="97">AK49/((66*3.1415/64)*(50/3.281))</f>
        <v>2.02551377213163E-11</v>
      </c>
      <c r="AM44" s="2100"/>
      <c r="AN44" s="2101"/>
      <c r="AO44" s="2098" t="s">
        <v>110</v>
      </c>
      <c r="AP44" s="2099"/>
      <c r="AQ44" s="2100">
        <f t="shared" ref="AQ44" si="98">AP49/((66*3.1415/64)*(50/3.281))</f>
        <v>2.0255137721316299E-13</v>
      </c>
      <c r="AR44" s="2100"/>
      <c r="AS44" s="2101"/>
      <c r="AT44" s="2098" t="s">
        <v>110</v>
      </c>
      <c r="AU44" s="2099"/>
      <c r="AV44" s="2100">
        <f t="shared" ref="AV44" si="99">AU49/((66*3.1415/64)*(50/3.281))</f>
        <v>1.0804090460550114E-2</v>
      </c>
      <c r="AW44" s="2100"/>
      <c r="AX44" s="2101"/>
      <c r="AY44" s="2098" t="s">
        <v>110</v>
      </c>
      <c r="AZ44" s="2099"/>
      <c r="BA44" s="2100">
        <f t="shared" ref="BA44" si="100">AZ49/((66*3.1415/64)*(50/3.281))</f>
        <v>7.5114152725729369E-2</v>
      </c>
      <c r="BB44" s="2100"/>
      <c r="BC44" s="2101"/>
      <c r="BD44" s="2098" t="s">
        <v>110</v>
      </c>
      <c r="BE44" s="2099"/>
      <c r="BF44" s="2100">
        <f t="shared" ref="BF44" si="101">BE49/((66*3.1415/64)*(50/3.281))</f>
        <v>2.7267466400436004E-2</v>
      </c>
      <c r="BG44" s="2100"/>
      <c r="BH44" s="2101"/>
      <c r="BI44" s="2098" t="s">
        <v>110</v>
      </c>
      <c r="BJ44" s="2099"/>
      <c r="BK44" s="2100">
        <f t="shared" ref="BK44" si="102">BJ49/((66*3.1415/64)*(50/3.281))</f>
        <v>2.0255137721316299E-13</v>
      </c>
      <c r="BL44" s="2100"/>
      <c r="BM44" s="2101"/>
      <c r="BN44" s="2098" t="s">
        <v>110</v>
      </c>
      <c r="BO44" s="2099"/>
      <c r="BP44" s="2100">
        <f t="shared" ref="BP44" si="103">BO49/((66*3.1415/64)*(50/3.281))</f>
        <v>3.1897790883528905E-2</v>
      </c>
      <c r="BQ44" s="2100"/>
      <c r="BR44" s="2101"/>
      <c r="ED44" s="57"/>
      <c r="EE44" s="57"/>
      <c r="EF44" s="57"/>
      <c r="EG44" s="57"/>
      <c r="EH44" s="57"/>
    </row>
    <row r="45" spans="1:138" ht="6.75" customHeight="1" x14ac:dyDescent="0.25">
      <c r="A45" s="1791" t="s">
        <v>489</v>
      </c>
      <c r="B45" s="1792"/>
      <c r="C45" s="1792"/>
      <c r="D45" s="1792"/>
      <c r="E45" s="1793"/>
      <c r="F45" s="1791" t="s">
        <v>489</v>
      </c>
      <c r="G45" s="1792"/>
      <c r="H45" s="1792"/>
      <c r="I45" s="1792"/>
      <c r="J45" s="1793"/>
      <c r="K45" s="1791" t="s">
        <v>489</v>
      </c>
      <c r="L45" s="1792"/>
      <c r="M45" s="1792"/>
      <c r="N45" s="1792"/>
      <c r="O45" s="1793"/>
      <c r="P45" s="1791" t="s">
        <v>489</v>
      </c>
      <c r="Q45" s="1792"/>
      <c r="R45" s="1792"/>
      <c r="S45" s="1792"/>
      <c r="T45" s="1793"/>
      <c r="U45" s="1791" t="s">
        <v>489</v>
      </c>
      <c r="V45" s="1792"/>
      <c r="W45" s="1792"/>
      <c r="X45" s="1792"/>
      <c r="Y45" s="1793"/>
      <c r="Z45" s="1791" t="s">
        <v>489</v>
      </c>
      <c r="AA45" s="1792"/>
      <c r="AB45" s="1792"/>
      <c r="AC45" s="1792"/>
      <c r="AD45" s="1793"/>
      <c r="AE45" s="1791" t="s">
        <v>489</v>
      </c>
      <c r="AF45" s="1792"/>
      <c r="AG45" s="1792"/>
      <c r="AH45" s="1792"/>
      <c r="AI45" s="1793"/>
      <c r="AJ45" s="2360" t="s">
        <v>489</v>
      </c>
      <c r="AK45" s="1632"/>
      <c r="AL45" s="1632"/>
      <c r="AM45" s="1632"/>
      <c r="AN45" s="1633"/>
      <c r="AO45" s="2360" t="s">
        <v>489</v>
      </c>
      <c r="AP45" s="1632"/>
      <c r="AQ45" s="1632"/>
      <c r="AR45" s="1632"/>
      <c r="AS45" s="1633"/>
      <c r="AT45" s="2360" t="s">
        <v>489</v>
      </c>
      <c r="AU45" s="1632"/>
      <c r="AV45" s="1632"/>
      <c r="AW45" s="1632"/>
      <c r="AX45" s="1633"/>
      <c r="AY45" s="2360" t="s">
        <v>489</v>
      </c>
      <c r="AZ45" s="1632"/>
      <c r="BA45" s="1632"/>
      <c r="BB45" s="1632"/>
      <c r="BC45" s="1633"/>
      <c r="BD45" s="2360" t="s">
        <v>489</v>
      </c>
      <c r="BE45" s="1632"/>
      <c r="BF45" s="1632"/>
      <c r="BG45" s="1632"/>
      <c r="BH45" s="1633"/>
      <c r="BI45" s="2360" t="s">
        <v>489</v>
      </c>
      <c r="BJ45" s="1632"/>
      <c r="BK45" s="1632"/>
      <c r="BL45" s="1632"/>
      <c r="BM45" s="1633"/>
      <c r="BN45" s="2360" t="s">
        <v>489</v>
      </c>
      <c r="BO45" s="1632"/>
      <c r="BP45" s="1632"/>
      <c r="BQ45" s="1632"/>
      <c r="BR45" s="1633"/>
      <c r="ED45" s="57"/>
      <c r="EE45" s="57"/>
      <c r="EF45" s="57"/>
      <c r="EG45" s="57"/>
      <c r="EH45" s="57"/>
    </row>
    <row r="46" spans="1:138" ht="18" customHeight="1" x14ac:dyDescent="0.25">
      <c r="A46" s="2363"/>
      <c r="B46" s="2364"/>
      <c r="C46" s="2364"/>
      <c r="D46" s="2364"/>
      <c r="E46" s="2365"/>
      <c r="F46" s="2363"/>
      <c r="G46" s="2364"/>
      <c r="H46" s="2364"/>
      <c r="I46" s="2364"/>
      <c r="J46" s="2365"/>
      <c r="K46" s="2363"/>
      <c r="L46" s="2364"/>
      <c r="M46" s="2364"/>
      <c r="N46" s="2364"/>
      <c r="O46" s="2365"/>
      <c r="P46" s="2363"/>
      <c r="Q46" s="2364"/>
      <c r="R46" s="2364"/>
      <c r="S46" s="2364"/>
      <c r="T46" s="2365"/>
      <c r="U46" s="2363"/>
      <c r="V46" s="2364"/>
      <c r="W46" s="2364"/>
      <c r="X46" s="2364"/>
      <c r="Y46" s="2365"/>
      <c r="Z46" s="2363"/>
      <c r="AA46" s="2364"/>
      <c r="AB46" s="2364"/>
      <c r="AC46" s="2364"/>
      <c r="AD46" s="2365"/>
      <c r="AE46" s="2363"/>
      <c r="AF46" s="2364"/>
      <c r="AG46" s="2364"/>
      <c r="AH46" s="2364"/>
      <c r="AI46" s="2365"/>
      <c r="AJ46" s="2361"/>
      <c r="AK46" s="1635"/>
      <c r="AL46" s="1635"/>
      <c r="AM46" s="1635"/>
      <c r="AN46" s="1636"/>
      <c r="AO46" s="2361"/>
      <c r="AP46" s="1635"/>
      <c r="AQ46" s="1635"/>
      <c r="AR46" s="1635"/>
      <c r="AS46" s="1636"/>
      <c r="AT46" s="2361"/>
      <c r="AU46" s="1635"/>
      <c r="AV46" s="1635"/>
      <c r="AW46" s="1635"/>
      <c r="AX46" s="1636"/>
      <c r="AY46" s="2361"/>
      <c r="AZ46" s="1635"/>
      <c r="BA46" s="1635"/>
      <c r="BB46" s="1635"/>
      <c r="BC46" s="1636"/>
      <c r="BD46" s="2361"/>
      <c r="BE46" s="1635"/>
      <c r="BF46" s="1635"/>
      <c r="BG46" s="1635"/>
      <c r="BH46" s="1636"/>
      <c r="BI46" s="2361"/>
      <c r="BJ46" s="1635"/>
      <c r="BK46" s="1635"/>
      <c r="BL46" s="1635"/>
      <c r="BM46" s="1636"/>
      <c r="BN46" s="2361"/>
      <c r="BO46" s="1635"/>
      <c r="BP46" s="1635"/>
      <c r="BQ46" s="1635"/>
      <c r="BR46" s="1636"/>
      <c r="ED46" s="57"/>
      <c r="EE46" s="57"/>
      <c r="EF46" s="57"/>
      <c r="EG46" s="57"/>
      <c r="EH46" s="57"/>
    </row>
    <row r="47" spans="1:138" ht="6" customHeight="1" x14ac:dyDescent="0.25">
      <c r="A47" s="1794"/>
      <c r="B47" s="1795"/>
      <c r="C47" s="1795"/>
      <c r="D47" s="1795"/>
      <c r="E47" s="1796"/>
      <c r="F47" s="1794"/>
      <c r="G47" s="1795"/>
      <c r="H47" s="1795"/>
      <c r="I47" s="1795"/>
      <c r="J47" s="1796"/>
      <c r="K47" s="1794"/>
      <c r="L47" s="1795"/>
      <c r="M47" s="1795"/>
      <c r="N47" s="1795"/>
      <c r="O47" s="1796"/>
      <c r="P47" s="1794"/>
      <c r="Q47" s="1795"/>
      <c r="R47" s="1795"/>
      <c r="S47" s="1795"/>
      <c r="T47" s="1796"/>
      <c r="U47" s="1794"/>
      <c r="V47" s="1795"/>
      <c r="W47" s="1795"/>
      <c r="X47" s="1795"/>
      <c r="Y47" s="1796"/>
      <c r="Z47" s="1794"/>
      <c r="AA47" s="1795"/>
      <c r="AB47" s="1795"/>
      <c r="AC47" s="1795"/>
      <c r="AD47" s="1796"/>
      <c r="AE47" s="1794"/>
      <c r="AF47" s="1795"/>
      <c r="AG47" s="1795"/>
      <c r="AH47" s="1795"/>
      <c r="AI47" s="1796"/>
      <c r="AJ47" s="2362"/>
      <c r="AK47" s="1638"/>
      <c r="AL47" s="1638"/>
      <c r="AM47" s="1638"/>
      <c r="AN47" s="1639"/>
      <c r="AO47" s="2362"/>
      <c r="AP47" s="1638"/>
      <c r="AQ47" s="1638"/>
      <c r="AR47" s="1638"/>
      <c r="AS47" s="1639"/>
      <c r="AT47" s="2362"/>
      <c r="AU47" s="1638"/>
      <c r="AV47" s="1638"/>
      <c r="AW47" s="1638"/>
      <c r="AX47" s="1639"/>
      <c r="AY47" s="2362"/>
      <c r="AZ47" s="1638"/>
      <c r="BA47" s="1638"/>
      <c r="BB47" s="1638"/>
      <c r="BC47" s="1639"/>
      <c r="BD47" s="2362"/>
      <c r="BE47" s="1638"/>
      <c r="BF47" s="1638"/>
      <c r="BG47" s="1638"/>
      <c r="BH47" s="1639"/>
      <c r="BI47" s="2362"/>
      <c r="BJ47" s="1638"/>
      <c r="BK47" s="1638"/>
      <c r="BL47" s="1638"/>
      <c r="BM47" s="1639"/>
      <c r="BN47" s="2362"/>
      <c r="BO47" s="1638"/>
      <c r="BP47" s="1638"/>
      <c r="BQ47" s="1638"/>
      <c r="BR47" s="1639"/>
    </row>
    <row r="48" spans="1:138" s="22" customFormat="1" ht="111.75" customHeight="1" x14ac:dyDescent="1.35">
      <c r="A48" s="2092" t="s">
        <v>131</v>
      </c>
      <c r="B48" s="588">
        <v>90</v>
      </c>
      <c r="C48" s="589"/>
      <c r="D48" s="589"/>
      <c r="E48" s="590"/>
      <c r="F48" s="2092" t="s">
        <v>131</v>
      </c>
      <c r="G48" s="588">
        <v>91</v>
      </c>
      <c r="H48" s="589"/>
      <c r="I48" s="589"/>
      <c r="J48" s="590"/>
      <c r="K48" s="2092" t="s">
        <v>131</v>
      </c>
      <c r="L48" s="588">
        <v>93</v>
      </c>
      <c r="M48" s="589"/>
      <c r="N48" s="589"/>
      <c r="O48" s="590"/>
      <c r="P48" s="2092" t="s">
        <v>131</v>
      </c>
      <c r="Q48" s="588">
        <v>94</v>
      </c>
      <c r="R48" s="589"/>
      <c r="S48" s="589"/>
      <c r="T48" s="590"/>
      <c r="U48" s="2092" t="s">
        <v>131</v>
      </c>
      <c r="V48" s="588">
        <v>95</v>
      </c>
      <c r="W48" s="589"/>
      <c r="X48" s="589"/>
      <c r="Y48" s="590"/>
      <c r="Z48" s="2092" t="s">
        <v>131</v>
      </c>
      <c r="AA48" s="588">
        <v>96</v>
      </c>
      <c r="AB48" s="589"/>
      <c r="AC48" s="589"/>
      <c r="AD48" s="590"/>
      <c r="AE48" s="2092" t="s">
        <v>131</v>
      </c>
      <c r="AF48" s="588">
        <v>97</v>
      </c>
      <c r="AG48" s="589"/>
      <c r="AH48" s="589"/>
      <c r="AI48" s="590"/>
      <c r="AJ48" s="2092" t="s">
        <v>131</v>
      </c>
      <c r="AK48" s="588">
        <v>102</v>
      </c>
      <c r="AL48" s="589"/>
      <c r="AM48" s="589"/>
      <c r="AN48" s="590"/>
      <c r="AO48" s="2092" t="s">
        <v>131</v>
      </c>
      <c r="AP48" s="588">
        <v>103</v>
      </c>
      <c r="AQ48" s="589"/>
      <c r="AR48" s="589"/>
      <c r="AS48" s="590"/>
      <c r="AT48" s="2092" t="s">
        <v>131</v>
      </c>
      <c r="AU48" s="588">
        <v>104</v>
      </c>
      <c r="AV48" s="589"/>
      <c r="AW48" s="589"/>
      <c r="AX48" s="590"/>
      <c r="AY48" s="2092" t="s">
        <v>131</v>
      </c>
      <c r="AZ48" s="588">
        <v>105</v>
      </c>
      <c r="BA48" s="589"/>
      <c r="BB48" s="589"/>
      <c r="BC48" s="590"/>
      <c r="BD48" s="2092" t="s">
        <v>131</v>
      </c>
      <c r="BE48" s="588">
        <v>106</v>
      </c>
      <c r="BF48" s="589"/>
      <c r="BG48" s="589"/>
      <c r="BH48" s="590"/>
      <c r="BI48" s="2092" t="s">
        <v>131</v>
      </c>
      <c r="BJ48" s="588">
        <v>107</v>
      </c>
      <c r="BK48" s="589"/>
      <c r="BL48" s="589"/>
      <c r="BM48" s="590"/>
      <c r="BN48" s="2092" t="s">
        <v>131</v>
      </c>
      <c r="BO48" s="2622">
        <v>108</v>
      </c>
      <c r="BP48" s="2623"/>
      <c r="BQ48" s="2623"/>
      <c r="BR48" s="2624"/>
    </row>
    <row r="49" spans="1:83" ht="50.25" customHeight="1" thickBot="1" x14ac:dyDescent="0.3">
      <c r="A49" s="2093"/>
      <c r="B49" s="61">
        <v>9.9999999999999998E-17</v>
      </c>
      <c r="C49" s="62" t="s">
        <v>113</v>
      </c>
      <c r="D49" s="63"/>
      <c r="E49" s="64" t="s">
        <v>114</v>
      </c>
      <c r="F49" s="2093"/>
      <c r="G49" s="61">
        <v>0.1016</v>
      </c>
      <c r="H49" s="62" t="s">
        <v>113</v>
      </c>
      <c r="I49" s="63"/>
      <c r="J49" s="64" t="s">
        <v>114</v>
      </c>
      <c r="K49" s="2093"/>
      <c r="L49" s="61">
        <v>9.9999999999999995E-7</v>
      </c>
      <c r="M49" s="62" t="s">
        <v>113</v>
      </c>
      <c r="N49" s="63"/>
      <c r="O49" s="64" t="s">
        <v>114</v>
      </c>
      <c r="P49" s="2093"/>
      <c r="Q49" s="61">
        <v>9.9999999999999998E-13</v>
      </c>
      <c r="R49" s="62" t="s">
        <v>113</v>
      </c>
      <c r="S49" s="63"/>
      <c r="T49" s="64" t="s">
        <v>114</v>
      </c>
      <c r="U49" s="2093"/>
      <c r="V49" s="61">
        <v>0.43180000000000002</v>
      </c>
      <c r="W49" s="62" t="s">
        <v>113</v>
      </c>
      <c r="X49" s="63"/>
      <c r="Y49" s="64" t="s">
        <v>114</v>
      </c>
      <c r="Z49" s="2093"/>
      <c r="AA49" s="61">
        <v>9.9999999999999998E-13</v>
      </c>
      <c r="AB49" s="62" t="s">
        <v>113</v>
      </c>
      <c r="AC49" s="63"/>
      <c r="AD49" s="64" t="s">
        <v>114</v>
      </c>
      <c r="AE49" s="2093"/>
      <c r="AF49" s="61">
        <v>1.0000000000000001E-9</v>
      </c>
      <c r="AG49" s="62" t="s">
        <v>113</v>
      </c>
      <c r="AH49" s="63">
        <v>1</v>
      </c>
      <c r="AI49" s="64" t="s">
        <v>114</v>
      </c>
      <c r="AJ49" s="2093"/>
      <c r="AK49" s="61">
        <v>1.0000000000000001E-9</v>
      </c>
      <c r="AL49" s="62" t="s">
        <v>113</v>
      </c>
      <c r="AM49" s="63"/>
      <c r="AN49" s="64" t="s">
        <v>114</v>
      </c>
      <c r="AO49" s="2093"/>
      <c r="AP49" s="61">
        <v>9.9999999999999994E-12</v>
      </c>
      <c r="AQ49" s="62" t="s">
        <v>113</v>
      </c>
      <c r="AR49" s="63"/>
      <c r="AS49" s="64" t="s">
        <v>114</v>
      </c>
      <c r="AT49" s="2093"/>
      <c r="AU49" s="61">
        <v>0.53339999999999999</v>
      </c>
      <c r="AV49" s="62" t="s">
        <v>113</v>
      </c>
      <c r="AW49" s="63">
        <v>1</v>
      </c>
      <c r="AX49" s="64" t="s">
        <v>114</v>
      </c>
      <c r="AY49" s="2093"/>
      <c r="AZ49" s="61">
        <v>3.7084000000000001</v>
      </c>
      <c r="BA49" s="62" t="s">
        <v>113</v>
      </c>
      <c r="BB49" s="63"/>
      <c r="BC49" s="64" t="s">
        <v>114</v>
      </c>
      <c r="BD49" s="2093"/>
      <c r="BE49" s="61">
        <v>1.3462000000000001</v>
      </c>
      <c r="BF49" s="62" t="s">
        <v>113</v>
      </c>
      <c r="BG49" s="63"/>
      <c r="BH49" s="64" t="s">
        <v>114</v>
      </c>
      <c r="BI49" s="2093"/>
      <c r="BJ49" s="61">
        <v>9.9999999999999994E-12</v>
      </c>
      <c r="BK49" s="62" t="s">
        <v>113</v>
      </c>
      <c r="BL49" s="63"/>
      <c r="BM49" s="64" t="s">
        <v>114</v>
      </c>
      <c r="BN49" s="2093"/>
      <c r="BO49" s="61">
        <v>1.5748</v>
      </c>
      <c r="BP49" s="62" t="s">
        <v>113</v>
      </c>
      <c r="BQ49" s="63">
        <v>1</v>
      </c>
      <c r="BR49" s="64" t="s">
        <v>114</v>
      </c>
      <c r="BW49" s="27"/>
      <c r="BX49" s="27"/>
      <c r="BY49" s="27"/>
      <c r="BZ49" s="27"/>
      <c r="CA49" s="27"/>
      <c r="CB49" s="27"/>
      <c r="CC49" s="27"/>
      <c r="CD49" s="27"/>
      <c r="CE49" s="27"/>
    </row>
    <row r="50" spans="1:83" ht="26.1" hidden="1" customHeight="1" thickTop="1" x14ac:dyDescent="0.25">
      <c r="A50" s="672"/>
      <c r="B50" s="672"/>
      <c r="C50" s="672"/>
      <c r="D50" s="673"/>
      <c r="E50" s="673"/>
      <c r="F50" s="672"/>
      <c r="G50" s="672"/>
      <c r="H50" s="672"/>
      <c r="I50" s="673"/>
      <c r="J50" s="673"/>
      <c r="K50" s="672"/>
      <c r="L50" s="672"/>
      <c r="M50" s="672"/>
      <c r="N50" s="673"/>
      <c r="O50" s="673"/>
      <c r="P50" s="672"/>
      <c r="Q50" s="672"/>
      <c r="R50" s="672"/>
      <c r="S50" s="673"/>
      <c r="T50" s="673"/>
      <c r="U50" s="674"/>
      <c r="V50" s="674"/>
      <c r="W50" s="674"/>
      <c r="X50" s="675"/>
      <c r="Y50" s="675"/>
      <c r="Z50" s="674"/>
      <c r="AA50" s="674"/>
      <c r="AB50" s="674"/>
      <c r="AC50" s="675"/>
      <c r="AD50" s="675"/>
      <c r="AE50" s="674"/>
      <c r="AF50" s="674"/>
      <c r="AG50" s="674"/>
      <c r="AH50" s="675"/>
      <c r="AI50" s="675"/>
      <c r="AJ50" s="674"/>
      <c r="AK50" s="674"/>
      <c r="AL50" s="674"/>
      <c r="AM50" s="675"/>
      <c r="AN50" s="675"/>
      <c r="AO50" s="674"/>
      <c r="AP50" s="674"/>
      <c r="AQ50" s="674"/>
      <c r="AR50" s="675"/>
      <c r="AS50" s="675"/>
      <c r="AT50" s="674"/>
      <c r="AU50" s="674"/>
      <c r="AV50" s="674"/>
      <c r="AW50" s="675"/>
      <c r="AX50" s="675"/>
      <c r="AY50" s="674"/>
      <c r="AZ50" s="674"/>
      <c r="BA50" s="674"/>
      <c r="BB50" s="675"/>
      <c r="BC50" s="675"/>
      <c r="BD50" s="674"/>
      <c r="BE50" s="674"/>
      <c r="BF50" s="674"/>
      <c r="BG50" s="675"/>
      <c r="BH50" s="675"/>
      <c r="BI50" s="674"/>
      <c r="BJ50" s="674"/>
      <c r="BK50" s="674"/>
      <c r="BL50" s="675"/>
      <c r="BM50" s="675"/>
      <c r="BN50" s="674"/>
      <c r="BO50" s="674"/>
      <c r="BP50" s="674"/>
      <c r="BQ50" s="675"/>
      <c r="BR50" s="675"/>
    </row>
    <row r="51" spans="1:83" ht="6.75" hidden="1" customHeight="1" x14ac:dyDescent="0.25">
      <c r="A51" s="676"/>
      <c r="B51" s="676"/>
      <c r="C51" s="676"/>
      <c r="D51" s="29"/>
      <c r="E51" s="29"/>
      <c r="F51" s="676"/>
      <c r="G51" s="676"/>
      <c r="H51" s="676"/>
      <c r="I51" s="29"/>
      <c r="J51" s="29"/>
      <c r="K51" s="676"/>
      <c r="L51" s="676"/>
      <c r="M51" s="676"/>
      <c r="N51" s="29"/>
      <c r="O51" s="29"/>
      <c r="P51" s="676"/>
      <c r="Q51" s="676"/>
      <c r="R51" s="676"/>
      <c r="S51" s="29"/>
      <c r="T51" s="29"/>
      <c r="U51" s="676"/>
      <c r="V51" s="676"/>
      <c r="W51" s="676"/>
      <c r="X51" s="29"/>
      <c r="Y51" s="29"/>
      <c r="Z51" s="676"/>
      <c r="AA51" s="676"/>
      <c r="AB51" s="676"/>
      <c r="AC51" s="29"/>
      <c r="AD51" s="29"/>
      <c r="AE51" s="676"/>
      <c r="AF51" s="676"/>
      <c r="AG51" s="676"/>
      <c r="AH51" s="29"/>
      <c r="AI51" s="29"/>
      <c r="AJ51" s="676"/>
      <c r="AK51" s="676"/>
      <c r="AL51" s="676"/>
      <c r="AM51" s="29"/>
      <c r="AN51" s="29"/>
      <c r="AO51" s="676"/>
      <c r="AP51" s="676"/>
      <c r="AQ51" s="676"/>
      <c r="AR51" s="29"/>
      <c r="AS51" s="29"/>
      <c r="AT51" s="676"/>
      <c r="AU51" s="676"/>
      <c r="AV51" s="676"/>
      <c r="AW51" s="29"/>
      <c r="AX51" s="29"/>
      <c r="AY51" s="676"/>
      <c r="AZ51" s="676"/>
      <c r="BA51" s="676"/>
      <c r="BB51" s="29"/>
      <c r="BC51" s="29"/>
      <c r="BD51" s="676"/>
      <c r="BE51" s="676"/>
      <c r="BF51" s="676"/>
      <c r="BG51" s="29"/>
      <c r="BH51" s="29"/>
      <c r="BI51" s="676"/>
      <c r="BJ51" s="676"/>
      <c r="BK51" s="676"/>
      <c r="BL51" s="29"/>
      <c r="BM51" s="29"/>
      <c r="BN51" s="676"/>
      <c r="BO51" s="676"/>
      <c r="BP51" s="676"/>
      <c r="BQ51" s="29"/>
      <c r="BR51" s="29"/>
    </row>
    <row r="52" spans="1:83" ht="21.95" hidden="1" customHeight="1" x14ac:dyDescent="0.25">
      <c r="A52" s="676"/>
      <c r="B52" s="676"/>
      <c r="C52" s="676"/>
      <c r="D52" s="30"/>
      <c r="E52" s="29"/>
      <c r="F52" s="676"/>
      <c r="G52" s="676"/>
      <c r="H52" s="676"/>
      <c r="I52" s="30"/>
      <c r="J52" s="29"/>
      <c r="K52" s="676"/>
      <c r="L52" s="676"/>
      <c r="M52" s="676"/>
      <c r="N52" s="30"/>
      <c r="O52" s="29"/>
      <c r="P52" s="676"/>
      <c r="Q52" s="676"/>
      <c r="R52" s="676"/>
      <c r="S52" s="30"/>
      <c r="T52" s="29"/>
      <c r="U52" s="676"/>
      <c r="V52" s="676"/>
      <c r="W52" s="676"/>
      <c r="X52" s="30"/>
      <c r="Y52" s="29"/>
      <c r="Z52" s="676"/>
      <c r="AA52" s="676"/>
      <c r="AB52" s="676"/>
      <c r="AC52" s="30"/>
      <c r="AD52" s="29"/>
      <c r="AE52" s="676"/>
      <c r="AF52" s="676"/>
      <c r="AG52" s="676"/>
      <c r="AH52" s="30"/>
      <c r="AI52" s="29"/>
      <c r="AJ52" s="676"/>
      <c r="AK52" s="676"/>
      <c r="AL52" s="676"/>
      <c r="AM52" s="30"/>
      <c r="AN52" s="29"/>
      <c r="AO52" s="676"/>
      <c r="AP52" s="676"/>
      <c r="AQ52" s="676"/>
      <c r="AR52" s="30"/>
      <c r="AS52" s="29"/>
      <c r="AT52" s="676"/>
      <c r="AU52" s="676"/>
      <c r="AV52" s="676"/>
      <c r="AW52" s="30"/>
      <c r="AX52" s="29"/>
      <c r="AY52" s="676"/>
      <c r="AZ52" s="676"/>
      <c r="BA52" s="676"/>
      <c r="BB52" s="30"/>
      <c r="BC52" s="29"/>
      <c r="BD52" s="676"/>
      <c r="BE52" s="676"/>
      <c r="BF52" s="676"/>
      <c r="BG52" s="30"/>
      <c r="BH52" s="29"/>
      <c r="BI52" s="676"/>
      <c r="BJ52" s="676"/>
      <c r="BK52" s="676"/>
      <c r="BL52" s="30"/>
      <c r="BM52" s="29"/>
      <c r="BN52" s="676"/>
      <c r="BO52" s="676"/>
      <c r="BP52" s="676"/>
      <c r="BQ52" s="30"/>
      <c r="BR52" s="29"/>
    </row>
    <row r="53" spans="1:83" ht="6" hidden="1" customHeight="1" x14ac:dyDescent="0.25">
      <c r="A53" s="676"/>
      <c r="B53" s="676"/>
      <c r="C53" s="676"/>
      <c r="D53" s="675"/>
      <c r="E53" s="675"/>
      <c r="F53" s="676"/>
      <c r="G53" s="676"/>
      <c r="H53" s="676"/>
      <c r="I53" s="675"/>
      <c r="J53" s="675"/>
      <c r="K53" s="676"/>
      <c r="L53" s="676"/>
      <c r="M53" s="676"/>
      <c r="N53" s="675"/>
      <c r="O53" s="675"/>
      <c r="P53" s="676"/>
      <c r="Q53" s="676"/>
      <c r="R53" s="676"/>
      <c r="S53" s="675"/>
      <c r="T53" s="675"/>
      <c r="U53" s="676"/>
      <c r="V53" s="676"/>
      <c r="W53" s="676"/>
      <c r="X53" s="675"/>
      <c r="Y53" s="675"/>
      <c r="Z53" s="676"/>
      <c r="AA53" s="676"/>
      <c r="AB53" s="676"/>
      <c r="AC53" s="675"/>
      <c r="AD53" s="675"/>
      <c r="AE53" s="676"/>
      <c r="AF53" s="676"/>
      <c r="AG53" s="676"/>
      <c r="AH53" s="675"/>
      <c r="AI53" s="675"/>
      <c r="AJ53" s="676"/>
      <c r="AK53" s="676"/>
      <c r="AL53" s="676"/>
      <c r="AM53" s="675"/>
      <c r="AN53" s="675"/>
      <c r="AO53" s="676"/>
      <c r="AP53" s="676"/>
      <c r="AQ53" s="676"/>
      <c r="AR53" s="675"/>
      <c r="AS53" s="675"/>
      <c r="AT53" s="676"/>
      <c r="AU53" s="676"/>
      <c r="AV53" s="676"/>
      <c r="AW53" s="675"/>
      <c r="AX53" s="675"/>
      <c r="AY53" s="676"/>
      <c r="AZ53" s="676"/>
      <c r="BA53" s="676"/>
      <c r="BB53" s="675"/>
      <c r="BC53" s="675"/>
      <c r="BD53" s="676"/>
      <c r="BE53" s="676"/>
      <c r="BF53" s="676"/>
      <c r="BG53" s="675"/>
      <c r="BH53" s="675"/>
      <c r="BI53" s="676"/>
      <c r="BJ53" s="676"/>
      <c r="BK53" s="676"/>
      <c r="BL53" s="675"/>
      <c r="BM53" s="675"/>
      <c r="BN53" s="676"/>
      <c r="BO53" s="676"/>
      <c r="BP53" s="676"/>
      <c r="BQ53" s="675"/>
      <c r="BR53" s="675"/>
    </row>
    <row r="54" spans="1:83" ht="60" hidden="1" thickTop="1" thickBot="1" x14ac:dyDescent="0.3">
      <c r="A54" s="677"/>
      <c r="B54" s="678"/>
      <c r="C54" s="678"/>
      <c r="D54" s="678"/>
      <c r="E54" s="678"/>
      <c r="F54" s="677"/>
      <c r="G54" s="678"/>
      <c r="H54" s="678"/>
      <c r="I54" s="678"/>
      <c r="J54" s="678"/>
      <c r="K54" s="677"/>
      <c r="L54" s="678"/>
      <c r="M54" s="678"/>
      <c r="N54" s="678"/>
      <c r="O54" s="678"/>
      <c r="P54" s="677"/>
      <c r="Q54" s="678"/>
      <c r="R54" s="678"/>
      <c r="S54" s="678"/>
      <c r="T54" s="678"/>
      <c r="U54" s="677"/>
      <c r="V54" s="678"/>
      <c r="W54" s="678"/>
      <c r="X54" s="678"/>
      <c r="Y54" s="678"/>
      <c r="Z54" s="677"/>
      <c r="AA54" s="678"/>
      <c r="AB54" s="678"/>
      <c r="AC54" s="678"/>
      <c r="AD54" s="678"/>
      <c r="AE54" s="677"/>
      <c r="AF54" s="678"/>
      <c r="AG54" s="678"/>
      <c r="AH54" s="678"/>
      <c r="AI54" s="678"/>
      <c r="AJ54" s="677"/>
      <c r="AK54" s="678"/>
      <c r="AL54" s="678"/>
      <c r="AM54" s="678"/>
      <c r="AN54" s="678"/>
      <c r="AO54" s="677"/>
      <c r="AP54" s="678"/>
      <c r="AQ54" s="678"/>
      <c r="AR54" s="678"/>
      <c r="AS54" s="678"/>
      <c r="AT54" s="677"/>
      <c r="AU54" s="678"/>
      <c r="AV54" s="678"/>
      <c r="AW54" s="678"/>
      <c r="AX54" s="678"/>
      <c r="AY54" s="677"/>
      <c r="AZ54" s="678"/>
      <c r="BA54" s="678"/>
      <c r="BB54" s="678"/>
      <c r="BC54" s="678"/>
      <c r="BD54" s="677"/>
      <c r="BE54" s="678"/>
      <c r="BF54" s="678"/>
      <c r="BG54" s="678"/>
      <c r="BH54" s="678"/>
      <c r="BI54" s="677"/>
      <c r="BJ54" s="678"/>
      <c r="BK54" s="678"/>
      <c r="BL54" s="678"/>
      <c r="BM54" s="678"/>
      <c r="BN54" s="677"/>
      <c r="BO54" s="678"/>
      <c r="BP54" s="678"/>
      <c r="BQ54" s="678"/>
      <c r="BR54" s="678"/>
    </row>
    <row r="55" spans="1:83" ht="27.75" hidden="1" thickTop="1" thickBot="1" x14ac:dyDescent="0.3">
      <c r="A55" s="677"/>
      <c r="B55" s="32"/>
      <c r="C55" s="33"/>
      <c r="D55" s="34"/>
      <c r="E55" s="35"/>
      <c r="F55" s="677"/>
      <c r="G55" s="32"/>
      <c r="H55" s="33"/>
      <c r="I55" s="34"/>
      <c r="J55" s="35"/>
      <c r="K55" s="677"/>
      <c r="L55" s="32"/>
      <c r="M55" s="33"/>
      <c r="N55" s="34"/>
      <c r="O55" s="35"/>
      <c r="P55" s="677"/>
      <c r="Q55" s="32"/>
      <c r="R55" s="33"/>
      <c r="S55" s="34"/>
      <c r="T55" s="35"/>
      <c r="U55" s="677"/>
      <c r="V55" s="32"/>
      <c r="W55" s="33"/>
      <c r="X55" s="34"/>
      <c r="Y55" s="35"/>
      <c r="Z55" s="677"/>
      <c r="AA55" s="32"/>
      <c r="AB55" s="33"/>
      <c r="AC55" s="34"/>
      <c r="AD55" s="35"/>
      <c r="AE55" s="677"/>
      <c r="AF55" s="32"/>
      <c r="AG55" s="33"/>
      <c r="AH55" s="34"/>
      <c r="AI55" s="35"/>
      <c r="AJ55" s="677"/>
      <c r="AK55" s="32"/>
      <c r="AL55" s="33"/>
      <c r="AM55" s="34"/>
      <c r="AN55" s="35"/>
      <c r="AO55" s="677"/>
      <c r="AP55" s="32"/>
      <c r="AQ55" s="33"/>
      <c r="AR55" s="34"/>
      <c r="AS55" s="35"/>
      <c r="AT55" s="677"/>
      <c r="AU55" s="32"/>
      <c r="AV55" s="33"/>
      <c r="AW55" s="34"/>
      <c r="AX55" s="35"/>
      <c r="AY55" s="677"/>
      <c r="AZ55" s="32"/>
      <c r="BA55" s="33"/>
      <c r="BB55" s="34"/>
      <c r="BC55" s="35"/>
      <c r="BD55" s="677"/>
      <c r="BE55" s="32"/>
      <c r="BF55" s="33"/>
      <c r="BG55" s="34"/>
      <c r="BH55" s="35"/>
      <c r="BI55" s="677"/>
      <c r="BJ55" s="32"/>
      <c r="BK55" s="33"/>
      <c r="BL55" s="34"/>
      <c r="BM55" s="35"/>
      <c r="BN55" s="677"/>
      <c r="BO55" s="32"/>
      <c r="BP55" s="33"/>
      <c r="BQ55" s="34"/>
      <c r="BR55" s="35"/>
      <c r="BW55" s="27"/>
      <c r="BX55" s="27"/>
      <c r="BY55" s="27"/>
      <c r="BZ55" s="27"/>
      <c r="CA55" s="27"/>
      <c r="CB55" s="27"/>
      <c r="CC55" s="27"/>
      <c r="CD55" s="27"/>
      <c r="CE55" s="27"/>
    </row>
    <row r="56" spans="1:83" ht="26.1" hidden="1" customHeight="1" x14ac:dyDescent="0.25">
      <c r="A56" s="674"/>
      <c r="B56" s="674"/>
      <c r="C56" s="674"/>
      <c r="D56" s="675"/>
      <c r="E56" s="675"/>
      <c r="F56" s="674"/>
      <c r="G56" s="674"/>
      <c r="H56" s="674"/>
      <c r="I56" s="675"/>
      <c r="J56" s="675"/>
      <c r="K56" s="674"/>
      <c r="L56" s="674"/>
      <c r="M56" s="674"/>
      <c r="N56" s="675"/>
      <c r="O56" s="675"/>
      <c r="P56" s="674"/>
      <c r="Q56" s="674"/>
      <c r="R56" s="674"/>
      <c r="S56" s="675"/>
      <c r="T56" s="675"/>
      <c r="U56" s="674"/>
      <c r="V56" s="674"/>
      <c r="W56" s="674"/>
      <c r="X56" s="675"/>
      <c r="Y56" s="675"/>
      <c r="Z56" s="674"/>
      <c r="AA56" s="674"/>
      <c r="AB56" s="674"/>
      <c r="AC56" s="675"/>
      <c r="AD56" s="675"/>
      <c r="AE56" s="674"/>
      <c r="AF56" s="674"/>
      <c r="AG56" s="674"/>
      <c r="AH56" s="675"/>
      <c r="AI56" s="675"/>
      <c r="AJ56" s="674"/>
      <c r="AK56" s="674"/>
      <c r="AL56" s="674"/>
      <c r="AM56" s="675"/>
      <c r="AN56" s="675"/>
      <c r="AO56" s="674"/>
      <c r="AP56" s="674"/>
      <c r="AQ56" s="674"/>
      <c r="AR56" s="675"/>
      <c r="AS56" s="675"/>
      <c r="AT56" s="674"/>
      <c r="AU56" s="674"/>
      <c r="AV56" s="674"/>
      <c r="AW56" s="675"/>
      <c r="AX56" s="675"/>
      <c r="AY56" s="674"/>
      <c r="AZ56" s="674"/>
      <c r="BA56" s="674"/>
      <c r="BB56" s="675"/>
      <c r="BC56" s="675"/>
      <c r="BD56" s="674"/>
      <c r="BE56" s="674"/>
      <c r="BF56" s="674"/>
      <c r="BG56" s="675"/>
      <c r="BH56" s="675"/>
      <c r="BI56" s="674"/>
      <c r="BJ56" s="674"/>
      <c r="BK56" s="674"/>
      <c r="BL56" s="675"/>
      <c r="BM56" s="675"/>
      <c r="BN56" s="674"/>
      <c r="BO56" s="674"/>
      <c r="BP56" s="674"/>
      <c r="BQ56" s="675"/>
      <c r="BR56" s="675"/>
    </row>
    <row r="57" spans="1:83" ht="6.75" hidden="1" customHeight="1" x14ac:dyDescent="0.25">
      <c r="A57" s="676"/>
      <c r="B57" s="676"/>
      <c r="C57" s="676"/>
      <c r="D57" s="29"/>
      <c r="E57" s="29"/>
      <c r="F57" s="676"/>
      <c r="G57" s="676"/>
      <c r="H57" s="676"/>
      <c r="I57" s="29"/>
      <c r="J57" s="29"/>
      <c r="K57" s="676"/>
      <c r="L57" s="676"/>
      <c r="M57" s="676"/>
      <c r="N57" s="29"/>
      <c r="O57" s="29"/>
      <c r="P57" s="676"/>
      <c r="Q57" s="676"/>
      <c r="R57" s="676"/>
      <c r="S57" s="29"/>
      <c r="T57" s="29"/>
      <c r="U57" s="676"/>
      <c r="V57" s="676"/>
      <c r="W57" s="676"/>
      <c r="X57" s="29"/>
      <c r="Y57" s="29"/>
      <c r="Z57" s="676"/>
      <c r="AA57" s="676"/>
      <c r="AB57" s="676"/>
      <c r="AC57" s="29"/>
      <c r="AD57" s="29"/>
      <c r="AE57" s="676"/>
      <c r="AF57" s="676"/>
      <c r="AG57" s="676"/>
      <c r="AH57" s="29"/>
      <c r="AI57" s="29"/>
      <c r="AJ57" s="676"/>
      <c r="AK57" s="676"/>
      <c r="AL57" s="676"/>
      <c r="AM57" s="29"/>
      <c r="AN57" s="29"/>
      <c r="AO57" s="676"/>
      <c r="AP57" s="676"/>
      <c r="AQ57" s="676"/>
      <c r="AR57" s="29"/>
      <c r="AS57" s="29"/>
      <c r="AT57" s="676"/>
      <c r="AU57" s="676"/>
      <c r="AV57" s="676"/>
      <c r="AW57" s="29"/>
      <c r="AX57" s="29"/>
      <c r="AY57" s="676"/>
      <c r="AZ57" s="676"/>
      <c r="BA57" s="676"/>
      <c r="BB57" s="29"/>
      <c r="BC57" s="29"/>
      <c r="BD57" s="676"/>
      <c r="BE57" s="676"/>
      <c r="BF57" s="676"/>
      <c r="BG57" s="29"/>
      <c r="BH57" s="29"/>
      <c r="BI57" s="676"/>
      <c r="BJ57" s="676"/>
      <c r="BK57" s="676"/>
      <c r="BL57" s="29"/>
      <c r="BM57" s="29"/>
      <c r="BN57" s="676"/>
      <c r="BO57" s="676"/>
      <c r="BP57" s="676"/>
      <c r="BQ57" s="29"/>
      <c r="BR57" s="29"/>
    </row>
    <row r="58" spans="1:83" ht="21.95" hidden="1" customHeight="1" x14ac:dyDescent="0.25">
      <c r="A58" s="676"/>
      <c r="B58" s="676"/>
      <c r="C58" s="676"/>
      <c r="D58" s="30"/>
      <c r="E58" s="29"/>
      <c r="F58" s="676"/>
      <c r="G58" s="676"/>
      <c r="H58" s="676"/>
      <c r="I58" s="30"/>
      <c r="J58" s="29"/>
      <c r="K58" s="676"/>
      <c r="L58" s="676"/>
      <c r="M58" s="676"/>
      <c r="N58" s="30"/>
      <c r="O58" s="29"/>
      <c r="P58" s="676"/>
      <c r="Q58" s="676"/>
      <c r="R58" s="676"/>
      <c r="S58" s="30"/>
      <c r="T58" s="29"/>
      <c r="U58" s="676"/>
      <c r="V58" s="676"/>
      <c r="W58" s="676"/>
      <c r="X58" s="30"/>
      <c r="Y58" s="29"/>
      <c r="Z58" s="676"/>
      <c r="AA58" s="676"/>
      <c r="AB58" s="676"/>
      <c r="AC58" s="30"/>
      <c r="AD58" s="29"/>
      <c r="AE58" s="676"/>
      <c r="AF58" s="676"/>
      <c r="AG58" s="676"/>
      <c r="AH58" s="30"/>
      <c r="AI58" s="29"/>
      <c r="AJ58" s="676"/>
      <c r="AK58" s="676"/>
      <c r="AL58" s="676"/>
      <c r="AM58" s="30"/>
      <c r="AN58" s="29"/>
      <c r="AO58" s="676"/>
      <c r="AP58" s="676"/>
      <c r="AQ58" s="676"/>
      <c r="AR58" s="30"/>
      <c r="AS58" s="29"/>
      <c r="AT58" s="676"/>
      <c r="AU58" s="676"/>
      <c r="AV58" s="676"/>
      <c r="AW58" s="30"/>
      <c r="AX58" s="29"/>
      <c r="AY58" s="676"/>
      <c r="AZ58" s="676"/>
      <c r="BA58" s="676"/>
      <c r="BB58" s="30"/>
      <c r="BC58" s="29"/>
      <c r="BD58" s="676"/>
      <c r="BE58" s="676"/>
      <c r="BF58" s="676"/>
      <c r="BG58" s="30"/>
      <c r="BH58" s="29"/>
      <c r="BI58" s="676"/>
      <c r="BJ58" s="676"/>
      <c r="BK58" s="676"/>
      <c r="BL58" s="30"/>
      <c r="BM58" s="29"/>
      <c r="BN58" s="676"/>
      <c r="BO58" s="676"/>
      <c r="BP58" s="676"/>
      <c r="BQ58" s="30"/>
      <c r="BR58" s="29"/>
    </row>
    <row r="59" spans="1:83" ht="6" hidden="1" customHeight="1" x14ac:dyDescent="0.25">
      <c r="A59" s="676"/>
      <c r="B59" s="676"/>
      <c r="C59" s="676"/>
      <c r="D59" s="675"/>
      <c r="E59" s="675"/>
      <c r="F59" s="676"/>
      <c r="G59" s="676"/>
      <c r="H59" s="676"/>
      <c r="I59" s="675"/>
      <c r="J59" s="675"/>
      <c r="K59" s="676"/>
      <c r="L59" s="676"/>
      <c r="M59" s="676"/>
      <c r="N59" s="675"/>
      <c r="O59" s="675"/>
      <c r="P59" s="676"/>
      <c r="Q59" s="676"/>
      <c r="R59" s="676"/>
      <c r="S59" s="675"/>
      <c r="T59" s="675"/>
      <c r="U59" s="676"/>
      <c r="V59" s="676"/>
      <c r="W59" s="676"/>
      <c r="X59" s="675"/>
      <c r="Y59" s="675"/>
      <c r="Z59" s="676"/>
      <c r="AA59" s="676"/>
      <c r="AB59" s="676"/>
      <c r="AC59" s="675"/>
      <c r="AD59" s="675"/>
      <c r="AE59" s="676"/>
      <c r="AF59" s="676"/>
      <c r="AG59" s="676"/>
      <c r="AH59" s="675"/>
      <c r="AI59" s="675"/>
      <c r="AJ59" s="676"/>
      <c r="AK59" s="676"/>
      <c r="AL59" s="676"/>
      <c r="AM59" s="675"/>
      <c r="AN59" s="675"/>
      <c r="AO59" s="676"/>
      <c r="AP59" s="676"/>
      <c r="AQ59" s="676"/>
      <c r="AR59" s="675"/>
      <c r="AS59" s="675"/>
      <c r="AT59" s="676"/>
      <c r="AU59" s="676"/>
      <c r="AV59" s="676"/>
      <c r="AW59" s="675"/>
      <c r="AX59" s="675"/>
      <c r="AY59" s="676"/>
      <c r="AZ59" s="676"/>
      <c r="BA59" s="676"/>
      <c r="BB59" s="675"/>
      <c r="BC59" s="675"/>
      <c r="BD59" s="676"/>
      <c r="BE59" s="676"/>
      <c r="BF59" s="676"/>
      <c r="BG59" s="675"/>
      <c r="BH59" s="675"/>
      <c r="BI59" s="676"/>
      <c r="BJ59" s="676"/>
      <c r="BK59" s="676"/>
      <c r="BL59" s="675"/>
      <c r="BM59" s="675"/>
      <c r="BN59" s="676"/>
      <c r="BO59" s="676"/>
      <c r="BP59" s="676"/>
      <c r="BQ59" s="675"/>
      <c r="BR59" s="675"/>
    </row>
    <row r="60" spans="1:83" ht="60" hidden="1" thickTop="1" thickBot="1" x14ac:dyDescent="0.3">
      <c r="A60" s="677"/>
      <c r="B60" s="678"/>
      <c r="C60" s="678"/>
      <c r="D60" s="678"/>
      <c r="E60" s="678"/>
      <c r="F60" s="677"/>
      <c r="G60" s="678"/>
      <c r="H60" s="678"/>
      <c r="I60" s="678"/>
      <c r="J60" s="678"/>
      <c r="K60" s="677"/>
      <c r="L60" s="678"/>
      <c r="M60" s="678"/>
      <c r="N60" s="678"/>
      <c r="O60" s="678"/>
      <c r="P60" s="677"/>
      <c r="Q60" s="678"/>
      <c r="R60" s="678"/>
      <c r="S60" s="678"/>
      <c r="T60" s="678"/>
      <c r="U60" s="677"/>
      <c r="V60" s="678"/>
      <c r="W60" s="678"/>
      <c r="X60" s="678"/>
      <c r="Y60" s="678"/>
      <c r="Z60" s="677"/>
      <c r="AA60" s="678"/>
      <c r="AB60" s="678"/>
      <c r="AC60" s="678"/>
      <c r="AD60" s="678"/>
      <c r="AE60" s="677"/>
      <c r="AF60" s="678"/>
      <c r="AG60" s="678"/>
      <c r="AH60" s="678"/>
      <c r="AI60" s="678"/>
      <c r="AJ60" s="677"/>
      <c r="AK60" s="678"/>
      <c r="AL60" s="678"/>
      <c r="AM60" s="678"/>
      <c r="AN60" s="678"/>
      <c r="AO60" s="677"/>
      <c r="AP60" s="678"/>
      <c r="AQ60" s="678"/>
      <c r="AR60" s="678"/>
      <c r="AS60" s="678"/>
      <c r="AT60" s="677"/>
      <c r="AU60" s="678"/>
      <c r="AV60" s="678"/>
      <c r="AW60" s="678"/>
      <c r="AX60" s="678"/>
      <c r="AY60" s="677"/>
      <c r="AZ60" s="678"/>
      <c r="BA60" s="678"/>
      <c r="BB60" s="678"/>
      <c r="BC60" s="678"/>
      <c r="BD60" s="677"/>
      <c r="BE60" s="678"/>
      <c r="BF60" s="678"/>
      <c r="BG60" s="678"/>
      <c r="BH60" s="678"/>
      <c r="BI60" s="677"/>
      <c r="BJ60" s="678"/>
      <c r="BK60" s="678"/>
      <c r="BL60" s="678"/>
      <c r="BM60" s="678"/>
      <c r="BN60" s="677"/>
      <c r="BO60" s="678"/>
      <c r="BP60" s="678"/>
      <c r="BQ60" s="678"/>
      <c r="BR60" s="678"/>
    </row>
    <row r="61" spans="1:83" ht="27.75" hidden="1" thickTop="1" thickBot="1" x14ac:dyDescent="0.3">
      <c r="A61" s="677"/>
      <c r="B61" s="32"/>
      <c r="C61" s="33"/>
      <c r="D61" s="34"/>
      <c r="E61" s="35"/>
      <c r="F61" s="677"/>
      <c r="G61" s="32"/>
      <c r="H61" s="33"/>
      <c r="I61" s="34"/>
      <c r="J61" s="35"/>
      <c r="K61" s="677"/>
      <c r="L61" s="32"/>
      <c r="M61" s="33"/>
      <c r="N61" s="34"/>
      <c r="O61" s="35"/>
      <c r="P61" s="677"/>
      <c r="Q61" s="32"/>
      <c r="R61" s="33"/>
      <c r="S61" s="34"/>
      <c r="T61" s="35"/>
      <c r="U61" s="677"/>
      <c r="V61" s="32"/>
      <c r="W61" s="33"/>
      <c r="X61" s="34"/>
      <c r="Y61" s="35"/>
      <c r="Z61" s="677"/>
      <c r="AA61" s="32"/>
      <c r="AB61" s="33"/>
      <c r="AC61" s="34"/>
      <c r="AD61" s="35"/>
      <c r="AE61" s="677"/>
      <c r="AF61" s="32"/>
      <c r="AG61" s="33"/>
      <c r="AH61" s="34"/>
      <c r="AI61" s="35"/>
      <c r="AJ61" s="677"/>
      <c r="AK61" s="32"/>
      <c r="AL61" s="33"/>
      <c r="AM61" s="34"/>
      <c r="AN61" s="35"/>
      <c r="AO61" s="677"/>
      <c r="AP61" s="32"/>
      <c r="AQ61" s="33"/>
      <c r="AR61" s="34"/>
      <c r="AS61" s="35"/>
      <c r="AT61" s="677"/>
      <c r="AU61" s="32"/>
      <c r="AV61" s="33"/>
      <c r="AW61" s="34"/>
      <c r="AX61" s="35"/>
      <c r="AY61" s="677"/>
      <c r="AZ61" s="32"/>
      <c r="BA61" s="33"/>
      <c r="BB61" s="34"/>
      <c r="BC61" s="35"/>
      <c r="BD61" s="677"/>
      <c r="BE61" s="32"/>
      <c r="BF61" s="33"/>
      <c r="BG61" s="34"/>
      <c r="BH61" s="35"/>
      <c r="BI61" s="677"/>
      <c r="BJ61" s="32"/>
      <c r="BK61" s="33"/>
      <c r="BL61" s="34"/>
      <c r="BM61" s="35"/>
      <c r="BN61" s="677"/>
      <c r="BO61" s="32"/>
      <c r="BP61" s="33"/>
      <c r="BQ61" s="34"/>
      <c r="BR61" s="35"/>
      <c r="BW61" s="27"/>
      <c r="BX61" s="27"/>
      <c r="BY61" s="27"/>
      <c r="BZ61" s="27"/>
      <c r="CA61" s="27"/>
      <c r="CB61" s="27"/>
      <c r="CC61" s="27"/>
      <c r="CD61" s="27"/>
      <c r="CE61" s="27"/>
    </row>
    <row r="62" spans="1:83" s="42" customFormat="1" ht="3" customHeight="1" thickTop="1" thickBo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W62" s="43"/>
      <c r="BX62" s="43"/>
      <c r="BY62" s="43"/>
      <c r="BZ62" s="43"/>
      <c r="CA62" s="43"/>
      <c r="CB62" s="43"/>
      <c r="CC62" s="43"/>
      <c r="CD62" s="43"/>
      <c r="CE62" s="43"/>
    </row>
    <row r="63" spans="1:83" ht="36" customHeight="1" thickTop="1" x14ac:dyDescent="0.25">
      <c r="A63" s="2098" t="s">
        <v>110</v>
      </c>
      <c r="B63" s="2099"/>
      <c r="C63" s="2100">
        <f t="shared" ref="C63" si="104">B68/((66*3.1415/64)*(50/3.281))</f>
        <v>2.0255137721316299E-13</v>
      </c>
      <c r="D63" s="2100"/>
      <c r="E63" s="2101"/>
      <c r="F63" s="2098" t="s">
        <v>110</v>
      </c>
      <c r="G63" s="2099"/>
      <c r="H63" s="2100">
        <f t="shared" ref="H63" si="105">G68/((66*3.1415/64)*(50/3.281))</f>
        <v>6.1737659774572084E-3</v>
      </c>
      <c r="I63" s="2100"/>
      <c r="J63" s="2101"/>
      <c r="K63" s="2098" t="s">
        <v>110</v>
      </c>
      <c r="L63" s="2099"/>
      <c r="M63" s="2100">
        <f t="shared" ref="M63" si="106">L68/((66*3.1415/64)*(50/3.281))</f>
        <v>2.02551377213163E-19</v>
      </c>
      <c r="N63" s="2100"/>
      <c r="O63" s="2101"/>
      <c r="P63" s="2098" t="s">
        <v>110</v>
      </c>
      <c r="Q63" s="2099"/>
      <c r="R63" s="2100">
        <f t="shared" ref="R63" si="107">Q68/((66*3.1415/64)*(50/3.281))</f>
        <v>4.1158439849714717E-3</v>
      </c>
      <c r="S63" s="2100"/>
      <c r="T63" s="2101"/>
      <c r="U63" s="2098" t="s">
        <v>110</v>
      </c>
      <c r="V63" s="2099"/>
      <c r="W63" s="2100">
        <f t="shared" ref="W63" si="108">V68/((66*3.1415/64)*(50/3.281))</f>
        <v>8.7461684680643793E-3</v>
      </c>
      <c r="X63" s="2100"/>
      <c r="Y63" s="2101"/>
      <c r="Z63" s="2098" t="s">
        <v>110</v>
      </c>
      <c r="AA63" s="2099"/>
      <c r="AB63" s="2100">
        <f t="shared" ref="AB63" si="109">AA68/((66*3.1415/64)*(50/3.281))</f>
        <v>3.8586037359107553E-2</v>
      </c>
      <c r="AC63" s="2100"/>
      <c r="AD63" s="2101"/>
      <c r="AE63" s="2098" t="s">
        <v>110</v>
      </c>
      <c r="AF63" s="2099"/>
      <c r="AG63" s="2100">
        <f t="shared" ref="AG63" si="110">AF68/((66*3.1415/64)*(50/3.281))</f>
        <v>2.02551377213163E-10</v>
      </c>
      <c r="AH63" s="2100"/>
      <c r="AI63" s="2101"/>
      <c r="AJ63" s="2098" t="s">
        <v>110</v>
      </c>
      <c r="AK63" s="2099"/>
      <c r="AL63" s="2100">
        <f t="shared" ref="AL63" si="111">AK68/((66*3.1415/64)*(50/3.281))</f>
        <v>4.1158439849714717E-3</v>
      </c>
      <c r="AM63" s="2100"/>
      <c r="AN63" s="2101"/>
      <c r="AO63" s="2098" t="s">
        <v>110</v>
      </c>
      <c r="AP63" s="2099"/>
      <c r="AQ63" s="2100">
        <f t="shared" ref="AQ63" si="112">AP68/((66*3.1415/64)*(50/3.281))</f>
        <v>2.0255137721316301E-12</v>
      </c>
      <c r="AR63" s="2100"/>
      <c r="AS63" s="2101"/>
      <c r="AT63" s="2098" t="s">
        <v>110</v>
      </c>
      <c r="AU63" s="2099"/>
      <c r="AV63" s="2100">
        <f t="shared" ref="AV63" si="113">AU68/((66*3.1415/64)*(50/3.281))</f>
        <v>2.0255137721316301E-16</v>
      </c>
      <c r="AW63" s="2100"/>
      <c r="AX63" s="2101"/>
      <c r="AY63" s="2098" t="s">
        <v>110</v>
      </c>
      <c r="AZ63" s="2099"/>
      <c r="BA63" s="2100">
        <f t="shared" ref="BA63" si="114">AZ68/((66*3.1415/64)*(50/3.281))</f>
        <v>2.0255137721316301E-16</v>
      </c>
      <c r="BB63" s="2100"/>
      <c r="BC63" s="2101"/>
      <c r="BD63" s="2620" t="s">
        <v>110</v>
      </c>
      <c r="BE63" s="2621"/>
      <c r="BF63" s="2627">
        <f>BE68/((66*3.1415/64)*(55/3.281))</f>
        <v>1.8413761564833E-12</v>
      </c>
      <c r="BG63" s="2627"/>
      <c r="BH63" s="2628"/>
      <c r="BI63" s="2620" t="s">
        <v>110</v>
      </c>
      <c r="BJ63" s="2621"/>
      <c r="BK63" s="2627">
        <f t="shared" ref="BK63" si="115">BJ68/((66*3.1415/64)*(55/3.281))</f>
        <v>1.8413761564832999E-14</v>
      </c>
      <c r="BL63" s="2627"/>
      <c r="BM63" s="2628"/>
      <c r="BN63" s="2620" t="s">
        <v>110</v>
      </c>
      <c r="BO63" s="2621"/>
      <c r="BP63" s="2627">
        <f t="shared" ref="BP63" si="116">BO68/((66*3.1415/64)*(55/3.281))</f>
        <v>3.6481344412247138E-2</v>
      </c>
      <c r="BQ63" s="2627"/>
      <c r="BR63" s="2628"/>
    </row>
    <row r="64" spans="1:83" ht="6.75" customHeight="1" x14ac:dyDescent="0.25">
      <c r="A64" s="2360" t="s">
        <v>489</v>
      </c>
      <c r="B64" s="1632"/>
      <c r="C64" s="1632"/>
      <c r="D64" s="1632"/>
      <c r="E64" s="1633"/>
      <c r="F64" s="2360" t="s">
        <v>489</v>
      </c>
      <c r="G64" s="1632"/>
      <c r="H64" s="1632"/>
      <c r="I64" s="1632"/>
      <c r="J64" s="1633"/>
      <c r="K64" s="2360" t="s">
        <v>489</v>
      </c>
      <c r="L64" s="1632"/>
      <c r="M64" s="1632"/>
      <c r="N64" s="1632"/>
      <c r="O64" s="1633"/>
      <c r="P64" s="2360" t="s">
        <v>489</v>
      </c>
      <c r="Q64" s="1632"/>
      <c r="R64" s="1632"/>
      <c r="S64" s="1632"/>
      <c r="T64" s="1633"/>
      <c r="U64" s="2360" t="s">
        <v>489</v>
      </c>
      <c r="V64" s="1632"/>
      <c r="W64" s="1632"/>
      <c r="X64" s="1632"/>
      <c r="Y64" s="1633"/>
      <c r="Z64" s="2360" t="s">
        <v>489</v>
      </c>
      <c r="AA64" s="1632"/>
      <c r="AB64" s="1632"/>
      <c r="AC64" s="1632"/>
      <c r="AD64" s="1633"/>
      <c r="AE64" s="2360" t="s">
        <v>489</v>
      </c>
      <c r="AF64" s="1632"/>
      <c r="AG64" s="1632"/>
      <c r="AH64" s="1632"/>
      <c r="AI64" s="1633"/>
      <c r="AJ64" s="2360" t="s">
        <v>489</v>
      </c>
      <c r="AK64" s="1632"/>
      <c r="AL64" s="1632"/>
      <c r="AM64" s="1632"/>
      <c r="AN64" s="1633"/>
      <c r="AO64" s="2360" t="s">
        <v>489</v>
      </c>
      <c r="AP64" s="1632"/>
      <c r="AQ64" s="1632"/>
      <c r="AR64" s="1632"/>
      <c r="AS64" s="1633"/>
      <c r="AT64" s="2360" t="s">
        <v>489</v>
      </c>
      <c r="AU64" s="1632"/>
      <c r="AV64" s="1632"/>
      <c r="AW64" s="1632"/>
      <c r="AX64" s="1633"/>
      <c r="AY64" s="2360" t="s">
        <v>489</v>
      </c>
      <c r="AZ64" s="1632"/>
      <c r="BA64" s="1632"/>
      <c r="BB64" s="1632"/>
      <c r="BC64" s="1633"/>
      <c r="BD64" s="1791" t="s">
        <v>489</v>
      </c>
      <c r="BE64" s="1792"/>
      <c r="BF64" s="1792"/>
      <c r="BG64" s="1792"/>
      <c r="BH64" s="1793"/>
      <c r="BI64" s="1791" t="s">
        <v>489</v>
      </c>
      <c r="BJ64" s="1792"/>
      <c r="BK64" s="1792"/>
      <c r="BL64" s="1792"/>
      <c r="BM64" s="1793"/>
      <c r="BN64" s="1791" t="s">
        <v>489</v>
      </c>
      <c r="BO64" s="1792"/>
      <c r="BP64" s="1792"/>
      <c r="BQ64" s="1792"/>
      <c r="BR64" s="1793"/>
    </row>
    <row r="65" spans="1:172" ht="9.75" customHeight="1" x14ac:dyDescent="0.25">
      <c r="A65" s="2361"/>
      <c r="B65" s="1635"/>
      <c r="C65" s="1635"/>
      <c r="D65" s="1635"/>
      <c r="E65" s="1636"/>
      <c r="F65" s="2361"/>
      <c r="G65" s="1635"/>
      <c r="H65" s="1635"/>
      <c r="I65" s="1635"/>
      <c r="J65" s="1636"/>
      <c r="K65" s="2361"/>
      <c r="L65" s="1635"/>
      <c r="M65" s="1635"/>
      <c r="N65" s="1635"/>
      <c r="O65" s="1636"/>
      <c r="P65" s="2361"/>
      <c r="Q65" s="1635"/>
      <c r="R65" s="1635"/>
      <c r="S65" s="1635"/>
      <c r="T65" s="1636"/>
      <c r="U65" s="2361"/>
      <c r="V65" s="1635"/>
      <c r="W65" s="1635"/>
      <c r="X65" s="1635"/>
      <c r="Y65" s="1636"/>
      <c r="Z65" s="2361"/>
      <c r="AA65" s="1635"/>
      <c r="AB65" s="1635"/>
      <c r="AC65" s="1635"/>
      <c r="AD65" s="1636"/>
      <c r="AE65" s="2361"/>
      <c r="AF65" s="1635"/>
      <c r="AG65" s="1635"/>
      <c r="AH65" s="1635"/>
      <c r="AI65" s="1636"/>
      <c r="AJ65" s="2361"/>
      <c r="AK65" s="1635"/>
      <c r="AL65" s="1635"/>
      <c r="AM65" s="1635"/>
      <c r="AN65" s="1636"/>
      <c r="AO65" s="2361"/>
      <c r="AP65" s="1635"/>
      <c r="AQ65" s="1635"/>
      <c r="AR65" s="1635"/>
      <c r="AS65" s="1636"/>
      <c r="AT65" s="2361"/>
      <c r="AU65" s="1635"/>
      <c r="AV65" s="1635"/>
      <c r="AW65" s="1635"/>
      <c r="AX65" s="1636"/>
      <c r="AY65" s="2361"/>
      <c r="AZ65" s="1635"/>
      <c r="BA65" s="1635"/>
      <c r="BB65" s="1635"/>
      <c r="BC65" s="1636"/>
      <c r="BD65" s="2363"/>
      <c r="BE65" s="2364"/>
      <c r="BF65" s="2364"/>
      <c r="BG65" s="2364"/>
      <c r="BH65" s="2365"/>
      <c r="BI65" s="2363"/>
      <c r="BJ65" s="2364"/>
      <c r="BK65" s="2364"/>
      <c r="BL65" s="2364"/>
      <c r="BM65" s="2365"/>
      <c r="BN65" s="2363"/>
      <c r="BO65" s="2364"/>
      <c r="BP65" s="2364"/>
      <c r="BQ65" s="2364"/>
      <c r="BR65" s="2365"/>
      <c r="CY65" s="37"/>
      <c r="CZ65" s="38"/>
      <c r="DA65" s="39"/>
      <c r="DB65" s="40"/>
      <c r="DC65" s="41"/>
      <c r="DD65" s="37"/>
      <c r="DE65" s="38"/>
      <c r="DF65" s="39"/>
      <c r="DG65" s="40"/>
      <c r="DH65" s="41"/>
      <c r="DI65" s="37"/>
      <c r="DJ65" s="38"/>
      <c r="DK65" s="39"/>
      <c r="DL65" s="40"/>
      <c r="DM65" s="41"/>
      <c r="DN65" s="37"/>
      <c r="DO65" s="38"/>
      <c r="DP65" s="39"/>
      <c r="DQ65" s="40"/>
      <c r="DR65" s="41"/>
      <c r="DS65" s="37"/>
      <c r="DT65" s="38"/>
      <c r="DU65" s="39"/>
      <c r="DV65" s="697"/>
      <c r="DW65" s="697"/>
      <c r="DX65" s="697"/>
      <c r="DY65" s="697"/>
      <c r="DZ65" s="697"/>
      <c r="EA65" s="697"/>
      <c r="EB65" s="697"/>
      <c r="EC65" s="697"/>
      <c r="ED65" s="697"/>
      <c r="EE65" s="697"/>
      <c r="EF65" s="697"/>
      <c r="EG65" s="697"/>
      <c r="EH65" s="37"/>
      <c r="EI65" s="38"/>
      <c r="EJ65" s="39"/>
      <c r="EK65" s="40"/>
      <c r="EL65" s="41"/>
      <c r="EM65" s="37"/>
      <c r="EN65" s="38"/>
      <c r="EO65" s="39"/>
      <c r="EP65" s="40"/>
      <c r="EQ65" s="41"/>
      <c r="ER65" s="37"/>
      <c r="ES65" s="38"/>
      <c r="ET65" s="39"/>
      <c r="EU65" s="40"/>
      <c r="EV65" s="41"/>
      <c r="EW65" s="37"/>
      <c r="EX65" s="38"/>
      <c r="EY65" s="39"/>
      <c r="EZ65" s="40"/>
      <c r="FA65" s="41"/>
      <c r="FB65" s="37"/>
      <c r="FC65" s="38"/>
      <c r="FD65" s="39"/>
      <c r="FE65" s="40"/>
      <c r="FF65" s="41"/>
      <c r="FG65" s="37"/>
      <c r="FH65" s="38"/>
      <c r="FI65" s="39"/>
      <c r="FJ65" s="40"/>
      <c r="FK65" s="41"/>
      <c r="FL65" s="37"/>
      <c r="FM65" s="38"/>
      <c r="FN65" s="39"/>
      <c r="FO65" s="40"/>
      <c r="FP65" s="41"/>
    </row>
    <row r="66" spans="1:172" ht="6" customHeight="1" x14ac:dyDescent="0.25">
      <c r="A66" s="2362"/>
      <c r="B66" s="1638"/>
      <c r="C66" s="1638"/>
      <c r="D66" s="1638"/>
      <c r="E66" s="1639"/>
      <c r="F66" s="2362"/>
      <c r="G66" s="1638"/>
      <c r="H66" s="1638"/>
      <c r="I66" s="1638"/>
      <c r="J66" s="1639"/>
      <c r="K66" s="2362"/>
      <c r="L66" s="1638"/>
      <c r="M66" s="1638"/>
      <c r="N66" s="1638"/>
      <c r="O66" s="1639"/>
      <c r="P66" s="2362"/>
      <c r="Q66" s="1638"/>
      <c r="R66" s="1638"/>
      <c r="S66" s="1638"/>
      <c r="T66" s="1639"/>
      <c r="U66" s="2362"/>
      <c r="V66" s="1638"/>
      <c r="W66" s="1638"/>
      <c r="X66" s="1638"/>
      <c r="Y66" s="1639"/>
      <c r="Z66" s="2362"/>
      <c r="AA66" s="1638"/>
      <c r="AB66" s="1638"/>
      <c r="AC66" s="1638"/>
      <c r="AD66" s="1639"/>
      <c r="AE66" s="2362"/>
      <c r="AF66" s="1638"/>
      <c r="AG66" s="1638"/>
      <c r="AH66" s="1638"/>
      <c r="AI66" s="1639"/>
      <c r="AJ66" s="2362"/>
      <c r="AK66" s="1638"/>
      <c r="AL66" s="1638"/>
      <c r="AM66" s="1638"/>
      <c r="AN66" s="1639"/>
      <c r="AO66" s="2362"/>
      <c r="AP66" s="1638"/>
      <c r="AQ66" s="1638"/>
      <c r="AR66" s="1638"/>
      <c r="AS66" s="1639"/>
      <c r="AT66" s="2362"/>
      <c r="AU66" s="1638"/>
      <c r="AV66" s="1638"/>
      <c r="AW66" s="1638"/>
      <c r="AX66" s="1639"/>
      <c r="AY66" s="2362"/>
      <c r="AZ66" s="1638"/>
      <c r="BA66" s="1638"/>
      <c r="BB66" s="1638"/>
      <c r="BC66" s="1639"/>
      <c r="BD66" s="1794"/>
      <c r="BE66" s="1795"/>
      <c r="BF66" s="1795"/>
      <c r="BG66" s="1795"/>
      <c r="BH66" s="1796"/>
      <c r="BI66" s="1794"/>
      <c r="BJ66" s="1795"/>
      <c r="BK66" s="1795"/>
      <c r="BL66" s="1795"/>
      <c r="BM66" s="1796"/>
      <c r="BN66" s="1794"/>
      <c r="BO66" s="1795"/>
      <c r="BP66" s="1795"/>
      <c r="BQ66" s="1795"/>
      <c r="BR66" s="1796"/>
      <c r="CY66" s="674"/>
      <c r="CZ66" s="674"/>
      <c r="DA66" s="674"/>
      <c r="DB66" s="675"/>
      <c r="DC66" s="675"/>
      <c r="DD66" s="44"/>
      <c r="DE66" s="702"/>
      <c r="DF66" s="702"/>
      <c r="DG66" s="702"/>
      <c r="DI66" s="45"/>
      <c r="DJ66" s="45"/>
      <c r="DK66" s="45"/>
      <c r="DL66" s="45"/>
      <c r="DM66" s="45"/>
      <c r="DN66" s="45"/>
      <c r="DO66" s="45"/>
      <c r="DP66" s="45"/>
      <c r="DQ66" s="45"/>
      <c r="DR66" s="45"/>
      <c r="DS66" s="45"/>
      <c r="DT66" s="45"/>
      <c r="DU66" s="45"/>
      <c r="DV66" s="697"/>
      <c r="DW66" s="697"/>
      <c r="DX66" s="697"/>
      <c r="DY66" s="697"/>
      <c r="DZ66" s="697"/>
      <c r="EA66" s="697"/>
      <c r="EB66" s="697"/>
      <c r="EC66" s="697"/>
      <c r="ED66" s="697"/>
      <c r="EE66" s="697"/>
      <c r="EF66" s="697"/>
      <c r="EG66" s="697"/>
      <c r="EH66" s="697"/>
      <c r="EI66" s="697"/>
      <c r="EJ66" s="697"/>
      <c r="EK66" s="697"/>
      <c r="EL66" s="697"/>
      <c r="EM66" s="697"/>
      <c r="EN66" s="697"/>
      <c r="EO66" s="697"/>
      <c r="EP66" s="697"/>
      <c r="EQ66" s="697"/>
      <c r="ER66" s="46"/>
      <c r="ES66" s="698"/>
      <c r="ET66" s="698"/>
      <c r="EU66" s="698"/>
      <c r="EV66" s="698"/>
      <c r="EW66" s="698"/>
      <c r="EX66" s="698"/>
      <c r="EY66" s="698"/>
      <c r="EZ66" s="698"/>
      <c r="FA66" s="698"/>
      <c r="FB66" s="698"/>
      <c r="FC66" s="698"/>
      <c r="FD66" s="698"/>
      <c r="FE66" s="699"/>
      <c r="FF66" s="699"/>
      <c r="FG66" s="699"/>
      <c r="FH66" s="699"/>
      <c r="FI66" s="699"/>
      <c r="FJ66" s="700"/>
      <c r="FK66" s="700"/>
      <c r="FL66" s="700"/>
      <c r="FM66" s="700"/>
      <c r="FN66" s="701"/>
      <c r="FO66" s="701"/>
      <c r="FP66" s="701"/>
    </row>
    <row r="67" spans="1:172" s="22" customFormat="1" ht="111.75" customHeight="1" x14ac:dyDescent="1.35">
      <c r="A67" s="2092" t="s">
        <v>131</v>
      </c>
      <c r="B67" s="588">
        <v>109</v>
      </c>
      <c r="C67" s="589"/>
      <c r="D67" s="589"/>
      <c r="E67" s="590"/>
      <c r="F67" s="2092" t="s">
        <v>131</v>
      </c>
      <c r="G67" s="588">
        <v>110</v>
      </c>
      <c r="H67" s="589"/>
      <c r="I67" s="589"/>
      <c r="J67" s="590"/>
      <c r="K67" s="2092" t="s">
        <v>131</v>
      </c>
      <c r="L67" s="588">
        <v>111</v>
      </c>
      <c r="M67" s="589"/>
      <c r="N67" s="589"/>
      <c r="O67" s="590"/>
      <c r="P67" s="2092" t="s">
        <v>131</v>
      </c>
      <c r="Q67" s="588">
        <v>112</v>
      </c>
      <c r="R67" s="589"/>
      <c r="S67" s="589"/>
      <c r="T67" s="590"/>
      <c r="U67" s="2092" t="s">
        <v>131</v>
      </c>
      <c r="V67" s="588">
        <v>113</v>
      </c>
      <c r="W67" s="589"/>
      <c r="X67" s="589"/>
      <c r="Y67" s="590"/>
      <c r="Z67" s="2092" t="s">
        <v>131</v>
      </c>
      <c r="AA67" s="588">
        <v>114</v>
      </c>
      <c r="AB67" s="589"/>
      <c r="AC67" s="589"/>
      <c r="AD67" s="590"/>
      <c r="AE67" s="2092" t="s">
        <v>131</v>
      </c>
      <c r="AF67" s="588">
        <v>115</v>
      </c>
      <c r="AG67" s="589"/>
      <c r="AH67" s="589"/>
      <c r="AI67" s="590"/>
      <c r="AJ67" s="2092" t="s">
        <v>131</v>
      </c>
      <c r="AK67" s="588">
        <v>116</v>
      </c>
      <c r="AL67" s="589"/>
      <c r="AM67" s="589"/>
      <c r="AN67" s="590"/>
      <c r="AO67" s="2092" t="s">
        <v>131</v>
      </c>
      <c r="AP67" s="588">
        <v>117</v>
      </c>
      <c r="AQ67" s="589"/>
      <c r="AR67" s="589"/>
      <c r="AS67" s="590"/>
      <c r="AT67" s="2092" t="s">
        <v>131</v>
      </c>
      <c r="AU67" s="588">
        <v>118</v>
      </c>
      <c r="AV67" s="589"/>
      <c r="AW67" s="589"/>
      <c r="AX67" s="590"/>
      <c r="AY67" s="2092" t="s">
        <v>131</v>
      </c>
      <c r="AZ67" s="588">
        <v>119</v>
      </c>
      <c r="BA67" s="589"/>
      <c r="BB67" s="589"/>
      <c r="BC67" s="590"/>
      <c r="BD67" s="2625" t="s">
        <v>492</v>
      </c>
      <c r="BE67" s="588">
        <v>9</v>
      </c>
      <c r="BF67" s="589"/>
      <c r="BG67" s="589"/>
      <c r="BH67" s="590"/>
      <c r="BI67" s="2625" t="s">
        <v>492</v>
      </c>
      <c r="BJ67" s="588">
        <v>10</v>
      </c>
      <c r="BK67" s="589"/>
      <c r="BL67" s="589"/>
      <c r="BM67" s="590"/>
      <c r="BN67" s="2625" t="s">
        <v>492</v>
      </c>
      <c r="BO67" s="588">
        <v>11</v>
      </c>
      <c r="BP67" s="589"/>
      <c r="BQ67" s="589"/>
      <c r="BR67" s="590"/>
      <c r="BS67" s="367"/>
      <c r="BT67" s="367"/>
      <c r="BW67" s="368"/>
      <c r="BX67" s="368"/>
      <c r="BY67" s="368"/>
      <c r="BZ67" s="368"/>
      <c r="CA67" s="368"/>
      <c r="CB67" s="368"/>
      <c r="CC67" s="369"/>
      <c r="CD67" s="369"/>
      <c r="CE67" s="369"/>
      <c r="CG67" s="369"/>
      <c r="CH67" s="369"/>
      <c r="CI67" s="369"/>
      <c r="CJ67" s="369"/>
      <c r="CK67" s="369"/>
      <c r="CL67" s="369"/>
      <c r="CY67" s="676"/>
      <c r="CZ67" s="676"/>
      <c r="DA67" s="676"/>
      <c r="DB67" s="370"/>
      <c r="DC67" s="370"/>
      <c r="DD67" s="371"/>
      <c r="DE67" s="702"/>
      <c r="DF67" s="702"/>
      <c r="DG67" s="702"/>
      <c r="DH67" s="372"/>
      <c r="DI67" s="373"/>
      <c r="DJ67" s="373"/>
      <c r="DK67" s="373"/>
      <c r="DL67" s="373"/>
      <c r="DM67" s="373"/>
      <c r="DN67" s="373"/>
      <c r="DO67" s="373"/>
      <c r="DP67" s="373"/>
      <c r="DQ67" s="373"/>
      <c r="DR67" s="373"/>
      <c r="DS67" s="373"/>
      <c r="DT67" s="373"/>
      <c r="DU67" s="373"/>
      <c r="DV67" s="697"/>
      <c r="DW67" s="697"/>
      <c r="DX67" s="697"/>
      <c r="DY67" s="697"/>
      <c r="DZ67" s="697"/>
      <c r="EA67" s="697"/>
      <c r="EB67" s="697"/>
      <c r="EC67" s="697"/>
      <c r="ED67" s="697"/>
      <c r="EE67" s="697"/>
      <c r="EF67" s="697"/>
      <c r="EG67" s="697"/>
      <c r="EH67" s="697"/>
      <c r="EI67" s="697"/>
      <c r="EJ67" s="697"/>
      <c r="EK67" s="697"/>
      <c r="EL67" s="697"/>
      <c r="EM67" s="697"/>
      <c r="EN67" s="697"/>
      <c r="EO67" s="697"/>
      <c r="EP67" s="697"/>
      <c r="EQ67" s="697"/>
      <c r="ER67" s="374"/>
      <c r="ES67" s="698"/>
      <c r="ET67" s="698"/>
      <c r="EU67" s="698"/>
      <c r="EV67" s="698"/>
      <c r="EW67" s="698"/>
      <c r="EX67" s="698"/>
      <c r="EY67" s="698"/>
      <c r="EZ67" s="698"/>
      <c r="FA67" s="698"/>
      <c r="FB67" s="698"/>
      <c r="FC67" s="698"/>
      <c r="FD67" s="698"/>
      <c r="FE67" s="699"/>
      <c r="FF67" s="699"/>
      <c r="FG67" s="699"/>
      <c r="FH67" s="699"/>
      <c r="FI67" s="699"/>
      <c r="FJ67" s="700"/>
      <c r="FK67" s="700"/>
      <c r="FL67" s="700"/>
      <c r="FM67" s="700"/>
      <c r="FN67" s="701"/>
      <c r="FO67" s="701"/>
      <c r="FP67" s="701"/>
    </row>
    <row r="68" spans="1:172" ht="50.25" customHeight="1" thickBot="1" x14ac:dyDescent="0.3">
      <c r="A68" s="2093"/>
      <c r="B68" s="61">
        <v>9.9999999999999994E-12</v>
      </c>
      <c r="C68" s="62" t="s">
        <v>113</v>
      </c>
      <c r="D68" s="63"/>
      <c r="E68" s="64" t="s">
        <v>114</v>
      </c>
      <c r="F68" s="2093"/>
      <c r="G68" s="61">
        <v>0.30480000000000002</v>
      </c>
      <c r="H68" s="62" t="s">
        <v>113</v>
      </c>
      <c r="I68" s="63"/>
      <c r="J68" s="64" t="s">
        <v>114</v>
      </c>
      <c r="K68" s="2093"/>
      <c r="L68" s="61">
        <v>1.0000000000000001E-17</v>
      </c>
      <c r="M68" s="62" t="s">
        <v>113</v>
      </c>
      <c r="N68" s="63"/>
      <c r="O68" s="64" t="s">
        <v>114</v>
      </c>
      <c r="P68" s="2093"/>
      <c r="Q68" s="61">
        <v>0.20319999999999999</v>
      </c>
      <c r="R68" s="62" t="s">
        <v>113</v>
      </c>
      <c r="S68" s="63"/>
      <c r="T68" s="64" t="s">
        <v>114</v>
      </c>
      <c r="U68" s="2093"/>
      <c r="V68" s="61">
        <v>0.43180000000000002</v>
      </c>
      <c r="W68" s="62" t="s">
        <v>113</v>
      </c>
      <c r="X68" s="63">
        <v>1</v>
      </c>
      <c r="Y68" s="64" t="s">
        <v>114</v>
      </c>
      <c r="Z68" s="2093"/>
      <c r="AA68" s="61">
        <v>1.905</v>
      </c>
      <c r="AB68" s="62" t="s">
        <v>113</v>
      </c>
      <c r="AC68" s="63"/>
      <c r="AD68" s="64" t="s">
        <v>114</v>
      </c>
      <c r="AE68" s="2093"/>
      <c r="AF68" s="61">
        <v>1E-8</v>
      </c>
      <c r="AG68" s="62" t="s">
        <v>113</v>
      </c>
      <c r="AH68" s="63"/>
      <c r="AI68" s="64" t="s">
        <v>114</v>
      </c>
      <c r="AJ68" s="2093"/>
      <c r="AK68" s="61">
        <v>0.20319999999999999</v>
      </c>
      <c r="AL68" s="62" t="s">
        <v>113</v>
      </c>
      <c r="AM68" s="63"/>
      <c r="AN68" s="64" t="s">
        <v>114</v>
      </c>
      <c r="AO68" s="2093"/>
      <c r="AP68" s="61">
        <v>1E-10</v>
      </c>
      <c r="AQ68" s="62" t="s">
        <v>113</v>
      </c>
      <c r="AR68" s="63">
        <v>1</v>
      </c>
      <c r="AS68" s="64" t="s">
        <v>114</v>
      </c>
      <c r="AT68" s="2093"/>
      <c r="AU68" s="61">
        <v>1E-14</v>
      </c>
      <c r="AV68" s="62" t="s">
        <v>113</v>
      </c>
      <c r="AW68" s="63"/>
      <c r="AX68" s="64" t="s">
        <v>114</v>
      </c>
      <c r="AY68" s="2093"/>
      <c r="AZ68" s="61">
        <v>1E-14</v>
      </c>
      <c r="BA68" s="62" t="s">
        <v>113</v>
      </c>
      <c r="BB68" s="63"/>
      <c r="BC68" s="64" t="s">
        <v>114</v>
      </c>
      <c r="BD68" s="2626"/>
      <c r="BE68" s="61">
        <v>1E-10</v>
      </c>
      <c r="BF68" s="62" t="s">
        <v>113</v>
      </c>
      <c r="BG68" s="63"/>
      <c r="BH68" s="64" t="s">
        <v>114</v>
      </c>
      <c r="BI68" s="2626"/>
      <c r="BJ68" s="61">
        <v>9.9999999999999998E-13</v>
      </c>
      <c r="BK68" s="62" t="s">
        <v>113</v>
      </c>
      <c r="BL68" s="63"/>
      <c r="BM68" s="64" t="s">
        <v>114</v>
      </c>
      <c r="BN68" s="2626"/>
      <c r="BO68" s="61">
        <v>1.9812000000000001</v>
      </c>
      <c r="BP68" s="62" t="s">
        <v>113</v>
      </c>
      <c r="BQ68" s="63"/>
      <c r="BR68" s="64" t="s">
        <v>114</v>
      </c>
      <c r="BS68" s="50"/>
      <c r="BT68" s="50"/>
      <c r="BW68" s="27"/>
      <c r="BX68" s="27"/>
      <c r="BY68" s="27"/>
      <c r="BZ68" s="27"/>
      <c r="CA68" s="27"/>
      <c r="CB68" s="27"/>
      <c r="CC68" s="27"/>
      <c r="CD68" s="27"/>
      <c r="CE68" s="27"/>
      <c r="CG68" s="27"/>
      <c r="CH68" s="27"/>
      <c r="CI68" s="27"/>
      <c r="CJ68" s="27"/>
      <c r="CK68" s="27"/>
      <c r="CL68" s="27"/>
      <c r="CY68" s="676"/>
      <c r="CZ68" s="676"/>
      <c r="DA68" s="676"/>
      <c r="DB68" s="29"/>
      <c r="DC68" s="29"/>
      <c r="DD68" s="47"/>
      <c r="DE68" s="702"/>
      <c r="DF68" s="702"/>
      <c r="DG68" s="702"/>
      <c r="DH68" s="48"/>
      <c r="DI68" s="45"/>
      <c r="DJ68" s="45"/>
      <c r="DK68" s="45"/>
      <c r="DL68" s="45"/>
      <c r="DM68" s="45"/>
      <c r="DN68" s="45"/>
      <c r="DO68" s="45"/>
      <c r="DP68" s="45"/>
      <c r="DQ68" s="45"/>
      <c r="DR68" s="45"/>
      <c r="DS68" s="45"/>
      <c r="DT68" s="45"/>
      <c r="DU68" s="45"/>
      <c r="DV68" s="697"/>
      <c r="DW68" s="697"/>
      <c r="DX68" s="697"/>
      <c r="DY68" s="697"/>
      <c r="DZ68" s="697"/>
      <c r="EA68" s="697"/>
      <c r="EB68" s="697"/>
      <c r="EC68" s="697"/>
      <c r="ED68" s="697"/>
      <c r="EE68" s="697"/>
      <c r="EF68" s="697"/>
      <c r="EG68" s="697"/>
      <c r="EH68" s="697"/>
      <c r="EI68" s="697"/>
      <c r="EJ68" s="697"/>
      <c r="EK68" s="697"/>
      <c r="EL68" s="697"/>
      <c r="EM68" s="697"/>
      <c r="EN68" s="697"/>
      <c r="EO68" s="697"/>
      <c r="EP68" s="697"/>
      <c r="EQ68" s="697"/>
      <c r="ER68" s="46"/>
      <c r="ES68" s="698"/>
      <c r="ET68" s="698"/>
      <c r="EU68" s="698"/>
      <c r="EV68" s="698"/>
      <c r="EW68" s="698"/>
      <c r="EX68" s="698"/>
      <c r="EY68" s="698"/>
      <c r="EZ68" s="698"/>
      <c r="FA68" s="698"/>
      <c r="FB68" s="698"/>
      <c r="FC68" s="698"/>
      <c r="FD68" s="698"/>
      <c r="FE68" s="699"/>
      <c r="FF68" s="699"/>
      <c r="FG68" s="699"/>
      <c r="FH68" s="699"/>
      <c r="FI68" s="699"/>
      <c r="FJ68" s="700"/>
      <c r="FK68" s="700"/>
      <c r="FL68" s="700"/>
      <c r="FM68" s="700"/>
      <c r="FN68" s="701"/>
      <c r="FO68" s="701"/>
      <c r="FP68" s="701"/>
    </row>
    <row r="69" spans="1:172" ht="53.25" customHeight="1" thickTop="1" x14ac:dyDescent="0.25">
      <c r="A69" s="2620" t="s">
        <v>110</v>
      </c>
      <c r="B69" s="2621"/>
      <c r="C69" s="2627">
        <f t="shared" ref="C69" si="117">B74/((66*3.1415/64)*(55/3.281))</f>
        <v>6.0338213895644775E-2</v>
      </c>
      <c r="D69" s="2627"/>
      <c r="E69" s="2628"/>
      <c r="F69" s="2620" t="s">
        <v>110</v>
      </c>
      <c r="G69" s="2621"/>
      <c r="H69" s="2627">
        <f t="shared" ref="H69" si="118">G74/((66*3.1415/64)*(55/3.281))</f>
        <v>9.8219004186819212E-2</v>
      </c>
      <c r="I69" s="2627"/>
      <c r="J69" s="2628"/>
      <c r="K69" s="2620" t="s">
        <v>110</v>
      </c>
      <c r="L69" s="2621"/>
      <c r="M69" s="2627">
        <f t="shared" ref="M69" si="119">L74/((66*3.1415/64)*(55/3.281))</f>
        <v>8.3248616034609993E-2</v>
      </c>
      <c r="N69" s="2627"/>
      <c r="O69" s="2628"/>
      <c r="P69" s="2620" t="s">
        <v>110</v>
      </c>
      <c r="Q69" s="2621"/>
      <c r="R69" s="2627">
        <f t="shared" ref="R69" si="120">Q74/((66*3.1415/64)*(55/3.281))</f>
        <v>1.8413761564833E-6</v>
      </c>
      <c r="S69" s="2627"/>
      <c r="T69" s="2628"/>
      <c r="U69" s="2620" t="s">
        <v>110</v>
      </c>
      <c r="V69" s="2621"/>
      <c r="W69" s="2627">
        <f t="shared" ref="W69" si="121">V74/((66*3.1415/64)*(55/3.281))</f>
        <v>6.5368853555157142E-3</v>
      </c>
      <c r="X69" s="2627"/>
      <c r="Y69" s="2628"/>
      <c r="Z69" s="2620" t="s">
        <v>110</v>
      </c>
      <c r="AA69" s="2621"/>
      <c r="AB69" s="2627">
        <f t="shared" ref="AB69" si="122">AA74/((66*3.1415/64)*(55/3.281))</f>
        <v>1.1692738593668955E-2</v>
      </c>
      <c r="AC69" s="2627"/>
      <c r="AD69" s="2628"/>
      <c r="AE69" s="2620" t="s">
        <v>110</v>
      </c>
      <c r="AF69" s="2621"/>
      <c r="AG69" s="2627">
        <f t="shared" ref="AG69" si="123">AF74/((66*3.1415/64)*(55/3.281))</f>
        <v>1.357094227328192E-2</v>
      </c>
      <c r="AH69" s="2627"/>
      <c r="AI69" s="2628"/>
      <c r="AJ69" s="2620" t="s">
        <v>110</v>
      </c>
      <c r="AK69" s="2621"/>
      <c r="AL69" s="2627">
        <f t="shared" ref="AL69" si="124">AK74/((66*3.1415/64)*(55/3.281))</f>
        <v>1.8413761564832997E-8</v>
      </c>
      <c r="AM69" s="2627"/>
      <c r="AN69" s="2628"/>
      <c r="AO69" s="2620" t="s">
        <v>110</v>
      </c>
      <c r="AP69" s="2621"/>
      <c r="AQ69" s="2627">
        <f t="shared" ref="AQ69" si="125">AP74/((66*3.1415/64)*(55/3.281))</f>
        <v>1.4966705399896262E-2</v>
      </c>
      <c r="AR69" s="2627"/>
      <c r="AS69" s="2628"/>
      <c r="AT69" s="2620" t="s">
        <v>110</v>
      </c>
      <c r="AU69" s="2621"/>
      <c r="AV69" s="2627">
        <f t="shared" ref="AV69" si="126">AU74/((66*3.1415/64)*(55/3.281))</f>
        <v>1.4031286312402746E-2</v>
      </c>
      <c r="AW69" s="2627"/>
      <c r="AX69" s="2628"/>
      <c r="AY69" s="2620" t="s">
        <v>110</v>
      </c>
      <c r="AZ69" s="2621"/>
      <c r="BA69" s="2627">
        <f t="shared" ref="BA69" si="127">AZ74/((66*3.1415/64)*(55/3.281))</f>
        <v>1.8413761564832999E-14</v>
      </c>
      <c r="BB69" s="2627"/>
      <c r="BC69" s="2628"/>
      <c r="BD69" s="2620" t="s">
        <v>110</v>
      </c>
      <c r="BE69" s="2621"/>
      <c r="BF69" s="2627">
        <f t="shared" ref="BF69" si="128">BE74/((66*3.1415/64)*(55/3.281))</f>
        <v>1.8240672206123569E-2</v>
      </c>
      <c r="BG69" s="2627"/>
      <c r="BH69" s="2628"/>
      <c r="BI69" s="2620" t="s">
        <v>110</v>
      </c>
      <c r="BJ69" s="2621"/>
      <c r="BK69" s="2627">
        <f t="shared" ref="BK69" si="129">BJ74/((66*3.1415/64)*(55/3.281))</f>
        <v>1.8413761564832999E-9</v>
      </c>
      <c r="BL69" s="2627"/>
      <c r="BM69" s="2628"/>
      <c r="BN69" s="2620" t="s">
        <v>110</v>
      </c>
      <c r="BO69" s="2621"/>
      <c r="BP69" s="2627">
        <f t="shared" ref="BP69" si="130">BO74/((66*3.1415/64)*(55/3.281))</f>
        <v>1.2628157681162471E-2</v>
      </c>
      <c r="BQ69" s="2627"/>
      <c r="BR69" s="2628"/>
      <c r="BS69" s="50"/>
      <c r="BT69" s="50"/>
      <c r="BW69" s="27"/>
      <c r="BX69" s="27"/>
      <c r="BY69" s="27"/>
      <c r="BZ69" s="27"/>
      <c r="CA69" s="27"/>
      <c r="CB69" s="27"/>
      <c r="CC69" s="27"/>
      <c r="CD69" s="27"/>
      <c r="CE69" s="27"/>
      <c r="CG69" s="27"/>
      <c r="CH69" s="27"/>
      <c r="CI69" s="27"/>
      <c r="CJ69" s="27"/>
      <c r="CK69" s="27"/>
      <c r="CL69" s="27"/>
      <c r="CY69" s="676"/>
      <c r="CZ69" s="676"/>
      <c r="DA69" s="676"/>
      <c r="DB69" s="675"/>
      <c r="DC69" s="675"/>
      <c r="DD69" s="47"/>
      <c r="DE69" s="703"/>
      <c r="DF69" s="703"/>
      <c r="DG69" s="703"/>
      <c r="DH69" s="48"/>
      <c r="DI69" s="45"/>
      <c r="DJ69" s="45"/>
      <c r="DK69" s="45"/>
      <c r="DL69" s="45"/>
      <c r="DM69" s="45"/>
      <c r="DN69" s="45"/>
      <c r="DO69" s="45"/>
      <c r="DP69" s="45"/>
      <c r="DQ69" s="45"/>
      <c r="DR69" s="45"/>
      <c r="DS69" s="45"/>
      <c r="DT69" s="45"/>
      <c r="DU69" s="45"/>
      <c r="DV69" s="697"/>
      <c r="DW69" s="697"/>
      <c r="DX69" s="697"/>
      <c r="DY69" s="697"/>
      <c r="DZ69" s="697"/>
      <c r="EA69" s="697"/>
      <c r="EB69" s="697"/>
      <c r="EC69" s="697"/>
      <c r="ED69" s="697"/>
      <c r="EE69" s="697"/>
      <c r="EF69" s="697"/>
      <c r="EG69" s="697"/>
      <c r="EH69" s="697"/>
      <c r="EI69" s="697"/>
      <c r="EJ69" s="697"/>
      <c r="EK69" s="697"/>
      <c r="EL69" s="697"/>
      <c r="EM69" s="697"/>
      <c r="EN69" s="697"/>
      <c r="EO69" s="697"/>
      <c r="EP69" s="697"/>
      <c r="EQ69" s="697"/>
      <c r="ER69" s="46"/>
      <c r="ES69" s="698"/>
      <c r="ET69" s="698"/>
      <c r="EU69" s="698"/>
      <c r="EV69" s="698"/>
      <c r="EW69" s="698"/>
      <c r="EX69" s="698"/>
      <c r="EY69" s="698"/>
      <c r="EZ69" s="698"/>
      <c r="FA69" s="698"/>
      <c r="FB69" s="698"/>
      <c r="FC69" s="698"/>
      <c r="FD69" s="698"/>
      <c r="FE69" s="699"/>
      <c r="FF69" s="699"/>
      <c r="FG69" s="699"/>
      <c r="FH69" s="699"/>
      <c r="FI69" s="699"/>
      <c r="FJ69" s="700"/>
      <c r="FK69" s="700"/>
      <c r="FL69" s="700"/>
      <c r="FM69" s="700"/>
      <c r="FN69" s="701"/>
      <c r="FO69" s="701"/>
      <c r="FP69" s="701"/>
    </row>
    <row r="70" spans="1:172" ht="15" customHeight="1" x14ac:dyDescent="0.25">
      <c r="A70" s="1791" t="s">
        <v>489</v>
      </c>
      <c r="B70" s="1792"/>
      <c r="C70" s="1792"/>
      <c r="D70" s="1792"/>
      <c r="E70" s="1793"/>
      <c r="F70" s="1791" t="s">
        <v>489</v>
      </c>
      <c r="G70" s="1792"/>
      <c r="H70" s="1792"/>
      <c r="I70" s="1792"/>
      <c r="J70" s="1793"/>
      <c r="K70" s="1791" t="s">
        <v>489</v>
      </c>
      <c r="L70" s="1792"/>
      <c r="M70" s="1792"/>
      <c r="N70" s="1792"/>
      <c r="O70" s="1793"/>
      <c r="P70" s="1791" t="s">
        <v>489</v>
      </c>
      <c r="Q70" s="1792"/>
      <c r="R70" s="1792"/>
      <c r="S70" s="1792"/>
      <c r="T70" s="1793"/>
      <c r="U70" s="1791" t="s">
        <v>489</v>
      </c>
      <c r="V70" s="1792"/>
      <c r="W70" s="1792"/>
      <c r="X70" s="1792"/>
      <c r="Y70" s="1793"/>
      <c r="Z70" s="1791" t="s">
        <v>489</v>
      </c>
      <c r="AA70" s="1792"/>
      <c r="AB70" s="1792"/>
      <c r="AC70" s="1792"/>
      <c r="AD70" s="1793"/>
      <c r="AE70" s="1791" t="s">
        <v>489</v>
      </c>
      <c r="AF70" s="1792"/>
      <c r="AG70" s="1792"/>
      <c r="AH70" s="1792"/>
      <c r="AI70" s="1793"/>
      <c r="AJ70" s="1791" t="s">
        <v>489</v>
      </c>
      <c r="AK70" s="1792"/>
      <c r="AL70" s="1792"/>
      <c r="AM70" s="1792"/>
      <c r="AN70" s="1793"/>
      <c r="AO70" s="1791" t="s">
        <v>489</v>
      </c>
      <c r="AP70" s="1792"/>
      <c r="AQ70" s="1792"/>
      <c r="AR70" s="1792"/>
      <c r="AS70" s="1793"/>
      <c r="AT70" s="1791" t="s">
        <v>489</v>
      </c>
      <c r="AU70" s="1792"/>
      <c r="AV70" s="1792"/>
      <c r="AW70" s="1792"/>
      <c r="AX70" s="1793"/>
      <c r="AY70" s="2360" t="s">
        <v>489</v>
      </c>
      <c r="AZ70" s="1632"/>
      <c r="BA70" s="1632"/>
      <c r="BB70" s="1632"/>
      <c r="BC70" s="1633"/>
      <c r="BD70" s="2360" t="s">
        <v>489</v>
      </c>
      <c r="BE70" s="1632"/>
      <c r="BF70" s="1632"/>
      <c r="BG70" s="1632"/>
      <c r="BH70" s="1633"/>
      <c r="BI70" s="2360" t="s">
        <v>489</v>
      </c>
      <c r="BJ70" s="1632"/>
      <c r="BK70" s="1632"/>
      <c r="BL70" s="1632"/>
      <c r="BM70" s="1633"/>
      <c r="BN70" s="2360" t="s">
        <v>489</v>
      </c>
      <c r="BO70" s="1632"/>
      <c r="BP70" s="1632"/>
      <c r="BQ70" s="1632"/>
      <c r="BR70" s="1633"/>
      <c r="BS70" s="50"/>
      <c r="BT70" s="50"/>
      <c r="BW70" s="27"/>
      <c r="BX70" s="27"/>
      <c r="BY70" s="27"/>
      <c r="BZ70" s="27"/>
      <c r="CA70" s="27"/>
      <c r="CB70" s="27"/>
      <c r="CC70" s="27"/>
      <c r="CD70" s="27"/>
      <c r="CE70" s="27"/>
      <c r="CG70" s="27"/>
      <c r="CH70" s="27"/>
      <c r="CI70" s="27"/>
      <c r="CJ70" s="27"/>
      <c r="CK70" s="27"/>
      <c r="CL70" s="27"/>
      <c r="CZ70" s="17"/>
      <c r="DE70" s="703"/>
      <c r="DF70" s="703"/>
      <c r="DG70" s="703"/>
      <c r="DH70" s="48"/>
      <c r="DI70" s="49"/>
      <c r="DJ70" s="49"/>
      <c r="DK70" s="49"/>
      <c r="DL70" s="49"/>
      <c r="DM70" s="49"/>
      <c r="DN70" s="49"/>
      <c r="DO70" s="49"/>
      <c r="DP70" s="49"/>
      <c r="DQ70" s="49"/>
      <c r="DR70" s="49"/>
      <c r="DS70" s="49"/>
      <c r="DT70" s="49"/>
      <c r="DU70" s="49"/>
      <c r="DV70" s="704"/>
      <c r="DW70" s="705"/>
      <c r="DX70" s="705"/>
      <c r="DY70" s="705"/>
      <c r="DZ70" s="705"/>
      <c r="EA70" s="705"/>
      <c r="EB70" s="705"/>
      <c r="EC70" s="705"/>
      <c r="ED70" s="705"/>
      <c r="EE70" s="705"/>
      <c r="EF70" s="705"/>
      <c r="EG70" s="705"/>
      <c r="EH70" s="706"/>
      <c r="EI70" s="706"/>
      <c r="EJ70" s="706"/>
      <c r="EK70" s="706"/>
      <c r="EL70" s="706"/>
      <c r="EM70" s="706"/>
      <c r="EN70" s="706"/>
      <c r="EO70" s="706"/>
      <c r="EP70" s="706"/>
      <c r="EQ70" s="706"/>
      <c r="ER70" s="706"/>
      <c r="ES70" s="707"/>
      <c r="ET70" s="707"/>
      <c r="EU70" s="707"/>
      <c r="EV70" s="707"/>
      <c r="EW70" s="707"/>
      <c r="EX70" s="707"/>
      <c r="EY70" s="707"/>
      <c r="EZ70" s="707"/>
      <c r="FA70" s="707"/>
      <c r="FB70" s="707"/>
      <c r="FC70" s="707"/>
      <c r="FD70" s="707"/>
      <c r="FE70" s="699"/>
      <c r="FF70" s="699"/>
      <c r="FG70" s="699"/>
      <c r="FH70" s="699"/>
      <c r="FI70" s="699"/>
      <c r="FJ70" s="708"/>
      <c r="FK70" s="708"/>
      <c r="FL70" s="708"/>
      <c r="FM70" s="708"/>
      <c r="FN70" s="708"/>
      <c r="FO70" s="708"/>
      <c r="FP70" s="708"/>
    </row>
    <row r="71" spans="1:172" ht="9" customHeight="1" x14ac:dyDescent="0.25">
      <c r="A71" s="2363"/>
      <c r="B71" s="2364"/>
      <c r="C71" s="2364"/>
      <c r="D71" s="2364"/>
      <c r="E71" s="2365"/>
      <c r="F71" s="2363"/>
      <c r="G71" s="2364"/>
      <c r="H71" s="2364"/>
      <c r="I71" s="2364"/>
      <c r="J71" s="2365"/>
      <c r="K71" s="2363"/>
      <c r="L71" s="2364"/>
      <c r="M71" s="2364"/>
      <c r="N71" s="2364"/>
      <c r="O71" s="2365"/>
      <c r="P71" s="2363"/>
      <c r="Q71" s="2364"/>
      <c r="R71" s="2364"/>
      <c r="S71" s="2364"/>
      <c r="T71" s="2365"/>
      <c r="U71" s="2363"/>
      <c r="V71" s="2364"/>
      <c r="W71" s="2364"/>
      <c r="X71" s="2364"/>
      <c r="Y71" s="2365"/>
      <c r="Z71" s="2363"/>
      <c r="AA71" s="2364"/>
      <c r="AB71" s="2364"/>
      <c r="AC71" s="2364"/>
      <c r="AD71" s="2365"/>
      <c r="AE71" s="2363"/>
      <c r="AF71" s="2364"/>
      <c r="AG71" s="2364"/>
      <c r="AH71" s="2364"/>
      <c r="AI71" s="2365"/>
      <c r="AJ71" s="2363"/>
      <c r="AK71" s="2364"/>
      <c r="AL71" s="2364"/>
      <c r="AM71" s="2364"/>
      <c r="AN71" s="2365"/>
      <c r="AO71" s="2363"/>
      <c r="AP71" s="2364"/>
      <c r="AQ71" s="2364"/>
      <c r="AR71" s="2364"/>
      <c r="AS71" s="2365"/>
      <c r="AT71" s="2363"/>
      <c r="AU71" s="2364"/>
      <c r="AV71" s="2364"/>
      <c r="AW71" s="2364"/>
      <c r="AX71" s="2365"/>
      <c r="AY71" s="2361"/>
      <c r="AZ71" s="1635"/>
      <c r="BA71" s="1635"/>
      <c r="BB71" s="1635"/>
      <c r="BC71" s="1636"/>
      <c r="BD71" s="2361"/>
      <c r="BE71" s="1635"/>
      <c r="BF71" s="1635"/>
      <c r="BG71" s="1635"/>
      <c r="BH71" s="1636"/>
      <c r="BI71" s="2361"/>
      <c r="BJ71" s="1635"/>
      <c r="BK71" s="1635"/>
      <c r="BL71" s="1635"/>
      <c r="BM71" s="1636"/>
      <c r="BN71" s="2361"/>
      <c r="BO71" s="1635"/>
      <c r="BP71" s="1635"/>
      <c r="BQ71" s="1635"/>
      <c r="BR71" s="1636"/>
      <c r="BS71" s="53"/>
      <c r="BT71" s="53"/>
      <c r="DE71" s="703"/>
      <c r="DF71" s="703"/>
      <c r="DG71" s="703"/>
      <c r="DH71" s="52"/>
      <c r="DI71" s="45"/>
      <c r="DJ71" s="45"/>
      <c r="DK71" s="45"/>
      <c r="DL71" s="45"/>
      <c r="DM71" s="45"/>
      <c r="DN71" s="45"/>
      <c r="DO71" s="45"/>
      <c r="DP71" s="45"/>
      <c r="DQ71" s="45"/>
      <c r="DR71" s="45"/>
      <c r="DS71" s="45"/>
      <c r="DT71" s="45"/>
      <c r="DU71" s="45"/>
      <c r="DV71" s="705"/>
      <c r="DW71" s="705"/>
      <c r="DX71" s="705"/>
      <c r="DY71" s="705"/>
      <c r="DZ71" s="705"/>
      <c r="EA71" s="705"/>
      <c r="EB71" s="705"/>
      <c r="EC71" s="705"/>
      <c r="ED71" s="705"/>
      <c r="EE71" s="705"/>
      <c r="EF71" s="705"/>
      <c r="EG71" s="705"/>
      <c r="EH71" s="706"/>
      <c r="EI71" s="706"/>
      <c r="EJ71" s="706"/>
      <c r="EK71" s="706"/>
      <c r="EL71" s="706"/>
      <c r="EM71" s="706"/>
      <c r="EN71" s="706"/>
      <c r="EO71" s="706"/>
      <c r="EP71" s="706"/>
      <c r="EQ71" s="706"/>
      <c r="ER71" s="706"/>
      <c r="ES71" s="707"/>
      <c r="ET71" s="707"/>
      <c r="EU71" s="707"/>
      <c r="EV71" s="707"/>
      <c r="EW71" s="707"/>
      <c r="EX71" s="707"/>
      <c r="EY71" s="707"/>
      <c r="EZ71" s="707"/>
      <c r="FA71" s="707"/>
      <c r="FB71" s="707"/>
      <c r="FC71" s="707"/>
      <c r="FD71" s="707"/>
      <c r="FE71" s="699"/>
      <c r="FF71" s="699"/>
      <c r="FG71" s="699"/>
      <c r="FH71" s="699"/>
      <c r="FI71" s="699"/>
      <c r="FJ71" s="708"/>
      <c r="FK71" s="708"/>
      <c r="FL71" s="708"/>
      <c r="FM71" s="708"/>
      <c r="FN71" s="708"/>
      <c r="FO71" s="708"/>
      <c r="FP71" s="708"/>
    </row>
    <row r="72" spans="1:172" ht="3.75" customHeight="1" x14ac:dyDescent="0.25">
      <c r="A72" s="1794"/>
      <c r="B72" s="1795"/>
      <c r="C72" s="1795"/>
      <c r="D72" s="1795"/>
      <c r="E72" s="1796"/>
      <c r="F72" s="1794"/>
      <c r="G72" s="1795"/>
      <c r="H72" s="1795"/>
      <c r="I72" s="1795"/>
      <c r="J72" s="1796"/>
      <c r="K72" s="1794"/>
      <c r="L72" s="1795"/>
      <c r="M72" s="1795"/>
      <c r="N72" s="1795"/>
      <c r="O72" s="1796"/>
      <c r="P72" s="1794"/>
      <c r="Q72" s="1795"/>
      <c r="R72" s="1795"/>
      <c r="S72" s="1795"/>
      <c r="T72" s="1796"/>
      <c r="U72" s="1794"/>
      <c r="V72" s="1795"/>
      <c r="W72" s="1795"/>
      <c r="X72" s="1795"/>
      <c r="Y72" s="1796"/>
      <c r="Z72" s="1794"/>
      <c r="AA72" s="1795"/>
      <c r="AB72" s="1795"/>
      <c r="AC72" s="1795"/>
      <c r="AD72" s="1796"/>
      <c r="AE72" s="1794"/>
      <c r="AF72" s="1795"/>
      <c r="AG72" s="1795"/>
      <c r="AH72" s="1795"/>
      <c r="AI72" s="1796"/>
      <c r="AJ72" s="1794"/>
      <c r="AK72" s="1795"/>
      <c r="AL72" s="1795"/>
      <c r="AM72" s="1795"/>
      <c r="AN72" s="1796"/>
      <c r="AO72" s="1794"/>
      <c r="AP72" s="1795"/>
      <c r="AQ72" s="1795"/>
      <c r="AR72" s="1795"/>
      <c r="AS72" s="1796"/>
      <c r="AT72" s="1794"/>
      <c r="AU72" s="1795"/>
      <c r="AV72" s="1795"/>
      <c r="AW72" s="1795"/>
      <c r="AX72" s="1796"/>
      <c r="AY72" s="2362"/>
      <c r="AZ72" s="1638"/>
      <c r="BA72" s="1638"/>
      <c r="BB72" s="1638"/>
      <c r="BC72" s="1639"/>
      <c r="BD72" s="2362"/>
      <c r="BE72" s="1638"/>
      <c r="BF72" s="1638"/>
      <c r="BG72" s="1638"/>
      <c r="BH72" s="1639"/>
      <c r="BI72" s="2362"/>
      <c r="BJ72" s="1638"/>
      <c r="BK72" s="1638"/>
      <c r="BL72" s="1638"/>
      <c r="BM72" s="1639"/>
      <c r="BN72" s="2362"/>
      <c r="BO72" s="1638"/>
      <c r="BP72" s="1638"/>
      <c r="BQ72" s="1638"/>
      <c r="BR72" s="1639"/>
      <c r="BS72" s="53"/>
      <c r="BT72" s="53"/>
      <c r="DE72" s="709"/>
      <c r="DF72" s="709"/>
      <c r="DG72" s="709"/>
      <c r="DH72" s="52"/>
      <c r="DI72" s="45"/>
      <c r="DJ72" s="45"/>
      <c r="DK72" s="45"/>
      <c r="DL72" s="45"/>
      <c r="DM72" s="45"/>
      <c r="DN72" s="45"/>
      <c r="DO72" s="45"/>
      <c r="DP72" s="45"/>
      <c r="DQ72" s="45"/>
      <c r="DR72" s="45"/>
      <c r="DS72" s="45"/>
      <c r="DT72" s="45"/>
      <c r="DU72" s="45"/>
      <c r="DV72" s="705"/>
      <c r="DW72" s="705"/>
      <c r="DX72" s="705"/>
      <c r="DY72" s="705"/>
      <c r="DZ72" s="705"/>
      <c r="EA72" s="705"/>
      <c r="EB72" s="705"/>
      <c r="EC72" s="705"/>
      <c r="ED72" s="705"/>
      <c r="EE72" s="705"/>
      <c r="EF72" s="705"/>
      <c r="EG72" s="705"/>
      <c r="EH72" s="706"/>
      <c r="EI72" s="706"/>
      <c r="EJ72" s="706"/>
      <c r="EK72" s="706"/>
      <c r="EL72" s="706"/>
      <c r="EM72" s="706"/>
      <c r="EN72" s="706"/>
      <c r="EO72" s="706"/>
      <c r="EP72" s="706"/>
      <c r="EQ72" s="706"/>
      <c r="ER72" s="706"/>
      <c r="ES72" s="707"/>
      <c r="ET72" s="707"/>
      <c r="EU72" s="707"/>
      <c r="EV72" s="707"/>
      <c r="EW72" s="707"/>
      <c r="EX72" s="707"/>
      <c r="EY72" s="707"/>
      <c r="EZ72" s="707"/>
      <c r="FA72" s="707"/>
      <c r="FB72" s="707"/>
      <c r="FC72" s="707"/>
      <c r="FD72" s="707"/>
      <c r="FE72" s="699"/>
      <c r="FF72" s="699"/>
      <c r="FG72" s="699"/>
      <c r="FH72" s="699"/>
      <c r="FI72" s="699"/>
      <c r="FJ72" s="708"/>
      <c r="FK72" s="708"/>
      <c r="FL72" s="708"/>
      <c r="FM72" s="708"/>
      <c r="FN72" s="708"/>
      <c r="FO72" s="708"/>
      <c r="FP72" s="708"/>
    </row>
    <row r="73" spans="1:172" s="22" customFormat="1" ht="111.75" customHeight="1" x14ac:dyDescent="1.35">
      <c r="A73" s="2625" t="s">
        <v>492</v>
      </c>
      <c r="B73" s="588">
        <v>13</v>
      </c>
      <c r="C73" s="589"/>
      <c r="D73" s="589"/>
      <c r="E73" s="590"/>
      <c r="F73" s="2625" t="s">
        <v>492</v>
      </c>
      <c r="G73" s="588">
        <v>14</v>
      </c>
      <c r="H73" s="589"/>
      <c r="I73" s="589"/>
      <c r="J73" s="590"/>
      <c r="K73" s="2625" t="s">
        <v>492</v>
      </c>
      <c r="L73" s="588">
        <v>15</v>
      </c>
      <c r="M73" s="589"/>
      <c r="N73" s="589"/>
      <c r="O73" s="590"/>
      <c r="P73" s="2625" t="s">
        <v>492</v>
      </c>
      <c r="Q73" s="588">
        <v>16</v>
      </c>
      <c r="R73" s="589"/>
      <c r="S73" s="589"/>
      <c r="T73" s="590"/>
      <c r="U73" s="2625" t="s">
        <v>492</v>
      </c>
      <c r="V73" s="588">
        <v>17</v>
      </c>
      <c r="W73" s="589"/>
      <c r="X73" s="589"/>
      <c r="Y73" s="590"/>
      <c r="Z73" s="2625" t="s">
        <v>492</v>
      </c>
      <c r="AA73" s="588">
        <v>18</v>
      </c>
      <c r="AB73" s="589"/>
      <c r="AC73" s="589"/>
      <c r="AD73" s="590"/>
      <c r="AE73" s="2625" t="s">
        <v>492</v>
      </c>
      <c r="AF73" s="588">
        <v>19</v>
      </c>
      <c r="AG73" s="589"/>
      <c r="AH73" s="589"/>
      <c r="AI73" s="590"/>
      <c r="AJ73" s="2625" t="s">
        <v>492</v>
      </c>
      <c r="AK73" s="588">
        <v>33</v>
      </c>
      <c r="AL73" s="589"/>
      <c r="AM73" s="589"/>
      <c r="AN73" s="590"/>
      <c r="AO73" s="2625" t="s">
        <v>492</v>
      </c>
      <c r="AP73" s="588">
        <v>51</v>
      </c>
      <c r="AQ73" s="589"/>
      <c r="AR73" s="589"/>
      <c r="AS73" s="590"/>
      <c r="AT73" s="2625" t="s">
        <v>492</v>
      </c>
      <c r="AU73" s="588">
        <v>52</v>
      </c>
      <c r="AV73" s="589"/>
      <c r="AW73" s="589"/>
      <c r="AX73" s="590"/>
      <c r="AY73" s="2625" t="s">
        <v>492</v>
      </c>
      <c r="AZ73" s="588">
        <v>165</v>
      </c>
      <c r="BA73" s="589"/>
      <c r="BB73" s="589"/>
      <c r="BC73" s="590"/>
      <c r="BD73" s="2625" t="s">
        <v>492</v>
      </c>
      <c r="BE73" s="588">
        <v>167</v>
      </c>
      <c r="BF73" s="589"/>
      <c r="BG73" s="589"/>
      <c r="BH73" s="590"/>
      <c r="BI73" s="2625" t="s">
        <v>492</v>
      </c>
      <c r="BJ73" s="588">
        <v>168</v>
      </c>
      <c r="BK73" s="589"/>
      <c r="BL73" s="589"/>
      <c r="BM73" s="590"/>
      <c r="BN73" s="2625" t="s">
        <v>492</v>
      </c>
      <c r="BO73" s="588">
        <v>169</v>
      </c>
      <c r="BP73" s="589"/>
      <c r="BQ73" s="589"/>
      <c r="BR73" s="590"/>
      <c r="DE73" s="709"/>
      <c r="DF73" s="709"/>
      <c r="DG73" s="709"/>
      <c r="DH73" s="375"/>
      <c r="DI73" s="373"/>
      <c r="DJ73" s="373"/>
      <c r="DK73" s="373"/>
      <c r="DL73" s="373"/>
      <c r="DM73" s="373"/>
      <c r="DN73" s="373"/>
      <c r="DO73" s="373"/>
      <c r="DP73" s="373"/>
      <c r="DQ73" s="373"/>
      <c r="DR73" s="373"/>
      <c r="DS73" s="373"/>
      <c r="DT73" s="373"/>
      <c r="DU73" s="373"/>
      <c r="DV73" s="705"/>
      <c r="DW73" s="705"/>
      <c r="DX73" s="705"/>
      <c r="DY73" s="705"/>
      <c r="DZ73" s="705"/>
      <c r="EA73" s="705"/>
      <c r="EB73" s="705"/>
      <c r="EC73" s="705"/>
      <c r="ED73" s="705"/>
      <c r="EE73" s="705"/>
      <c r="EF73" s="705"/>
      <c r="EG73" s="705"/>
      <c r="EH73" s="706"/>
      <c r="EI73" s="706"/>
      <c r="EJ73" s="706"/>
      <c r="EK73" s="706"/>
      <c r="EL73" s="706"/>
      <c r="EM73" s="706"/>
      <c r="EN73" s="706"/>
      <c r="EO73" s="706"/>
      <c r="EP73" s="706"/>
      <c r="EQ73" s="706"/>
      <c r="ER73" s="706"/>
      <c r="ES73" s="707"/>
      <c r="ET73" s="707"/>
      <c r="EU73" s="707"/>
      <c r="EV73" s="707"/>
      <c r="EW73" s="707"/>
      <c r="EX73" s="707"/>
      <c r="EY73" s="707"/>
      <c r="EZ73" s="707"/>
      <c r="FA73" s="707"/>
      <c r="FB73" s="707"/>
      <c r="FC73" s="707"/>
      <c r="FD73" s="707"/>
      <c r="FE73" s="699"/>
      <c r="FF73" s="699"/>
      <c r="FG73" s="699"/>
      <c r="FH73" s="699"/>
      <c r="FI73" s="699"/>
      <c r="FJ73" s="708"/>
      <c r="FK73" s="708"/>
      <c r="FL73" s="708"/>
      <c r="FM73" s="708"/>
      <c r="FN73" s="708"/>
      <c r="FO73" s="708"/>
      <c r="FP73" s="708"/>
    </row>
    <row r="74" spans="1:172" ht="50.25" customHeight="1" thickBot="1" x14ac:dyDescent="0.3">
      <c r="A74" s="2626"/>
      <c r="B74" s="61">
        <v>3.2768000000000002</v>
      </c>
      <c r="C74" s="62" t="s">
        <v>113</v>
      </c>
      <c r="D74" s="63"/>
      <c r="E74" s="64" t="s">
        <v>114</v>
      </c>
      <c r="F74" s="2626"/>
      <c r="G74" s="61">
        <v>5.3339999999999996</v>
      </c>
      <c r="H74" s="62" t="s">
        <v>113</v>
      </c>
      <c r="I74" s="63"/>
      <c r="J74" s="64" t="s">
        <v>114</v>
      </c>
      <c r="K74" s="2626"/>
      <c r="L74" s="61">
        <v>4.5209999999999999</v>
      </c>
      <c r="M74" s="62" t="s">
        <v>113</v>
      </c>
      <c r="N74" s="63">
        <v>1</v>
      </c>
      <c r="O74" s="64" t="s">
        <v>114</v>
      </c>
      <c r="P74" s="2626"/>
      <c r="Q74" s="61">
        <v>1E-4</v>
      </c>
      <c r="R74" s="62" t="s">
        <v>113</v>
      </c>
      <c r="S74" s="63"/>
      <c r="T74" s="64" t="s">
        <v>114</v>
      </c>
      <c r="U74" s="2626"/>
      <c r="V74" s="61">
        <v>0.35499999999999998</v>
      </c>
      <c r="W74" s="62" t="s">
        <v>113</v>
      </c>
      <c r="X74" s="63"/>
      <c r="Y74" s="64" t="s">
        <v>114</v>
      </c>
      <c r="Z74" s="2626"/>
      <c r="AA74" s="61">
        <v>0.63500000000000001</v>
      </c>
      <c r="AB74" s="62" t="s">
        <v>113</v>
      </c>
      <c r="AC74" s="63"/>
      <c r="AD74" s="64" t="s">
        <v>114</v>
      </c>
      <c r="AE74" s="2626"/>
      <c r="AF74" s="61">
        <v>0.73699999999999999</v>
      </c>
      <c r="AG74" s="62" t="s">
        <v>113</v>
      </c>
      <c r="AH74" s="63">
        <v>1</v>
      </c>
      <c r="AI74" s="64" t="s">
        <v>114</v>
      </c>
      <c r="AJ74" s="2626"/>
      <c r="AK74" s="61">
        <v>9.9999999999999995E-7</v>
      </c>
      <c r="AL74" s="62" t="s">
        <v>113</v>
      </c>
      <c r="AM74" s="63"/>
      <c r="AN74" s="64" t="s">
        <v>114</v>
      </c>
      <c r="AO74" s="2626"/>
      <c r="AP74" s="61">
        <v>0.81279999999999997</v>
      </c>
      <c r="AQ74" s="62" t="s">
        <v>113</v>
      </c>
      <c r="AR74" s="63"/>
      <c r="AS74" s="64" t="s">
        <v>114</v>
      </c>
      <c r="AT74" s="2626"/>
      <c r="AU74" s="61">
        <v>0.76200000000000001</v>
      </c>
      <c r="AV74" s="62" t="s">
        <v>113</v>
      </c>
      <c r="AW74" s="63"/>
      <c r="AX74" s="64" t="s">
        <v>114</v>
      </c>
      <c r="AY74" s="2626"/>
      <c r="AZ74" s="61">
        <v>9.9999999999999998E-13</v>
      </c>
      <c r="BA74" s="62" t="s">
        <v>113</v>
      </c>
      <c r="BB74" s="63"/>
      <c r="BC74" s="64" t="s">
        <v>114</v>
      </c>
      <c r="BD74" s="2626"/>
      <c r="BE74" s="61">
        <v>0.99060000000000004</v>
      </c>
      <c r="BF74" s="62" t="s">
        <v>113</v>
      </c>
      <c r="BG74" s="63"/>
      <c r="BH74" s="64" t="s">
        <v>114</v>
      </c>
      <c r="BI74" s="2626"/>
      <c r="BJ74" s="61">
        <v>9.9999999999999995E-8</v>
      </c>
      <c r="BK74" s="62" t="s">
        <v>113</v>
      </c>
      <c r="BL74" s="63">
        <v>1</v>
      </c>
      <c r="BM74" s="64" t="s">
        <v>114</v>
      </c>
      <c r="BN74" s="2626"/>
      <c r="BO74" s="61">
        <v>0.68579999999999997</v>
      </c>
      <c r="BP74" s="62" t="s">
        <v>113</v>
      </c>
      <c r="BQ74" s="63"/>
      <c r="BR74" s="64" t="s">
        <v>114</v>
      </c>
      <c r="DE74" s="709"/>
      <c r="DF74" s="709"/>
      <c r="DG74" s="709"/>
      <c r="DH74" s="52"/>
      <c r="DI74" s="45"/>
      <c r="DJ74" s="45"/>
      <c r="DK74" s="45"/>
      <c r="DL74" s="45"/>
      <c r="DM74" s="45"/>
      <c r="DN74" s="45"/>
      <c r="DO74" s="45"/>
      <c r="DP74" s="45"/>
      <c r="DQ74" s="45"/>
      <c r="DR74" s="45"/>
      <c r="DS74" s="45"/>
      <c r="DT74" s="45"/>
      <c r="DU74" s="45"/>
      <c r="DV74" s="705"/>
      <c r="DW74" s="705"/>
      <c r="DX74" s="705"/>
      <c r="DY74" s="705"/>
      <c r="DZ74" s="705"/>
      <c r="EA74" s="705"/>
      <c r="EB74" s="705"/>
      <c r="EC74" s="705"/>
      <c r="ED74" s="705"/>
      <c r="EE74" s="705"/>
      <c r="EF74" s="705"/>
      <c r="EG74" s="705"/>
      <c r="EH74" s="706"/>
      <c r="EI74" s="706"/>
      <c r="EJ74" s="706"/>
      <c r="EK74" s="706"/>
      <c r="EL74" s="706"/>
      <c r="EM74" s="706"/>
      <c r="EN74" s="706"/>
      <c r="EO74" s="706"/>
      <c r="EP74" s="706"/>
      <c r="EQ74" s="706"/>
      <c r="ER74" s="706"/>
      <c r="ES74" s="707"/>
      <c r="ET74" s="707"/>
      <c r="EU74" s="707"/>
      <c r="EV74" s="707"/>
      <c r="EW74" s="707"/>
      <c r="EX74" s="707"/>
      <c r="EY74" s="707"/>
      <c r="EZ74" s="707"/>
      <c r="FA74" s="707"/>
      <c r="FB74" s="707"/>
      <c r="FC74" s="707"/>
      <c r="FD74" s="707"/>
      <c r="FE74" s="699"/>
      <c r="FF74" s="699"/>
      <c r="FG74" s="699"/>
      <c r="FH74" s="699"/>
      <c r="FI74" s="699"/>
      <c r="FJ74" s="699"/>
      <c r="FK74" s="699"/>
      <c r="FL74" s="699"/>
      <c r="FM74" s="699"/>
      <c r="FN74" s="699"/>
      <c r="FO74" s="699"/>
      <c r="FP74" s="699"/>
    </row>
    <row r="75" spans="1:172" ht="45.75" customHeight="1" thickTop="1" x14ac:dyDescent="0.25">
      <c r="A75" s="2620" t="s">
        <v>110</v>
      </c>
      <c r="B75" s="2621"/>
      <c r="C75" s="2627">
        <f t="shared" ref="C75" si="131">B80/((66*3.1415/64)*(55/3.281))</f>
        <v>1.8413761564833E-12</v>
      </c>
      <c r="D75" s="2627"/>
      <c r="E75" s="2628"/>
      <c r="F75" s="2620" t="s">
        <v>110</v>
      </c>
      <c r="G75" s="2621"/>
      <c r="H75" s="2627">
        <f t="shared" ref="H75" si="132">G80/((66*3.1415/64)*(55/3.281))</f>
        <v>1.8413761564833001E-7</v>
      </c>
      <c r="I75" s="2627"/>
      <c r="J75" s="2628"/>
      <c r="K75" s="2620" t="s">
        <v>110</v>
      </c>
      <c r="L75" s="2621"/>
      <c r="M75" s="2627">
        <f t="shared" ref="M75" si="133">L80/((66*3.1415/64)*(55/3.281))</f>
        <v>1.8413761564833001E-15</v>
      </c>
      <c r="N75" s="2627"/>
      <c r="O75" s="2628"/>
      <c r="P75" s="2620" t="s">
        <v>110</v>
      </c>
      <c r="Q75" s="2621"/>
      <c r="R75" s="2627">
        <f t="shared" ref="R75" si="134">Q80/((66*3.1415/64)*(55/3.281))</f>
        <v>1.8413761564833002E-11</v>
      </c>
      <c r="S75" s="2627"/>
      <c r="T75" s="2628"/>
      <c r="U75" s="2620" t="s">
        <v>110</v>
      </c>
      <c r="V75" s="2621"/>
      <c r="W75" s="2627">
        <f t="shared" ref="W75" si="135">V80/((66*3.1415/64)*(55/3.281))</f>
        <v>1.8413761564832997E-8</v>
      </c>
      <c r="X75" s="2627"/>
      <c r="Y75" s="2628"/>
      <c r="Z75" s="2620" t="s">
        <v>110</v>
      </c>
      <c r="AA75" s="2621"/>
      <c r="AB75" s="2627">
        <f t="shared" ref="AB75" si="136">AA80/((66*3.1415/64)*(55/3.281))</f>
        <v>1.8413761564833001E-15</v>
      </c>
      <c r="AC75" s="2627"/>
      <c r="AD75" s="2628"/>
      <c r="AE75" s="2620" t="s">
        <v>110</v>
      </c>
      <c r="AF75" s="2621"/>
      <c r="AG75" s="2627">
        <f t="shared" ref="AG75" si="137">AF80/((66*3.1415/64)*(55/3.281))</f>
        <v>1.8413761564832999E-14</v>
      </c>
      <c r="AH75" s="2627"/>
      <c r="AI75" s="2628"/>
      <c r="AJ75" s="2620" t="s">
        <v>110</v>
      </c>
      <c r="AK75" s="2621"/>
      <c r="AL75" s="2627">
        <f t="shared" ref="AL75" si="138">AK80/((66*3.1415/64)*(55/3.281))</f>
        <v>1.8413761564832998E-13</v>
      </c>
      <c r="AM75" s="2627"/>
      <c r="AN75" s="2628"/>
      <c r="AO75" s="2620" t="s">
        <v>110</v>
      </c>
      <c r="AP75" s="2621"/>
      <c r="AQ75" s="2627">
        <f t="shared" ref="AQ75" si="139">AP80/((66*3.1415/64)*(55/3.281))</f>
        <v>1.8413761564833001E-15</v>
      </c>
      <c r="AR75" s="2627"/>
      <c r="AS75" s="2628"/>
      <c r="AT75" s="2620" t="s">
        <v>110</v>
      </c>
      <c r="AU75" s="2621"/>
      <c r="AV75" s="2627">
        <f t="shared" ref="AV75" si="140">AU80/((66*3.1415/64)*(55/3.281))</f>
        <v>1.8413761564833001E-15</v>
      </c>
      <c r="AW75" s="2627"/>
      <c r="AX75" s="2628"/>
      <c r="AY75" s="2620" t="s">
        <v>110</v>
      </c>
      <c r="AZ75" s="2621"/>
      <c r="BA75" s="2627">
        <f t="shared" ref="BA75" si="141">AZ80/((66*3.1415/64)*(55/3.281))</f>
        <v>2.6191734449818461E-2</v>
      </c>
      <c r="BB75" s="2627"/>
      <c r="BC75" s="2628"/>
      <c r="BD75" s="2620" t="s">
        <v>110</v>
      </c>
      <c r="BE75" s="2621"/>
      <c r="BF75" s="2627">
        <f t="shared" ref="BF75" si="142">BE80/((66*3.1415/64)*(55/3.281))</f>
        <v>1.8413761564833E-16</v>
      </c>
      <c r="BG75" s="2627"/>
      <c r="BH75" s="2628"/>
      <c r="BI75" s="2620" t="s">
        <v>110</v>
      </c>
      <c r="BJ75" s="2621"/>
      <c r="BK75" s="2627">
        <f t="shared" ref="BK75" si="143">BJ80/((66*3.1415/64)*(55/3.281))</f>
        <v>1.8413761564833001E-15</v>
      </c>
      <c r="BL75" s="2627"/>
      <c r="BM75" s="2628"/>
      <c r="BN75" s="2620" t="s">
        <v>110</v>
      </c>
      <c r="BO75" s="2621"/>
      <c r="BP75" s="2627">
        <f t="shared" ref="BP75" si="144">BO80/((66*3.1415/64)*(55/3.281))</f>
        <v>1.8413761564833001E-17</v>
      </c>
      <c r="BQ75" s="2627"/>
      <c r="BR75" s="2628"/>
      <c r="DE75" s="709"/>
      <c r="DF75" s="709"/>
      <c r="DG75" s="709"/>
      <c r="DH75" s="52"/>
      <c r="DI75" s="49"/>
      <c r="DJ75" s="49"/>
      <c r="DK75" s="49"/>
      <c r="DL75" s="49"/>
      <c r="DM75" s="49"/>
      <c r="DN75" s="49"/>
      <c r="DO75" s="49"/>
      <c r="DP75" s="49"/>
      <c r="DQ75" s="49"/>
      <c r="DR75" s="49"/>
      <c r="DS75" s="49"/>
      <c r="DT75" s="49"/>
      <c r="DU75" s="49"/>
      <c r="DV75" s="705"/>
      <c r="DW75" s="705"/>
      <c r="DX75" s="705"/>
      <c r="DY75" s="705"/>
      <c r="DZ75" s="705"/>
      <c r="EA75" s="705"/>
      <c r="EB75" s="705"/>
      <c r="EC75" s="705"/>
      <c r="ED75" s="705"/>
      <c r="EE75" s="705"/>
      <c r="EF75" s="705"/>
      <c r="EG75" s="705"/>
      <c r="EH75" s="706"/>
      <c r="EI75" s="706"/>
      <c r="EJ75" s="706"/>
      <c r="EK75" s="706"/>
      <c r="EL75" s="706"/>
      <c r="EM75" s="706"/>
      <c r="EN75" s="706"/>
      <c r="EO75" s="706"/>
      <c r="EP75" s="706"/>
      <c r="EQ75" s="706"/>
      <c r="ER75" s="706"/>
      <c r="ES75" s="707"/>
      <c r="ET75" s="707"/>
      <c r="EU75" s="707"/>
      <c r="EV75" s="707"/>
      <c r="EW75" s="707"/>
      <c r="EX75" s="707"/>
      <c r="EY75" s="707"/>
      <c r="EZ75" s="707"/>
      <c r="FA75" s="707"/>
      <c r="FB75" s="707"/>
      <c r="FC75" s="707"/>
      <c r="FD75" s="707"/>
      <c r="FE75" s="699"/>
      <c r="FF75" s="699"/>
      <c r="FG75" s="699"/>
      <c r="FH75" s="699"/>
      <c r="FI75" s="699"/>
      <c r="FJ75" s="699"/>
      <c r="FK75" s="699"/>
      <c r="FL75" s="699"/>
      <c r="FM75" s="699"/>
      <c r="FN75" s="699"/>
      <c r="FO75" s="699"/>
      <c r="FP75" s="699"/>
    </row>
    <row r="76" spans="1:172" ht="9.75" customHeight="1" x14ac:dyDescent="0.25">
      <c r="A76" s="2360" t="s">
        <v>489</v>
      </c>
      <c r="B76" s="1632"/>
      <c r="C76" s="1632"/>
      <c r="D76" s="1632"/>
      <c r="E76" s="1633"/>
      <c r="F76" s="2360" t="s">
        <v>489</v>
      </c>
      <c r="G76" s="1632"/>
      <c r="H76" s="1632"/>
      <c r="I76" s="1632"/>
      <c r="J76" s="1633"/>
      <c r="K76" s="2360" t="s">
        <v>489</v>
      </c>
      <c r="L76" s="1632"/>
      <c r="M76" s="1632"/>
      <c r="N76" s="1632"/>
      <c r="O76" s="1633"/>
      <c r="P76" s="2360" t="s">
        <v>489</v>
      </c>
      <c r="Q76" s="1632"/>
      <c r="R76" s="1632"/>
      <c r="S76" s="1632"/>
      <c r="T76" s="1633"/>
      <c r="U76" s="2360" t="s">
        <v>489</v>
      </c>
      <c r="V76" s="1632"/>
      <c r="W76" s="1632"/>
      <c r="X76" s="1632"/>
      <c r="Y76" s="1633"/>
      <c r="Z76" s="2360" t="s">
        <v>489</v>
      </c>
      <c r="AA76" s="1632"/>
      <c r="AB76" s="1632"/>
      <c r="AC76" s="1632"/>
      <c r="AD76" s="1633"/>
      <c r="AE76" s="2360" t="s">
        <v>489</v>
      </c>
      <c r="AF76" s="1632"/>
      <c r="AG76" s="1632"/>
      <c r="AH76" s="1632"/>
      <c r="AI76" s="1633"/>
      <c r="AJ76" s="2360" t="s">
        <v>489</v>
      </c>
      <c r="AK76" s="1632"/>
      <c r="AL76" s="1632"/>
      <c r="AM76" s="1632"/>
      <c r="AN76" s="1633"/>
      <c r="AO76" s="2360" t="s">
        <v>489</v>
      </c>
      <c r="AP76" s="1632"/>
      <c r="AQ76" s="1632"/>
      <c r="AR76" s="1632"/>
      <c r="AS76" s="1633"/>
      <c r="AT76" s="2360" t="s">
        <v>489</v>
      </c>
      <c r="AU76" s="1632"/>
      <c r="AV76" s="1632"/>
      <c r="AW76" s="1632"/>
      <c r="AX76" s="1633"/>
      <c r="AY76" s="2360" t="s">
        <v>489</v>
      </c>
      <c r="AZ76" s="1632"/>
      <c r="BA76" s="1632"/>
      <c r="BB76" s="1632"/>
      <c r="BC76" s="1633"/>
      <c r="BD76" s="2360" t="s">
        <v>489</v>
      </c>
      <c r="BE76" s="1632"/>
      <c r="BF76" s="1632"/>
      <c r="BG76" s="1632"/>
      <c r="BH76" s="1633"/>
      <c r="BI76" s="2360" t="s">
        <v>489</v>
      </c>
      <c r="BJ76" s="1632"/>
      <c r="BK76" s="1632"/>
      <c r="BL76" s="1632"/>
      <c r="BM76" s="1633"/>
      <c r="BN76" s="2360" t="s">
        <v>489</v>
      </c>
      <c r="BO76" s="1632"/>
      <c r="BP76" s="1632"/>
      <c r="BQ76" s="1632"/>
      <c r="BR76" s="1633"/>
    </row>
    <row r="77" spans="1:172" ht="9.75" customHeight="1" x14ac:dyDescent="0.25">
      <c r="A77" s="2361"/>
      <c r="B77" s="1635"/>
      <c r="C77" s="1635"/>
      <c r="D77" s="1635"/>
      <c r="E77" s="1636"/>
      <c r="F77" s="2361"/>
      <c r="G77" s="1635"/>
      <c r="H77" s="1635"/>
      <c r="I77" s="1635"/>
      <c r="J77" s="1636"/>
      <c r="K77" s="2361"/>
      <c r="L77" s="1635"/>
      <c r="M77" s="1635"/>
      <c r="N77" s="1635"/>
      <c r="O77" s="1636"/>
      <c r="P77" s="2361"/>
      <c r="Q77" s="1635"/>
      <c r="R77" s="1635"/>
      <c r="S77" s="1635"/>
      <c r="T77" s="1636"/>
      <c r="U77" s="2361"/>
      <c r="V77" s="1635"/>
      <c r="W77" s="1635"/>
      <c r="X77" s="1635"/>
      <c r="Y77" s="1636"/>
      <c r="Z77" s="2361"/>
      <c r="AA77" s="1635"/>
      <c r="AB77" s="1635"/>
      <c r="AC77" s="1635"/>
      <c r="AD77" s="1636"/>
      <c r="AE77" s="2361"/>
      <c r="AF77" s="1635"/>
      <c r="AG77" s="1635"/>
      <c r="AH77" s="1635"/>
      <c r="AI77" s="1636"/>
      <c r="AJ77" s="2361"/>
      <c r="AK77" s="1635"/>
      <c r="AL77" s="1635"/>
      <c r="AM77" s="1635"/>
      <c r="AN77" s="1636"/>
      <c r="AO77" s="2361"/>
      <c r="AP77" s="1635"/>
      <c r="AQ77" s="1635"/>
      <c r="AR77" s="1635"/>
      <c r="AS77" s="1636"/>
      <c r="AT77" s="2361"/>
      <c r="AU77" s="1635"/>
      <c r="AV77" s="1635"/>
      <c r="AW77" s="1635"/>
      <c r="AX77" s="1636"/>
      <c r="AY77" s="2361"/>
      <c r="AZ77" s="1635"/>
      <c r="BA77" s="1635"/>
      <c r="BB77" s="1635"/>
      <c r="BC77" s="1636"/>
      <c r="BD77" s="2361"/>
      <c r="BE77" s="1635"/>
      <c r="BF77" s="1635"/>
      <c r="BG77" s="1635"/>
      <c r="BH77" s="1636"/>
      <c r="BI77" s="2361"/>
      <c r="BJ77" s="1635"/>
      <c r="BK77" s="1635"/>
      <c r="BL77" s="1635"/>
      <c r="BM77" s="1636"/>
      <c r="BN77" s="2361"/>
      <c r="BO77" s="1635"/>
      <c r="BP77" s="1635"/>
      <c r="BQ77" s="1635"/>
      <c r="BR77" s="1636"/>
    </row>
    <row r="78" spans="1:172" ht="9.75" customHeight="1" x14ac:dyDescent="0.25">
      <c r="A78" s="2362"/>
      <c r="B78" s="1638"/>
      <c r="C78" s="1638"/>
      <c r="D78" s="1638"/>
      <c r="E78" s="1639"/>
      <c r="F78" s="2362"/>
      <c r="G78" s="1638"/>
      <c r="H78" s="1638"/>
      <c r="I78" s="1638"/>
      <c r="J78" s="1639"/>
      <c r="K78" s="2362"/>
      <c r="L78" s="1638"/>
      <c r="M78" s="1638"/>
      <c r="N78" s="1638"/>
      <c r="O78" s="1639"/>
      <c r="P78" s="2362"/>
      <c r="Q78" s="1638"/>
      <c r="R78" s="1638"/>
      <c r="S78" s="1638"/>
      <c r="T78" s="1639"/>
      <c r="U78" s="2362"/>
      <c r="V78" s="1638"/>
      <c r="W78" s="1638"/>
      <c r="X78" s="1638"/>
      <c r="Y78" s="1639"/>
      <c r="Z78" s="2362"/>
      <c r="AA78" s="1638"/>
      <c r="AB78" s="1638"/>
      <c r="AC78" s="1638"/>
      <c r="AD78" s="1639"/>
      <c r="AE78" s="2362"/>
      <c r="AF78" s="1638"/>
      <c r="AG78" s="1638"/>
      <c r="AH78" s="1638"/>
      <c r="AI78" s="1639"/>
      <c r="AJ78" s="2362"/>
      <c r="AK78" s="1638"/>
      <c r="AL78" s="1638"/>
      <c r="AM78" s="1638"/>
      <c r="AN78" s="1639"/>
      <c r="AO78" s="2362"/>
      <c r="AP78" s="1638"/>
      <c r="AQ78" s="1638"/>
      <c r="AR78" s="1638"/>
      <c r="AS78" s="1639"/>
      <c r="AT78" s="2362"/>
      <c r="AU78" s="1638"/>
      <c r="AV78" s="1638"/>
      <c r="AW78" s="1638"/>
      <c r="AX78" s="1639"/>
      <c r="AY78" s="2362"/>
      <c r="AZ78" s="1638"/>
      <c r="BA78" s="1638"/>
      <c r="BB78" s="1638"/>
      <c r="BC78" s="1639"/>
      <c r="BD78" s="2362"/>
      <c r="BE78" s="1638"/>
      <c r="BF78" s="1638"/>
      <c r="BG78" s="1638"/>
      <c r="BH78" s="1639"/>
      <c r="BI78" s="2362"/>
      <c r="BJ78" s="1638"/>
      <c r="BK78" s="1638"/>
      <c r="BL78" s="1638"/>
      <c r="BM78" s="1639"/>
      <c r="BN78" s="2362"/>
      <c r="BO78" s="1638"/>
      <c r="BP78" s="1638"/>
      <c r="BQ78" s="1638"/>
      <c r="BR78" s="1639"/>
    </row>
    <row r="79" spans="1:172" s="22" customFormat="1" ht="111.75" customHeight="1" x14ac:dyDescent="1.35">
      <c r="A79" s="2625" t="s">
        <v>492</v>
      </c>
      <c r="B79" s="588">
        <v>170</v>
      </c>
      <c r="C79" s="589"/>
      <c r="D79" s="589"/>
      <c r="E79" s="590"/>
      <c r="F79" s="2625" t="s">
        <v>492</v>
      </c>
      <c r="G79" s="588">
        <v>171</v>
      </c>
      <c r="H79" s="589"/>
      <c r="I79" s="589"/>
      <c r="J79" s="590"/>
      <c r="K79" s="2625" t="s">
        <v>492</v>
      </c>
      <c r="L79" s="588">
        <v>172</v>
      </c>
      <c r="M79" s="589"/>
      <c r="N79" s="589"/>
      <c r="O79" s="590"/>
      <c r="P79" s="2625" t="s">
        <v>492</v>
      </c>
      <c r="Q79" s="588">
        <v>173</v>
      </c>
      <c r="R79" s="589"/>
      <c r="S79" s="589"/>
      <c r="T79" s="590"/>
      <c r="U79" s="2625" t="s">
        <v>492</v>
      </c>
      <c r="V79" s="588">
        <v>174</v>
      </c>
      <c r="W79" s="589"/>
      <c r="X79" s="589"/>
      <c r="Y79" s="590"/>
      <c r="Z79" s="2625" t="s">
        <v>492</v>
      </c>
      <c r="AA79" s="588">
        <v>175</v>
      </c>
      <c r="AB79" s="589"/>
      <c r="AC79" s="589"/>
      <c r="AD79" s="590"/>
      <c r="AE79" s="2625" t="s">
        <v>492</v>
      </c>
      <c r="AF79" s="588">
        <v>176</v>
      </c>
      <c r="AG79" s="589"/>
      <c r="AH79" s="589"/>
      <c r="AI79" s="590"/>
      <c r="AJ79" s="2625" t="s">
        <v>492</v>
      </c>
      <c r="AK79" s="588">
        <v>177</v>
      </c>
      <c r="AL79" s="589"/>
      <c r="AM79" s="589"/>
      <c r="AN79" s="590"/>
      <c r="AO79" s="2625" t="s">
        <v>492</v>
      </c>
      <c r="AP79" s="588">
        <v>178</v>
      </c>
      <c r="AQ79" s="589"/>
      <c r="AR79" s="589"/>
      <c r="AS79" s="590"/>
      <c r="AT79" s="2625" t="s">
        <v>492</v>
      </c>
      <c r="AU79" s="588">
        <v>179</v>
      </c>
      <c r="AV79" s="589"/>
      <c r="AW79" s="589"/>
      <c r="AX79" s="590"/>
      <c r="AY79" s="2625" t="s">
        <v>492</v>
      </c>
      <c r="AZ79" s="1276">
        <v>180</v>
      </c>
      <c r="BA79" s="1277"/>
      <c r="BB79" s="1277"/>
      <c r="BC79" s="1278"/>
      <c r="BD79" s="2625" t="s">
        <v>492</v>
      </c>
      <c r="BE79" s="588">
        <v>181</v>
      </c>
      <c r="BF79" s="589"/>
      <c r="BG79" s="589"/>
      <c r="BH79" s="590"/>
      <c r="BI79" s="2625" t="s">
        <v>492</v>
      </c>
      <c r="BJ79" s="588">
        <v>182</v>
      </c>
      <c r="BK79" s="589"/>
      <c r="BL79" s="589"/>
      <c r="BM79" s="590"/>
      <c r="BN79" s="2625" t="s">
        <v>492</v>
      </c>
      <c r="BO79" s="588">
        <v>183</v>
      </c>
      <c r="BP79" s="589"/>
      <c r="BQ79" s="589"/>
      <c r="BR79" s="590"/>
    </row>
    <row r="80" spans="1:172" ht="50.25" customHeight="1" thickBot="1" x14ac:dyDescent="0.3">
      <c r="A80" s="2626"/>
      <c r="B80" s="61">
        <v>1E-10</v>
      </c>
      <c r="C80" s="62" t="s">
        <v>113</v>
      </c>
      <c r="D80" s="63"/>
      <c r="E80" s="64" t="s">
        <v>114</v>
      </c>
      <c r="F80" s="2626"/>
      <c r="G80" s="61">
        <v>1.0000000000000001E-5</v>
      </c>
      <c r="H80" s="62" t="s">
        <v>113</v>
      </c>
      <c r="I80" s="63"/>
      <c r="J80" s="64" t="s">
        <v>114</v>
      </c>
      <c r="K80" s="2626"/>
      <c r="L80" s="61">
        <v>1E-13</v>
      </c>
      <c r="M80" s="62" t="s">
        <v>113</v>
      </c>
      <c r="N80" s="63">
        <v>1</v>
      </c>
      <c r="O80" s="64" t="s">
        <v>114</v>
      </c>
      <c r="P80" s="2626"/>
      <c r="Q80" s="61">
        <v>1.0000000000000001E-9</v>
      </c>
      <c r="R80" s="62" t="s">
        <v>113</v>
      </c>
      <c r="S80" s="63"/>
      <c r="T80" s="64" t="s">
        <v>114</v>
      </c>
      <c r="U80" s="2626"/>
      <c r="V80" s="61">
        <v>9.9999999999999995E-7</v>
      </c>
      <c r="W80" s="62" t="s">
        <v>113</v>
      </c>
      <c r="X80" s="63"/>
      <c r="Y80" s="64" t="s">
        <v>114</v>
      </c>
      <c r="Z80" s="2626"/>
      <c r="AA80" s="61">
        <v>1E-13</v>
      </c>
      <c r="AB80" s="62" t="s">
        <v>113</v>
      </c>
      <c r="AC80" s="63"/>
      <c r="AD80" s="64" t="s">
        <v>114</v>
      </c>
      <c r="AE80" s="2626"/>
      <c r="AF80" s="61">
        <v>9.9999999999999998E-13</v>
      </c>
      <c r="AG80" s="62" t="s">
        <v>113</v>
      </c>
      <c r="AH80" s="63">
        <v>1</v>
      </c>
      <c r="AI80" s="64" t="s">
        <v>114</v>
      </c>
      <c r="AJ80" s="2626"/>
      <c r="AK80" s="61">
        <v>9.9999999999999994E-12</v>
      </c>
      <c r="AL80" s="62" t="s">
        <v>113</v>
      </c>
      <c r="AM80" s="63"/>
      <c r="AN80" s="64" t="s">
        <v>114</v>
      </c>
      <c r="AO80" s="2626"/>
      <c r="AP80" s="61">
        <v>1E-13</v>
      </c>
      <c r="AQ80" s="62" t="s">
        <v>113</v>
      </c>
      <c r="AR80" s="63"/>
      <c r="AS80" s="64" t="s">
        <v>114</v>
      </c>
      <c r="AT80" s="2626"/>
      <c r="AU80" s="61">
        <v>1E-13</v>
      </c>
      <c r="AV80" s="62" t="s">
        <v>113</v>
      </c>
      <c r="AW80" s="63"/>
      <c r="AX80" s="64" t="s">
        <v>114</v>
      </c>
      <c r="AY80" s="2626"/>
      <c r="AZ80" s="61">
        <v>1.4224000000000001</v>
      </c>
      <c r="BA80" s="62" t="s">
        <v>113</v>
      </c>
      <c r="BB80" s="63">
        <v>1</v>
      </c>
      <c r="BC80" s="64" t="s">
        <v>114</v>
      </c>
      <c r="BD80" s="2626"/>
      <c r="BE80" s="61">
        <v>1E-14</v>
      </c>
      <c r="BF80" s="62" t="s">
        <v>113</v>
      </c>
      <c r="BG80" s="63"/>
      <c r="BH80" s="64" t="s">
        <v>114</v>
      </c>
      <c r="BI80" s="2626"/>
      <c r="BJ80" s="61">
        <v>1E-13</v>
      </c>
      <c r="BK80" s="62" t="s">
        <v>113</v>
      </c>
      <c r="BL80" s="63"/>
      <c r="BM80" s="64" t="s">
        <v>114</v>
      </c>
      <c r="BN80" s="2626"/>
      <c r="BO80" s="61">
        <v>1.0000000000000001E-15</v>
      </c>
      <c r="BP80" s="62" t="s">
        <v>113</v>
      </c>
      <c r="BQ80" s="63"/>
      <c r="BR80" s="64" t="s">
        <v>114</v>
      </c>
    </row>
    <row r="81" spans="1:70" ht="53.25" customHeight="1" thickTop="1" x14ac:dyDescent="0.25">
      <c r="A81" s="2620" t="s">
        <v>110</v>
      </c>
      <c r="B81" s="2621"/>
      <c r="C81" s="2627">
        <f t="shared" ref="C81" si="145">B86/((66*3.1415/64)*(55/3.281))</f>
        <v>1.1225029049922198E-2</v>
      </c>
      <c r="D81" s="2627"/>
      <c r="E81" s="2628"/>
      <c r="F81" s="2620" t="s">
        <v>110</v>
      </c>
      <c r="G81" s="2621"/>
      <c r="H81" s="2627">
        <f t="shared" ref="H81" si="146">G86/((66*3.1415/64)*(55/3.281))</f>
        <v>1.8413761564833E-10</v>
      </c>
      <c r="I81" s="2627"/>
      <c r="J81" s="2628"/>
      <c r="K81" s="2620" t="s">
        <v>110</v>
      </c>
      <c r="L81" s="2621"/>
      <c r="M81" s="2627">
        <f t="shared" ref="M81" si="147">L86/((66*3.1415/64)*(55/3.281))</f>
        <v>1.8413761564833001E-15</v>
      </c>
      <c r="N81" s="2627"/>
      <c r="O81" s="2628"/>
      <c r="P81" s="2620" t="s">
        <v>110</v>
      </c>
      <c r="Q81" s="2621"/>
      <c r="R81" s="2627">
        <f t="shared" ref="R81" si="148">Q86/((66*3.1415/64)*(55/3.281))</f>
        <v>1.8413761564833E-19</v>
      </c>
      <c r="S81" s="2627"/>
      <c r="T81" s="2628"/>
      <c r="U81" s="2620" t="s">
        <v>110</v>
      </c>
      <c r="V81" s="2621"/>
      <c r="W81" s="2627">
        <f t="shared" ref="W81" si="149">V86/((66*3.1415/64)*(55/3.281))</f>
        <v>1.8413761564833E-16</v>
      </c>
      <c r="X81" s="2627"/>
      <c r="Y81" s="2628"/>
      <c r="Z81" s="2620" t="s">
        <v>110</v>
      </c>
      <c r="AA81" s="2621"/>
      <c r="AB81" s="2627">
        <f t="shared" ref="AB81" si="150">AA86/((66*3.1415/64)*(55/3.281))</f>
        <v>1.8413761564832998E-13</v>
      </c>
      <c r="AC81" s="2627"/>
      <c r="AD81" s="2628"/>
      <c r="AE81" s="2620" t="s">
        <v>110</v>
      </c>
      <c r="AF81" s="2621"/>
      <c r="AG81" s="2627">
        <f t="shared" ref="AG81" si="151">AF86/((66*3.1415/64)*(55/3.281))</f>
        <v>1.8413761564832999E-9</v>
      </c>
      <c r="AH81" s="2627"/>
      <c r="AI81" s="2628"/>
      <c r="AJ81" s="2620" t="s">
        <v>110</v>
      </c>
      <c r="AK81" s="2621"/>
      <c r="AL81" s="2627">
        <f t="shared" ref="AL81" si="152">AK86/((66*3.1415/64)*(55/3.281))</f>
        <v>1.8413761564832998E-13</v>
      </c>
      <c r="AM81" s="2627"/>
      <c r="AN81" s="2628"/>
      <c r="AO81" s="2620" t="s">
        <v>110</v>
      </c>
      <c r="AP81" s="2621"/>
      <c r="AQ81" s="2627">
        <f t="shared" ref="AQ81" si="153">AP86/((66*3.1415/64)*(55/3.281))</f>
        <v>1.8413761564833E-12</v>
      </c>
      <c r="AR81" s="2627"/>
      <c r="AS81" s="2628"/>
      <c r="AT81" s="2620" t="s">
        <v>110</v>
      </c>
      <c r="AU81" s="2621"/>
      <c r="AV81" s="2627">
        <f t="shared" ref="AV81" si="154">AU86/((66*3.1415/64)*(55/3.281))</f>
        <v>1.075731950617544E-2</v>
      </c>
      <c r="AW81" s="2627"/>
      <c r="AX81" s="2628"/>
      <c r="AY81" s="2620" t="s">
        <v>110</v>
      </c>
      <c r="AZ81" s="2621"/>
      <c r="BA81" s="2627">
        <f t="shared" ref="BA81" si="155">AZ86/((66*3.1415/64)*(55/3.281))</f>
        <v>2.5256315362324942E-2</v>
      </c>
      <c r="BB81" s="2627"/>
      <c r="BC81" s="2628"/>
      <c r="BD81" s="2620" t="s">
        <v>110</v>
      </c>
      <c r="BE81" s="2621"/>
      <c r="BF81" s="2627">
        <f t="shared" ref="BF81" si="156">BE86/((66*3.1415/64)*(55/3.281))</f>
        <v>1.0753636753862471E-2</v>
      </c>
      <c r="BG81" s="2627"/>
      <c r="BH81" s="2628"/>
      <c r="BI81" s="2620" t="s">
        <v>110</v>
      </c>
      <c r="BJ81" s="2621"/>
      <c r="BK81" s="2627">
        <f t="shared" ref="BK81" si="157">BJ86/((66*3.1415/64)*(55/3.281))</f>
        <v>1.6369834031136538E-2</v>
      </c>
      <c r="BL81" s="2627"/>
      <c r="BM81" s="2628"/>
      <c r="BN81" s="2620" t="s">
        <v>110</v>
      </c>
      <c r="BO81" s="2621"/>
      <c r="BP81" s="2627">
        <f t="shared" ref="BP81" si="158">BO86/((66*3.1415/64)*(55/3.281))</f>
        <v>1.3095867224909231E-2</v>
      </c>
      <c r="BQ81" s="2627"/>
      <c r="BR81" s="2628"/>
    </row>
    <row r="82" spans="1:70" ht="15.75" customHeight="1" x14ac:dyDescent="0.25">
      <c r="A82" s="2360" t="s">
        <v>489</v>
      </c>
      <c r="B82" s="1632"/>
      <c r="C82" s="1632"/>
      <c r="D82" s="1632"/>
      <c r="E82" s="1633"/>
      <c r="F82" s="2360" t="s">
        <v>489</v>
      </c>
      <c r="G82" s="1632"/>
      <c r="H82" s="1632"/>
      <c r="I82" s="1632"/>
      <c r="J82" s="1633"/>
      <c r="K82" s="2360" t="s">
        <v>489</v>
      </c>
      <c r="L82" s="1632"/>
      <c r="M82" s="1632"/>
      <c r="N82" s="1632"/>
      <c r="O82" s="1633"/>
      <c r="P82" s="2360" t="s">
        <v>489</v>
      </c>
      <c r="Q82" s="1632"/>
      <c r="R82" s="1632"/>
      <c r="S82" s="1632"/>
      <c r="T82" s="1633"/>
      <c r="U82" s="2360" t="s">
        <v>489</v>
      </c>
      <c r="V82" s="1632"/>
      <c r="W82" s="1632"/>
      <c r="X82" s="1632"/>
      <c r="Y82" s="1633"/>
      <c r="Z82" s="2360" t="s">
        <v>489</v>
      </c>
      <c r="AA82" s="1632"/>
      <c r="AB82" s="1632"/>
      <c r="AC82" s="1632"/>
      <c r="AD82" s="1633"/>
      <c r="AE82" s="2360" t="s">
        <v>489</v>
      </c>
      <c r="AF82" s="1632"/>
      <c r="AG82" s="1632"/>
      <c r="AH82" s="1632"/>
      <c r="AI82" s="1633"/>
      <c r="AJ82" s="2360" t="s">
        <v>489</v>
      </c>
      <c r="AK82" s="1632"/>
      <c r="AL82" s="1632"/>
      <c r="AM82" s="1632"/>
      <c r="AN82" s="1633"/>
      <c r="AO82" s="2360" t="s">
        <v>489</v>
      </c>
      <c r="AP82" s="1632"/>
      <c r="AQ82" s="1632"/>
      <c r="AR82" s="1632"/>
      <c r="AS82" s="1633"/>
      <c r="AT82" s="2360" t="s">
        <v>489</v>
      </c>
      <c r="AU82" s="1632"/>
      <c r="AV82" s="1632"/>
      <c r="AW82" s="1632"/>
      <c r="AX82" s="1633"/>
      <c r="AY82" s="2360" t="s">
        <v>489</v>
      </c>
      <c r="AZ82" s="1632"/>
      <c r="BA82" s="1632"/>
      <c r="BB82" s="1632"/>
      <c r="BC82" s="1633"/>
      <c r="BD82" s="2360" t="s">
        <v>489</v>
      </c>
      <c r="BE82" s="1632"/>
      <c r="BF82" s="1632"/>
      <c r="BG82" s="1632"/>
      <c r="BH82" s="1633"/>
      <c r="BI82" s="2360" t="s">
        <v>489</v>
      </c>
      <c r="BJ82" s="1632"/>
      <c r="BK82" s="1632"/>
      <c r="BL82" s="1632"/>
      <c r="BM82" s="1633"/>
      <c r="BN82" s="2360" t="s">
        <v>489</v>
      </c>
      <c r="BO82" s="1632"/>
      <c r="BP82" s="1632"/>
      <c r="BQ82" s="1632"/>
      <c r="BR82" s="1633"/>
    </row>
    <row r="83" spans="1:70" ht="12" customHeight="1" x14ac:dyDescent="0.25">
      <c r="A83" s="2361"/>
      <c r="B83" s="1635"/>
      <c r="C83" s="1635"/>
      <c r="D83" s="1635"/>
      <c r="E83" s="1636"/>
      <c r="F83" s="2361"/>
      <c r="G83" s="1635"/>
      <c r="H83" s="1635"/>
      <c r="I83" s="1635"/>
      <c r="J83" s="1636"/>
      <c r="K83" s="2361"/>
      <c r="L83" s="1635"/>
      <c r="M83" s="1635"/>
      <c r="N83" s="1635"/>
      <c r="O83" s="1636"/>
      <c r="P83" s="2361"/>
      <c r="Q83" s="1635"/>
      <c r="R83" s="1635"/>
      <c r="S83" s="1635"/>
      <c r="T83" s="1636"/>
      <c r="U83" s="2361"/>
      <c r="V83" s="1635"/>
      <c r="W83" s="1635"/>
      <c r="X83" s="1635"/>
      <c r="Y83" s="1636"/>
      <c r="Z83" s="2361"/>
      <c r="AA83" s="1635"/>
      <c r="AB83" s="1635"/>
      <c r="AC83" s="1635"/>
      <c r="AD83" s="1636"/>
      <c r="AE83" s="2361"/>
      <c r="AF83" s="1635"/>
      <c r="AG83" s="1635"/>
      <c r="AH83" s="1635"/>
      <c r="AI83" s="1636"/>
      <c r="AJ83" s="2361"/>
      <c r="AK83" s="1635"/>
      <c r="AL83" s="1635"/>
      <c r="AM83" s="1635"/>
      <c r="AN83" s="1636"/>
      <c r="AO83" s="2361"/>
      <c r="AP83" s="1635"/>
      <c r="AQ83" s="1635"/>
      <c r="AR83" s="1635"/>
      <c r="AS83" s="1636"/>
      <c r="AT83" s="2361"/>
      <c r="AU83" s="1635"/>
      <c r="AV83" s="1635"/>
      <c r="AW83" s="1635"/>
      <c r="AX83" s="1636"/>
      <c r="AY83" s="2361"/>
      <c r="AZ83" s="1635"/>
      <c r="BA83" s="1635"/>
      <c r="BB83" s="1635"/>
      <c r="BC83" s="1636"/>
      <c r="BD83" s="2361"/>
      <c r="BE83" s="1635"/>
      <c r="BF83" s="1635"/>
      <c r="BG83" s="1635"/>
      <c r="BH83" s="1636"/>
      <c r="BI83" s="2361"/>
      <c r="BJ83" s="1635"/>
      <c r="BK83" s="1635"/>
      <c r="BL83" s="1635"/>
      <c r="BM83" s="1636"/>
      <c r="BN83" s="2361"/>
      <c r="BO83" s="1635"/>
      <c r="BP83" s="1635"/>
      <c r="BQ83" s="1635"/>
      <c r="BR83" s="1636"/>
    </row>
    <row r="84" spans="1:70" ht="15" hidden="1" customHeight="1" x14ac:dyDescent="0.25">
      <c r="A84" s="2362"/>
      <c r="B84" s="1638"/>
      <c r="C84" s="1638"/>
      <c r="D84" s="1638"/>
      <c r="E84" s="1639"/>
      <c r="F84" s="2362"/>
      <c r="G84" s="1638"/>
      <c r="H84" s="1638"/>
      <c r="I84" s="1638"/>
      <c r="J84" s="1639"/>
      <c r="K84" s="2362"/>
      <c r="L84" s="1638"/>
      <c r="M84" s="1638"/>
      <c r="N84" s="1638"/>
      <c r="O84" s="1639"/>
      <c r="P84" s="2362"/>
      <c r="Q84" s="1638"/>
      <c r="R84" s="1638"/>
      <c r="S84" s="1638"/>
      <c r="T84" s="1639"/>
      <c r="U84" s="2362"/>
      <c r="V84" s="1638"/>
      <c r="W84" s="1638"/>
      <c r="X84" s="1638"/>
      <c r="Y84" s="1639"/>
      <c r="Z84" s="2362"/>
      <c r="AA84" s="1638"/>
      <c r="AB84" s="1638"/>
      <c r="AC84" s="1638"/>
      <c r="AD84" s="1639"/>
      <c r="AE84" s="2362"/>
      <c r="AF84" s="1638"/>
      <c r="AG84" s="1638"/>
      <c r="AH84" s="1638"/>
      <c r="AI84" s="1639"/>
      <c r="AJ84" s="2362"/>
      <c r="AK84" s="1638"/>
      <c r="AL84" s="1638"/>
      <c r="AM84" s="1638"/>
      <c r="AN84" s="1639"/>
      <c r="AO84" s="2362"/>
      <c r="AP84" s="1638"/>
      <c r="AQ84" s="1638"/>
      <c r="AR84" s="1638"/>
      <c r="AS84" s="1639"/>
      <c r="AT84" s="2362"/>
      <c r="AU84" s="1638"/>
      <c r="AV84" s="1638"/>
      <c r="AW84" s="1638"/>
      <c r="AX84" s="1639"/>
      <c r="AY84" s="2362"/>
      <c r="AZ84" s="1638"/>
      <c r="BA84" s="1638"/>
      <c r="BB84" s="1638"/>
      <c r="BC84" s="1639"/>
      <c r="BD84" s="2362"/>
      <c r="BE84" s="1638"/>
      <c r="BF84" s="1638"/>
      <c r="BG84" s="1638"/>
      <c r="BH84" s="1639"/>
      <c r="BI84" s="2362"/>
      <c r="BJ84" s="1638"/>
      <c r="BK84" s="1638"/>
      <c r="BL84" s="1638"/>
      <c r="BM84" s="1639"/>
      <c r="BN84" s="2362"/>
      <c r="BO84" s="1638"/>
      <c r="BP84" s="1638"/>
      <c r="BQ84" s="1638"/>
      <c r="BR84" s="1639"/>
    </row>
    <row r="85" spans="1:70" s="22" customFormat="1" ht="111.75" customHeight="1" x14ac:dyDescent="1.35">
      <c r="A85" s="2625" t="s">
        <v>492</v>
      </c>
      <c r="B85" s="588">
        <v>185</v>
      </c>
      <c r="C85" s="589"/>
      <c r="D85" s="589"/>
      <c r="E85" s="590"/>
      <c r="F85" s="2625" t="s">
        <v>492</v>
      </c>
      <c r="G85" s="588">
        <v>186</v>
      </c>
      <c r="H85" s="589"/>
      <c r="I85" s="589"/>
      <c r="J85" s="590"/>
      <c r="K85" s="2625" t="s">
        <v>492</v>
      </c>
      <c r="L85" s="588">
        <v>187</v>
      </c>
      <c r="M85" s="589"/>
      <c r="N85" s="589"/>
      <c r="O85" s="590"/>
      <c r="P85" s="2625" t="s">
        <v>492</v>
      </c>
      <c r="Q85" s="588">
        <v>189</v>
      </c>
      <c r="R85" s="589"/>
      <c r="S85" s="589"/>
      <c r="T85" s="590"/>
      <c r="U85" s="2625" t="s">
        <v>492</v>
      </c>
      <c r="V85" s="588">
        <v>190</v>
      </c>
      <c r="W85" s="589"/>
      <c r="X85" s="589"/>
      <c r="Y85" s="590"/>
      <c r="Z85" s="2625" t="s">
        <v>492</v>
      </c>
      <c r="AA85" s="588">
        <v>191</v>
      </c>
      <c r="AB85" s="589"/>
      <c r="AC85" s="589"/>
      <c r="AD85" s="590"/>
      <c r="AE85" s="2625" t="s">
        <v>492</v>
      </c>
      <c r="AF85" s="588">
        <v>193</v>
      </c>
      <c r="AG85" s="589"/>
      <c r="AH85" s="589"/>
      <c r="AI85" s="590"/>
      <c r="AJ85" s="2625" t="s">
        <v>492</v>
      </c>
      <c r="AK85" s="588">
        <v>194</v>
      </c>
      <c r="AL85" s="589"/>
      <c r="AM85" s="589"/>
      <c r="AN85" s="590"/>
      <c r="AO85" s="2625" t="s">
        <v>492</v>
      </c>
      <c r="AP85" s="588">
        <v>195</v>
      </c>
      <c r="AQ85" s="589"/>
      <c r="AR85" s="589"/>
      <c r="AS85" s="590"/>
      <c r="AT85" s="2625" t="s">
        <v>492</v>
      </c>
      <c r="AU85" s="588">
        <v>196</v>
      </c>
      <c r="AV85" s="589"/>
      <c r="AW85" s="589"/>
      <c r="AX85" s="590"/>
      <c r="AY85" s="2625" t="s">
        <v>492</v>
      </c>
      <c r="AZ85" s="588">
        <v>197</v>
      </c>
      <c r="BA85" s="589"/>
      <c r="BB85" s="589"/>
      <c r="BC85" s="590"/>
      <c r="BD85" s="2625" t="s">
        <v>492</v>
      </c>
      <c r="BE85" s="588">
        <v>198</v>
      </c>
      <c r="BF85" s="589"/>
      <c r="BG85" s="589"/>
      <c r="BH85" s="590"/>
      <c r="BI85" s="2625" t="s">
        <v>492</v>
      </c>
      <c r="BJ85" s="588">
        <v>199</v>
      </c>
      <c r="BK85" s="589"/>
      <c r="BL85" s="589"/>
      <c r="BM85" s="590"/>
      <c r="BN85" s="2625" t="s">
        <v>492</v>
      </c>
      <c r="BO85" s="2629">
        <v>200</v>
      </c>
      <c r="BP85" s="2630"/>
      <c r="BQ85" s="2630"/>
      <c r="BR85" s="2631"/>
    </row>
    <row r="86" spans="1:70" ht="50.25" customHeight="1" thickBot="1" x14ac:dyDescent="0.3">
      <c r="A86" s="2626"/>
      <c r="B86" s="61">
        <v>0.60960000000000003</v>
      </c>
      <c r="C86" s="62" t="s">
        <v>113</v>
      </c>
      <c r="D86" s="63"/>
      <c r="E86" s="64" t="s">
        <v>114</v>
      </c>
      <c r="F86" s="2626"/>
      <c r="G86" s="61">
        <v>1E-8</v>
      </c>
      <c r="H86" s="62" t="s">
        <v>113</v>
      </c>
      <c r="I86" s="63"/>
      <c r="J86" s="64" t="s">
        <v>114</v>
      </c>
      <c r="K86" s="2626"/>
      <c r="L86" s="61">
        <v>1E-13</v>
      </c>
      <c r="M86" s="62" t="s">
        <v>113</v>
      </c>
      <c r="N86" s="63"/>
      <c r="O86" s="64" t="s">
        <v>114</v>
      </c>
      <c r="P86" s="2626"/>
      <c r="Q86" s="61">
        <v>1.0000000000000001E-17</v>
      </c>
      <c r="R86" s="62" t="s">
        <v>113</v>
      </c>
      <c r="S86" s="63"/>
      <c r="T86" s="64" t="s">
        <v>114</v>
      </c>
      <c r="U86" s="2626"/>
      <c r="V86" s="61">
        <v>1E-14</v>
      </c>
      <c r="W86" s="62" t="s">
        <v>113</v>
      </c>
      <c r="X86" s="63"/>
      <c r="Y86" s="64" t="s">
        <v>114</v>
      </c>
      <c r="Z86" s="2626"/>
      <c r="AA86" s="61">
        <v>9.9999999999999994E-12</v>
      </c>
      <c r="AB86" s="62" t="s">
        <v>113</v>
      </c>
      <c r="AC86" s="63"/>
      <c r="AD86" s="64" t="s">
        <v>114</v>
      </c>
      <c r="AE86" s="2626"/>
      <c r="AF86" s="61">
        <v>9.9999999999999995E-8</v>
      </c>
      <c r="AG86" s="62" t="s">
        <v>113</v>
      </c>
      <c r="AH86" s="63"/>
      <c r="AI86" s="64" t="s">
        <v>114</v>
      </c>
      <c r="AJ86" s="2626"/>
      <c r="AK86" s="61">
        <v>9.9999999999999994E-12</v>
      </c>
      <c r="AL86" s="62" t="s">
        <v>113</v>
      </c>
      <c r="AM86" s="63"/>
      <c r="AN86" s="64" t="s">
        <v>114</v>
      </c>
      <c r="AO86" s="2626"/>
      <c r="AP86" s="61">
        <v>1E-10</v>
      </c>
      <c r="AQ86" s="62" t="s">
        <v>113</v>
      </c>
      <c r="AR86" s="63"/>
      <c r="AS86" s="64" t="s">
        <v>114</v>
      </c>
      <c r="AT86" s="2626"/>
      <c r="AU86" s="61">
        <v>0.58420000000000005</v>
      </c>
      <c r="AV86" s="62" t="s">
        <v>113</v>
      </c>
      <c r="AW86" s="63"/>
      <c r="AX86" s="64" t="s">
        <v>114</v>
      </c>
      <c r="AY86" s="2626"/>
      <c r="AZ86" s="61">
        <v>1.3715999999999999</v>
      </c>
      <c r="BA86" s="62" t="s">
        <v>113</v>
      </c>
      <c r="BB86" s="63">
        <v>1</v>
      </c>
      <c r="BC86" s="64" t="s">
        <v>114</v>
      </c>
      <c r="BD86" s="2626"/>
      <c r="BE86" s="61">
        <v>0.58399999999999996</v>
      </c>
      <c r="BF86" s="62" t="s">
        <v>113</v>
      </c>
      <c r="BG86" s="63"/>
      <c r="BH86" s="64" t="s">
        <v>114</v>
      </c>
      <c r="BI86" s="2626"/>
      <c r="BJ86" s="61">
        <v>0.88900000000000001</v>
      </c>
      <c r="BK86" s="62" t="s">
        <v>113</v>
      </c>
      <c r="BL86" s="63"/>
      <c r="BM86" s="64" t="s">
        <v>114</v>
      </c>
      <c r="BN86" s="2626"/>
      <c r="BO86" s="61">
        <v>0.71120000000000005</v>
      </c>
      <c r="BP86" s="62" t="s">
        <v>113</v>
      </c>
      <c r="BQ86" s="63"/>
      <c r="BR86" s="64" t="s">
        <v>114</v>
      </c>
    </row>
    <row r="87" spans="1:70" ht="53.25" customHeight="1" thickTop="1" x14ac:dyDescent="0.25">
      <c r="A87" s="2620" t="s">
        <v>110</v>
      </c>
      <c r="B87" s="2621"/>
      <c r="C87" s="2627">
        <f t="shared" ref="C87" si="159">B92/((66*3.1415/64)*(55/3.281))</f>
        <v>4.490011619968879E-2</v>
      </c>
      <c r="D87" s="2627"/>
      <c r="E87" s="2628"/>
      <c r="F87" s="2620" t="s">
        <v>110</v>
      </c>
      <c r="G87" s="2621"/>
      <c r="H87" s="2627">
        <f t="shared" ref="H87" si="160">G92/((66*3.1415/64)*(55/3.281))</f>
        <v>6.5479336124546154E-3</v>
      </c>
      <c r="I87" s="2627"/>
      <c r="J87" s="2628"/>
      <c r="K87" s="2620" t="s">
        <v>110</v>
      </c>
      <c r="L87" s="2621"/>
      <c r="M87" s="2627">
        <f t="shared" ref="M87" si="161">L92/((66*3.1415/64)*(55/3.281))</f>
        <v>1.8413761564832998E-13</v>
      </c>
      <c r="N87" s="2627"/>
      <c r="O87" s="2628"/>
      <c r="P87" s="2634" t="s">
        <v>110</v>
      </c>
      <c r="Q87" s="2635"/>
      <c r="R87" s="2632">
        <f>Q92/((66*3.1415/64)*(60/3.281))</f>
        <v>2.5724024906071702E-2</v>
      </c>
      <c r="S87" s="2632"/>
      <c r="T87" s="2633"/>
      <c r="U87" s="2634" t="s">
        <v>110</v>
      </c>
      <c r="V87" s="2635"/>
      <c r="W87" s="2632">
        <f t="shared" ref="W87" si="162">V92/((66*3.1415/64)*(60/3.281))</f>
        <v>5.14480498121434E-3</v>
      </c>
      <c r="X87" s="2632"/>
      <c r="Y87" s="2633"/>
      <c r="Z87" s="2634" t="s">
        <v>110</v>
      </c>
      <c r="AA87" s="2635"/>
      <c r="AB87" s="2632">
        <f t="shared" ref="AB87" si="163">AA92/((66*3.1415/64)*(60/3.281))</f>
        <v>1.687928143443025E-8</v>
      </c>
      <c r="AC87" s="2632"/>
      <c r="AD87" s="2633"/>
      <c r="AE87" s="2634" t="s">
        <v>110</v>
      </c>
      <c r="AF87" s="2635"/>
      <c r="AG87" s="2632">
        <f t="shared" ref="AG87" si="164">AF92/((66*3.1415/64)*(60/3.281))</f>
        <v>1.6710488620085947E-2</v>
      </c>
      <c r="AH87" s="2632"/>
      <c r="AI87" s="2633"/>
      <c r="AJ87" s="2634" t="s">
        <v>110</v>
      </c>
      <c r="AK87" s="2635"/>
      <c r="AL87" s="2632">
        <f t="shared" ref="AL87" si="165">AK92/((66*3.1415/64)*(60/3.281))</f>
        <v>1.6879281434430251E-10</v>
      </c>
      <c r="AM87" s="2632"/>
      <c r="AN87" s="2633"/>
      <c r="AO87" s="2634" t="s">
        <v>110</v>
      </c>
      <c r="AP87" s="2635"/>
      <c r="AQ87" s="2632">
        <f t="shared" ref="AQ87" si="166">AP92/((66*3.1415/64)*(60/3.281))</f>
        <v>1.687928143443025E-15</v>
      </c>
      <c r="AR87" s="2632"/>
      <c r="AS87" s="2633"/>
      <c r="AT87" s="2634" t="s">
        <v>110</v>
      </c>
      <c r="AU87" s="2635"/>
      <c r="AV87" s="2632">
        <f t="shared" ref="AV87" si="167">AU92/((66*3.1415/64)*(60/3.281))</f>
        <v>2.0575844068570475E-2</v>
      </c>
      <c r="AW87" s="2632"/>
      <c r="AX87" s="2633"/>
      <c r="AY87" s="2634" t="s">
        <v>110</v>
      </c>
      <c r="AZ87" s="2635"/>
      <c r="BA87" s="2632">
        <f t="shared" ref="BA87" si="168">AZ92/((66*3.1415/64)*(60/3.281))</f>
        <v>2.3151622415464531E-2</v>
      </c>
      <c r="BB87" s="2632"/>
      <c r="BC87" s="2633"/>
      <c r="BD87" s="2634" t="s">
        <v>110</v>
      </c>
      <c r="BE87" s="2635"/>
      <c r="BF87" s="2632">
        <f t="shared" ref="BF87" si="169">BE92/((66*3.1415/64)*(60/3.281))</f>
        <v>3.1726297384155097E-2</v>
      </c>
      <c r="BG87" s="2632"/>
      <c r="BH87" s="2633"/>
      <c r="BI87" s="2634" t="s">
        <v>110</v>
      </c>
      <c r="BJ87" s="2635"/>
      <c r="BK87" s="2632">
        <f t="shared" ref="BK87" si="170">BJ92/((66*3.1415/64)*(60/3.281))</f>
        <v>1.1147077459297737E-2</v>
      </c>
      <c r="BL87" s="2632"/>
      <c r="BM87" s="2633"/>
      <c r="BN87" s="2634" t="s">
        <v>110</v>
      </c>
      <c r="BO87" s="2635"/>
      <c r="BP87" s="2632">
        <f t="shared" ref="BP87" si="171">BO92/((66*3.1415/64)*(60/3.281))</f>
        <v>3.4298699874762265E-3</v>
      </c>
      <c r="BQ87" s="2632"/>
      <c r="BR87" s="2633"/>
    </row>
    <row r="88" spans="1:70" ht="15" customHeight="1" x14ac:dyDescent="0.25">
      <c r="A88" s="2360" t="s">
        <v>489</v>
      </c>
      <c r="B88" s="1632"/>
      <c r="C88" s="1632"/>
      <c r="D88" s="1632"/>
      <c r="E88" s="1633"/>
      <c r="F88" s="2360" t="s">
        <v>489</v>
      </c>
      <c r="G88" s="1632"/>
      <c r="H88" s="1632"/>
      <c r="I88" s="1632"/>
      <c r="J88" s="1633"/>
      <c r="K88" s="2360" t="s">
        <v>489</v>
      </c>
      <c r="L88" s="1632"/>
      <c r="M88" s="1632"/>
      <c r="N88" s="1632"/>
      <c r="O88" s="1633"/>
      <c r="P88" s="1791" t="s">
        <v>489</v>
      </c>
      <c r="Q88" s="1792"/>
      <c r="R88" s="1792"/>
      <c r="S88" s="1792"/>
      <c r="T88" s="1793"/>
      <c r="U88" s="1791" t="s">
        <v>489</v>
      </c>
      <c r="V88" s="1792"/>
      <c r="W88" s="1792"/>
      <c r="X88" s="1792"/>
      <c r="Y88" s="1793"/>
      <c r="Z88" s="1791" t="s">
        <v>489</v>
      </c>
      <c r="AA88" s="1792"/>
      <c r="AB88" s="1792"/>
      <c r="AC88" s="1792"/>
      <c r="AD88" s="1793"/>
      <c r="AE88" s="1791" t="s">
        <v>489</v>
      </c>
      <c r="AF88" s="1792"/>
      <c r="AG88" s="1792"/>
      <c r="AH88" s="1792"/>
      <c r="AI88" s="1793"/>
      <c r="AJ88" s="1791" t="s">
        <v>489</v>
      </c>
      <c r="AK88" s="1792"/>
      <c r="AL88" s="1792"/>
      <c r="AM88" s="1792"/>
      <c r="AN88" s="1793"/>
      <c r="AO88" s="1791" t="s">
        <v>489</v>
      </c>
      <c r="AP88" s="1792"/>
      <c r="AQ88" s="1792"/>
      <c r="AR88" s="1792"/>
      <c r="AS88" s="1793"/>
      <c r="AT88" s="1791" t="s">
        <v>489</v>
      </c>
      <c r="AU88" s="1792"/>
      <c r="AV88" s="1792"/>
      <c r="AW88" s="1792"/>
      <c r="AX88" s="1793"/>
      <c r="AY88" s="1791" t="s">
        <v>489</v>
      </c>
      <c r="AZ88" s="1792"/>
      <c r="BA88" s="1792"/>
      <c r="BB88" s="1792"/>
      <c r="BC88" s="1793"/>
      <c r="BD88" s="1791" t="s">
        <v>489</v>
      </c>
      <c r="BE88" s="1792"/>
      <c r="BF88" s="1792"/>
      <c r="BG88" s="1792"/>
      <c r="BH88" s="1793"/>
      <c r="BI88" s="1791" t="s">
        <v>489</v>
      </c>
      <c r="BJ88" s="1792"/>
      <c r="BK88" s="1792"/>
      <c r="BL88" s="1792"/>
      <c r="BM88" s="1793"/>
      <c r="BN88" s="1791" t="s">
        <v>489</v>
      </c>
      <c r="BO88" s="1792"/>
      <c r="BP88" s="1792"/>
      <c r="BQ88" s="1792"/>
      <c r="BR88" s="1793"/>
    </row>
    <row r="89" spans="1:70" ht="6" customHeight="1" x14ac:dyDescent="0.25">
      <c r="A89" s="2361"/>
      <c r="B89" s="1635"/>
      <c r="C89" s="1635"/>
      <c r="D89" s="1635"/>
      <c r="E89" s="1636"/>
      <c r="F89" s="2361"/>
      <c r="G89" s="1635"/>
      <c r="H89" s="1635"/>
      <c r="I89" s="1635"/>
      <c r="J89" s="1636"/>
      <c r="K89" s="2361"/>
      <c r="L89" s="1635"/>
      <c r="M89" s="1635"/>
      <c r="N89" s="1635"/>
      <c r="O89" s="1636"/>
      <c r="P89" s="2363"/>
      <c r="Q89" s="2364"/>
      <c r="R89" s="2364"/>
      <c r="S89" s="2364"/>
      <c r="T89" s="2365"/>
      <c r="U89" s="2363"/>
      <c r="V89" s="2364"/>
      <c r="W89" s="2364"/>
      <c r="X89" s="2364"/>
      <c r="Y89" s="2365"/>
      <c r="Z89" s="2363"/>
      <c r="AA89" s="2364"/>
      <c r="AB89" s="2364"/>
      <c r="AC89" s="2364"/>
      <c r="AD89" s="2365"/>
      <c r="AE89" s="2363"/>
      <c r="AF89" s="2364"/>
      <c r="AG89" s="2364"/>
      <c r="AH89" s="2364"/>
      <c r="AI89" s="2365"/>
      <c r="AJ89" s="2363"/>
      <c r="AK89" s="2364"/>
      <c r="AL89" s="2364"/>
      <c r="AM89" s="2364"/>
      <c r="AN89" s="2365"/>
      <c r="AO89" s="2363"/>
      <c r="AP89" s="2364"/>
      <c r="AQ89" s="2364"/>
      <c r="AR89" s="2364"/>
      <c r="AS89" s="2365"/>
      <c r="AT89" s="2363"/>
      <c r="AU89" s="2364"/>
      <c r="AV89" s="2364"/>
      <c r="AW89" s="2364"/>
      <c r="AX89" s="2365"/>
      <c r="AY89" s="2363"/>
      <c r="AZ89" s="2364"/>
      <c r="BA89" s="2364"/>
      <c r="BB89" s="2364"/>
      <c r="BC89" s="2365"/>
      <c r="BD89" s="2363"/>
      <c r="BE89" s="2364"/>
      <c r="BF89" s="2364"/>
      <c r="BG89" s="2364"/>
      <c r="BH89" s="2365"/>
      <c r="BI89" s="2363"/>
      <c r="BJ89" s="2364"/>
      <c r="BK89" s="2364"/>
      <c r="BL89" s="2364"/>
      <c r="BM89" s="2365"/>
      <c r="BN89" s="2363"/>
      <c r="BO89" s="2364"/>
      <c r="BP89" s="2364"/>
      <c r="BQ89" s="2364"/>
      <c r="BR89" s="2365"/>
    </row>
    <row r="90" spans="1:70" ht="15" hidden="1" customHeight="1" x14ac:dyDescent="0.25">
      <c r="A90" s="2362"/>
      <c r="B90" s="1638"/>
      <c r="C90" s="1638"/>
      <c r="D90" s="1638"/>
      <c r="E90" s="1639"/>
      <c r="F90" s="2362"/>
      <c r="G90" s="1638"/>
      <c r="H90" s="1638"/>
      <c r="I90" s="1638"/>
      <c r="J90" s="1639"/>
      <c r="K90" s="2362"/>
      <c r="L90" s="1638"/>
      <c r="M90" s="1638"/>
      <c r="N90" s="1638"/>
      <c r="O90" s="1639"/>
      <c r="P90" s="1794"/>
      <c r="Q90" s="1795"/>
      <c r="R90" s="1795"/>
      <c r="S90" s="1795"/>
      <c r="T90" s="1796"/>
      <c r="U90" s="1794"/>
      <c r="V90" s="1795"/>
      <c r="W90" s="1795"/>
      <c r="X90" s="1795"/>
      <c r="Y90" s="1796"/>
      <c r="Z90" s="1794"/>
      <c r="AA90" s="1795"/>
      <c r="AB90" s="1795"/>
      <c r="AC90" s="1795"/>
      <c r="AD90" s="1796"/>
      <c r="AE90" s="1794"/>
      <c r="AF90" s="1795"/>
      <c r="AG90" s="1795"/>
      <c r="AH90" s="1795"/>
      <c r="AI90" s="1796"/>
      <c r="AJ90" s="1794"/>
      <c r="AK90" s="1795"/>
      <c r="AL90" s="1795"/>
      <c r="AM90" s="1795"/>
      <c r="AN90" s="1796"/>
      <c r="AO90" s="1794"/>
      <c r="AP90" s="1795"/>
      <c r="AQ90" s="1795"/>
      <c r="AR90" s="1795"/>
      <c r="AS90" s="1796"/>
      <c r="AT90" s="1794"/>
      <c r="AU90" s="1795"/>
      <c r="AV90" s="1795"/>
      <c r="AW90" s="1795"/>
      <c r="AX90" s="1796"/>
      <c r="AY90" s="1794"/>
      <c r="AZ90" s="1795"/>
      <c r="BA90" s="1795"/>
      <c r="BB90" s="1795"/>
      <c r="BC90" s="1796"/>
      <c r="BD90" s="1794"/>
      <c r="BE90" s="1795"/>
      <c r="BF90" s="1795"/>
      <c r="BG90" s="1795"/>
      <c r="BH90" s="1796"/>
      <c r="BI90" s="1794"/>
      <c r="BJ90" s="1795"/>
      <c r="BK90" s="1795"/>
      <c r="BL90" s="1795"/>
      <c r="BM90" s="1796"/>
      <c r="BN90" s="1794"/>
      <c r="BO90" s="1795"/>
      <c r="BP90" s="1795"/>
      <c r="BQ90" s="1795"/>
      <c r="BR90" s="1796"/>
    </row>
    <row r="91" spans="1:70" s="22" customFormat="1" ht="111.75" customHeight="1" x14ac:dyDescent="1.35">
      <c r="A91" s="2625" t="s">
        <v>492</v>
      </c>
      <c r="B91" s="588">
        <v>201</v>
      </c>
      <c r="C91" s="589"/>
      <c r="D91" s="589"/>
      <c r="E91" s="590"/>
      <c r="F91" s="2625" t="s">
        <v>492</v>
      </c>
      <c r="G91" s="588">
        <v>202</v>
      </c>
      <c r="H91" s="589"/>
      <c r="I91" s="589"/>
      <c r="J91" s="590"/>
      <c r="K91" s="2625" t="s">
        <v>492</v>
      </c>
      <c r="L91" s="588">
        <v>203</v>
      </c>
      <c r="M91" s="589"/>
      <c r="N91" s="589"/>
      <c r="O91" s="590"/>
      <c r="P91" s="2377" t="s">
        <v>169</v>
      </c>
      <c r="Q91" s="588">
        <v>2</v>
      </c>
      <c r="R91" s="589"/>
      <c r="S91" s="589"/>
      <c r="T91" s="590"/>
      <c r="U91" s="2377" t="s">
        <v>169</v>
      </c>
      <c r="V91" s="588">
        <v>3</v>
      </c>
      <c r="W91" s="589"/>
      <c r="X91" s="589"/>
      <c r="Y91" s="590"/>
      <c r="Z91" s="2377" t="s">
        <v>169</v>
      </c>
      <c r="AA91" s="588">
        <v>4</v>
      </c>
      <c r="AB91" s="589"/>
      <c r="AC91" s="589"/>
      <c r="AD91" s="590"/>
      <c r="AE91" s="2377" t="s">
        <v>169</v>
      </c>
      <c r="AF91" s="588">
        <v>5</v>
      </c>
      <c r="AG91" s="589"/>
      <c r="AH91" s="589"/>
      <c r="AI91" s="590"/>
      <c r="AJ91" s="2377" t="s">
        <v>169</v>
      </c>
      <c r="AK91" s="588">
        <v>6</v>
      </c>
      <c r="AL91" s="589"/>
      <c r="AM91" s="589"/>
      <c r="AN91" s="590"/>
      <c r="AO91" s="2377" t="s">
        <v>169</v>
      </c>
      <c r="AP91" s="588">
        <v>7</v>
      </c>
      <c r="AQ91" s="589"/>
      <c r="AR91" s="589"/>
      <c r="AS91" s="590"/>
      <c r="AT91" s="2377" t="s">
        <v>169</v>
      </c>
      <c r="AU91" s="588">
        <v>8</v>
      </c>
      <c r="AV91" s="589"/>
      <c r="AW91" s="589"/>
      <c r="AX91" s="590"/>
      <c r="AY91" s="2377" t="s">
        <v>169</v>
      </c>
      <c r="AZ91" s="588">
        <v>32</v>
      </c>
      <c r="BA91" s="589"/>
      <c r="BB91" s="589"/>
      <c r="BC91" s="590"/>
      <c r="BD91" s="2377" t="s">
        <v>169</v>
      </c>
      <c r="BE91" s="588">
        <v>53</v>
      </c>
      <c r="BF91" s="589"/>
      <c r="BG91" s="589"/>
      <c r="BH91" s="590"/>
      <c r="BI91" s="2377" t="s">
        <v>169</v>
      </c>
      <c r="BJ91" s="588">
        <v>56</v>
      </c>
      <c r="BK91" s="589"/>
      <c r="BL91" s="589"/>
      <c r="BM91" s="590"/>
      <c r="BN91" s="2377" t="s">
        <v>169</v>
      </c>
      <c r="BO91" s="588">
        <v>59</v>
      </c>
      <c r="BP91" s="589"/>
      <c r="BQ91" s="589"/>
      <c r="BR91" s="590"/>
    </row>
    <row r="92" spans="1:70" ht="50.25" customHeight="1" thickBot="1" x14ac:dyDescent="0.3">
      <c r="A92" s="2626"/>
      <c r="B92" s="61">
        <v>2.4384000000000001</v>
      </c>
      <c r="C92" s="62" t="s">
        <v>113</v>
      </c>
      <c r="D92" s="63">
        <v>1</v>
      </c>
      <c r="E92" s="64" t="s">
        <v>114</v>
      </c>
      <c r="F92" s="2626"/>
      <c r="G92" s="61">
        <v>0.35560000000000003</v>
      </c>
      <c r="H92" s="62" t="s">
        <v>113</v>
      </c>
      <c r="I92" s="63"/>
      <c r="J92" s="64" t="s">
        <v>114</v>
      </c>
      <c r="K92" s="2626"/>
      <c r="L92" s="61">
        <v>9.9999999999999994E-12</v>
      </c>
      <c r="M92" s="62" t="s">
        <v>113</v>
      </c>
      <c r="N92" s="63"/>
      <c r="O92" s="64" t="s">
        <v>114</v>
      </c>
      <c r="P92" s="2378"/>
      <c r="Q92" s="384">
        <v>1.524</v>
      </c>
      <c r="R92" s="62" t="s">
        <v>113</v>
      </c>
      <c r="S92" s="385">
        <v>1</v>
      </c>
      <c r="T92" s="64" t="s">
        <v>114</v>
      </c>
      <c r="U92" s="2378"/>
      <c r="V92" s="384">
        <v>0.30480000000000002</v>
      </c>
      <c r="W92" s="62" t="s">
        <v>113</v>
      </c>
      <c r="X92" s="63"/>
      <c r="Y92" s="64" t="s">
        <v>114</v>
      </c>
      <c r="Z92" s="2378"/>
      <c r="AA92" s="384">
        <v>9.9999999999999995E-7</v>
      </c>
      <c r="AB92" s="62" t="s">
        <v>113</v>
      </c>
      <c r="AC92" s="63"/>
      <c r="AD92" s="64" t="s">
        <v>114</v>
      </c>
      <c r="AE92" s="2378"/>
      <c r="AF92" s="384">
        <v>0.99</v>
      </c>
      <c r="AG92" s="62" t="s">
        <v>113</v>
      </c>
      <c r="AH92" s="63">
        <v>1</v>
      </c>
      <c r="AI92" s="64" t="s">
        <v>114</v>
      </c>
      <c r="AJ92" s="2378"/>
      <c r="AK92" s="384">
        <v>1E-8</v>
      </c>
      <c r="AL92" s="62" t="s">
        <v>113</v>
      </c>
      <c r="AM92" s="63"/>
      <c r="AN92" s="64" t="s">
        <v>114</v>
      </c>
      <c r="AO92" s="2378"/>
      <c r="AP92" s="61">
        <v>1E-13</v>
      </c>
      <c r="AQ92" s="62" t="s">
        <v>113</v>
      </c>
      <c r="AR92" s="63"/>
      <c r="AS92" s="64" t="s">
        <v>114</v>
      </c>
      <c r="AT92" s="2378"/>
      <c r="AU92" s="61">
        <v>1.2190000000000001</v>
      </c>
      <c r="AV92" s="62" t="s">
        <v>113</v>
      </c>
      <c r="AW92" s="63">
        <v>1</v>
      </c>
      <c r="AX92" s="64" t="s">
        <v>114</v>
      </c>
      <c r="AY92" s="2378"/>
      <c r="AZ92" s="61">
        <v>1.3715999999999999</v>
      </c>
      <c r="BA92" s="62" t="s">
        <v>113</v>
      </c>
      <c r="BB92" s="63"/>
      <c r="BC92" s="64" t="s">
        <v>114</v>
      </c>
      <c r="BD92" s="2378"/>
      <c r="BE92" s="61">
        <v>1.8795999999999999</v>
      </c>
      <c r="BF92" s="62" t="s">
        <v>113</v>
      </c>
      <c r="BG92" s="63">
        <v>1</v>
      </c>
      <c r="BH92" s="64" t="s">
        <v>114</v>
      </c>
      <c r="BI92" s="2378"/>
      <c r="BJ92" s="61">
        <v>0.66039999999999999</v>
      </c>
      <c r="BK92" s="62" t="s">
        <v>113</v>
      </c>
      <c r="BL92" s="63"/>
      <c r="BM92" s="64" t="s">
        <v>114</v>
      </c>
      <c r="BN92" s="2378"/>
      <c r="BO92" s="61">
        <v>0.20319999999999999</v>
      </c>
      <c r="BP92" s="62" t="s">
        <v>113</v>
      </c>
      <c r="BQ92" s="63"/>
      <c r="BR92" s="64" t="s">
        <v>114</v>
      </c>
    </row>
    <row r="93" spans="1:70" ht="47.25" customHeight="1" thickTop="1" x14ac:dyDescent="0.25">
      <c r="A93" s="2634" t="s">
        <v>110</v>
      </c>
      <c r="B93" s="2635"/>
      <c r="C93" s="2632">
        <f t="shared" ref="C93" si="172">B98/((66*3.1415/64)*(60/3.281))</f>
        <v>1.687928143443025E-16</v>
      </c>
      <c r="D93" s="2632"/>
      <c r="E93" s="2633"/>
      <c r="F93" s="2634" t="s">
        <v>110</v>
      </c>
      <c r="G93" s="2635"/>
      <c r="H93" s="2632">
        <f t="shared" ref="H93" si="173">G98/((66*3.1415/64)*(60/3.281))</f>
        <v>1.6879281434430249E-13</v>
      </c>
      <c r="I93" s="2632"/>
      <c r="J93" s="2633"/>
      <c r="K93" s="2634" t="s">
        <v>110</v>
      </c>
      <c r="L93" s="2635"/>
      <c r="M93" s="2632">
        <f t="shared" ref="M93" si="174">L98/((66*3.1415/64)*(60/3.281))</f>
        <v>1.6879281434430251E-12</v>
      </c>
      <c r="N93" s="2632"/>
      <c r="O93" s="2633"/>
      <c r="P93" s="2634" t="s">
        <v>110</v>
      </c>
      <c r="Q93" s="2635"/>
      <c r="R93" s="2632">
        <f t="shared" ref="R93" si="175">Q98/((66*3.1415/64)*(60/3.281))</f>
        <v>1.687928143443025E-15</v>
      </c>
      <c r="S93" s="2632"/>
      <c r="T93" s="2633"/>
      <c r="U93" s="2634" t="s">
        <v>110</v>
      </c>
      <c r="V93" s="2635"/>
      <c r="W93" s="2632">
        <f t="shared" ref="W93" si="176">V98/((66*3.1415/64)*(60/3.281))</f>
        <v>5.5735387296488685E-3</v>
      </c>
      <c r="X93" s="2632"/>
      <c r="Y93" s="2633"/>
      <c r="Z93" s="2634" t="s">
        <v>110</v>
      </c>
      <c r="AA93" s="2635"/>
      <c r="AB93" s="2632">
        <f t="shared" ref="AB93" si="177">AA98/((66*3.1415/64)*(60/3.281))</f>
        <v>2.5656507780333977E-3</v>
      </c>
      <c r="AC93" s="2632"/>
      <c r="AD93" s="2633"/>
      <c r="AE93" s="2634" t="s">
        <v>110</v>
      </c>
      <c r="AF93" s="2635"/>
      <c r="AG93" s="2632">
        <f t="shared" ref="AG93" si="178">AF98/((66*3.1415/64)*(60/3.281))</f>
        <v>1.687928143443025E-17</v>
      </c>
      <c r="AH93" s="2632"/>
      <c r="AI93" s="2633"/>
      <c r="AJ93" s="2634" t="s">
        <v>110</v>
      </c>
      <c r="AK93" s="2635"/>
      <c r="AL93" s="2632">
        <f t="shared" ref="AL93" si="179">AK98/((66*3.1415/64)*(60/3.281))</f>
        <v>1.687928143443025E-14</v>
      </c>
      <c r="AM93" s="2632"/>
      <c r="AN93" s="2633"/>
      <c r="AO93" s="2634" t="s">
        <v>110</v>
      </c>
      <c r="AP93" s="2635"/>
      <c r="AQ93" s="2632">
        <f t="shared" ref="AQ93" si="180">AP98/((66*3.1415/64)*(60/3.281))</f>
        <v>1.687928143443025E-17</v>
      </c>
      <c r="AR93" s="2632"/>
      <c r="AS93" s="2633"/>
      <c r="AT93" s="2634" t="s">
        <v>110</v>
      </c>
      <c r="AU93" s="2635"/>
      <c r="AV93" s="2632">
        <f t="shared" ref="AV93" si="181">AU98/((66*3.1415/64)*(60/3.281))</f>
        <v>1.687928143443025E-15</v>
      </c>
      <c r="AW93" s="2632"/>
      <c r="AX93" s="2633"/>
      <c r="AY93" s="2634" t="s">
        <v>110</v>
      </c>
      <c r="AZ93" s="2635"/>
      <c r="BA93" s="2632">
        <f t="shared" ref="BA93" si="182">AZ98/((66*3.1415/64)*(60/3.281))</f>
        <v>4.3302108591887364E-2</v>
      </c>
      <c r="BB93" s="2632"/>
      <c r="BC93" s="2633"/>
      <c r="BD93" s="2634" t="s">
        <v>110</v>
      </c>
      <c r="BE93" s="2635"/>
      <c r="BF93" s="2632">
        <f t="shared" ref="BF93" si="183">BE98/((66*3.1415/64)*(60/3.281))</f>
        <v>1.7149349937381132E-2</v>
      </c>
      <c r="BG93" s="2632"/>
      <c r="BH93" s="2633"/>
      <c r="BI93" s="2634" t="s">
        <v>110</v>
      </c>
      <c r="BJ93" s="2635"/>
      <c r="BK93" s="2632">
        <f t="shared" ref="BK93" si="184">BJ98/((66*3.1415/64)*(60/3.281))</f>
        <v>2.7867693648244343E-2</v>
      </c>
      <c r="BL93" s="2632"/>
      <c r="BM93" s="2633"/>
      <c r="BN93" s="2634" t="s">
        <v>110</v>
      </c>
      <c r="BO93" s="2635"/>
      <c r="BP93" s="2632">
        <f t="shared" ref="BP93" si="185">BO98/((66*3.1415/64)*(60/3.281))</f>
        <v>1.8864284931119246E-2</v>
      </c>
      <c r="BQ93" s="2632"/>
      <c r="BR93" s="2633"/>
    </row>
    <row r="94" spans="1:70" ht="20.25" customHeight="1" x14ac:dyDescent="0.25">
      <c r="A94" s="1791" t="s">
        <v>489</v>
      </c>
      <c r="B94" s="1792"/>
      <c r="C94" s="1792"/>
      <c r="D94" s="1792"/>
      <c r="E94" s="1793"/>
      <c r="F94" s="1791" t="s">
        <v>489</v>
      </c>
      <c r="G94" s="1792"/>
      <c r="H94" s="1792"/>
      <c r="I94" s="1792"/>
      <c r="J94" s="1793"/>
      <c r="K94" s="1791" t="s">
        <v>489</v>
      </c>
      <c r="L94" s="1792"/>
      <c r="M94" s="1792"/>
      <c r="N94" s="1792"/>
      <c r="O94" s="1793"/>
      <c r="P94" s="1791" t="s">
        <v>489</v>
      </c>
      <c r="Q94" s="1792"/>
      <c r="R94" s="1792"/>
      <c r="S94" s="1792"/>
      <c r="T94" s="1793"/>
      <c r="U94" s="1791" t="s">
        <v>489</v>
      </c>
      <c r="V94" s="1792"/>
      <c r="W94" s="1792"/>
      <c r="X94" s="1792"/>
      <c r="Y94" s="1793"/>
      <c r="Z94" s="1791" t="s">
        <v>489</v>
      </c>
      <c r="AA94" s="1792"/>
      <c r="AB94" s="1792"/>
      <c r="AC94" s="1792"/>
      <c r="AD94" s="1793"/>
      <c r="AE94" s="1791" t="s">
        <v>489</v>
      </c>
      <c r="AF94" s="1792"/>
      <c r="AG94" s="1792"/>
      <c r="AH94" s="1792"/>
      <c r="AI94" s="1793"/>
      <c r="AJ94" s="1791" t="s">
        <v>489</v>
      </c>
      <c r="AK94" s="1792"/>
      <c r="AL94" s="1792"/>
      <c r="AM94" s="1792"/>
      <c r="AN94" s="1793"/>
      <c r="AO94" s="1791" t="s">
        <v>489</v>
      </c>
      <c r="AP94" s="1792"/>
      <c r="AQ94" s="1792"/>
      <c r="AR94" s="1792"/>
      <c r="AS94" s="1793"/>
      <c r="AT94" s="1791" t="s">
        <v>489</v>
      </c>
      <c r="AU94" s="1792"/>
      <c r="AV94" s="1792"/>
      <c r="AW94" s="1792"/>
      <c r="AX94" s="1793"/>
      <c r="AY94" s="2360" t="s">
        <v>489</v>
      </c>
      <c r="AZ94" s="1632"/>
      <c r="BA94" s="1632"/>
      <c r="BB94" s="1632"/>
      <c r="BC94" s="1633"/>
      <c r="BD94" s="2360" t="s">
        <v>489</v>
      </c>
      <c r="BE94" s="1632"/>
      <c r="BF94" s="1632"/>
      <c r="BG94" s="1632"/>
      <c r="BH94" s="1633"/>
      <c r="BI94" s="2360" t="s">
        <v>489</v>
      </c>
      <c r="BJ94" s="1632"/>
      <c r="BK94" s="1632"/>
      <c r="BL94" s="1632"/>
      <c r="BM94" s="1633"/>
      <c r="BN94" s="2360" t="s">
        <v>489</v>
      </c>
      <c r="BO94" s="1632"/>
      <c r="BP94" s="1632"/>
      <c r="BQ94" s="1632"/>
      <c r="BR94" s="1633"/>
    </row>
    <row r="95" spans="1:70" ht="3.75" customHeight="1" x14ac:dyDescent="0.25">
      <c r="A95" s="2363"/>
      <c r="B95" s="2364"/>
      <c r="C95" s="2364"/>
      <c r="D95" s="2364"/>
      <c r="E95" s="2365"/>
      <c r="F95" s="2363"/>
      <c r="G95" s="2364"/>
      <c r="H95" s="2364"/>
      <c r="I95" s="2364"/>
      <c r="J95" s="2365"/>
      <c r="K95" s="2363"/>
      <c r="L95" s="2364"/>
      <c r="M95" s="2364"/>
      <c r="N95" s="2364"/>
      <c r="O95" s="2365"/>
      <c r="P95" s="2363"/>
      <c r="Q95" s="2364"/>
      <c r="R95" s="2364"/>
      <c r="S95" s="2364"/>
      <c r="T95" s="2365"/>
      <c r="U95" s="2363"/>
      <c r="V95" s="2364"/>
      <c r="W95" s="2364"/>
      <c r="X95" s="2364"/>
      <c r="Y95" s="2365"/>
      <c r="Z95" s="2363"/>
      <c r="AA95" s="2364"/>
      <c r="AB95" s="2364"/>
      <c r="AC95" s="2364"/>
      <c r="AD95" s="2365"/>
      <c r="AE95" s="2363"/>
      <c r="AF95" s="2364"/>
      <c r="AG95" s="2364"/>
      <c r="AH95" s="2364"/>
      <c r="AI95" s="2365"/>
      <c r="AJ95" s="2363"/>
      <c r="AK95" s="2364"/>
      <c r="AL95" s="2364"/>
      <c r="AM95" s="2364"/>
      <c r="AN95" s="2365"/>
      <c r="AO95" s="2363"/>
      <c r="AP95" s="2364"/>
      <c r="AQ95" s="2364"/>
      <c r="AR95" s="2364"/>
      <c r="AS95" s="2365"/>
      <c r="AT95" s="2363"/>
      <c r="AU95" s="2364"/>
      <c r="AV95" s="2364"/>
      <c r="AW95" s="2364"/>
      <c r="AX95" s="2365"/>
      <c r="AY95" s="2361"/>
      <c r="AZ95" s="1635"/>
      <c r="BA95" s="1635"/>
      <c r="BB95" s="1635"/>
      <c r="BC95" s="1636"/>
      <c r="BD95" s="2361"/>
      <c r="BE95" s="1635"/>
      <c r="BF95" s="1635"/>
      <c r="BG95" s="1635"/>
      <c r="BH95" s="1636"/>
      <c r="BI95" s="2361"/>
      <c r="BJ95" s="1635"/>
      <c r="BK95" s="1635"/>
      <c r="BL95" s="1635"/>
      <c r="BM95" s="1636"/>
      <c r="BN95" s="2361"/>
      <c r="BO95" s="1635"/>
      <c r="BP95" s="1635"/>
      <c r="BQ95" s="1635"/>
      <c r="BR95" s="1636"/>
    </row>
    <row r="96" spans="1:70" ht="15" hidden="1" customHeight="1" x14ac:dyDescent="0.25">
      <c r="A96" s="1794"/>
      <c r="B96" s="1795"/>
      <c r="C96" s="1795"/>
      <c r="D96" s="1795"/>
      <c r="E96" s="1796"/>
      <c r="F96" s="1794"/>
      <c r="G96" s="1795"/>
      <c r="H96" s="1795"/>
      <c r="I96" s="1795"/>
      <c r="J96" s="1796"/>
      <c r="K96" s="1794"/>
      <c r="L96" s="1795"/>
      <c r="M96" s="1795"/>
      <c r="N96" s="1795"/>
      <c r="O96" s="1796"/>
      <c r="P96" s="1794"/>
      <c r="Q96" s="1795"/>
      <c r="R96" s="1795"/>
      <c r="S96" s="1795"/>
      <c r="T96" s="1796"/>
      <c r="U96" s="1794"/>
      <c r="V96" s="1795"/>
      <c r="W96" s="1795"/>
      <c r="X96" s="1795"/>
      <c r="Y96" s="1796"/>
      <c r="Z96" s="1794"/>
      <c r="AA96" s="1795"/>
      <c r="AB96" s="1795"/>
      <c r="AC96" s="1795"/>
      <c r="AD96" s="1796"/>
      <c r="AE96" s="1794"/>
      <c r="AF96" s="1795"/>
      <c r="AG96" s="1795"/>
      <c r="AH96" s="1795"/>
      <c r="AI96" s="1796"/>
      <c r="AJ96" s="1794"/>
      <c r="AK96" s="1795"/>
      <c r="AL96" s="1795"/>
      <c r="AM96" s="1795"/>
      <c r="AN96" s="1796"/>
      <c r="AO96" s="1794"/>
      <c r="AP96" s="1795"/>
      <c r="AQ96" s="1795"/>
      <c r="AR96" s="1795"/>
      <c r="AS96" s="1796"/>
      <c r="AT96" s="1794"/>
      <c r="AU96" s="1795"/>
      <c r="AV96" s="1795"/>
      <c r="AW96" s="1795"/>
      <c r="AX96" s="1796"/>
      <c r="AY96" s="2362"/>
      <c r="AZ96" s="1638"/>
      <c r="BA96" s="1638"/>
      <c r="BB96" s="1638"/>
      <c r="BC96" s="1639"/>
      <c r="BD96" s="2362"/>
      <c r="BE96" s="1638"/>
      <c r="BF96" s="1638"/>
      <c r="BG96" s="1638"/>
      <c r="BH96" s="1639"/>
      <c r="BI96" s="2362"/>
      <c r="BJ96" s="1638"/>
      <c r="BK96" s="1638"/>
      <c r="BL96" s="1638"/>
      <c r="BM96" s="1639"/>
      <c r="BN96" s="2362"/>
      <c r="BO96" s="1638"/>
      <c r="BP96" s="1638"/>
      <c r="BQ96" s="1638"/>
      <c r="BR96" s="1639"/>
    </row>
    <row r="97" spans="1:70" s="22" customFormat="1" ht="111.75" customHeight="1" x14ac:dyDescent="1.35">
      <c r="A97" s="2377" t="s">
        <v>169</v>
      </c>
      <c r="B97" s="588">
        <v>60</v>
      </c>
      <c r="C97" s="589"/>
      <c r="D97" s="589"/>
      <c r="E97" s="590"/>
      <c r="F97" s="2377" t="s">
        <v>169</v>
      </c>
      <c r="G97" s="588">
        <v>61</v>
      </c>
      <c r="H97" s="589"/>
      <c r="I97" s="589"/>
      <c r="J97" s="590"/>
      <c r="K97" s="2377" t="s">
        <v>169</v>
      </c>
      <c r="L97" s="588">
        <v>62</v>
      </c>
      <c r="M97" s="589"/>
      <c r="N97" s="589"/>
      <c r="O97" s="590"/>
      <c r="P97" s="2377" t="s">
        <v>169</v>
      </c>
      <c r="Q97" s="588">
        <v>79</v>
      </c>
      <c r="R97" s="589"/>
      <c r="S97" s="589"/>
      <c r="T97" s="590"/>
      <c r="U97" s="2377" t="s">
        <v>169</v>
      </c>
      <c r="V97" s="588">
        <v>80</v>
      </c>
      <c r="W97" s="589"/>
      <c r="X97" s="589"/>
      <c r="Y97" s="590"/>
      <c r="Z97" s="2377" t="s">
        <v>169</v>
      </c>
      <c r="AA97" s="588">
        <v>83</v>
      </c>
      <c r="AB97" s="589"/>
      <c r="AC97" s="589"/>
      <c r="AD97" s="590"/>
      <c r="AE97" s="2377" t="s">
        <v>169</v>
      </c>
      <c r="AF97" s="588">
        <v>84</v>
      </c>
      <c r="AG97" s="589"/>
      <c r="AH97" s="589"/>
      <c r="AI97" s="590"/>
      <c r="AJ97" s="2377" t="s">
        <v>169</v>
      </c>
      <c r="AK97" s="588">
        <v>85</v>
      </c>
      <c r="AL97" s="589"/>
      <c r="AM97" s="589"/>
      <c r="AN97" s="590"/>
      <c r="AO97" s="2377" t="s">
        <v>169</v>
      </c>
      <c r="AP97" s="588">
        <v>86</v>
      </c>
      <c r="AQ97" s="589"/>
      <c r="AR97" s="589"/>
      <c r="AS97" s="590"/>
      <c r="AT97" s="2377" t="s">
        <v>169</v>
      </c>
      <c r="AU97" s="588">
        <v>87</v>
      </c>
      <c r="AV97" s="589"/>
      <c r="AW97" s="589"/>
      <c r="AX97" s="590"/>
      <c r="AY97" s="2377" t="s">
        <v>169</v>
      </c>
      <c r="AZ97" s="588">
        <v>184</v>
      </c>
      <c r="BA97" s="589"/>
      <c r="BB97" s="589"/>
      <c r="BC97" s="590"/>
      <c r="BD97" s="2377" t="s">
        <v>169</v>
      </c>
      <c r="BE97" s="588">
        <v>188</v>
      </c>
      <c r="BF97" s="589"/>
      <c r="BG97" s="589"/>
      <c r="BH97" s="590"/>
      <c r="BI97" s="2377" t="s">
        <v>169</v>
      </c>
      <c r="BJ97" s="588">
        <v>192</v>
      </c>
      <c r="BK97" s="589"/>
      <c r="BL97" s="589"/>
      <c r="BM97" s="590"/>
      <c r="BN97" s="2377" t="s">
        <v>169</v>
      </c>
      <c r="BO97" s="2629">
        <v>204</v>
      </c>
      <c r="BP97" s="2630"/>
      <c r="BQ97" s="2630"/>
      <c r="BR97" s="2631"/>
    </row>
    <row r="98" spans="1:70" ht="50.25" customHeight="1" thickBot="1" x14ac:dyDescent="0.3">
      <c r="A98" s="2378"/>
      <c r="B98" s="61">
        <v>1E-14</v>
      </c>
      <c r="C98" s="62" t="s">
        <v>113</v>
      </c>
      <c r="D98" s="63"/>
      <c r="E98" s="64" t="s">
        <v>114</v>
      </c>
      <c r="F98" s="2378"/>
      <c r="G98" s="61">
        <v>9.9999999999999994E-12</v>
      </c>
      <c r="H98" s="62" t="s">
        <v>113</v>
      </c>
      <c r="I98" s="63">
        <v>1</v>
      </c>
      <c r="J98" s="64" t="s">
        <v>114</v>
      </c>
      <c r="K98" s="2378"/>
      <c r="L98" s="61">
        <v>1E-10</v>
      </c>
      <c r="M98" s="62" t="s">
        <v>113</v>
      </c>
      <c r="N98" s="63"/>
      <c r="O98" s="64" t="s">
        <v>114</v>
      </c>
      <c r="P98" s="2378"/>
      <c r="Q98" s="61">
        <v>1E-13</v>
      </c>
      <c r="R98" s="62" t="s">
        <v>113</v>
      </c>
      <c r="S98" s="63"/>
      <c r="T98" s="64" t="s">
        <v>114</v>
      </c>
      <c r="U98" s="2378"/>
      <c r="V98" s="61">
        <v>0.33019999999999999</v>
      </c>
      <c r="W98" s="62" t="s">
        <v>113</v>
      </c>
      <c r="X98" s="63">
        <v>1</v>
      </c>
      <c r="Y98" s="64" t="s">
        <v>114</v>
      </c>
      <c r="Z98" s="2378"/>
      <c r="AA98" s="61">
        <v>0.152</v>
      </c>
      <c r="AB98" s="62" t="s">
        <v>113</v>
      </c>
      <c r="AC98" s="63"/>
      <c r="AD98" s="64" t="s">
        <v>114</v>
      </c>
      <c r="AE98" s="2378"/>
      <c r="AF98" s="61">
        <v>1.0000000000000001E-15</v>
      </c>
      <c r="AG98" s="62" t="s">
        <v>113</v>
      </c>
      <c r="AH98" s="63">
        <v>1</v>
      </c>
      <c r="AI98" s="64" t="s">
        <v>114</v>
      </c>
      <c r="AJ98" s="2378"/>
      <c r="AK98" s="61">
        <v>9.9999999999999998E-13</v>
      </c>
      <c r="AL98" s="62" t="s">
        <v>113</v>
      </c>
      <c r="AM98" s="63"/>
      <c r="AN98" s="64" t="s">
        <v>114</v>
      </c>
      <c r="AO98" s="2378"/>
      <c r="AP98" s="61">
        <v>1.0000000000000001E-15</v>
      </c>
      <c r="AQ98" s="62" t="s">
        <v>113</v>
      </c>
      <c r="AR98" s="63"/>
      <c r="AS98" s="64" t="s">
        <v>114</v>
      </c>
      <c r="AT98" s="2378"/>
      <c r="AU98" s="61">
        <v>1E-13</v>
      </c>
      <c r="AV98" s="62" t="s">
        <v>113</v>
      </c>
      <c r="AW98" s="63"/>
      <c r="AX98" s="64" t="s">
        <v>114</v>
      </c>
      <c r="AY98" s="2378"/>
      <c r="AZ98" s="61">
        <v>2.5653999999999999</v>
      </c>
      <c r="BA98" s="62" t="s">
        <v>113</v>
      </c>
      <c r="BB98" s="63">
        <v>1</v>
      </c>
      <c r="BC98" s="64" t="s">
        <v>114</v>
      </c>
      <c r="BD98" s="2378"/>
      <c r="BE98" s="61">
        <v>1.016</v>
      </c>
      <c r="BF98" s="62" t="s">
        <v>113</v>
      </c>
      <c r="BG98" s="63">
        <v>1</v>
      </c>
      <c r="BH98" s="64" t="s">
        <v>114</v>
      </c>
      <c r="BI98" s="2378"/>
      <c r="BJ98" s="61">
        <v>1.651</v>
      </c>
      <c r="BK98" s="62" t="s">
        <v>113</v>
      </c>
      <c r="BL98" s="63">
        <v>1</v>
      </c>
      <c r="BM98" s="64" t="s">
        <v>114</v>
      </c>
      <c r="BN98" s="2378"/>
      <c r="BO98" s="61">
        <v>1.1175999999999999</v>
      </c>
      <c r="BP98" s="62" t="s">
        <v>113</v>
      </c>
      <c r="BQ98" s="63"/>
      <c r="BR98" s="64" t="s">
        <v>114</v>
      </c>
    </row>
    <row r="99" spans="1:70" ht="53.25" customHeight="1" thickTop="1" x14ac:dyDescent="0.25">
      <c r="A99" s="2634" t="s">
        <v>110</v>
      </c>
      <c r="B99" s="2635"/>
      <c r="C99" s="2632">
        <f t="shared" ref="C99" si="186">B104/((66*3.1415/64)*(60/3.281))</f>
        <v>1.6879281434430251E-12</v>
      </c>
      <c r="D99" s="2632"/>
      <c r="E99" s="2633"/>
      <c r="F99" s="2634" t="s">
        <v>110</v>
      </c>
      <c r="G99" s="2635"/>
      <c r="H99" s="2632">
        <f t="shared" ref="H99" si="187">G104/((66*3.1415/64)*(60/3.281))</f>
        <v>2.1436687421726415E-3</v>
      </c>
      <c r="I99" s="2632"/>
      <c r="J99" s="2633"/>
      <c r="K99" s="2636" t="s">
        <v>110</v>
      </c>
      <c r="L99" s="2637"/>
      <c r="M99" s="2638">
        <f>L104/((66*3.1415/64)*(65/3.281))</f>
        <v>5.9363134398627004E-3</v>
      </c>
      <c r="N99" s="2638"/>
      <c r="O99" s="2639"/>
      <c r="P99" s="2636" t="s">
        <v>110</v>
      </c>
      <c r="Q99" s="2637"/>
      <c r="R99" s="2638">
        <f>Q104/((66*3.1415/64)*(65/3.281))</f>
        <v>1.5580875170243308E-10</v>
      </c>
      <c r="S99" s="2638"/>
      <c r="T99" s="2639"/>
      <c r="U99" s="2644" t="s">
        <v>110</v>
      </c>
      <c r="V99" s="2645"/>
      <c r="W99" s="2646">
        <f>V104/((66*3.1415/64)*(70/3.281))</f>
        <v>3.6748607008673857E-3</v>
      </c>
      <c r="X99" s="2646"/>
      <c r="Y99" s="2647"/>
      <c r="Z99" s="2644" t="s">
        <v>110</v>
      </c>
      <c r="AA99" s="2645"/>
      <c r="AB99" s="2646">
        <f>AA104/((66*3.1415/64)*(70/3.281))</f>
        <v>4.8872753730433184E-2</v>
      </c>
      <c r="AC99" s="2646"/>
      <c r="AD99" s="2647"/>
      <c r="AE99" s="2098" t="s">
        <v>110</v>
      </c>
      <c r="AF99" s="2099"/>
      <c r="AG99" s="2100">
        <f t="shared" ref="AG99" si="188">AF104/((66*3.1415/64)*(50/3.281))</f>
        <v>2.02551377213163E-11</v>
      </c>
      <c r="AH99" s="2100"/>
      <c r="AI99" s="2101"/>
      <c r="AJ99" s="2098" t="s">
        <v>110</v>
      </c>
      <c r="AK99" s="2099"/>
      <c r="AL99" s="2100">
        <f t="shared" ref="AL99" si="189">AK104/((66*3.1415/64)*(50/3.281))</f>
        <v>1.1302366848494496E-2</v>
      </c>
      <c r="AM99" s="2100"/>
      <c r="AN99" s="2101"/>
      <c r="AO99" s="2098" t="s">
        <v>110</v>
      </c>
      <c r="AP99" s="2099"/>
      <c r="AQ99" s="2100">
        <f t="shared" ref="AQ99" si="190">AP104/((66*3.1415/64)*(50/3.281))</f>
        <v>2.02551377213163E-9</v>
      </c>
      <c r="AR99" s="2100"/>
      <c r="AS99" s="2101"/>
      <c r="AT99" s="2098" t="s">
        <v>110</v>
      </c>
      <c r="AU99" s="2099"/>
      <c r="AV99" s="2100">
        <f t="shared" ref="AV99" si="191">AU104/((66*3.1415/64)*(50/3.281))</f>
        <v>2.3666102913585965E-2</v>
      </c>
      <c r="AW99" s="2100"/>
      <c r="AX99" s="2101"/>
      <c r="AY99" s="2098" t="s">
        <v>110</v>
      </c>
      <c r="AZ99" s="2099"/>
      <c r="BA99" s="2100">
        <f t="shared" ref="BA99" si="192">AZ104/((66*3.1415/64)*(50/3.281))</f>
        <v>5.14480498121434E-3</v>
      </c>
      <c r="BB99" s="2100"/>
      <c r="BC99" s="2101"/>
      <c r="BD99" s="2098" t="s">
        <v>110</v>
      </c>
      <c r="BE99" s="2099"/>
      <c r="BF99" s="2100">
        <f t="shared" ref="BF99" si="193">BE104/((66*3.1415/64)*(50/3.281))</f>
        <v>2.0255137721316301E-15</v>
      </c>
      <c r="BG99" s="2100"/>
      <c r="BH99" s="2101"/>
      <c r="BI99" s="2098" t="s">
        <v>110</v>
      </c>
      <c r="BJ99" s="2099"/>
      <c r="BK99" s="2100">
        <f t="shared" ref="BK99" si="194">BJ104/((66*3.1415/64)*(50/3.281))</f>
        <v>2.02551377213163E-17</v>
      </c>
      <c r="BL99" s="2100"/>
      <c r="BM99" s="2101"/>
    </row>
    <row r="100" spans="1:70" ht="15" customHeight="1" x14ac:dyDescent="0.25">
      <c r="A100" s="2360" t="s">
        <v>489</v>
      </c>
      <c r="B100" s="1632"/>
      <c r="C100" s="1632"/>
      <c r="D100" s="1632"/>
      <c r="E100" s="1633"/>
      <c r="F100" s="2360" t="s">
        <v>489</v>
      </c>
      <c r="G100" s="1632"/>
      <c r="H100" s="1632"/>
      <c r="I100" s="1632"/>
      <c r="J100" s="1633"/>
      <c r="K100" s="1791" t="s">
        <v>489</v>
      </c>
      <c r="L100" s="1792"/>
      <c r="M100" s="1792"/>
      <c r="N100" s="1792"/>
      <c r="O100" s="1793"/>
      <c r="P100" s="2360" t="s">
        <v>489</v>
      </c>
      <c r="Q100" s="1632"/>
      <c r="R100" s="1632"/>
      <c r="S100" s="1632"/>
      <c r="T100" s="1633"/>
      <c r="U100" s="1791" t="s">
        <v>489</v>
      </c>
      <c r="V100" s="1792"/>
      <c r="W100" s="1792"/>
      <c r="X100" s="1792"/>
      <c r="Y100" s="1793"/>
      <c r="Z100" s="1791" t="s">
        <v>489</v>
      </c>
      <c r="AA100" s="1792"/>
      <c r="AB100" s="1792"/>
      <c r="AC100" s="1792"/>
      <c r="AD100" s="1793"/>
      <c r="AE100" s="2360" t="s">
        <v>489</v>
      </c>
      <c r="AF100" s="1632"/>
      <c r="AG100" s="1632"/>
      <c r="AH100" s="1632"/>
      <c r="AI100" s="1633"/>
      <c r="AJ100" s="2360" t="s">
        <v>489</v>
      </c>
      <c r="AK100" s="1632"/>
      <c r="AL100" s="1632"/>
      <c r="AM100" s="1632"/>
      <c r="AN100" s="1633"/>
      <c r="AO100" s="2360" t="s">
        <v>489</v>
      </c>
      <c r="AP100" s="1632"/>
      <c r="AQ100" s="1632"/>
      <c r="AR100" s="1632"/>
      <c r="AS100" s="1633"/>
      <c r="AT100" s="2360" t="s">
        <v>489</v>
      </c>
      <c r="AU100" s="1632"/>
      <c r="AV100" s="1632"/>
      <c r="AW100" s="1632"/>
      <c r="AX100" s="1633"/>
      <c r="AY100" s="2360" t="s">
        <v>489</v>
      </c>
      <c r="AZ100" s="1632"/>
      <c r="BA100" s="1632"/>
      <c r="BB100" s="1632"/>
      <c r="BC100" s="1633"/>
      <c r="BD100" s="2360" t="s">
        <v>489</v>
      </c>
      <c r="BE100" s="1632"/>
      <c r="BF100" s="1632"/>
      <c r="BG100" s="1632"/>
      <c r="BH100" s="1633"/>
      <c r="BI100" s="2360" t="s">
        <v>489</v>
      </c>
      <c r="BJ100" s="1632"/>
      <c r="BK100" s="1632"/>
      <c r="BL100" s="1632"/>
      <c r="BM100" s="1633"/>
    </row>
    <row r="101" spans="1:70" ht="6" customHeight="1" x14ac:dyDescent="0.25">
      <c r="A101" s="2361"/>
      <c r="B101" s="1635"/>
      <c r="C101" s="1635"/>
      <c r="D101" s="1635"/>
      <c r="E101" s="1636"/>
      <c r="F101" s="2361"/>
      <c r="G101" s="1635"/>
      <c r="H101" s="1635"/>
      <c r="I101" s="1635"/>
      <c r="J101" s="1636"/>
      <c r="K101" s="2363"/>
      <c r="L101" s="2364"/>
      <c r="M101" s="2364"/>
      <c r="N101" s="2364"/>
      <c r="O101" s="2365"/>
      <c r="P101" s="2361"/>
      <c r="Q101" s="1635"/>
      <c r="R101" s="1635"/>
      <c r="S101" s="1635"/>
      <c r="T101" s="1636"/>
      <c r="U101" s="2363"/>
      <c r="V101" s="2364"/>
      <c r="W101" s="2364"/>
      <c r="X101" s="2364"/>
      <c r="Y101" s="2365"/>
      <c r="Z101" s="2363"/>
      <c r="AA101" s="2364"/>
      <c r="AB101" s="2364"/>
      <c r="AC101" s="2364"/>
      <c r="AD101" s="2365"/>
      <c r="AE101" s="2361"/>
      <c r="AF101" s="1635"/>
      <c r="AG101" s="1635"/>
      <c r="AH101" s="1635"/>
      <c r="AI101" s="1636"/>
      <c r="AJ101" s="2361"/>
      <c r="AK101" s="1635"/>
      <c r="AL101" s="1635"/>
      <c r="AM101" s="1635"/>
      <c r="AN101" s="1636"/>
      <c r="AO101" s="2361"/>
      <c r="AP101" s="1635"/>
      <c r="AQ101" s="1635"/>
      <c r="AR101" s="1635"/>
      <c r="AS101" s="1636"/>
      <c r="AT101" s="2361"/>
      <c r="AU101" s="1635"/>
      <c r="AV101" s="1635"/>
      <c r="AW101" s="1635"/>
      <c r="AX101" s="1636"/>
      <c r="AY101" s="2361"/>
      <c r="AZ101" s="1635"/>
      <c r="BA101" s="1635"/>
      <c r="BB101" s="1635"/>
      <c r="BC101" s="1636"/>
      <c r="BD101" s="2361"/>
      <c r="BE101" s="1635"/>
      <c r="BF101" s="1635"/>
      <c r="BG101" s="1635"/>
      <c r="BH101" s="1636"/>
      <c r="BI101" s="2361"/>
      <c r="BJ101" s="1635"/>
      <c r="BK101" s="1635"/>
      <c r="BL101" s="1635"/>
      <c r="BM101" s="1636"/>
    </row>
    <row r="102" spans="1:70" ht="15" hidden="1" customHeight="1" x14ac:dyDescent="0.25">
      <c r="A102" s="2362"/>
      <c r="B102" s="1638"/>
      <c r="C102" s="1638"/>
      <c r="D102" s="1638"/>
      <c r="E102" s="1639"/>
      <c r="F102" s="2362"/>
      <c r="G102" s="1638"/>
      <c r="H102" s="1638"/>
      <c r="I102" s="1638"/>
      <c r="J102" s="1639"/>
      <c r="K102" s="1794"/>
      <c r="L102" s="1795"/>
      <c r="M102" s="1795"/>
      <c r="N102" s="1795"/>
      <c r="O102" s="1796"/>
      <c r="P102" s="2362"/>
      <c r="Q102" s="1638"/>
      <c r="R102" s="1638"/>
      <c r="S102" s="1638"/>
      <c r="T102" s="1639"/>
      <c r="U102" s="1794"/>
      <c r="V102" s="1795"/>
      <c r="W102" s="1795"/>
      <c r="X102" s="1795"/>
      <c r="Y102" s="1796"/>
      <c r="Z102" s="1794"/>
      <c r="AA102" s="1795"/>
      <c r="AB102" s="1795"/>
      <c r="AC102" s="1795"/>
      <c r="AD102" s="1796"/>
      <c r="AE102" s="2362"/>
      <c r="AF102" s="1638"/>
      <c r="AG102" s="1638"/>
      <c r="AH102" s="1638"/>
      <c r="AI102" s="1639"/>
      <c r="AJ102" s="2362"/>
      <c r="AK102" s="1638"/>
      <c r="AL102" s="1638"/>
      <c r="AM102" s="1638"/>
      <c r="AN102" s="1639"/>
      <c r="AO102" s="2362"/>
      <c r="AP102" s="1638"/>
      <c r="AQ102" s="1638"/>
      <c r="AR102" s="1638"/>
      <c r="AS102" s="1639"/>
      <c r="AT102" s="2362"/>
      <c r="AU102" s="1638"/>
      <c r="AV102" s="1638"/>
      <c r="AW102" s="1638"/>
      <c r="AX102" s="1639"/>
      <c r="AY102" s="2362"/>
      <c r="AZ102" s="1638"/>
      <c r="BA102" s="1638"/>
      <c r="BB102" s="1638"/>
      <c r="BC102" s="1639"/>
      <c r="BD102" s="2362"/>
      <c r="BE102" s="1638"/>
      <c r="BF102" s="1638"/>
      <c r="BG102" s="1638"/>
      <c r="BH102" s="1639"/>
      <c r="BI102" s="2362"/>
      <c r="BJ102" s="1638"/>
      <c r="BK102" s="1638"/>
      <c r="BL102" s="1638"/>
      <c r="BM102" s="1639"/>
    </row>
    <row r="103" spans="1:70" ht="111.75" customHeight="1" x14ac:dyDescent="0.25">
      <c r="A103" s="2377" t="s">
        <v>169</v>
      </c>
      <c r="B103" s="588">
        <v>205</v>
      </c>
      <c r="C103" s="589"/>
      <c r="D103" s="589"/>
      <c r="E103" s="590"/>
      <c r="F103" s="2377" t="s">
        <v>169</v>
      </c>
      <c r="G103" s="588">
        <v>209</v>
      </c>
      <c r="H103" s="589"/>
      <c r="I103" s="589"/>
      <c r="J103" s="590"/>
      <c r="K103" s="2640" t="s">
        <v>165</v>
      </c>
      <c r="L103" s="588">
        <v>92</v>
      </c>
      <c r="M103" s="589"/>
      <c r="N103" s="589"/>
      <c r="O103" s="590"/>
      <c r="P103" s="2640" t="s">
        <v>165</v>
      </c>
      <c r="Q103" s="588">
        <v>101</v>
      </c>
      <c r="R103" s="589"/>
      <c r="S103" s="589"/>
      <c r="T103" s="590"/>
      <c r="U103" s="2642" t="s">
        <v>137</v>
      </c>
      <c r="V103" s="588">
        <v>98</v>
      </c>
      <c r="W103" s="589"/>
      <c r="X103" s="589"/>
      <c r="Y103" s="590"/>
      <c r="Z103" s="2642" t="s">
        <v>137</v>
      </c>
      <c r="AA103" s="588">
        <v>99</v>
      </c>
      <c r="AB103" s="589"/>
      <c r="AC103" s="589"/>
      <c r="AD103" s="590"/>
      <c r="AE103" s="2092" t="s">
        <v>131</v>
      </c>
      <c r="AF103" s="588">
        <v>120</v>
      </c>
      <c r="AG103" s="589"/>
      <c r="AH103" s="589"/>
      <c r="AI103" s="590"/>
      <c r="AJ103" s="2092" t="s">
        <v>131</v>
      </c>
      <c r="AK103" s="588">
        <v>121</v>
      </c>
      <c r="AL103" s="589"/>
      <c r="AM103" s="589"/>
      <c r="AN103" s="590"/>
      <c r="AO103" s="2092" t="s">
        <v>131</v>
      </c>
      <c r="AP103" s="588">
        <v>122</v>
      </c>
      <c r="AQ103" s="589"/>
      <c r="AR103" s="589"/>
      <c r="AS103" s="590"/>
      <c r="AT103" s="2092" t="s">
        <v>131</v>
      </c>
      <c r="AU103" s="588">
        <v>123</v>
      </c>
      <c r="AV103" s="589"/>
      <c r="AW103" s="589"/>
      <c r="AX103" s="590"/>
      <c r="AY103" s="2092" t="s">
        <v>131</v>
      </c>
      <c r="AZ103" s="588">
        <v>124</v>
      </c>
      <c r="BA103" s="589"/>
      <c r="BB103" s="589"/>
      <c r="BC103" s="590"/>
      <c r="BD103" s="2092" t="s">
        <v>131</v>
      </c>
      <c r="BE103" s="588">
        <v>125</v>
      </c>
      <c r="BF103" s="589"/>
      <c r="BG103" s="589"/>
      <c r="BH103" s="590"/>
      <c r="BI103" s="2092" t="s">
        <v>131</v>
      </c>
      <c r="BJ103" s="588">
        <v>206</v>
      </c>
      <c r="BK103" s="589"/>
      <c r="BL103" s="589"/>
      <c r="BM103" s="590"/>
    </row>
    <row r="104" spans="1:70" ht="50.25" customHeight="1" thickBot="1" x14ac:dyDescent="0.3">
      <c r="A104" s="2378"/>
      <c r="B104" s="61">
        <v>1E-10</v>
      </c>
      <c r="C104" s="62" t="s">
        <v>113</v>
      </c>
      <c r="D104" s="63">
        <v>1</v>
      </c>
      <c r="E104" s="64" t="s">
        <v>114</v>
      </c>
      <c r="F104" s="2378"/>
      <c r="G104" s="61">
        <v>0.127</v>
      </c>
      <c r="H104" s="62" t="s">
        <v>113</v>
      </c>
      <c r="I104" s="63">
        <v>1</v>
      </c>
      <c r="J104" s="64" t="s">
        <v>114</v>
      </c>
      <c r="K104" s="2641"/>
      <c r="L104" s="61">
        <v>0.38100000000000001</v>
      </c>
      <c r="M104" s="62" t="s">
        <v>113</v>
      </c>
      <c r="N104" s="63">
        <v>1</v>
      </c>
      <c r="O104" s="64" t="s">
        <v>114</v>
      </c>
      <c r="P104" s="2641"/>
      <c r="Q104" s="61">
        <v>1E-8</v>
      </c>
      <c r="R104" s="62" t="s">
        <v>113</v>
      </c>
      <c r="S104" s="63"/>
      <c r="T104" s="64" t="s">
        <v>114</v>
      </c>
      <c r="U104" s="2643"/>
      <c r="V104" s="61">
        <v>0.254</v>
      </c>
      <c r="W104" s="62" t="s">
        <v>113</v>
      </c>
      <c r="X104" s="63"/>
      <c r="Y104" s="64" t="s">
        <v>114</v>
      </c>
      <c r="Z104" s="2643"/>
      <c r="AA104" s="61">
        <v>3.3780000000000001</v>
      </c>
      <c r="AB104" s="62" t="s">
        <v>113</v>
      </c>
      <c r="AC104" s="63"/>
      <c r="AD104" s="64" t="s">
        <v>114</v>
      </c>
      <c r="AE104" s="2093"/>
      <c r="AF104" s="61">
        <v>1.0000000000000001E-9</v>
      </c>
      <c r="AG104" s="62" t="s">
        <v>113</v>
      </c>
      <c r="AH104" s="63"/>
      <c r="AI104" s="64" t="s">
        <v>114</v>
      </c>
      <c r="AJ104" s="2093"/>
      <c r="AK104" s="61">
        <v>0.55800000000000005</v>
      </c>
      <c r="AL104" s="62" t="s">
        <v>113</v>
      </c>
      <c r="AM104" s="63"/>
      <c r="AN104" s="64" t="s">
        <v>114</v>
      </c>
      <c r="AO104" s="2093"/>
      <c r="AP104" s="61">
        <v>9.9999999999999995E-8</v>
      </c>
      <c r="AQ104" s="62" t="s">
        <v>113</v>
      </c>
      <c r="AR104" s="63">
        <v>1</v>
      </c>
      <c r="AS104" s="64" t="s">
        <v>114</v>
      </c>
      <c r="AT104" s="2093"/>
      <c r="AU104" s="61">
        <v>1.1684000000000001</v>
      </c>
      <c r="AV104" s="62" t="s">
        <v>113</v>
      </c>
      <c r="AW104" s="63"/>
      <c r="AX104" s="64" t="s">
        <v>114</v>
      </c>
      <c r="AY104" s="2093"/>
      <c r="AZ104" s="61">
        <v>0.254</v>
      </c>
      <c r="BA104" s="62" t="s">
        <v>113</v>
      </c>
      <c r="BB104" s="63"/>
      <c r="BC104" s="64" t="s">
        <v>114</v>
      </c>
      <c r="BD104" s="2093"/>
      <c r="BE104" s="61">
        <v>1E-13</v>
      </c>
      <c r="BF104" s="62" t="s">
        <v>113</v>
      </c>
      <c r="BG104" s="63"/>
      <c r="BH104" s="64" t="s">
        <v>114</v>
      </c>
      <c r="BI104" s="2093"/>
      <c r="BJ104" s="61">
        <v>1.0000000000000001E-15</v>
      </c>
      <c r="BK104" s="62" t="s">
        <v>113</v>
      </c>
      <c r="BL104" s="63"/>
      <c r="BM104" s="64" t="s">
        <v>114</v>
      </c>
    </row>
    <row r="105" spans="1:70" ht="15" customHeight="1" thickTop="1" x14ac:dyDescent="0.25"/>
    <row r="106" spans="1:70" ht="20.25" customHeight="1" x14ac:dyDescent="0.25"/>
    <row r="107" spans="1:70" ht="3.75" customHeight="1" x14ac:dyDescent="0.25"/>
    <row r="108" spans="1:70" ht="15" hidden="1" customHeight="1" x14ac:dyDescent="0.25"/>
    <row r="109" spans="1:70" ht="15" hidden="1" customHeight="1" x14ac:dyDescent="0.25"/>
    <row r="110" spans="1:70" ht="15" hidden="1" customHeight="1" x14ac:dyDescent="0.25"/>
    <row r="111" spans="1:70" ht="33.75" hidden="1" customHeight="1" x14ac:dyDescent="0.25">
      <c r="A111" s="37"/>
      <c r="B111" s="38"/>
      <c r="C111" s="39"/>
      <c r="D111" s="40"/>
      <c r="E111" s="41"/>
      <c r="F111" s="37"/>
      <c r="G111" s="38"/>
      <c r="H111" s="39"/>
      <c r="I111" s="40"/>
      <c r="J111" s="41"/>
      <c r="K111" s="37"/>
      <c r="L111" s="38"/>
      <c r="M111" s="39"/>
      <c r="N111" s="40"/>
      <c r="O111" s="41"/>
      <c r="P111" s="37"/>
      <c r="Q111" s="38"/>
      <c r="R111" s="39"/>
      <c r="S111" s="40"/>
      <c r="T111" s="41"/>
      <c r="U111" s="37"/>
      <c r="V111" s="38"/>
      <c r="W111" s="39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37"/>
      <c r="AK111" s="38"/>
      <c r="AL111" s="39"/>
      <c r="AM111" s="40"/>
      <c r="AN111" s="41"/>
      <c r="AO111" s="37"/>
      <c r="AP111" s="38"/>
      <c r="AQ111" s="39"/>
      <c r="AR111" s="40"/>
      <c r="AS111" s="41"/>
      <c r="AT111" s="37"/>
      <c r="AU111" s="38"/>
      <c r="AV111" s="39"/>
      <c r="AW111" s="40"/>
      <c r="AX111" s="41"/>
      <c r="AY111" s="37"/>
      <c r="AZ111" s="38"/>
      <c r="BA111" s="39"/>
      <c r="BB111" s="40"/>
      <c r="BC111" s="41"/>
      <c r="BD111" s="37"/>
      <c r="BE111" s="38"/>
      <c r="BF111" s="39"/>
      <c r="BG111" s="40"/>
      <c r="BH111" s="41"/>
      <c r="BI111" s="37"/>
      <c r="BJ111" s="38"/>
      <c r="BK111" s="39"/>
      <c r="BL111" s="40"/>
      <c r="BM111" s="41"/>
      <c r="BN111" s="37"/>
      <c r="BO111" s="38"/>
      <c r="BP111" s="39"/>
      <c r="BQ111" s="40"/>
      <c r="BR111" s="41"/>
    </row>
    <row r="112" spans="1:70" ht="33.75" x14ac:dyDescent="0.25">
      <c r="A112" s="674"/>
      <c r="B112" s="674"/>
      <c r="C112" s="674"/>
      <c r="D112" s="675"/>
      <c r="E112" s="675"/>
      <c r="F112" s="44"/>
      <c r="G112" s="702" cm="1">
        <f t="array" aca="1" ref="G112" ca="1">SUM(COUNTIF(INDIRECT({"B6","G6","L6","Q6","V6","AA6","AF6","AK6","AP6","AU6","AZ6","BE6","BJ6","BO6","B12","G12","L12","Q12","V12","AA12","AF12","AK12","AP12","AU12","AZ12","BE12","BJ12","BO12","B18","G18","L18","Q18","V18","AA18","AF18","AK18","AP18","AU18","AZ18","BE18","BJ18","BO18","B24","G24","L24","Q24","V24","AA24","AF24","AK24","AP24","AU24","AZ24","BE24","BJ24","BO24","B30","G30","L30","Q30","V30","AA30","AF30","AK30","AP30","AU30","AZ30","BE30","BJ30","BO30","B36","G36","L36","Q36","V36","AA36","AF36","AK36","AP36","AU36","AZ36","BE36","BJ36","BO36","B42","G42","L42","Q42","V42","AA42","AF42","AK42","AP42","AU42","AZ42","BE42","BJ42","BO42","B48","G48","L48","Q48","V48","AA48","AF48","AK48","AP48","AU48","AZ48","BE48","BJ48","BO48","B67","G67","L67","Q67","V67","AA67","AF67","AK67","AP67","AU67","AZ67","BE67","BJ67","BO67","B73","G73","L73","Q73","V73","AA73","AF73","AK73","AP73","AU73","AZ73","BE73","BJ73","BO73","B79","G79","L79","Q79","V79","AA79","AF79","AK79","AP79","AU79","AZ79","BE79","BJ79","BO79","B85","G85","L85","Q85","V85","AA85","AF85","AK85","AP85","AU85","AZ85","BE85","BJ85","BO85","B91","G91","L91","Q91","V91","AA91","AF91","AK91","AP91","AU91","AZ91","BE91","BJ91","BO91","B97","G97","L97","Q97","V97","AA97","AF97","AK97","AP97","AU97","AZ97","BE97","BJ97","BO97","B103","G103","L103","Q103","V103","AA103","AF103","AK103","AP103","AU103","AZ103","BE103","BJ103","BO103"}),"&gt;0"))</f>
        <v>209</v>
      </c>
      <c r="H112" s="702"/>
      <c r="I112" s="702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699" t="s">
        <v>515</v>
      </c>
      <c r="Y112" s="699"/>
      <c r="Z112" s="699"/>
      <c r="AA112" s="699"/>
      <c r="AB112" s="699"/>
      <c r="AC112" s="699"/>
      <c r="AD112" s="699"/>
      <c r="AE112" s="699"/>
      <c r="AF112" s="699"/>
      <c r="AG112" s="699"/>
      <c r="AH112" s="699"/>
      <c r="AI112" s="699"/>
      <c r="AJ112" s="697" t="s">
        <v>117</v>
      </c>
      <c r="AK112" s="697"/>
      <c r="AL112" s="697"/>
      <c r="AM112" s="697"/>
      <c r="AN112" s="697"/>
      <c r="AO112" s="697"/>
      <c r="AP112" s="697"/>
      <c r="AQ112" s="697"/>
      <c r="AR112" s="697"/>
      <c r="AS112" s="697"/>
      <c r="AT112" s="46"/>
      <c r="AU112" s="698" t="s">
        <v>118</v>
      </c>
      <c r="AV112" s="698"/>
      <c r="AW112" s="698"/>
      <c r="AX112" s="698"/>
      <c r="AY112" s="698"/>
      <c r="AZ112" s="698"/>
      <c r="BA112" s="698"/>
      <c r="BB112" s="698"/>
      <c r="BC112" s="698"/>
      <c r="BD112" s="698"/>
      <c r="BE112" s="698"/>
      <c r="BF112" s="698"/>
      <c r="BG112" s="699" t="s">
        <v>119</v>
      </c>
      <c r="BH112" s="699"/>
      <c r="BI112" s="699"/>
      <c r="BJ112" s="699"/>
      <c r="BK112" s="699"/>
      <c r="BL112" s="700">
        <f>D7+I7+N7+S7+X7+AH7+AM7+AR7+AW7+BB7+BG7+BL7+BQ7+D13+I13+N13+S13+X13+AC13+AH13+AM13+AR13+AW13+BB13+BG13+BL13+BQ13+D19+I19+N19+S19+X19+AC19+AH19+AM19+AR19+AW19+BB19+BG19+BL19+BQ19+D25+I25+N25+S25+X25+AC25+AH25+AM25+AR25+AW25+BB25+BG25+BL25+D31+I31+BQ25+N31+S31+X31+AC31+AH31+AM31+AR31+AW31+BB31+BG31+BL31+BQ31+BQ37+BL37+BG37+BB37+AW37+AR37+AM37+AH37+AC37+X37+S37+N37+I37+D37+D43+I43+N43+S43+X43+AC43+AH43+AM43+AR43+AW43+BB43+BG43+BL43+BQ43+BQ49+BL49+BG49+BB49+AW49+AR49+AM49+AH49+AC49+X49+S49+N49+I49+D49+D68+I68+N68+S68+X68+AC68+AH68+AM68+AR68+AW68+BB68+BG68+BL68+BQ68+BQ74+BL74+BG74+BB74+AW74+AR74+AM74+AH74+AC74+X74+S74+N74+I74+D74+D80+I80+N80+S80+X80+AC80+AH80+AM80+AR80+AW80+BB80+BG80+BL80+BQ80+BQ86+BL86+BG86+BB86+AW86+AR98+AW98+BB98+BG98+BL98+BQ98+D104+I104++AR86+AM86+AH86+AC86+X86+S86+N86+I86+D86+D92+I92+N92+S92+X92+AC92+AH92+AM92+AR92+AW92+BB92+BG92+BL92+BQ92+AM98+AH98+AC98+X98+S98+N98+I98+D98+N104+S104+X104+AC104+AH104+AM104</f>
        <v>46</v>
      </c>
      <c r="BM112" s="700"/>
      <c r="BN112" s="700"/>
      <c r="BO112" s="700"/>
      <c r="BP112" s="701" t="s">
        <v>120</v>
      </c>
      <c r="BQ112" s="701"/>
      <c r="BR112" s="701"/>
    </row>
    <row r="113" spans="1:70" ht="25.5" customHeight="1" x14ac:dyDescent="0.25">
      <c r="A113" s="676"/>
      <c r="B113" s="676"/>
      <c r="C113" s="676"/>
      <c r="D113" s="29"/>
      <c r="E113" s="29"/>
      <c r="F113" s="47"/>
      <c r="G113" s="702"/>
      <c r="H113" s="702"/>
      <c r="I113" s="702"/>
      <c r="J113" s="48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699"/>
      <c r="Y113" s="699"/>
      <c r="Z113" s="699"/>
      <c r="AA113" s="699"/>
      <c r="AB113" s="699"/>
      <c r="AC113" s="699"/>
      <c r="AD113" s="699"/>
      <c r="AE113" s="699"/>
      <c r="AF113" s="699"/>
      <c r="AG113" s="699"/>
      <c r="AH113" s="699"/>
      <c r="AI113" s="699"/>
      <c r="AJ113" s="697"/>
      <c r="AK113" s="697"/>
      <c r="AL113" s="697"/>
      <c r="AM113" s="697"/>
      <c r="AN113" s="697"/>
      <c r="AO113" s="697"/>
      <c r="AP113" s="697"/>
      <c r="AQ113" s="697"/>
      <c r="AR113" s="697"/>
      <c r="AS113" s="697"/>
      <c r="AT113" s="46"/>
      <c r="AU113" s="698"/>
      <c r="AV113" s="698"/>
      <c r="AW113" s="698"/>
      <c r="AX113" s="698"/>
      <c r="AY113" s="698"/>
      <c r="AZ113" s="698"/>
      <c r="BA113" s="698"/>
      <c r="BB113" s="698"/>
      <c r="BC113" s="698"/>
      <c r="BD113" s="698"/>
      <c r="BE113" s="698"/>
      <c r="BF113" s="698"/>
      <c r="BG113" s="699"/>
      <c r="BH113" s="699"/>
      <c r="BI113" s="699"/>
      <c r="BJ113" s="699"/>
      <c r="BK113" s="699"/>
      <c r="BL113" s="700"/>
      <c r="BM113" s="700"/>
      <c r="BN113" s="700"/>
      <c r="BO113" s="700"/>
      <c r="BP113" s="701"/>
      <c r="BQ113" s="701"/>
      <c r="BR113" s="701"/>
    </row>
    <row r="114" spans="1:70" ht="24" customHeight="1" x14ac:dyDescent="0.25">
      <c r="A114" s="676"/>
      <c r="B114" s="676"/>
      <c r="C114" s="676"/>
      <c r="D114" s="29"/>
      <c r="E114" s="29"/>
      <c r="F114" s="47"/>
      <c r="G114" s="702"/>
      <c r="H114" s="702"/>
      <c r="I114" s="702"/>
      <c r="J114" s="48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699"/>
      <c r="Y114" s="699"/>
      <c r="Z114" s="699"/>
      <c r="AA114" s="699"/>
      <c r="AB114" s="699"/>
      <c r="AC114" s="699"/>
      <c r="AD114" s="699"/>
      <c r="AE114" s="699"/>
      <c r="AF114" s="699"/>
      <c r="AG114" s="699"/>
      <c r="AH114" s="699"/>
      <c r="AI114" s="699"/>
      <c r="AJ114" s="697"/>
      <c r="AK114" s="697"/>
      <c r="AL114" s="697"/>
      <c r="AM114" s="697"/>
      <c r="AN114" s="697"/>
      <c r="AO114" s="697"/>
      <c r="AP114" s="697"/>
      <c r="AQ114" s="697"/>
      <c r="AR114" s="697"/>
      <c r="AS114" s="697"/>
      <c r="AT114" s="46"/>
      <c r="AU114" s="698"/>
      <c r="AV114" s="698"/>
      <c r="AW114" s="698"/>
      <c r="AX114" s="698"/>
      <c r="AY114" s="698"/>
      <c r="AZ114" s="698"/>
      <c r="BA114" s="698"/>
      <c r="BB114" s="698"/>
      <c r="BC114" s="698"/>
      <c r="BD114" s="698"/>
      <c r="BE114" s="698"/>
      <c r="BF114" s="698"/>
      <c r="BG114" s="699"/>
      <c r="BH114" s="699"/>
      <c r="BI114" s="699"/>
      <c r="BJ114" s="699"/>
      <c r="BK114" s="699"/>
      <c r="BL114" s="700"/>
      <c r="BM114" s="700"/>
      <c r="BN114" s="700"/>
      <c r="BO114" s="700"/>
      <c r="BP114" s="701"/>
      <c r="BQ114" s="701"/>
      <c r="BR114" s="701"/>
    </row>
    <row r="115" spans="1:70" ht="21.75" customHeight="1" x14ac:dyDescent="0.25">
      <c r="A115" s="676"/>
      <c r="B115" s="676"/>
      <c r="C115" s="676"/>
      <c r="D115" s="675"/>
      <c r="E115" s="675"/>
      <c r="F115" s="47"/>
      <c r="G115" s="703" cm="1">
        <f t="array" aca="1" ref="G115" ca="1">SUM(COUNTIF(INDIRECT({"B7","G7","L7","Q7","V7","AA7","AF7","AK7","AP7","AU7","AZ7","BE7","BJ7","BO7","B13","G13","L13","Q13","V13","AA13","AF13","AK13","AP13","AU13","AZ13","BE13","BJ13","BO13","B19","G19","L19","Q19","V19","AA19","AF19","AK19","AP19","AU19","AZ19","BE19","BJ19","BO19","B25","G25","L25","Q25","V25","AA25","AF25","AK25","AP25","AU25","AZ25","BE25","BJ25","BO25","B31","G31","L31","Q31","V31","AA31","AF31","AK31","AP31","AU31","AZ31","BE31","BJ31","BO31","B37","G37","L37","Q37","V37","AA37","AF37","AK37","AP37","AU37","AZ37","BE37","BJ37","BO37","B43","G43","L43","Q43","V43","AA43","AF43","AK43","AP43","AU43","AZ43","BE43","BJ43","BO43","B49","G49","L49","Q49","V49","AA49","AF49","AK49","AP49","AU49","AZ49","BE49","BJ49","BO49","B68","G68","L68","Q68","V68","AA68","AF68","AK68","AP68","AU68","AZ68","BE68","BJ68","BO68","B74","G74","L74","Q74","V74","AA74","AF74","AK74","AP74","AU74","AZ74","BE74","BJ74","BO74","B80","G80","L80","Q80","V80","AA80","AF80","AK80","AP80","AU80","AZ80","BE80","BJ80","BO80","B86","G86","L86","Q86","V86","AA86","AF86","AK86","AP86","AU86","AZ86","BE86","BJ86","BO86","B92","G92","L92","Q92","V92","AA92","AF92","AK92","AP92","AU92","AZ92","BE92","BJ92","BO92","B98","G98","L98","Q98","V98","AA98","AF98","AK98","AP98","AU98","AZ98","BE98","BJ98","BO98","B104","G104","L104","Q104","V104","AA104","AF104","AK104","AP104","AU104","AZ104","BE104","BJ104","BO104"}),"&gt;0"))</f>
        <v>209</v>
      </c>
      <c r="H115" s="703"/>
      <c r="I115" s="703"/>
      <c r="J115" s="48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699"/>
      <c r="Y115" s="699"/>
      <c r="Z115" s="699"/>
      <c r="AA115" s="699"/>
      <c r="AB115" s="699"/>
      <c r="AC115" s="699"/>
      <c r="AD115" s="699"/>
      <c r="AE115" s="699"/>
      <c r="AF115" s="699"/>
      <c r="AG115" s="699"/>
      <c r="AH115" s="699"/>
      <c r="AI115" s="699"/>
      <c r="AJ115" s="697"/>
      <c r="AK115" s="697"/>
      <c r="AL115" s="697"/>
      <c r="AM115" s="697"/>
      <c r="AN115" s="697"/>
      <c r="AO115" s="697"/>
      <c r="AP115" s="697"/>
      <c r="AQ115" s="697"/>
      <c r="AR115" s="697"/>
      <c r="AS115" s="697"/>
      <c r="AT115" s="46"/>
      <c r="AU115" s="698"/>
      <c r="AV115" s="698"/>
      <c r="AW115" s="698"/>
      <c r="AX115" s="698"/>
      <c r="AY115" s="698"/>
      <c r="AZ115" s="698"/>
      <c r="BA115" s="698"/>
      <c r="BB115" s="698"/>
      <c r="BC115" s="698"/>
      <c r="BD115" s="698"/>
      <c r="BE115" s="698"/>
      <c r="BF115" s="698"/>
      <c r="BG115" s="699"/>
      <c r="BH115" s="699"/>
      <c r="BI115" s="699"/>
      <c r="BJ115" s="699"/>
      <c r="BK115" s="699"/>
      <c r="BL115" s="700"/>
      <c r="BM115" s="700"/>
      <c r="BN115" s="700"/>
      <c r="BO115" s="700"/>
      <c r="BP115" s="701"/>
      <c r="BQ115" s="701"/>
      <c r="BR115" s="701"/>
    </row>
    <row r="116" spans="1:70" ht="21.75" customHeight="1" x14ac:dyDescent="0.25">
      <c r="B116" s="17"/>
      <c r="G116" s="703"/>
      <c r="H116" s="703"/>
      <c r="I116" s="703"/>
      <c r="J116" s="48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722"/>
      <c r="Y116" s="722"/>
      <c r="Z116" s="722"/>
      <c r="AA116" s="722"/>
      <c r="AB116" s="722"/>
      <c r="AC116" s="722"/>
      <c r="AD116" s="722"/>
      <c r="AE116" s="722"/>
      <c r="AF116" s="722"/>
      <c r="AG116" s="722"/>
      <c r="AH116" s="722"/>
      <c r="AI116" s="722"/>
      <c r="AJ116" s="723">
        <f>AU116-Z128</f>
        <v>0</v>
      </c>
      <c r="AK116" s="723"/>
      <c r="AL116" s="723"/>
      <c r="AM116" s="723"/>
      <c r="AN116" s="723"/>
      <c r="AO116" s="723"/>
      <c r="AP116" s="723"/>
      <c r="AQ116" s="723"/>
      <c r="AR116" s="723"/>
      <c r="AS116" s="723"/>
      <c r="AT116" s="723"/>
      <c r="AU116" s="707">
        <f>B7+G7+L7+Q7+V7+AA7+AF7+AK7+AP7+AU7+AZ7+BE7+BJ7+BO7+BO13+BJ13+BE13+AZ13+AU13+AP13+AK13+AF13+AA13+V13+Q13+L13+G13+B13+B19+G19+L19+Q19+V19+AA19+AF19+AK19+AP19+AU19+AZ19+BE19+BJ19+BO19+BO25+BJ25+BE25+AZ25+AU25+AP25+AK25+AF25+AA25+V25+Q25+L25+G25+B31+B25+G31+L31+Q31+V31+AA31+AF31+AK31+AP31+AU31+AZ31+BE31+BJ31+BO31+BO37+BJ37+BE37+AZ37+AU37+AP37+AK37+AF37+AA37+V37+Q37+L37+G37+B37+B43+G43+L43+Q43+V43+AA43+AF43+AK43+AP43+AU43+AZ43+BE43+BJ43+BO43+BO49+BJ49+BE49+AZ49+AU49+AP49+AK49+AF49+AA49+V49+Q49+L49+G49+B49+B68+G68+L68+Q68+V68+AA68+AF68+AK68+AP68+AU68+AZ68+BE68+BJ68+BO68+BO74+BJ74+BE74+AZ74+AU74+AP74+AK74+AF74+AA74+V74+Q74+L74+G74+B74+B80+G80+L80+Q80+V80+AA80+AF80+AK80+AP80+AU80+AZ80+BE80+BJ80+BO80+BO86+BJ86+BE86+AZ86+AU86+AP86+AK86+AF86+AA86+V86+Q86+L86+G86+B86+B92+G92+L92+Q92+V92+AA92+AF92+AK92+AP92+AU92+AZ92+BE92+BJ92+BO92+B98+G98+L98+Q98+V98+AA98+AF98+AK98+AP98+AU98+AZ98+BE98+BJ98+BO98+B104+G104+L104+Q104+V104+AA104+AF104+AK104+AP104+AU104+AZ104+BE104+BJ104</f>
        <v>111.06132693136445</v>
      </c>
      <c r="AV116" s="707"/>
      <c r="AW116" s="707"/>
      <c r="AX116" s="707"/>
      <c r="AY116" s="707"/>
      <c r="AZ116" s="707"/>
      <c r="BA116" s="707"/>
      <c r="BB116" s="707"/>
      <c r="BC116" s="707"/>
      <c r="BD116" s="707"/>
      <c r="BE116" s="707"/>
      <c r="BF116" s="707"/>
      <c r="BG116" s="699"/>
      <c r="BH116" s="699"/>
      <c r="BI116" s="699"/>
      <c r="BJ116" s="699"/>
      <c r="BK116" s="699"/>
      <c r="BL116" s="708">
        <f>BL112*1.5</f>
        <v>69</v>
      </c>
      <c r="BM116" s="708"/>
      <c r="BN116" s="708"/>
      <c r="BO116" s="708"/>
      <c r="BP116" s="708"/>
      <c r="BQ116" s="708"/>
      <c r="BR116" s="708"/>
    </row>
    <row r="117" spans="1:70" ht="21.75" customHeight="1" x14ac:dyDescent="0.25">
      <c r="G117" s="703"/>
      <c r="H117" s="703"/>
      <c r="I117" s="703"/>
      <c r="J117" s="52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722"/>
      <c r="Y117" s="722"/>
      <c r="Z117" s="722"/>
      <c r="AA117" s="722"/>
      <c r="AB117" s="722"/>
      <c r="AC117" s="722"/>
      <c r="AD117" s="722"/>
      <c r="AE117" s="722"/>
      <c r="AF117" s="722"/>
      <c r="AG117" s="722"/>
      <c r="AH117" s="722"/>
      <c r="AI117" s="722"/>
      <c r="AJ117" s="723"/>
      <c r="AK117" s="723"/>
      <c r="AL117" s="723"/>
      <c r="AM117" s="723"/>
      <c r="AN117" s="723"/>
      <c r="AO117" s="723"/>
      <c r="AP117" s="723"/>
      <c r="AQ117" s="723"/>
      <c r="AR117" s="723"/>
      <c r="AS117" s="723"/>
      <c r="AT117" s="723"/>
      <c r="AU117" s="707"/>
      <c r="AV117" s="707"/>
      <c r="AW117" s="707"/>
      <c r="AX117" s="707"/>
      <c r="AY117" s="707"/>
      <c r="AZ117" s="707"/>
      <c r="BA117" s="707"/>
      <c r="BB117" s="707"/>
      <c r="BC117" s="707"/>
      <c r="BD117" s="707"/>
      <c r="BE117" s="707"/>
      <c r="BF117" s="707"/>
      <c r="BG117" s="699"/>
      <c r="BH117" s="699"/>
      <c r="BI117" s="699"/>
      <c r="BJ117" s="699"/>
      <c r="BK117" s="699"/>
      <c r="BL117" s="708"/>
      <c r="BM117" s="708"/>
      <c r="BN117" s="708"/>
      <c r="BO117" s="708"/>
      <c r="BP117" s="708"/>
      <c r="BQ117" s="708"/>
      <c r="BR117" s="708"/>
    </row>
    <row r="118" spans="1:70" ht="25.5" customHeight="1" x14ac:dyDescent="0.25">
      <c r="G118" s="703">
        <v>209</v>
      </c>
      <c r="H118" s="703"/>
      <c r="I118" s="703"/>
      <c r="J118" s="52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722"/>
      <c r="Y118" s="722"/>
      <c r="Z118" s="722"/>
      <c r="AA118" s="722"/>
      <c r="AB118" s="722"/>
      <c r="AC118" s="722"/>
      <c r="AD118" s="722"/>
      <c r="AE118" s="722"/>
      <c r="AF118" s="722"/>
      <c r="AG118" s="722"/>
      <c r="AH118" s="722"/>
      <c r="AI118" s="722"/>
      <c r="AJ118" s="723"/>
      <c r="AK118" s="723"/>
      <c r="AL118" s="723"/>
      <c r="AM118" s="723"/>
      <c r="AN118" s="723"/>
      <c r="AO118" s="723"/>
      <c r="AP118" s="723"/>
      <c r="AQ118" s="723"/>
      <c r="AR118" s="723"/>
      <c r="AS118" s="723"/>
      <c r="AT118" s="723"/>
      <c r="AU118" s="707"/>
      <c r="AV118" s="707"/>
      <c r="AW118" s="707"/>
      <c r="AX118" s="707"/>
      <c r="AY118" s="707"/>
      <c r="AZ118" s="707"/>
      <c r="BA118" s="707"/>
      <c r="BB118" s="707"/>
      <c r="BC118" s="707"/>
      <c r="BD118" s="707"/>
      <c r="BE118" s="707"/>
      <c r="BF118" s="707"/>
      <c r="BG118" s="699"/>
      <c r="BH118" s="699"/>
      <c r="BI118" s="699"/>
      <c r="BJ118" s="699"/>
      <c r="BK118" s="699"/>
      <c r="BL118" s="708"/>
      <c r="BM118" s="708"/>
      <c r="BN118" s="708"/>
      <c r="BO118" s="708"/>
      <c r="BP118" s="708"/>
      <c r="BQ118" s="708"/>
      <c r="BR118" s="708"/>
    </row>
    <row r="119" spans="1:70" ht="26.25" customHeight="1" x14ac:dyDescent="0.25">
      <c r="G119" s="703"/>
      <c r="H119" s="703"/>
      <c r="I119" s="703"/>
      <c r="J119" s="52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722"/>
      <c r="Y119" s="722"/>
      <c r="Z119" s="722"/>
      <c r="AA119" s="722"/>
      <c r="AB119" s="722"/>
      <c r="AC119" s="722"/>
      <c r="AD119" s="722"/>
      <c r="AE119" s="722"/>
      <c r="AF119" s="722"/>
      <c r="AG119" s="722"/>
      <c r="AH119" s="722"/>
      <c r="AI119" s="722"/>
      <c r="AJ119" s="723"/>
      <c r="AK119" s="723"/>
      <c r="AL119" s="723"/>
      <c r="AM119" s="723"/>
      <c r="AN119" s="723"/>
      <c r="AO119" s="723"/>
      <c r="AP119" s="723"/>
      <c r="AQ119" s="723"/>
      <c r="AR119" s="723"/>
      <c r="AS119" s="723"/>
      <c r="AT119" s="723"/>
      <c r="AU119" s="707"/>
      <c r="AV119" s="707"/>
      <c r="AW119" s="707"/>
      <c r="AX119" s="707"/>
      <c r="AY119" s="707"/>
      <c r="AZ119" s="707"/>
      <c r="BA119" s="707"/>
      <c r="BB119" s="707"/>
      <c r="BC119" s="707"/>
      <c r="BD119" s="707"/>
      <c r="BE119" s="707"/>
      <c r="BF119" s="707"/>
      <c r="BG119" s="699"/>
      <c r="BH119" s="699"/>
      <c r="BI119" s="699"/>
      <c r="BJ119" s="699"/>
      <c r="BK119" s="699"/>
      <c r="BL119" s="708"/>
      <c r="BM119" s="708"/>
      <c r="BN119" s="708"/>
      <c r="BO119" s="708"/>
      <c r="BP119" s="708"/>
      <c r="BQ119" s="708"/>
      <c r="BR119" s="708"/>
    </row>
    <row r="120" spans="1:70" ht="41.25" customHeight="1" x14ac:dyDescent="0.25">
      <c r="G120" s="703"/>
      <c r="H120" s="703"/>
      <c r="I120" s="703"/>
      <c r="J120" s="52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722"/>
      <c r="Y120" s="722"/>
      <c r="Z120" s="722"/>
      <c r="AA120" s="722"/>
      <c r="AB120" s="722"/>
      <c r="AC120" s="722"/>
      <c r="AD120" s="722"/>
      <c r="AE120" s="722"/>
      <c r="AF120" s="722"/>
      <c r="AG120" s="722"/>
      <c r="AH120" s="722"/>
      <c r="AI120" s="722"/>
      <c r="AJ120" s="723"/>
      <c r="AK120" s="723"/>
      <c r="AL120" s="723"/>
      <c r="AM120" s="723"/>
      <c r="AN120" s="723"/>
      <c r="AO120" s="723"/>
      <c r="AP120" s="723"/>
      <c r="AQ120" s="723"/>
      <c r="AR120" s="723"/>
      <c r="AS120" s="723"/>
      <c r="AT120" s="723"/>
      <c r="AU120" s="707"/>
      <c r="AV120" s="707"/>
      <c r="AW120" s="707"/>
      <c r="AX120" s="707"/>
      <c r="AY120" s="707"/>
      <c r="AZ120" s="707"/>
      <c r="BA120" s="707"/>
      <c r="BB120" s="707"/>
      <c r="BC120" s="707"/>
      <c r="BD120" s="707"/>
      <c r="BE120" s="707"/>
      <c r="BF120" s="707"/>
      <c r="BG120" s="699"/>
      <c r="BH120" s="699"/>
      <c r="BI120" s="699"/>
      <c r="BJ120" s="699"/>
      <c r="BK120" s="699"/>
      <c r="BL120" s="699" t="s">
        <v>121</v>
      </c>
      <c r="BM120" s="699"/>
      <c r="BN120" s="699"/>
      <c r="BO120" s="699"/>
      <c r="BP120" s="699"/>
      <c r="BQ120" s="699"/>
      <c r="BR120" s="699"/>
    </row>
    <row r="121" spans="1:70" ht="58.5" customHeight="1" x14ac:dyDescent="0.25">
      <c r="G121" s="703"/>
      <c r="H121" s="703"/>
      <c r="I121" s="703"/>
      <c r="J121" s="52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722"/>
      <c r="Y121" s="722"/>
      <c r="Z121" s="722"/>
      <c r="AA121" s="722"/>
      <c r="AB121" s="722"/>
      <c r="AC121" s="722"/>
      <c r="AD121" s="722"/>
      <c r="AE121" s="722"/>
      <c r="AF121" s="722"/>
      <c r="AG121" s="722"/>
      <c r="AH121" s="722"/>
      <c r="AI121" s="722"/>
      <c r="AJ121" s="723"/>
      <c r="AK121" s="723"/>
      <c r="AL121" s="723"/>
      <c r="AM121" s="723"/>
      <c r="AN121" s="723"/>
      <c r="AO121" s="723"/>
      <c r="AP121" s="723"/>
      <c r="AQ121" s="723"/>
      <c r="AR121" s="723"/>
      <c r="AS121" s="723"/>
      <c r="AT121" s="723"/>
      <c r="AU121" s="707"/>
      <c r="AV121" s="707"/>
      <c r="AW121" s="707"/>
      <c r="AX121" s="707"/>
      <c r="AY121" s="707"/>
      <c r="AZ121" s="707"/>
      <c r="BA121" s="707"/>
      <c r="BB121" s="707"/>
      <c r="BC121" s="707"/>
      <c r="BD121" s="707"/>
      <c r="BE121" s="707"/>
      <c r="BF121" s="707"/>
      <c r="BG121" s="699"/>
      <c r="BH121" s="699"/>
      <c r="BI121" s="699"/>
      <c r="BJ121" s="699"/>
      <c r="BK121" s="699"/>
      <c r="BL121" s="699"/>
      <c r="BM121" s="699"/>
      <c r="BN121" s="699"/>
      <c r="BO121" s="699"/>
      <c r="BP121" s="699"/>
      <c r="BQ121" s="699"/>
      <c r="BR121" s="699"/>
    </row>
    <row r="123" spans="1:70" x14ac:dyDescent="0.25">
      <c r="AM123" s="2609">
        <f>SUM(AM126:AO149)</f>
        <v>209</v>
      </c>
      <c r="AN123" s="2609"/>
      <c r="AO123" s="2609"/>
    </row>
    <row r="124" spans="1:70" x14ac:dyDescent="0.25">
      <c r="AM124" s="2609"/>
      <c r="AN124" s="2609"/>
      <c r="AO124" s="2609"/>
    </row>
    <row r="125" spans="1:70" x14ac:dyDescent="0.25">
      <c r="AM125" s="2610"/>
      <c r="AN125" s="2610"/>
      <c r="AO125" s="2610"/>
    </row>
    <row r="126" spans="1:70" x14ac:dyDescent="0.25">
      <c r="AJ126" s="1255">
        <v>35</v>
      </c>
      <c r="AK126" s="1255"/>
      <c r="AL126" s="1255"/>
      <c r="AM126" s="746">
        <v>11</v>
      </c>
      <c r="AN126" s="746"/>
      <c r="AO126" s="746"/>
      <c r="AP126" s="747">
        <f>AM126*AJ126</f>
        <v>385</v>
      </c>
      <c r="AQ126" s="748"/>
      <c r="AR126" s="748"/>
      <c r="AS126" s="749"/>
    </row>
    <row r="127" spans="1:70" ht="15.75" thickBot="1" x14ac:dyDescent="0.3">
      <c r="AJ127" s="1255"/>
      <c r="AK127" s="1255"/>
      <c r="AL127" s="1255"/>
      <c r="AM127" s="746"/>
      <c r="AN127" s="746"/>
      <c r="AO127" s="746"/>
      <c r="AP127" s="747"/>
      <c r="AQ127" s="748"/>
      <c r="AR127" s="748"/>
      <c r="AS127" s="749"/>
    </row>
    <row r="128" spans="1:70" ht="15.75" thickTop="1" x14ac:dyDescent="0.25">
      <c r="Z128" s="775">
        <v>111.06132693136445</v>
      </c>
      <c r="AA128" s="776"/>
      <c r="AB128" s="776"/>
      <c r="AC128" s="776"/>
      <c r="AD128" s="777"/>
      <c r="AH128" s="348"/>
      <c r="AI128" s="348"/>
      <c r="AJ128" s="1255"/>
      <c r="AK128" s="1255"/>
      <c r="AL128" s="1255"/>
      <c r="AM128" s="746"/>
      <c r="AN128" s="746"/>
      <c r="AO128" s="746"/>
      <c r="AP128" s="747"/>
      <c r="AQ128" s="748"/>
      <c r="AR128" s="748"/>
      <c r="AS128" s="749"/>
      <c r="AU128" s="739"/>
      <c r="AV128" s="740"/>
      <c r="AW128" s="740"/>
      <c r="AX128" s="740"/>
      <c r="AY128" s="740"/>
      <c r="AZ128" s="740"/>
      <c r="BA128" s="740"/>
      <c r="BB128" s="740"/>
      <c r="BC128" s="740"/>
      <c r="BD128" s="741"/>
      <c r="BE128" s="13"/>
    </row>
    <row r="129" spans="26:84" x14ac:dyDescent="0.25">
      <c r="Z129" s="778"/>
      <c r="AA129" s="779"/>
      <c r="AB129" s="779"/>
      <c r="AC129" s="779"/>
      <c r="AD129" s="780"/>
      <c r="AH129" s="348"/>
      <c r="AI129" s="348"/>
      <c r="AJ129" s="1255">
        <v>40</v>
      </c>
      <c r="AK129" s="1255"/>
      <c r="AL129" s="1255"/>
      <c r="AM129" s="746">
        <v>13</v>
      </c>
      <c r="AN129" s="746"/>
      <c r="AO129" s="746"/>
      <c r="AP129" s="747">
        <f>AM129*AJ129</f>
        <v>520</v>
      </c>
      <c r="AQ129" s="748"/>
      <c r="AR129" s="748"/>
      <c r="AS129" s="749"/>
      <c r="AU129" s="750"/>
      <c r="AV129" s="751"/>
      <c r="AW129" s="751"/>
      <c r="AX129" s="751"/>
      <c r="AY129" s="751"/>
      <c r="AZ129" s="751"/>
      <c r="BA129" s="751"/>
      <c r="BB129" s="751"/>
      <c r="BC129" s="751"/>
      <c r="BD129" s="752"/>
      <c r="BE129" s="13"/>
    </row>
    <row r="130" spans="26:84" x14ac:dyDescent="0.25">
      <c r="Z130" s="778"/>
      <c r="AA130" s="779"/>
      <c r="AB130" s="779"/>
      <c r="AC130" s="779"/>
      <c r="AD130" s="780"/>
      <c r="AH130" s="348"/>
      <c r="AI130" s="348"/>
      <c r="AJ130" s="1255"/>
      <c r="AK130" s="1255"/>
      <c r="AL130" s="1255"/>
      <c r="AM130" s="746"/>
      <c r="AN130" s="746"/>
      <c r="AO130" s="746"/>
      <c r="AP130" s="747"/>
      <c r="AQ130" s="748"/>
      <c r="AR130" s="748"/>
      <c r="AS130" s="749"/>
      <c r="AU130" s="742"/>
      <c r="AV130" s="743"/>
      <c r="AW130" s="743"/>
      <c r="AX130" s="743"/>
      <c r="AY130" s="743"/>
      <c r="AZ130" s="743"/>
      <c r="BA130" s="743"/>
      <c r="BB130" s="743"/>
      <c r="BC130" s="743"/>
      <c r="BD130" s="744"/>
      <c r="BE130" s="13"/>
    </row>
    <row r="131" spans="26:84" ht="15" customHeight="1" x14ac:dyDescent="0.25">
      <c r="Z131" s="778"/>
      <c r="AA131" s="779"/>
      <c r="AB131" s="779"/>
      <c r="AC131" s="779"/>
      <c r="AD131" s="780"/>
      <c r="AH131" s="338"/>
      <c r="AI131" s="338"/>
      <c r="AJ131" s="1255"/>
      <c r="AK131" s="1255"/>
      <c r="AL131" s="1255"/>
      <c r="AM131" s="746"/>
      <c r="AN131" s="746"/>
      <c r="AO131" s="746"/>
      <c r="AP131" s="747"/>
      <c r="AQ131" s="748"/>
      <c r="AR131" s="748"/>
      <c r="AS131" s="749"/>
      <c r="AU131" s="727"/>
      <c r="AV131" s="727"/>
      <c r="AW131" s="727"/>
      <c r="AX131" s="727"/>
      <c r="AY131" s="727"/>
      <c r="AZ131" s="727"/>
      <c r="BA131" s="727"/>
      <c r="BB131" s="727"/>
      <c r="BC131" s="727"/>
      <c r="BD131" s="727"/>
      <c r="BE131" s="13"/>
    </row>
    <row r="132" spans="26:84" ht="15" customHeight="1" x14ac:dyDescent="0.25">
      <c r="Z132" s="778"/>
      <c r="AA132" s="779"/>
      <c r="AB132" s="779"/>
      <c r="AC132" s="779"/>
      <c r="AD132" s="780"/>
      <c r="AH132" s="338"/>
      <c r="AI132" s="338"/>
      <c r="AJ132" s="1255">
        <v>45</v>
      </c>
      <c r="AK132" s="1255"/>
      <c r="AL132" s="1255"/>
      <c r="AM132" s="746">
        <v>49</v>
      </c>
      <c r="AN132" s="746"/>
      <c r="AO132" s="746"/>
      <c r="AP132" s="747">
        <f>AM132*AJ132</f>
        <v>2205</v>
      </c>
      <c r="AQ132" s="748"/>
      <c r="AR132" s="748"/>
      <c r="AS132" s="749"/>
      <c r="AU132" s="727"/>
      <c r="AV132" s="727"/>
      <c r="AW132" s="727"/>
      <c r="AX132" s="727"/>
      <c r="AY132" s="727"/>
      <c r="AZ132" s="727"/>
      <c r="BA132" s="727"/>
      <c r="BB132" s="727"/>
      <c r="BC132" s="727"/>
      <c r="BD132" s="727"/>
      <c r="BE132" s="13"/>
    </row>
    <row r="133" spans="26:84" ht="26.25" x14ac:dyDescent="0.25">
      <c r="Z133" s="778"/>
      <c r="AA133" s="779"/>
      <c r="AB133" s="779"/>
      <c r="AC133" s="779"/>
      <c r="AD133" s="780"/>
      <c r="AH133" s="338"/>
      <c r="AI133" s="338"/>
      <c r="AJ133" s="1255"/>
      <c r="AK133" s="1255"/>
      <c r="AL133" s="1255"/>
      <c r="AM133" s="746"/>
      <c r="AN133" s="746"/>
      <c r="AO133" s="746"/>
      <c r="AP133" s="747"/>
      <c r="AQ133" s="748"/>
      <c r="AR133" s="748"/>
      <c r="AS133" s="749"/>
      <c r="AU133" s="728"/>
      <c r="AV133" s="729"/>
      <c r="AW133" s="729"/>
      <c r="AX133" s="729"/>
      <c r="AY133" s="729"/>
      <c r="AZ133" s="729"/>
      <c r="BA133" s="729"/>
      <c r="BB133" s="729"/>
      <c r="BC133" s="729"/>
      <c r="BD133" s="730"/>
      <c r="BE133" s="57"/>
    </row>
    <row r="134" spans="26:84" ht="27" thickBot="1" x14ac:dyDescent="0.3">
      <c r="Z134" s="781"/>
      <c r="AA134" s="782"/>
      <c r="AB134" s="782"/>
      <c r="AC134" s="782"/>
      <c r="AD134" s="783"/>
      <c r="AH134" s="338"/>
      <c r="AI134" s="338"/>
      <c r="AJ134" s="1255"/>
      <c r="AK134" s="1255"/>
      <c r="AL134" s="1255"/>
      <c r="AM134" s="746"/>
      <c r="AN134" s="746"/>
      <c r="AO134" s="746"/>
      <c r="AP134" s="747"/>
      <c r="AQ134" s="748"/>
      <c r="AR134" s="748"/>
      <c r="AS134" s="749"/>
      <c r="AU134" s="731"/>
      <c r="AV134" s="732"/>
      <c r="AW134" s="732"/>
      <c r="AX134" s="732"/>
      <c r="AY134" s="732"/>
      <c r="AZ134" s="732"/>
      <c r="BA134" s="732"/>
      <c r="BB134" s="732"/>
      <c r="BC134" s="732"/>
      <c r="BD134" s="733"/>
      <c r="BE134" s="57"/>
    </row>
    <row r="135" spans="26:84" ht="27" thickTop="1" x14ac:dyDescent="0.25">
      <c r="AJ135" s="1255">
        <v>50</v>
      </c>
      <c r="AK135" s="1255"/>
      <c r="AL135" s="1255"/>
      <c r="AM135" s="746">
        <v>57</v>
      </c>
      <c r="AN135" s="746"/>
      <c r="AO135" s="746"/>
      <c r="AP135" s="747">
        <f>AM135*AJ135</f>
        <v>2850</v>
      </c>
      <c r="AQ135" s="748"/>
      <c r="AR135" s="748"/>
      <c r="AS135" s="749"/>
      <c r="AU135" s="734"/>
      <c r="AV135" s="735"/>
      <c r="AW135" s="735"/>
      <c r="AX135" s="735"/>
      <c r="AY135" s="735"/>
      <c r="AZ135" s="735"/>
      <c r="BA135" s="735"/>
      <c r="BB135" s="735"/>
      <c r="BC135" s="735"/>
      <c r="BD135" s="736"/>
      <c r="BE135" s="57"/>
      <c r="BW135" s="737" t="s">
        <v>135</v>
      </c>
      <c r="BX135" s="737"/>
      <c r="BY135" s="737"/>
      <c r="BZ135" s="737"/>
      <c r="CA135" s="737"/>
      <c r="CB135" s="737"/>
      <c r="CC135" s="737"/>
      <c r="CD135" s="737"/>
      <c r="CE135" s="737"/>
      <c r="CF135" s="737"/>
    </row>
    <row r="136" spans="26:84" x14ac:dyDescent="0.25">
      <c r="AJ136" s="1255"/>
      <c r="AK136" s="1255"/>
      <c r="AL136" s="1255"/>
      <c r="AM136" s="746"/>
      <c r="AN136" s="746"/>
      <c r="AO136" s="746"/>
      <c r="AP136" s="747"/>
      <c r="AQ136" s="748"/>
      <c r="AR136" s="748"/>
      <c r="AS136" s="749"/>
      <c r="AU136" s="739"/>
      <c r="AV136" s="740"/>
      <c r="AW136" s="740"/>
      <c r="AX136" s="740"/>
      <c r="AY136" s="740"/>
      <c r="AZ136" s="740"/>
      <c r="BA136" s="740"/>
      <c r="BB136" s="740"/>
      <c r="BC136" s="740"/>
      <c r="BD136" s="741"/>
      <c r="BE136" s="13"/>
      <c r="BW136" s="737"/>
      <c r="BX136" s="737"/>
      <c r="BY136" s="737"/>
      <c r="BZ136" s="737"/>
      <c r="CA136" s="737"/>
      <c r="CB136" s="737"/>
      <c r="CC136" s="737"/>
      <c r="CD136" s="737"/>
      <c r="CE136" s="737"/>
      <c r="CF136" s="737"/>
    </row>
    <row r="137" spans="26:84" x14ac:dyDescent="0.25">
      <c r="AJ137" s="1255"/>
      <c r="AK137" s="1255"/>
      <c r="AL137" s="1255"/>
      <c r="AM137" s="746"/>
      <c r="AN137" s="746"/>
      <c r="AO137" s="746"/>
      <c r="AP137" s="747"/>
      <c r="AQ137" s="748"/>
      <c r="AR137" s="748"/>
      <c r="AS137" s="749"/>
      <c r="AU137" s="742"/>
      <c r="AV137" s="743"/>
      <c r="AW137" s="743"/>
      <c r="AX137" s="743"/>
      <c r="AY137" s="743"/>
      <c r="AZ137" s="743"/>
      <c r="BA137" s="743"/>
      <c r="BB137" s="743"/>
      <c r="BC137" s="743"/>
      <c r="BD137" s="744"/>
      <c r="BE137" s="13"/>
      <c r="BW137" s="738"/>
      <c r="BX137" s="738"/>
      <c r="BY137" s="738"/>
      <c r="BZ137" s="738"/>
      <c r="CA137" s="738"/>
      <c r="CB137" s="738"/>
      <c r="CC137" s="738"/>
      <c r="CD137" s="738"/>
      <c r="CE137" s="738"/>
      <c r="CF137" s="738"/>
    </row>
    <row r="138" spans="26:84" x14ac:dyDescent="0.25">
      <c r="AJ138" s="1255">
        <v>55</v>
      </c>
      <c r="AK138" s="1255"/>
      <c r="AL138" s="1255"/>
      <c r="AM138" s="746">
        <v>48</v>
      </c>
      <c r="AN138" s="746"/>
      <c r="AO138" s="746"/>
      <c r="AP138" s="747">
        <f>AM138*AJ138</f>
        <v>2640</v>
      </c>
      <c r="AQ138" s="748"/>
      <c r="AR138" s="748"/>
      <c r="AS138" s="749"/>
      <c r="AU138" s="739"/>
      <c r="AV138" s="740"/>
      <c r="AW138" s="740"/>
      <c r="AX138" s="740"/>
      <c r="AY138" s="740"/>
      <c r="AZ138" s="740"/>
      <c r="BA138" s="740"/>
      <c r="BB138" s="740"/>
      <c r="BC138" s="740"/>
      <c r="BD138" s="741"/>
      <c r="BE138" s="13"/>
      <c r="BK138" s="727" t="s">
        <v>122</v>
      </c>
      <c r="BL138" s="727"/>
      <c r="BM138" s="727"/>
      <c r="BN138" s="727" t="s">
        <v>123</v>
      </c>
      <c r="BO138" s="727"/>
      <c r="BP138" s="727"/>
      <c r="BQ138" s="727" t="s">
        <v>124</v>
      </c>
      <c r="BR138" s="727"/>
      <c r="BS138" s="727" t="s">
        <v>125</v>
      </c>
      <c r="BT138" s="727"/>
      <c r="BW138" s="739" t="s">
        <v>126</v>
      </c>
      <c r="BX138" s="740"/>
      <c r="BY138" s="740"/>
      <c r="BZ138" s="740"/>
      <c r="CA138" s="740"/>
      <c r="CB138" s="740"/>
      <c r="CC138" s="740"/>
      <c r="CD138" s="740"/>
      <c r="CE138" s="740"/>
      <c r="CF138" s="741"/>
    </row>
    <row r="139" spans="26:84" x14ac:dyDescent="0.25">
      <c r="AJ139" s="1255"/>
      <c r="AK139" s="1255"/>
      <c r="AL139" s="1255"/>
      <c r="AM139" s="746"/>
      <c r="AN139" s="746"/>
      <c r="AO139" s="746"/>
      <c r="AP139" s="747"/>
      <c r="AQ139" s="748"/>
      <c r="AR139" s="748"/>
      <c r="AS139" s="749"/>
      <c r="AU139" s="750"/>
      <c r="AV139" s="751"/>
      <c r="AW139" s="751"/>
      <c r="AX139" s="751"/>
      <c r="AY139" s="751"/>
      <c r="AZ139" s="751"/>
      <c r="BA139" s="751"/>
      <c r="BB139" s="751"/>
      <c r="BC139" s="751"/>
      <c r="BD139" s="752"/>
      <c r="BE139" s="13"/>
      <c r="BK139" s="727"/>
      <c r="BL139" s="727"/>
      <c r="BM139" s="727"/>
      <c r="BN139" s="727"/>
      <c r="BO139" s="727"/>
      <c r="BP139" s="727"/>
      <c r="BQ139" s="727"/>
      <c r="BR139" s="727"/>
      <c r="BS139" s="727"/>
      <c r="BT139" s="727"/>
      <c r="BW139" s="750"/>
      <c r="BX139" s="751"/>
      <c r="BY139" s="751"/>
      <c r="BZ139" s="751"/>
      <c r="CA139" s="751"/>
      <c r="CB139" s="751"/>
      <c r="CC139" s="751"/>
      <c r="CD139" s="751"/>
      <c r="CE139" s="751"/>
      <c r="CF139" s="752"/>
    </row>
    <row r="140" spans="26:84" x14ac:dyDescent="0.25">
      <c r="AJ140" s="1255"/>
      <c r="AK140" s="1255"/>
      <c r="AL140" s="1255"/>
      <c r="AM140" s="746"/>
      <c r="AN140" s="746"/>
      <c r="AO140" s="746"/>
      <c r="AP140" s="747"/>
      <c r="AQ140" s="748"/>
      <c r="AR140" s="748"/>
      <c r="AS140" s="749"/>
      <c r="AU140" s="750"/>
      <c r="AV140" s="751"/>
      <c r="AW140" s="751"/>
      <c r="AX140" s="751"/>
      <c r="AY140" s="751"/>
      <c r="AZ140" s="751"/>
      <c r="BA140" s="751"/>
      <c r="BB140" s="751"/>
      <c r="BC140" s="751"/>
      <c r="BD140" s="752"/>
      <c r="BE140" s="13"/>
      <c r="BK140" s="727"/>
      <c r="BL140" s="727"/>
      <c r="BM140" s="727"/>
      <c r="BN140" s="727"/>
      <c r="BO140" s="727"/>
      <c r="BP140" s="727"/>
      <c r="BQ140" s="727"/>
      <c r="BR140" s="727"/>
      <c r="BS140" s="727"/>
      <c r="BT140" s="727"/>
      <c r="BW140" s="742"/>
      <c r="BX140" s="743"/>
      <c r="BY140" s="743"/>
      <c r="BZ140" s="743"/>
      <c r="CA140" s="743"/>
      <c r="CB140" s="743"/>
      <c r="CC140" s="743"/>
      <c r="CD140" s="743"/>
      <c r="CE140" s="743"/>
      <c r="CF140" s="744"/>
    </row>
    <row r="141" spans="26:84" x14ac:dyDescent="0.25">
      <c r="AJ141" s="1454">
        <v>60</v>
      </c>
      <c r="AK141" s="1454"/>
      <c r="AL141" s="1454"/>
      <c r="AM141" s="746">
        <v>27</v>
      </c>
      <c r="AN141" s="746"/>
      <c r="AO141" s="746"/>
      <c r="AP141" s="747">
        <f>AM141*AJ141</f>
        <v>1620</v>
      </c>
      <c r="AQ141" s="748"/>
      <c r="AR141" s="748"/>
      <c r="AS141" s="749"/>
      <c r="AU141" s="742"/>
      <c r="AV141" s="743"/>
      <c r="AW141" s="743"/>
      <c r="AX141" s="743"/>
      <c r="AY141" s="743"/>
      <c r="AZ141" s="743"/>
      <c r="BA141" s="743"/>
      <c r="BB141" s="743"/>
      <c r="BC141" s="743"/>
      <c r="BD141" s="744"/>
      <c r="BE141" s="13"/>
      <c r="BK141" s="774">
        <v>10490</v>
      </c>
      <c r="BL141" s="774"/>
      <c r="BM141" s="774"/>
      <c r="BN141" s="774">
        <f>AK150</f>
        <v>10490</v>
      </c>
      <c r="BO141" s="774"/>
      <c r="BP141" s="774"/>
      <c r="BQ141" s="726">
        <f>AU116</f>
        <v>111.06132693136445</v>
      </c>
      <c r="BR141" s="726"/>
      <c r="BS141" s="726">
        <f>BL116+BQ141</f>
        <v>180.06132693136445</v>
      </c>
      <c r="BT141" s="726"/>
      <c r="BW141" s="727" t="s">
        <v>128</v>
      </c>
      <c r="BX141" s="727"/>
      <c r="BY141" s="727"/>
      <c r="BZ141" s="727"/>
      <c r="CA141" s="727"/>
      <c r="CB141" s="727"/>
      <c r="CC141" s="727"/>
      <c r="CD141" s="727"/>
      <c r="CE141" s="727"/>
      <c r="CF141" s="727"/>
    </row>
    <row r="142" spans="26:84" ht="26.25" x14ac:dyDescent="0.25">
      <c r="AJ142" s="1454"/>
      <c r="AK142" s="1454"/>
      <c r="AL142" s="1454"/>
      <c r="AM142" s="746"/>
      <c r="AN142" s="746"/>
      <c r="AO142" s="746"/>
      <c r="AP142" s="747"/>
      <c r="AQ142" s="748"/>
      <c r="AR142" s="748"/>
      <c r="AS142" s="749"/>
      <c r="AU142" s="728"/>
      <c r="AV142" s="729"/>
      <c r="AW142" s="729"/>
      <c r="AX142" s="729"/>
      <c r="AY142" s="729"/>
      <c r="AZ142" s="729"/>
      <c r="BA142" s="729"/>
      <c r="BB142" s="729"/>
      <c r="BC142" s="729"/>
      <c r="BD142" s="730"/>
      <c r="BE142" s="57"/>
      <c r="BK142" s="774"/>
      <c r="BL142" s="774"/>
      <c r="BM142" s="774"/>
      <c r="BN142" s="774"/>
      <c r="BO142" s="774"/>
      <c r="BP142" s="774"/>
      <c r="BQ142" s="726"/>
      <c r="BR142" s="726"/>
      <c r="BS142" s="726"/>
      <c r="BT142" s="726"/>
      <c r="BW142" s="727"/>
      <c r="BX142" s="727"/>
      <c r="BY142" s="727"/>
      <c r="BZ142" s="727"/>
      <c r="CA142" s="727"/>
      <c r="CB142" s="727"/>
      <c r="CC142" s="727"/>
      <c r="CD142" s="727"/>
      <c r="CE142" s="727"/>
      <c r="CF142" s="727"/>
    </row>
    <row r="143" spans="26:84" ht="26.25" x14ac:dyDescent="0.25">
      <c r="AJ143" s="1454"/>
      <c r="AK143" s="1454"/>
      <c r="AL143" s="1454"/>
      <c r="AM143" s="746"/>
      <c r="AN143" s="746"/>
      <c r="AO143" s="746"/>
      <c r="AP143" s="747"/>
      <c r="AQ143" s="748"/>
      <c r="AR143" s="748"/>
      <c r="AS143" s="749"/>
      <c r="AU143" s="731"/>
      <c r="AV143" s="732"/>
      <c r="AW143" s="732"/>
      <c r="AX143" s="732"/>
      <c r="AY143" s="732"/>
      <c r="AZ143" s="732"/>
      <c r="BA143" s="732"/>
      <c r="BB143" s="732"/>
      <c r="BC143" s="732"/>
      <c r="BD143" s="733"/>
      <c r="BE143" s="57"/>
      <c r="BK143" s="774"/>
      <c r="BL143" s="774"/>
      <c r="BM143" s="774"/>
      <c r="BN143" s="774"/>
      <c r="BO143" s="774"/>
      <c r="BP143" s="774"/>
      <c r="BQ143" s="726"/>
      <c r="BR143" s="726"/>
      <c r="BS143" s="726"/>
      <c r="BT143" s="726"/>
      <c r="BW143" s="728">
        <f>BQ141/((66*3.1415/64)*(BN141/3.281))</f>
        <v>1.0722414072959588E-2</v>
      </c>
      <c r="BX143" s="729"/>
      <c r="BY143" s="729"/>
      <c r="BZ143" s="729"/>
      <c r="CA143" s="729"/>
      <c r="CB143" s="729"/>
      <c r="CC143" s="729"/>
      <c r="CD143" s="729"/>
      <c r="CE143" s="729"/>
      <c r="CF143" s="730"/>
    </row>
    <row r="144" spans="26:84" ht="26.25" x14ac:dyDescent="0.25">
      <c r="AJ144" s="727">
        <v>65</v>
      </c>
      <c r="AK144" s="727"/>
      <c r="AL144" s="727"/>
      <c r="AM144" s="746">
        <v>2</v>
      </c>
      <c r="AN144" s="746"/>
      <c r="AO144" s="746"/>
      <c r="AP144" s="747">
        <f>AM144*AJ144</f>
        <v>130</v>
      </c>
      <c r="AQ144" s="748"/>
      <c r="AR144" s="748"/>
      <c r="AS144" s="749"/>
      <c r="AU144" s="731"/>
      <c r="AV144" s="732"/>
      <c r="AW144" s="732"/>
      <c r="AX144" s="732"/>
      <c r="AY144" s="732"/>
      <c r="AZ144" s="732"/>
      <c r="BA144" s="732"/>
      <c r="BB144" s="732"/>
      <c r="BC144" s="732"/>
      <c r="BD144" s="733"/>
      <c r="BE144" s="57"/>
      <c r="BK144" s="774"/>
      <c r="BL144" s="774"/>
      <c r="BM144" s="774"/>
      <c r="BN144" s="774"/>
      <c r="BO144" s="774"/>
      <c r="BP144" s="774"/>
      <c r="BQ144" s="726"/>
      <c r="BR144" s="726"/>
      <c r="BS144" s="726"/>
      <c r="BT144" s="726"/>
      <c r="BW144" s="731"/>
      <c r="BX144" s="732"/>
      <c r="BY144" s="732"/>
      <c r="BZ144" s="732"/>
      <c r="CA144" s="732"/>
      <c r="CB144" s="732"/>
      <c r="CC144" s="732"/>
      <c r="CD144" s="732"/>
      <c r="CE144" s="732"/>
      <c r="CF144" s="733"/>
    </row>
    <row r="145" spans="26:84" ht="26.25" x14ac:dyDescent="0.25">
      <c r="AJ145" s="727"/>
      <c r="AK145" s="727"/>
      <c r="AL145" s="727"/>
      <c r="AM145" s="746"/>
      <c r="AN145" s="746"/>
      <c r="AO145" s="746"/>
      <c r="AP145" s="747"/>
      <c r="AQ145" s="748"/>
      <c r="AR145" s="748"/>
      <c r="AS145" s="749"/>
      <c r="AU145" s="731"/>
      <c r="AV145" s="732"/>
      <c r="AW145" s="732"/>
      <c r="AX145" s="732"/>
      <c r="AY145" s="732"/>
      <c r="AZ145" s="732"/>
      <c r="BA145" s="732"/>
      <c r="BB145" s="732"/>
      <c r="BC145" s="732"/>
      <c r="BD145" s="733"/>
      <c r="BE145" s="57"/>
      <c r="BW145" s="734"/>
      <c r="BX145" s="735"/>
      <c r="BY145" s="735"/>
      <c r="BZ145" s="735"/>
      <c r="CA145" s="735"/>
      <c r="CB145" s="735"/>
      <c r="CC145" s="735"/>
      <c r="CD145" s="735"/>
      <c r="CE145" s="735"/>
      <c r="CF145" s="736"/>
    </row>
    <row r="146" spans="26:84" ht="26.25" x14ac:dyDescent="0.25">
      <c r="AJ146" s="727"/>
      <c r="AK146" s="727"/>
      <c r="AL146" s="727"/>
      <c r="AM146" s="746"/>
      <c r="AN146" s="746"/>
      <c r="AO146" s="746"/>
      <c r="AP146" s="747"/>
      <c r="AQ146" s="748"/>
      <c r="AR146" s="748"/>
      <c r="AS146" s="749"/>
      <c r="AU146" s="734"/>
      <c r="AV146" s="735"/>
      <c r="AW146" s="735"/>
      <c r="AX146" s="735"/>
      <c r="AY146" s="735"/>
      <c r="AZ146" s="735"/>
      <c r="BA146" s="735"/>
      <c r="BB146" s="735"/>
      <c r="BC146" s="735"/>
      <c r="BD146" s="736"/>
      <c r="BE146" s="57"/>
      <c r="BW146" s="739" t="s">
        <v>129</v>
      </c>
      <c r="BX146" s="740"/>
      <c r="BY146" s="740"/>
      <c r="BZ146" s="740"/>
      <c r="CA146" s="740"/>
      <c r="CB146" s="740"/>
      <c r="CC146" s="740"/>
      <c r="CD146" s="740"/>
      <c r="CE146" s="740"/>
      <c r="CF146" s="741"/>
    </row>
    <row r="147" spans="26:84" ht="15" customHeight="1" x14ac:dyDescent="0.25">
      <c r="AJ147" s="727">
        <v>70</v>
      </c>
      <c r="AK147" s="727"/>
      <c r="AL147" s="727"/>
      <c r="AM147" s="746">
        <v>2</v>
      </c>
      <c r="AN147" s="746"/>
      <c r="AO147" s="746"/>
      <c r="AP147" s="747">
        <f>AM147*AJ147</f>
        <v>140</v>
      </c>
      <c r="AQ147" s="748"/>
      <c r="AR147" s="748"/>
      <c r="AS147" s="749"/>
      <c r="BW147" s="742"/>
      <c r="BX147" s="743"/>
      <c r="BY147" s="743"/>
      <c r="BZ147" s="743"/>
      <c r="CA147" s="743"/>
      <c r="CB147" s="743"/>
      <c r="CC147" s="743"/>
      <c r="CD147" s="743"/>
      <c r="CE147" s="743"/>
      <c r="CF147" s="744"/>
    </row>
    <row r="148" spans="26:84" ht="15" customHeight="1" x14ac:dyDescent="0.25">
      <c r="AJ148" s="727"/>
      <c r="AK148" s="727"/>
      <c r="AL148" s="727"/>
      <c r="AM148" s="746"/>
      <c r="AN148" s="746"/>
      <c r="AO148" s="746"/>
      <c r="AP148" s="747"/>
      <c r="AQ148" s="748"/>
      <c r="AR148" s="748"/>
      <c r="AS148" s="749"/>
      <c r="BW148" s="739" t="s">
        <v>130</v>
      </c>
      <c r="BX148" s="740"/>
      <c r="BY148" s="740"/>
      <c r="BZ148" s="740"/>
      <c r="CA148" s="740"/>
      <c r="CB148" s="740"/>
      <c r="CC148" s="740"/>
      <c r="CD148" s="740"/>
      <c r="CE148" s="740"/>
      <c r="CF148" s="741"/>
    </row>
    <row r="149" spans="26:84" ht="15" customHeight="1" x14ac:dyDescent="0.25">
      <c r="AJ149" s="727"/>
      <c r="AK149" s="727"/>
      <c r="AL149" s="727"/>
      <c r="AM149" s="746"/>
      <c r="AN149" s="746"/>
      <c r="AO149" s="746"/>
      <c r="AP149" s="747"/>
      <c r="AQ149" s="748"/>
      <c r="AR149" s="748"/>
      <c r="AS149" s="749"/>
      <c r="BW149" s="750"/>
      <c r="BX149" s="751"/>
      <c r="BY149" s="751"/>
      <c r="BZ149" s="751"/>
      <c r="CA149" s="751"/>
      <c r="CB149" s="751"/>
      <c r="CC149" s="751"/>
      <c r="CD149" s="751"/>
      <c r="CE149" s="751"/>
      <c r="CF149" s="752"/>
    </row>
    <row r="150" spans="26:84" ht="15.75" thickBot="1" x14ac:dyDescent="0.3">
      <c r="AK150" s="1646">
        <f>AP126+AP129+AP132+AP135+AP138+AP141+AP144+AP147</f>
        <v>10490</v>
      </c>
      <c r="AL150" s="1646"/>
      <c r="AM150" s="1646"/>
      <c r="AN150" s="1646"/>
      <c r="AO150" s="1646"/>
      <c r="AP150" s="1646"/>
      <c r="AQ150" s="1646"/>
      <c r="AR150" s="1646"/>
      <c r="AS150" s="1646"/>
      <c r="BW150" s="750"/>
      <c r="BX150" s="751"/>
      <c r="BY150" s="751"/>
      <c r="BZ150" s="751"/>
      <c r="CA150" s="751"/>
      <c r="CB150" s="751"/>
      <c r="CC150" s="751"/>
      <c r="CD150" s="751"/>
      <c r="CE150" s="751"/>
      <c r="CF150" s="752"/>
    </row>
    <row r="151" spans="26:84" ht="15.75" thickBot="1" x14ac:dyDescent="0.3">
      <c r="Z151" s="81"/>
      <c r="AA151" s="82"/>
      <c r="AB151" s="82"/>
      <c r="AC151" s="82"/>
      <c r="AD151" s="82"/>
      <c r="AE151" s="82"/>
      <c r="AF151" s="82"/>
      <c r="AG151" s="82"/>
      <c r="AH151" s="82"/>
      <c r="AI151" s="82"/>
      <c r="AJ151" s="82"/>
      <c r="AK151" s="950"/>
      <c r="AL151" s="950"/>
      <c r="AM151" s="950"/>
      <c r="AN151" s="950"/>
      <c r="AO151" s="950"/>
      <c r="AP151" s="950"/>
      <c r="AQ151" s="950"/>
      <c r="AR151" s="950"/>
      <c r="AS151" s="950"/>
      <c r="AT151" s="82"/>
      <c r="AU151" s="82"/>
      <c r="AV151" s="82"/>
      <c r="AW151" s="82"/>
      <c r="AX151" s="82"/>
      <c r="AY151" s="82"/>
      <c r="AZ151" s="82"/>
      <c r="BA151" s="82"/>
      <c r="BB151" s="82"/>
      <c r="BC151" s="82"/>
      <c r="BD151" s="82"/>
      <c r="BE151" s="82"/>
      <c r="BF151" s="82"/>
      <c r="BG151" s="82"/>
      <c r="BH151" s="83"/>
      <c r="BW151" s="742"/>
      <c r="BX151" s="743"/>
      <c r="BY151" s="743"/>
      <c r="BZ151" s="743"/>
      <c r="CA151" s="743"/>
      <c r="CB151" s="743"/>
      <c r="CC151" s="743"/>
      <c r="CD151" s="743"/>
      <c r="CE151" s="743"/>
      <c r="CF151" s="744"/>
    </row>
    <row r="152" spans="26:84" ht="15.75" customHeight="1" thickTop="1" x14ac:dyDescent="0.25">
      <c r="Z152" s="84"/>
      <c r="AA152" s="73"/>
      <c r="AB152" s="74"/>
      <c r="AC152" s="74"/>
      <c r="AD152" s="74"/>
      <c r="AE152" s="75"/>
      <c r="AI152" s="348"/>
      <c r="AJ152" s="348"/>
      <c r="AK152" s="950"/>
      <c r="AL152" s="950"/>
      <c r="AM152" s="950"/>
      <c r="AN152" s="950"/>
      <c r="AO152" s="950"/>
      <c r="AP152" s="950"/>
      <c r="AQ152" s="950"/>
      <c r="AR152" s="950"/>
      <c r="AS152" s="950"/>
      <c r="AV152" s="354"/>
      <c r="AW152" s="355"/>
      <c r="AX152" s="355"/>
      <c r="AY152" s="355"/>
      <c r="AZ152" s="355"/>
      <c r="BA152" s="355"/>
      <c r="BB152" s="355"/>
      <c r="BC152" s="355"/>
      <c r="BD152" s="355"/>
      <c r="BE152" s="356"/>
      <c r="BF152" s="13"/>
      <c r="BG152" s="13"/>
      <c r="BH152" s="85"/>
      <c r="BW152" s="728">
        <f>BS141/((66*3.1415/64)*(BN141/3.281))</f>
        <v>1.7384017994650839E-2</v>
      </c>
      <c r="BX152" s="729"/>
      <c r="BY152" s="729"/>
      <c r="BZ152" s="729"/>
      <c r="CA152" s="729"/>
      <c r="CB152" s="729"/>
      <c r="CC152" s="729"/>
      <c r="CD152" s="729"/>
      <c r="CE152" s="729"/>
      <c r="CF152" s="730"/>
    </row>
    <row r="153" spans="26:84" ht="15" customHeight="1" x14ac:dyDescent="0.25">
      <c r="Z153" s="84"/>
      <c r="AA153" s="76"/>
      <c r="AB153" s="86"/>
      <c r="AC153" s="86"/>
      <c r="AD153" s="86"/>
      <c r="AE153" s="77"/>
      <c r="AI153" s="348"/>
      <c r="AJ153" s="348"/>
      <c r="AK153" s="348"/>
      <c r="AL153" s="348"/>
      <c r="AM153" s="348"/>
      <c r="AN153" s="348"/>
      <c r="AO153" s="348"/>
      <c r="AP153" s="348"/>
      <c r="AQ153" s="348"/>
      <c r="AR153" s="348"/>
      <c r="AV153" s="361"/>
      <c r="AW153" s="27"/>
      <c r="AX153" s="27"/>
      <c r="AY153" s="27"/>
      <c r="AZ153" s="27"/>
      <c r="BA153" s="27"/>
      <c r="BB153" s="27"/>
      <c r="BC153" s="27"/>
      <c r="BD153" s="27"/>
      <c r="BE153" s="362"/>
      <c r="BF153" s="13"/>
      <c r="BG153" s="13"/>
      <c r="BH153" s="85"/>
      <c r="BW153" s="731"/>
      <c r="BX153" s="732"/>
      <c r="BY153" s="732"/>
      <c r="BZ153" s="732"/>
      <c r="CA153" s="732"/>
      <c r="CB153" s="732"/>
      <c r="CC153" s="732"/>
      <c r="CD153" s="732"/>
      <c r="CE153" s="732"/>
      <c r="CF153" s="733"/>
    </row>
    <row r="154" spans="26:84" ht="15" customHeight="1" x14ac:dyDescent="0.25">
      <c r="Z154" s="84"/>
      <c r="AA154" s="76"/>
      <c r="AB154" s="86"/>
      <c r="AC154" s="86"/>
      <c r="AD154" s="86"/>
      <c r="AE154" s="77"/>
      <c r="AI154" s="348"/>
      <c r="AJ154" s="348"/>
      <c r="AK154" s="348"/>
      <c r="AL154" s="348"/>
      <c r="AM154" s="348"/>
      <c r="AN154" s="348"/>
      <c r="AO154" s="348"/>
      <c r="AP154" s="348"/>
      <c r="AQ154" s="348"/>
      <c r="AR154" s="348"/>
      <c r="AV154" s="357"/>
      <c r="AW154" s="358"/>
      <c r="AX154" s="358"/>
      <c r="AY154" s="358"/>
      <c r="AZ154" s="358"/>
      <c r="BA154" s="358"/>
      <c r="BB154" s="358"/>
      <c r="BC154" s="358"/>
      <c r="BD154" s="358"/>
      <c r="BE154" s="359"/>
      <c r="BF154" s="13"/>
      <c r="BG154" s="13"/>
      <c r="BH154" s="85"/>
      <c r="BW154" s="731"/>
      <c r="BX154" s="732"/>
      <c r="BY154" s="732"/>
      <c r="BZ154" s="732"/>
      <c r="CA154" s="732"/>
      <c r="CB154" s="732"/>
      <c r="CC154" s="732"/>
      <c r="CD154" s="732"/>
      <c r="CE154" s="732"/>
      <c r="CF154" s="733"/>
    </row>
    <row r="155" spans="26:84" ht="15" customHeight="1" x14ac:dyDescent="0.25">
      <c r="Z155" s="84"/>
      <c r="AA155" s="76"/>
      <c r="AB155" s="86"/>
      <c r="AC155" s="86"/>
      <c r="AD155" s="86"/>
      <c r="AE155" s="77"/>
      <c r="AI155" s="338"/>
      <c r="AJ155" s="338"/>
      <c r="AK155" s="338"/>
      <c r="AL155" s="338"/>
      <c r="AM155" s="338"/>
      <c r="AN155" s="338"/>
      <c r="AO155" s="339"/>
      <c r="AP155" s="339"/>
      <c r="AQ155" s="339"/>
      <c r="AR155" s="339"/>
      <c r="AV155" s="348"/>
      <c r="AW155" s="348"/>
      <c r="AX155" s="348"/>
      <c r="AY155" s="348"/>
      <c r="AZ155" s="348"/>
      <c r="BA155" s="348"/>
      <c r="BB155" s="348"/>
      <c r="BC155" s="348"/>
      <c r="BD155" s="348"/>
      <c r="BE155" s="348"/>
      <c r="BF155" s="13"/>
      <c r="BG155" s="13"/>
      <c r="BH155" s="85"/>
      <c r="BW155" s="731"/>
      <c r="BX155" s="732"/>
      <c r="BY155" s="732"/>
      <c r="BZ155" s="732"/>
      <c r="CA155" s="732"/>
      <c r="CB155" s="732"/>
      <c r="CC155" s="732"/>
      <c r="CD155" s="732"/>
      <c r="CE155" s="732"/>
      <c r="CF155" s="733"/>
    </row>
    <row r="156" spans="26:84" ht="15" customHeight="1" x14ac:dyDescent="0.25">
      <c r="Z156" s="84"/>
      <c r="AA156" s="76"/>
      <c r="AB156" s="86"/>
      <c r="AC156" s="86"/>
      <c r="AD156" s="86"/>
      <c r="AE156" s="77"/>
      <c r="AI156" s="338"/>
      <c r="AJ156" s="338" t="s">
        <v>16</v>
      </c>
      <c r="AK156" s="338"/>
      <c r="AL156" s="338"/>
      <c r="AM156" s="338"/>
      <c r="AN156" s="338"/>
      <c r="AO156" s="339"/>
      <c r="AP156" s="339"/>
      <c r="AQ156" s="339"/>
      <c r="AR156" s="339"/>
      <c r="AV156" s="348"/>
      <c r="AW156" s="348"/>
      <c r="AX156" s="348"/>
      <c r="AY156" s="348"/>
      <c r="AZ156" s="348"/>
      <c r="BA156" s="348"/>
      <c r="BB156" s="348"/>
      <c r="BC156" s="348"/>
      <c r="BD156" s="348"/>
      <c r="BE156" s="348"/>
      <c r="BF156" s="13"/>
      <c r="BG156" s="13"/>
      <c r="BH156" s="85"/>
      <c r="BW156" s="734"/>
      <c r="BX156" s="735"/>
      <c r="BY156" s="735"/>
      <c r="BZ156" s="735"/>
      <c r="CA156" s="735"/>
      <c r="CB156" s="735"/>
      <c r="CC156" s="735"/>
      <c r="CD156" s="735"/>
      <c r="CE156" s="735"/>
      <c r="CF156" s="736"/>
    </row>
    <row r="157" spans="26:84" ht="26.25" customHeight="1" x14ac:dyDescent="0.25">
      <c r="Z157" s="84"/>
      <c r="AA157" s="76"/>
      <c r="AB157" s="86"/>
      <c r="AC157" s="86"/>
      <c r="AD157" s="86"/>
      <c r="AE157" s="77"/>
      <c r="AI157" s="338"/>
      <c r="AJ157" s="338"/>
      <c r="AK157" s="338"/>
      <c r="AL157" s="338"/>
      <c r="AM157" s="338"/>
      <c r="AN157" s="338"/>
      <c r="AO157" s="339"/>
      <c r="AP157" s="339"/>
      <c r="AQ157" s="339"/>
      <c r="AR157" s="339"/>
      <c r="AV157" s="340"/>
      <c r="AW157" s="341"/>
      <c r="AX157" s="341"/>
      <c r="AY157" s="341"/>
      <c r="AZ157" s="341"/>
      <c r="BA157" s="341"/>
      <c r="BB157" s="341"/>
      <c r="BC157" s="341"/>
      <c r="BD157" s="341"/>
      <c r="BE157" s="342"/>
      <c r="BF157" s="57"/>
      <c r="BG157" s="57"/>
      <c r="BH157" s="85"/>
    </row>
    <row r="158" spans="26:84" ht="27" customHeight="1" thickBot="1" x14ac:dyDescent="0.3">
      <c r="Z158" s="84"/>
      <c r="AA158" s="78"/>
      <c r="AB158" s="79"/>
      <c r="AC158" s="79"/>
      <c r="AD158" s="79"/>
      <c r="AE158" s="80"/>
      <c r="AI158" s="338"/>
      <c r="AJ158" s="338"/>
      <c r="AK158" s="338"/>
      <c r="AL158" s="338"/>
      <c r="AM158" s="338"/>
      <c r="AN158" s="338"/>
      <c r="AO158" s="339"/>
      <c r="AP158" s="339"/>
      <c r="AQ158" s="339"/>
      <c r="AR158" s="339"/>
      <c r="AV158" s="343"/>
      <c r="AW158" s="51"/>
      <c r="AX158" s="51"/>
      <c r="AY158" s="51"/>
      <c r="AZ158" s="51"/>
      <c r="BA158" s="51"/>
      <c r="BB158" s="51"/>
      <c r="BC158" s="51"/>
      <c r="BD158" s="51"/>
      <c r="BE158" s="344"/>
      <c r="BF158" s="57"/>
      <c r="BG158" s="57"/>
      <c r="BH158" s="85"/>
    </row>
    <row r="159" spans="26:84" ht="27" thickTop="1" x14ac:dyDescent="0.25">
      <c r="Z159" s="84"/>
      <c r="AV159" s="345"/>
      <c r="AW159" s="346"/>
      <c r="AX159" s="346"/>
      <c r="AY159" s="346"/>
      <c r="AZ159" s="346"/>
      <c r="BA159" s="346"/>
      <c r="BB159" s="346"/>
      <c r="BC159" s="346"/>
      <c r="BD159" s="346"/>
      <c r="BE159" s="347"/>
      <c r="BF159" s="57"/>
      <c r="BG159" s="57"/>
      <c r="BH159" s="85"/>
    </row>
    <row r="160" spans="26:84" x14ac:dyDescent="0.25">
      <c r="Z160" s="84"/>
      <c r="AV160" s="354"/>
      <c r="AW160" s="355"/>
      <c r="AX160" s="355"/>
      <c r="AY160" s="355"/>
      <c r="AZ160" s="355"/>
      <c r="BA160" s="355"/>
      <c r="BB160" s="355"/>
      <c r="BC160" s="355"/>
      <c r="BD160" s="355"/>
      <c r="BE160" s="356"/>
      <c r="BF160" s="13"/>
      <c r="BG160" s="13"/>
      <c r="BH160" s="85"/>
    </row>
    <row r="161" spans="26:60" x14ac:dyDescent="0.25">
      <c r="Z161" s="84"/>
      <c r="AV161" s="357"/>
      <c r="AW161" s="358"/>
      <c r="AX161" s="358"/>
      <c r="AY161" s="358"/>
      <c r="AZ161" s="358"/>
      <c r="BA161" s="358"/>
      <c r="BB161" s="358"/>
      <c r="BC161" s="358"/>
      <c r="BD161" s="358"/>
      <c r="BE161" s="359"/>
      <c r="BF161" s="13"/>
      <c r="BG161" s="13"/>
      <c r="BH161" s="85"/>
    </row>
    <row r="162" spans="26:60" ht="15" customHeight="1" x14ac:dyDescent="0.25">
      <c r="Z162" s="84"/>
      <c r="AK162" s="360"/>
      <c r="AL162" s="360"/>
      <c r="AM162" s="360"/>
      <c r="AN162" s="349"/>
      <c r="AO162" s="349"/>
      <c r="AP162" s="349"/>
      <c r="AQ162" s="350"/>
      <c r="AR162" s="351"/>
      <c r="AS162" s="351"/>
      <c r="AT162" s="352"/>
      <c r="AV162" s="354"/>
      <c r="AW162" s="355"/>
      <c r="AX162" s="355"/>
      <c r="AY162" s="355"/>
      <c r="AZ162" s="355"/>
      <c r="BA162" s="355"/>
      <c r="BB162" s="355"/>
      <c r="BC162" s="355"/>
      <c r="BD162" s="355"/>
      <c r="BE162" s="356"/>
      <c r="BF162" s="13"/>
      <c r="BG162" s="13"/>
      <c r="BH162" s="85"/>
    </row>
    <row r="163" spans="26:60" ht="15" customHeight="1" x14ac:dyDescent="0.25">
      <c r="Z163" s="84"/>
      <c r="AK163" s="360"/>
      <c r="AL163" s="360"/>
      <c r="AM163" s="360"/>
      <c r="AN163" s="349"/>
      <c r="AO163" s="349"/>
      <c r="AP163" s="349"/>
      <c r="AQ163" s="350"/>
      <c r="AR163" s="351"/>
      <c r="AS163" s="351"/>
      <c r="AT163" s="352"/>
      <c r="AV163" s="361"/>
      <c r="AW163" s="27"/>
      <c r="AX163" s="27"/>
      <c r="AY163" s="27"/>
      <c r="AZ163" s="27"/>
      <c r="BA163" s="27"/>
      <c r="BB163" s="27"/>
      <c r="BC163" s="27"/>
      <c r="BD163" s="27"/>
      <c r="BE163" s="362"/>
      <c r="BF163" s="13"/>
      <c r="BG163" s="13"/>
      <c r="BH163" s="85"/>
    </row>
    <row r="164" spans="26:60" ht="15" customHeight="1" x14ac:dyDescent="0.25">
      <c r="Z164" s="84"/>
      <c r="AK164" s="360"/>
      <c r="AL164" s="360"/>
      <c r="AM164" s="360"/>
      <c r="AN164" s="349"/>
      <c r="AO164" s="349"/>
      <c r="AP164" s="349"/>
      <c r="AQ164" s="350"/>
      <c r="AR164" s="351"/>
      <c r="AS164" s="351"/>
      <c r="AT164" s="352"/>
      <c r="AV164" s="361"/>
      <c r="AW164" s="27"/>
      <c r="AX164" s="27"/>
      <c r="AY164" s="27"/>
      <c r="AZ164" s="27"/>
      <c r="BA164" s="27"/>
      <c r="BB164" s="27"/>
      <c r="BC164" s="27"/>
      <c r="BD164" s="27"/>
      <c r="BE164" s="362"/>
      <c r="BF164" s="13"/>
      <c r="BG164" s="13"/>
      <c r="BH164" s="85"/>
    </row>
    <row r="165" spans="26:60" ht="15" customHeight="1" x14ac:dyDescent="0.25">
      <c r="Z165" s="84"/>
      <c r="AK165" s="348"/>
      <c r="AL165" s="348"/>
      <c r="AM165" s="348"/>
      <c r="AN165" s="349"/>
      <c r="AO165" s="349"/>
      <c r="AP165" s="349"/>
      <c r="AQ165" s="350"/>
      <c r="AR165" s="351"/>
      <c r="AS165" s="351"/>
      <c r="AT165" s="352"/>
      <c r="AV165" s="357"/>
      <c r="AW165" s="358"/>
      <c r="AX165" s="358"/>
      <c r="AY165" s="358"/>
      <c r="AZ165" s="358"/>
      <c r="BA165" s="358"/>
      <c r="BB165" s="358"/>
      <c r="BC165" s="358"/>
      <c r="BD165" s="358"/>
      <c r="BE165" s="359"/>
      <c r="BF165" s="13"/>
      <c r="BG165" s="13"/>
      <c r="BH165" s="85"/>
    </row>
    <row r="166" spans="26:60" ht="26.25" x14ac:dyDescent="0.25">
      <c r="Z166" s="84"/>
      <c r="AK166" s="348"/>
      <c r="AL166" s="348"/>
      <c r="AM166" s="348"/>
      <c r="AN166" s="349"/>
      <c r="AO166" s="349"/>
      <c r="AP166" s="349"/>
      <c r="AQ166" s="350"/>
      <c r="AR166" s="351"/>
      <c r="AS166" s="351"/>
      <c r="AT166" s="352"/>
      <c r="AV166" s="340"/>
      <c r="AW166" s="341"/>
      <c r="AX166" s="341"/>
      <c r="AY166" s="341"/>
      <c r="AZ166" s="341"/>
      <c r="BA166" s="341"/>
      <c r="BB166" s="341"/>
      <c r="BC166" s="341"/>
      <c r="BD166" s="341"/>
      <c r="BE166" s="342"/>
      <c r="BF166" s="57"/>
      <c r="BG166" s="57"/>
      <c r="BH166" s="85"/>
    </row>
    <row r="167" spans="26:60" ht="26.25" x14ac:dyDescent="0.25">
      <c r="Z167" s="84"/>
      <c r="AK167" s="348"/>
      <c r="AL167" s="348"/>
      <c r="AM167" s="348"/>
      <c r="AN167" s="349"/>
      <c r="AO167" s="349"/>
      <c r="AP167" s="349"/>
      <c r="AQ167" s="350"/>
      <c r="AR167" s="351"/>
      <c r="AS167" s="351"/>
      <c r="AT167" s="352"/>
      <c r="AV167" s="343"/>
      <c r="AW167" s="51"/>
      <c r="AX167" s="51"/>
      <c r="AY167" s="51"/>
      <c r="AZ167" s="51"/>
      <c r="BA167" s="51"/>
      <c r="BB167" s="51"/>
      <c r="BC167" s="51"/>
      <c r="BD167" s="51"/>
      <c r="BE167" s="344"/>
      <c r="BF167" s="57"/>
      <c r="BG167" s="57"/>
      <c r="BH167" s="85"/>
    </row>
    <row r="168" spans="26:60" ht="26.25" x14ac:dyDescent="0.25">
      <c r="Z168" s="84"/>
      <c r="AK168" s="348"/>
      <c r="AL168" s="348"/>
      <c r="AM168" s="348"/>
      <c r="AN168" s="349"/>
      <c r="AO168" s="349"/>
      <c r="AP168" s="349"/>
      <c r="AQ168" s="350"/>
      <c r="AR168" s="351"/>
      <c r="AS168" s="351"/>
      <c r="AT168" s="352"/>
      <c r="AV168" s="343"/>
      <c r="AW168" s="51"/>
      <c r="AX168" s="51"/>
      <c r="AY168" s="51"/>
      <c r="AZ168" s="51"/>
      <c r="BA168" s="51"/>
      <c r="BB168" s="51"/>
      <c r="BC168" s="51"/>
      <c r="BD168" s="51"/>
      <c r="BE168" s="344"/>
      <c r="BF168" s="57"/>
      <c r="BG168" s="57"/>
      <c r="BH168" s="85"/>
    </row>
    <row r="169" spans="26:60" ht="26.25" x14ac:dyDescent="0.25">
      <c r="Z169" s="84"/>
      <c r="AK169" s="348"/>
      <c r="AL169" s="348"/>
      <c r="AM169" s="348"/>
      <c r="AN169" s="349"/>
      <c r="AO169" s="349"/>
      <c r="AP169" s="349"/>
      <c r="AQ169" s="350"/>
      <c r="AR169" s="351"/>
      <c r="AS169" s="351"/>
      <c r="AT169" s="352"/>
      <c r="AV169" s="343"/>
      <c r="AW169" s="51"/>
      <c r="AX169" s="51"/>
      <c r="AY169" s="51"/>
      <c r="AZ169" s="51"/>
      <c r="BA169" s="51"/>
      <c r="BB169" s="51"/>
      <c r="BC169" s="51"/>
      <c r="BD169" s="51"/>
      <c r="BE169" s="344"/>
      <c r="BF169" s="57"/>
      <c r="BG169" s="57"/>
      <c r="BH169" s="85"/>
    </row>
    <row r="170" spans="26:60" ht="26.25" x14ac:dyDescent="0.25">
      <c r="Z170" s="84"/>
      <c r="AK170" s="348"/>
      <c r="AL170" s="348"/>
      <c r="AM170" s="348"/>
      <c r="AN170" s="349"/>
      <c r="AO170" s="349"/>
      <c r="AP170" s="349"/>
      <c r="AQ170" s="350"/>
      <c r="AR170" s="351"/>
      <c r="AS170" s="351"/>
      <c r="AT170" s="352"/>
      <c r="AV170" s="345"/>
      <c r="AW170" s="346"/>
      <c r="AX170" s="346"/>
      <c r="AY170" s="346"/>
      <c r="AZ170" s="346"/>
      <c r="BA170" s="346"/>
      <c r="BB170" s="346"/>
      <c r="BC170" s="346"/>
      <c r="BD170" s="346"/>
      <c r="BE170" s="347"/>
      <c r="BF170" s="57"/>
      <c r="BG170" s="57"/>
      <c r="BH170" s="85"/>
    </row>
    <row r="171" spans="26:60" ht="15" customHeight="1" x14ac:dyDescent="0.25">
      <c r="Z171" s="84"/>
      <c r="AN171" s="353"/>
      <c r="AO171" s="353"/>
      <c r="AP171" s="353"/>
      <c r="AQ171" s="350"/>
      <c r="AR171" s="351"/>
      <c r="AS171" s="351"/>
      <c r="AT171" s="352"/>
      <c r="BH171" s="85"/>
    </row>
    <row r="172" spans="26:60" ht="15" customHeight="1" x14ac:dyDescent="0.25">
      <c r="Z172" s="84"/>
      <c r="AN172" s="353"/>
      <c r="AO172" s="353"/>
      <c r="AP172" s="353"/>
      <c r="AQ172" s="350"/>
      <c r="AR172" s="351"/>
      <c r="AS172" s="351"/>
      <c r="AT172" s="352"/>
      <c r="BH172" s="85"/>
    </row>
    <row r="173" spans="26:60" ht="15" customHeight="1" x14ac:dyDescent="0.25">
      <c r="Z173" s="84"/>
      <c r="AN173" s="353"/>
      <c r="AO173" s="353"/>
      <c r="AP173" s="353"/>
      <c r="AQ173" s="350"/>
      <c r="AR173" s="351"/>
      <c r="AS173" s="351"/>
      <c r="AT173" s="352"/>
      <c r="BH173" s="85"/>
    </row>
    <row r="174" spans="26:60" x14ac:dyDescent="0.25">
      <c r="Z174" s="84"/>
      <c r="BH174" s="85"/>
    </row>
    <row r="175" spans="26:60" ht="15.75" thickBot="1" x14ac:dyDescent="0.3">
      <c r="Z175" s="87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  <c r="AQ175" s="88"/>
      <c r="AR175" s="88"/>
      <c r="AS175" s="88"/>
      <c r="AT175" s="88"/>
      <c r="AU175" s="88"/>
      <c r="AV175" s="88"/>
      <c r="AW175" s="88"/>
      <c r="AX175" s="88"/>
      <c r="AY175" s="88"/>
      <c r="AZ175" s="88"/>
      <c r="BA175" s="88"/>
      <c r="BB175" s="88"/>
      <c r="BC175" s="88"/>
      <c r="BD175" s="88"/>
      <c r="BE175" s="88"/>
      <c r="BF175" s="88"/>
      <c r="BG175" s="88"/>
      <c r="BH175" s="89"/>
    </row>
  </sheetData>
  <mergeCells count="1302">
    <mergeCell ref="AY99:AZ99"/>
    <mergeCell ref="BA99:BC99"/>
    <mergeCell ref="BD99:BE99"/>
    <mergeCell ref="BF99:BH99"/>
    <mergeCell ref="BI99:BJ99"/>
    <mergeCell ref="BK99:BM99"/>
    <mergeCell ref="AO100:AS102"/>
    <mergeCell ref="AT100:AX102"/>
    <mergeCell ref="AY100:BC102"/>
    <mergeCell ref="BD100:BH102"/>
    <mergeCell ref="BI100:BM102"/>
    <mergeCell ref="AO103:AO104"/>
    <mergeCell ref="AP103:AS103"/>
    <mergeCell ref="AT103:AT104"/>
    <mergeCell ref="AU103:AX103"/>
    <mergeCell ref="AY103:AY104"/>
    <mergeCell ref="AZ103:BC103"/>
    <mergeCell ref="BD103:BD104"/>
    <mergeCell ref="BE103:BH103"/>
    <mergeCell ref="BI103:BI104"/>
    <mergeCell ref="BJ103:BM103"/>
    <mergeCell ref="BN97:BN98"/>
    <mergeCell ref="BO97:BR97"/>
    <mergeCell ref="U99:V99"/>
    <mergeCell ref="W99:Y99"/>
    <mergeCell ref="Z99:AA99"/>
    <mergeCell ref="AB99:AD99"/>
    <mergeCell ref="BI94:BM96"/>
    <mergeCell ref="BN94:BR96"/>
    <mergeCell ref="AO97:AO98"/>
    <mergeCell ref="AP97:AS97"/>
    <mergeCell ref="AT97:AT98"/>
    <mergeCell ref="AU97:AX97"/>
    <mergeCell ref="AY97:AY98"/>
    <mergeCell ref="AZ97:BC97"/>
    <mergeCell ref="BD97:BD98"/>
    <mergeCell ref="BE97:BH97"/>
    <mergeCell ref="AE94:AI96"/>
    <mergeCell ref="AJ94:AN96"/>
    <mergeCell ref="AO94:AS96"/>
    <mergeCell ref="AT94:AX96"/>
    <mergeCell ref="AY94:BC96"/>
    <mergeCell ref="BD94:BH96"/>
    <mergeCell ref="AJ97:AJ98"/>
    <mergeCell ref="AK97:AN97"/>
    <mergeCell ref="Z97:Z98"/>
    <mergeCell ref="AE99:AF99"/>
    <mergeCell ref="AG99:AI99"/>
    <mergeCell ref="AL99:AN99"/>
    <mergeCell ref="AO99:AP99"/>
    <mergeCell ref="AQ99:AS99"/>
    <mergeCell ref="AT99:AU99"/>
    <mergeCell ref="AV99:AX99"/>
    <mergeCell ref="BN93:BO93"/>
    <mergeCell ref="BP93:BR93"/>
    <mergeCell ref="A94:E96"/>
    <mergeCell ref="F94:J96"/>
    <mergeCell ref="K94:O96"/>
    <mergeCell ref="P94:T96"/>
    <mergeCell ref="U94:Y96"/>
    <mergeCell ref="AQ93:AS93"/>
    <mergeCell ref="AT93:AU93"/>
    <mergeCell ref="AV93:AX93"/>
    <mergeCell ref="AY93:AZ93"/>
    <mergeCell ref="BA93:BC93"/>
    <mergeCell ref="BD93:BE93"/>
    <mergeCell ref="AB93:AD93"/>
    <mergeCell ref="AE93:AF93"/>
    <mergeCell ref="AG93:AI93"/>
    <mergeCell ref="AJ93:AK93"/>
    <mergeCell ref="AL93:AN93"/>
    <mergeCell ref="AO93:AP93"/>
    <mergeCell ref="BP87:BR87"/>
    <mergeCell ref="U88:Y90"/>
    <mergeCell ref="Z88:AD90"/>
    <mergeCell ref="AE88:AI90"/>
    <mergeCell ref="AJ88:AN90"/>
    <mergeCell ref="AO88:AS90"/>
    <mergeCell ref="AT88:AX90"/>
    <mergeCell ref="AY88:BC90"/>
    <mergeCell ref="BD88:BH90"/>
    <mergeCell ref="BI88:BM90"/>
    <mergeCell ref="BA87:BC87"/>
    <mergeCell ref="BD87:BE87"/>
    <mergeCell ref="BF87:BH87"/>
    <mergeCell ref="BI87:BJ87"/>
    <mergeCell ref="BK87:BM87"/>
    <mergeCell ref="BN87:BO87"/>
    <mergeCell ref="U87:V87"/>
    <mergeCell ref="W87:Y87"/>
    <mergeCell ref="Z87:AA87"/>
    <mergeCell ref="AB87:AD87"/>
    <mergeCell ref="AE87:AF87"/>
    <mergeCell ref="AG87:AI87"/>
    <mergeCell ref="P103:P104"/>
    <mergeCell ref="Q103:T103"/>
    <mergeCell ref="U103:U104"/>
    <mergeCell ref="V103:Y103"/>
    <mergeCell ref="Z103:Z104"/>
    <mergeCell ref="AA103:AD103"/>
    <mergeCell ref="A103:A104"/>
    <mergeCell ref="B103:E103"/>
    <mergeCell ref="F103:F104"/>
    <mergeCell ref="G103:J103"/>
    <mergeCell ref="K103:K104"/>
    <mergeCell ref="L103:O103"/>
    <mergeCell ref="A100:E102"/>
    <mergeCell ref="F100:J102"/>
    <mergeCell ref="K100:O102"/>
    <mergeCell ref="P100:T102"/>
    <mergeCell ref="U100:Y102"/>
    <mergeCell ref="Z100:AD102"/>
    <mergeCell ref="P99:Q99"/>
    <mergeCell ref="R99:T99"/>
    <mergeCell ref="A99:B99"/>
    <mergeCell ref="C99:E99"/>
    <mergeCell ref="F99:G99"/>
    <mergeCell ref="H99:J99"/>
    <mergeCell ref="K99:L99"/>
    <mergeCell ref="M99:O99"/>
    <mergeCell ref="A88:E90"/>
    <mergeCell ref="F88:J90"/>
    <mergeCell ref="K88:O90"/>
    <mergeCell ref="P87:Q87"/>
    <mergeCell ref="R87:T87"/>
    <mergeCell ref="P88:T90"/>
    <mergeCell ref="BI82:BM84"/>
    <mergeCell ref="BN82:BR84"/>
    <mergeCell ref="A87:B87"/>
    <mergeCell ref="C87:E87"/>
    <mergeCell ref="F87:G87"/>
    <mergeCell ref="H87:J87"/>
    <mergeCell ref="K87:L87"/>
    <mergeCell ref="M87:O87"/>
    <mergeCell ref="AJ87:AK87"/>
    <mergeCell ref="AL87:AN87"/>
    <mergeCell ref="AE82:AI84"/>
    <mergeCell ref="AJ82:AN84"/>
    <mergeCell ref="AO82:AS84"/>
    <mergeCell ref="AT82:AX84"/>
    <mergeCell ref="AY82:BC84"/>
    <mergeCell ref="BD82:BH84"/>
    <mergeCell ref="BN88:BR90"/>
    <mergeCell ref="A93:B93"/>
    <mergeCell ref="A82:E84"/>
    <mergeCell ref="F82:J84"/>
    <mergeCell ref="K82:O84"/>
    <mergeCell ref="P82:T84"/>
    <mergeCell ref="U82:Y84"/>
    <mergeCell ref="AL81:AN81"/>
    <mergeCell ref="AO81:AP81"/>
    <mergeCell ref="AQ81:AS81"/>
    <mergeCell ref="AT81:AU81"/>
    <mergeCell ref="AV81:AX81"/>
    <mergeCell ref="AY81:AZ81"/>
    <mergeCell ref="BI76:BM78"/>
    <mergeCell ref="BN76:BR78"/>
    <mergeCell ref="A81:B81"/>
    <mergeCell ref="C81:E81"/>
    <mergeCell ref="F81:G81"/>
    <mergeCell ref="H81:J81"/>
    <mergeCell ref="K81:L81"/>
    <mergeCell ref="M81:O81"/>
    <mergeCell ref="P81:Q81"/>
    <mergeCell ref="R81:T81"/>
    <mergeCell ref="AE76:AI78"/>
    <mergeCell ref="BI79:BI80"/>
    <mergeCell ref="BJ79:BM79"/>
    <mergeCell ref="BN79:BN80"/>
    <mergeCell ref="BO79:BR79"/>
    <mergeCell ref="AP79:AS79"/>
    <mergeCell ref="A79:A80"/>
    <mergeCell ref="B79:E79"/>
    <mergeCell ref="F79:F80"/>
    <mergeCell ref="G79:J79"/>
    <mergeCell ref="K79:K80"/>
    <mergeCell ref="K69:L69"/>
    <mergeCell ref="M69:O69"/>
    <mergeCell ref="P69:Q69"/>
    <mergeCell ref="R69:T69"/>
    <mergeCell ref="U69:V69"/>
    <mergeCell ref="W69:Y69"/>
    <mergeCell ref="BF75:BH75"/>
    <mergeCell ref="BI75:BJ75"/>
    <mergeCell ref="BK75:BM75"/>
    <mergeCell ref="BN75:BO75"/>
    <mergeCell ref="BP75:BR75"/>
    <mergeCell ref="A76:E78"/>
    <mergeCell ref="F76:J78"/>
    <mergeCell ref="K76:O78"/>
    <mergeCell ref="P76:T78"/>
    <mergeCell ref="U76:Y78"/>
    <mergeCell ref="AL75:AN75"/>
    <mergeCell ref="AO75:AP75"/>
    <mergeCell ref="AQ75:AS75"/>
    <mergeCell ref="AT75:AU75"/>
    <mergeCell ref="AV75:AX75"/>
    <mergeCell ref="AY75:AZ75"/>
    <mergeCell ref="BI70:BM72"/>
    <mergeCell ref="BN70:BR72"/>
    <mergeCell ref="A75:B75"/>
    <mergeCell ref="C75:E75"/>
    <mergeCell ref="F75:G75"/>
    <mergeCell ref="H75:J75"/>
    <mergeCell ref="K75:L75"/>
    <mergeCell ref="M75:O75"/>
    <mergeCell ref="Z76:AD78"/>
    <mergeCell ref="R75:T75"/>
    <mergeCell ref="A64:E66"/>
    <mergeCell ref="F64:J66"/>
    <mergeCell ref="K64:O66"/>
    <mergeCell ref="P64:T66"/>
    <mergeCell ref="U64:Y66"/>
    <mergeCell ref="Z64:AD66"/>
    <mergeCell ref="AE63:AF63"/>
    <mergeCell ref="AG63:AI63"/>
    <mergeCell ref="AJ63:AK63"/>
    <mergeCell ref="AL63:AN63"/>
    <mergeCell ref="AO63:AP63"/>
    <mergeCell ref="AQ63:AS63"/>
    <mergeCell ref="AY63:AZ63"/>
    <mergeCell ref="BA63:BC63"/>
    <mergeCell ref="BD63:BE63"/>
    <mergeCell ref="BF63:BH63"/>
    <mergeCell ref="AT63:AU63"/>
    <mergeCell ref="AV63:AX63"/>
    <mergeCell ref="U63:V63"/>
    <mergeCell ref="W63:Y63"/>
    <mergeCell ref="Z63:AA63"/>
    <mergeCell ref="AB63:AD63"/>
    <mergeCell ref="AT64:AX66"/>
    <mergeCell ref="AY64:BC66"/>
    <mergeCell ref="BD64:BH66"/>
    <mergeCell ref="BN45:BR47"/>
    <mergeCell ref="A63:B63"/>
    <mergeCell ref="C63:E63"/>
    <mergeCell ref="F63:G63"/>
    <mergeCell ref="H63:J63"/>
    <mergeCell ref="K63:L63"/>
    <mergeCell ref="M63:O63"/>
    <mergeCell ref="P63:Q63"/>
    <mergeCell ref="R63:T63"/>
    <mergeCell ref="AE45:AI47"/>
    <mergeCell ref="AJ45:AN47"/>
    <mergeCell ref="AO45:AS47"/>
    <mergeCell ref="AT45:AX47"/>
    <mergeCell ref="AY45:BC47"/>
    <mergeCell ref="BD45:BH47"/>
    <mergeCell ref="BI44:BJ44"/>
    <mergeCell ref="BK44:BM44"/>
    <mergeCell ref="BN44:BO44"/>
    <mergeCell ref="BP44:BR44"/>
    <mergeCell ref="A45:E47"/>
    <mergeCell ref="F45:J47"/>
    <mergeCell ref="K45:O47"/>
    <mergeCell ref="P45:T47"/>
    <mergeCell ref="U45:Y47"/>
    <mergeCell ref="Z45:AD47"/>
    <mergeCell ref="AO44:AP44"/>
    <mergeCell ref="AQ44:AS44"/>
    <mergeCell ref="AT44:AU44"/>
    <mergeCell ref="AV44:AX44"/>
    <mergeCell ref="AY44:AZ44"/>
    <mergeCell ref="BA44:BC44"/>
    <mergeCell ref="BI63:BJ63"/>
    <mergeCell ref="BN39:BR41"/>
    <mergeCell ref="A44:B44"/>
    <mergeCell ref="C44:E44"/>
    <mergeCell ref="F44:G44"/>
    <mergeCell ref="H44:J44"/>
    <mergeCell ref="K44:L44"/>
    <mergeCell ref="M44:O44"/>
    <mergeCell ref="P44:Q44"/>
    <mergeCell ref="R44:T44"/>
    <mergeCell ref="AE39:AI41"/>
    <mergeCell ref="AJ39:AN41"/>
    <mergeCell ref="AO39:AS41"/>
    <mergeCell ref="AT39:AX41"/>
    <mergeCell ref="AY39:BC41"/>
    <mergeCell ref="BD39:BH41"/>
    <mergeCell ref="BI38:BJ38"/>
    <mergeCell ref="BK38:BM38"/>
    <mergeCell ref="BN38:BO38"/>
    <mergeCell ref="BP38:BR38"/>
    <mergeCell ref="A39:E41"/>
    <mergeCell ref="F39:J41"/>
    <mergeCell ref="K39:O41"/>
    <mergeCell ref="P39:T41"/>
    <mergeCell ref="U39:Y41"/>
    <mergeCell ref="Z39:AD41"/>
    <mergeCell ref="AO38:AP38"/>
    <mergeCell ref="AQ38:AS38"/>
    <mergeCell ref="AT38:AU38"/>
    <mergeCell ref="AV38:AX38"/>
    <mergeCell ref="AY38:AZ38"/>
    <mergeCell ref="BA38:BC38"/>
    <mergeCell ref="Z42:Z43"/>
    <mergeCell ref="A38:B38"/>
    <mergeCell ref="C38:E38"/>
    <mergeCell ref="F38:G38"/>
    <mergeCell ref="H38:J38"/>
    <mergeCell ref="K38:L38"/>
    <mergeCell ref="M38:O38"/>
    <mergeCell ref="P38:Q38"/>
    <mergeCell ref="R38:T38"/>
    <mergeCell ref="BI32:BJ32"/>
    <mergeCell ref="BK32:BM32"/>
    <mergeCell ref="BN32:BO32"/>
    <mergeCell ref="BP32:BR32"/>
    <mergeCell ref="U33:Y35"/>
    <mergeCell ref="Z33:AD35"/>
    <mergeCell ref="AE33:AI35"/>
    <mergeCell ref="AJ33:AN35"/>
    <mergeCell ref="AO33:AS35"/>
    <mergeCell ref="AT33:AX35"/>
    <mergeCell ref="AO32:AP32"/>
    <mergeCell ref="AQ32:AS32"/>
    <mergeCell ref="AT32:AU32"/>
    <mergeCell ref="AV32:AX32"/>
    <mergeCell ref="AY32:AZ32"/>
    <mergeCell ref="BA32:BC32"/>
    <mergeCell ref="A33:E35"/>
    <mergeCell ref="F33:J35"/>
    <mergeCell ref="K33:O35"/>
    <mergeCell ref="P33:T35"/>
    <mergeCell ref="U32:V32"/>
    <mergeCell ref="W32:Y32"/>
    <mergeCell ref="BJ36:BM36"/>
    <mergeCell ref="BD38:BE38"/>
    <mergeCell ref="K32:L32"/>
    <mergeCell ref="M32:O32"/>
    <mergeCell ref="P32:Q32"/>
    <mergeCell ref="R32:T32"/>
    <mergeCell ref="AE27:AI29"/>
    <mergeCell ref="AJ27:AN29"/>
    <mergeCell ref="AO27:AS29"/>
    <mergeCell ref="AT27:AX29"/>
    <mergeCell ref="AY27:BC29"/>
    <mergeCell ref="BD27:BH29"/>
    <mergeCell ref="BI26:BJ26"/>
    <mergeCell ref="BK26:BM26"/>
    <mergeCell ref="BN26:BO26"/>
    <mergeCell ref="A27:E29"/>
    <mergeCell ref="F27:J29"/>
    <mergeCell ref="K27:O29"/>
    <mergeCell ref="P27:T29"/>
    <mergeCell ref="U27:Y29"/>
    <mergeCell ref="Z27:AD29"/>
    <mergeCell ref="AO26:AP26"/>
    <mergeCell ref="AQ26:AS26"/>
    <mergeCell ref="AT26:AU26"/>
    <mergeCell ref="AV26:AX26"/>
    <mergeCell ref="AY26:AZ26"/>
    <mergeCell ref="BA26:BC26"/>
    <mergeCell ref="BJ30:BM30"/>
    <mergeCell ref="AL32:AN32"/>
    <mergeCell ref="Z32:AA32"/>
    <mergeCell ref="AB32:AD32"/>
    <mergeCell ref="BI30:BI31"/>
    <mergeCell ref="A30:A31"/>
    <mergeCell ref="B30:E30"/>
    <mergeCell ref="BN21:BR23"/>
    <mergeCell ref="A26:B26"/>
    <mergeCell ref="C26:E26"/>
    <mergeCell ref="F26:G26"/>
    <mergeCell ref="H26:J26"/>
    <mergeCell ref="K26:L26"/>
    <mergeCell ref="M26:O26"/>
    <mergeCell ref="P26:Q26"/>
    <mergeCell ref="R26:T26"/>
    <mergeCell ref="AE21:AI23"/>
    <mergeCell ref="AJ21:AN23"/>
    <mergeCell ref="AO21:AS23"/>
    <mergeCell ref="AT21:AX23"/>
    <mergeCell ref="AY21:BC23"/>
    <mergeCell ref="BD21:BH23"/>
    <mergeCell ref="BI20:BJ20"/>
    <mergeCell ref="BK20:BM20"/>
    <mergeCell ref="BN20:BO20"/>
    <mergeCell ref="BP20:BR20"/>
    <mergeCell ref="A21:E23"/>
    <mergeCell ref="F21:J23"/>
    <mergeCell ref="K21:O23"/>
    <mergeCell ref="P21:T23"/>
    <mergeCell ref="U21:Y23"/>
    <mergeCell ref="Z21:AD23"/>
    <mergeCell ref="AO20:AP20"/>
    <mergeCell ref="AQ20:AS20"/>
    <mergeCell ref="AT20:AU20"/>
    <mergeCell ref="AV20:AX20"/>
    <mergeCell ref="AY20:AZ20"/>
    <mergeCell ref="BA20:BC20"/>
    <mergeCell ref="BD26:BE26"/>
    <mergeCell ref="A20:B20"/>
    <mergeCell ref="C20:E20"/>
    <mergeCell ref="F20:G20"/>
    <mergeCell ref="H20:J20"/>
    <mergeCell ref="K20:L20"/>
    <mergeCell ref="M20:O20"/>
    <mergeCell ref="P20:Q20"/>
    <mergeCell ref="R20:T20"/>
    <mergeCell ref="AE15:AI17"/>
    <mergeCell ref="AJ15:AN17"/>
    <mergeCell ref="AO15:AS17"/>
    <mergeCell ref="AT15:AX17"/>
    <mergeCell ref="AY15:BC17"/>
    <mergeCell ref="BD15:BH17"/>
    <mergeCell ref="BI14:BJ14"/>
    <mergeCell ref="BK14:BM14"/>
    <mergeCell ref="BN14:BO14"/>
    <mergeCell ref="A15:E17"/>
    <mergeCell ref="F15:J17"/>
    <mergeCell ref="K15:O17"/>
    <mergeCell ref="P15:T17"/>
    <mergeCell ref="U15:Y17"/>
    <mergeCell ref="Z15:AD17"/>
    <mergeCell ref="AO14:AP14"/>
    <mergeCell ref="AQ14:AS14"/>
    <mergeCell ref="AT14:AU14"/>
    <mergeCell ref="AV14:AX14"/>
    <mergeCell ref="AY14:AZ14"/>
    <mergeCell ref="BA14:BC14"/>
    <mergeCell ref="BJ18:BM18"/>
    <mergeCell ref="BD20:BE20"/>
    <mergeCell ref="BF20:BH20"/>
    <mergeCell ref="A14:B14"/>
    <mergeCell ref="C14:E14"/>
    <mergeCell ref="F14:G14"/>
    <mergeCell ref="H14:J14"/>
    <mergeCell ref="K14:L14"/>
    <mergeCell ref="M14:O14"/>
    <mergeCell ref="P14:Q14"/>
    <mergeCell ref="R14:T14"/>
    <mergeCell ref="BF8:BH8"/>
    <mergeCell ref="BD9:BH11"/>
    <mergeCell ref="BI8:BJ8"/>
    <mergeCell ref="BK8:BM8"/>
    <mergeCell ref="BI9:BM11"/>
    <mergeCell ref="BN8:BO8"/>
    <mergeCell ref="AQ8:AS8"/>
    <mergeCell ref="AT8:AU8"/>
    <mergeCell ref="AV8:AX8"/>
    <mergeCell ref="AJ9:AN11"/>
    <mergeCell ref="AO9:AS11"/>
    <mergeCell ref="AT9:AX11"/>
    <mergeCell ref="Z8:AA8"/>
    <mergeCell ref="AB8:AD8"/>
    <mergeCell ref="AE8:AF8"/>
    <mergeCell ref="AG8:AI8"/>
    <mergeCell ref="A9:E11"/>
    <mergeCell ref="F9:J11"/>
    <mergeCell ref="K9:O11"/>
    <mergeCell ref="P9:T11"/>
    <mergeCell ref="U9:Y11"/>
    <mergeCell ref="Z9:AD11"/>
    <mergeCell ref="BN2:BO2"/>
    <mergeCell ref="BP2:BR2"/>
    <mergeCell ref="BN3:BR5"/>
    <mergeCell ref="AJ3:AN5"/>
    <mergeCell ref="AO3:AS5"/>
    <mergeCell ref="AT3:AX5"/>
    <mergeCell ref="AY3:BC5"/>
    <mergeCell ref="BD2:BE2"/>
    <mergeCell ref="BF2:BH2"/>
    <mergeCell ref="BD3:BH5"/>
    <mergeCell ref="F3:J5"/>
    <mergeCell ref="K3:O5"/>
    <mergeCell ref="P3:T5"/>
    <mergeCell ref="U3:Y5"/>
    <mergeCell ref="Z3:AD5"/>
    <mergeCell ref="AE3:AI5"/>
    <mergeCell ref="AO2:AP2"/>
    <mergeCell ref="AQ2:AS2"/>
    <mergeCell ref="AT2:AU2"/>
    <mergeCell ref="AV2:AX2"/>
    <mergeCell ref="AY2:AZ2"/>
    <mergeCell ref="BA2:BC2"/>
    <mergeCell ref="H2:J2"/>
    <mergeCell ref="K2:L2"/>
    <mergeCell ref="M2:O2"/>
    <mergeCell ref="P2:Q2"/>
    <mergeCell ref="R2:T2"/>
    <mergeCell ref="U2:V2"/>
    <mergeCell ref="AE2:AF2"/>
    <mergeCell ref="AG2:AI2"/>
    <mergeCell ref="AJ2:AK2"/>
    <mergeCell ref="AL2:AN2"/>
    <mergeCell ref="AU131:BD132"/>
    <mergeCell ref="AU133:BD135"/>
    <mergeCell ref="AA97:AD97"/>
    <mergeCell ref="A8:B8"/>
    <mergeCell ref="C8:E8"/>
    <mergeCell ref="F8:G8"/>
    <mergeCell ref="H8:J8"/>
    <mergeCell ref="K8:L8"/>
    <mergeCell ref="M8:O8"/>
    <mergeCell ref="BI2:BJ2"/>
    <mergeCell ref="BK2:BM2"/>
    <mergeCell ref="BI3:BM5"/>
    <mergeCell ref="BI15:BM17"/>
    <mergeCell ref="BI21:BM23"/>
    <mergeCell ref="BI27:BM29"/>
    <mergeCell ref="BI33:BM35"/>
    <mergeCell ref="BI39:BM41"/>
    <mergeCell ref="BI45:BM47"/>
    <mergeCell ref="BK63:BM63"/>
    <mergeCell ref="BI64:BM66"/>
    <mergeCell ref="BI69:BJ69"/>
    <mergeCell ref="BK69:BM69"/>
    <mergeCell ref="A70:E72"/>
    <mergeCell ref="F70:J72"/>
    <mergeCell ref="K70:O72"/>
    <mergeCell ref="P70:T72"/>
    <mergeCell ref="U70:Y72"/>
    <mergeCell ref="L97:O97"/>
    <mergeCell ref="P97:P98"/>
    <mergeCell ref="Q97:T97"/>
    <mergeCell ref="U97:U98"/>
    <mergeCell ref="V97:Y97"/>
    <mergeCell ref="BW152:CF156"/>
    <mergeCell ref="BW141:CF142"/>
    <mergeCell ref="AU142:BD146"/>
    <mergeCell ref="BW143:CF145"/>
    <mergeCell ref="AJ144:AL146"/>
    <mergeCell ref="AM144:AO146"/>
    <mergeCell ref="AP144:AS146"/>
    <mergeCell ref="BW146:CF147"/>
    <mergeCell ref="AM147:AO149"/>
    <mergeCell ref="AP147:AS149"/>
    <mergeCell ref="BW148:CF151"/>
    <mergeCell ref="BQ138:BR140"/>
    <mergeCell ref="BS138:BT140"/>
    <mergeCell ref="BW138:CF140"/>
    <mergeCell ref="AJ141:AL143"/>
    <mergeCell ref="AM141:AO143"/>
    <mergeCell ref="AP141:AS143"/>
    <mergeCell ref="BK141:BM144"/>
    <mergeCell ref="BN141:BP144"/>
    <mergeCell ref="BQ141:BR144"/>
    <mergeCell ref="BS141:BT144"/>
    <mergeCell ref="AJ138:AL140"/>
    <mergeCell ref="AM138:AO140"/>
    <mergeCell ref="AP138:AS140"/>
    <mergeCell ref="AU138:BD141"/>
    <mergeCell ref="BK138:BM140"/>
    <mergeCell ref="BN138:BP140"/>
    <mergeCell ref="AJ147:AL149"/>
    <mergeCell ref="BW135:CF137"/>
    <mergeCell ref="AU136:BD137"/>
    <mergeCell ref="BL116:BR119"/>
    <mergeCell ref="G118:I121"/>
    <mergeCell ref="BL120:BR121"/>
    <mergeCell ref="Z128:AD134"/>
    <mergeCell ref="AU128:BD130"/>
    <mergeCell ref="AU112:BF115"/>
    <mergeCell ref="BG112:BK121"/>
    <mergeCell ref="BL112:BO115"/>
    <mergeCell ref="BP112:BR115"/>
    <mergeCell ref="A113:C115"/>
    <mergeCell ref="D115:E115"/>
    <mergeCell ref="G115:I117"/>
    <mergeCell ref="X116:AI121"/>
    <mergeCell ref="AJ116:AT121"/>
    <mergeCell ref="AU116:BF121"/>
    <mergeCell ref="A112:C112"/>
    <mergeCell ref="D112:E112"/>
    <mergeCell ref="G112:I114"/>
    <mergeCell ref="X112:AI115"/>
    <mergeCell ref="AJ112:AS115"/>
    <mergeCell ref="AJ135:AL137"/>
    <mergeCell ref="AM135:AO137"/>
    <mergeCell ref="AP135:AS137"/>
    <mergeCell ref="AJ132:AL134"/>
    <mergeCell ref="AM132:AO134"/>
    <mergeCell ref="AP132:AS134"/>
    <mergeCell ref="AJ129:AL131"/>
    <mergeCell ref="AM129:AO131"/>
    <mergeCell ref="AP129:AS131"/>
    <mergeCell ref="AJ126:AL128"/>
    <mergeCell ref="A97:A98"/>
    <mergeCell ref="B97:E97"/>
    <mergeCell ref="F97:F98"/>
    <mergeCell ref="G97:J97"/>
    <mergeCell ref="K97:K98"/>
    <mergeCell ref="W93:Y93"/>
    <mergeCell ref="Z93:AA93"/>
    <mergeCell ref="Z94:AD96"/>
    <mergeCell ref="BE91:BH91"/>
    <mergeCell ref="BI91:BI92"/>
    <mergeCell ref="BJ91:BM91"/>
    <mergeCell ref="A91:A92"/>
    <mergeCell ref="B91:E91"/>
    <mergeCell ref="F91:F92"/>
    <mergeCell ref="G91:J91"/>
    <mergeCell ref="K91:K92"/>
    <mergeCell ref="BF93:BH93"/>
    <mergeCell ref="BI93:BJ93"/>
    <mergeCell ref="BK93:BM93"/>
    <mergeCell ref="BI97:BI98"/>
    <mergeCell ref="BJ97:BM97"/>
    <mergeCell ref="AE97:AE98"/>
    <mergeCell ref="AF97:AI97"/>
    <mergeCell ref="C93:E93"/>
    <mergeCell ref="F93:G93"/>
    <mergeCell ref="H93:J93"/>
    <mergeCell ref="K93:L93"/>
    <mergeCell ref="M93:O93"/>
    <mergeCell ref="P93:Q93"/>
    <mergeCell ref="R93:T93"/>
    <mergeCell ref="U93:V93"/>
    <mergeCell ref="BN91:BN92"/>
    <mergeCell ref="BO91:BR91"/>
    <mergeCell ref="AP91:AS91"/>
    <mergeCell ref="AT91:AT92"/>
    <mergeCell ref="AU91:AX91"/>
    <mergeCell ref="AY91:AY92"/>
    <mergeCell ref="AZ91:BC91"/>
    <mergeCell ref="BD91:BD92"/>
    <mergeCell ref="AA91:AD91"/>
    <mergeCell ref="AE91:AE92"/>
    <mergeCell ref="AF91:AI91"/>
    <mergeCell ref="AJ91:AJ92"/>
    <mergeCell ref="AK91:AN91"/>
    <mergeCell ref="AO91:AO92"/>
    <mergeCell ref="L91:O91"/>
    <mergeCell ref="P91:P92"/>
    <mergeCell ref="Q91:T91"/>
    <mergeCell ref="U91:U92"/>
    <mergeCell ref="V91:Y91"/>
    <mergeCell ref="Z91:Z92"/>
    <mergeCell ref="K85:K86"/>
    <mergeCell ref="BA81:BC81"/>
    <mergeCell ref="BD81:BE81"/>
    <mergeCell ref="AB81:AD81"/>
    <mergeCell ref="AE81:AF81"/>
    <mergeCell ref="AG81:AI81"/>
    <mergeCell ref="AJ81:AK81"/>
    <mergeCell ref="U81:V81"/>
    <mergeCell ref="W81:Y81"/>
    <mergeCell ref="Z81:AA81"/>
    <mergeCell ref="Z82:AD84"/>
    <mergeCell ref="AQ87:AS87"/>
    <mergeCell ref="AT87:AU87"/>
    <mergeCell ref="AV87:AX87"/>
    <mergeCell ref="AY87:AZ87"/>
    <mergeCell ref="AO87:AP87"/>
    <mergeCell ref="BE85:BH85"/>
    <mergeCell ref="AP85:AS85"/>
    <mergeCell ref="AT85:AT86"/>
    <mergeCell ref="AU85:AX85"/>
    <mergeCell ref="AY85:AY86"/>
    <mergeCell ref="AZ85:BC85"/>
    <mergeCell ref="BD85:BD86"/>
    <mergeCell ref="AA85:AD85"/>
    <mergeCell ref="AE85:AE86"/>
    <mergeCell ref="AF85:AI85"/>
    <mergeCell ref="AJ85:AJ86"/>
    <mergeCell ref="AK85:AN85"/>
    <mergeCell ref="BA75:BC75"/>
    <mergeCell ref="BP81:BR81"/>
    <mergeCell ref="BE79:BH79"/>
    <mergeCell ref="AJ76:AN78"/>
    <mergeCell ref="AO76:AS78"/>
    <mergeCell ref="AT76:AX78"/>
    <mergeCell ref="AY76:BC78"/>
    <mergeCell ref="BD76:BH78"/>
    <mergeCell ref="AT79:AT80"/>
    <mergeCell ref="AU79:AX79"/>
    <mergeCell ref="AY79:AY80"/>
    <mergeCell ref="AZ79:BC79"/>
    <mergeCell ref="BD79:BD80"/>
    <mergeCell ref="AA79:AD79"/>
    <mergeCell ref="AE79:AE80"/>
    <mergeCell ref="AF79:AI79"/>
    <mergeCell ref="AJ79:AJ80"/>
    <mergeCell ref="AK79:AN79"/>
    <mergeCell ref="AO79:AO80"/>
    <mergeCell ref="BI85:BI86"/>
    <mergeCell ref="BJ85:BM85"/>
    <mergeCell ref="BN85:BN86"/>
    <mergeCell ref="BO85:BR85"/>
    <mergeCell ref="AO85:AO86"/>
    <mergeCell ref="L79:O79"/>
    <mergeCell ref="P79:P80"/>
    <mergeCell ref="Q79:T79"/>
    <mergeCell ref="U79:U80"/>
    <mergeCell ref="V79:Y79"/>
    <mergeCell ref="Z79:Z80"/>
    <mergeCell ref="L85:O85"/>
    <mergeCell ref="P85:P86"/>
    <mergeCell ref="Q85:T85"/>
    <mergeCell ref="U85:U86"/>
    <mergeCell ref="V85:Y85"/>
    <mergeCell ref="Z85:Z86"/>
    <mergeCell ref="BF81:BH81"/>
    <mergeCell ref="BI81:BJ81"/>
    <mergeCell ref="BK81:BM81"/>
    <mergeCell ref="BN81:BO81"/>
    <mergeCell ref="AY67:AY68"/>
    <mergeCell ref="FJ70:FP73"/>
    <mergeCell ref="DE72:DG75"/>
    <mergeCell ref="A73:A74"/>
    <mergeCell ref="B73:E73"/>
    <mergeCell ref="F73:F74"/>
    <mergeCell ref="G73:J73"/>
    <mergeCell ref="K73:K74"/>
    <mergeCell ref="L73:O73"/>
    <mergeCell ref="BD69:BE69"/>
    <mergeCell ref="BF69:BH69"/>
    <mergeCell ref="AE69:AF69"/>
    <mergeCell ref="AG69:AI69"/>
    <mergeCell ref="AJ69:AK69"/>
    <mergeCell ref="AL69:AN69"/>
    <mergeCell ref="Z69:AA69"/>
    <mergeCell ref="AB69:AD69"/>
    <mergeCell ref="A69:B69"/>
    <mergeCell ref="C69:E69"/>
    <mergeCell ref="F69:G69"/>
    <mergeCell ref="H69:J69"/>
    <mergeCell ref="BI73:BI74"/>
    <mergeCell ref="BJ73:BM73"/>
    <mergeCell ref="L67:O67"/>
    <mergeCell ref="BO73:BR73"/>
    <mergeCell ref="FJ74:FP75"/>
    <mergeCell ref="AT73:AT74"/>
    <mergeCell ref="AU73:AX73"/>
    <mergeCell ref="AY73:AY74"/>
    <mergeCell ref="AZ73:BC73"/>
    <mergeCell ref="BD73:BD74"/>
    <mergeCell ref="BE73:BH73"/>
    <mergeCell ref="AO67:AO68"/>
    <mergeCell ref="ES70:FD75"/>
    <mergeCell ref="AF73:AI73"/>
    <mergeCell ref="AJ73:AJ74"/>
    <mergeCell ref="AK73:AN73"/>
    <mergeCell ref="AO73:AO74"/>
    <mergeCell ref="AP73:AS73"/>
    <mergeCell ref="BN69:BO69"/>
    <mergeCell ref="BP69:BR69"/>
    <mergeCell ref="Z70:AD72"/>
    <mergeCell ref="AO69:AP69"/>
    <mergeCell ref="AQ69:AS69"/>
    <mergeCell ref="AT69:AU69"/>
    <mergeCell ref="AV69:AX69"/>
    <mergeCell ref="AY69:AZ69"/>
    <mergeCell ref="BA69:BC69"/>
    <mergeCell ref="AE70:AI72"/>
    <mergeCell ref="AJ70:AN72"/>
    <mergeCell ref="AO70:AS72"/>
    <mergeCell ref="AT70:AX72"/>
    <mergeCell ref="AY70:BC72"/>
    <mergeCell ref="BD70:BH72"/>
    <mergeCell ref="EH66:EQ69"/>
    <mergeCell ref="ES66:FD69"/>
    <mergeCell ref="BN64:BR66"/>
    <mergeCell ref="AE64:AI66"/>
    <mergeCell ref="AJ64:AN66"/>
    <mergeCell ref="AO64:AS66"/>
    <mergeCell ref="CY67:DA69"/>
    <mergeCell ref="AP67:AS67"/>
    <mergeCell ref="AT67:AT68"/>
    <mergeCell ref="AU67:AX67"/>
    <mergeCell ref="FE66:FI75"/>
    <mergeCell ref="FJ66:FM69"/>
    <mergeCell ref="FN66:FP69"/>
    <mergeCell ref="A67:A68"/>
    <mergeCell ref="B67:E67"/>
    <mergeCell ref="F67:F68"/>
    <mergeCell ref="G67:J67"/>
    <mergeCell ref="K67:K68"/>
    <mergeCell ref="DV65:EG69"/>
    <mergeCell ref="CY66:DA66"/>
    <mergeCell ref="DB66:DC66"/>
    <mergeCell ref="DE66:DG68"/>
    <mergeCell ref="DB69:DC69"/>
    <mergeCell ref="DE69:DG71"/>
    <mergeCell ref="DV70:EG75"/>
    <mergeCell ref="BE67:BH67"/>
    <mergeCell ref="BI67:BI68"/>
    <mergeCell ref="BJ67:BM67"/>
    <mergeCell ref="BN67:BN68"/>
    <mergeCell ref="BO67:BR67"/>
    <mergeCell ref="AZ67:BC67"/>
    <mergeCell ref="BD67:BD68"/>
    <mergeCell ref="AA67:AD67"/>
    <mergeCell ref="AE67:AE68"/>
    <mergeCell ref="AF67:AI67"/>
    <mergeCell ref="P73:P74"/>
    <mergeCell ref="Q73:T73"/>
    <mergeCell ref="U73:U74"/>
    <mergeCell ref="V73:Y73"/>
    <mergeCell ref="Z73:Z74"/>
    <mergeCell ref="AA73:AD73"/>
    <mergeCell ref="EH70:ER75"/>
    <mergeCell ref="BO60:BR60"/>
    <mergeCell ref="AY60:AY61"/>
    <mergeCell ref="AZ60:BC60"/>
    <mergeCell ref="BD60:BD61"/>
    <mergeCell ref="BE60:BH60"/>
    <mergeCell ref="BI60:BI61"/>
    <mergeCell ref="BJ60:BM60"/>
    <mergeCell ref="AJ60:AJ61"/>
    <mergeCell ref="AK60:AN60"/>
    <mergeCell ref="AO60:AO61"/>
    <mergeCell ref="AP60:AS60"/>
    <mergeCell ref="AT60:AT61"/>
    <mergeCell ref="AU60:AX60"/>
    <mergeCell ref="U60:U61"/>
    <mergeCell ref="V60:Y60"/>
    <mergeCell ref="Z60:Z61"/>
    <mergeCell ref="AA60:AD60"/>
    <mergeCell ref="AE60:AE61"/>
    <mergeCell ref="AF60:AI60"/>
    <mergeCell ref="BN73:BN74"/>
    <mergeCell ref="BD75:BE75"/>
    <mergeCell ref="AB75:AD75"/>
    <mergeCell ref="AE75:AF75"/>
    <mergeCell ref="AG75:AI75"/>
    <mergeCell ref="AJ75:AK75"/>
    <mergeCell ref="U75:V75"/>
    <mergeCell ref="W75:Y75"/>
    <mergeCell ref="Z75:AA75"/>
    <mergeCell ref="BN63:BO63"/>
    <mergeCell ref="BP63:BR63"/>
    <mergeCell ref="BL59:BM59"/>
    <mergeCell ref="BQ59:BR59"/>
    <mergeCell ref="A56:C56"/>
    <mergeCell ref="D56:E56"/>
    <mergeCell ref="A60:A61"/>
    <mergeCell ref="B60:E60"/>
    <mergeCell ref="F60:F61"/>
    <mergeCell ref="G60:J60"/>
    <mergeCell ref="K60:K61"/>
    <mergeCell ref="L60:O60"/>
    <mergeCell ref="P60:P61"/>
    <mergeCell ref="Q60:T60"/>
    <mergeCell ref="BN57:BP59"/>
    <mergeCell ref="D59:E59"/>
    <mergeCell ref="I59:J59"/>
    <mergeCell ref="N59:O59"/>
    <mergeCell ref="S59:T59"/>
    <mergeCell ref="X59:Y59"/>
    <mergeCell ref="AC59:AD59"/>
    <mergeCell ref="AH59:AI59"/>
    <mergeCell ref="AM59:AN59"/>
    <mergeCell ref="AR59:AS59"/>
    <mergeCell ref="AJ57:AL59"/>
    <mergeCell ref="AO57:AQ59"/>
    <mergeCell ref="AT57:AV59"/>
    <mergeCell ref="AY57:BA59"/>
    <mergeCell ref="BD57:BF59"/>
    <mergeCell ref="BI57:BK59"/>
    <mergeCell ref="AW59:AX59"/>
    <mergeCell ref="BB59:BC59"/>
    <mergeCell ref="BG59:BH59"/>
    <mergeCell ref="BN60:BN61"/>
    <mergeCell ref="P57:R59"/>
    <mergeCell ref="U57:W59"/>
    <mergeCell ref="Z57:AB59"/>
    <mergeCell ref="AE57:AG59"/>
    <mergeCell ref="AW56:AX56"/>
    <mergeCell ref="AY56:BA56"/>
    <mergeCell ref="BB56:BC56"/>
    <mergeCell ref="BD56:BF56"/>
    <mergeCell ref="BG56:BH56"/>
    <mergeCell ref="BI56:BK56"/>
    <mergeCell ref="AH56:AI56"/>
    <mergeCell ref="AJ56:AL56"/>
    <mergeCell ref="AM56:AN56"/>
    <mergeCell ref="AO56:AQ56"/>
    <mergeCell ref="AR56:AS56"/>
    <mergeCell ref="AT56:AV56"/>
    <mergeCell ref="S56:T56"/>
    <mergeCell ref="U56:W56"/>
    <mergeCell ref="X56:Y56"/>
    <mergeCell ref="Z56:AB56"/>
    <mergeCell ref="AC56:AD56"/>
    <mergeCell ref="BJ54:BM54"/>
    <mergeCell ref="BN54:BN55"/>
    <mergeCell ref="BO54:BR54"/>
    <mergeCell ref="F56:H56"/>
    <mergeCell ref="I56:J56"/>
    <mergeCell ref="K56:M56"/>
    <mergeCell ref="N56:O56"/>
    <mergeCell ref="P56:R56"/>
    <mergeCell ref="AU54:AX54"/>
    <mergeCell ref="AY54:AY55"/>
    <mergeCell ref="AZ54:BC54"/>
    <mergeCell ref="BD54:BD55"/>
    <mergeCell ref="BE54:BH54"/>
    <mergeCell ref="BI54:BI55"/>
    <mergeCell ref="AF54:AI54"/>
    <mergeCell ref="AJ54:AJ55"/>
    <mergeCell ref="AK54:AN54"/>
    <mergeCell ref="AO54:AO55"/>
    <mergeCell ref="AP54:AS54"/>
    <mergeCell ref="AT54:AT55"/>
    <mergeCell ref="Q54:T54"/>
    <mergeCell ref="U54:U55"/>
    <mergeCell ref="V54:Y54"/>
    <mergeCell ref="Z54:Z55"/>
    <mergeCell ref="AA54:AD54"/>
    <mergeCell ref="AE54:AE55"/>
    <mergeCell ref="BL56:BM56"/>
    <mergeCell ref="BN56:BP56"/>
    <mergeCell ref="BQ56:BR56"/>
    <mergeCell ref="L54:O54"/>
    <mergeCell ref="P54:P55"/>
    <mergeCell ref="AR50:AS50"/>
    <mergeCell ref="P50:R50"/>
    <mergeCell ref="S50:T50"/>
    <mergeCell ref="U50:W50"/>
    <mergeCell ref="X50:Y50"/>
    <mergeCell ref="Z50:AB50"/>
    <mergeCell ref="AC50:AD50"/>
    <mergeCell ref="BG53:BH53"/>
    <mergeCell ref="BL53:BM53"/>
    <mergeCell ref="BQ53:BR53"/>
    <mergeCell ref="BI51:BK53"/>
    <mergeCell ref="BN51:BP53"/>
    <mergeCell ref="D53:E53"/>
    <mergeCell ref="I53:J53"/>
    <mergeCell ref="N53:O53"/>
    <mergeCell ref="S53:T53"/>
    <mergeCell ref="X53:Y53"/>
    <mergeCell ref="AC53:AD53"/>
    <mergeCell ref="AH53:AI53"/>
    <mergeCell ref="AM53:AN53"/>
    <mergeCell ref="AE51:AG53"/>
    <mergeCell ref="AJ51:AL53"/>
    <mergeCell ref="AO51:AQ53"/>
    <mergeCell ref="AT51:AV53"/>
    <mergeCell ref="AY51:BA53"/>
    <mergeCell ref="BD51:BF53"/>
    <mergeCell ref="AR53:AS53"/>
    <mergeCell ref="AW53:AX53"/>
    <mergeCell ref="BB53:BC53"/>
    <mergeCell ref="AP48:AS48"/>
    <mergeCell ref="P48:P49"/>
    <mergeCell ref="Q48:T48"/>
    <mergeCell ref="U48:U49"/>
    <mergeCell ref="V48:Y48"/>
    <mergeCell ref="Z48:Z49"/>
    <mergeCell ref="AA48:AD48"/>
    <mergeCell ref="A48:A49"/>
    <mergeCell ref="B48:E48"/>
    <mergeCell ref="F48:F49"/>
    <mergeCell ref="G48:J48"/>
    <mergeCell ref="BI50:BK50"/>
    <mergeCell ref="BL50:BM50"/>
    <mergeCell ref="BN50:BP50"/>
    <mergeCell ref="BQ50:BR50"/>
    <mergeCell ref="A51:C53"/>
    <mergeCell ref="F51:H53"/>
    <mergeCell ref="K51:M53"/>
    <mergeCell ref="P51:R53"/>
    <mergeCell ref="U51:W53"/>
    <mergeCell ref="Z51:AB53"/>
    <mergeCell ref="AT50:AV50"/>
    <mergeCell ref="AW50:AX50"/>
    <mergeCell ref="AY50:BA50"/>
    <mergeCell ref="BB50:BC50"/>
    <mergeCell ref="BD50:BF50"/>
    <mergeCell ref="BG50:BH50"/>
    <mergeCell ref="AE50:AG50"/>
    <mergeCell ref="AH50:AI50"/>
    <mergeCell ref="AJ50:AL50"/>
    <mergeCell ref="AM50:AN50"/>
    <mergeCell ref="AO50:AQ50"/>
    <mergeCell ref="BE42:BH42"/>
    <mergeCell ref="AE42:AE43"/>
    <mergeCell ref="AF42:AI42"/>
    <mergeCell ref="AJ42:AJ43"/>
    <mergeCell ref="AK42:AN42"/>
    <mergeCell ref="AO42:AO43"/>
    <mergeCell ref="AP42:AS42"/>
    <mergeCell ref="P42:P43"/>
    <mergeCell ref="Q42:T42"/>
    <mergeCell ref="U42:U43"/>
    <mergeCell ref="V42:Y42"/>
    <mergeCell ref="BI48:BI49"/>
    <mergeCell ref="BJ48:BM48"/>
    <mergeCell ref="BN48:BN49"/>
    <mergeCell ref="BO48:BR48"/>
    <mergeCell ref="A50:C50"/>
    <mergeCell ref="D50:E50"/>
    <mergeCell ref="F50:H50"/>
    <mergeCell ref="I50:J50"/>
    <mergeCell ref="K50:M50"/>
    <mergeCell ref="N50:O50"/>
    <mergeCell ref="AT48:AT49"/>
    <mergeCell ref="AU48:AX48"/>
    <mergeCell ref="AY48:AY49"/>
    <mergeCell ref="AZ48:BC48"/>
    <mergeCell ref="BD48:BD49"/>
    <mergeCell ref="BE48:BH48"/>
    <mergeCell ref="AE48:AE49"/>
    <mergeCell ref="AF48:AI48"/>
    <mergeCell ref="AJ48:AJ49"/>
    <mergeCell ref="AK48:AN48"/>
    <mergeCell ref="AO48:AO49"/>
    <mergeCell ref="BN33:BR35"/>
    <mergeCell ref="BF38:BH38"/>
    <mergeCell ref="AE38:AF38"/>
    <mergeCell ref="AG38:AI38"/>
    <mergeCell ref="AJ38:AK38"/>
    <mergeCell ref="AL38:AN38"/>
    <mergeCell ref="U38:V38"/>
    <mergeCell ref="W38:Y38"/>
    <mergeCell ref="Z38:AA38"/>
    <mergeCell ref="AB38:AD38"/>
    <mergeCell ref="K48:K49"/>
    <mergeCell ref="L48:O48"/>
    <mergeCell ref="BD44:BE44"/>
    <mergeCell ref="BF44:BH44"/>
    <mergeCell ref="AE44:AF44"/>
    <mergeCell ref="AG44:AI44"/>
    <mergeCell ref="AJ44:AK44"/>
    <mergeCell ref="AL44:AN44"/>
    <mergeCell ref="U44:V44"/>
    <mergeCell ref="W44:Y44"/>
    <mergeCell ref="Z44:AA44"/>
    <mergeCell ref="AB44:AD44"/>
    <mergeCell ref="AA42:AD42"/>
    <mergeCell ref="BI42:BI43"/>
    <mergeCell ref="BJ42:BM42"/>
    <mergeCell ref="BN42:BN43"/>
    <mergeCell ref="BO42:BR42"/>
    <mergeCell ref="AT42:AT43"/>
    <mergeCell ref="AU42:AX42"/>
    <mergeCell ref="AY42:AY43"/>
    <mergeCell ref="AZ42:BC42"/>
    <mergeCell ref="BD42:BD43"/>
    <mergeCell ref="BI36:BI37"/>
    <mergeCell ref="BN36:BN37"/>
    <mergeCell ref="BO36:BR36"/>
    <mergeCell ref="AT36:AT37"/>
    <mergeCell ref="AU36:AX36"/>
    <mergeCell ref="AY36:AY37"/>
    <mergeCell ref="AZ36:BC36"/>
    <mergeCell ref="BD36:BD37"/>
    <mergeCell ref="BE36:BH36"/>
    <mergeCell ref="AE36:AE37"/>
    <mergeCell ref="AF36:AI36"/>
    <mergeCell ref="AJ36:AJ37"/>
    <mergeCell ref="AK36:AN36"/>
    <mergeCell ref="AO36:AO37"/>
    <mergeCell ref="AP36:AS36"/>
    <mergeCell ref="P36:P37"/>
    <mergeCell ref="Q36:T36"/>
    <mergeCell ref="U36:U37"/>
    <mergeCell ref="V36:Y36"/>
    <mergeCell ref="Z36:Z37"/>
    <mergeCell ref="AA36:AD36"/>
    <mergeCell ref="A32:B32"/>
    <mergeCell ref="C32:E32"/>
    <mergeCell ref="F32:G32"/>
    <mergeCell ref="H32:J32"/>
    <mergeCell ref="AZ24:BC24"/>
    <mergeCell ref="BD24:BD25"/>
    <mergeCell ref="BN30:BN31"/>
    <mergeCell ref="BO30:BR30"/>
    <mergeCell ref="AT30:AT31"/>
    <mergeCell ref="AU30:AX30"/>
    <mergeCell ref="AY30:AY31"/>
    <mergeCell ref="AZ30:BC30"/>
    <mergeCell ref="BD30:BD31"/>
    <mergeCell ref="BE30:BH30"/>
    <mergeCell ref="AE30:AE31"/>
    <mergeCell ref="AF30:AI30"/>
    <mergeCell ref="AJ30:AJ31"/>
    <mergeCell ref="AK30:AN30"/>
    <mergeCell ref="AO30:AO31"/>
    <mergeCell ref="AP30:AS30"/>
    <mergeCell ref="P30:P31"/>
    <mergeCell ref="Q30:T30"/>
    <mergeCell ref="U30:U31"/>
    <mergeCell ref="V30:Y30"/>
    <mergeCell ref="Z30:Z31"/>
    <mergeCell ref="AA30:AD30"/>
    <mergeCell ref="BN27:BR29"/>
    <mergeCell ref="BP26:BR26"/>
    <mergeCell ref="F30:F31"/>
    <mergeCell ref="G30:J30"/>
    <mergeCell ref="K30:K31"/>
    <mergeCell ref="L30:O30"/>
    <mergeCell ref="Z18:Z19"/>
    <mergeCell ref="AA18:AD18"/>
    <mergeCell ref="BN15:BR17"/>
    <mergeCell ref="BP14:BR14"/>
    <mergeCell ref="AP12:AS12"/>
    <mergeCell ref="P12:P13"/>
    <mergeCell ref="Q12:T12"/>
    <mergeCell ref="AE20:AF20"/>
    <mergeCell ref="AG20:AI20"/>
    <mergeCell ref="AJ20:AK20"/>
    <mergeCell ref="AL20:AN20"/>
    <mergeCell ref="U20:V20"/>
    <mergeCell ref="W20:Y20"/>
    <mergeCell ref="Z20:AA20"/>
    <mergeCell ref="AB20:AD20"/>
    <mergeCell ref="BI18:BI19"/>
    <mergeCell ref="BF26:BH26"/>
    <mergeCell ref="AE26:AF26"/>
    <mergeCell ref="AG26:AI26"/>
    <mergeCell ref="AJ26:AK26"/>
    <mergeCell ref="AL26:AN26"/>
    <mergeCell ref="U26:V26"/>
    <mergeCell ref="W26:Y26"/>
    <mergeCell ref="Z26:AA26"/>
    <mergeCell ref="AB26:AD26"/>
    <mergeCell ref="BI24:BI25"/>
    <mergeCell ref="BJ24:BM24"/>
    <mergeCell ref="BN24:BN25"/>
    <mergeCell ref="BO24:BR24"/>
    <mergeCell ref="AT24:AT25"/>
    <mergeCell ref="AU24:AX24"/>
    <mergeCell ref="AY24:AY25"/>
    <mergeCell ref="A85:A86"/>
    <mergeCell ref="B85:E85"/>
    <mergeCell ref="F85:F86"/>
    <mergeCell ref="G85:J85"/>
    <mergeCell ref="A57:C59"/>
    <mergeCell ref="F57:H59"/>
    <mergeCell ref="K57:M59"/>
    <mergeCell ref="A42:A43"/>
    <mergeCell ref="B42:E42"/>
    <mergeCell ref="F42:F43"/>
    <mergeCell ref="G42:J42"/>
    <mergeCell ref="K42:K43"/>
    <mergeCell ref="L42:O42"/>
    <mergeCell ref="A54:A55"/>
    <mergeCell ref="B54:E54"/>
    <mergeCell ref="BI12:BI13"/>
    <mergeCell ref="A12:A13"/>
    <mergeCell ref="B12:E12"/>
    <mergeCell ref="F12:F13"/>
    <mergeCell ref="G12:J12"/>
    <mergeCell ref="K12:K13"/>
    <mergeCell ref="L12:O12"/>
    <mergeCell ref="BE24:BH24"/>
    <mergeCell ref="AE24:AE25"/>
    <mergeCell ref="AF24:AI24"/>
    <mergeCell ref="AJ24:AJ25"/>
    <mergeCell ref="AK24:AN24"/>
    <mergeCell ref="AO24:AO25"/>
    <mergeCell ref="AP24:AS24"/>
    <mergeCell ref="Z24:Z25"/>
    <mergeCell ref="AA24:AD24"/>
    <mergeCell ref="BD32:BE32"/>
    <mergeCell ref="P6:P7"/>
    <mergeCell ref="Q6:T6"/>
    <mergeCell ref="U6:U7"/>
    <mergeCell ref="V6:Y6"/>
    <mergeCell ref="U12:U13"/>
    <mergeCell ref="V12:Y12"/>
    <mergeCell ref="Z12:Z13"/>
    <mergeCell ref="AA12:AD12"/>
    <mergeCell ref="BD14:BE14"/>
    <mergeCell ref="BF14:BH14"/>
    <mergeCell ref="AE14:AF14"/>
    <mergeCell ref="AG14:AI14"/>
    <mergeCell ref="AJ14:AK14"/>
    <mergeCell ref="AL14:AN14"/>
    <mergeCell ref="U14:V14"/>
    <mergeCell ref="W14:Y14"/>
    <mergeCell ref="Z14:AA14"/>
    <mergeCell ref="AB14:AD14"/>
    <mergeCell ref="AY9:BC11"/>
    <mergeCell ref="BD8:BE8"/>
    <mergeCell ref="AE9:AI11"/>
    <mergeCell ref="AJ8:AK8"/>
    <mergeCell ref="AL8:AN8"/>
    <mergeCell ref="AO8:AP8"/>
    <mergeCell ref="BO6:BR6"/>
    <mergeCell ref="AT6:AT7"/>
    <mergeCell ref="AU6:AX6"/>
    <mergeCell ref="AY6:AY7"/>
    <mergeCell ref="AZ6:BC6"/>
    <mergeCell ref="BD6:BD7"/>
    <mergeCell ref="BE6:BH6"/>
    <mergeCell ref="AE6:AE7"/>
    <mergeCell ref="AF6:AI6"/>
    <mergeCell ref="AJ6:AJ7"/>
    <mergeCell ref="AK6:AN6"/>
    <mergeCell ref="AO6:AO7"/>
    <mergeCell ref="AP6:AS6"/>
    <mergeCell ref="BP8:BR8"/>
    <mergeCell ref="BN9:BR11"/>
    <mergeCell ref="AE103:AE104"/>
    <mergeCell ref="AF103:AI103"/>
    <mergeCell ref="AJ99:AK99"/>
    <mergeCell ref="AJ100:AN102"/>
    <mergeCell ref="AJ103:AJ104"/>
    <mergeCell ref="AK103:AN103"/>
    <mergeCell ref="AE56:AG56"/>
    <mergeCell ref="BN18:BN19"/>
    <mergeCell ref="BO18:BR18"/>
    <mergeCell ref="AT18:AT19"/>
    <mergeCell ref="AU18:AX18"/>
    <mergeCell ref="AY18:AY19"/>
    <mergeCell ref="AZ18:BC18"/>
    <mergeCell ref="BD18:BD19"/>
    <mergeCell ref="BE18:BH18"/>
    <mergeCell ref="AE18:AE19"/>
    <mergeCell ref="AF18:AI18"/>
    <mergeCell ref="P67:P68"/>
    <mergeCell ref="Q67:T67"/>
    <mergeCell ref="U67:U68"/>
    <mergeCell ref="V67:Y67"/>
    <mergeCell ref="Z67:Z68"/>
    <mergeCell ref="AJ67:AJ68"/>
    <mergeCell ref="AK67:AN67"/>
    <mergeCell ref="P75:Q75"/>
    <mergeCell ref="BJ12:BM12"/>
    <mergeCell ref="AT12:AT13"/>
    <mergeCell ref="AU12:AX12"/>
    <mergeCell ref="AY12:AY13"/>
    <mergeCell ref="AZ12:BC12"/>
    <mergeCell ref="BD12:BD13"/>
    <mergeCell ref="BE12:BH12"/>
    <mergeCell ref="AE12:AE13"/>
    <mergeCell ref="AE100:AI102"/>
    <mergeCell ref="AE73:AE74"/>
    <mergeCell ref="BF32:BH32"/>
    <mergeCell ref="AY33:BC35"/>
    <mergeCell ref="BD33:BH35"/>
    <mergeCell ref="AE32:AF32"/>
    <mergeCell ref="AG32:AI32"/>
    <mergeCell ref="AJ32:AK32"/>
    <mergeCell ref="AJ18:AJ19"/>
    <mergeCell ref="AK18:AN18"/>
    <mergeCell ref="AO18:AO19"/>
    <mergeCell ref="AP18:AS18"/>
    <mergeCell ref="P18:P19"/>
    <mergeCell ref="Q18:T18"/>
    <mergeCell ref="U18:U19"/>
    <mergeCell ref="V18:Y18"/>
    <mergeCell ref="W2:Y2"/>
    <mergeCell ref="Z2:AA2"/>
    <mergeCell ref="AB2:AD2"/>
    <mergeCell ref="A2:B2"/>
    <mergeCell ref="C2:E2"/>
    <mergeCell ref="A3:E5"/>
    <mergeCell ref="F2:G2"/>
    <mergeCell ref="A18:A19"/>
    <mergeCell ref="B18:E18"/>
    <mergeCell ref="F18:F19"/>
    <mergeCell ref="G18:J18"/>
    <mergeCell ref="K18:K19"/>
    <mergeCell ref="L18:O18"/>
    <mergeCell ref="BX2:BY2"/>
    <mergeCell ref="G36:J36"/>
    <mergeCell ref="K36:K37"/>
    <mergeCell ref="L36:O36"/>
    <mergeCell ref="AF12:AI12"/>
    <mergeCell ref="AJ12:AJ13"/>
    <mergeCell ref="AK12:AN12"/>
    <mergeCell ref="AO12:AO13"/>
    <mergeCell ref="P8:Q8"/>
    <mergeCell ref="R8:T8"/>
    <mergeCell ref="U8:V8"/>
    <mergeCell ref="W8:Y8"/>
    <mergeCell ref="BI6:BI7"/>
    <mergeCell ref="BJ6:BM6"/>
    <mergeCell ref="BN6:BN7"/>
    <mergeCell ref="BN12:BN13"/>
    <mergeCell ref="BO12:BR12"/>
    <mergeCell ref="AY8:AZ8"/>
    <mergeCell ref="BA8:BC8"/>
    <mergeCell ref="AM123:AO125"/>
    <mergeCell ref="BZ2:CB2"/>
    <mergeCell ref="BX3:CB5"/>
    <mergeCell ref="BX6:BX7"/>
    <mergeCell ref="BY6:CB6"/>
    <mergeCell ref="AM126:AO128"/>
    <mergeCell ref="AP126:AS128"/>
    <mergeCell ref="AK150:AS152"/>
    <mergeCell ref="Z6:Z7"/>
    <mergeCell ref="AA6:AD6"/>
    <mergeCell ref="A6:A7"/>
    <mergeCell ref="B6:E6"/>
    <mergeCell ref="F6:F7"/>
    <mergeCell ref="G6:J6"/>
    <mergeCell ref="K6:K7"/>
    <mergeCell ref="L6:O6"/>
    <mergeCell ref="P24:P25"/>
    <mergeCell ref="Q24:T24"/>
    <mergeCell ref="U24:U25"/>
    <mergeCell ref="V24:Y24"/>
    <mergeCell ref="A24:A25"/>
    <mergeCell ref="B24:E24"/>
    <mergeCell ref="F24:F25"/>
    <mergeCell ref="G24:J24"/>
    <mergeCell ref="K24:K25"/>
    <mergeCell ref="L24:O24"/>
    <mergeCell ref="A36:A37"/>
    <mergeCell ref="B36:E36"/>
    <mergeCell ref="F36:F37"/>
    <mergeCell ref="F54:F55"/>
    <mergeCell ref="G54:J54"/>
    <mergeCell ref="K54:K55"/>
  </mergeCells>
  <pageMargins left="0.75" right="0.5" top="1" bottom="0.5" header="0.3" footer="0.3"/>
  <pageSetup paperSize="8" scale="27" orientation="portrait" r:id="rId1"/>
  <headerFooter>
    <oddFooter>&amp;C&amp;"-,Bold Italic"&amp;16Prepared by Emir Cebecioglu&amp;RQuality Control Department</oddFooter>
  </headerFooter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50E02-32D8-41CB-B4EF-08B140A1AE89}">
  <sheetPr>
    <pageSetUpPr fitToPage="1"/>
  </sheetPr>
  <dimension ref="A1:CB77"/>
  <sheetViews>
    <sheetView view="pageBreakPreview" topLeftCell="W40" zoomScale="115" zoomScaleNormal="70" zoomScaleSheetLayoutView="115" zoomScalePageLayoutView="55" workbookViewId="0">
      <selection activeCell="U15" sqref="U15:Y17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140625" customWidth="1"/>
    <col min="47" max="47" width="10.71093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1" customWidth="1"/>
    <col min="62" max="62" width="56.7109375" customWidth="1"/>
    <col min="63" max="63" width="13" customWidth="1"/>
    <col min="64" max="64" width="7" customWidth="1"/>
  </cols>
  <sheetData>
    <row r="1" spans="1:80" ht="213" customHeight="1" thickBot="1" x14ac:dyDescent="0.3"/>
    <row r="2" spans="1:80" ht="39.950000000000003" customHeight="1" thickTop="1" x14ac:dyDescent="0.25">
      <c r="A2" s="165"/>
      <c r="B2" s="165"/>
      <c r="C2" s="165"/>
      <c r="D2" s="165"/>
      <c r="E2" s="165"/>
      <c r="F2" s="165"/>
      <c r="G2" s="165"/>
      <c r="H2" s="165"/>
      <c r="I2" s="165"/>
      <c r="J2" s="165"/>
      <c r="K2" s="2522" t="s">
        <v>250</v>
      </c>
      <c r="L2" s="2523"/>
      <c r="M2" s="2523"/>
      <c r="N2" s="2524">
        <f>L7/((54*3.1415/59)*(40/3.281))</f>
        <v>7.1735864767361671E-2</v>
      </c>
      <c r="O2" s="2525"/>
      <c r="P2" s="2522" t="s">
        <v>250</v>
      </c>
      <c r="Q2" s="2523"/>
      <c r="R2" s="2523"/>
      <c r="S2" s="2524">
        <f>Q7/((54*3.1415/59)*(40/3.281))</f>
        <v>2.898418778479259E-2</v>
      </c>
      <c r="T2" s="2525"/>
      <c r="U2" s="2522" t="s">
        <v>250</v>
      </c>
      <c r="V2" s="2523"/>
      <c r="W2" s="2523"/>
      <c r="X2" s="2524">
        <f>V7/((54*3.1415/59)*(40/3.281))</f>
        <v>2.5361164311693517E-2</v>
      </c>
      <c r="Y2" s="2525"/>
      <c r="Z2" s="2659" t="s">
        <v>250</v>
      </c>
      <c r="AA2" s="2660"/>
      <c r="AB2" s="2660"/>
      <c r="AC2" s="2661">
        <f>AA7/((54*3.1415/59)*(30/3.281))</f>
        <v>1.8356652263701975E-2</v>
      </c>
      <c r="AD2" s="2662"/>
      <c r="AE2" s="2659" t="s">
        <v>250</v>
      </c>
      <c r="AF2" s="2660"/>
      <c r="AG2" s="2660"/>
      <c r="AH2" s="2661">
        <f>AF7/((54*3.1415/59)*(30/3.281))</f>
        <v>5.3137677605453085E-2</v>
      </c>
      <c r="AI2" s="2662"/>
      <c r="AJ2" s="2659" t="s">
        <v>250</v>
      </c>
      <c r="AK2" s="2660"/>
      <c r="AL2" s="2660"/>
      <c r="AM2" s="2661">
        <f>AK7/((54*3.1415/59)*(30/3.281))</f>
        <v>4.6374700455668147E-2</v>
      </c>
      <c r="AN2" s="2662"/>
      <c r="AO2" s="165"/>
      <c r="AP2" s="165"/>
      <c r="AQ2" s="165"/>
      <c r="AR2" s="165"/>
      <c r="AS2" s="165"/>
      <c r="AT2" s="165"/>
      <c r="AU2" s="165"/>
      <c r="AV2" s="165"/>
      <c r="AW2" s="165"/>
      <c r="AX2" s="165"/>
      <c r="AY2" s="674"/>
      <c r="AZ2" s="674"/>
      <c r="BA2" s="674"/>
      <c r="BB2" s="1300"/>
      <c r="BC2" s="1300"/>
      <c r="BD2" s="674"/>
      <c r="BE2" s="674"/>
      <c r="BF2" s="674"/>
      <c r="BG2" s="1300"/>
      <c r="BH2" s="1300"/>
      <c r="BM2" s="27"/>
      <c r="BN2" s="27"/>
      <c r="BO2" s="27"/>
      <c r="BP2" s="27"/>
      <c r="BQ2" s="27"/>
      <c r="BR2" s="27"/>
      <c r="BW2" s="27"/>
      <c r="BX2" s="27"/>
      <c r="BY2" s="27"/>
      <c r="BZ2" s="27"/>
      <c r="CA2" s="27"/>
      <c r="CB2" s="27"/>
    </row>
    <row r="3" spans="1:80" ht="9.9499999999999993" hidden="1" customHeight="1" x14ac:dyDescent="0.25">
      <c r="A3" s="165"/>
      <c r="B3" s="165"/>
      <c r="C3" s="165"/>
      <c r="D3" s="165"/>
      <c r="E3" s="165"/>
      <c r="F3" s="165"/>
      <c r="G3" s="165"/>
      <c r="H3" s="165"/>
      <c r="I3" s="165"/>
      <c r="J3" s="165"/>
      <c r="K3" s="2586" t="s">
        <v>111</v>
      </c>
      <c r="L3" s="2587"/>
      <c r="M3" s="2587"/>
      <c r="N3" s="2587"/>
      <c r="O3" s="2588"/>
      <c r="P3" s="2586" t="s">
        <v>111</v>
      </c>
      <c r="Q3" s="2587"/>
      <c r="R3" s="2587"/>
      <c r="S3" s="2587"/>
      <c r="T3" s="2588"/>
      <c r="U3" s="2586" t="s">
        <v>111</v>
      </c>
      <c r="V3" s="2587"/>
      <c r="W3" s="2587"/>
      <c r="X3" s="2587"/>
      <c r="Y3" s="2588"/>
      <c r="Z3" s="2586" t="s">
        <v>111</v>
      </c>
      <c r="AA3" s="2587"/>
      <c r="AB3" s="2587"/>
      <c r="AC3" s="2587"/>
      <c r="AD3" s="2588"/>
      <c r="AE3" s="2650" t="s">
        <v>111</v>
      </c>
      <c r="AF3" s="2651"/>
      <c r="AG3" s="2651"/>
      <c r="AH3" s="2651"/>
      <c r="AI3" s="2652"/>
      <c r="AJ3" s="2586" t="s">
        <v>111</v>
      </c>
      <c r="AK3" s="2587"/>
      <c r="AL3" s="2587"/>
      <c r="AM3" s="2587"/>
      <c r="AN3" s="2588"/>
      <c r="AO3" s="165"/>
      <c r="AP3" s="165"/>
      <c r="AQ3" s="165"/>
      <c r="AR3" s="165"/>
      <c r="AS3" s="165"/>
      <c r="AT3" s="165"/>
      <c r="AU3" s="165"/>
      <c r="AV3" s="165"/>
      <c r="AW3" s="165"/>
      <c r="AX3" s="165"/>
      <c r="AY3" s="676"/>
      <c r="AZ3" s="676"/>
      <c r="BA3" s="676"/>
      <c r="BB3" s="36"/>
      <c r="BC3" s="36"/>
      <c r="BD3" s="676"/>
      <c r="BE3" s="676"/>
      <c r="BF3" s="676"/>
      <c r="BG3" s="36"/>
      <c r="BH3" s="36"/>
    </row>
    <row r="4" spans="1:80" ht="24.95" hidden="1" customHeight="1" x14ac:dyDescent="0.25">
      <c r="A4" s="165"/>
      <c r="B4" s="165"/>
      <c r="C4" s="165"/>
      <c r="D4" s="165"/>
      <c r="E4" s="165"/>
      <c r="F4" s="165"/>
      <c r="G4" s="165"/>
      <c r="H4" s="165"/>
      <c r="I4" s="165"/>
      <c r="J4" s="165"/>
      <c r="K4" s="2589"/>
      <c r="L4" s="2590"/>
      <c r="M4" s="2590"/>
      <c r="N4" s="2590"/>
      <c r="O4" s="2591"/>
      <c r="P4" s="2589"/>
      <c r="Q4" s="2590"/>
      <c r="R4" s="2590"/>
      <c r="S4" s="2590"/>
      <c r="T4" s="2591"/>
      <c r="U4" s="2589"/>
      <c r="V4" s="2590"/>
      <c r="W4" s="2590"/>
      <c r="X4" s="2590"/>
      <c r="Y4" s="2591"/>
      <c r="Z4" s="2589"/>
      <c r="AA4" s="2590"/>
      <c r="AB4" s="2590"/>
      <c r="AC4" s="2590"/>
      <c r="AD4" s="2591"/>
      <c r="AE4" s="2653"/>
      <c r="AF4" s="2654"/>
      <c r="AG4" s="2654"/>
      <c r="AH4" s="2654"/>
      <c r="AI4" s="2655"/>
      <c r="AJ4" s="2589"/>
      <c r="AK4" s="2590"/>
      <c r="AL4" s="2590"/>
      <c r="AM4" s="2590"/>
      <c r="AN4" s="2591"/>
      <c r="AO4" s="165"/>
      <c r="AP4" s="165"/>
      <c r="AQ4" s="165"/>
      <c r="AR4" s="165"/>
      <c r="AS4" s="165"/>
      <c r="AT4" s="165"/>
      <c r="AU4" s="165"/>
      <c r="AV4" s="165"/>
      <c r="AW4" s="165"/>
      <c r="AX4" s="165"/>
      <c r="AY4" s="676"/>
      <c r="AZ4" s="676"/>
      <c r="BA4" s="676"/>
      <c r="BB4" s="36"/>
      <c r="BC4" s="36"/>
      <c r="BD4" s="676"/>
      <c r="BE4" s="676"/>
      <c r="BF4" s="676"/>
      <c r="BG4" s="36"/>
      <c r="BH4" s="36"/>
    </row>
    <row r="5" spans="1:80" ht="25.5" customHeight="1" x14ac:dyDescent="0.25">
      <c r="A5" s="165"/>
      <c r="B5" s="165"/>
      <c r="C5" s="165"/>
      <c r="D5" s="165"/>
      <c r="E5" s="165"/>
      <c r="F5" s="165"/>
      <c r="G5" s="165"/>
      <c r="H5" s="165"/>
      <c r="I5" s="165"/>
      <c r="J5" s="165"/>
      <c r="K5" s="2592"/>
      <c r="L5" s="2593"/>
      <c r="M5" s="2593"/>
      <c r="N5" s="2593"/>
      <c r="O5" s="2594"/>
      <c r="P5" s="2592"/>
      <c r="Q5" s="2593"/>
      <c r="R5" s="2593"/>
      <c r="S5" s="2593"/>
      <c r="T5" s="2594"/>
      <c r="U5" s="2592"/>
      <c r="V5" s="2593"/>
      <c r="W5" s="2593"/>
      <c r="X5" s="2593"/>
      <c r="Y5" s="2594"/>
      <c r="Z5" s="2592"/>
      <c r="AA5" s="2593"/>
      <c r="AB5" s="2593"/>
      <c r="AC5" s="2593"/>
      <c r="AD5" s="2594"/>
      <c r="AE5" s="2656"/>
      <c r="AF5" s="2657"/>
      <c r="AG5" s="2657"/>
      <c r="AH5" s="2657"/>
      <c r="AI5" s="2658"/>
      <c r="AJ5" s="2592"/>
      <c r="AK5" s="2593"/>
      <c r="AL5" s="2593"/>
      <c r="AM5" s="2593"/>
      <c r="AN5" s="2594"/>
      <c r="AO5" s="165"/>
      <c r="AP5" s="165"/>
      <c r="AQ5" s="165"/>
      <c r="AR5" s="165"/>
      <c r="AS5" s="165"/>
      <c r="AT5" s="165"/>
      <c r="AU5" s="165"/>
      <c r="AV5" s="165"/>
      <c r="AW5" s="165"/>
      <c r="AX5" s="165"/>
      <c r="AY5" s="676"/>
      <c r="AZ5" s="676"/>
      <c r="BA5" s="676"/>
      <c r="BB5" s="36"/>
      <c r="BC5" s="36"/>
      <c r="BD5" s="676"/>
      <c r="BE5" s="676"/>
      <c r="BF5" s="676"/>
      <c r="BG5" s="36"/>
      <c r="BH5" s="36"/>
    </row>
    <row r="6" spans="1:80" ht="72" customHeight="1" x14ac:dyDescent="0.25">
      <c r="A6" s="165"/>
      <c r="B6" s="165"/>
      <c r="C6" s="165"/>
      <c r="D6" s="165"/>
      <c r="E6" s="165"/>
      <c r="F6" s="165"/>
      <c r="G6" s="165"/>
      <c r="H6" s="165"/>
      <c r="I6" s="165"/>
      <c r="J6" s="165"/>
      <c r="K6" s="2535" t="s">
        <v>478</v>
      </c>
      <c r="L6" s="1333">
        <v>1</v>
      </c>
      <c r="M6" s="1334"/>
      <c r="N6" s="1334"/>
      <c r="O6" s="1335"/>
      <c r="P6" s="2535" t="s">
        <v>478</v>
      </c>
      <c r="Q6" s="1333">
        <v>2</v>
      </c>
      <c r="R6" s="1334"/>
      <c r="S6" s="1334"/>
      <c r="T6" s="1335"/>
      <c r="U6" s="2535" t="s">
        <v>478</v>
      </c>
      <c r="V6" s="1333">
        <v>3</v>
      </c>
      <c r="W6" s="1334"/>
      <c r="X6" s="1334"/>
      <c r="Y6" s="1335"/>
      <c r="Z6" s="2648" t="s">
        <v>253</v>
      </c>
      <c r="AA6" s="1333">
        <v>4</v>
      </c>
      <c r="AB6" s="1334"/>
      <c r="AC6" s="1334"/>
      <c r="AD6" s="1335"/>
      <c r="AE6" s="2648" t="s">
        <v>253</v>
      </c>
      <c r="AF6" s="1333">
        <v>5</v>
      </c>
      <c r="AG6" s="1334"/>
      <c r="AH6" s="1334"/>
      <c r="AI6" s="1335"/>
      <c r="AJ6" s="2648" t="s">
        <v>253</v>
      </c>
      <c r="AK6" s="1333">
        <v>6</v>
      </c>
      <c r="AL6" s="1334"/>
      <c r="AM6" s="1334"/>
      <c r="AN6" s="1335"/>
      <c r="AO6" s="165"/>
      <c r="AP6" s="165"/>
      <c r="AQ6" s="165"/>
      <c r="AR6" s="165"/>
      <c r="AS6" s="165"/>
      <c r="AT6" s="165"/>
      <c r="AU6" s="165"/>
      <c r="AV6" s="165"/>
      <c r="AW6" s="165"/>
      <c r="AX6" s="165"/>
      <c r="AY6" s="677"/>
      <c r="AZ6" s="1332"/>
      <c r="BA6" s="1332"/>
      <c r="BB6" s="1332"/>
      <c r="BC6" s="1332"/>
      <c r="BD6" s="677"/>
      <c r="BE6" s="1332"/>
      <c r="BF6" s="1332"/>
      <c r="BG6" s="1332"/>
      <c r="BH6" s="1332"/>
      <c r="BM6" s="27"/>
      <c r="BN6" s="27"/>
      <c r="BO6" s="27"/>
      <c r="BP6" s="27"/>
      <c r="BQ6" s="27"/>
      <c r="BR6" s="27"/>
      <c r="BW6" s="27"/>
      <c r="BX6" s="27"/>
      <c r="BY6" s="27"/>
      <c r="BZ6" s="27"/>
      <c r="CA6" s="27"/>
      <c r="CB6" s="27"/>
    </row>
    <row r="7" spans="1:80" ht="35.1" customHeight="1" thickBot="1" x14ac:dyDescent="0.3">
      <c r="A7" s="165"/>
      <c r="B7" s="165"/>
      <c r="C7" s="165"/>
      <c r="D7" s="165"/>
      <c r="E7" s="165"/>
      <c r="F7" s="165"/>
      <c r="G7" s="165"/>
      <c r="H7" s="165"/>
      <c r="I7" s="165"/>
      <c r="J7" s="165"/>
      <c r="K7" s="2536"/>
      <c r="L7" s="327">
        <v>2.5146000000000002</v>
      </c>
      <c r="M7" s="328" t="s">
        <v>113</v>
      </c>
      <c r="N7" s="329"/>
      <c r="O7" s="330" t="s">
        <v>114</v>
      </c>
      <c r="P7" s="2536"/>
      <c r="Q7" s="327">
        <v>1.016</v>
      </c>
      <c r="R7" s="328" t="s">
        <v>113</v>
      </c>
      <c r="S7" s="329"/>
      <c r="T7" s="330" t="s">
        <v>114</v>
      </c>
      <c r="U7" s="2536"/>
      <c r="V7" s="327">
        <v>0.88900000000000001</v>
      </c>
      <c r="W7" s="328" t="s">
        <v>113</v>
      </c>
      <c r="X7" s="329"/>
      <c r="Y7" s="330" t="s">
        <v>114</v>
      </c>
      <c r="Z7" s="2649"/>
      <c r="AA7" s="327">
        <v>0.48259999999999997</v>
      </c>
      <c r="AB7" s="328" t="s">
        <v>113</v>
      </c>
      <c r="AC7" s="329"/>
      <c r="AD7" s="330" t="s">
        <v>114</v>
      </c>
      <c r="AE7" s="2649"/>
      <c r="AF7" s="327">
        <v>1.397</v>
      </c>
      <c r="AG7" s="328" t="s">
        <v>113</v>
      </c>
      <c r="AH7" s="329"/>
      <c r="AI7" s="330" t="s">
        <v>114</v>
      </c>
      <c r="AJ7" s="2649"/>
      <c r="AK7" s="327">
        <v>1.2192000000000001</v>
      </c>
      <c r="AL7" s="328" t="s">
        <v>113</v>
      </c>
      <c r="AM7" s="329"/>
      <c r="AN7" s="330" t="s">
        <v>114</v>
      </c>
      <c r="AO7" s="165"/>
      <c r="AP7" s="165"/>
      <c r="AQ7" s="165"/>
      <c r="AR7" s="165"/>
      <c r="AS7" s="165"/>
      <c r="AT7" s="165"/>
      <c r="AU7" s="165"/>
      <c r="AV7" s="165"/>
      <c r="AW7" s="165"/>
      <c r="AX7" s="165"/>
      <c r="AY7" s="677"/>
      <c r="AZ7" s="137"/>
      <c r="BA7" s="33"/>
      <c r="BB7" s="138"/>
      <c r="BC7" s="35"/>
      <c r="BD7" s="677"/>
      <c r="BE7" s="137"/>
      <c r="BF7" s="33"/>
      <c r="BG7" s="138"/>
      <c r="BH7" s="35"/>
      <c r="BM7" s="27"/>
      <c r="BN7" s="27"/>
      <c r="BO7" s="27"/>
      <c r="BP7" s="27"/>
      <c r="BQ7" s="27"/>
      <c r="BR7" s="27"/>
      <c r="BW7" s="27"/>
      <c r="BX7" s="27"/>
      <c r="BY7" s="27"/>
      <c r="BZ7" s="27"/>
      <c r="CA7" s="27"/>
      <c r="CB7" s="27"/>
    </row>
    <row r="8" spans="1:80" ht="39" customHeight="1" thickTop="1" x14ac:dyDescent="0.25">
      <c r="A8" s="165"/>
      <c r="B8" s="165"/>
      <c r="C8" s="165"/>
      <c r="D8" s="165"/>
      <c r="E8" s="165"/>
      <c r="F8" s="165"/>
      <c r="G8" s="165"/>
      <c r="H8" s="165"/>
      <c r="I8" s="165"/>
      <c r="J8" s="165"/>
      <c r="K8" s="1706" t="s">
        <v>704</v>
      </c>
      <c r="L8" s="1746"/>
      <c r="M8" s="1746"/>
      <c r="N8" s="1746"/>
      <c r="O8" s="1746"/>
      <c r="P8" s="1746"/>
      <c r="Q8" s="1746"/>
      <c r="R8" s="1746"/>
      <c r="S8" s="1746"/>
      <c r="T8" s="1746"/>
      <c r="U8" s="1746"/>
      <c r="V8" s="1746"/>
      <c r="W8" s="1746"/>
      <c r="X8" s="1746"/>
      <c r="Y8" s="1746"/>
      <c r="Z8" s="1746"/>
      <c r="AA8" s="1746"/>
      <c r="AB8" s="1746"/>
      <c r="AC8" s="1746"/>
      <c r="AD8" s="1746"/>
      <c r="AE8" s="1746"/>
      <c r="AF8" s="1746"/>
      <c r="AG8" s="1746"/>
      <c r="AH8" s="1746"/>
      <c r="AI8" s="1746"/>
      <c r="AJ8" s="1746"/>
      <c r="AK8" s="1746"/>
      <c r="AL8" s="1746"/>
      <c r="AM8" s="1746"/>
      <c r="AN8" s="1747"/>
      <c r="AO8" s="165"/>
      <c r="AP8" s="165"/>
      <c r="AQ8" s="165"/>
      <c r="AR8" s="165"/>
      <c r="AS8" s="165"/>
      <c r="AT8" s="165"/>
      <c r="AU8" s="165"/>
      <c r="AV8" s="165"/>
      <c r="AW8" s="165"/>
      <c r="AX8" s="165"/>
      <c r="AY8" s="674"/>
      <c r="AZ8" s="674"/>
      <c r="BA8" s="674"/>
      <c r="BB8" s="1300"/>
      <c r="BC8" s="1300"/>
      <c r="BD8" s="674"/>
      <c r="BE8" s="674"/>
      <c r="BF8" s="674"/>
      <c r="BG8" s="1300"/>
      <c r="BH8" s="1300"/>
      <c r="BM8" s="27"/>
      <c r="BN8" s="27"/>
      <c r="BO8" s="27"/>
      <c r="BP8" s="27"/>
      <c r="BQ8" s="27"/>
      <c r="BR8" s="27"/>
      <c r="BW8" s="27"/>
      <c r="BX8" s="27"/>
      <c r="BY8" s="27"/>
      <c r="BZ8" s="27"/>
      <c r="CA8" s="27"/>
      <c r="CB8" s="27"/>
    </row>
    <row r="9" spans="1:80" ht="17.25" customHeight="1" thickBot="1" x14ac:dyDescent="0.3">
      <c r="A9" s="165"/>
      <c r="B9" s="165"/>
      <c r="C9" s="165"/>
      <c r="D9" s="165"/>
      <c r="E9" s="165"/>
      <c r="F9" s="165"/>
      <c r="G9" s="165"/>
      <c r="H9" s="165"/>
      <c r="I9" s="165"/>
      <c r="J9" s="165"/>
      <c r="K9" s="1748"/>
      <c r="L9" s="1749"/>
      <c r="M9" s="1749"/>
      <c r="N9" s="1749"/>
      <c r="O9" s="1749"/>
      <c r="P9" s="1749"/>
      <c r="Q9" s="1749"/>
      <c r="R9" s="1749"/>
      <c r="S9" s="1749"/>
      <c r="T9" s="1749"/>
      <c r="U9" s="1749"/>
      <c r="V9" s="1749"/>
      <c r="W9" s="1749"/>
      <c r="X9" s="1749"/>
      <c r="Y9" s="1749"/>
      <c r="Z9" s="1749"/>
      <c r="AA9" s="1749"/>
      <c r="AB9" s="1749"/>
      <c r="AC9" s="1749"/>
      <c r="AD9" s="1749"/>
      <c r="AE9" s="1749"/>
      <c r="AF9" s="1749"/>
      <c r="AG9" s="1749"/>
      <c r="AH9" s="1749"/>
      <c r="AI9" s="1749"/>
      <c r="AJ9" s="1749"/>
      <c r="AK9" s="1749"/>
      <c r="AL9" s="1749"/>
      <c r="AM9" s="1749"/>
      <c r="AN9" s="1750"/>
      <c r="AO9" s="165"/>
      <c r="AP9" s="165"/>
      <c r="AQ9" s="165"/>
      <c r="AR9" s="165"/>
      <c r="AS9" s="165"/>
      <c r="AT9" s="165"/>
      <c r="AU9" s="165"/>
      <c r="AV9" s="165"/>
      <c r="AW9" s="165"/>
      <c r="AX9" s="165"/>
      <c r="AY9" s="676"/>
      <c r="AZ9" s="676"/>
      <c r="BA9" s="676"/>
      <c r="BB9" s="674"/>
      <c r="BC9" s="674"/>
      <c r="BD9" s="674"/>
      <c r="BE9" s="674"/>
      <c r="BF9" s="674"/>
      <c r="BG9" s="674"/>
      <c r="BH9" s="674"/>
      <c r="BI9" s="674"/>
      <c r="BJ9" s="674"/>
    </row>
    <row r="10" spans="1:80" ht="34.5" thickTop="1" x14ac:dyDescent="0.25">
      <c r="A10" s="165"/>
      <c r="B10" s="165"/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  <c r="Z10" s="165"/>
      <c r="AA10" s="165"/>
      <c r="AB10" s="165"/>
      <c r="AC10" s="165"/>
      <c r="AD10" s="165"/>
      <c r="AE10" s="165"/>
      <c r="AF10" s="165"/>
      <c r="AG10" s="165"/>
      <c r="AH10" s="165"/>
      <c r="AI10" s="165"/>
      <c r="AJ10" s="165"/>
      <c r="AK10" s="165"/>
      <c r="AL10" s="165"/>
      <c r="AM10" s="165"/>
      <c r="AN10" s="165"/>
      <c r="AO10" s="165"/>
      <c r="AP10" s="165"/>
      <c r="AQ10" s="165"/>
      <c r="AR10" s="165"/>
      <c r="AS10" s="165"/>
      <c r="AT10" s="165"/>
      <c r="AU10" s="165"/>
      <c r="AV10" s="165"/>
      <c r="AW10" s="165"/>
      <c r="AX10" s="165"/>
      <c r="AY10" s="676"/>
      <c r="AZ10" s="676"/>
      <c r="BA10" s="676"/>
      <c r="BB10" s="674"/>
      <c r="BC10" s="674"/>
      <c r="BD10" s="674"/>
      <c r="BE10" s="674"/>
      <c r="BF10" s="674"/>
      <c r="BG10" s="674"/>
      <c r="BH10" s="674"/>
      <c r="BI10" s="674"/>
      <c r="BJ10" s="674"/>
    </row>
    <row r="11" spans="1:80" ht="25.5" customHeight="1" x14ac:dyDescent="0.25">
      <c r="A11" s="165"/>
      <c r="B11" s="165"/>
      <c r="C11" s="165"/>
      <c r="D11" s="165"/>
      <c r="E11" s="165"/>
      <c r="F11" s="165"/>
      <c r="G11" s="165"/>
      <c r="H11" s="165"/>
      <c r="I11" s="165"/>
      <c r="J11" s="165"/>
      <c r="K11" s="165"/>
      <c r="L11" s="165"/>
      <c r="M11" s="165"/>
      <c r="N11" s="165"/>
      <c r="O11" s="165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5"/>
      <c r="AA11" s="165"/>
      <c r="AB11" s="165"/>
      <c r="AC11" s="165"/>
      <c r="AD11" s="165"/>
      <c r="AE11" s="165"/>
      <c r="AF11" s="165"/>
      <c r="AG11" s="165"/>
      <c r="AH11" s="165"/>
      <c r="AI11" s="165"/>
      <c r="AJ11" s="165"/>
      <c r="AK11" s="165"/>
      <c r="AL11" s="165"/>
      <c r="AM11" s="165"/>
      <c r="AN11" s="165"/>
      <c r="AO11" s="165"/>
      <c r="AP11" s="165"/>
      <c r="AQ11" s="165"/>
      <c r="AR11" s="165"/>
      <c r="AS11" s="165"/>
      <c r="AT11" s="165"/>
      <c r="AU11" s="165"/>
      <c r="AV11" s="165"/>
      <c r="AW11" s="165"/>
      <c r="AX11" s="165"/>
      <c r="AY11" s="676"/>
      <c r="AZ11" s="676"/>
      <c r="BA11" s="676"/>
      <c r="BB11" s="674"/>
      <c r="BC11" s="674"/>
      <c r="BD11" s="674"/>
      <c r="BE11" s="674"/>
      <c r="BF11" s="674"/>
      <c r="BG11" s="674"/>
      <c r="BH11" s="674"/>
      <c r="BI11" s="674"/>
      <c r="BJ11" s="674"/>
    </row>
    <row r="12" spans="1:80" ht="72" customHeight="1" x14ac:dyDescent="0.25">
      <c r="A12" s="165"/>
      <c r="B12" s="165"/>
      <c r="C12" s="165"/>
      <c r="D12" s="165"/>
      <c r="E12" s="165"/>
      <c r="F12" s="165"/>
      <c r="G12" s="165"/>
      <c r="H12" s="165"/>
      <c r="I12" s="165"/>
      <c r="J12" s="165"/>
      <c r="K12" s="165"/>
      <c r="L12" s="165"/>
      <c r="M12" s="165"/>
      <c r="N12" s="165"/>
      <c r="O12" s="165"/>
      <c r="P12" s="165"/>
      <c r="Q12" s="165"/>
      <c r="R12" s="165"/>
      <c r="S12" s="165"/>
      <c r="T12" s="165"/>
      <c r="U12" s="165"/>
      <c r="V12" s="165"/>
      <c r="W12" s="165"/>
      <c r="X12" s="165"/>
      <c r="Y12" s="165"/>
      <c r="Z12" s="165"/>
      <c r="AA12" s="165"/>
      <c r="AB12" s="165"/>
      <c r="AC12" s="165"/>
      <c r="AD12" s="165"/>
      <c r="AE12" s="165"/>
      <c r="AF12" s="165"/>
      <c r="AG12" s="165"/>
      <c r="AH12" s="165"/>
      <c r="AI12" s="165"/>
      <c r="AJ12" s="165"/>
      <c r="AK12" s="165"/>
      <c r="AL12" s="165"/>
      <c r="AM12" s="165"/>
      <c r="AN12" s="165"/>
      <c r="AO12" s="165"/>
      <c r="AP12" s="165"/>
      <c r="AQ12" s="165"/>
      <c r="AR12" s="165"/>
      <c r="AS12" s="165"/>
      <c r="AT12" s="165"/>
      <c r="AU12" s="165"/>
      <c r="AV12" s="165"/>
      <c r="AW12" s="165"/>
      <c r="AX12" s="165"/>
      <c r="AY12" s="677"/>
      <c r="AZ12" s="1332"/>
      <c r="BA12" s="1332"/>
      <c r="BB12" s="1332"/>
      <c r="BC12" s="1332"/>
      <c r="BD12" s="677"/>
      <c r="BE12" s="1332"/>
      <c r="BF12" s="1332"/>
      <c r="BG12" s="1332"/>
      <c r="BH12" s="1332"/>
      <c r="BM12" s="51"/>
      <c r="BN12" s="51"/>
      <c r="BO12" s="51"/>
      <c r="BP12" s="51"/>
      <c r="BQ12" s="51"/>
      <c r="BR12" s="51"/>
      <c r="BW12" s="27"/>
      <c r="BX12" s="27"/>
      <c r="BY12" s="27"/>
      <c r="BZ12" s="27"/>
      <c r="CA12" s="27"/>
      <c r="CB12" s="27"/>
    </row>
    <row r="13" spans="1:80" ht="35.1" customHeight="1" x14ac:dyDescent="0.25">
      <c r="A13" s="165"/>
      <c r="B13" s="165"/>
      <c r="C13" s="165"/>
      <c r="D13" s="165"/>
      <c r="E13" s="165"/>
      <c r="F13" s="165"/>
      <c r="G13" s="165"/>
      <c r="H13" s="165"/>
      <c r="I13" s="165"/>
      <c r="J13" s="165"/>
      <c r="K13" s="165"/>
      <c r="L13" s="165"/>
      <c r="M13" s="165"/>
      <c r="N13" s="165"/>
      <c r="O13" s="165"/>
      <c r="P13" s="165"/>
      <c r="Q13" s="165"/>
      <c r="R13" s="165"/>
      <c r="S13" s="165"/>
      <c r="T13" s="165"/>
      <c r="U13" s="165"/>
      <c r="V13" s="165"/>
      <c r="W13" s="165"/>
      <c r="X13" s="165"/>
      <c r="Y13" s="165"/>
      <c r="Z13" s="165"/>
      <c r="AA13" s="165"/>
      <c r="AB13" s="165"/>
      <c r="AC13" s="165"/>
      <c r="AD13" s="165"/>
      <c r="AE13" s="165"/>
      <c r="AF13" s="165"/>
      <c r="AG13" s="165"/>
      <c r="AH13" s="165"/>
      <c r="AI13" s="165"/>
      <c r="AJ13" s="165"/>
      <c r="AK13" s="165"/>
      <c r="AL13" s="165"/>
      <c r="AM13" s="165"/>
      <c r="AN13" s="165"/>
      <c r="AO13" s="165"/>
      <c r="AP13" s="165"/>
      <c r="AQ13" s="165"/>
      <c r="AR13" s="165"/>
      <c r="AS13" s="165"/>
      <c r="AT13" s="165"/>
      <c r="AU13" s="165"/>
      <c r="AV13" s="165"/>
      <c r="AW13" s="165"/>
      <c r="AX13" s="165"/>
      <c r="AY13" s="677"/>
      <c r="AZ13" s="137"/>
      <c r="BA13" s="33"/>
      <c r="BB13" s="138"/>
      <c r="BC13" s="35"/>
      <c r="BD13" s="677"/>
      <c r="BE13" s="137"/>
      <c r="BF13" s="33"/>
      <c r="BG13" s="138"/>
      <c r="BH13" s="35"/>
      <c r="BM13" s="51"/>
      <c r="BN13" s="51"/>
      <c r="BO13" s="51"/>
      <c r="BP13" s="51"/>
      <c r="BQ13" s="51"/>
      <c r="BR13" s="51"/>
      <c r="BW13" s="27"/>
      <c r="BX13" s="27"/>
      <c r="BY13" s="27"/>
      <c r="BZ13" s="27"/>
      <c r="CA13" s="27"/>
      <c r="CB13" s="27"/>
    </row>
    <row r="14" spans="1:80" ht="39.950000000000003" hidden="1" customHeight="1" thickTop="1" x14ac:dyDescent="0.25">
      <c r="A14" s="1695" t="s">
        <v>250</v>
      </c>
      <c r="B14" s="1696"/>
      <c r="C14" s="1696"/>
      <c r="D14" s="1697">
        <f>B19/((42*3.1415/59)*(30/3.281))</f>
        <v>0</v>
      </c>
      <c r="E14" s="1698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Z14" s="44"/>
      <c r="AA14" s="44"/>
      <c r="AB14" s="44"/>
      <c r="AC14" s="44"/>
      <c r="AD14" s="44"/>
      <c r="AE14" s="44"/>
      <c r="AF14" s="44"/>
      <c r="AG14" s="44"/>
      <c r="AH14" s="1300"/>
      <c r="AI14" s="1300"/>
      <c r="AJ14" s="674"/>
      <c r="AK14" s="674"/>
      <c r="AL14" s="674"/>
      <c r="AM14" s="1300"/>
      <c r="AN14" s="1300"/>
      <c r="AO14" s="674"/>
      <c r="AP14" s="674"/>
      <c r="AQ14" s="674"/>
      <c r="AR14" s="1300"/>
      <c r="AS14" s="1300"/>
      <c r="AT14" s="1389"/>
      <c r="AU14" s="1389"/>
      <c r="AV14" s="1389"/>
      <c r="AW14" s="1390"/>
      <c r="AX14" s="1390"/>
      <c r="AY14" s="674"/>
      <c r="AZ14" s="674"/>
      <c r="BA14" s="674"/>
      <c r="BB14" s="1300"/>
      <c r="BC14" s="1300"/>
      <c r="BD14" s="674"/>
      <c r="BE14" s="674"/>
      <c r="BF14" s="674"/>
      <c r="BG14" s="1300"/>
      <c r="BH14" s="1300"/>
      <c r="BM14" s="51"/>
      <c r="BN14" s="51"/>
      <c r="BO14" s="51"/>
      <c r="BP14" s="51"/>
      <c r="BQ14" s="51"/>
      <c r="BR14" s="51"/>
      <c r="BW14" s="27"/>
      <c r="BX14" s="27"/>
      <c r="BY14" s="27"/>
      <c r="BZ14" s="27"/>
      <c r="CA14" s="27"/>
      <c r="CB14" s="27"/>
    </row>
    <row r="15" spans="1:80" ht="9.9499999999999993" hidden="1" customHeight="1" x14ac:dyDescent="0.25">
      <c r="A15" s="1379" t="s">
        <v>252</v>
      </c>
      <c r="B15" s="1380"/>
      <c r="C15" s="1380"/>
      <c r="D15" s="1380"/>
      <c r="E15" s="1381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Z15" s="47"/>
      <c r="AA15" s="47"/>
      <c r="AB15" s="47"/>
      <c r="AC15" s="47"/>
      <c r="AD15" s="47"/>
      <c r="AE15" s="47"/>
      <c r="AF15" s="47"/>
      <c r="AG15" s="47"/>
      <c r="AH15" s="36"/>
      <c r="AI15" s="36"/>
      <c r="AJ15" s="676"/>
      <c r="AK15" s="676"/>
      <c r="AL15" s="676"/>
      <c r="AM15" s="36"/>
      <c r="AN15" s="36"/>
      <c r="AO15" s="676"/>
      <c r="AP15" s="676"/>
      <c r="AQ15" s="676"/>
      <c r="AR15" s="36"/>
      <c r="AS15" s="36"/>
      <c r="AT15" s="1388"/>
      <c r="AU15" s="1388"/>
      <c r="AV15" s="1388"/>
      <c r="AW15" s="139"/>
      <c r="AX15" s="139"/>
      <c r="AY15" s="676"/>
      <c r="AZ15" s="676"/>
      <c r="BA15" s="676"/>
      <c r="BB15" s="36"/>
      <c r="BC15" s="36"/>
      <c r="BD15" s="676"/>
      <c r="BE15" s="676"/>
      <c r="BF15" s="676"/>
      <c r="BG15" s="36"/>
      <c r="BH15" s="36"/>
    </row>
    <row r="16" spans="1:80" ht="24.95" hidden="1" customHeight="1" x14ac:dyDescent="0.25">
      <c r="A16" s="1382"/>
      <c r="B16" s="1383"/>
      <c r="C16" s="1383"/>
      <c r="D16" s="1383"/>
      <c r="E16" s="1384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Z16" s="47"/>
      <c r="AA16" s="47"/>
      <c r="AB16" s="47"/>
      <c r="AC16" s="47"/>
      <c r="AD16" s="47"/>
      <c r="AE16" s="47"/>
      <c r="AF16" s="47"/>
      <c r="AG16" s="47"/>
      <c r="AH16" s="140"/>
      <c r="AI16" s="36"/>
      <c r="AJ16" s="676"/>
      <c r="AK16" s="676"/>
      <c r="AL16" s="676"/>
      <c r="AM16" s="140"/>
      <c r="AN16" s="36"/>
      <c r="AO16" s="676"/>
      <c r="AP16" s="676"/>
      <c r="AQ16" s="676"/>
      <c r="AR16" s="140"/>
      <c r="AS16" s="36"/>
      <c r="AT16" s="1388"/>
      <c r="AU16" s="1388"/>
      <c r="AV16" s="1388"/>
      <c r="AW16" s="141"/>
      <c r="AX16" s="139"/>
      <c r="AY16" s="676"/>
      <c r="AZ16" s="676"/>
      <c r="BA16" s="676"/>
      <c r="BB16" s="36"/>
      <c r="BC16" s="36"/>
      <c r="BD16" s="676"/>
      <c r="BE16" s="676"/>
      <c r="BF16" s="676"/>
      <c r="BG16" s="36"/>
      <c r="BH16" s="36"/>
    </row>
    <row r="17" spans="1:80" ht="9.9499999999999993" hidden="1" customHeight="1" x14ac:dyDescent="0.25">
      <c r="A17" s="1385"/>
      <c r="B17" s="1386"/>
      <c r="C17" s="1386"/>
      <c r="D17" s="1386"/>
      <c r="E17" s="138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Z17" s="47"/>
      <c r="AA17" s="47"/>
      <c r="AB17" s="47"/>
      <c r="AC17" s="47"/>
      <c r="AD17" s="47"/>
      <c r="AE17" s="47"/>
      <c r="AF17" s="47"/>
      <c r="AG17" s="47"/>
      <c r="AH17" s="36"/>
      <c r="AI17" s="36"/>
      <c r="AJ17" s="676"/>
      <c r="AK17" s="676"/>
      <c r="AL17" s="676"/>
      <c r="AM17" s="36"/>
      <c r="AN17" s="36"/>
      <c r="AO17" s="676"/>
      <c r="AP17" s="676"/>
      <c r="AQ17" s="676"/>
      <c r="AR17" s="36"/>
      <c r="AS17" s="36"/>
      <c r="AT17" s="1388"/>
      <c r="AU17" s="1388"/>
      <c r="AV17" s="1388"/>
      <c r="AW17" s="139"/>
      <c r="AX17" s="139"/>
      <c r="AY17" s="676"/>
      <c r="AZ17" s="676"/>
      <c r="BA17" s="676"/>
      <c r="BB17" s="36"/>
      <c r="BC17" s="36"/>
      <c r="BD17" s="676"/>
      <c r="BE17" s="676"/>
      <c r="BF17" s="676"/>
      <c r="BG17" s="36"/>
      <c r="BH17" s="36"/>
    </row>
    <row r="18" spans="1:80" ht="72" hidden="1" customHeight="1" x14ac:dyDescent="0.25">
      <c r="A18" s="1374" t="s">
        <v>253</v>
      </c>
      <c r="B18" s="1376"/>
      <c r="C18" s="1377"/>
      <c r="D18" s="1377"/>
      <c r="E18" s="1378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3"/>
      <c r="AU18" s="143"/>
      <c r="AV18" s="143"/>
      <c r="AW18" s="143"/>
      <c r="AX18" s="143"/>
      <c r="AY18" s="677"/>
      <c r="AZ18" s="1332"/>
      <c r="BA18" s="1332"/>
      <c r="BB18" s="1332"/>
      <c r="BC18" s="1332"/>
      <c r="BD18" s="677"/>
      <c r="BE18" s="1332" t="s">
        <v>16</v>
      </c>
      <c r="BF18" s="1332"/>
      <c r="BG18" s="1332"/>
      <c r="BH18" s="1332"/>
      <c r="BM18" s="51"/>
      <c r="BN18" s="51"/>
      <c r="BO18" s="51"/>
      <c r="BP18" s="51"/>
      <c r="BQ18" s="51"/>
      <c r="BR18" s="51"/>
      <c r="BW18" s="27"/>
      <c r="BX18" s="27"/>
      <c r="BY18" s="27"/>
      <c r="BZ18" s="27"/>
      <c r="CA18" s="27"/>
      <c r="CB18" s="27"/>
    </row>
    <row r="19" spans="1:80" ht="35.1" hidden="1" customHeight="1" thickBot="1" x14ac:dyDescent="0.3">
      <c r="A19" s="1375"/>
      <c r="B19" s="144"/>
      <c r="C19" s="145" t="s">
        <v>113</v>
      </c>
      <c r="D19" s="146"/>
      <c r="E19" s="147" t="s">
        <v>114</v>
      </c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148"/>
      <c r="AU19" s="148"/>
      <c r="AV19" s="148"/>
      <c r="AW19" s="148"/>
      <c r="AX19" s="148"/>
      <c r="AY19" s="677"/>
      <c r="AZ19" s="137"/>
      <c r="BA19" s="33"/>
      <c r="BB19" s="138"/>
      <c r="BC19" s="35"/>
      <c r="BD19" s="677"/>
      <c r="BE19" s="137"/>
      <c r="BF19" s="33"/>
      <c r="BG19" s="138"/>
      <c r="BH19" s="35"/>
      <c r="BM19" s="51"/>
      <c r="BN19" s="51"/>
      <c r="BO19" s="51"/>
      <c r="BP19" s="51"/>
      <c r="BQ19" s="51"/>
      <c r="BR19" s="51"/>
      <c r="BW19" s="27"/>
      <c r="BX19" s="27"/>
      <c r="BY19" s="27"/>
      <c r="BZ19" s="27"/>
      <c r="CA19" s="27"/>
      <c r="CB19" s="27"/>
    </row>
    <row r="20" spans="1:80" ht="26.25" hidden="1" x14ac:dyDescent="0.25">
      <c r="A20" s="1396"/>
      <c r="B20" s="1396"/>
      <c r="C20" s="1396"/>
      <c r="D20" s="1397"/>
      <c r="E20" s="1397"/>
      <c r="F20" s="674"/>
      <c r="G20" s="674"/>
      <c r="H20" s="674"/>
      <c r="I20" s="1300"/>
      <c r="J20" s="1300"/>
      <c r="K20" s="674"/>
      <c r="L20" s="674"/>
      <c r="M20" s="674"/>
      <c r="N20" s="1300"/>
      <c r="O20" s="1300"/>
      <c r="P20" s="674"/>
      <c r="Q20" s="674"/>
      <c r="R20" s="674"/>
      <c r="S20" s="1300"/>
      <c r="T20" s="1300"/>
      <c r="U20" s="674"/>
      <c r="V20" s="674"/>
      <c r="W20" s="674"/>
      <c r="X20" s="1300"/>
      <c r="Y20" s="1300"/>
      <c r="Z20" s="674"/>
      <c r="AA20" s="674"/>
      <c r="AB20" s="674"/>
      <c r="AC20" s="1300"/>
      <c r="AD20" s="1300"/>
      <c r="AE20" s="674"/>
      <c r="AF20" s="674"/>
      <c r="AG20" s="674"/>
      <c r="AH20" s="1300"/>
      <c r="AI20" s="1300"/>
      <c r="AJ20" s="674"/>
      <c r="AK20" s="674"/>
      <c r="AL20" s="674"/>
      <c r="AM20" s="1300"/>
      <c r="AN20" s="1300"/>
      <c r="AO20" s="674"/>
      <c r="AP20" s="674"/>
      <c r="AQ20" s="674"/>
      <c r="AR20" s="1300"/>
      <c r="AS20" s="1300"/>
      <c r="AT20" s="1389"/>
      <c r="AU20" s="1389"/>
      <c r="AV20" s="1389"/>
      <c r="AW20" s="1390"/>
      <c r="AX20" s="1390"/>
      <c r="AY20" s="674"/>
      <c r="AZ20" s="674"/>
      <c r="BA20" s="674"/>
      <c r="BB20" s="1300"/>
      <c r="BC20" s="1300"/>
      <c r="BD20" s="674"/>
      <c r="BE20" s="674"/>
      <c r="BF20" s="674"/>
      <c r="BG20" s="1300"/>
      <c r="BH20" s="1300"/>
      <c r="BM20" s="51"/>
      <c r="BN20" s="51"/>
      <c r="BO20" s="51"/>
      <c r="BP20" s="51"/>
      <c r="BQ20" s="51"/>
      <c r="BR20" s="51"/>
      <c r="BW20" s="27"/>
      <c r="BX20" s="27"/>
      <c r="BY20" s="27"/>
      <c r="BZ20" s="27"/>
      <c r="CA20" s="27"/>
      <c r="CB20" s="27"/>
    </row>
    <row r="21" spans="1:80" ht="18.75" hidden="1" x14ac:dyDescent="0.25">
      <c r="A21" s="1395"/>
      <c r="B21" s="1395"/>
      <c r="C21" s="1395"/>
      <c r="D21" s="149"/>
      <c r="E21" s="149"/>
      <c r="F21" s="676"/>
      <c r="G21" s="676"/>
      <c r="H21" s="676"/>
      <c r="I21" s="36"/>
      <c r="J21" s="36"/>
      <c r="K21" s="676"/>
      <c r="L21" s="676"/>
      <c r="M21" s="676"/>
      <c r="N21" s="36"/>
      <c r="O21" s="36"/>
      <c r="P21" s="676"/>
      <c r="Q21" s="676"/>
      <c r="R21" s="676"/>
      <c r="S21" s="36"/>
      <c r="T21" s="36"/>
      <c r="U21" s="676"/>
      <c r="V21" s="676"/>
      <c r="W21" s="676"/>
      <c r="X21" s="36"/>
      <c r="Y21" s="36"/>
      <c r="Z21" s="676"/>
      <c r="AA21" s="676"/>
      <c r="AB21" s="676"/>
      <c r="AC21" s="36"/>
      <c r="AD21" s="36"/>
      <c r="AE21" s="676"/>
      <c r="AF21" s="676"/>
      <c r="AG21" s="676"/>
      <c r="AH21" s="36"/>
      <c r="AI21" s="36"/>
      <c r="AJ21" s="676"/>
      <c r="AK21" s="676"/>
      <c r="AL21" s="676"/>
      <c r="AM21" s="36"/>
      <c r="AN21" s="36"/>
      <c r="AO21" s="676"/>
      <c r="AP21" s="676"/>
      <c r="AQ21" s="676"/>
      <c r="AR21" s="36"/>
      <c r="AS21" s="36"/>
      <c r="AT21" s="1388"/>
      <c r="AU21" s="1388"/>
      <c r="AV21" s="1388"/>
      <c r="AW21" s="139"/>
      <c r="AX21" s="139"/>
      <c r="AY21" s="676"/>
      <c r="AZ21" s="676"/>
      <c r="BA21" s="676"/>
      <c r="BB21" s="36"/>
      <c r="BC21" s="36"/>
      <c r="BD21" s="676"/>
      <c r="BE21" s="676"/>
      <c r="BF21" s="676"/>
      <c r="BG21" s="36"/>
      <c r="BH21" s="36"/>
    </row>
    <row r="22" spans="1:80" ht="36" hidden="1" x14ac:dyDescent="0.25">
      <c r="A22" s="1395"/>
      <c r="B22" s="1395"/>
      <c r="C22" s="1395"/>
      <c r="D22" s="150"/>
      <c r="E22" s="149"/>
      <c r="F22" s="676"/>
      <c r="G22" s="676"/>
      <c r="H22" s="676"/>
      <c r="I22" s="140"/>
      <c r="J22" s="36"/>
      <c r="K22" s="676"/>
      <c r="L22" s="676"/>
      <c r="M22" s="676"/>
      <c r="N22" s="140"/>
      <c r="O22" s="36"/>
      <c r="P22" s="676"/>
      <c r="Q22" s="676"/>
      <c r="R22" s="676"/>
      <c r="S22" s="140"/>
      <c r="T22" s="36"/>
      <c r="U22" s="676"/>
      <c r="V22" s="676"/>
      <c r="W22" s="676"/>
      <c r="X22" s="140"/>
      <c r="Y22" s="36"/>
      <c r="Z22" s="676"/>
      <c r="AA22" s="676"/>
      <c r="AB22" s="676"/>
      <c r="AC22" s="140"/>
      <c r="AD22" s="36"/>
      <c r="AE22" s="676"/>
      <c r="AF22" s="676"/>
      <c r="AG22" s="676"/>
      <c r="AH22" s="140"/>
      <c r="AI22" s="36"/>
      <c r="AJ22" s="676"/>
      <c r="AK22" s="676"/>
      <c r="AL22" s="676"/>
      <c r="AM22" s="140"/>
      <c r="AN22" s="36"/>
      <c r="AO22" s="676"/>
      <c r="AP22" s="676"/>
      <c r="AQ22" s="676"/>
      <c r="AR22" s="140"/>
      <c r="AS22" s="36"/>
      <c r="AT22" s="1388"/>
      <c r="AU22" s="1388"/>
      <c r="AV22" s="1388"/>
      <c r="AW22" s="141"/>
      <c r="AX22" s="139"/>
      <c r="AY22" s="676"/>
      <c r="AZ22" s="676"/>
      <c r="BA22" s="676"/>
      <c r="BB22" s="36"/>
      <c r="BC22" s="36"/>
      <c r="BD22" s="676"/>
      <c r="BE22" s="676"/>
      <c r="BF22" s="676"/>
      <c r="BG22" s="36"/>
      <c r="BH22" s="36"/>
    </row>
    <row r="23" spans="1:80" ht="18.75" hidden="1" x14ac:dyDescent="0.25">
      <c r="A23" s="1395"/>
      <c r="B23" s="1395"/>
      <c r="C23" s="1395"/>
      <c r="D23" s="149"/>
      <c r="E23" s="149"/>
      <c r="F23" s="676"/>
      <c r="G23" s="676"/>
      <c r="H23" s="676"/>
      <c r="I23" s="36"/>
      <c r="J23" s="36"/>
      <c r="K23" s="676"/>
      <c r="L23" s="676"/>
      <c r="M23" s="676"/>
      <c r="N23" s="36"/>
      <c r="O23" s="36"/>
      <c r="P23" s="676"/>
      <c r="Q23" s="676"/>
      <c r="R23" s="676"/>
      <c r="S23" s="36"/>
      <c r="T23" s="36"/>
      <c r="U23" s="676"/>
      <c r="V23" s="676"/>
      <c r="W23" s="676"/>
      <c r="X23" s="36"/>
      <c r="Y23" s="36"/>
      <c r="Z23" s="676"/>
      <c r="AA23" s="676"/>
      <c r="AB23" s="676"/>
      <c r="AC23" s="36"/>
      <c r="AD23" s="36"/>
      <c r="AE23" s="676"/>
      <c r="AF23" s="676"/>
      <c r="AG23" s="676"/>
      <c r="AH23" s="36"/>
      <c r="AI23" s="36"/>
      <c r="AJ23" s="676"/>
      <c r="AK23" s="676"/>
      <c r="AL23" s="676"/>
      <c r="AM23" s="36"/>
      <c r="AN23" s="36"/>
      <c r="AO23" s="676"/>
      <c r="AP23" s="676"/>
      <c r="AQ23" s="676"/>
      <c r="AR23" s="36"/>
      <c r="AS23" s="36"/>
      <c r="AT23" s="1388"/>
      <c r="AU23" s="1388"/>
      <c r="AV23" s="1388"/>
      <c r="AW23" s="139"/>
      <c r="AX23" s="139"/>
      <c r="AY23" s="676"/>
      <c r="AZ23" s="676"/>
      <c r="BA23" s="676"/>
      <c r="BB23" s="36"/>
      <c r="BC23" s="36"/>
      <c r="BD23" s="676"/>
      <c r="BE23" s="676"/>
      <c r="BF23" s="676"/>
      <c r="BG23" s="36"/>
      <c r="BH23" s="36"/>
    </row>
    <row r="24" spans="1:80" ht="77.25" hidden="1" x14ac:dyDescent="0.25">
      <c r="A24" s="1398"/>
      <c r="B24" s="1399"/>
      <c r="C24" s="1399"/>
      <c r="D24" s="1399"/>
      <c r="E24" s="1399"/>
      <c r="F24" s="1370"/>
      <c r="G24" s="1371"/>
      <c r="H24" s="1371"/>
      <c r="I24" s="1371"/>
      <c r="J24" s="1371"/>
      <c r="K24" s="1370"/>
      <c r="L24" s="1371"/>
      <c r="M24" s="1371"/>
      <c r="N24" s="1371"/>
      <c r="O24" s="1371"/>
      <c r="P24" s="1370"/>
      <c r="Q24" s="1371"/>
      <c r="R24" s="1371"/>
      <c r="S24" s="1371"/>
      <c r="T24" s="1371"/>
      <c r="U24" s="1370"/>
      <c r="V24" s="1371"/>
      <c r="W24" s="1371"/>
      <c r="X24" s="1371"/>
      <c r="Y24" s="1371"/>
      <c r="Z24" s="1370"/>
      <c r="AA24" s="1371"/>
      <c r="AB24" s="1371"/>
      <c r="AC24" s="1371"/>
      <c r="AD24" s="1371"/>
      <c r="AE24" s="1370"/>
      <c r="AF24" s="1371"/>
      <c r="AG24" s="1371"/>
      <c r="AH24" s="1371"/>
      <c r="AI24" s="1371"/>
      <c r="AJ24" s="1370"/>
      <c r="AK24" s="1371"/>
      <c r="AL24" s="1371"/>
      <c r="AM24" s="1371"/>
      <c r="AN24" s="1371"/>
      <c r="AO24" s="1370"/>
      <c r="AP24" s="1371"/>
      <c r="AQ24" s="1371"/>
      <c r="AR24" s="1371"/>
      <c r="AS24" s="1371"/>
      <c r="AT24" s="1439"/>
      <c r="AU24" s="1440"/>
      <c r="AV24" s="1440"/>
      <c r="AW24" s="1440"/>
      <c r="AX24" s="1440"/>
      <c r="AY24" s="677"/>
      <c r="AZ24" s="1332"/>
      <c r="BA24" s="1332"/>
      <c r="BB24" s="1332"/>
      <c r="BC24" s="1332"/>
      <c r="BD24" s="677"/>
      <c r="BE24" s="1332"/>
      <c r="BF24" s="1332"/>
      <c r="BG24" s="1332"/>
      <c r="BH24" s="1332"/>
      <c r="BM24" s="51"/>
      <c r="BN24" s="51"/>
      <c r="BO24" s="51"/>
      <c r="BP24" s="51"/>
      <c r="BQ24" s="51"/>
      <c r="BR24" s="51"/>
      <c r="BW24" s="27"/>
      <c r="BX24" s="27"/>
      <c r="BY24" s="27"/>
      <c r="BZ24" s="27"/>
      <c r="CA24" s="27"/>
      <c r="CB24" s="27"/>
    </row>
    <row r="25" spans="1:80" ht="26.25" hidden="1" x14ac:dyDescent="0.25">
      <c r="A25" s="1398"/>
      <c r="B25" s="151"/>
      <c r="C25" s="152"/>
      <c r="D25" s="153"/>
      <c r="E25" s="154"/>
      <c r="F25" s="1370"/>
      <c r="G25" s="32"/>
      <c r="H25" s="33"/>
      <c r="I25" s="34"/>
      <c r="J25" s="35"/>
      <c r="K25" s="1370"/>
      <c r="L25" s="32"/>
      <c r="M25" s="33"/>
      <c r="N25" s="34"/>
      <c r="O25" s="35"/>
      <c r="P25" s="1370"/>
      <c r="Q25" s="32"/>
      <c r="R25" s="33"/>
      <c r="S25" s="34"/>
      <c r="T25" s="35"/>
      <c r="U25" s="1370"/>
      <c r="V25" s="32"/>
      <c r="W25" s="33"/>
      <c r="X25" s="34"/>
      <c r="Y25" s="35"/>
      <c r="Z25" s="1370"/>
      <c r="AA25" s="32"/>
      <c r="AB25" s="33"/>
      <c r="AC25" s="34"/>
      <c r="AD25" s="35"/>
      <c r="AE25" s="1370"/>
      <c r="AF25" s="32"/>
      <c r="AG25" s="33"/>
      <c r="AH25" s="34"/>
      <c r="AI25" s="35"/>
      <c r="AJ25" s="1370"/>
      <c r="AK25" s="32"/>
      <c r="AL25" s="33"/>
      <c r="AM25" s="34"/>
      <c r="AN25" s="35"/>
      <c r="AO25" s="1370"/>
      <c r="AP25" s="32"/>
      <c r="AQ25" s="33"/>
      <c r="AR25" s="34"/>
      <c r="AS25" s="35"/>
      <c r="AT25" s="1439"/>
      <c r="AU25" s="155"/>
      <c r="AV25" s="148"/>
      <c r="AW25" s="156"/>
      <c r="AX25" s="157"/>
      <c r="AY25" s="677"/>
      <c r="AZ25" s="137"/>
      <c r="BA25" s="33"/>
      <c r="BB25" s="138"/>
      <c r="BC25" s="35"/>
      <c r="BD25" s="677"/>
      <c r="BE25" s="137"/>
      <c r="BF25" s="33"/>
      <c r="BG25" s="138"/>
      <c r="BH25" s="35"/>
      <c r="BM25" s="51"/>
      <c r="BN25" s="51"/>
      <c r="BO25" s="51"/>
      <c r="BP25" s="51"/>
      <c r="BQ25" s="51"/>
      <c r="BR25" s="51"/>
      <c r="BW25" s="27"/>
      <c r="BX25" s="27"/>
      <c r="BY25" s="27"/>
      <c r="BZ25" s="27"/>
      <c r="CA25" s="27"/>
      <c r="CB25" s="27"/>
    </row>
    <row r="26" spans="1:80" ht="26.25" hidden="1" x14ac:dyDescent="0.25">
      <c r="A26" s="1396"/>
      <c r="B26" s="1396"/>
      <c r="C26" s="1396"/>
      <c r="D26" s="1397"/>
      <c r="E26" s="1397"/>
      <c r="F26" s="674"/>
      <c r="G26" s="674"/>
      <c r="H26" s="674"/>
      <c r="I26" s="1300"/>
      <c r="J26" s="1300"/>
      <c r="K26" s="674"/>
      <c r="L26" s="674"/>
      <c r="M26" s="674"/>
      <c r="N26" s="1300"/>
      <c r="O26" s="1300"/>
      <c r="P26" s="674"/>
      <c r="Q26" s="674"/>
      <c r="R26" s="674"/>
      <c r="S26" s="1300"/>
      <c r="T26" s="1300"/>
      <c r="U26" s="674"/>
      <c r="V26" s="674"/>
      <c r="W26" s="674"/>
      <c r="X26" s="1300"/>
      <c r="Y26" s="1300"/>
      <c r="Z26" s="674"/>
      <c r="AA26" s="674"/>
      <c r="AB26" s="674"/>
      <c r="AC26" s="1300"/>
      <c r="AD26" s="1300"/>
      <c r="AE26" s="674"/>
      <c r="AF26" s="674"/>
      <c r="AG26" s="674"/>
      <c r="AH26" s="1300"/>
      <c r="AI26" s="1300"/>
      <c r="AJ26" s="44"/>
      <c r="AK26" s="44"/>
      <c r="AP26" s="44"/>
      <c r="AQ26" s="44"/>
      <c r="AT26" s="1389"/>
      <c r="AU26" s="1389"/>
      <c r="AV26" s="1389"/>
      <c r="AW26" s="1390"/>
      <c r="AX26" s="1390"/>
      <c r="AY26" s="674"/>
      <c r="AZ26" s="674"/>
      <c r="BA26" s="674"/>
      <c r="BB26" s="1300"/>
      <c r="BC26" s="1300"/>
      <c r="BD26" s="674"/>
      <c r="BE26" s="674"/>
      <c r="BF26" s="674"/>
      <c r="BG26" s="1300"/>
      <c r="BH26" s="1300"/>
      <c r="BM26" s="51"/>
      <c r="BN26" s="51"/>
      <c r="BO26" s="51"/>
      <c r="BP26" s="51"/>
      <c r="BQ26" s="51"/>
      <c r="BR26" s="51"/>
      <c r="BW26" s="27"/>
      <c r="BX26" s="27"/>
      <c r="BY26" s="27"/>
      <c r="BZ26" s="27"/>
      <c r="CA26" s="27"/>
      <c r="CB26" s="27"/>
    </row>
    <row r="27" spans="1:80" ht="21" hidden="1" x14ac:dyDescent="0.25">
      <c r="A27" s="1395"/>
      <c r="B27" s="1395"/>
      <c r="C27" s="1395"/>
      <c r="D27" s="149"/>
      <c r="E27" s="149"/>
      <c r="F27" s="676"/>
      <c r="G27" s="676"/>
      <c r="H27" s="676"/>
      <c r="I27" s="36"/>
      <c r="J27" s="36"/>
      <c r="K27" s="676"/>
      <c r="L27" s="676"/>
      <c r="M27" s="676"/>
      <c r="N27" s="36"/>
      <c r="O27" s="36"/>
      <c r="P27" s="676"/>
      <c r="Q27" s="676"/>
      <c r="R27" s="676"/>
      <c r="S27" s="36"/>
      <c r="T27" s="36"/>
      <c r="U27" s="676"/>
      <c r="V27" s="676"/>
      <c r="W27" s="676"/>
      <c r="X27" s="36"/>
      <c r="Y27" s="36"/>
      <c r="Z27" s="676"/>
      <c r="AA27" s="676"/>
      <c r="AB27" s="676"/>
      <c r="AC27" s="36"/>
      <c r="AD27" s="36"/>
      <c r="AE27" s="676"/>
      <c r="AF27" s="676"/>
      <c r="AG27" s="676"/>
      <c r="AH27" s="36"/>
      <c r="AI27" s="36"/>
      <c r="AJ27" s="47"/>
      <c r="AK27" s="47"/>
      <c r="AP27" s="47"/>
      <c r="AQ27" s="47"/>
      <c r="AT27" s="1388"/>
      <c r="AU27" s="1388"/>
      <c r="AV27" s="1388"/>
      <c r="AW27" s="139"/>
      <c r="AX27" s="139"/>
      <c r="AY27" s="676"/>
      <c r="AZ27" s="676"/>
      <c r="BA27" s="676"/>
      <c r="BB27" s="36"/>
      <c r="BC27" s="36"/>
      <c r="BD27" s="676"/>
      <c r="BE27" s="676"/>
      <c r="BF27" s="676"/>
      <c r="BG27" s="36"/>
      <c r="BH27" s="36"/>
    </row>
    <row r="28" spans="1:80" ht="36" hidden="1" x14ac:dyDescent="0.25">
      <c r="A28" s="1395"/>
      <c r="B28" s="1395"/>
      <c r="C28" s="1395"/>
      <c r="D28" s="150"/>
      <c r="E28" s="149"/>
      <c r="F28" s="676"/>
      <c r="G28" s="676"/>
      <c r="H28" s="676"/>
      <c r="I28" s="140"/>
      <c r="J28" s="36"/>
      <c r="K28" s="676"/>
      <c r="L28" s="676"/>
      <c r="M28" s="676"/>
      <c r="N28" s="140"/>
      <c r="O28" s="36"/>
      <c r="P28" s="676"/>
      <c r="Q28" s="676"/>
      <c r="R28" s="676"/>
      <c r="S28" s="140"/>
      <c r="T28" s="36"/>
      <c r="U28" s="676"/>
      <c r="V28" s="676"/>
      <c r="W28" s="676"/>
      <c r="X28" s="140"/>
      <c r="Y28" s="36"/>
      <c r="Z28" s="676"/>
      <c r="AA28" s="676"/>
      <c r="AB28" s="676"/>
      <c r="AC28" s="140"/>
      <c r="AD28" s="36"/>
      <c r="AE28" s="676"/>
      <c r="AF28" s="676"/>
      <c r="AG28" s="676"/>
      <c r="AH28" s="36"/>
      <c r="AI28" s="36"/>
      <c r="AJ28" s="47"/>
      <c r="AK28" s="47"/>
      <c r="AP28" s="47"/>
      <c r="AQ28" s="47"/>
      <c r="AT28" s="1388"/>
      <c r="AU28" s="1388"/>
      <c r="AV28" s="1388"/>
      <c r="AW28" s="139"/>
      <c r="AX28" s="139"/>
      <c r="AY28" s="676"/>
      <c r="AZ28" s="676"/>
      <c r="BA28" s="676"/>
      <c r="BB28" s="36"/>
      <c r="BC28" s="36"/>
      <c r="BD28" s="676"/>
      <c r="BE28" s="676"/>
      <c r="BF28" s="676"/>
      <c r="BG28" s="36"/>
      <c r="BH28" s="36"/>
    </row>
    <row r="29" spans="1:80" ht="21" hidden="1" x14ac:dyDescent="0.25">
      <c r="A29" s="1395"/>
      <c r="B29" s="1395"/>
      <c r="C29" s="1395"/>
      <c r="D29" s="149"/>
      <c r="E29" s="149"/>
      <c r="F29" s="676"/>
      <c r="G29" s="676"/>
      <c r="H29" s="676"/>
      <c r="I29" s="36"/>
      <c r="J29" s="36"/>
      <c r="K29" s="676"/>
      <c r="L29" s="676"/>
      <c r="M29" s="676"/>
      <c r="N29" s="36"/>
      <c r="O29" s="36"/>
      <c r="P29" s="676"/>
      <c r="Q29" s="676"/>
      <c r="R29" s="676"/>
      <c r="S29" s="36"/>
      <c r="T29" s="36"/>
      <c r="U29" s="676"/>
      <c r="V29" s="676"/>
      <c r="W29" s="676"/>
      <c r="X29" s="36"/>
      <c r="Y29" s="36"/>
      <c r="Z29" s="676"/>
      <c r="AA29" s="676"/>
      <c r="AB29" s="676"/>
      <c r="AC29" s="36"/>
      <c r="AD29" s="36"/>
      <c r="AE29" s="676"/>
      <c r="AF29" s="676"/>
      <c r="AG29" s="676"/>
      <c r="AH29" s="36"/>
      <c r="AI29" s="36"/>
      <c r="AJ29" s="47"/>
      <c r="AK29" s="47"/>
      <c r="AP29" s="47"/>
      <c r="AQ29" s="47"/>
      <c r="AR29" s="36"/>
      <c r="AS29" s="36"/>
      <c r="AT29" s="1388"/>
      <c r="AU29" s="1388"/>
      <c r="AV29" s="1388"/>
      <c r="AW29" s="139"/>
      <c r="AX29" s="139"/>
      <c r="AY29" s="676"/>
      <c r="AZ29" s="676"/>
      <c r="BA29" s="676"/>
      <c r="BB29" s="36"/>
      <c r="BC29" s="36"/>
      <c r="BD29" s="676"/>
      <c r="BE29" s="676"/>
      <c r="BF29" s="676"/>
      <c r="BG29" s="36"/>
      <c r="BH29" s="36"/>
    </row>
    <row r="30" spans="1:80" ht="77.25" hidden="1" x14ac:dyDescent="0.25">
      <c r="A30" s="1400"/>
      <c r="B30" s="1401"/>
      <c r="C30" s="1401"/>
      <c r="D30" s="1401"/>
      <c r="E30" s="1401"/>
      <c r="F30" s="1370"/>
      <c r="G30" s="1371"/>
      <c r="H30" s="1371"/>
      <c r="I30" s="1371"/>
      <c r="J30" s="1371"/>
      <c r="K30" s="1370"/>
      <c r="L30" s="1371"/>
      <c r="M30" s="1371"/>
      <c r="N30" s="1371"/>
      <c r="O30" s="1371"/>
      <c r="P30" s="1370"/>
      <c r="Q30" s="1371"/>
      <c r="R30" s="1371"/>
      <c r="S30" s="1371"/>
      <c r="T30" s="1371"/>
      <c r="U30" s="1370"/>
      <c r="V30" s="1371"/>
      <c r="W30" s="1371"/>
      <c r="X30" s="1371"/>
      <c r="Y30" s="1371"/>
      <c r="Z30" s="1370"/>
      <c r="AA30" s="1371"/>
      <c r="AB30" s="1371"/>
      <c r="AC30" s="1371"/>
      <c r="AD30" s="1371"/>
      <c r="AE30" s="677"/>
      <c r="AF30" s="1332"/>
      <c r="AG30" s="1332"/>
      <c r="AH30" s="1332"/>
      <c r="AI30" s="1332"/>
      <c r="AJ30" s="70"/>
      <c r="AR30" s="132"/>
      <c r="AS30" s="132"/>
      <c r="AT30" s="677"/>
      <c r="AU30" s="1332"/>
      <c r="AV30" s="1332"/>
      <c r="AW30" s="1332"/>
      <c r="AX30" s="1332"/>
      <c r="AY30" s="677"/>
      <c r="AZ30" s="1332"/>
      <c r="BA30" s="1332"/>
      <c r="BB30" s="1332"/>
      <c r="BC30" s="1332"/>
      <c r="BD30" s="677" t="s">
        <v>254</v>
      </c>
      <c r="BE30" s="1332"/>
      <c r="BF30" s="1332"/>
      <c r="BG30" s="1332"/>
      <c r="BH30" s="1332"/>
      <c r="BM30" s="51"/>
      <c r="BN30" s="51"/>
      <c r="BO30" s="51"/>
      <c r="BP30" s="51"/>
      <c r="BQ30" s="51"/>
      <c r="BR30" s="51"/>
      <c r="BW30" s="27"/>
      <c r="BX30" s="27"/>
      <c r="BY30" s="27"/>
      <c r="BZ30" s="27"/>
      <c r="CA30" s="27"/>
      <c r="CB30" s="27"/>
    </row>
    <row r="31" spans="1:80" ht="138.75" customHeight="1" x14ac:dyDescent="0.25">
      <c r="A31" s="1400"/>
      <c r="B31" s="158"/>
      <c r="C31" s="159"/>
      <c r="D31" s="160"/>
      <c r="E31" s="161"/>
      <c r="F31" s="1370"/>
      <c r="G31" s="32"/>
      <c r="H31" s="33"/>
      <c r="I31" s="34"/>
      <c r="J31" s="35"/>
      <c r="K31" s="1370"/>
      <c r="L31" s="32"/>
      <c r="M31" s="33"/>
      <c r="N31" s="34"/>
      <c r="O31" s="35"/>
      <c r="P31" s="1370"/>
      <c r="Q31" s="32"/>
      <c r="R31" s="33"/>
      <c r="S31" s="34"/>
      <c r="T31" s="35"/>
      <c r="U31" s="1370"/>
      <c r="V31" s="32"/>
      <c r="W31" s="33"/>
      <c r="X31" s="34"/>
      <c r="Y31" s="35"/>
      <c r="Z31" s="1370"/>
      <c r="AA31" s="32"/>
      <c r="AB31" s="33"/>
      <c r="AC31" s="34"/>
      <c r="AD31" s="35"/>
      <c r="AE31" s="677"/>
      <c r="AF31" s="137"/>
      <c r="AG31" s="33"/>
      <c r="AH31" s="138"/>
      <c r="AI31" s="35"/>
      <c r="AJ31" s="70"/>
      <c r="AK31" s="137"/>
      <c r="AL31" s="33"/>
      <c r="AM31" s="138"/>
      <c r="AN31" s="35"/>
      <c r="AO31" s="70"/>
      <c r="AP31" s="137"/>
      <c r="AQ31" s="33"/>
      <c r="AR31" s="138"/>
      <c r="AS31" s="35"/>
      <c r="AT31" s="677"/>
      <c r="AU31" s="137"/>
      <c r="AV31" s="33"/>
      <c r="AW31" s="138"/>
      <c r="AX31" s="35"/>
      <c r="AY31" s="677"/>
      <c r="AZ31" s="137" t="s">
        <v>16</v>
      </c>
      <c r="BA31" s="33"/>
      <c r="BB31" s="138"/>
      <c r="BC31" s="35"/>
      <c r="BD31" s="677"/>
      <c r="BE31" s="137" t="s">
        <v>15</v>
      </c>
      <c r="BF31" s="33"/>
      <c r="BG31" s="138"/>
      <c r="BH31" s="35"/>
      <c r="BM31" s="51"/>
      <c r="BN31" s="51"/>
      <c r="BO31" s="51"/>
      <c r="BP31" s="51"/>
      <c r="BQ31" s="51"/>
      <c r="BR31" s="51"/>
      <c r="BW31" s="27"/>
      <c r="BX31" s="27"/>
      <c r="BY31" s="27"/>
      <c r="BZ31" s="27"/>
      <c r="CA31" s="27"/>
      <c r="CB31" s="27"/>
    </row>
    <row r="32" spans="1:80" ht="61.5" customHeight="1" x14ac:dyDescent="0.25">
      <c r="A32" s="31"/>
      <c r="B32" s="162"/>
      <c r="C32" s="162"/>
      <c r="D32" s="162"/>
      <c r="F32" s="163"/>
      <c r="G32" s="163"/>
      <c r="H32" s="1413">
        <v>6</v>
      </c>
      <c r="I32" s="1413"/>
      <c r="J32" s="1413"/>
      <c r="K32" s="164"/>
      <c r="L32" s="160"/>
      <c r="M32" s="160"/>
      <c r="N32" s="160"/>
      <c r="O32" s="160"/>
      <c r="P32" s="160"/>
      <c r="Q32" s="1414" t="s">
        <v>255</v>
      </c>
      <c r="R32" s="1414"/>
      <c r="S32" s="1414"/>
      <c r="T32" s="1414"/>
      <c r="U32" s="1414"/>
      <c r="V32" s="1414"/>
      <c r="W32" s="165"/>
      <c r="X32" s="1409" t="s">
        <v>256</v>
      </c>
      <c r="Y32" s="1409"/>
      <c r="Z32" s="1409"/>
      <c r="AA32" s="1409"/>
      <c r="AB32" s="1409"/>
      <c r="AC32" s="1415">
        <f>B7+G7+L7+Q7+V7+AA7+AF7+AK7+AP7+AU7+AU13+AP13+AK13+AF13+AA13+V13+Q13+L13+G13+B13+B19</f>
        <v>7.5183999999999997</v>
      </c>
      <c r="AD32" s="1415"/>
      <c r="AE32" s="1415"/>
      <c r="AF32" s="1415"/>
      <c r="AG32" s="1415"/>
      <c r="AH32" s="1415"/>
      <c r="AI32" s="166"/>
      <c r="AJ32" s="1416" t="s">
        <v>119</v>
      </c>
      <c r="AK32" s="1416"/>
      <c r="AL32" s="1416"/>
      <c r="AM32" s="1416"/>
      <c r="AN32" s="1416"/>
      <c r="AO32" s="1417">
        <f>D7+I7+N7+S7+X7+AC7+AH7+AM7+AR7+AW7+AW13+AR13+AM13+AH13+AC13+X13+S13+N13+I13+D13+D19</f>
        <v>0</v>
      </c>
      <c r="AP32" s="1417"/>
      <c r="AQ32" s="1417"/>
      <c r="AR32" s="1417"/>
      <c r="AS32" s="1417"/>
      <c r="AT32" s="1402" t="s">
        <v>120</v>
      </c>
      <c r="AU32" s="1402"/>
      <c r="AV32" s="1402"/>
      <c r="AW32" s="1402"/>
      <c r="AX32" s="127"/>
      <c r="AY32" s="72"/>
      <c r="AZ32" s="72"/>
      <c r="BA32" s="72"/>
      <c r="BB32" s="72"/>
      <c r="BC32" s="72"/>
      <c r="BD32" s="72"/>
      <c r="BE32" t="s">
        <v>16</v>
      </c>
      <c r="BF32" s="167"/>
      <c r="BG32" s="167"/>
      <c r="BH32" s="167"/>
      <c r="BM32" s="51"/>
      <c r="BN32" s="51"/>
      <c r="BO32" s="51"/>
      <c r="BP32" s="51"/>
      <c r="BQ32" s="51"/>
      <c r="BR32" s="51"/>
      <c r="BW32" s="27"/>
      <c r="BX32" s="27"/>
      <c r="BY32" s="27"/>
      <c r="BZ32" s="27"/>
      <c r="CA32" s="27"/>
      <c r="CB32" s="27"/>
    </row>
    <row r="33" spans="1:80" ht="30" customHeight="1" x14ac:dyDescent="0.25">
      <c r="B33" s="162"/>
      <c r="C33" s="162"/>
      <c r="D33" s="162"/>
      <c r="E33" s="163"/>
      <c r="F33" s="163"/>
      <c r="G33" s="163"/>
      <c r="H33" s="1413"/>
      <c r="I33" s="1413"/>
      <c r="J33" s="1413"/>
      <c r="K33" s="168"/>
      <c r="L33" s="160"/>
      <c r="M33" s="160"/>
      <c r="N33" s="160"/>
      <c r="O33" s="160"/>
      <c r="P33" s="160"/>
      <c r="Q33" s="1414"/>
      <c r="R33" s="1414"/>
      <c r="S33" s="1414"/>
      <c r="T33" s="1414"/>
      <c r="U33" s="1414"/>
      <c r="V33" s="1414"/>
      <c r="W33" s="169"/>
      <c r="X33" s="1409"/>
      <c r="Y33" s="1409"/>
      <c r="Z33" s="1409"/>
      <c r="AA33" s="1409"/>
      <c r="AB33" s="1409"/>
      <c r="AC33" s="1415"/>
      <c r="AD33" s="1415"/>
      <c r="AE33" s="1415"/>
      <c r="AF33" s="1415"/>
      <c r="AG33" s="1415"/>
      <c r="AH33" s="1415"/>
      <c r="AI33" s="166"/>
      <c r="AJ33" s="1416"/>
      <c r="AK33" s="1416"/>
      <c r="AL33" s="1416"/>
      <c r="AM33" s="1416"/>
      <c r="AN33" s="1416"/>
      <c r="AO33" s="1417"/>
      <c r="AP33" s="1417"/>
      <c r="AQ33" s="1417"/>
      <c r="AR33" s="1417"/>
      <c r="AS33" s="1417"/>
      <c r="AT33" s="1402"/>
      <c r="AU33" s="1402"/>
      <c r="AV33" s="1402"/>
      <c r="AW33" s="1402"/>
      <c r="BI33" s="50"/>
      <c r="BJ33" s="50"/>
      <c r="BM33" s="51"/>
      <c r="BN33" s="51"/>
      <c r="BO33" s="51"/>
      <c r="BP33" s="51"/>
      <c r="BQ33" s="51"/>
      <c r="BR33" s="51"/>
      <c r="BS33" s="27"/>
      <c r="BT33" s="27"/>
      <c r="BU33" s="27"/>
      <c r="BW33" s="27"/>
      <c r="BX33" s="27"/>
      <c r="BY33" s="27"/>
      <c r="BZ33" s="27"/>
      <c r="CA33" s="27"/>
      <c r="CB33" s="27"/>
    </row>
    <row r="34" spans="1:80" ht="15" customHeight="1" x14ac:dyDescent="0.25">
      <c r="B34" s="162"/>
      <c r="C34" s="162"/>
      <c r="D34" s="162"/>
      <c r="E34" s="163"/>
      <c r="F34" s="163"/>
      <c r="G34" s="163"/>
      <c r="H34" s="168"/>
      <c r="I34" s="168"/>
      <c r="J34" s="168"/>
      <c r="K34" s="168"/>
      <c r="L34" s="160"/>
      <c r="M34" s="160"/>
      <c r="N34" s="160"/>
      <c r="O34" s="160"/>
      <c r="P34" s="160"/>
      <c r="Q34" s="1414"/>
      <c r="R34" s="1414"/>
      <c r="S34" s="1414"/>
      <c r="T34" s="1414"/>
      <c r="U34" s="1414"/>
      <c r="V34" s="1414"/>
      <c r="W34" s="169"/>
      <c r="X34" s="1409"/>
      <c r="Y34" s="1409"/>
      <c r="Z34" s="1409"/>
      <c r="AA34" s="1409"/>
      <c r="AB34" s="1409"/>
      <c r="AC34" s="1415"/>
      <c r="AD34" s="1415"/>
      <c r="AE34" s="1415"/>
      <c r="AF34" s="1415"/>
      <c r="AG34" s="1415"/>
      <c r="AH34" s="1415"/>
      <c r="AI34" s="166"/>
      <c r="AJ34" s="1416"/>
      <c r="AK34" s="1416"/>
      <c r="AL34" s="1416"/>
      <c r="AM34" s="1416"/>
      <c r="AN34" s="1416"/>
      <c r="AO34" s="1403">
        <f>AO32*1.5</f>
        <v>0</v>
      </c>
      <c r="AP34" s="1403"/>
      <c r="AQ34" s="1403"/>
      <c r="AR34" s="1403"/>
      <c r="AS34" s="1403"/>
      <c r="AT34" s="1403"/>
      <c r="AU34" s="1403"/>
      <c r="AV34" s="1404" t="s">
        <v>121</v>
      </c>
      <c r="AW34" s="1404"/>
      <c r="BI34" s="50"/>
      <c r="BJ34" s="50"/>
      <c r="BM34" s="27"/>
      <c r="BN34" s="27"/>
      <c r="BO34" s="27"/>
      <c r="BP34" s="27"/>
      <c r="BQ34" s="27"/>
      <c r="BR34" s="27"/>
      <c r="BS34" s="27"/>
      <c r="BT34" s="27"/>
      <c r="BU34" s="27"/>
      <c r="BW34" s="27"/>
      <c r="BX34" s="27"/>
      <c r="BY34" s="27"/>
      <c r="BZ34" s="27"/>
      <c r="CA34" s="27"/>
      <c r="CB34" s="27"/>
    </row>
    <row r="35" spans="1:80" ht="54.75" customHeight="1" x14ac:dyDescent="0.25">
      <c r="B35" s="162"/>
      <c r="C35" s="162"/>
      <c r="D35" s="162"/>
      <c r="E35" s="163"/>
      <c r="F35" s="163"/>
      <c r="G35" s="163"/>
      <c r="H35" s="1405" cm="1">
        <f t="array" aca="1" ref="H35" ca="1">SUM(COUNTIF(INDIRECT({"B7","G7","L7","Q7","V7","AA7","AF7","AK7","AP7","AU7","B13","G13","L13","Q13","V13","AA13","AF13","AK13","AP13","AU13","B19","G19","L19","Q19","V19","AA19"}),"&gt;0"))</f>
        <v>6</v>
      </c>
      <c r="I35" s="1405"/>
      <c r="J35" s="1405"/>
      <c r="K35" s="168"/>
      <c r="L35" s="160"/>
      <c r="M35" s="160"/>
      <c r="N35" s="160"/>
      <c r="O35" s="160"/>
      <c r="P35" s="160"/>
      <c r="Q35" s="2295" t="s">
        <v>835</v>
      </c>
      <c r="R35" s="2296"/>
      <c r="S35" s="2296"/>
      <c r="T35" s="2296"/>
      <c r="U35" s="2296"/>
      <c r="V35" s="2296"/>
      <c r="W35" s="169"/>
      <c r="X35" s="1409"/>
      <c r="Y35" s="1409"/>
      <c r="Z35" s="1409"/>
      <c r="AA35" s="1409"/>
      <c r="AB35" s="1409"/>
      <c r="AC35" s="1415"/>
      <c r="AD35" s="1415"/>
      <c r="AE35" s="1415"/>
      <c r="AF35" s="1415"/>
      <c r="AG35" s="1415"/>
      <c r="AH35" s="1415"/>
      <c r="AI35" s="166"/>
      <c r="AJ35" s="1416"/>
      <c r="AK35" s="1416"/>
      <c r="AL35" s="1416"/>
      <c r="AM35" s="1416"/>
      <c r="AN35" s="1416"/>
      <c r="AO35" s="1403"/>
      <c r="AP35" s="1403"/>
      <c r="AQ35" s="1403"/>
      <c r="AR35" s="1403"/>
      <c r="AS35" s="1403"/>
      <c r="AT35" s="1403"/>
      <c r="AU35" s="1403"/>
      <c r="AV35" s="1404"/>
      <c r="AW35" s="1404"/>
      <c r="BI35" s="50"/>
      <c r="BJ35" s="50"/>
      <c r="BM35" s="27"/>
      <c r="BN35" s="27"/>
      <c r="BO35" s="27"/>
      <c r="BP35" s="27"/>
      <c r="BQ35" s="27"/>
      <c r="BR35" s="27"/>
      <c r="BS35" s="27"/>
      <c r="BT35" s="27"/>
      <c r="BU35" s="27"/>
      <c r="BW35" s="27"/>
      <c r="BX35" s="27"/>
      <c r="BY35" s="27"/>
      <c r="BZ35" s="27"/>
      <c r="CA35" s="27"/>
      <c r="CB35" s="27"/>
    </row>
    <row r="36" spans="1:80" ht="65.25" customHeight="1" x14ac:dyDescent="0.25">
      <c r="B36" s="162"/>
      <c r="C36" s="162"/>
      <c r="D36" s="162"/>
      <c r="E36" s="162"/>
      <c r="F36" s="162"/>
      <c r="G36" s="164"/>
      <c r="H36" s="1408"/>
      <c r="I36" s="1408"/>
      <c r="J36" s="1408"/>
      <c r="K36" s="168"/>
      <c r="L36" s="160"/>
      <c r="M36" s="160"/>
      <c r="N36" s="160"/>
      <c r="O36" s="160"/>
      <c r="P36" s="160"/>
      <c r="Q36" s="2296"/>
      <c r="R36" s="2296"/>
      <c r="S36" s="2296"/>
      <c r="T36" s="2296"/>
      <c r="U36" s="2296"/>
      <c r="V36" s="2296"/>
      <c r="W36" s="169"/>
      <c r="X36" s="1409"/>
      <c r="Y36" s="1409"/>
      <c r="Z36" s="1409"/>
      <c r="AA36" s="1409"/>
      <c r="AB36" s="1409"/>
      <c r="AC36" s="1415"/>
      <c r="AD36" s="1415"/>
      <c r="AE36" s="1415"/>
      <c r="AF36" s="1415"/>
      <c r="AG36" s="1415"/>
      <c r="AH36" s="1415"/>
      <c r="AI36" s="166"/>
      <c r="AJ36" s="1416"/>
      <c r="AK36" s="1416"/>
      <c r="AL36" s="1416"/>
      <c r="AM36" s="1416"/>
      <c r="AN36" s="1416"/>
      <c r="AO36" s="1403"/>
      <c r="AP36" s="1403"/>
      <c r="AQ36" s="1403"/>
      <c r="AR36" s="1403"/>
      <c r="AS36" s="1403"/>
      <c r="AT36" s="1403"/>
      <c r="AU36" s="1403"/>
      <c r="AV36" s="1404"/>
      <c r="AW36" s="1404"/>
      <c r="BI36" s="50"/>
      <c r="BJ36" s="50"/>
      <c r="BM36" s="27"/>
      <c r="BN36" s="27"/>
      <c r="BO36" s="27"/>
      <c r="BP36" s="27"/>
      <c r="BQ36" s="27"/>
      <c r="BR36" s="27"/>
      <c r="BS36" s="27"/>
      <c r="BT36" s="27"/>
      <c r="BU36" s="27"/>
      <c r="BW36" s="27"/>
      <c r="BX36" s="27"/>
      <c r="BY36" s="27"/>
      <c r="BZ36" s="27"/>
      <c r="CA36" s="27"/>
      <c r="CB36" s="27"/>
    </row>
    <row r="37" spans="1:80" ht="15" customHeight="1" x14ac:dyDescent="0.25">
      <c r="B37" s="162"/>
      <c r="C37" s="162"/>
      <c r="D37" s="162"/>
      <c r="E37" s="162"/>
      <c r="F37" s="162"/>
      <c r="G37" s="164"/>
      <c r="H37" s="1408"/>
      <c r="I37" s="1408"/>
      <c r="J37" s="1408"/>
      <c r="K37" s="164"/>
      <c r="L37" s="165"/>
      <c r="M37" s="165"/>
      <c r="N37" s="165"/>
      <c r="O37" s="165"/>
      <c r="P37" s="165"/>
      <c r="Q37" s="2296"/>
      <c r="R37" s="2296"/>
      <c r="S37" s="2296"/>
      <c r="T37" s="2296"/>
      <c r="U37" s="2296"/>
      <c r="V37" s="2296"/>
      <c r="W37" s="165"/>
      <c r="X37" s="1409" t="s">
        <v>257</v>
      </c>
      <c r="Y37" s="1409"/>
      <c r="Z37" s="1409"/>
      <c r="AA37" s="1409"/>
      <c r="AB37" s="1409"/>
      <c r="AC37" s="1410">
        <f>AC32-AD45</f>
        <v>1.7017999999999995</v>
      </c>
      <c r="AD37" s="1410"/>
      <c r="AE37" s="1410"/>
      <c r="AF37" s="1410"/>
      <c r="AG37" s="1410"/>
      <c r="AH37" s="1410"/>
      <c r="AI37" s="166"/>
      <c r="AJ37" s="1416"/>
      <c r="AK37" s="1416"/>
      <c r="AL37" s="1416"/>
      <c r="AM37" s="1416"/>
      <c r="AN37" s="1416"/>
      <c r="AO37" s="1403"/>
      <c r="AP37" s="1403"/>
      <c r="AQ37" s="1403"/>
      <c r="AR37" s="1403"/>
      <c r="AS37" s="1403"/>
      <c r="AT37" s="1403"/>
      <c r="AU37" s="1403"/>
      <c r="AV37" s="1404"/>
      <c r="AW37" s="1404"/>
      <c r="BI37" s="53"/>
      <c r="BJ37" s="53"/>
    </row>
    <row r="38" spans="1:80" ht="28.5" customHeight="1" x14ac:dyDescent="0.25">
      <c r="B38" s="162"/>
      <c r="C38" s="162"/>
      <c r="D38" s="162"/>
      <c r="E38" s="162"/>
      <c r="F38" s="162"/>
      <c r="G38" s="164"/>
      <c r="H38" s="1411"/>
      <c r="I38" s="1411"/>
      <c r="J38" s="1411"/>
      <c r="K38" s="168"/>
      <c r="L38" s="165"/>
      <c r="M38" s="165"/>
      <c r="N38" s="165"/>
      <c r="O38" s="165"/>
      <c r="P38" s="165"/>
      <c r="Q38" s="2296"/>
      <c r="R38" s="2296"/>
      <c r="S38" s="2296"/>
      <c r="T38" s="2296"/>
      <c r="U38" s="2296"/>
      <c r="V38" s="2296"/>
      <c r="W38" s="165"/>
      <c r="X38" s="1409"/>
      <c r="Y38" s="1409"/>
      <c r="Z38" s="1409"/>
      <c r="AA38" s="1409"/>
      <c r="AB38" s="1409"/>
      <c r="AC38" s="1410"/>
      <c r="AD38" s="1410"/>
      <c r="AE38" s="1410"/>
      <c r="AF38" s="1410"/>
      <c r="AG38" s="1410"/>
      <c r="AH38" s="1410"/>
      <c r="AI38" s="166"/>
      <c r="AJ38" s="1416"/>
      <c r="AK38" s="1416"/>
      <c r="AL38" s="1416"/>
      <c r="AM38" s="1416"/>
      <c r="AN38" s="1416"/>
      <c r="AO38" s="1403"/>
      <c r="AP38" s="1403"/>
      <c r="AQ38" s="1403"/>
      <c r="AR38" s="1403"/>
      <c r="AS38" s="1403"/>
      <c r="AT38" s="1403"/>
      <c r="AU38" s="1403"/>
      <c r="AV38" s="1404"/>
      <c r="AW38" s="1404"/>
      <c r="BI38" s="53"/>
      <c r="BJ38" s="53"/>
    </row>
    <row r="39" spans="1:80" ht="15" customHeight="1" x14ac:dyDescent="0.25">
      <c r="B39" s="162"/>
      <c r="C39" s="162"/>
      <c r="D39" s="162"/>
      <c r="E39" s="162"/>
      <c r="F39" s="162"/>
      <c r="G39" s="164"/>
      <c r="H39" s="1411"/>
      <c r="I39" s="1411"/>
      <c r="J39" s="1411"/>
      <c r="K39" s="168"/>
      <c r="L39" s="165"/>
      <c r="M39" s="165"/>
      <c r="N39" s="165"/>
      <c r="O39" s="165"/>
      <c r="P39" s="165"/>
      <c r="Q39" s="2296"/>
      <c r="R39" s="2296"/>
      <c r="S39" s="2296"/>
      <c r="T39" s="2296"/>
      <c r="U39" s="2296"/>
      <c r="V39" s="2296"/>
      <c r="W39" s="165"/>
      <c r="X39" s="1409"/>
      <c r="Y39" s="1409"/>
      <c r="Z39" s="1409"/>
      <c r="AA39" s="1409"/>
      <c r="AB39" s="1409"/>
      <c r="AC39" s="1410"/>
      <c r="AD39" s="1410"/>
      <c r="AE39" s="1410"/>
      <c r="AF39" s="1410"/>
      <c r="AG39" s="1410"/>
      <c r="AH39" s="1410"/>
      <c r="AI39" s="166"/>
      <c r="AJ39" s="1416"/>
      <c r="AK39" s="1416"/>
      <c r="AL39" s="1416"/>
      <c r="AM39" s="1416"/>
      <c r="AN39" s="1416"/>
      <c r="AO39" s="1403"/>
      <c r="AP39" s="1403"/>
      <c r="AQ39" s="1403"/>
      <c r="AR39" s="1403"/>
      <c r="AS39" s="1403"/>
      <c r="AT39" s="1403"/>
      <c r="AU39" s="1403"/>
      <c r="AV39" s="1404"/>
      <c r="AW39" s="1404"/>
      <c r="BI39" s="53"/>
      <c r="BJ39" s="53"/>
    </row>
    <row r="40" spans="1:80" ht="42.75" customHeight="1" x14ac:dyDescent="0.35">
      <c r="A40" s="54"/>
      <c r="B40" s="162"/>
      <c r="C40" s="162"/>
      <c r="D40" s="162"/>
      <c r="E40" s="162"/>
      <c r="F40" s="162"/>
      <c r="G40" s="164"/>
      <c r="H40" s="1411"/>
      <c r="I40" s="1411"/>
      <c r="J40" s="1411"/>
      <c r="K40" s="168"/>
      <c r="L40" s="165"/>
      <c r="M40" s="165"/>
      <c r="N40" s="165"/>
      <c r="O40" s="165"/>
      <c r="P40" s="165"/>
      <c r="Q40" s="2296"/>
      <c r="R40" s="2296"/>
      <c r="S40" s="2296"/>
      <c r="T40" s="2296"/>
      <c r="U40" s="2296"/>
      <c r="V40" s="2296"/>
      <c r="W40" s="165"/>
      <c r="X40" s="1409"/>
      <c r="Y40" s="1409"/>
      <c r="Z40" s="1409"/>
      <c r="AA40" s="1409"/>
      <c r="AB40" s="1409"/>
      <c r="AC40" s="1410"/>
      <c r="AD40" s="1410"/>
      <c r="AE40" s="1410"/>
      <c r="AF40" s="1410"/>
      <c r="AG40" s="1410"/>
      <c r="AH40" s="1410"/>
      <c r="AI40" s="166"/>
      <c r="AJ40" s="1416"/>
      <c r="AK40" s="1416"/>
      <c r="AL40" s="1416"/>
      <c r="AM40" s="1416"/>
      <c r="AN40" s="1416"/>
      <c r="AO40" s="1403"/>
      <c r="AP40" s="1403"/>
      <c r="AQ40" s="1403"/>
      <c r="AR40" s="1403"/>
      <c r="AS40" s="1403"/>
      <c r="AT40" s="1403"/>
      <c r="AU40" s="1403"/>
      <c r="AV40" s="1404"/>
      <c r="AW40" s="1404"/>
      <c r="BI40" s="53"/>
      <c r="BJ40" s="53"/>
    </row>
    <row r="41" spans="1:80" ht="38.25" customHeight="1" x14ac:dyDescent="0.35">
      <c r="A41" s="54"/>
      <c r="B41" s="162"/>
      <c r="C41" s="162"/>
      <c r="D41" s="162"/>
      <c r="E41" s="162"/>
      <c r="F41" s="162"/>
      <c r="G41" s="164"/>
      <c r="H41" s="1412"/>
      <c r="I41" s="1412"/>
      <c r="J41" s="1412"/>
      <c r="K41" s="168"/>
      <c r="L41" s="175"/>
      <c r="M41" s="175"/>
      <c r="N41" s="175"/>
      <c r="O41" s="175"/>
      <c r="P41" s="175"/>
      <c r="Q41" s="2296"/>
      <c r="R41" s="2296"/>
      <c r="S41" s="2296"/>
      <c r="T41" s="2296"/>
      <c r="U41" s="2296"/>
      <c r="V41" s="2296"/>
      <c r="W41" s="176"/>
      <c r="X41" s="1409"/>
      <c r="Y41" s="1409"/>
      <c r="Z41" s="1409"/>
      <c r="AA41" s="1409"/>
      <c r="AB41" s="1409"/>
      <c r="AC41" s="1410"/>
      <c r="AD41" s="1410"/>
      <c r="AE41" s="1410"/>
      <c r="AF41" s="1410"/>
      <c r="AG41" s="1410"/>
      <c r="AH41" s="1410"/>
      <c r="AI41" s="166"/>
      <c r="AJ41" s="1416"/>
      <c r="AK41" s="1416"/>
      <c r="AL41" s="1416"/>
      <c r="AM41" s="1416"/>
      <c r="AN41" s="1416"/>
      <c r="AO41" s="1418"/>
      <c r="AP41" s="1418"/>
      <c r="AQ41" s="1418"/>
      <c r="AR41" s="1418"/>
      <c r="AS41" s="1418"/>
      <c r="AT41" s="1418"/>
      <c r="AU41" s="1418"/>
      <c r="AV41" s="1418"/>
      <c r="AW41" s="1418"/>
      <c r="AX41" s="54"/>
      <c r="AY41" s="54"/>
      <c r="BI41" s="170"/>
      <c r="BJ41" s="170"/>
    </row>
    <row r="42" spans="1:80" ht="60" customHeight="1" x14ac:dyDescent="0.35">
      <c r="H42" s="1412"/>
      <c r="I42" s="1412"/>
      <c r="J42" s="1412"/>
      <c r="L42" s="175"/>
      <c r="M42" s="175"/>
      <c r="N42" s="175"/>
      <c r="O42" s="175"/>
      <c r="P42" s="175"/>
      <c r="Q42" s="2296"/>
      <c r="R42" s="2296"/>
      <c r="S42" s="2296"/>
      <c r="T42" s="2296"/>
      <c r="U42" s="2296"/>
      <c r="V42" s="2296"/>
      <c r="W42" s="176"/>
      <c r="X42" s="1409"/>
      <c r="Y42" s="1409"/>
      <c r="Z42" s="1409"/>
      <c r="AA42" s="1409"/>
      <c r="AB42" s="1409"/>
      <c r="AC42" s="1410"/>
      <c r="AD42" s="1410"/>
      <c r="AE42" s="1410"/>
      <c r="AF42" s="1410"/>
      <c r="AG42" s="1410"/>
      <c r="AH42" s="1410"/>
      <c r="AI42" s="166"/>
      <c r="AJ42" s="1416"/>
      <c r="AK42" s="1416"/>
      <c r="AL42" s="1416"/>
      <c r="AM42" s="1416"/>
      <c r="AN42" s="1416"/>
      <c r="AO42" s="1418"/>
      <c r="AP42" s="1418"/>
      <c r="AQ42" s="1418"/>
      <c r="AR42" s="1418"/>
      <c r="AS42" s="1418"/>
      <c r="AT42" s="1418"/>
      <c r="AU42" s="1418"/>
      <c r="AV42" s="1418"/>
      <c r="AW42" s="1418"/>
      <c r="AX42" s="54"/>
      <c r="AY42" s="54"/>
      <c r="BI42" s="170"/>
      <c r="BJ42" s="170"/>
    </row>
    <row r="43" spans="1:80" ht="15" customHeight="1" x14ac:dyDescent="0.35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1"/>
      <c r="AI43" s="171"/>
      <c r="AJ43" s="171"/>
      <c r="AK43" s="171"/>
      <c r="AL43" s="171"/>
      <c r="AM43" s="171"/>
      <c r="AN43" s="171"/>
      <c r="AO43" s="172"/>
      <c r="AP43" s="172"/>
      <c r="AQ43" s="172"/>
      <c r="AR43" s="172"/>
      <c r="AS43" s="172"/>
      <c r="AT43" s="172"/>
      <c r="AU43" s="172"/>
      <c r="AV43" s="172"/>
      <c r="AW43" s="172"/>
    </row>
    <row r="44" spans="1:80" ht="15.75" customHeight="1" thickBot="1" x14ac:dyDescent="0.4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3"/>
      <c r="Y44" s="171"/>
      <c r="Z44" s="171"/>
      <c r="AA44" s="171"/>
      <c r="AB44" s="171"/>
      <c r="AC44" s="171"/>
      <c r="AD44" s="171"/>
      <c r="AE44" s="171"/>
      <c r="AF44" s="171"/>
      <c r="AG44" s="171"/>
      <c r="AH44" s="171"/>
      <c r="AI44" s="171"/>
      <c r="AJ44" s="171"/>
      <c r="AK44" s="171"/>
      <c r="AL44" s="171"/>
      <c r="AM44" s="171"/>
      <c r="AN44" s="171"/>
      <c r="AO44" s="172"/>
      <c r="AP44" s="172"/>
      <c r="AQ44" s="172"/>
      <c r="AR44" s="172"/>
      <c r="AS44" s="172"/>
      <c r="AT44" s="172"/>
      <c r="AU44" s="172"/>
      <c r="AV44" s="172"/>
      <c r="AW44" s="172"/>
    </row>
    <row r="45" spans="1:80" ht="15.75" thickTop="1" x14ac:dyDescent="0.25">
      <c r="J45" t="s">
        <v>16</v>
      </c>
      <c r="AD45" s="775">
        <v>5.8166000000000002</v>
      </c>
      <c r="AE45" s="776"/>
      <c r="AF45" s="776"/>
      <c r="AG45" s="776"/>
      <c r="AH45" s="777"/>
      <c r="AL45" s="727" t="s">
        <v>122</v>
      </c>
      <c r="AM45" s="727"/>
      <c r="AN45" s="727"/>
      <c r="AO45" s="727" t="s">
        <v>123</v>
      </c>
      <c r="AP45" s="727"/>
      <c r="AQ45" s="727"/>
      <c r="AR45" s="727" t="s">
        <v>124</v>
      </c>
      <c r="AS45" s="727"/>
      <c r="AT45" s="727" t="s">
        <v>125</v>
      </c>
      <c r="AU45" s="727"/>
      <c r="AY45" s="739" t="s">
        <v>126</v>
      </c>
      <c r="AZ45" s="740"/>
      <c r="BA45" s="740"/>
      <c r="BB45" s="740"/>
      <c r="BC45" s="740"/>
      <c r="BD45" s="740"/>
      <c r="BE45" s="740"/>
      <c r="BF45" s="740"/>
      <c r="BG45" s="740"/>
      <c r="BH45" s="741"/>
    </row>
    <row r="46" spans="1:80" x14ac:dyDescent="0.25">
      <c r="AD46" s="778"/>
      <c r="AE46" s="779"/>
      <c r="AF46" s="779"/>
      <c r="AG46" s="779"/>
      <c r="AH46" s="780"/>
      <c r="AL46" s="727"/>
      <c r="AM46" s="727"/>
      <c r="AN46" s="727"/>
      <c r="AO46" s="727"/>
      <c r="AP46" s="727"/>
      <c r="AQ46" s="727"/>
      <c r="AR46" s="727"/>
      <c r="AS46" s="727"/>
      <c r="AT46" s="727"/>
      <c r="AU46" s="727"/>
      <c r="AY46" s="750"/>
      <c r="AZ46" s="751"/>
      <c r="BA46" s="751"/>
      <c r="BB46" s="751"/>
      <c r="BC46" s="751"/>
      <c r="BD46" s="751"/>
      <c r="BE46" s="751"/>
      <c r="BF46" s="751"/>
      <c r="BG46" s="751"/>
      <c r="BH46" s="752"/>
    </row>
    <row r="47" spans="1:80" x14ac:dyDescent="0.25">
      <c r="AA47" s="56"/>
      <c r="AD47" s="778"/>
      <c r="AE47" s="779"/>
      <c r="AF47" s="779"/>
      <c r="AG47" s="779"/>
      <c r="AH47" s="780"/>
      <c r="AL47" s="727"/>
      <c r="AM47" s="727"/>
      <c r="AN47" s="727"/>
      <c r="AO47" s="727"/>
      <c r="AP47" s="727"/>
      <c r="AQ47" s="727"/>
      <c r="AR47" s="727"/>
      <c r="AS47" s="727"/>
      <c r="AT47" s="727"/>
      <c r="AU47" s="727"/>
      <c r="AY47" s="742"/>
      <c r="AZ47" s="743"/>
      <c r="BA47" s="743"/>
      <c r="BB47" s="743"/>
      <c r="BC47" s="743"/>
      <c r="BD47" s="743"/>
      <c r="BE47" s="743"/>
      <c r="BF47" s="743"/>
      <c r="BG47" s="743"/>
      <c r="BH47" s="744"/>
    </row>
    <row r="48" spans="1:80" x14ac:dyDescent="0.25">
      <c r="K48" t="s">
        <v>258</v>
      </c>
      <c r="AD48" s="778"/>
      <c r="AE48" s="779"/>
      <c r="AF48" s="779"/>
      <c r="AG48" s="779"/>
      <c r="AH48" s="780"/>
      <c r="AL48" s="727">
        <v>210</v>
      </c>
      <c r="AM48" s="727"/>
      <c r="AN48" s="727"/>
      <c r="AO48" s="727">
        <f>AT73</f>
        <v>210</v>
      </c>
      <c r="AP48" s="727"/>
      <c r="AQ48" s="727"/>
      <c r="AR48" s="1689">
        <f>AC32</f>
        <v>7.5183999999999997</v>
      </c>
      <c r="AS48" s="1689"/>
      <c r="AT48" s="1689">
        <f>AC32+AO34</f>
        <v>7.5183999999999997</v>
      </c>
      <c r="AU48" s="1689"/>
      <c r="AY48" s="727" t="s">
        <v>128</v>
      </c>
      <c r="AZ48" s="727"/>
      <c r="BA48" s="727"/>
      <c r="BB48" s="727"/>
      <c r="BC48" s="727"/>
      <c r="BD48" s="727"/>
      <c r="BE48" s="727"/>
      <c r="BF48" s="727"/>
      <c r="BG48" s="727"/>
      <c r="BH48" s="727"/>
    </row>
    <row r="49" spans="7:60" x14ac:dyDescent="0.25">
      <c r="G49" t="s">
        <v>16</v>
      </c>
      <c r="AD49" s="778"/>
      <c r="AE49" s="779"/>
      <c r="AF49" s="779"/>
      <c r="AG49" s="779"/>
      <c r="AH49" s="780"/>
      <c r="AL49" s="727"/>
      <c r="AM49" s="727"/>
      <c r="AN49" s="727"/>
      <c r="AO49" s="727"/>
      <c r="AP49" s="727"/>
      <c r="AQ49" s="727"/>
      <c r="AR49" s="1689"/>
      <c r="AS49" s="1689"/>
      <c r="AT49" s="1689"/>
      <c r="AU49" s="1689"/>
      <c r="AY49" s="727"/>
      <c r="AZ49" s="727"/>
      <c r="BA49" s="727"/>
      <c r="BB49" s="727"/>
      <c r="BC49" s="727"/>
      <c r="BD49" s="727"/>
      <c r="BE49" s="727"/>
      <c r="BF49" s="727"/>
      <c r="BG49" s="727"/>
      <c r="BH49" s="727"/>
    </row>
    <row r="50" spans="7:60" ht="15" customHeight="1" x14ac:dyDescent="0.25">
      <c r="AD50" s="778"/>
      <c r="AE50" s="779"/>
      <c r="AF50" s="779"/>
      <c r="AG50" s="779"/>
      <c r="AH50" s="780"/>
      <c r="AL50" s="727"/>
      <c r="AM50" s="727"/>
      <c r="AN50" s="727"/>
      <c r="AO50" s="727"/>
      <c r="AP50" s="727"/>
      <c r="AQ50" s="727"/>
      <c r="AR50" s="1689"/>
      <c r="AS50" s="1689"/>
      <c r="AT50" s="1689"/>
      <c r="AU50" s="1689"/>
      <c r="AY50" s="728">
        <f>AR48/((54*3.1415/59)*(AO48/3.281))</f>
        <v>4.0853902782374323E-2</v>
      </c>
      <c r="AZ50" s="729"/>
      <c r="BA50" s="729"/>
      <c r="BB50" s="729"/>
      <c r="BC50" s="729"/>
      <c r="BD50" s="729"/>
      <c r="BE50" s="729"/>
      <c r="BF50" s="729"/>
      <c r="BG50" s="729"/>
      <c r="BH50" s="730"/>
    </row>
    <row r="51" spans="7:60" ht="15.75" customHeight="1" thickBot="1" x14ac:dyDescent="0.3">
      <c r="AD51" s="781"/>
      <c r="AE51" s="782"/>
      <c r="AF51" s="782"/>
      <c r="AG51" s="782"/>
      <c r="AH51" s="783"/>
      <c r="AL51" s="727"/>
      <c r="AM51" s="727"/>
      <c r="AN51" s="727"/>
      <c r="AO51" s="727"/>
      <c r="AP51" s="727"/>
      <c r="AQ51" s="727"/>
      <c r="AR51" s="1689"/>
      <c r="AS51" s="1689"/>
      <c r="AT51" s="1689"/>
      <c r="AU51" s="1689"/>
      <c r="AY51" s="731"/>
      <c r="AZ51" s="732"/>
      <c r="BA51" s="732"/>
      <c r="BB51" s="732"/>
      <c r="BC51" s="732"/>
      <c r="BD51" s="732"/>
      <c r="BE51" s="732"/>
      <c r="BF51" s="732"/>
      <c r="BG51" s="732"/>
      <c r="BH51" s="733"/>
    </row>
    <row r="52" spans="7:60" ht="15.75" customHeight="1" thickTop="1" x14ac:dyDescent="0.25">
      <c r="AY52" s="734"/>
      <c r="AZ52" s="735"/>
      <c r="BA52" s="735"/>
      <c r="BB52" s="735"/>
      <c r="BC52" s="735"/>
      <c r="BD52" s="735"/>
      <c r="BE52" s="735"/>
      <c r="BF52" s="735"/>
      <c r="BG52" s="735"/>
      <c r="BH52" s="736"/>
    </row>
    <row r="53" spans="7:60" x14ac:dyDescent="0.25">
      <c r="AY53" s="739" t="s">
        <v>129</v>
      </c>
      <c r="AZ53" s="740"/>
      <c r="BA53" s="740"/>
      <c r="BB53" s="740"/>
      <c r="BC53" s="740"/>
      <c r="BD53" s="740"/>
      <c r="BE53" s="740"/>
      <c r="BF53" s="740"/>
      <c r="BG53" s="740"/>
      <c r="BH53" s="741"/>
    </row>
    <row r="54" spans="7:60" x14ac:dyDescent="0.25">
      <c r="AY54" s="742"/>
      <c r="AZ54" s="743"/>
      <c r="BA54" s="743"/>
      <c r="BB54" s="743"/>
      <c r="BC54" s="743"/>
      <c r="BD54" s="743"/>
      <c r="BE54" s="743"/>
      <c r="BF54" s="743"/>
      <c r="BG54" s="743"/>
      <c r="BH54" s="744"/>
    </row>
    <row r="55" spans="7:60" x14ac:dyDescent="0.25">
      <c r="AN55" s="727">
        <v>30</v>
      </c>
      <c r="AO55" s="727"/>
      <c r="AP55" s="727"/>
      <c r="AQ55" s="746">
        <v>3</v>
      </c>
      <c r="AR55" s="746"/>
      <c r="AS55" s="746"/>
      <c r="AT55" s="747">
        <f>AQ55*AN55</f>
        <v>90</v>
      </c>
      <c r="AU55" s="748"/>
      <c r="AV55" s="748"/>
      <c r="AW55" s="749"/>
      <c r="AY55" s="739" t="s">
        <v>130</v>
      </c>
      <c r="AZ55" s="740"/>
      <c r="BA55" s="740"/>
      <c r="BB55" s="740"/>
      <c r="BC55" s="740"/>
      <c r="BD55" s="740"/>
      <c r="BE55" s="740"/>
      <c r="BF55" s="740"/>
      <c r="BG55" s="740"/>
      <c r="BH55" s="741"/>
    </row>
    <row r="56" spans="7:60" x14ac:dyDescent="0.25">
      <c r="AN56" s="727"/>
      <c r="AO56" s="727"/>
      <c r="AP56" s="727"/>
      <c r="AQ56" s="746"/>
      <c r="AR56" s="746"/>
      <c r="AS56" s="746"/>
      <c r="AT56" s="747"/>
      <c r="AU56" s="748"/>
      <c r="AV56" s="748"/>
      <c r="AW56" s="749"/>
      <c r="AY56" s="750"/>
      <c r="AZ56" s="751"/>
      <c r="BA56" s="751"/>
      <c r="BB56" s="751"/>
      <c r="BC56" s="751"/>
      <c r="BD56" s="751"/>
      <c r="BE56" s="751"/>
      <c r="BF56" s="751"/>
      <c r="BG56" s="751"/>
      <c r="BH56" s="752"/>
    </row>
    <row r="57" spans="7:60" ht="15" customHeight="1" x14ac:dyDescent="0.25">
      <c r="AN57" s="727"/>
      <c r="AO57" s="727"/>
      <c r="AP57" s="727"/>
      <c r="AQ57" s="746"/>
      <c r="AR57" s="746"/>
      <c r="AS57" s="746"/>
      <c r="AT57" s="747"/>
      <c r="AU57" s="748"/>
      <c r="AV57" s="748"/>
      <c r="AW57" s="749"/>
      <c r="AY57" s="750"/>
      <c r="AZ57" s="751"/>
      <c r="BA57" s="751"/>
      <c r="BB57" s="751"/>
      <c r="BC57" s="751"/>
      <c r="BD57" s="751"/>
      <c r="BE57" s="751"/>
      <c r="BF57" s="751"/>
      <c r="BG57" s="751"/>
      <c r="BH57" s="752"/>
    </row>
    <row r="58" spans="7:60" ht="15" customHeight="1" x14ac:dyDescent="0.25">
      <c r="AN58" s="727">
        <v>40</v>
      </c>
      <c r="AO58" s="727"/>
      <c r="AP58" s="727"/>
      <c r="AQ58" s="746">
        <v>3</v>
      </c>
      <c r="AR58" s="746"/>
      <c r="AS58" s="746"/>
      <c r="AT58" s="747">
        <f>AQ58*AN58</f>
        <v>120</v>
      </c>
      <c r="AU58" s="748"/>
      <c r="AV58" s="748"/>
      <c r="AW58" s="749"/>
      <c r="AY58" s="742"/>
      <c r="AZ58" s="743"/>
      <c r="BA58" s="743"/>
      <c r="BB58" s="743"/>
      <c r="BC58" s="743"/>
      <c r="BD58" s="743"/>
      <c r="BE58" s="743"/>
      <c r="BF58" s="743"/>
      <c r="BG58" s="743"/>
      <c r="BH58" s="744"/>
    </row>
    <row r="59" spans="7:60" ht="15" customHeight="1" x14ac:dyDescent="0.25">
      <c r="AN59" s="727"/>
      <c r="AO59" s="727"/>
      <c r="AP59" s="727"/>
      <c r="AQ59" s="746"/>
      <c r="AR59" s="746"/>
      <c r="AS59" s="746"/>
      <c r="AT59" s="747"/>
      <c r="AU59" s="748"/>
      <c r="AV59" s="748"/>
      <c r="AW59" s="749"/>
      <c r="AY59" s="728">
        <f>AT48/((54*3.1415/59)*(AO48/3.281))</f>
        <v>4.0853902782374323E-2</v>
      </c>
      <c r="AZ59" s="729"/>
      <c r="BA59" s="729"/>
      <c r="BB59" s="729"/>
      <c r="BC59" s="729"/>
      <c r="BD59" s="729"/>
      <c r="BE59" s="729"/>
      <c r="BF59" s="729"/>
      <c r="BG59" s="729"/>
      <c r="BH59" s="730"/>
    </row>
    <row r="60" spans="7:60" ht="15" customHeight="1" x14ac:dyDescent="0.25">
      <c r="AN60" s="727"/>
      <c r="AO60" s="727"/>
      <c r="AP60" s="727"/>
      <c r="AQ60" s="746"/>
      <c r="AR60" s="746"/>
      <c r="AS60" s="746"/>
      <c r="AT60" s="747"/>
      <c r="AU60" s="748"/>
      <c r="AV60" s="748"/>
      <c r="AW60" s="749"/>
      <c r="AY60" s="731"/>
      <c r="AZ60" s="732"/>
      <c r="BA60" s="732"/>
      <c r="BB60" s="732"/>
      <c r="BC60" s="732"/>
      <c r="BD60" s="732"/>
      <c r="BE60" s="732"/>
      <c r="BF60" s="732"/>
      <c r="BG60" s="732"/>
      <c r="BH60" s="733"/>
    </row>
    <row r="61" spans="7:60" ht="15" customHeight="1" x14ac:dyDescent="0.25">
      <c r="AN61" s="727"/>
      <c r="AO61" s="727"/>
      <c r="AP61" s="727"/>
      <c r="AQ61" s="746"/>
      <c r="AR61" s="746"/>
      <c r="AS61" s="746"/>
      <c r="AT61" s="747"/>
      <c r="AU61" s="748"/>
      <c r="AV61" s="748"/>
      <c r="AW61" s="749"/>
      <c r="AY61" s="731"/>
      <c r="AZ61" s="732"/>
      <c r="BA61" s="732"/>
      <c r="BB61" s="732"/>
      <c r="BC61" s="732"/>
      <c r="BD61" s="732"/>
      <c r="BE61" s="732"/>
      <c r="BF61" s="732"/>
      <c r="BG61" s="732"/>
      <c r="BH61" s="733"/>
    </row>
    <row r="62" spans="7:60" ht="15" customHeight="1" x14ac:dyDescent="0.25">
      <c r="AN62" s="727"/>
      <c r="AO62" s="727"/>
      <c r="AP62" s="727"/>
      <c r="AQ62" s="746"/>
      <c r="AR62" s="746"/>
      <c r="AS62" s="746"/>
      <c r="AT62" s="747"/>
      <c r="AU62" s="748"/>
      <c r="AV62" s="748"/>
      <c r="AW62" s="749"/>
      <c r="AY62" s="731"/>
      <c r="AZ62" s="732"/>
      <c r="BA62" s="732"/>
      <c r="BB62" s="732"/>
      <c r="BC62" s="732"/>
      <c r="BD62" s="732"/>
      <c r="BE62" s="732"/>
      <c r="BF62" s="732"/>
      <c r="BG62" s="732"/>
      <c r="BH62" s="733"/>
    </row>
    <row r="63" spans="7:60" ht="15" customHeight="1" x14ac:dyDescent="0.25">
      <c r="AN63" s="727"/>
      <c r="AO63" s="727"/>
      <c r="AP63" s="727"/>
      <c r="AQ63" s="746"/>
      <c r="AR63" s="746"/>
      <c r="AS63" s="746"/>
      <c r="AT63" s="747"/>
      <c r="AU63" s="748"/>
      <c r="AV63" s="748"/>
      <c r="AW63" s="749"/>
      <c r="AY63" s="734"/>
      <c r="AZ63" s="735"/>
      <c r="BA63" s="735"/>
      <c r="BB63" s="735"/>
      <c r="BC63" s="735"/>
      <c r="BD63" s="735"/>
      <c r="BE63" s="735"/>
      <c r="BF63" s="735"/>
      <c r="BG63" s="735"/>
      <c r="BH63" s="736"/>
    </row>
    <row r="64" spans="7:60" ht="15" customHeight="1" x14ac:dyDescent="0.25">
      <c r="AN64" s="727"/>
      <c r="AO64" s="727"/>
      <c r="AP64" s="727"/>
      <c r="AQ64" s="746"/>
      <c r="AR64" s="746"/>
      <c r="AS64" s="746"/>
      <c r="AT64" s="747"/>
      <c r="AU64" s="748"/>
      <c r="AV64" s="748"/>
      <c r="AW64" s="749"/>
    </row>
    <row r="65" spans="40:49" ht="15" customHeight="1" x14ac:dyDescent="0.25">
      <c r="AN65" s="727"/>
      <c r="AO65" s="727"/>
      <c r="AP65" s="727"/>
      <c r="AQ65" s="746"/>
      <c r="AR65" s="746"/>
      <c r="AS65" s="746"/>
      <c r="AT65" s="747"/>
      <c r="AU65" s="748"/>
      <c r="AV65" s="748"/>
      <c r="AW65" s="749"/>
    </row>
    <row r="66" spans="40:49" ht="15" customHeight="1" x14ac:dyDescent="0.25">
      <c r="AN66" s="727"/>
      <c r="AO66" s="727"/>
      <c r="AP66" s="727"/>
      <c r="AQ66" s="746"/>
      <c r="AR66" s="746"/>
      <c r="AS66" s="746"/>
      <c r="AT66" s="747"/>
      <c r="AU66" s="748"/>
      <c r="AV66" s="748"/>
      <c r="AW66" s="749"/>
    </row>
    <row r="67" spans="40:49" ht="15" customHeight="1" x14ac:dyDescent="0.25">
      <c r="AN67" s="727"/>
      <c r="AO67" s="727"/>
      <c r="AP67" s="727"/>
      <c r="AQ67" s="746"/>
      <c r="AR67" s="746"/>
      <c r="AS67" s="746"/>
      <c r="AT67" s="747"/>
      <c r="AU67" s="748"/>
      <c r="AV67" s="748"/>
      <c r="AW67" s="749"/>
    </row>
    <row r="68" spans="40:49" ht="15" customHeight="1" x14ac:dyDescent="0.25">
      <c r="AN68" s="727"/>
      <c r="AO68" s="727"/>
      <c r="AP68" s="727"/>
      <c r="AQ68" s="746"/>
      <c r="AR68" s="746"/>
      <c r="AS68" s="746"/>
      <c r="AT68" s="747"/>
      <c r="AU68" s="748"/>
      <c r="AV68" s="748"/>
      <c r="AW68" s="749"/>
    </row>
    <row r="69" spans="40:49" ht="15" customHeight="1" x14ac:dyDescent="0.25">
      <c r="AN69" s="727"/>
      <c r="AO69" s="727"/>
      <c r="AP69" s="727"/>
      <c r="AQ69" s="746"/>
      <c r="AR69" s="746"/>
      <c r="AS69" s="746"/>
      <c r="AT69" s="747"/>
      <c r="AU69" s="748"/>
      <c r="AV69" s="748"/>
      <c r="AW69" s="749"/>
    </row>
    <row r="70" spans="40:49" ht="15" customHeight="1" x14ac:dyDescent="0.25">
      <c r="AN70" s="727"/>
      <c r="AO70" s="727"/>
      <c r="AP70" s="727"/>
      <c r="AQ70" s="746"/>
      <c r="AR70" s="746"/>
      <c r="AS70" s="746"/>
      <c r="AT70" s="747"/>
      <c r="AU70" s="748"/>
      <c r="AV70" s="748"/>
      <c r="AW70" s="749"/>
    </row>
    <row r="71" spans="40:49" ht="15" customHeight="1" x14ac:dyDescent="0.25">
      <c r="AN71" s="727"/>
      <c r="AO71" s="727"/>
      <c r="AP71" s="727"/>
      <c r="AQ71" s="746"/>
      <c r="AR71" s="746"/>
      <c r="AS71" s="746"/>
      <c r="AT71" s="747"/>
      <c r="AU71" s="748"/>
      <c r="AV71" s="748"/>
      <c r="AW71" s="749"/>
    </row>
    <row r="72" spans="40:49" ht="15" customHeight="1" x14ac:dyDescent="0.25">
      <c r="AN72" s="727"/>
      <c r="AO72" s="727"/>
      <c r="AP72" s="727"/>
      <c r="AQ72" s="746"/>
      <c r="AR72" s="746"/>
      <c r="AS72" s="746"/>
      <c r="AT72" s="747"/>
      <c r="AU72" s="748"/>
      <c r="AV72" s="748"/>
      <c r="AW72" s="749"/>
    </row>
    <row r="73" spans="40:49" ht="15" customHeight="1" x14ac:dyDescent="0.25">
      <c r="AQ73" s="2279">
        <f>AQ55+AQ61+AQ64+AQ67+AQ70</f>
        <v>3</v>
      </c>
      <c r="AR73" s="2280"/>
      <c r="AS73" s="2281"/>
      <c r="AT73" s="1457">
        <f>AT55+AT58+AT61+AT64+AT67+AT70</f>
        <v>210</v>
      </c>
      <c r="AU73" s="1458"/>
      <c r="AV73" s="1458"/>
      <c r="AW73" s="1459"/>
    </row>
    <row r="74" spans="40:49" ht="15" customHeight="1" x14ac:dyDescent="0.25">
      <c r="AQ74" s="2282"/>
      <c r="AR74" s="2283"/>
      <c r="AS74" s="2284"/>
      <c r="AT74" s="2288"/>
      <c r="AU74" s="2289"/>
      <c r="AV74" s="2289"/>
      <c r="AW74" s="2290"/>
    </row>
    <row r="75" spans="40:49" ht="15" customHeight="1" x14ac:dyDescent="0.25">
      <c r="AQ75" s="2285"/>
      <c r="AR75" s="2286"/>
      <c r="AS75" s="2287"/>
      <c r="AT75" s="1785"/>
      <c r="AU75" s="1786"/>
      <c r="AV75" s="1786"/>
      <c r="AW75" s="1787"/>
    </row>
    <row r="76" spans="40:49" ht="15" customHeight="1" x14ac:dyDescent="0.25"/>
    <row r="77" spans="40:49" ht="15" customHeight="1" x14ac:dyDescent="0.25">
      <c r="AS77" s="27"/>
      <c r="AT77" s="27"/>
      <c r="AU77" s="27"/>
    </row>
  </sheetData>
  <mergeCells count="238">
    <mergeCell ref="AY2:BA2"/>
    <mergeCell ref="BB2:BC2"/>
    <mergeCell ref="BD2:BF2"/>
    <mergeCell ref="BG2:BH2"/>
    <mergeCell ref="K3:O5"/>
    <mergeCell ref="P3:T5"/>
    <mergeCell ref="U3:Y5"/>
    <mergeCell ref="Z3:AD5"/>
    <mergeCell ref="AE3:AI5"/>
    <mergeCell ref="AJ3:AN5"/>
    <mergeCell ref="Z2:AB2"/>
    <mergeCell ref="AC2:AD2"/>
    <mergeCell ref="AE2:AG2"/>
    <mergeCell ref="AH2:AI2"/>
    <mergeCell ref="AJ2:AL2"/>
    <mergeCell ref="AM2:AN2"/>
    <mergeCell ref="K2:M2"/>
    <mergeCell ref="N2:O2"/>
    <mergeCell ref="P2:R2"/>
    <mergeCell ref="S2:T2"/>
    <mergeCell ref="U2:W2"/>
    <mergeCell ref="X2:Y2"/>
    <mergeCell ref="AY3:BA5"/>
    <mergeCell ref="BD3:BF5"/>
    <mergeCell ref="BE6:BH6"/>
    <mergeCell ref="K8:AN9"/>
    <mergeCell ref="AY8:BA8"/>
    <mergeCell ref="BB8:BC8"/>
    <mergeCell ref="BD8:BF8"/>
    <mergeCell ref="BG8:BH8"/>
    <mergeCell ref="AY9:BA11"/>
    <mergeCell ref="BB9:BJ11"/>
    <mergeCell ref="AE6:AE7"/>
    <mergeCell ref="AF6:AI6"/>
    <mergeCell ref="AJ6:AJ7"/>
    <mergeCell ref="AK6:AN6"/>
    <mergeCell ref="AY6:AY7"/>
    <mergeCell ref="AZ6:BC6"/>
    <mergeCell ref="K6:K7"/>
    <mergeCell ref="L6:O6"/>
    <mergeCell ref="P6:P7"/>
    <mergeCell ref="Q6:T6"/>
    <mergeCell ref="U6:U7"/>
    <mergeCell ref="V6:Y6"/>
    <mergeCell ref="Z6:Z7"/>
    <mergeCell ref="AA6:AD6"/>
    <mergeCell ref="BD6:BD7"/>
    <mergeCell ref="AY12:AY13"/>
    <mergeCell ref="AZ12:BC12"/>
    <mergeCell ref="BD12:BD13"/>
    <mergeCell ref="BE12:BH12"/>
    <mergeCell ref="A14:C14"/>
    <mergeCell ref="D14:E14"/>
    <mergeCell ref="AH14:AI14"/>
    <mergeCell ref="AJ14:AL14"/>
    <mergeCell ref="AM14:AN14"/>
    <mergeCell ref="AO14:AQ14"/>
    <mergeCell ref="A18:A19"/>
    <mergeCell ref="B18:E18"/>
    <mergeCell ref="AY18:AY19"/>
    <mergeCell ref="AZ18:BC18"/>
    <mergeCell ref="BD18:BD19"/>
    <mergeCell ref="BE18:BH18"/>
    <mergeCell ref="BG14:BH14"/>
    <mergeCell ref="A15:E17"/>
    <mergeCell ref="AJ15:AL17"/>
    <mergeCell ref="AO15:AQ17"/>
    <mergeCell ref="AT15:AV17"/>
    <mergeCell ref="AY15:BA17"/>
    <mergeCell ref="BD15:BF17"/>
    <mergeCell ref="AR14:AS14"/>
    <mergeCell ref="AT14:AV14"/>
    <mergeCell ref="AW14:AX14"/>
    <mergeCell ref="AY14:BA14"/>
    <mergeCell ref="BB14:BC14"/>
    <mergeCell ref="BD14:BF14"/>
    <mergeCell ref="P20:R20"/>
    <mergeCell ref="S20:T20"/>
    <mergeCell ref="U20:W20"/>
    <mergeCell ref="X20:Y20"/>
    <mergeCell ref="Z20:AB20"/>
    <mergeCell ref="AC20:AD20"/>
    <mergeCell ref="A20:C20"/>
    <mergeCell ref="D20:E20"/>
    <mergeCell ref="F20:H20"/>
    <mergeCell ref="I20:J20"/>
    <mergeCell ref="K20:M20"/>
    <mergeCell ref="N20:O20"/>
    <mergeCell ref="AT20:AV20"/>
    <mergeCell ref="AW20:AX20"/>
    <mergeCell ref="AY20:BA20"/>
    <mergeCell ref="BB20:BC20"/>
    <mergeCell ref="BD20:BF20"/>
    <mergeCell ref="BG20:BH20"/>
    <mergeCell ref="AE20:AG20"/>
    <mergeCell ref="AH20:AI20"/>
    <mergeCell ref="AJ20:AL20"/>
    <mergeCell ref="AM20:AN20"/>
    <mergeCell ref="AO20:AQ20"/>
    <mergeCell ref="AR20:AS20"/>
    <mergeCell ref="AE21:AG23"/>
    <mergeCell ref="AJ21:AL23"/>
    <mergeCell ref="AO21:AQ23"/>
    <mergeCell ref="AT21:AV23"/>
    <mergeCell ref="AY21:BA23"/>
    <mergeCell ref="BD21:BF23"/>
    <mergeCell ref="A21:C23"/>
    <mergeCell ref="F21:H23"/>
    <mergeCell ref="K21:M23"/>
    <mergeCell ref="P21:R23"/>
    <mergeCell ref="U21:W23"/>
    <mergeCell ref="Z21:AB23"/>
    <mergeCell ref="BD24:BD25"/>
    <mergeCell ref="BD26:BF26"/>
    <mergeCell ref="BE24:BH24"/>
    <mergeCell ref="AE24:AE25"/>
    <mergeCell ref="AF24:AI24"/>
    <mergeCell ref="AJ24:AJ25"/>
    <mergeCell ref="AK24:AN24"/>
    <mergeCell ref="AO24:AO25"/>
    <mergeCell ref="AP24:AS24"/>
    <mergeCell ref="BG26:BH26"/>
    <mergeCell ref="BB26:BC26"/>
    <mergeCell ref="A26:C26"/>
    <mergeCell ref="D26:E26"/>
    <mergeCell ref="F26:H26"/>
    <mergeCell ref="I26:J26"/>
    <mergeCell ref="K26:M26"/>
    <mergeCell ref="N26:O26"/>
    <mergeCell ref="AT24:AT25"/>
    <mergeCell ref="AU24:AX24"/>
    <mergeCell ref="AY24:AY25"/>
    <mergeCell ref="P24:P25"/>
    <mergeCell ref="Q24:T24"/>
    <mergeCell ref="U24:U25"/>
    <mergeCell ref="V24:Y24"/>
    <mergeCell ref="Z24:Z25"/>
    <mergeCell ref="AA24:AD24"/>
    <mergeCell ref="A24:A25"/>
    <mergeCell ref="B24:E24"/>
    <mergeCell ref="F24:F25"/>
    <mergeCell ref="G24:J24"/>
    <mergeCell ref="K24:K25"/>
    <mergeCell ref="L24:O24"/>
    <mergeCell ref="AW26:AX26"/>
    <mergeCell ref="AY26:BA26"/>
    <mergeCell ref="AZ24:BC24"/>
    <mergeCell ref="K27:M29"/>
    <mergeCell ref="P27:R29"/>
    <mergeCell ref="U27:W29"/>
    <mergeCell ref="Z27:AB29"/>
    <mergeCell ref="AE27:AG29"/>
    <mergeCell ref="AT27:AV29"/>
    <mergeCell ref="AE26:AG26"/>
    <mergeCell ref="AH26:AI26"/>
    <mergeCell ref="AT26:AV26"/>
    <mergeCell ref="P26:R26"/>
    <mergeCell ref="S26:T26"/>
    <mergeCell ref="U26:W26"/>
    <mergeCell ref="X26:Y26"/>
    <mergeCell ref="Z26:AB26"/>
    <mergeCell ref="AC26:AD26"/>
    <mergeCell ref="AY27:BA29"/>
    <mergeCell ref="BD27:BF29"/>
    <mergeCell ref="A30:A31"/>
    <mergeCell ref="B30:E30"/>
    <mergeCell ref="F30:F31"/>
    <mergeCell ref="G30:J30"/>
    <mergeCell ref="K30:K31"/>
    <mergeCell ref="L30:O30"/>
    <mergeCell ref="P30:P31"/>
    <mergeCell ref="Q30:T30"/>
    <mergeCell ref="AT30:AT31"/>
    <mergeCell ref="AU30:AX30"/>
    <mergeCell ref="AY30:AY31"/>
    <mergeCell ref="AZ30:BC30"/>
    <mergeCell ref="BD30:BD31"/>
    <mergeCell ref="BE30:BH30"/>
    <mergeCell ref="U30:U31"/>
    <mergeCell ref="V30:Y30"/>
    <mergeCell ref="Z30:Z31"/>
    <mergeCell ref="AA30:AD30"/>
    <mergeCell ref="AE30:AE31"/>
    <mergeCell ref="AF30:AI30"/>
    <mergeCell ref="A27:C29"/>
    <mergeCell ref="F27:H29"/>
    <mergeCell ref="AT32:AW33"/>
    <mergeCell ref="AO34:AU40"/>
    <mergeCell ref="AV34:AW40"/>
    <mergeCell ref="H35:J35"/>
    <mergeCell ref="Q35:V42"/>
    <mergeCell ref="H36:J37"/>
    <mergeCell ref="X37:AB42"/>
    <mergeCell ref="AC37:AH42"/>
    <mergeCell ref="H38:J40"/>
    <mergeCell ref="H41:J42"/>
    <mergeCell ref="H32:J33"/>
    <mergeCell ref="Q32:V34"/>
    <mergeCell ref="X32:AB36"/>
    <mergeCell ref="AC32:AH36"/>
    <mergeCell ref="AJ32:AN42"/>
    <mergeCell ref="AO32:AS33"/>
    <mergeCell ref="AO41:AW42"/>
    <mergeCell ref="AD45:AH51"/>
    <mergeCell ref="AL45:AN47"/>
    <mergeCell ref="AO45:AQ47"/>
    <mergeCell ref="AR45:AS47"/>
    <mergeCell ref="AT45:AU47"/>
    <mergeCell ref="AY45:BH47"/>
    <mergeCell ref="AL48:AN51"/>
    <mergeCell ref="AO48:AQ51"/>
    <mergeCell ref="AR48:AS51"/>
    <mergeCell ref="AT48:AU51"/>
    <mergeCell ref="AY48:BH49"/>
    <mergeCell ref="AY50:BH52"/>
    <mergeCell ref="AY53:BH54"/>
    <mergeCell ref="AN55:AP57"/>
    <mergeCell ref="AQ55:AS57"/>
    <mergeCell ref="AT55:AW57"/>
    <mergeCell ref="AY55:BH58"/>
    <mergeCell ref="AN58:AP60"/>
    <mergeCell ref="AQ58:AS60"/>
    <mergeCell ref="AT58:AW60"/>
    <mergeCell ref="AQ73:AS75"/>
    <mergeCell ref="AT73:AW75"/>
    <mergeCell ref="AN67:AP69"/>
    <mergeCell ref="AQ67:AS69"/>
    <mergeCell ref="AT67:AW69"/>
    <mergeCell ref="AN70:AP72"/>
    <mergeCell ref="AQ70:AS72"/>
    <mergeCell ref="AT70:AW72"/>
    <mergeCell ref="AY59:BH63"/>
    <mergeCell ref="AN61:AP63"/>
    <mergeCell ref="AQ61:AS63"/>
    <mergeCell ref="AT61:AW63"/>
    <mergeCell ref="AN64:AP66"/>
    <mergeCell ref="AQ64:AS66"/>
    <mergeCell ref="AT64:AW66"/>
  </mergeCells>
  <pageMargins left="0.75" right="0.5" top="1" bottom="0.5" header="0.3" footer="0.3"/>
  <pageSetup paperSize="8" scale="64" orientation="landscape" r:id="rId1"/>
  <headerFooter>
    <oddFooter>&amp;C&amp;"-,Bold Italic"&amp;16Prepared by Emir Cebecioglu&amp;RQuality Control Department</oddFooter>
  </headerFooter>
  <colBreaks count="1" manualBreakCount="1">
    <brk id="60" max="50" man="1"/>
  </colBreaks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E937B-DEEB-4579-B517-31C02891DEB6}">
  <sheetPr>
    <tabColor rgb="FFFFC000"/>
  </sheetPr>
  <dimension ref="A1:FZ431"/>
  <sheetViews>
    <sheetView view="pageBreakPreview" topLeftCell="Y284" zoomScale="85" zoomScaleNormal="55" zoomScaleSheetLayoutView="85" zoomScalePageLayoutView="25" workbookViewId="0">
      <selection activeCell="U15" sqref="U15:Y17"/>
    </sheetView>
  </sheetViews>
  <sheetFormatPr defaultRowHeight="18.75" x14ac:dyDescent="0.3"/>
  <cols>
    <col min="1" max="1" width="4" customWidth="1"/>
    <col min="2" max="4" width="8.5703125" customWidth="1"/>
    <col min="5" max="5" width="7.42578125" style="522" customWidth="1"/>
    <col min="6" max="6" width="4.140625" customWidth="1"/>
    <col min="7" max="9" width="8.5703125" customWidth="1"/>
    <col min="10" max="10" width="7.42578125" style="522" customWidth="1"/>
    <col min="11" max="11" width="4.140625" customWidth="1"/>
    <col min="12" max="14" width="8.5703125" customWidth="1"/>
    <col min="15" max="15" width="7.42578125" style="522" customWidth="1"/>
    <col min="16" max="16" width="4.140625" customWidth="1"/>
    <col min="17" max="19" width="8.5703125" customWidth="1"/>
    <col min="20" max="20" width="7.42578125" style="522" customWidth="1"/>
    <col min="21" max="21" width="4.140625" customWidth="1"/>
    <col min="22" max="24" width="8.5703125" customWidth="1"/>
    <col min="25" max="25" width="7.42578125" style="522" customWidth="1"/>
    <col min="26" max="26" width="4.140625" customWidth="1"/>
    <col min="27" max="29" width="8.5703125" customWidth="1"/>
    <col min="30" max="30" width="7.42578125" style="522" customWidth="1"/>
    <col min="31" max="31" width="4.140625" customWidth="1"/>
    <col min="32" max="34" width="8.5703125" customWidth="1"/>
    <col min="35" max="35" width="7.42578125" style="522" customWidth="1"/>
    <col min="36" max="36" width="4.140625" customWidth="1"/>
    <col min="37" max="39" width="8.5703125" customWidth="1"/>
    <col min="40" max="40" width="7.42578125" style="522" customWidth="1"/>
    <col min="41" max="41" width="4.140625" customWidth="1"/>
    <col min="42" max="42" width="10.140625" customWidth="1"/>
    <col min="43" max="44" width="8.5703125" customWidth="1"/>
    <col min="45" max="45" width="7.42578125" style="522" customWidth="1"/>
    <col min="46" max="46" width="4.140625" customWidth="1"/>
    <col min="47" max="49" width="8.5703125" customWidth="1"/>
    <col min="50" max="50" width="7.42578125" style="522" customWidth="1"/>
    <col min="51" max="51" width="4.140625" customWidth="1"/>
    <col min="52" max="54" width="8.5703125" customWidth="1"/>
    <col min="55" max="55" width="7.42578125" style="522" customWidth="1"/>
    <col min="56" max="56" width="4.140625" customWidth="1"/>
    <col min="57" max="59" width="8.5703125" customWidth="1"/>
    <col min="60" max="60" width="7.42578125" style="522" customWidth="1"/>
    <col min="61" max="61" width="4.140625" customWidth="1"/>
    <col min="62" max="64" width="8.5703125" customWidth="1"/>
    <col min="65" max="65" width="7.42578125" style="522" customWidth="1"/>
    <col min="66" max="66" width="4.140625" customWidth="1"/>
    <col min="67" max="69" width="8.5703125" customWidth="1"/>
    <col min="70" max="70" width="7.42578125" style="522" customWidth="1"/>
    <col min="71" max="71" width="4.140625" customWidth="1"/>
    <col min="72" max="74" width="8.5703125" customWidth="1"/>
    <col min="75" max="75" width="7.42578125" style="522" customWidth="1"/>
    <col min="76" max="76" width="4.140625" customWidth="1"/>
    <col min="77" max="79" width="8.5703125" customWidth="1"/>
    <col min="80" max="80" width="7.42578125" style="522" customWidth="1"/>
    <col min="81" max="81" width="1" customWidth="1"/>
    <col min="82" max="82" width="56.7109375" customWidth="1"/>
    <col min="83" max="83" width="13" customWidth="1"/>
    <col min="84" max="84" width="7" customWidth="1"/>
  </cols>
  <sheetData>
    <row r="1" spans="1:93" ht="265.5" customHeight="1" thickBot="1" x14ac:dyDescent="0.35"/>
    <row r="2" spans="1:93" ht="57" customHeight="1" thickTop="1" x14ac:dyDescent="0.25">
      <c r="A2" s="645" t="s">
        <v>110</v>
      </c>
      <c r="B2" s="646"/>
      <c r="C2" s="1260">
        <f>B7/((36*3.1415/59)*(44/3.281))</f>
        <v>0</v>
      </c>
      <c r="D2" s="1260"/>
      <c r="E2" s="1261"/>
      <c r="F2" s="645" t="s">
        <v>110</v>
      </c>
      <c r="G2" s="646"/>
      <c r="H2" s="1260">
        <f t="shared" ref="H2" si="0">G7/((36*3.1415/59)*(44/3.281))</f>
        <v>0</v>
      </c>
      <c r="I2" s="1260"/>
      <c r="J2" s="1261"/>
      <c r="K2" s="645" t="s">
        <v>110</v>
      </c>
      <c r="L2" s="646"/>
      <c r="M2" s="1260">
        <f t="shared" ref="M2" si="1">L7/((36*3.1415/59)*(44/3.281))</f>
        <v>0</v>
      </c>
      <c r="N2" s="1260"/>
      <c r="O2" s="1261"/>
      <c r="P2" s="645" t="s">
        <v>110</v>
      </c>
      <c r="Q2" s="646"/>
      <c r="R2" s="1260">
        <f t="shared" ref="R2" si="2">Q7/((36*3.1415/59)*(44/3.281))</f>
        <v>0</v>
      </c>
      <c r="S2" s="1260"/>
      <c r="T2" s="1261"/>
      <c r="U2" s="645" t="s">
        <v>110</v>
      </c>
      <c r="V2" s="646"/>
      <c r="W2" s="1260">
        <f t="shared" ref="W2" si="3">V7/((36*3.1415/59)*(44/3.281))</f>
        <v>0</v>
      </c>
      <c r="X2" s="1260"/>
      <c r="Y2" s="1261"/>
      <c r="Z2" s="645" t="s">
        <v>110</v>
      </c>
      <c r="AA2" s="646"/>
      <c r="AB2" s="1260">
        <f t="shared" ref="AB2" si="4">AA7/((36*3.1415/59)*(44/3.281))</f>
        <v>0</v>
      </c>
      <c r="AC2" s="1260"/>
      <c r="AD2" s="1261"/>
      <c r="AE2" s="645" t="s">
        <v>110</v>
      </c>
      <c r="AF2" s="646"/>
      <c r="AG2" s="1260">
        <f t="shared" ref="AG2" si="5">AF7/((36*3.1415/59)*(44/3.281))</f>
        <v>0</v>
      </c>
      <c r="AH2" s="1260"/>
      <c r="AI2" s="1261"/>
      <c r="AJ2" s="645" t="s">
        <v>110</v>
      </c>
      <c r="AK2" s="646"/>
      <c r="AL2" s="1260">
        <f t="shared" ref="AL2" si="6">AK7/((36*3.1415/59)*(44/3.281))</f>
        <v>0</v>
      </c>
      <c r="AM2" s="1260"/>
      <c r="AN2" s="1261"/>
      <c r="AO2" s="645" t="s">
        <v>110</v>
      </c>
      <c r="AP2" s="646"/>
      <c r="AQ2" s="1260">
        <f t="shared" ref="AQ2" si="7">AP7/((36*3.1415/59)*(44/3.281))</f>
        <v>0</v>
      </c>
      <c r="AR2" s="1260"/>
      <c r="AS2" s="1261"/>
      <c r="AT2" s="630" t="s">
        <v>110</v>
      </c>
      <c r="AU2" s="631"/>
      <c r="AV2" s="3026">
        <f>AU7/((36*3.1415/59)*(45/3.281))</f>
        <v>0</v>
      </c>
      <c r="AW2" s="3026"/>
      <c r="AX2" s="3027"/>
      <c r="AY2" s="630" t="s">
        <v>110</v>
      </c>
      <c r="AZ2" s="631"/>
      <c r="BA2" s="3026">
        <f t="shared" ref="BA2" si="8">AZ7/((36*3.1415/59)*(45/3.281))</f>
        <v>0</v>
      </c>
      <c r="BB2" s="3026"/>
      <c r="BC2" s="3027"/>
      <c r="BD2" s="630" t="s">
        <v>110</v>
      </c>
      <c r="BE2" s="631"/>
      <c r="BF2" s="3026">
        <f t="shared" ref="BF2" si="9">BE7/((36*3.1415/59)*(45/3.281))</f>
        <v>0</v>
      </c>
      <c r="BG2" s="3026"/>
      <c r="BH2" s="3027"/>
      <c r="BI2" s="630" t="s">
        <v>110</v>
      </c>
      <c r="BJ2" s="631"/>
      <c r="BK2" s="3026">
        <f t="shared" ref="BK2" si="10">BJ7/((36*3.1415/59)*(45/3.281))</f>
        <v>0</v>
      </c>
      <c r="BL2" s="3026"/>
      <c r="BM2" s="3027"/>
      <c r="BN2" s="630" t="s">
        <v>110</v>
      </c>
      <c r="BO2" s="631"/>
      <c r="BP2" s="3026">
        <f t="shared" ref="BP2" si="11">BO7/((36*3.1415/59)*(45/3.281))</f>
        <v>0</v>
      </c>
      <c r="BQ2" s="3026"/>
      <c r="BR2" s="3027"/>
      <c r="BS2" s="630" t="s">
        <v>110</v>
      </c>
      <c r="BT2" s="631"/>
      <c r="BU2" s="3026">
        <f t="shared" ref="BU2" si="12">BT7/((36*3.1415/59)*(45/3.281))</f>
        <v>0</v>
      </c>
      <c r="BV2" s="3026"/>
      <c r="BW2" s="3027"/>
      <c r="BX2" s="630" t="s">
        <v>110</v>
      </c>
      <c r="BY2" s="631"/>
      <c r="BZ2" s="3026">
        <f t="shared" ref="BZ2" si="13">BY7/((36*3.1415/59)*(45/3.281))</f>
        <v>0</v>
      </c>
      <c r="CA2" s="3026"/>
      <c r="CB2" s="3027"/>
    </row>
    <row r="3" spans="1:93" ht="11.25" customHeight="1" x14ac:dyDescent="0.25">
      <c r="A3" s="3034" t="s">
        <v>25</v>
      </c>
      <c r="B3" s="3035"/>
      <c r="C3" s="3035"/>
      <c r="D3" s="3028" t="s">
        <v>706</v>
      </c>
      <c r="E3" s="3029"/>
      <c r="F3" s="3034" t="s">
        <v>25</v>
      </c>
      <c r="G3" s="3035"/>
      <c r="H3" s="3035"/>
      <c r="I3" s="3028" t="s">
        <v>706</v>
      </c>
      <c r="J3" s="3029"/>
      <c r="K3" s="3034" t="s">
        <v>25</v>
      </c>
      <c r="L3" s="3035"/>
      <c r="M3" s="3035"/>
      <c r="N3" s="3028" t="s">
        <v>706</v>
      </c>
      <c r="O3" s="3029"/>
      <c r="P3" s="3034" t="s">
        <v>25</v>
      </c>
      <c r="Q3" s="3035"/>
      <c r="R3" s="3035"/>
      <c r="S3" s="3028" t="s">
        <v>706</v>
      </c>
      <c r="T3" s="3029"/>
      <c r="U3" s="3034" t="s">
        <v>25</v>
      </c>
      <c r="V3" s="3035"/>
      <c r="W3" s="3035"/>
      <c r="X3" s="3028" t="s">
        <v>706</v>
      </c>
      <c r="Y3" s="3029"/>
      <c r="Z3" s="3034" t="s">
        <v>25</v>
      </c>
      <c r="AA3" s="3035"/>
      <c r="AB3" s="3035"/>
      <c r="AC3" s="3028" t="s">
        <v>706</v>
      </c>
      <c r="AD3" s="3029"/>
      <c r="AE3" s="3034" t="s">
        <v>25</v>
      </c>
      <c r="AF3" s="3035"/>
      <c r="AG3" s="3035"/>
      <c r="AH3" s="3028" t="s">
        <v>706</v>
      </c>
      <c r="AI3" s="3029"/>
      <c r="AJ3" s="3034" t="s">
        <v>25</v>
      </c>
      <c r="AK3" s="3035"/>
      <c r="AL3" s="3035"/>
      <c r="AM3" s="3028" t="s">
        <v>706</v>
      </c>
      <c r="AN3" s="3029"/>
      <c r="AO3" s="3034" t="s">
        <v>25</v>
      </c>
      <c r="AP3" s="3035"/>
      <c r="AQ3" s="3035"/>
      <c r="AR3" s="3028" t="s">
        <v>706</v>
      </c>
      <c r="AS3" s="3029"/>
      <c r="AT3" s="3014" t="s">
        <v>25</v>
      </c>
      <c r="AU3" s="3015"/>
      <c r="AV3" s="3015"/>
      <c r="AW3" s="3008" t="s">
        <v>706</v>
      </c>
      <c r="AX3" s="3009"/>
      <c r="AY3" s="3014" t="s">
        <v>25</v>
      </c>
      <c r="AZ3" s="3015"/>
      <c r="BA3" s="3015"/>
      <c r="BB3" s="3008" t="s">
        <v>706</v>
      </c>
      <c r="BC3" s="3009"/>
      <c r="BD3" s="3014" t="s">
        <v>25</v>
      </c>
      <c r="BE3" s="3015"/>
      <c r="BF3" s="3015"/>
      <c r="BG3" s="3008" t="s">
        <v>706</v>
      </c>
      <c r="BH3" s="3009"/>
      <c r="BI3" s="3014" t="s">
        <v>25</v>
      </c>
      <c r="BJ3" s="3015"/>
      <c r="BK3" s="3015"/>
      <c r="BL3" s="3008" t="s">
        <v>706</v>
      </c>
      <c r="BM3" s="3009"/>
      <c r="BN3" s="3014" t="s">
        <v>25</v>
      </c>
      <c r="BO3" s="3015"/>
      <c r="BP3" s="3015"/>
      <c r="BQ3" s="3008" t="s">
        <v>706</v>
      </c>
      <c r="BR3" s="3009"/>
      <c r="BS3" s="3014" t="s">
        <v>25</v>
      </c>
      <c r="BT3" s="3015"/>
      <c r="BU3" s="3015"/>
      <c r="BV3" s="3008" t="s">
        <v>706</v>
      </c>
      <c r="BW3" s="3009"/>
      <c r="BX3" s="3014" t="s">
        <v>25</v>
      </c>
      <c r="BY3" s="3015"/>
      <c r="BZ3" s="3015"/>
      <c r="CA3" s="3008" t="s">
        <v>706</v>
      </c>
      <c r="CB3" s="3009"/>
    </row>
    <row r="4" spans="1:93" ht="11.25" customHeight="1" x14ac:dyDescent="0.25">
      <c r="A4" s="3036"/>
      <c r="B4" s="3037"/>
      <c r="C4" s="3037"/>
      <c r="D4" s="3030"/>
      <c r="E4" s="3031"/>
      <c r="F4" s="3036"/>
      <c r="G4" s="3037"/>
      <c r="H4" s="3037"/>
      <c r="I4" s="3030"/>
      <c r="J4" s="3031"/>
      <c r="K4" s="3036"/>
      <c r="L4" s="3037"/>
      <c r="M4" s="3037"/>
      <c r="N4" s="3030"/>
      <c r="O4" s="3031"/>
      <c r="P4" s="3036"/>
      <c r="Q4" s="3037"/>
      <c r="R4" s="3037"/>
      <c r="S4" s="3030"/>
      <c r="T4" s="3031"/>
      <c r="U4" s="3036"/>
      <c r="V4" s="3037"/>
      <c r="W4" s="3037"/>
      <c r="X4" s="3030"/>
      <c r="Y4" s="3031"/>
      <c r="Z4" s="3036"/>
      <c r="AA4" s="3037"/>
      <c r="AB4" s="3037"/>
      <c r="AC4" s="3030"/>
      <c r="AD4" s="3031"/>
      <c r="AE4" s="3036"/>
      <c r="AF4" s="3037"/>
      <c r="AG4" s="3037"/>
      <c r="AH4" s="3030"/>
      <c r="AI4" s="3031"/>
      <c r="AJ4" s="3036"/>
      <c r="AK4" s="3037"/>
      <c r="AL4" s="3037"/>
      <c r="AM4" s="3030"/>
      <c r="AN4" s="3031"/>
      <c r="AO4" s="3036"/>
      <c r="AP4" s="3037"/>
      <c r="AQ4" s="3037"/>
      <c r="AR4" s="3030"/>
      <c r="AS4" s="3031"/>
      <c r="AT4" s="3016"/>
      <c r="AU4" s="3017"/>
      <c r="AV4" s="3017"/>
      <c r="AW4" s="3010"/>
      <c r="AX4" s="3011"/>
      <c r="AY4" s="3016"/>
      <c r="AZ4" s="3017"/>
      <c r="BA4" s="3017"/>
      <c r="BB4" s="3010"/>
      <c r="BC4" s="3011"/>
      <c r="BD4" s="3016"/>
      <c r="BE4" s="3017"/>
      <c r="BF4" s="3017"/>
      <c r="BG4" s="3010"/>
      <c r="BH4" s="3011"/>
      <c r="BI4" s="3016"/>
      <c r="BJ4" s="3017"/>
      <c r="BK4" s="3017"/>
      <c r="BL4" s="3010"/>
      <c r="BM4" s="3011"/>
      <c r="BN4" s="3016"/>
      <c r="BO4" s="3017"/>
      <c r="BP4" s="3017"/>
      <c r="BQ4" s="3010"/>
      <c r="BR4" s="3011"/>
      <c r="BS4" s="3016"/>
      <c r="BT4" s="3017"/>
      <c r="BU4" s="3017"/>
      <c r="BV4" s="3010"/>
      <c r="BW4" s="3011"/>
      <c r="BX4" s="3016"/>
      <c r="BY4" s="3017"/>
      <c r="BZ4" s="3017"/>
      <c r="CA4" s="3010"/>
      <c r="CB4" s="3011"/>
    </row>
    <row r="5" spans="1:93" ht="11.25" customHeight="1" x14ac:dyDescent="0.25">
      <c r="A5" s="3038"/>
      <c r="B5" s="3039"/>
      <c r="C5" s="3039"/>
      <c r="D5" s="3032"/>
      <c r="E5" s="3033"/>
      <c r="F5" s="3038"/>
      <c r="G5" s="3039"/>
      <c r="H5" s="3039"/>
      <c r="I5" s="3032"/>
      <c r="J5" s="3033"/>
      <c r="K5" s="3038"/>
      <c r="L5" s="3039"/>
      <c r="M5" s="3039"/>
      <c r="N5" s="3032"/>
      <c r="O5" s="3033"/>
      <c r="P5" s="3038"/>
      <c r="Q5" s="3039"/>
      <c r="R5" s="3039"/>
      <c r="S5" s="3032"/>
      <c r="T5" s="3033"/>
      <c r="U5" s="3038"/>
      <c r="V5" s="3039"/>
      <c r="W5" s="3039"/>
      <c r="X5" s="3032"/>
      <c r="Y5" s="3033"/>
      <c r="Z5" s="3038"/>
      <c r="AA5" s="3039"/>
      <c r="AB5" s="3039"/>
      <c r="AC5" s="3032"/>
      <c r="AD5" s="3033"/>
      <c r="AE5" s="3038"/>
      <c r="AF5" s="3039"/>
      <c r="AG5" s="3039"/>
      <c r="AH5" s="3032"/>
      <c r="AI5" s="3033"/>
      <c r="AJ5" s="3038"/>
      <c r="AK5" s="3039"/>
      <c r="AL5" s="3039"/>
      <c r="AM5" s="3032"/>
      <c r="AN5" s="3033"/>
      <c r="AO5" s="3038"/>
      <c r="AP5" s="3039"/>
      <c r="AQ5" s="3039"/>
      <c r="AR5" s="3032"/>
      <c r="AS5" s="3033"/>
      <c r="AT5" s="3018"/>
      <c r="AU5" s="3019"/>
      <c r="AV5" s="3019"/>
      <c r="AW5" s="3012"/>
      <c r="AX5" s="3013"/>
      <c r="AY5" s="3018"/>
      <c r="AZ5" s="3019"/>
      <c r="BA5" s="3019"/>
      <c r="BB5" s="3012"/>
      <c r="BC5" s="3013"/>
      <c r="BD5" s="3018"/>
      <c r="BE5" s="3019"/>
      <c r="BF5" s="3019"/>
      <c r="BG5" s="3012"/>
      <c r="BH5" s="3013"/>
      <c r="BI5" s="3018"/>
      <c r="BJ5" s="3019"/>
      <c r="BK5" s="3019"/>
      <c r="BL5" s="3012"/>
      <c r="BM5" s="3013"/>
      <c r="BN5" s="3018"/>
      <c r="BO5" s="3019"/>
      <c r="BP5" s="3019"/>
      <c r="BQ5" s="3012"/>
      <c r="BR5" s="3013"/>
      <c r="BS5" s="3018"/>
      <c r="BT5" s="3019"/>
      <c r="BU5" s="3019"/>
      <c r="BV5" s="3012"/>
      <c r="BW5" s="3013"/>
      <c r="BX5" s="3018"/>
      <c r="BY5" s="3019"/>
      <c r="BZ5" s="3019"/>
      <c r="CA5" s="3012"/>
      <c r="CB5" s="3013"/>
    </row>
    <row r="6" spans="1:93" s="22" customFormat="1" ht="111.75" customHeight="1" x14ac:dyDescent="1.35">
      <c r="A6" s="639" t="s">
        <v>705</v>
      </c>
      <c r="B6" s="2845"/>
      <c r="C6" s="2846"/>
      <c r="D6" s="2846"/>
      <c r="E6" s="2847"/>
      <c r="F6" s="639" t="s">
        <v>705</v>
      </c>
      <c r="G6" s="2845"/>
      <c r="H6" s="2846"/>
      <c r="I6" s="2846"/>
      <c r="J6" s="2847"/>
      <c r="K6" s="639" t="s">
        <v>705</v>
      </c>
      <c r="L6" s="2845"/>
      <c r="M6" s="2846"/>
      <c r="N6" s="2846"/>
      <c r="O6" s="2847"/>
      <c r="P6" s="639" t="s">
        <v>705</v>
      </c>
      <c r="Q6" s="2845"/>
      <c r="R6" s="2846"/>
      <c r="S6" s="2846"/>
      <c r="T6" s="2847"/>
      <c r="U6" s="639" t="s">
        <v>705</v>
      </c>
      <c r="V6" s="2845"/>
      <c r="W6" s="2846"/>
      <c r="X6" s="2846"/>
      <c r="Y6" s="2847"/>
      <c r="Z6" s="639" t="s">
        <v>705</v>
      </c>
      <c r="AA6" s="2845"/>
      <c r="AB6" s="2846"/>
      <c r="AC6" s="2846"/>
      <c r="AD6" s="2847"/>
      <c r="AE6" s="639" t="s">
        <v>705</v>
      </c>
      <c r="AF6" s="2845"/>
      <c r="AG6" s="2846"/>
      <c r="AH6" s="2846"/>
      <c r="AI6" s="2847"/>
      <c r="AJ6" s="639" t="s">
        <v>705</v>
      </c>
      <c r="AK6" s="2845"/>
      <c r="AL6" s="2846"/>
      <c r="AM6" s="2846"/>
      <c r="AN6" s="2847"/>
      <c r="AO6" s="639" t="s">
        <v>705</v>
      </c>
      <c r="AP6" s="2845"/>
      <c r="AQ6" s="2846"/>
      <c r="AR6" s="2846"/>
      <c r="AS6" s="2847"/>
      <c r="AT6" s="634" t="s">
        <v>133</v>
      </c>
      <c r="AU6" s="2845"/>
      <c r="AV6" s="2846"/>
      <c r="AW6" s="2846"/>
      <c r="AX6" s="2847"/>
      <c r="AY6" s="634" t="s">
        <v>133</v>
      </c>
      <c r="AZ6" s="2845"/>
      <c r="BA6" s="2846"/>
      <c r="BB6" s="2846"/>
      <c r="BC6" s="2847"/>
      <c r="BD6" s="634" t="s">
        <v>133</v>
      </c>
      <c r="BE6" s="2845"/>
      <c r="BF6" s="2846"/>
      <c r="BG6" s="2846"/>
      <c r="BH6" s="2847"/>
      <c r="BI6" s="634" t="s">
        <v>133</v>
      </c>
      <c r="BJ6" s="2845"/>
      <c r="BK6" s="2846"/>
      <c r="BL6" s="2846"/>
      <c r="BM6" s="2847"/>
      <c r="BN6" s="634" t="s">
        <v>133</v>
      </c>
      <c r="BO6" s="2845"/>
      <c r="BP6" s="2846"/>
      <c r="BQ6" s="2846"/>
      <c r="BR6" s="2847"/>
      <c r="BS6" s="634" t="s">
        <v>133</v>
      </c>
      <c r="BT6" s="2845"/>
      <c r="BU6" s="2846"/>
      <c r="BV6" s="2846"/>
      <c r="BW6" s="2847"/>
      <c r="BX6" s="634" t="s">
        <v>133</v>
      </c>
      <c r="BY6" s="2845"/>
      <c r="BZ6" s="2846"/>
      <c r="CA6" s="2846"/>
      <c r="CB6" s="2847"/>
    </row>
    <row r="7" spans="1:93" ht="50.25" customHeight="1" thickBot="1" x14ac:dyDescent="0.3">
      <c r="A7" s="640"/>
      <c r="B7" s="518"/>
      <c r="C7" s="519" t="s">
        <v>113</v>
      </c>
      <c r="D7" s="520"/>
      <c r="E7" s="523" t="s">
        <v>114</v>
      </c>
      <c r="F7" s="640"/>
      <c r="G7" s="518"/>
      <c r="H7" s="519" t="s">
        <v>113</v>
      </c>
      <c r="I7" s="520"/>
      <c r="J7" s="523" t="s">
        <v>114</v>
      </c>
      <c r="K7" s="640"/>
      <c r="L7" s="518"/>
      <c r="M7" s="519" t="s">
        <v>113</v>
      </c>
      <c r="N7" s="520"/>
      <c r="O7" s="523" t="s">
        <v>114</v>
      </c>
      <c r="P7" s="640"/>
      <c r="Q7" s="518"/>
      <c r="R7" s="519" t="s">
        <v>113</v>
      </c>
      <c r="S7" s="520"/>
      <c r="T7" s="523" t="s">
        <v>114</v>
      </c>
      <c r="U7" s="640"/>
      <c r="V7" s="518"/>
      <c r="W7" s="519" t="s">
        <v>113</v>
      </c>
      <c r="X7" s="520"/>
      <c r="Y7" s="523" t="s">
        <v>114</v>
      </c>
      <c r="Z7" s="640"/>
      <c r="AA7" s="518"/>
      <c r="AB7" s="519" t="s">
        <v>113</v>
      </c>
      <c r="AC7" s="520"/>
      <c r="AD7" s="523" t="s">
        <v>114</v>
      </c>
      <c r="AE7" s="640"/>
      <c r="AF7" s="518"/>
      <c r="AG7" s="519" t="s">
        <v>113</v>
      </c>
      <c r="AH7" s="520"/>
      <c r="AI7" s="523" t="s">
        <v>114</v>
      </c>
      <c r="AJ7" s="640"/>
      <c r="AK7" s="518"/>
      <c r="AL7" s="519" t="s">
        <v>113</v>
      </c>
      <c r="AM7" s="520"/>
      <c r="AN7" s="523" t="s">
        <v>114</v>
      </c>
      <c r="AO7" s="640"/>
      <c r="AP7" s="518"/>
      <c r="AQ7" s="519" t="s">
        <v>113</v>
      </c>
      <c r="AR7" s="520"/>
      <c r="AS7" s="523" t="s">
        <v>114</v>
      </c>
      <c r="AT7" s="635"/>
      <c r="AU7" s="518"/>
      <c r="AV7" s="519" t="s">
        <v>113</v>
      </c>
      <c r="AW7" s="520"/>
      <c r="AX7" s="523" t="s">
        <v>114</v>
      </c>
      <c r="AY7" s="635"/>
      <c r="AZ7" s="518"/>
      <c r="BA7" s="519" t="s">
        <v>113</v>
      </c>
      <c r="BB7" s="520"/>
      <c r="BC7" s="523" t="s">
        <v>114</v>
      </c>
      <c r="BD7" s="635"/>
      <c r="BE7" s="518"/>
      <c r="BF7" s="519" t="s">
        <v>113</v>
      </c>
      <c r="BG7" s="520"/>
      <c r="BH7" s="523" t="s">
        <v>114</v>
      </c>
      <c r="BI7" s="635"/>
      <c r="BJ7" s="518"/>
      <c r="BK7" s="519" t="s">
        <v>113</v>
      </c>
      <c r="BL7" s="520"/>
      <c r="BM7" s="523" t="s">
        <v>114</v>
      </c>
      <c r="BN7" s="635"/>
      <c r="BO7" s="518"/>
      <c r="BP7" s="519" t="s">
        <v>113</v>
      </c>
      <c r="BQ7" s="520"/>
      <c r="BR7" s="523" t="s">
        <v>114</v>
      </c>
      <c r="BS7" s="635"/>
      <c r="BT7" s="518"/>
      <c r="BU7" s="519" t="s">
        <v>113</v>
      </c>
      <c r="BV7" s="520"/>
      <c r="BW7" s="523" t="s">
        <v>114</v>
      </c>
      <c r="BX7" s="635"/>
      <c r="BY7" s="518"/>
      <c r="BZ7" s="519" t="s">
        <v>113</v>
      </c>
      <c r="CA7" s="520"/>
      <c r="CB7" s="523" t="s">
        <v>114</v>
      </c>
      <c r="CG7" s="27"/>
      <c r="CH7" s="27"/>
      <c r="CI7" s="27"/>
      <c r="CJ7" s="27"/>
      <c r="CK7" s="27"/>
      <c r="CL7" s="27"/>
      <c r="CM7" s="27"/>
      <c r="CN7" s="27"/>
      <c r="CO7" s="27"/>
    </row>
    <row r="8" spans="1:93" ht="57" customHeight="1" thickTop="1" x14ac:dyDescent="0.25">
      <c r="A8" s="630" t="s">
        <v>110</v>
      </c>
      <c r="B8" s="631"/>
      <c r="C8" s="3026">
        <f t="shared" ref="C8" si="14">B13/((36*3.1415/59)*(45/3.281))</f>
        <v>0</v>
      </c>
      <c r="D8" s="3026"/>
      <c r="E8" s="3027"/>
      <c r="F8" s="630" t="s">
        <v>110</v>
      </c>
      <c r="G8" s="631"/>
      <c r="H8" s="3026">
        <f t="shared" ref="H8" si="15">G13/((36*3.1415/59)*(45/3.281))</f>
        <v>0</v>
      </c>
      <c r="I8" s="3026"/>
      <c r="J8" s="3027"/>
      <c r="K8" s="630" t="s">
        <v>110</v>
      </c>
      <c r="L8" s="631"/>
      <c r="M8" s="3026">
        <f t="shared" ref="M8" si="16">L13/((36*3.1415/59)*(45/3.281))</f>
        <v>0</v>
      </c>
      <c r="N8" s="3026"/>
      <c r="O8" s="3027"/>
      <c r="P8" s="630" t="s">
        <v>110</v>
      </c>
      <c r="Q8" s="631"/>
      <c r="R8" s="3026">
        <f t="shared" ref="R8" si="17">Q13/((36*3.1415/59)*(45/3.281))</f>
        <v>0</v>
      </c>
      <c r="S8" s="3026"/>
      <c r="T8" s="3027"/>
      <c r="U8" s="630" t="s">
        <v>110</v>
      </c>
      <c r="V8" s="631"/>
      <c r="W8" s="3026">
        <f t="shared" ref="W8" si="18">V13/((36*3.1415/59)*(45/3.281))</f>
        <v>0</v>
      </c>
      <c r="X8" s="3026"/>
      <c r="Y8" s="3027"/>
      <c r="Z8" s="630" t="s">
        <v>110</v>
      </c>
      <c r="AA8" s="631"/>
      <c r="AB8" s="3026">
        <f t="shared" ref="AB8" si="19">AA13/((36*3.1415/59)*(45/3.281))</f>
        <v>0</v>
      </c>
      <c r="AC8" s="3026"/>
      <c r="AD8" s="3027"/>
      <c r="AE8" s="630" t="s">
        <v>110</v>
      </c>
      <c r="AF8" s="631"/>
      <c r="AG8" s="3026">
        <f t="shared" ref="AG8" si="20">AF13/((36*3.1415/59)*(45/3.281))</f>
        <v>0</v>
      </c>
      <c r="AH8" s="3026"/>
      <c r="AI8" s="3027"/>
      <c r="AJ8" s="630" t="s">
        <v>110</v>
      </c>
      <c r="AK8" s="631"/>
      <c r="AL8" s="3026">
        <f t="shared" ref="AL8" si="21">AK13/((36*3.1415/59)*(45/3.281))</f>
        <v>0</v>
      </c>
      <c r="AM8" s="3026"/>
      <c r="AN8" s="3027"/>
      <c r="AO8" s="630" t="s">
        <v>110</v>
      </c>
      <c r="AP8" s="631"/>
      <c r="AQ8" s="3026">
        <f t="shared" ref="AQ8" si="22">AP13/((36*3.1415/59)*(45/3.281))</f>
        <v>0</v>
      </c>
      <c r="AR8" s="3026"/>
      <c r="AS8" s="3027"/>
      <c r="AT8" s="630" t="s">
        <v>110</v>
      </c>
      <c r="AU8" s="631"/>
      <c r="AV8" s="3026">
        <f t="shared" ref="AV8" si="23">AU13/((36*3.1415/59)*(45/3.281))</f>
        <v>0</v>
      </c>
      <c r="AW8" s="3026"/>
      <c r="AX8" s="3027"/>
      <c r="AY8" s="630" t="s">
        <v>110</v>
      </c>
      <c r="AZ8" s="631"/>
      <c r="BA8" s="3026">
        <f t="shared" ref="BA8" si="24">AZ13/((36*3.1415/59)*(45/3.281))</f>
        <v>0</v>
      </c>
      <c r="BB8" s="3026"/>
      <c r="BC8" s="3027"/>
      <c r="BD8" s="630" t="s">
        <v>110</v>
      </c>
      <c r="BE8" s="631"/>
      <c r="BF8" s="3026">
        <f t="shared" ref="BF8" si="25">BE13/((36*3.1415/59)*(45/3.281))</f>
        <v>0</v>
      </c>
      <c r="BG8" s="3026"/>
      <c r="BH8" s="3027"/>
      <c r="BI8" s="630" t="s">
        <v>110</v>
      </c>
      <c r="BJ8" s="631"/>
      <c r="BK8" s="3026">
        <f t="shared" ref="BK8" si="26">BJ13/((36*3.1415/59)*(45/3.281))</f>
        <v>0</v>
      </c>
      <c r="BL8" s="3026"/>
      <c r="BM8" s="3027"/>
      <c r="BN8" s="630" t="s">
        <v>110</v>
      </c>
      <c r="BO8" s="631"/>
      <c r="BP8" s="3026">
        <f t="shared" ref="BP8" si="27">BO13/((36*3.1415/59)*(45/3.281))</f>
        <v>0</v>
      </c>
      <c r="BQ8" s="3026"/>
      <c r="BR8" s="3027"/>
      <c r="BS8" s="630" t="s">
        <v>110</v>
      </c>
      <c r="BT8" s="631"/>
      <c r="BU8" s="3026">
        <f t="shared" ref="BU8" si="28">BT13/((36*3.1415/59)*(45/3.281))</f>
        <v>0</v>
      </c>
      <c r="BV8" s="3026"/>
      <c r="BW8" s="3027"/>
      <c r="BX8" s="630" t="s">
        <v>110</v>
      </c>
      <c r="BY8" s="631"/>
      <c r="BZ8" s="3026">
        <f t="shared" ref="BZ8" si="29">BY13/((36*3.1415/59)*(45/3.281))</f>
        <v>0</v>
      </c>
      <c r="CA8" s="3026"/>
      <c r="CB8" s="3027"/>
    </row>
    <row r="9" spans="1:93" ht="11.25" customHeight="1" x14ac:dyDescent="0.25">
      <c r="A9" s="3014" t="s">
        <v>25</v>
      </c>
      <c r="B9" s="3015"/>
      <c r="C9" s="3015"/>
      <c r="D9" s="3008" t="s">
        <v>706</v>
      </c>
      <c r="E9" s="3009"/>
      <c r="F9" s="3014" t="s">
        <v>25</v>
      </c>
      <c r="G9" s="3015"/>
      <c r="H9" s="3015"/>
      <c r="I9" s="3008" t="s">
        <v>706</v>
      </c>
      <c r="J9" s="3009"/>
      <c r="K9" s="3014" t="s">
        <v>25</v>
      </c>
      <c r="L9" s="3015"/>
      <c r="M9" s="3015"/>
      <c r="N9" s="3008" t="s">
        <v>706</v>
      </c>
      <c r="O9" s="3009"/>
      <c r="P9" s="3014" t="s">
        <v>25</v>
      </c>
      <c r="Q9" s="3015"/>
      <c r="R9" s="3015"/>
      <c r="S9" s="3008" t="s">
        <v>706</v>
      </c>
      <c r="T9" s="3009"/>
      <c r="U9" s="3014" t="s">
        <v>25</v>
      </c>
      <c r="V9" s="3015"/>
      <c r="W9" s="3015"/>
      <c r="X9" s="3008" t="s">
        <v>706</v>
      </c>
      <c r="Y9" s="3009"/>
      <c r="Z9" s="3014" t="s">
        <v>25</v>
      </c>
      <c r="AA9" s="3015"/>
      <c r="AB9" s="3015"/>
      <c r="AC9" s="3008" t="s">
        <v>706</v>
      </c>
      <c r="AD9" s="3009"/>
      <c r="AE9" s="3014" t="s">
        <v>25</v>
      </c>
      <c r="AF9" s="3015"/>
      <c r="AG9" s="3015"/>
      <c r="AH9" s="3008" t="s">
        <v>706</v>
      </c>
      <c r="AI9" s="3009"/>
      <c r="AJ9" s="3014" t="s">
        <v>25</v>
      </c>
      <c r="AK9" s="3015"/>
      <c r="AL9" s="3015"/>
      <c r="AM9" s="3008" t="s">
        <v>706</v>
      </c>
      <c r="AN9" s="3009"/>
      <c r="AO9" s="3014" t="s">
        <v>25</v>
      </c>
      <c r="AP9" s="3015"/>
      <c r="AQ9" s="3015"/>
      <c r="AR9" s="3008" t="s">
        <v>706</v>
      </c>
      <c r="AS9" s="3009"/>
      <c r="AT9" s="3014" t="s">
        <v>25</v>
      </c>
      <c r="AU9" s="3015"/>
      <c r="AV9" s="3015"/>
      <c r="AW9" s="3008" t="s">
        <v>706</v>
      </c>
      <c r="AX9" s="3009"/>
      <c r="AY9" s="3014" t="s">
        <v>25</v>
      </c>
      <c r="AZ9" s="3015"/>
      <c r="BA9" s="3015"/>
      <c r="BB9" s="3008" t="s">
        <v>706</v>
      </c>
      <c r="BC9" s="3009"/>
      <c r="BD9" s="3014" t="s">
        <v>25</v>
      </c>
      <c r="BE9" s="3015"/>
      <c r="BF9" s="3015"/>
      <c r="BG9" s="3008" t="s">
        <v>706</v>
      </c>
      <c r="BH9" s="3009"/>
      <c r="BI9" s="3014" t="s">
        <v>25</v>
      </c>
      <c r="BJ9" s="3015"/>
      <c r="BK9" s="3015"/>
      <c r="BL9" s="3008" t="s">
        <v>706</v>
      </c>
      <c r="BM9" s="3009"/>
      <c r="BN9" s="3014" t="s">
        <v>25</v>
      </c>
      <c r="BO9" s="3015"/>
      <c r="BP9" s="3015"/>
      <c r="BQ9" s="3008" t="s">
        <v>706</v>
      </c>
      <c r="BR9" s="3009"/>
      <c r="BS9" s="3014" t="s">
        <v>25</v>
      </c>
      <c r="BT9" s="3015"/>
      <c r="BU9" s="3015"/>
      <c r="BV9" s="3008" t="s">
        <v>706</v>
      </c>
      <c r="BW9" s="3009"/>
      <c r="BX9" s="3014" t="s">
        <v>25</v>
      </c>
      <c r="BY9" s="3015"/>
      <c r="BZ9" s="3015"/>
      <c r="CA9" s="3008" t="s">
        <v>706</v>
      </c>
      <c r="CB9" s="3009"/>
    </row>
    <row r="10" spans="1:93" ht="11.25" customHeight="1" x14ac:dyDescent="0.25">
      <c r="A10" s="3016"/>
      <c r="B10" s="3017"/>
      <c r="C10" s="3017"/>
      <c r="D10" s="3010"/>
      <c r="E10" s="3011"/>
      <c r="F10" s="3016"/>
      <c r="G10" s="3017"/>
      <c r="H10" s="3017"/>
      <c r="I10" s="3010"/>
      <c r="J10" s="3011"/>
      <c r="K10" s="3016"/>
      <c r="L10" s="3017"/>
      <c r="M10" s="3017"/>
      <c r="N10" s="3010"/>
      <c r="O10" s="3011"/>
      <c r="P10" s="3016"/>
      <c r="Q10" s="3017"/>
      <c r="R10" s="3017"/>
      <c r="S10" s="3010"/>
      <c r="T10" s="3011"/>
      <c r="U10" s="3016"/>
      <c r="V10" s="3017"/>
      <c r="W10" s="3017"/>
      <c r="X10" s="3010"/>
      <c r="Y10" s="3011"/>
      <c r="Z10" s="3016"/>
      <c r="AA10" s="3017"/>
      <c r="AB10" s="3017"/>
      <c r="AC10" s="3010"/>
      <c r="AD10" s="3011"/>
      <c r="AE10" s="3016"/>
      <c r="AF10" s="3017"/>
      <c r="AG10" s="3017"/>
      <c r="AH10" s="3010"/>
      <c r="AI10" s="3011"/>
      <c r="AJ10" s="3016"/>
      <c r="AK10" s="3017"/>
      <c r="AL10" s="3017"/>
      <c r="AM10" s="3010"/>
      <c r="AN10" s="3011"/>
      <c r="AO10" s="3016"/>
      <c r="AP10" s="3017"/>
      <c r="AQ10" s="3017"/>
      <c r="AR10" s="3010"/>
      <c r="AS10" s="3011"/>
      <c r="AT10" s="3016"/>
      <c r="AU10" s="3017"/>
      <c r="AV10" s="3017"/>
      <c r="AW10" s="3010"/>
      <c r="AX10" s="3011"/>
      <c r="AY10" s="3016"/>
      <c r="AZ10" s="3017"/>
      <c r="BA10" s="3017"/>
      <c r="BB10" s="3010"/>
      <c r="BC10" s="3011"/>
      <c r="BD10" s="3016"/>
      <c r="BE10" s="3017"/>
      <c r="BF10" s="3017"/>
      <c r="BG10" s="3010"/>
      <c r="BH10" s="3011"/>
      <c r="BI10" s="3016"/>
      <c r="BJ10" s="3017"/>
      <c r="BK10" s="3017"/>
      <c r="BL10" s="3010"/>
      <c r="BM10" s="3011"/>
      <c r="BN10" s="3016"/>
      <c r="BO10" s="3017"/>
      <c r="BP10" s="3017"/>
      <c r="BQ10" s="3010"/>
      <c r="BR10" s="3011"/>
      <c r="BS10" s="3016"/>
      <c r="BT10" s="3017"/>
      <c r="BU10" s="3017"/>
      <c r="BV10" s="3010"/>
      <c r="BW10" s="3011"/>
      <c r="BX10" s="3016"/>
      <c r="BY10" s="3017"/>
      <c r="BZ10" s="3017"/>
      <c r="CA10" s="3010"/>
      <c r="CB10" s="3011"/>
    </row>
    <row r="11" spans="1:93" ht="11.25" customHeight="1" x14ac:dyDescent="0.25">
      <c r="A11" s="3018"/>
      <c r="B11" s="3019"/>
      <c r="C11" s="3019"/>
      <c r="D11" s="3012"/>
      <c r="E11" s="3013"/>
      <c r="F11" s="3018"/>
      <c r="G11" s="3019"/>
      <c r="H11" s="3019"/>
      <c r="I11" s="3012"/>
      <c r="J11" s="3013"/>
      <c r="K11" s="3018"/>
      <c r="L11" s="3019"/>
      <c r="M11" s="3019"/>
      <c r="N11" s="3012"/>
      <c r="O11" s="3013"/>
      <c r="P11" s="3018"/>
      <c r="Q11" s="3019"/>
      <c r="R11" s="3019"/>
      <c r="S11" s="3012"/>
      <c r="T11" s="3013"/>
      <c r="U11" s="3018"/>
      <c r="V11" s="3019"/>
      <c r="W11" s="3019"/>
      <c r="X11" s="3012"/>
      <c r="Y11" s="3013"/>
      <c r="Z11" s="3018"/>
      <c r="AA11" s="3019"/>
      <c r="AB11" s="3019"/>
      <c r="AC11" s="3012"/>
      <c r="AD11" s="3013"/>
      <c r="AE11" s="3018"/>
      <c r="AF11" s="3019"/>
      <c r="AG11" s="3019"/>
      <c r="AH11" s="3012"/>
      <c r="AI11" s="3013"/>
      <c r="AJ11" s="3018"/>
      <c r="AK11" s="3019"/>
      <c r="AL11" s="3019"/>
      <c r="AM11" s="3012"/>
      <c r="AN11" s="3013"/>
      <c r="AO11" s="3018"/>
      <c r="AP11" s="3019"/>
      <c r="AQ11" s="3019"/>
      <c r="AR11" s="3012"/>
      <c r="AS11" s="3013"/>
      <c r="AT11" s="3018"/>
      <c r="AU11" s="3019"/>
      <c r="AV11" s="3019"/>
      <c r="AW11" s="3012"/>
      <c r="AX11" s="3013"/>
      <c r="AY11" s="3018"/>
      <c r="AZ11" s="3019"/>
      <c r="BA11" s="3019"/>
      <c r="BB11" s="3012"/>
      <c r="BC11" s="3013"/>
      <c r="BD11" s="3018"/>
      <c r="BE11" s="3019"/>
      <c r="BF11" s="3019"/>
      <c r="BG11" s="3012"/>
      <c r="BH11" s="3013"/>
      <c r="BI11" s="3018"/>
      <c r="BJ11" s="3019"/>
      <c r="BK11" s="3019"/>
      <c r="BL11" s="3012"/>
      <c r="BM11" s="3013"/>
      <c r="BN11" s="3018"/>
      <c r="BO11" s="3019"/>
      <c r="BP11" s="3019"/>
      <c r="BQ11" s="3012"/>
      <c r="BR11" s="3013"/>
      <c r="BS11" s="3018"/>
      <c r="BT11" s="3019"/>
      <c r="BU11" s="3019"/>
      <c r="BV11" s="3012"/>
      <c r="BW11" s="3013"/>
      <c r="BX11" s="3018"/>
      <c r="BY11" s="3019"/>
      <c r="BZ11" s="3019"/>
      <c r="CA11" s="3012"/>
      <c r="CB11" s="3013"/>
    </row>
    <row r="12" spans="1:93" s="22" customFormat="1" ht="111.75" customHeight="1" x14ac:dyDescent="1.35">
      <c r="A12" s="634" t="s">
        <v>133</v>
      </c>
      <c r="B12" s="2845"/>
      <c r="C12" s="2846"/>
      <c r="D12" s="2846"/>
      <c r="E12" s="2847"/>
      <c r="F12" s="634" t="s">
        <v>133</v>
      </c>
      <c r="G12" s="2845"/>
      <c r="H12" s="2846"/>
      <c r="I12" s="2846"/>
      <c r="J12" s="2847"/>
      <c r="K12" s="634" t="s">
        <v>133</v>
      </c>
      <c r="L12" s="2845"/>
      <c r="M12" s="2846"/>
      <c r="N12" s="2846"/>
      <c r="O12" s="2847"/>
      <c r="P12" s="634" t="s">
        <v>133</v>
      </c>
      <c r="Q12" s="2845"/>
      <c r="R12" s="2846"/>
      <c r="S12" s="2846"/>
      <c r="T12" s="2847"/>
      <c r="U12" s="634" t="s">
        <v>133</v>
      </c>
      <c r="V12" s="2845"/>
      <c r="W12" s="2846"/>
      <c r="X12" s="2846"/>
      <c r="Y12" s="2847"/>
      <c r="Z12" s="634" t="s">
        <v>133</v>
      </c>
      <c r="AA12" s="2845"/>
      <c r="AB12" s="2846"/>
      <c r="AC12" s="2846"/>
      <c r="AD12" s="2847"/>
      <c r="AE12" s="634" t="s">
        <v>133</v>
      </c>
      <c r="AF12" s="2845"/>
      <c r="AG12" s="2846"/>
      <c r="AH12" s="2846"/>
      <c r="AI12" s="2847"/>
      <c r="AJ12" s="634" t="s">
        <v>133</v>
      </c>
      <c r="AK12" s="2845"/>
      <c r="AL12" s="2846"/>
      <c r="AM12" s="2846"/>
      <c r="AN12" s="2847"/>
      <c r="AO12" s="634" t="s">
        <v>133</v>
      </c>
      <c r="AP12" s="2845"/>
      <c r="AQ12" s="2846"/>
      <c r="AR12" s="2846"/>
      <c r="AS12" s="2847"/>
      <c r="AT12" s="634" t="s">
        <v>133</v>
      </c>
      <c r="AU12" s="2845"/>
      <c r="AV12" s="2846"/>
      <c r="AW12" s="2846"/>
      <c r="AX12" s="2847"/>
      <c r="AY12" s="634" t="s">
        <v>133</v>
      </c>
      <c r="AZ12" s="2845"/>
      <c r="BA12" s="2846"/>
      <c r="BB12" s="2846"/>
      <c r="BC12" s="2847"/>
      <c r="BD12" s="634" t="s">
        <v>133</v>
      </c>
      <c r="BE12" s="2845"/>
      <c r="BF12" s="2846"/>
      <c r="BG12" s="2846"/>
      <c r="BH12" s="2847"/>
      <c r="BI12" s="634" t="s">
        <v>133</v>
      </c>
      <c r="BJ12" s="2845"/>
      <c r="BK12" s="2846"/>
      <c r="BL12" s="2846"/>
      <c r="BM12" s="2847"/>
      <c r="BN12" s="634" t="s">
        <v>133</v>
      </c>
      <c r="BO12" s="2845"/>
      <c r="BP12" s="2846"/>
      <c r="BQ12" s="2846"/>
      <c r="BR12" s="2847"/>
      <c r="BS12" s="634" t="s">
        <v>133</v>
      </c>
      <c r="BT12" s="2845"/>
      <c r="BU12" s="2846"/>
      <c r="BV12" s="2846"/>
      <c r="BW12" s="2847"/>
      <c r="BX12" s="634" t="s">
        <v>133</v>
      </c>
      <c r="BY12" s="2845"/>
      <c r="BZ12" s="2846"/>
      <c r="CA12" s="2846"/>
      <c r="CB12" s="2847"/>
    </row>
    <row r="13" spans="1:93" ht="50.25" customHeight="1" thickBot="1" x14ac:dyDescent="0.3">
      <c r="A13" s="635"/>
      <c r="B13" s="518"/>
      <c r="C13" s="519" t="s">
        <v>113</v>
      </c>
      <c r="D13" s="520"/>
      <c r="E13" s="523" t="s">
        <v>114</v>
      </c>
      <c r="F13" s="635"/>
      <c r="G13" s="518"/>
      <c r="H13" s="519" t="s">
        <v>113</v>
      </c>
      <c r="I13" s="520"/>
      <c r="J13" s="523" t="s">
        <v>114</v>
      </c>
      <c r="K13" s="635"/>
      <c r="L13" s="518"/>
      <c r="M13" s="519" t="s">
        <v>113</v>
      </c>
      <c r="N13" s="520"/>
      <c r="O13" s="523" t="s">
        <v>114</v>
      </c>
      <c r="P13" s="635"/>
      <c r="Q13" s="518"/>
      <c r="R13" s="519" t="s">
        <v>113</v>
      </c>
      <c r="S13" s="520"/>
      <c r="T13" s="523" t="s">
        <v>114</v>
      </c>
      <c r="U13" s="635"/>
      <c r="V13" s="518"/>
      <c r="W13" s="519" t="s">
        <v>113</v>
      </c>
      <c r="X13" s="520"/>
      <c r="Y13" s="523" t="s">
        <v>114</v>
      </c>
      <c r="Z13" s="635"/>
      <c r="AA13" s="518"/>
      <c r="AB13" s="519" t="s">
        <v>113</v>
      </c>
      <c r="AC13" s="520"/>
      <c r="AD13" s="523" t="s">
        <v>114</v>
      </c>
      <c r="AE13" s="635"/>
      <c r="AF13" s="518"/>
      <c r="AG13" s="519" t="s">
        <v>113</v>
      </c>
      <c r="AH13" s="520"/>
      <c r="AI13" s="523" t="s">
        <v>114</v>
      </c>
      <c r="AJ13" s="635"/>
      <c r="AK13" s="518"/>
      <c r="AL13" s="519" t="s">
        <v>113</v>
      </c>
      <c r="AM13" s="520"/>
      <c r="AN13" s="523" t="s">
        <v>114</v>
      </c>
      <c r="AO13" s="635"/>
      <c r="AP13" s="518"/>
      <c r="AQ13" s="519" t="s">
        <v>113</v>
      </c>
      <c r="AR13" s="520"/>
      <c r="AS13" s="523" t="s">
        <v>114</v>
      </c>
      <c r="AT13" s="635"/>
      <c r="AU13" s="518"/>
      <c r="AV13" s="519" t="s">
        <v>113</v>
      </c>
      <c r="AW13" s="520"/>
      <c r="AX13" s="523" t="s">
        <v>114</v>
      </c>
      <c r="AY13" s="635"/>
      <c r="AZ13" s="518"/>
      <c r="BA13" s="519" t="s">
        <v>113</v>
      </c>
      <c r="BB13" s="520"/>
      <c r="BC13" s="523" t="s">
        <v>114</v>
      </c>
      <c r="BD13" s="635"/>
      <c r="BE13" s="518"/>
      <c r="BF13" s="519" t="s">
        <v>113</v>
      </c>
      <c r="BG13" s="520"/>
      <c r="BH13" s="523" t="s">
        <v>114</v>
      </c>
      <c r="BI13" s="635"/>
      <c r="BJ13" s="518"/>
      <c r="BK13" s="519" t="s">
        <v>113</v>
      </c>
      <c r="BL13" s="520"/>
      <c r="BM13" s="523" t="s">
        <v>114</v>
      </c>
      <c r="BN13" s="635"/>
      <c r="BO13" s="518"/>
      <c r="BP13" s="519" t="s">
        <v>113</v>
      </c>
      <c r="BQ13" s="520"/>
      <c r="BR13" s="523" t="s">
        <v>114</v>
      </c>
      <c r="BS13" s="635"/>
      <c r="BT13" s="518"/>
      <c r="BU13" s="519" t="s">
        <v>113</v>
      </c>
      <c r="BV13" s="520"/>
      <c r="BW13" s="523" t="s">
        <v>114</v>
      </c>
      <c r="BX13" s="635"/>
      <c r="BY13" s="518"/>
      <c r="BZ13" s="519" t="s">
        <v>113</v>
      </c>
      <c r="CA13" s="520"/>
      <c r="CB13" s="523" t="s">
        <v>114</v>
      </c>
      <c r="CG13" s="27"/>
      <c r="CH13" s="27"/>
      <c r="CI13" s="27"/>
      <c r="CJ13" s="27"/>
      <c r="CK13" s="27"/>
      <c r="CL13" s="27"/>
      <c r="CM13" s="27"/>
      <c r="CN13" s="27"/>
      <c r="CO13" s="27"/>
    </row>
    <row r="14" spans="1:93" ht="57" customHeight="1" thickTop="1" x14ac:dyDescent="0.25">
      <c r="A14" s="630" t="s">
        <v>110</v>
      </c>
      <c r="B14" s="631"/>
      <c r="C14" s="3026">
        <f t="shared" ref="C14" si="30">B19/((36*3.1415/59)*(45/3.281))</f>
        <v>0</v>
      </c>
      <c r="D14" s="3026"/>
      <c r="E14" s="3027"/>
      <c r="F14" s="630" t="s">
        <v>110</v>
      </c>
      <c r="G14" s="631"/>
      <c r="H14" s="3026">
        <f t="shared" ref="H14" si="31">G19/((36*3.1415/59)*(45/3.281))</f>
        <v>0</v>
      </c>
      <c r="I14" s="3026"/>
      <c r="J14" s="3027"/>
      <c r="K14" s="630" t="s">
        <v>110</v>
      </c>
      <c r="L14" s="631"/>
      <c r="M14" s="3026">
        <f t="shared" ref="M14" si="32">L19/((36*3.1415/59)*(45/3.281))</f>
        <v>0</v>
      </c>
      <c r="N14" s="3026"/>
      <c r="O14" s="3027"/>
      <c r="P14" s="630" t="s">
        <v>110</v>
      </c>
      <c r="Q14" s="631"/>
      <c r="R14" s="3026">
        <f t="shared" ref="R14" si="33">Q19/((36*3.1415/59)*(45/3.281))</f>
        <v>0</v>
      </c>
      <c r="S14" s="3026"/>
      <c r="T14" s="3027"/>
      <c r="U14" s="630" t="s">
        <v>110</v>
      </c>
      <c r="V14" s="631"/>
      <c r="W14" s="3026">
        <f t="shared" ref="W14" si="34">V19/((36*3.1415/59)*(45/3.281))</f>
        <v>0</v>
      </c>
      <c r="X14" s="3026"/>
      <c r="Y14" s="3027"/>
      <c r="Z14" s="630" t="s">
        <v>110</v>
      </c>
      <c r="AA14" s="631"/>
      <c r="AB14" s="3026">
        <f t="shared" ref="AB14" si="35">AA19/((36*3.1415/59)*(45/3.281))</f>
        <v>0</v>
      </c>
      <c r="AC14" s="3026"/>
      <c r="AD14" s="3027"/>
      <c r="AE14" s="630" t="s">
        <v>110</v>
      </c>
      <c r="AF14" s="631"/>
      <c r="AG14" s="3026">
        <f t="shared" ref="AG14" si="36">AF19/((36*3.1415/59)*(45/3.281))</f>
        <v>0</v>
      </c>
      <c r="AH14" s="3026"/>
      <c r="AI14" s="3027"/>
      <c r="AJ14" s="630" t="s">
        <v>110</v>
      </c>
      <c r="AK14" s="631"/>
      <c r="AL14" s="3026">
        <f t="shared" ref="AL14" si="37">AK19/((36*3.1415/59)*(45/3.281))</f>
        <v>0</v>
      </c>
      <c r="AM14" s="3026"/>
      <c r="AN14" s="3027"/>
      <c r="AO14" s="630" t="s">
        <v>110</v>
      </c>
      <c r="AP14" s="631"/>
      <c r="AQ14" s="3026">
        <f t="shared" ref="AQ14" si="38">AP19/((36*3.1415/59)*(45/3.281))</f>
        <v>0</v>
      </c>
      <c r="AR14" s="3026"/>
      <c r="AS14" s="3027"/>
      <c r="AT14" s="630" t="s">
        <v>110</v>
      </c>
      <c r="AU14" s="631"/>
      <c r="AV14" s="3026">
        <f t="shared" ref="AV14" si="39">AU19/((36*3.1415/59)*(45/3.281))</f>
        <v>0</v>
      </c>
      <c r="AW14" s="3026"/>
      <c r="AX14" s="3027"/>
      <c r="AY14" s="630" t="s">
        <v>110</v>
      </c>
      <c r="AZ14" s="631"/>
      <c r="BA14" s="3026">
        <f t="shared" ref="BA14" si="40">AZ19/((36*3.1415/59)*(45/3.281))</f>
        <v>0</v>
      </c>
      <c r="BB14" s="3026"/>
      <c r="BC14" s="3027"/>
      <c r="BD14" s="630" t="s">
        <v>110</v>
      </c>
      <c r="BE14" s="631"/>
      <c r="BF14" s="3026">
        <f t="shared" ref="BF14" si="41">BE19/((36*3.1415/59)*(45/3.281))</f>
        <v>0</v>
      </c>
      <c r="BG14" s="3026"/>
      <c r="BH14" s="3027"/>
      <c r="BI14" s="630" t="s">
        <v>110</v>
      </c>
      <c r="BJ14" s="631"/>
      <c r="BK14" s="3026">
        <f t="shared" ref="BK14" si="42">BJ19/((36*3.1415/59)*(45/3.281))</f>
        <v>0</v>
      </c>
      <c r="BL14" s="3026"/>
      <c r="BM14" s="3027"/>
      <c r="BN14" s="630" t="s">
        <v>110</v>
      </c>
      <c r="BO14" s="631"/>
      <c r="BP14" s="3026">
        <f t="shared" ref="BP14" si="43">BO19/((36*3.1415/59)*(45/3.281))</f>
        <v>0</v>
      </c>
      <c r="BQ14" s="3026"/>
      <c r="BR14" s="3027"/>
      <c r="BS14" s="630" t="s">
        <v>110</v>
      </c>
      <c r="BT14" s="631"/>
      <c r="BU14" s="3026">
        <f t="shared" ref="BU14" si="44">BT19/((36*3.1415/59)*(45/3.281))</f>
        <v>0</v>
      </c>
      <c r="BV14" s="3026"/>
      <c r="BW14" s="3027"/>
      <c r="BX14" s="630" t="s">
        <v>110</v>
      </c>
      <c r="BY14" s="631"/>
      <c r="BZ14" s="3026">
        <f t="shared" ref="BZ14" si="45">BY19/((36*3.1415/59)*(45/3.281))</f>
        <v>0</v>
      </c>
      <c r="CA14" s="3026"/>
      <c r="CB14" s="3027"/>
    </row>
    <row r="15" spans="1:93" ht="11.25" customHeight="1" x14ac:dyDescent="0.25">
      <c r="A15" s="3014" t="s">
        <v>25</v>
      </c>
      <c r="B15" s="3015"/>
      <c r="C15" s="3015"/>
      <c r="D15" s="3008" t="s">
        <v>706</v>
      </c>
      <c r="E15" s="3009"/>
      <c r="F15" s="3014" t="s">
        <v>25</v>
      </c>
      <c r="G15" s="3015"/>
      <c r="H15" s="3015"/>
      <c r="I15" s="3008" t="s">
        <v>706</v>
      </c>
      <c r="J15" s="3009"/>
      <c r="K15" s="3014" t="s">
        <v>25</v>
      </c>
      <c r="L15" s="3015"/>
      <c r="M15" s="3015"/>
      <c r="N15" s="3008" t="s">
        <v>706</v>
      </c>
      <c r="O15" s="3009"/>
      <c r="P15" s="3014" t="s">
        <v>25</v>
      </c>
      <c r="Q15" s="3015"/>
      <c r="R15" s="3015"/>
      <c r="S15" s="3008" t="s">
        <v>706</v>
      </c>
      <c r="T15" s="3009"/>
      <c r="U15" s="3014" t="s">
        <v>25</v>
      </c>
      <c r="V15" s="3015"/>
      <c r="W15" s="3015"/>
      <c r="X15" s="3008" t="s">
        <v>706</v>
      </c>
      <c r="Y15" s="3009"/>
      <c r="Z15" s="3014" t="s">
        <v>25</v>
      </c>
      <c r="AA15" s="3015"/>
      <c r="AB15" s="3015"/>
      <c r="AC15" s="3008" t="s">
        <v>706</v>
      </c>
      <c r="AD15" s="3009"/>
      <c r="AE15" s="3014" t="s">
        <v>25</v>
      </c>
      <c r="AF15" s="3015"/>
      <c r="AG15" s="3015"/>
      <c r="AH15" s="3008" t="s">
        <v>706</v>
      </c>
      <c r="AI15" s="3009"/>
      <c r="AJ15" s="3014" t="s">
        <v>25</v>
      </c>
      <c r="AK15" s="3015"/>
      <c r="AL15" s="3015"/>
      <c r="AM15" s="3008" t="s">
        <v>706</v>
      </c>
      <c r="AN15" s="3009"/>
      <c r="AO15" s="3014" t="s">
        <v>25</v>
      </c>
      <c r="AP15" s="3015"/>
      <c r="AQ15" s="3015"/>
      <c r="AR15" s="3008" t="s">
        <v>706</v>
      </c>
      <c r="AS15" s="3009"/>
      <c r="AT15" s="3014" t="s">
        <v>25</v>
      </c>
      <c r="AU15" s="3015"/>
      <c r="AV15" s="3015"/>
      <c r="AW15" s="3008" t="s">
        <v>706</v>
      </c>
      <c r="AX15" s="3009"/>
      <c r="AY15" s="3014" t="s">
        <v>25</v>
      </c>
      <c r="AZ15" s="3015"/>
      <c r="BA15" s="3015"/>
      <c r="BB15" s="3008" t="s">
        <v>706</v>
      </c>
      <c r="BC15" s="3009"/>
      <c r="BD15" s="3014" t="s">
        <v>25</v>
      </c>
      <c r="BE15" s="3015"/>
      <c r="BF15" s="3015"/>
      <c r="BG15" s="3008" t="s">
        <v>706</v>
      </c>
      <c r="BH15" s="3009"/>
      <c r="BI15" s="3014" t="s">
        <v>25</v>
      </c>
      <c r="BJ15" s="3015"/>
      <c r="BK15" s="3015"/>
      <c r="BL15" s="3008" t="s">
        <v>706</v>
      </c>
      <c r="BM15" s="3009"/>
      <c r="BN15" s="3014" t="s">
        <v>25</v>
      </c>
      <c r="BO15" s="3015"/>
      <c r="BP15" s="3015"/>
      <c r="BQ15" s="3008" t="s">
        <v>706</v>
      </c>
      <c r="BR15" s="3009"/>
      <c r="BS15" s="3014" t="s">
        <v>25</v>
      </c>
      <c r="BT15" s="3015"/>
      <c r="BU15" s="3015"/>
      <c r="BV15" s="3008" t="s">
        <v>706</v>
      </c>
      <c r="BW15" s="3009"/>
      <c r="BX15" s="3014" t="s">
        <v>25</v>
      </c>
      <c r="BY15" s="3015"/>
      <c r="BZ15" s="3015"/>
      <c r="CA15" s="3008" t="s">
        <v>706</v>
      </c>
      <c r="CB15" s="3009"/>
    </row>
    <row r="16" spans="1:93" ht="11.25" customHeight="1" x14ac:dyDescent="0.25">
      <c r="A16" s="3016"/>
      <c r="B16" s="3017"/>
      <c r="C16" s="3017"/>
      <c r="D16" s="3010"/>
      <c r="E16" s="3011"/>
      <c r="F16" s="3016"/>
      <c r="G16" s="3017"/>
      <c r="H16" s="3017"/>
      <c r="I16" s="3010"/>
      <c r="J16" s="3011"/>
      <c r="K16" s="3016"/>
      <c r="L16" s="3017"/>
      <c r="M16" s="3017"/>
      <c r="N16" s="3010"/>
      <c r="O16" s="3011"/>
      <c r="P16" s="3016"/>
      <c r="Q16" s="3017"/>
      <c r="R16" s="3017"/>
      <c r="S16" s="3010"/>
      <c r="T16" s="3011"/>
      <c r="U16" s="3016"/>
      <c r="V16" s="3017"/>
      <c r="W16" s="3017"/>
      <c r="X16" s="3010"/>
      <c r="Y16" s="3011"/>
      <c r="Z16" s="3016"/>
      <c r="AA16" s="3017"/>
      <c r="AB16" s="3017"/>
      <c r="AC16" s="3010"/>
      <c r="AD16" s="3011"/>
      <c r="AE16" s="3016"/>
      <c r="AF16" s="3017"/>
      <c r="AG16" s="3017"/>
      <c r="AH16" s="3010"/>
      <c r="AI16" s="3011"/>
      <c r="AJ16" s="3016"/>
      <c r="AK16" s="3017"/>
      <c r="AL16" s="3017"/>
      <c r="AM16" s="3010"/>
      <c r="AN16" s="3011"/>
      <c r="AO16" s="3016"/>
      <c r="AP16" s="3017"/>
      <c r="AQ16" s="3017"/>
      <c r="AR16" s="3010"/>
      <c r="AS16" s="3011"/>
      <c r="AT16" s="3016"/>
      <c r="AU16" s="3017"/>
      <c r="AV16" s="3017"/>
      <c r="AW16" s="3010"/>
      <c r="AX16" s="3011"/>
      <c r="AY16" s="3016"/>
      <c r="AZ16" s="3017"/>
      <c r="BA16" s="3017"/>
      <c r="BB16" s="3010"/>
      <c r="BC16" s="3011"/>
      <c r="BD16" s="3016"/>
      <c r="BE16" s="3017"/>
      <c r="BF16" s="3017"/>
      <c r="BG16" s="3010"/>
      <c r="BH16" s="3011"/>
      <c r="BI16" s="3016"/>
      <c r="BJ16" s="3017"/>
      <c r="BK16" s="3017"/>
      <c r="BL16" s="3010"/>
      <c r="BM16" s="3011"/>
      <c r="BN16" s="3016"/>
      <c r="BO16" s="3017"/>
      <c r="BP16" s="3017"/>
      <c r="BQ16" s="3010"/>
      <c r="BR16" s="3011"/>
      <c r="BS16" s="3016"/>
      <c r="BT16" s="3017"/>
      <c r="BU16" s="3017"/>
      <c r="BV16" s="3010"/>
      <c r="BW16" s="3011"/>
      <c r="BX16" s="3016"/>
      <c r="BY16" s="3017"/>
      <c r="BZ16" s="3017"/>
      <c r="CA16" s="3010"/>
      <c r="CB16" s="3011"/>
    </row>
    <row r="17" spans="1:148" ht="11.25" customHeight="1" x14ac:dyDescent="0.25">
      <c r="A17" s="3018"/>
      <c r="B17" s="3019"/>
      <c r="C17" s="3019"/>
      <c r="D17" s="3012"/>
      <c r="E17" s="3013"/>
      <c r="F17" s="3018"/>
      <c r="G17" s="3019"/>
      <c r="H17" s="3019"/>
      <c r="I17" s="3012"/>
      <c r="J17" s="3013"/>
      <c r="K17" s="3018"/>
      <c r="L17" s="3019"/>
      <c r="M17" s="3019"/>
      <c r="N17" s="3012"/>
      <c r="O17" s="3013"/>
      <c r="P17" s="3018"/>
      <c r="Q17" s="3019"/>
      <c r="R17" s="3019"/>
      <c r="S17" s="3012"/>
      <c r="T17" s="3013"/>
      <c r="U17" s="3018"/>
      <c r="V17" s="3019"/>
      <c r="W17" s="3019"/>
      <c r="X17" s="3012"/>
      <c r="Y17" s="3013"/>
      <c r="Z17" s="3018"/>
      <c r="AA17" s="3019"/>
      <c r="AB17" s="3019"/>
      <c r="AC17" s="3012"/>
      <c r="AD17" s="3013"/>
      <c r="AE17" s="3018"/>
      <c r="AF17" s="3019"/>
      <c r="AG17" s="3019"/>
      <c r="AH17" s="3012"/>
      <c r="AI17" s="3013"/>
      <c r="AJ17" s="3018"/>
      <c r="AK17" s="3019"/>
      <c r="AL17" s="3019"/>
      <c r="AM17" s="3012"/>
      <c r="AN17" s="3013"/>
      <c r="AO17" s="3018"/>
      <c r="AP17" s="3019"/>
      <c r="AQ17" s="3019"/>
      <c r="AR17" s="3012"/>
      <c r="AS17" s="3013"/>
      <c r="AT17" s="3018"/>
      <c r="AU17" s="3019"/>
      <c r="AV17" s="3019"/>
      <c r="AW17" s="3012"/>
      <c r="AX17" s="3013"/>
      <c r="AY17" s="3018"/>
      <c r="AZ17" s="3019"/>
      <c r="BA17" s="3019"/>
      <c r="BB17" s="3012"/>
      <c r="BC17" s="3013"/>
      <c r="BD17" s="3018"/>
      <c r="BE17" s="3019"/>
      <c r="BF17" s="3019"/>
      <c r="BG17" s="3012"/>
      <c r="BH17" s="3013"/>
      <c r="BI17" s="3018"/>
      <c r="BJ17" s="3019"/>
      <c r="BK17" s="3019"/>
      <c r="BL17" s="3012"/>
      <c r="BM17" s="3013"/>
      <c r="BN17" s="3018"/>
      <c r="BO17" s="3019"/>
      <c r="BP17" s="3019"/>
      <c r="BQ17" s="3012"/>
      <c r="BR17" s="3013"/>
      <c r="BS17" s="3018"/>
      <c r="BT17" s="3019"/>
      <c r="BU17" s="3019"/>
      <c r="BV17" s="3012"/>
      <c r="BW17" s="3013"/>
      <c r="BX17" s="3018"/>
      <c r="BY17" s="3019"/>
      <c r="BZ17" s="3019"/>
      <c r="CA17" s="3012"/>
      <c r="CB17" s="3013"/>
    </row>
    <row r="18" spans="1:148" s="22" customFormat="1" ht="111.75" customHeight="1" x14ac:dyDescent="1.35">
      <c r="A18" s="634" t="s">
        <v>133</v>
      </c>
      <c r="B18" s="2845"/>
      <c r="C18" s="2846"/>
      <c r="D18" s="2846"/>
      <c r="E18" s="2847"/>
      <c r="F18" s="634" t="s">
        <v>133</v>
      </c>
      <c r="G18" s="2845"/>
      <c r="H18" s="2846"/>
      <c r="I18" s="2846"/>
      <c r="J18" s="2847"/>
      <c r="K18" s="634" t="s">
        <v>133</v>
      </c>
      <c r="L18" s="2845"/>
      <c r="M18" s="2846"/>
      <c r="N18" s="2846"/>
      <c r="O18" s="2847"/>
      <c r="P18" s="634" t="s">
        <v>133</v>
      </c>
      <c r="Q18" s="2845"/>
      <c r="R18" s="2846"/>
      <c r="S18" s="2846"/>
      <c r="T18" s="2847"/>
      <c r="U18" s="634" t="s">
        <v>133</v>
      </c>
      <c r="V18" s="2845"/>
      <c r="W18" s="2846"/>
      <c r="X18" s="2846"/>
      <c r="Y18" s="2847"/>
      <c r="Z18" s="634" t="s">
        <v>133</v>
      </c>
      <c r="AA18" s="2845"/>
      <c r="AB18" s="2846"/>
      <c r="AC18" s="2846"/>
      <c r="AD18" s="2847"/>
      <c r="AE18" s="634" t="s">
        <v>133</v>
      </c>
      <c r="AF18" s="2845"/>
      <c r="AG18" s="2846"/>
      <c r="AH18" s="2846"/>
      <c r="AI18" s="2847"/>
      <c r="AJ18" s="634" t="s">
        <v>133</v>
      </c>
      <c r="AK18" s="2845"/>
      <c r="AL18" s="2846"/>
      <c r="AM18" s="2846"/>
      <c r="AN18" s="2847"/>
      <c r="AO18" s="634" t="s">
        <v>133</v>
      </c>
      <c r="AP18" s="2845"/>
      <c r="AQ18" s="2846"/>
      <c r="AR18" s="2846"/>
      <c r="AS18" s="2847"/>
      <c r="AT18" s="634" t="s">
        <v>133</v>
      </c>
      <c r="AU18" s="2845"/>
      <c r="AV18" s="2846"/>
      <c r="AW18" s="2846"/>
      <c r="AX18" s="2847"/>
      <c r="AY18" s="634" t="s">
        <v>133</v>
      </c>
      <c r="AZ18" s="2845"/>
      <c r="BA18" s="2846"/>
      <c r="BB18" s="2846"/>
      <c r="BC18" s="2847"/>
      <c r="BD18" s="634" t="s">
        <v>133</v>
      </c>
      <c r="BE18" s="2845"/>
      <c r="BF18" s="2846"/>
      <c r="BG18" s="2846"/>
      <c r="BH18" s="2847"/>
      <c r="BI18" s="634" t="s">
        <v>133</v>
      </c>
      <c r="BJ18" s="2845"/>
      <c r="BK18" s="2846"/>
      <c r="BL18" s="2846"/>
      <c r="BM18" s="2847"/>
      <c r="BN18" s="634" t="s">
        <v>133</v>
      </c>
      <c r="BO18" s="2845"/>
      <c r="BP18" s="2846"/>
      <c r="BQ18" s="2846"/>
      <c r="BR18" s="2847"/>
      <c r="BS18" s="634" t="s">
        <v>133</v>
      </c>
      <c r="BT18" s="2845"/>
      <c r="BU18" s="2846"/>
      <c r="BV18" s="2846"/>
      <c r="BW18" s="2847"/>
      <c r="BX18" s="634" t="s">
        <v>133</v>
      </c>
      <c r="BY18" s="2845"/>
      <c r="BZ18" s="2846"/>
      <c r="CA18" s="2846"/>
      <c r="CB18" s="2847"/>
    </row>
    <row r="19" spans="1:148" ht="50.25" customHeight="1" thickBot="1" x14ac:dyDescent="0.3">
      <c r="A19" s="635"/>
      <c r="B19" s="518"/>
      <c r="C19" s="519" t="s">
        <v>113</v>
      </c>
      <c r="D19" s="520"/>
      <c r="E19" s="523" t="s">
        <v>114</v>
      </c>
      <c r="F19" s="635"/>
      <c r="G19" s="518"/>
      <c r="H19" s="519" t="s">
        <v>113</v>
      </c>
      <c r="I19" s="520"/>
      <c r="J19" s="523" t="s">
        <v>114</v>
      </c>
      <c r="K19" s="635"/>
      <c r="L19" s="518"/>
      <c r="M19" s="519" t="s">
        <v>113</v>
      </c>
      <c r="N19" s="520"/>
      <c r="O19" s="523" t="s">
        <v>114</v>
      </c>
      <c r="P19" s="635"/>
      <c r="Q19" s="518"/>
      <c r="R19" s="519" t="s">
        <v>113</v>
      </c>
      <c r="S19" s="520"/>
      <c r="T19" s="523" t="s">
        <v>114</v>
      </c>
      <c r="U19" s="635"/>
      <c r="V19" s="518"/>
      <c r="W19" s="519" t="s">
        <v>113</v>
      </c>
      <c r="X19" s="520"/>
      <c r="Y19" s="523" t="s">
        <v>114</v>
      </c>
      <c r="Z19" s="635"/>
      <c r="AA19" s="518"/>
      <c r="AB19" s="519" t="s">
        <v>113</v>
      </c>
      <c r="AC19" s="520"/>
      <c r="AD19" s="523" t="s">
        <v>114</v>
      </c>
      <c r="AE19" s="635"/>
      <c r="AF19" s="518"/>
      <c r="AG19" s="519" t="s">
        <v>113</v>
      </c>
      <c r="AH19" s="520"/>
      <c r="AI19" s="523" t="s">
        <v>114</v>
      </c>
      <c r="AJ19" s="635"/>
      <c r="AK19" s="518"/>
      <c r="AL19" s="519" t="s">
        <v>113</v>
      </c>
      <c r="AM19" s="520"/>
      <c r="AN19" s="523" t="s">
        <v>114</v>
      </c>
      <c r="AO19" s="635"/>
      <c r="AP19" s="518"/>
      <c r="AQ19" s="519" t="s">
        <v>113</v>
      </c>
      <c r="AR19" s="520"/>
      <c r="AS19" s="523" t="s">
        <v>114</v>
      </c>
      <c r="AT19" s="635"/>
      <c r="AU19" s="518"/>
      <c r="AV19" s="519" t="s">
        <v>113</v>
      </c>
      <c r="AW19" s="520"/>
      <c r="AX19" s="523" t="s">
        <v>114</v>
      </c>
      <c r="AY19" s="635"/>
      <c r="AZ19" s="518"/>
      <c r="BA19" s="519" t="s">
        <v>113</v>
      </c>
      <c r="BB19" s="520"/>
      <c r="BC19" s="523" t="s">
        <v>114</v>
      </c>
      <c r="BD19" s="635"/>
      <c r="BE19" s="518"/>
      <c r="BF19" s="519" t="s">
        <v>113</v>
      </c>
      <c r="BG19" s="520"/>
      <c r="BH19" s="523" t="s">
        <v>114</v>
      </c>
      <c r="BI19" s="635"/>
      <c r="BJ19" s="518"/>
      <c r="BK19" s="519" t="s">
        <v>113</v>
      </c>
      <c r="BL19" s="520"/>
      <c r="BM19" s="523" t="s">
        <v>114</v>
      </c>
      <c r="BN19" s="635"/>
      <c r="BO19" s="518"/>
      <c r="BP19" s="519" t="s">
        <v>113</v>
      </c>
      <c r="BQ19" s="520"/>
      <c r="BR19" s="523" t="s">
        <v>114</v>
      </c>
      <c r="BS19" s="635"/>
      <c r="BT19" s="518"/>
      <c r="BU19" s="519" t="s">
        <v>113</v>
      </c>
      <c r="BV19" s="520"/>
      <c r="BW19" s="523" t="s">
        <v>114</v>
      </c>
      <c r="BX19" s="635"/>
      <c r="BY19" s="518"/>
      <c r="BZ19" s="519" t="s">
        <v>113</v>
      </c>
      <c r="CA19" s="520"/>
      <c r="CB19" s="523" t="s">
        <v>114</v>
      </c>
      <c r="CG19" s="27"/>
      <c r="CH19" s="27"/>
      <c r="CI19" s="27"/>
      <c r="CJ19" s="27"/>
      <c r="CK19" s="27"/>
      <c r="CL19" s="27"/>
      <c r="CM19" s="27"/>
      <c r="CN19" s="27"/>
      <c r="CO19" s="27"/>
    </row>
    <row r="20" spans="1:148" ht="57" customHeight="1" thickTop="1" x14ac:dyDescent="0.25">
      <c r="A20" s="630" t="s">
        <v>110</v>
      </c>
      <c r="B20" s="631"/>
      <c r="C20" s="3026">
        <f t="shared" ref="C20" si="46">B25/((36*3.1415/59)*(45/3.281))</f>
        <v>0</v>
      </c>
      <c r="D20" s="3026"/>
      <c r="E20" s="3027"/>
      <c r="F20" s="630" t="s">
        <v>110</v>
      </c>
      <c r="G20" s="631"/>
      <c r="H20" s="3026">
        <f t="shared" ref="H20" si="47">G25/((36*3.1415/59)*(45/3.281))</f>
        <v>0</v>
      </c>
      <c r="I20" s="3026"/>
      <c r="J20" s="3027"/>
      <c r="K20" s="630" t="s">
        <v>110</v>
      </c>
      <c r="L20" s="631"/>
      <c r="M20" s="3026">
        <f t="shared" ref="M20" si="48">L25/((36*3.1415/59)*(45/3.281))</f>
        <v>0</v>
      </c>
      <c r="N20" s="3026"/>
      <c r="O20" s="3027"/>
      <c r="P20" s="630" t="s">
        <v>110</v>
      </c>
      <c r="Q20" s="631"/>
      <c r="R20" s="3026">
        <f t="shared" ref="R20" si="49">Q25/((36*3.1415/59)*(45/3.281))</f>
        <v>0</v>
      </c>
      <c r="S20" s="3026"/>
      <c r="T20" s="3027"/>
      <c r="U20" s="630" t="s">
        <v>110</v>
      </c>
      <c r="V20" s="631"/>
      <c r="W20" s="3026">
        <f t="shared" ref="W20" si="50">V25/((36*3.1415/59)*(45/3.281))</f>
        <v>0</v>
      </c>
      <c r="X20" s="3026"/>
      <c r="Y20" s="3027"/>
      <c r="Z20" s="630" t="s">
        <v>110</v>
      </c>
      <c r="AA20" s="631"/>
      <c r="AB20" s="3026">
        <f t="shared" ref="AB20" si="51">AA25/((36*3.1415/59)*(45/3.281))</f>
        <v>0</v>
      </c>
      <c r="AC20" s="3026"/>
      <c r="AD20" s="3027"/>
      <c r="AE20" s="630" t="s">
        <v>110</v>
      </c>
      <c r="AF20" s="631"/>
      <c r="AG20" s="3026">
        <f t="shared" ref="AG20" si="52">AF25/((36*3.1415/59)*(45/3.281))</f>
        <v>0</v>
      </c>
      <c r="AH20" s="3026"/>
      <c r="AI20" s="3027"/>
      <c r="AJ20" s="630" t="s">
        <v>110</v>
      </c>
      <c r="AK20" s="631"/>
      <c r="AL20" s="3026">
        <f t="shared" ref="AL20" si="53">AK25/((36*3.1415/59)*(45/3.281))</f>
        <v>0</v>
      </c>
      <c r="AM20" s="3026"/>
      <c r="AN20" s="3027"/>
      <c r="AO20" s="630" t="s">
        <v>110</v>
      </c>
      <c r="AP20" s="631"/>
      <c r="AQ20" s="3026">
        <f t="shared" ref="AQ20" si="54">AP25/((36*3.1415/59)*(45/3.281))</f>
        <v>0</v>
      </c>
      <c r="AR20" s="3026"/>
      <c r="AS20" s="3027"/>
      <c r="AT20" s="630" t="s">
        <v>110</v>
      </c>
      <c r="AU20" s="631"/>
      <c r="AV20" s="3026">
        <f t="shared" ref="AV20" si="55">AU25/((36*3.1415/59)*(45/3.281))</f>
        <v>0</v>
      </c>
      <c r="AW20" s="3026"/>
      <c r="AX20" s="3027"/>
      <c r="AY20" s="630" t="s">
        <v>110</v>
      </c>
      <c r="AZ20" s="631"/>
      <c r="BA20" s="3026">
        <f t="shared" ref="BA20" si="56">AZ25/((36*3.1415/59)*(45/3.281))</f>
        <v>0</v>
      </c>
      <c r="BB20" s="3026"/>
      <c r="BC20" s="3027"/>
      <c r="BD20" s="630" t="s">
        <v>110</v>
      </c>
      <c r="BE20" s="631"/>
      <c r="BF20" s="3026">
        <f t="shared" ref="BF20" si="57">BE25/((36*3.1415/59)*(45/3.281))</f>
        <v>0</v>
      </c>
      <c r="BG20" s="3026"/>
      <c r="BH20" s="3027"/>
      <c r="BI20" s="630" t="s">
        <v>110</v>
      </c>
      <c r="BJ20" s="631"/>
      <c r="BK20" s="3026">
        <f t="shared" ref="BK20" si="58">BJ25/((36*3.1415/59)*(45/3.281))</f>
        <v>0</v>
      </c>
      <c r="BL20" s="3026"/>
      <c r="BM20" s="3027"/>
      <c r="BN20" s="630" t="s">
        <v>110</v>
      </c>
      <c r="BO20" s="631"/>
      <c r="BP20" s="3026">
        <f t="shared" ref="BP20" si="59">BO25/((36*3.1415/59)*(45/3.281))</f>
        <v>0</v>
      </c>
      <c r="BQ20" s="3026"/>
      <c r="BR20" s="3027"/>
      <c r="BS20" s="630" t="s">
        <v>110</v>
      </c>
      <c r="BT20" s="631"/>
      <c r="BU20" s="3026">
        <f t="shared" ref="BU20" si="60">BT25/((36*3.1415/59)*(45/3.281))</f>
        <v>0</v>
      </c>
      <c r="BV20" s="3026"/>
      <c r="BW20" s="3027"/>
      <c r="BX20" s="630" t="s">
        <v>110</v>
      </c>
      <c r="BY20" s="631"/>
      <c r="BZ20" s="3026">
        <f t="shared" ref="BZ20" si="61">BY25/((36*3.1415/59)*(45/3.281))</f>
        <v>0</v>
      </c>
      <c r="CA20" s="3026"/>
      <c r="CB20" s="3027"/>
    </row>
    <row r="21" spans="1:148" ht="11.25" customHeight="1" x14ac:dyDescent="0.25">
      <c r="A21" s="3014" t="s">
        <v>25</v>
      </c>
      <c r="B21" s="3015"/>
      <c r="C21" s="3015"/>
      <c r="D21" s="3008" t="s">
        <v>706</v>
      </c>
      <c r="E21" s="3009"/>
      <c r="F21" s="3014" t="s">
        <v>25</v>
      </c>
      <c r="G21" s="3015"/>
      <c r="H21" s="3015"/>
      <c r="I21" s="3008" t="s">
        <v>706</v>
      </c>
      <c r="J21" s="3009"/>
      <c r="K21" s="3014" t="s">
        <v>25</v>
      </c>
      <c r="L21" s="3015"/>
      <c r="M21" s="3015"/>
      <c r="N21" s="3008" t="s">
        <v>706</v>
      </c>
      <c r="O21" s="3009"/>
      <c r="P21" s="3014" t="s">
        <v>25</v>
      </c>
      <c r="Q21" s="3015"/>
      <c r="R21" s="3015"/>
      <c r="S21" s="3008" t="s">
        <v>706</v>
      </c>
      <c r="T21" s="3009"/>
      <c r="U21" s="3014" t="s">
        <v>25</v>
      </c>
      <c r="V21" s="3015"/>
      <c r="W21" s="3015"/>
      <c r="X21" s="3008" t="s">
        <v>706</v>
      </c>
      <c r="Y21" s="3009"/>
      <c r="Z21" s="3014" t="s">
        <v>25</v>
      </c>
      <c r="AA21" s="3015"/>
      <c r="AB21" s="3015"/>
      <c r="AC21" s="3008" t="s">
        <v>706</v>
      </c>
      <c r="AD21" s="3009"/>
      <c r="AE21" s="3014" t="s">
        <v>25</v>
      </c>
      <c r="AF21" s="3015"/>
      <c r="AG21" s="3015"/>
      <c r="AH21" s="3008" t="s">
        <v>706</v>
      </c>
      <c r="AI21" s="3009"/>
      <c r="AJ21" s="3014" t="s">
        <v>25</v>
      </c>
      <c r="AK21" s="3015"/>
      <c r="AL21" s="3015"/>
      <c r="AM21" s="3008" t="s">
        <v>706</v>
      </c>
      <c r="AN21" s="3009"/>
      <c r="AO21" s="3014" t="s">
        <v>25</v>
      </c>
      <c r="AP21" s="3015"/>
      <c r="AQ21" s="3015"/>
      <c r="AR21" s="3008" t="s">
        <v>706</v>
      </c>
      <c r="AS21" s="3009"/>
      <c r="AT21" s="3014" t="s">
        <v>25</v>
      </c>
      <c r="AU21" s="3015"/>
      <c r="AV21" s="3015"/>
      <c r="AW21" s="3008" t="s">
        <v>706</v>
      </c>
      <c r="AX21" s="3009"/>
      <c r="AY21" s="3014" t="s">
        <v>25</v>
      </c>
      <c r="AZ21" s="3015"/>
      <c r="BA21" s="3015"/>
      <c r="BB21" s="3008" t="s">
        <v>706</v>
      </c>
      <c r="BC21" s="3009"/>
      <c r="BD21" s="3014" t="s">
        <v>25</v>
      </c>
      <c r="BE21" s="3015"/>
      <c r="BF21" s="3015"/>
      <c r="BG21" s="3008" t="s">
        <v>706</v>
      </c>
      <c r="BH21" s="3009"/>
      <c r="BI21" s="3014" t="s">
        <v>25</v>
      </c>
      <c r="BJ21" s="3015"/>
      <c r="BK21" s="3015"/>
      <c r="BL21" s="3008" t="s">
        <v>706</v>
      </c>
      <c r="BM21" s="3009"/>
      <c r="BN21" s="3014" t="s">
        <v>25</v>
      </c>
      <c r="BO21" s="3015"/>
      <c r="BP21" s="3015"/>
      <c r="BQ21" s="3008" t="s">
        <v>706</v>
      </c>
      <c r="BR21" s="3009"/>
      <c r="BS21" s="3014" t="s">
        <v>25</v>
      </c>
      <c r="BT21" s="3015"/>
      <c r="BU21" s="3015"/>
      <c r="BV21" s="3008" t="s">
        <v>706</v>
      </c>
      <c r="BW21" s="3009"/>
      <c r="BX21" s="3014" t="s">
        <v>25</v>
      </c>
      <c r="BY21" s="3015"/>
      <c r="BZ21" s="3015"/>
      <c r="CA21" s="3008" t="s">
        <v>706</v>
      </c>
      <c r="CB21" s="3009"/>
    </row>
    <row r="22" spans="1:148" ht="11.25" customHeight="1" x14ac:dyDescent="0.25">
      <c r="A22" s="3016"/>
      <c r="B22" s="3017"/>
      <c r="C22" s="3017"/>
      <c r="D22" s="3010"/>
      <c r="E22" s="3011"/>
      <c r="F22" s="3016"/>
      <c r="G22" s="3017"/>
      <c r="H22" s="3017"/>
      <c r="I22" s="3010"/>
      <c r="J22" s="3011"/>
      <c r="K22" s="3016"/>
      <c r="L22" s="3017"/>
      <c r="M22" s="3017"/>
      <c r="N22" s="3010"/>
      <c r="O22" s="3011"/>
      <c r="P22" s="3016"/>
      <c r="Q22" s="3017"/>
      <c r="R22" s="3017"/>
      <c r="S22" s="3010"/>
      <c r="T22" s="3011"/>
      <c r="U22" s="3016"/>
      <c r="V22" s="3017"/>
      <c r="W22" s="3017"/>
      <c r="X22" s="3010"/>
      <c r="Y22" s="3011"/>
      <c r="Z22" s="3016"/>
      <c r="AA22" s="3017"/>
      <c r="AB22" s="3017"/>
      <c r="AC22" s="3010"/>
      <c r="AD22" s="3011"/>
      <c r="AE22" s="3016"/>
      <c r="AF22" s="3017"/>
      <c r="AG22" s="3017"/>
      <c r="AH22" s="3010"/>
      <c r="AI22" s="3011"/>
      <c r="AJ22" s="3016"/>
      <c r="AK22" s="3017"/>
      <c r="AL22" s="3017"/>
      <c r="AM22" s="3010"/>
      <c r="AN22" s="3011"/>
      <c r="AO22" s="3016"/>
      <c r="AP22" s="3017"/>
      <c r="AQ22" s="3017"/>
      <c r="AR22" s="3010"/>
      <c r="AS22" s="3011"/>
      <c r="AT22" s="3016"/>
      <c r="AU22" s="3017"/>
      <c r="AV22" s="3017"/>
      <c r="AW22" s="3010"/>
      <c r="AX22" s="3011"/>
      <c r="AY22" s="3016"/>
      <c r="AZ22" s="3017"/>
      <c r="BA22" s="3017"/>
      <c r="BB22" s="3010"/>
      <c r="BC22" s="3011"/>
      <c r="BD22" s="3016"/>
      <c r="BE22" s="3017"/>
      <c r="BF22" s="3017"/>
      <c r="BG22" s="3010"/>
      <c r="BH22" s="3011"/>
      <c r="BI22" s="3016"/>
      <c r="BJ22" s="3017"/>
      <c r="BK22" s="3017"/>
      <c r="BL22" s="3010"/>
      <c r="BM22" s="3011"/>
      <c r="BN22" s="3016"/>
      <c r="BO22" s="3017"/>
      <c r="BP22" s="3017"/>
      <c r="BQ22" s="3010"/>
      <c r="BR22" s="3011"/>
      <c r="BS22" s="3016"/>
      <c r="BT22" s="3017"/>
      <c r="BU22" s="3017"/>
      <c r="BV22" s="3010"/>
      <c r="BW22" s="3011"/>
      <c r="BX22" s="3016"/>
      <c r="BY22" s="3017"/>
      <c r="BZ22" s="3017"/>
      <c r="CA22" s="3010"/>
      <c r="CB22" s="3011"/>
    </row>
    <row r="23" spans="1:148" ht="11.25" customHeight="1" x14ac:dyDescent="0.25">
      <c r="A23" s="3018"/>
      <c r="B23" s="3019"/>
      <c r="C23" s="3019"/>
      <c r="D23" s="3012"/>
      <c r="E23" s="3013"/>
      <c r="F23" s="3018"/>
      <c r="G23" s="3019"/>
      <c r="H23" s="3019"/>
      <c r="I23" s="3012"/>
      <c r="J23" s="3013"/>
      <c r="K23" s="3018"/>
      <c r="L23" s="3019"/>
      <c r="M23" s="3019"/>
      <c r="N23" s="3012"/>
      <c r="O23" s="3013"/>
      <c r="P23" s="3018"/>
      <c r="Q23" s="3019"/>
      <c r="R23" s="3019"/>
      <c r="S23" s="3012"/>
      <c r="T23" s="3013"/>
      <c r="U23" s="3018"/>
      <c r="V23" s="3019"/>
      <c r="W23" s="3019"/>
      <c r="X23" s="3012"/>
      <c r="Y23" s="3013"/>
      <c r="Z23" s="3018"/>
      <c r="AA23" s="3019"/>
      <c r="AB23" s="3019"/>
      <c r="AC23" s="3012"/>
      <c r="AD23" s="3013"/>
      <c r="AE23" s="3018"/>
      <c r="AF23" s="3019"/>
      <c r="AG23" s="3019"/>
      <c r="AH23" s="3012"/>
      <c r="AI23" s="3013"/>
      <c r="AJ23" s="3018"/>
      <c r="AK23" s="3019"/>
      <c r="AL23" s="3019"/>
      <c r="AM23" s="3012"/>
      <c r="AN23" s="3013"/>
      <c r="AO23" s="3018"/>
      <c r="AP23" s="3019"/>
      <c r="AQ23" s="3019"/>
      <c r="AR23" s="3012"/>
      <c r="AS23" s="3013"/>
      <c r="AT23" s="3018"/>
      <c r="AU23" s="3019"/>
      <c r="AV23" s="3019"/>
      <c r="AW23" s="3012"/>
      <c r="AX23" s="3013"/>
      <c r="AY23" s="3018"/>
      <c r="AZ23" s="3019"/>
      <c r="BA23" s="3019"/>
      <c r="BB23" s="3012"/>
      <c r="BC23" s="3013"/>
      <c r="BD23" s="3018"/>
      <c r="BE23" s="3019"/>
      <c r="BF23" s="3019"/>
      <c r="BG23" s="3012"/>
      <c r="BH23" s="3013"/>
      <c r="BI23" s="3018"/>
      <c r="BJ23" s="3019"/>
      <c r="BK23" s="3019"/>
      <c r="BL23" s="3012"/>
      <c r="BM23" s="3013"/>
      <c r="BN23" s="3018"/>
      <c r="BO23" s="3019"/>
      <c r="BP23" s="3019"/>
      <c r="BQ23" s="3012"/>
      <c r="BR23" s="3013"/>
      <c r="BS23" s="3018"/>
      <c r="BT23" s="3019"/>
      <c r="BU23" s="3019"/>
      <c r="BV23" s="3012"/>
      <c r="BW23" s="3013"/>
      <c r="BX23" s="3018"/>
      <c r="BY23" s="3019"/>
      <c r="BZ23" s="3019"/>
      <c r="CA23" s="3012"/>
      <c r="CB23" s="3013"/>
    </row>
    <row r="24" spans="1:148" s="22" customFormat="1" ht="111.75" customHeight="1" x14ac:dyDescent="1.35">
      <c r="A24" s="634" t="s">
        <v>133</v>
      </c>
      <c r="B24" s="2845"/>
      <c r="C24" s="2846"/>
      <c r="D24" s="2846"/>
      <c r="E24" s="2847"/>
      <c r="F24" s="634" t="s">
        <v>133</v>
      </c>
      <c r="G24" s="2845"/>
      <c r="H24" s="2846"/>
      <c r="I24" s="2846"/>
      <c r="J24" s="2847"/>
      <c r="K24" s="634" t="s">
        <v>133</v>
      </c>
      <c r="L24" s="2845"/>
      <c r="M24" s="2846"/>
      <c r="N24" s="2846"/>
      <c r="O24" s="2847"/>
      <c r="P24" s="634" t="s">
        <v>133</v>
      </c>
      <c r="Q24" s="2845"/>
      <c r="R24" s="2846"/>
      <c r="S24" s="2846"/>
      <c r="T24" s="2847"/>
      <c r="U24" s="634" t="s">
        <v>133</v>
      </c>
      <c r="V24" s="2845"/>
      <c r="W24" s="2846"/>
      <c r="X24" s="2846"/>
      <c r="Y24" s="2847"/>
      <c r="Z24" s="634" t="s">
        <v>133</v>
      </c>
      <c r="AA24" s="2845"/>
      <c r="AB24" s="2846"/>
      <c r="AC24" s="2846"/>
      <c r="AD24" s="2847"/>
      <c r="AE24" s="634" t="s">
        <v>133</v>
      </c>
      <c r="AF24" s="2845"/>
      <c r="AG24" s="2846"/>
      <c r="AH24" s="2846"/>
      <c r="AI24" s="2847"/>
      <c r="AJ24" s="634" t="s">
        <v>133</v>
      </c>
      <c r="AK24" s="2845"/>
      <c r="AL24" s="2846"/>
      <c r="AM24" s="2846"/>
      <c r="AN24" s="2847"/>
      <c r="AO24" s="634" t="s">
        <v>133</v>
      </c>
      <c r="AP24" s="2845"/>
      <c r="AQ24" s="2846"/>
      <c r="AR24" s="2846"/>
      <c r="AS24" s="2847"/>
      <c r="AT24" s="634" t="s">
        <v>133</v>
      </c>
      <c r="AU24" s="2845"/>
      <c r="AV24" s="2846"/>
      <c r="AW24" s="2846"/>
      <c r="AX24" s="2847"/>
      <c r="AY24" s="634" t="s">
        <v>133</v>
      </c>
      <c r="AZ24" s="2845"/>
      <c r="BA24" s="2846"/>
      <c r="BB24" s="2846"/>
      <c r="BC24" s="2847"/>
      <c r="BD24" s="634" t="s">
        <v>133</v>
      </c>
      <c r="BE24" s="2845"/>
      <c r="BF24" s="2846"/>
      <c r="BG24" s="2846"/>
      <c r="BH24" s="2847"/>
      <c r="BI24" s="634" t="s">
        <v>133</v>
      </c>
      <c r="BJ24" s="2845"/>
      <c r="BK24" s="2846"/>
      <c r="BL24" s="2846"/>
      <c r="BM24" s="2847"/>
      <c r="BN24" s="634" t="s">
        <v>133</v>
      </c>
      <c r="BO24" s="2845"/>
      <c r="BP24" s="2846"/>
      <c r="BQ24" s="2846"/>
      <c r="BR24" s="2847"/>
      <c r="BS24" s="634" t="s">
        <v>133</v>
      </c>
      <c r="BT24" s="2845"/>
      <c r="BU24" s="2846"/>
      <c r="BV24" s="2846"/>
      <c r="BW24" s="2847"/>
      <c r="BX24" s="634" t="s">
        <v>133</v>
      </c>
      <c r="BY24" s="2845"/>
      <c r="BZ24" s="2846"/>
      <c r="CA24" s="2846"/>
      <c r="CB24" s="2847"/>
    </row>
    <row r="25" spans="1:148" ht="50.25" customHeight="1" thickBot="1" x14ac:dyDescent="0.3">
      <c r="A25" s="635"/>
      <c r="B25" s="518"/>
      <c r="C25" s="519" t="s">
        <v>113</v>
      </c>
      <c r="D25" s="520"/>
      <c r="E25" s="523" t="s">
        <v>114</v>
      </c>
      <c r="F25" s="635"/>
      <c r="G25" s="518"/>
      <c r="H25" s="519" t="s">
        <v>113</v>
      </c>
      <c r="I25" s="520"/>
      <c r="J25" s="523" t="s">
        <v>114</v>
      </c>
      <c r="K25" s="635"/>
      <c r="L25" s="518"/>
      <c r="M25" s="519" t="s">
        <v>113</v>
      </c>
      <c r="N25" s="520"/>
      <c r="O25" s="523" t="s">
        <v>114</v>
      </c>
      <c r="P25" s="635"/>
      <c r="Q25" s="518"/>
      <c r="R25" s="519" t="s">
        <v>113</v>
      </c>
      <c r="S25" s="520"/>
      <c r="T25" s="523" t="s">
        <v>114</v>
      </c>
      <c r="U25" s="635"/>
      <c r="V25" s="518"/>
      <c r="W25" s="519" t="s">
        <v>113</v>
      </c>
      <c r="X25" s="520"/>
      <c r="Y25" s="523" t="s">
        <v>114</v>
      </c>
      <c r="Z25" s="635"/>
      <c r="AA25" s="518"/>
      <c r="AB25" s="519" t="s">
        <v>113</v>
      </c>
      <c r="AC25" s="520"/>
      <c r="AD25" s="523" t="s">
        <v>114</v>
      </c>
      <c r="AE25" s="635"/>
      <c r="AF25" s="518"/>
      <c r="AG25" s="519" t="s">
        <v>113</v>
      </c>
      <c r="AH25" s="520"/>
      <c r="AI25" s="523" t="s">
        <v>114</v>
      </c>
      <c r="AJ25" s="635"/>
      <c r="AK25" s="518"/>
      <c r="AL25" s="519" t="s">
        <v>113</v>
      </c>
      <c r="AM25" s="520"/>
      <c r="AN25" s="523" t="s">
        <v>114</v>
      </c>
      <c r="AO25" s="635"/>
      <c r="AP25" s="518"/>
      <c r="AQ25" s="519" t="s">
        <v>113</v>
      </c>
      <c r="AR25" s="520"/>
      <c r="AS25" s="523" t="s">
        <v>114</v>
      </c>
      <c r="AT25" s="635"/>
      <c r="AU25" s="518"/>
      <c r="AV25" s="519" t="s">
        <v>113</v>
      </c>
      <c r="AW25" s="520"/>
      <c r="AX25" s="523" t="s">
        <v>114</v>
      </c>
      <c r="AY25" s="635"/>
      <c r="AZ25" s="518"/>
      <c r="BA25" s="519" t="s">
        <v>113</v>
      </c>
      <c r="BB25" s="520"/>
      <c r="BC25" s="523" t="s">
        <v>114</v>
      </c>
      <c r="BD25" s="635"/>
      <c r="BE25" s="518"/>
      <c r="BF25" s="519" t="s">
        <v>113</v>
      </c>
      <c r="BG25" s="520"/>
      <c r="BH25" s="523" t="s">
        <v>114</v>
      </c>
      <c r="BI25" s="635"/>
      <c r="BJ25" s="518"/>
      <c r="BK25" s="519" t="s">
        <v>113</v>
      </c>
      <c r="BL25" s="520"/>
      <c r="BM25" s="523" t="s">
        <v>114</v>
      </c>
      <c r="BN25" s="635"/>
      <c r="BO25" s="518"/>
      <c r="BP25" s="519" t="s">
        <v>113</v>
      </c>
      <c r="BQ25" s="520"/>
      <c r="BR25" s="523" t="s">
        <v>114</v>
      </c>
      <c r="BS25" s="635"/>
      <c r="BT25" s="518"/>
      <c r="BU25" s="519" t="s">
        <v>113</v>
      </c>
      <c r="BV25" s="520"/>
      <c r="BW25" s="523" t="s">
        <v>114</v>
      </c>
      <c r="BX25" s="635"/>
      <c r="BY25" s="518"/>
      <c r="BZ25" s="519" t="s">
        <v>113</v>
      </c>
      <c r="CA25" s="520"/>
      <c r="CB25" s="523" t="s">
        <v>114</v>
      </c>
      <c r="CG25" s="27"/>
      <c r="CH25" s="27"/>
      <c r="CI25" s="27"/>
      <c r="CJ25" s="27"/>
      <c r="CK25" s="27"/>
      <c r="CL25" s="27"/>
      <c r="CM25" s="27"/>
      <c r="CN25" s="27"/>
      <c r="CO25" s="27"/>
    </row>
    <row r="26" spans="1:148" ht="57" customHeight="1" thickTop="1" x14ac:dyDescent="0.25">
      <c r="A26" s="630" t="s">
        <v>110</v>
      </c>
      <c r="B26" s="631"/>
      <c r="C26" s="3026">
        <f t="shared" ref="C26" si="62">B31/((36*3.1415/59)*(45/3.281))</f>
        <v>0</v>
      </c>
      <c r="D26" s="3026"/>
      <c r="E26" s="3027"/>
      <c r="F26" s="630" t="s">
        <v>110</v>
      </c>
      <c r="G26" s="631"/>
      <c r="H26" s="3026">
        <f t="shared" ref="H26" si="63">G31/((36*3.1415/59)*(45/3.281))</f>
        <v>0</v>
      </c>
      <c r="I26" s="3026"/>
      <c r="J26" s="3027"/>
      <c r="K26" s="630" t="s">
        <v>110</v>
      </c>
      <c r="L26" s="631"/>
      <c r="M26" s="3026">
        <f t="shared" ref="M26" si="64">L31/((36*3.1415/59)*(45/3.281))</f>
        <v>0</v>
      </c>
      <c r="N26" s="3026"/>
      <c r="O26" s="3027"/>
      <c r="P26" s="630" t="s">
        <v>110</v>
      </c>
      <c r="Q26" s="631"/>
      <c r="R26" s="3026">
        <f t="shared" ref="R26" si="65">Q31/((36*3.1415/59)*(45/3.281))</f>
        <v>0</v>
      </c>
      <c r="S26" s="3026"/>
      <c r="T26" s="3027"/>
      <c r="U26" s="630" t="s">
        <v>110</v>
      </c>
      <c r="V26" s="631"/>
      <c r="W26" s="3026">
        <f t="shared" ref="W26" si="66">V31/((36*3.1415/59)*(45/3.281))</f>
        <v>0</v>
      </c>
      <c r="X26" s="3026"/>
      <c r="Y26" s="3027"/>
      <c r="Z26" s="630" t="s">
        <v>110</v>
      </c>
      <c r="AA26" s="631"/>
      <c r="AB26" s="3026">
        <f t="shared" ref="AB26" si="67">AA31/((36*3.1415/59)*(45/3.281))</f>
        <v>0</v>
      </c>
      <c r="AC26" s="3026"/>
      <c r="AD26" s="3027"/>
      <c r="AE26" s="630" t="s">
        <v>110</v>
      </c>
      <c r="AF26" s="631"/>
      <c r="AG26" s="3026">
        <f t="shared" ref="AG26" si="68">AF31/((36*3.1415/59)*(45/3.281))</f>
        <v>0</v>
      </c>
      <c r="AH26" s="3026"/>
      <c r="AI26" s="3027"/>
      <c r="AJ26" s="630" t="s">
        <v>110</v>
      </c>
      <c r="AK26" s="631"/>
      <c r="AL26" s="3026">
        <f t="shared" ref="AL26" si="69">AK31/((36*3.1415/59)*(45/3.281))</f>
        <v>0</v>
      </c>
      <c r="AM26" s="3026"/>
      <c r="AN26" s="3027"/>
      <c r="AO26" s="630" t="s">
        <v>110</v>
      </c>
      <c r="AP26" s="631"/>
      <c r="AQ26" s="3026">
        <f t="shared" ref="AQ26" si="70">AP31/((36*3.1415/59)*(45/3.281))</f>
        <v>0</v>
      </c>
      <c r="AR26" s="3026"/>
      <c r="AS26" s="3027"/>
      <c r="AT26" s="630" t="s">
        <v>110</v>
      </c>
      <c r="AU26" s="631"/>
      <c r="AV26" s="3026">
        <f t="shared" ref="AV26" si="71">AU31/((36*3.1415/59)*(45/3.281))</f>
        <v>0</v>
      </c>
      <c r="AW26" s="3026"/>
      <c r="AX26" s="3027"/>
      <c r="AY26" s="630" t="s">
        <v>110</v>
      </c>
      <c r="AZ26" s="631"/>
      <c r="BA26" s="3026">
        <f t="shared" ref="BA26" si="72">AZ31/((36*3.1415/59)*(45/3.281))</f>
        <v>0</v>
      </c>
      <c r="BB26" s="3026"/>
      <c r="BC26" s="3027"/>
      <c r="BD26" s="630" t="s">
        <v>110</v>
      </c>
      <c r="BE26" s="631"/>
      <c r="BF26" s="3026">
        <f t="shared" ref="BF26" si="73">BE31/((36*3.1415/59)*(45/3.281))</f>
        <v>0</v>
      </c>
      <c r="BG26" s="3026"/>
      <c r="BH26" s="3027"/>
      <c r="BI26" s="630" t="s">
        <v>110</v>
      </c>
      <c r="BJ26" s="631"/>
      <c r="BK26" s="3026">
        <f t="shared" ref="BK26" si="74">BJ31/((36*3.1415/59)*(45/3.281))</f>
        <v>0</v>
      </c>
      <c r="BL26" s="3026"/>
      <c r="BM26" s="3027"/>
      <c r="BN26" s="630" t="s">
        <v>110</v>
      </c>
      <c r="BO26" s="631"/>
      <c r="BP26" s="3026">
        <f t="shared" ref="BP26" si="75">BO31/((36*3.1415/59)*(45/3.281))</f>
        <v>0</v>
      </c>
      <c r="BQ26" s="3026"/>
      <c r="BR26" s="3027"/>
      <c r="BS26" s="630" t="s">
        <v>110</v>
      </c>
      <c r="BT26" s="631"/>
      <c r="BU26" s="3026">
        <f t="shared" ref="BU26" si="76">BT31/((36*3.1415/59)*(45/3.281))</f>
        <v>0</v>
      </c>
      <c r="BV26" s="3026"/>
      <c r="BW26" s="3027"/>
      <c r="BX26" s="630" t="s">
        <v>110</v>
      </c>
      <c r="BY26" s="631"/>
      <c r="BZ26" s="3026">
        <f t="shared" ref="BZ26" si="77">BY31/((36*3.1415/59)*(45/3.281))</f>
        <v>0</v>
      </c>
      <c r="CA26" s="3026"/>
      <c r="CB26" s="3027"/>
    </row>
    <row r="27" spans="1:148" ht="11.25" customHeight="1" x14ac:dyDescent="0.25">
      <c r="A27" s="3014" t="s">
        <v>25</v>
      </c>
      <c r="B27" s="3015"/>
      <c r="C27" s="3015"/>
      <c r="D27" s="3008" t="s">
        <v>706</v>
      </c>
      <c r="E27" s="3009"/>
      <c r="F27" s="3014" t="s">
        <v>25</v>
      </c>
      <c r="G27" s="3015"/>
      <c r="H27" s="3015"/>
      <c r="I27" s="3008" t="s">
        <v>706</v>
      </c>
      <c r="J27" s="3009"/>
      <c r="K27" s="3014" t="s">
        <v>25</v>
      </c>
      <c r="L27" s="3015"/>
      <c r="M27" s="3015"/>
      <c r="N27" s="3008" t="s">
        <v>706</v>
      </c>
      <c r="O27" s="3009"/>
      <c r="P27" s="3014" t="s">
        <v>25</v>
      </c>
      <c r="Q27" s="3015"/>
      <c r="R27" s="3015"/>
      <c r="S27" s="3008" t="s">
        <v>706</v>
      </c>
      <c r="T27" s="3009"/>
      <c r="U27" s="3014" t="s">
        <v>25</v>
      </c>
      <c r="V27" s="3015"/>
      <c r="W27" s="3015"/>
      <c r="X27" s="3008" t="s">
        <v>706</v>
      </c>
      <c r="Y27" s="3009"/>
      <c r="Z27" s="3014" t="s">
        <v>25</v>
      </c>
      <c r="AA27" s="3015"/>
      <c r="AB27" s="3015"/>
      <c r="AC27" s="3008" t="s">
        <v>706</v>
      </c>
      <c r="AD27" s="3009"/>
      <c r="AE27" s="3014" t="s">
        <v>25</v>
      </c>
      <c r="AF27" s="3015"/>
      <c r="AG27" s="3015"/>
      <c r="AH27" s="3008" t="s">
        <v>706</v>
      </c>
      <c r="AI27" s="3009"/>
      <c r="AJ27" s="3014" t="s">
        <v>25</v>
      </c>
      <c r="AK27" s="3015"/>
      <c r="AL27" s="3015"/>
      <c r="AM27" s="3008" t="s">
        <v>706</v>
      </c>
      <c r="AN27" s="3009"/>
      <c r="AO27" s="3014" t="s">
        <v>25</v>
      </c>
      <c r="AP27" s="3015"/>
      <c r="AQ27" s="3015"/>
      <c r="AR27" s="3008" t="s">
        <v>706</v>
      </c>
      <c r="AS27" s="3009"/>
      <c r="AT27" s="3014" t="s">
        <v>25</v>
      </c>
      <c r="AU27" s="3015"/>
      <c r="AV27" s="3015"/>
      <c r="AW27" s="3008" t="s">
        <v>706</v>
      </c>
      <c r="AX27" s="3009"/>
      <c r="AY27" s="3014" t="s">
        <v>25</v>
      </c>
      <c r="AZ27" s="3015"/>
      <c r="BA27" s="3015"/>
      <c r="BB27" s="3008" t="s">
        <v>706</v>
      </c>
      <c r="BC27" s="3009"/>
      <c r="BD27" s="3014" t="s">
        <v>25</v>
      </c>
      <c r="BE27" s="3015"/>
      <c r="BF27" s="3015"/>
      <c r="BG27" s="3008" t="s">
        <v>706</v>
      </c>
      <c r="BH27" s="3009"/>
      <c r="BI27" s="3014" t="s">
        <v>25</v>
      </c>
      <c r="BJ27" s="3015"/>
      <c r="BK27" s="3015"/>
      <c r="BL27" s="3008" t="s">
        <v>706</v>
      </c>
      <c r="BM27" s="3009"/>
      <c r="BN27" s="3014" t="s">
        <v>25</v>
      </c>
      <c r="BO27" s="3015"/>
      <c r="BP27" s="3015"/>
      <c r="BQ27" s="3008" t="s">
        <v>706</v>
      </c>
      <c r="BR27" s="3009"/>
      <c r="BS27" s="3014" t="s">
        <v>25</v>
      </c>
      <c r="BT27" s="3015"/>
      <c r="BU27" s="3015"/>
      <c r="BV27" s="3008" t="s">
        <v>706</v>
      </c>
      <c r="BW27" s="3009"/>
      <c r="BX27" s="3014" t="s">
        <v>25</v>
      </c>
      <c r="BY27" s="3015"/>
      <c r="BZ27" s="3015"/>
      <c r="CA27" s="3008" t="s">
        <v>706</v>
      </c>
      <c r="CB27" s="3009"/>
    </row>
    <row r="28" spans="1:148" ht="11.25" customHeight="1" x14ac:dyDescent="0.25">
      <c r="A28" s="3016"/>
      <c r="B28" s="3017"/>
      <c r="C28" s="3017"/>
      <c r="D28" s="3010"/>
      <c r="E28" s="3011"/>
      <c r="F28" s="3016"/>
      <c r="G28" s="3017"/>
      <c r="H28" s="3017"/>
      <c r="I28" s="3010"/>
      <c r="J28" s="3011"/>
      <c r="K28" s="3016"/>
      <c r="L28" s="3017"/>
      <c r="M28" s="3017"/>
      <c r="N28" s="3010"/>
      <c r="O28" s="3011"/>
      <c r="P28" s="3016"/>
      <c r="Q28" s="3017"/>
      <c r="R28" s="3017"/>
      <c r="S28" s="3010"/>
      <c r="T28" s="3011"/>
      <c r="U28" s="3016"/>
      <c r="V28" s="3017"/>
      <c r="W28" s="3017"/>
      <c r="X28" s="3010"/>
      <c r="Y28" s="3011"/>
      <c r="Z28" s="3016"/>
      <c r="AA28" s="3017"/>
      <c r="AB28" s="3017"/>
      <c r="AC28" s="3010"/>
      <c r="AD28" s="3011"/>
      <c r="AE28" s="3016"/>
      <c r="AF28" s="3017"/>
      <c r="AG28" s="3017"/>
      <c r="AH28" s="3010"/>
      <c r="AI28" s="3011"/>
      <c r="AJ28" s="3016"/>
      <c r="AK28" s="3017"/>
      <c r="AL28" s="3017"/>
      <c r="AM28" s="3010"/>
      <c r="AN28" s="3011"/>
      <c r="AO28" s="3016"/>
      <c r="AP28" s="3017"/>
      <c r="AQ28" s="3017"/>
      <c r="AR28" s="3010"/>
      <c r="AS28" s="3011"/>
      <c r="AT28" s="3016"/>
      <c r="AU28" s="3017"/>
      <c r="AV28" s="3017"/>
      <c r="AW28" s="3010"/>
      <c r="AX28" s="3011"/>
      <c r="AY28" s="3016"/>
      <c r="AZ28" s="3017"/>
      <c r="BA28" s="3017"/>
      <c r="BB28" s="3010"/>
      <c r="BC28" s="3011"/>
      <c r="BD28" s="3016"/>
      <c r="BE28" s="3017"/>
      <c r="BF28" s="3017"/>
      <c r="BG28" s="3010"/>
      <c r="BH28" s="3011"/>
      <c r="BI28" s="3016"/>
      <c r="BJ28" s="3017"/>
      <c r="BK28" s="3017"/>
      <c r="BL28" s="3010"/>
      <c r="BM28" s="3011"/>
      <c r="BN28" s="3016"/>
      <c r="BO28" s="3017"/>
      <c r="BP28" s="3017"/>
      <c r="BQ28" s="3010"/>
      <c r="BR28" s="3011"/>
      <c r="BS28" s="3016"/>
      <c r="BT28" s="3017"/>
      <c r="BU28" s="3017"/>
      <c r="BV28" s="3010"/>
      <c r="BW28" s="3011"/>
      <c r="BX28" s="3016"/>
      <c r="BY28" s="3017"/>
      <c r="BZ28" s="3017"/>
      <c r="CA28" s="3010"/>
      <c r="CB28" s="3011"/>
      <c r="EN28" s="13"/>
      <c r="EO28" s="13"/>
      <c r="EP28" s="13"/>
      <c r="EQ28" s="13"/>
      <c r="ER28" s="13"/>
    </row>
    <row r="29" spans="1:148" ht="11.25" customHeight="1" x14ac:dyDescent="0.25">
      <c r="A29" s="3018"/>
      <c r="B29" s="3019"/>
      <c r="C29" s="3019"/>
      <c r="D29" s="3012"/>
      <c r="E29" s="3013"/>
      <c r="F29" s="3018"/>
      <c r="G29" s="3019"/>
      <c r="H29" s="3019"/>
      <c r="I29" s="3012"/>
      <c r="J29" s="3013"/>
      <c r="K29" s="3018"/>
      <c r="L29" s="3019"/>
      <c r="M29" s="3019"/>
      <c r="N29" s="3012"/>
      <c r="O29" s="3013"/>
      <c r="P29" s="3018"/>
      <c r="Q29" s="3019"/>
      <c r="R29" s="3019"/>
      <c r="S29" s="3012"/>
      <c r="T29" s="3013"/>
      <c r="U29" s="3018"/>
      <c r="V29" s="3019"/>
      <c r="W29" s="3019"/>
      <c r="X29" s="3012"/>
      <c r="Y29" s="3013"/>
      <c r="Z29" s="3018"/>
      <c r="AA29" s="3019"/>
      <c r="AB29" s="3019"/>
      <c r="AC29" s="3012"/>
      <c r="AD29" s="3013"/>
      <c r="AE29" s="3018"/>
      <c r="AF29" s="3019"/>
      <c r="AG29" s="3019"/>
      <c r="AH29" s="3012"/>
      <c r="AI29" s="3013"/>
      <c r="AJ29" s="3018"/>
      <c r="AK29" s="3019"/>
      <c r="AL29" s="3019"/>
      <c r="AM29" s="3012"/>
      <c r="AN29" s="3013"/>
      <c r="AO29" s="3018"/>
      <c r="AP29" s="3019"/>
      <c r="AQ29" s="3019"/>
      <c r="AR29" s="3012"/>
      <c r="AS29" s="3013"/>
      <c r="AT29" s="3018"/>
      <c r="AU29" s="3019"/>
      <c r="AV29" s="3019"/>
      <c r="AW29" s="3012"/>
      <c r="AX29" s="3013"/>
      <c r="AY29" s="3018"/>
      <c r="AZ29" s="3019"/>
      <c r="BA29" s="3019"/>
      <c r="BB29" s="3012"/>
      <c r="BC29" s="3013"/>
      <c r="BD29" s="3018"/>
      <c r="BE29" s="3019"/>
      <c r="BF29" s="3019"/>
      <c r="BG29" s="3012"/>
      <c r="BH29" s="3013"/>
      <c r="BI29" s="3018"/>
      <c r="BJ29" s="3019"/>
      <c r="BK29" s="3019"/>
      <c r="BL29" s="3012"/>
      <c r="BM29" s="3013"/>
      <c r="BN29" s="3018"/>
      <c r="BO29" s="3019"/>
      <c r="BP29" s="3019"/>
      <c r="BQ29" s="3012"/>
      <c r="BR29" s="3013"/>
      <c r="BS29" s="3018"/>
      <c r="BT29" s="3019"/>
      <c r="BU29" s="3019"/>
      <c r="BV29" s="3012"/>
      <c r="BW29" s="3013"/>
      <c r="BX29" s="3018"/>
      <c r="BY29" s="3019"/>
      <c r="BZ29" s="3019"/>
      <c r="CA29" s="3012"/>
      <c r="CB29" s="3013"/>
      <c r="EN29" s="13"/>
      <c r="EO29" s="13"/>
      <c r="EP29" s="13"/>
      <c r="EQ29" s="13"/>
      <c r="ER29" s="13"/>
    </row>
    <row r="30" spans="1:148" s="22" customFormat="1" ht="111.75" customHeight="1" x14ac:dyDescent="1.35">
      <c r="A30" s="634" t="s">
        <v>133</v>
      </c>
      <c r="B30" s="2845"/>
      <c r="C30" s="2846"/>
      <c r="D30" s="2846"/>
      <c r="E30" s="2847"/>
      <c r="F30" s="634" t="s">
        <v>133</v>
      </c>
      <c r="G30" s="2845"/>
      <c r="H30" s="2846"/>
      <c r="I30" s="2846"/>
      <c r="J30" s="2847"/>
      <c r="K30" s="634" t="s">
        <v>133</v>
      </c>
      <c r="L30" s="2845"/>
      <c r="M30" s="2846"/>
      <c r="N30" s="2846"/>
      <c r="O30" s="2847"/>
      <c r="P30" s="634" t="s">
        <v>133</v>
      </c>
      <c r="Q30" s="2845"/>
      <c r="R30" s="2846"/>
      <c r="S30" s="2846"/>
      <c r="T30" s="2847"/>
      <c r="U30" s="634" t="s">
        <v>133</v>
      </c>
      <c r="V30" s="2845"/>
      <c r="W30" s="2846"/>
      <c r="X30" s="2846"/>
      <c r="Y30" s="2847"/>
      <c r="Z30" s="634" t="s">
        <v>133</v>
      </c>
      <c r="AA30" s="2845"/>
      <c r="AB30" s="2846"/>
      <c r="AC30" s="2846"/>
      <c r="AD30" s="2847"/>
      <c r="AE30" s="634" t="s">
        <v>133</v>
      </c>
      <c r="AF30" s="2845"/>
      <c r="AG30" s="2846"/>
      <c r="AH30" s="2846"/>
      <c r="AI30" s="2847"/>
      <c r="AJ30" s="634" t="s">
        <v>133</v>
      </c>
      <c r="AK30" s="2845"/>
      <c r="AL30" s="2846"/>
      <c r="AM30" s="2846"/>
      <c r="AN30" s="2847"/>
      <c r="AO30" s="634" t="s">
        <v>133</v>
      </c>
      <c r="AP30" s="2845"/>
      <c r="AQ30" s="2846"/>
      <c r="AR30" s="2846"/>
      <c r="AS30" s="2847"/>
      <c r="AT30" s="634" t="s">
        <v>133</v>
      </c>
      <c r="AU30" s="2845"/>
      <c r="AV30" s="2846"/>
      <c r="AW30" s="2846"/>
      <c r="AX30" s="2847"/>
      <c r="AY30" s="634" t="s">
        <v>133</v>
      </c>
      <c r="AZ30" s="2845"/>
      <c r="BA30" s="2846"/>
      <c r="BB30" s="2846"/>
      <c r="BC30" s="2847"/>
      <c r="BD30" s="634" t="s">
        <v>133</v>
      </c>
      <c r="BE30" s="2845"/>
      <c r="BF30" s="2846"/>
      <c r="BG30" s="2846"/>
      <c r="BH30" s="2847"/>
      <c r="BI30" s="634" t="s">
        <v>133</v>
      </c>
      <c r="BJ30" s="2845"/>
      <c r="BK30" s="2846"/>
      <c r="BL30" s="2846"/>
      <c r="BM30" s="2847"/>
      <c r="BN30" s="634" t="s">
        <v>133</v>
      </c>
      <c r="BO30" s="2845"/>
      <c r="BP30" s="2846"/>
      <c r="BQ30" s="2846"/>
      <c r="BR30" s="2847"/>
      <c r="BS30" s="634" t="s">
        <v>133</v>
      </c>
      <c r="BT30" s="2845"/>
      <c r="BU30" s="2846"/>
      <c r="BV30" s="2846"/>
      <c r="BW30" s="2847"/>
      <c r="BX30" s="634" t="s">
        <v>133</v>
      </c>
      <c r="BY30" s="2845"/>
      <c r="BZ30" s="2846"/>
      <c r="CA30" s="2846"/>
      <c r="CB30" s="2847"/>
      <c r="DE30" s="56"/>
      <c r="EN30" s="13"/>
      <c r="EO30" s="13"/>
      <c r="EP30" s="13"/>
      <c r="EQ30" s="13"/>
      <c r="ER30" s="13"/>
    </row>
    <row r="31" spans="1:148" ht="50.25" customHeight="1" thickBot="1" x14ac:dyDescent="0.3">
      <c r="A31" s="635"/>
      <c r="B31" s="518"/>
      <c r="C31" s="519" t="s">
        <v>113</v>
      </c>
      <c r="D31" s="520"/>
      <c r="E31" s="523" t="s">
        <v>114</v>
      </c>
      <c r="F31" s="635"/>
      <c r="G31" s="518"/>
      <c r="H31" s="519" t="s">
        <v>113</v>
      </c>
      <c r="I31" s="520"/>
      <c r="J31" s="523" t="s">
        <v>114</v>
      </c>
      <c r="K31" s="635"/>
      <c r="L31" s="518"/>
      <c r="M31" s="519" t="s">
        <v>113</v>
      </c>
      <c r="N31" s="520"/>
      <c r="O31" s="523" t="s">
        <v>114</v>
      </c>
      <c r="P31" s="635"/>
      <c r="Q31" s="518"/>
      <c r="R31" s="519" t="s">
        <v>113</v>
      </c>
      <c r="S31" s="520"/>
      <c r="T31" s="523" t="s">
        <v>114</v>
      </c>
      <c r="U31" s="635"/>
      <c r="V31" s="518"/>
      <c r="W31" s="519" t="s">
        <v>113</v>
      </c>
      <c r="X31" s="520"/>
      <c r="Y31" s="523" t="s">
        <v>114</v>
      </c>
      <c r="Z31" s="635"/>
      <c r="AA31" s="518"/>
      <c r="AB31" s="519" t="s">
        <v>113</v>
      </c>
      <c r="AC31" s="520"/>
      <c r="AD31" s="523" t="s">
        <v>114</v>
      </c>
      <c r="AE31" s="635"/>
      <c r="AF31" s="518"/>
      <c r="AG31" s="519" t="s">
        <v>113</v>
      </c>
      <c r="AH31" s="520"/>
      <c r="AI31" s="523" t="s">
        <v>114</v>
      </c>
      <c r="AJ31" s="635"/>
      <c r="AK31" s="518"/>
      <c r="AL31" s="519" t="s">
        <v>113</v>
      </c>
      <c r="AM31" s="520"/>
      <c r="AN31" s="523" t="s">
        <v>114</v>
      </c>
      <c r="AO31" s="635"/>
      <c r="AP31" s="518"/>
      <c r="AQ31" s="519" t="s">
        <v>113</v>
      </c>
      <c r="AR31" s="520"/>
      <c r="AS31" s="523" t="s">
        <v>114</v>
      </c>
      <c r="AT31" s="635"/>
      <c r="AU31" s="518"/>
      <c r="AV31" s="519" t="s">
        <v>113</v>
      </c>
      <c r="AW31" s="520"/>
      <c r="AX31" s="523" t="s">
        <v>114</v>
      </c>
      <c r="AY31" s="635"/>
      <c r="AZ31" s="518"/>
      <c r="BA31" s="519" t="s">
        <v>113</v>
      </c>
      <c r="BB31" s="520"/>
      <c r="BC31" s="523" t="s">
        <v>114</v>
      </c>
      <c r="BD31" s="635"/>
      <c r="BE31" s="518"/>
      <c r="BF31" s="519" t="s">
        <v>113</v>
      </c>
      <c r="BG31" s="520"/>
      <c r="BH31" s="523" t="s">
        <v>114</v>
      </c>
      <c r="BI31" s="635"/>
      <c r="BJ31" s="518"/>
      <c r="BK31" s="519" t="s">
        <v>113</v>
      </c>
      <c r="BL31" s="520"/>
      <c r="BM31" s="523" t="s">
        <v>114</v>
      </c>
      <c r="BN31" s="635"/>
      <c r="BO31" s="518"/>
      <c r="BP31" s="519" t="s">
        <v>113</v>
      </c>
      <c r="BQ31" s="520"/>
      <c r="BR31" s="523" t="s">
        <v>114</v>
      </c>
      <c r="BS31" s="635"/>
      <c r="BT31" s="518"/>
      <c r="BU31" s="519" t="s">
        <v>113</v>
      </c>
      <c r="BV31" s="520"/>
      <c r="BW31" s="523" t="s">
        <v>114</v>
      </c>
      <c r="BX31" s="635"/>
      <c r="BY31" s="518"/>
      <c r="BZ31" s="519" t="s">
        <v>113</v>
      </c>
      <c r="CA31" s="520"/>
      <c r="CB31" s="523" t="s">
        <v>114</v>
      </c>
      <c r="CG31" s="27"/>
      <c r="CH31" s="27"/>
      <c r="CI31" s="27"/>
      <c r="CJ31" s="27"/>
      <c r="CK31" s="27"/>
      <c r="CL31" s="27"/>
      <c r="CM31" s="27"/>
      <c r="CN31" s="27"/>
      <c r="CO31" s="27"/>
      <c r="EN31" s="13"/>
      <c r="EO31" s="13"/>
      <c r="EP31" s="13"/>
      <c r="EQ31" s="13"/>
      <c r="ER31" s="13"/>
    </row>
    <row r="32" spans="1:148" ht="57" customHeight="1" thickTop="1" x14ac:dyDescent="0.25">
      <c r="A32" s="630" t="s">
        <v>110</v>
      </c>
      <c r="B32" s="631"/>
      <c r="C32" s="3026">
        <f t="shared" ref="C32" si="78">B37/((36*3.1415/59)*(45/3.281))</f>
        <v>0</v>
      </c>
      <c r="D32" s="3026"/>
      <c r="E32" s="3027"/>
      <c r="F32" s="630" t="s">
        <v>110</v>
      </c>
      <c r="G32" s="631"/>
      <c r="H32" s="3026">
        <f t="shared" ref="H32" si="79">G37/((36*3.1415/59)*(45/3.281))</f>
        <v>0</v>
      </c>
      <c r="I32" s="3026"/>
      <c r="J32" s="3027"/>
      <c r="K32" s="630" t="s">
        <v>110</v>
      </c>
      <c r="L32" s="631"/>
      <c r="M32" s="3026">
        <f t="shared" ref="M32" si="80">L37/((36*3.1415/59)*(45/3.281))</f>
        <v>0</v>
      </c>
      <c r="N32" s="3026"/>
      <c r="O32" s="3027"/>
      <c r="P32" s="630" t="s">
        <v>110</v>
      </c>
      <c r="Q32" s="631"/>
      <c r="R32" s="3026">
        <f t="shared" ref="R32" si="81">Q37/((36*3.1415/59)*(45/3.281))</f>
        <v>0</v>
      </c>
      <c r="S32" s="3026"/>
      <c r="T32" s="3027"/>
      <c r="U32" s="630" t="s">
        <v>110</v>
      </c>
      <c r="V32" s="631"/>
      <c r="W32" s="3026">
        <f t="shared" ref="W32" si="82">V37/((36*3.1415/59)*(45/3.281))</f>
        <v>0</v>
      </c>
      <c r="X32" s="3026"/>
      <c r="Y32" s="3027"/>
      <c r="Z32" s="630" t="s">
        <v>110</v>
      </c>
      <c r="AA32" s="631"/>
      <c r="AB32" s="3026">
        <f t="shared" ref="AB32" si="83">AA37/((36*3.1415/59)*(45/3.281))</f>
        <v>0</v>
      </c>
      <c r="AC32" s="3026"/>
      <c r="AD32" s="3027"/>
      <c r="AE32" s="630" t="s">
        <v>110</v>
      </c>
      <c r="AF32" s="631"/>
      <c r="AG32" s="3026">
        <f t="shared" ref="AG32" si="84">AF37/((36*3.1415/59)*(45/3.281))</f>
        <v>0</v>
      </c>
      <c r="AH32" s="3026"/>
      <c r="AI32" s="3027"/>
      <c r="AJ32" s="630" t="s">
        <v>110</v>
      </c>
      <c r="AK32" s="631"/>
      <c r="AL32" s="3026">
        <f t="shared" ref="AL32" si="85">AK37/((36*3.1415/59)*(45/3.281))</f>
        <v>0</v>
      </c>
      <c r="AM32" s="3026"/>
      <c r="AN32" s="3027"/>
      <c r="AO32" s="630" t="s">
        <v>110</v>
      </c>
      <c r="AP32" s="631"/>
      <c r="AQ32" s="3026">
        <f t="shared" ref="AQ32" si="86">AP37/((36*3.1415/59)*(45/3.281))</f>
        <v>0</v>
      </c>
      <c r="AR32" s="3026"/>
      <c r="AS32" s="3027"/>
      <c r="AT32" s="630" t="s">
        <v>110</v>
      </c>
      <c r="AU32" s="631"/>
      <c r="AV32" s="3026">
        <f t="shared" ref="AV32" si="87">AU37/((36*3.1415/59)*(45/3.281))</f>
        <v>0</v>
      </c>
      <c r="AW32" s="3026"/>
      <c r="AX32" s="3027"/>
      <c r="AY32" s="630" t="s">
        <v>110</v>
      </c>
      <c r="AZ32" s="631"/>
      <c r="BA32" s="3026">
        <f t="shared" ref="BA32" si="88">AZ37/((36*3.1415/59)*(45/3.281))</f>
        <v>0</v>
      </c>
      <c r="BB32" s="3026"/>
      <c r="BC32" s="3027"/>
      <c r="BD32" s="3022" t="s">
        <v>110</v>
      </c>
      <c r="BE32" s="3023"/>
      <c r="BF32" s="3024">
        <f>BE37/((36*3.1415/59)*(45.5/3.281))</f>
        <v>0</v>
      </c>
      <c r="BG32" s="3024"/>
      <c r="BH32" s="3025"/>
      <c r="BI32" s="3022" t="s">
        <v>110</v>
      </c>
      <c r="BJ32" s="3023"/>
      <c r="BK32" s="3024">
        <f t="shared" ref="BK32" si="89">BJ37/((36*3.1415/59)*(45.5/3.281))</f>
        <v>0</v>
      </c>
      <c r="BL32" s="3024"/>
      <c r="BM32" s="3025"/>
      <c r="BN32" s="3022" t="s">
        <v>110</v>
      </c>
      <c r="BO32" s="3023"/>
      <c r="BP32" s="3024">
        <f t="shared" ref="BP32" si="90">BO37/((36*3.1415/59)*(45.5/3.281))</f>
        <v>0</v>
      </c>
      <c r="BQ32" s="3024"/>
      <c r="BR32" s="3025"/>
      <c r="BS32" s="3022" t="s">
        <v>110</v>
      </c>
      <c r="BT32" s="3023"/>
      <c r="BU32" s="3024">
        <f t="shared" ref="BU32" si="91">BT37/((36*3.1415/59)*(45.5/3.281))</f>
        <v>0</v>
      </c>
      <c r="BV32" s="3024"/>
      <c r="BW32" s="3025"/>
      <c r="BX32" s="3022" t="s">
        <v>110</v>
      </c>
      <c r="BY32" s="3023"/>
      <c r="BZ32" s="3024">
        <f t="shared" ref="BZ32" si="92">BY37/((36*3.1415/59)*(45.5/3.281))</f>
        <v>0</v>
      </c>
      <c r="CA32" s="3024"/>
      <c r="CB32" s="3025"/>
      <c r="EN32" s="13"/>
      <c r="EO32" s="13"/>
      <c r="EP32" s="13"/>
      <c r="EQ32" s="13"/>
      <c r="ER32" s="13"/>
    </row>
    <row r="33" spans="1:148" ht="11.25" customHeight="1" x14ac:dyDescent="0.25">
      <c r="A33" s="3014" t="s">
        <v>25</v>
      </c>
      <c r="B33" s="3015"/>
      <c r="C33" s="3015"/>
      <c r="D33" s="3008" t="s">
        <v>706</v>
      </c>
      <c r="E33" s="3009"/>
      <c r="F33" s="3014" t="s">
        <v>25</v>
      </c>
      <c r="G33" s="3015"/>
      <c r="H33" s="3015"/>
      <c r="I33" s="3008" t="s">
        <v>706</v>
      </c>
      <c r="J33" s="3009"/>
      <c r="K33" s="3014" t="s">
        <v>25</v>
      </c>
      <c r="L33" s="3015"/>
      <c r="M33" s="3015"/>
      <c r="N33" s="3008" t="s">
        <v>706</v>
      </c>
      <c r="O33" s="3009"/>
      <c r="P33" s="3014" t="s">
        <v>25</v>
      </c>
      <c r="Q33" s="3015"/>
      <c r="R33" s="3015"/>
      <c r="S33" s="3008" t="s">
        <v>706</v>
      </c>
      <c r="T33" s="3009"/>
      <c r="U33" s="3014" t="s">
        <v>25</v>
      </c>
      <c r="V33" s="3015"/>
      <c r="W33" s="3015"/>
      <c r="X33" s="3008" t="s">
        <v>706</v>
      </c>
      <c r="Y33" s="3009"/>
      <c r="Z33" s="3014" t="s">
        <v>25</v>
      </c>
      <c r="AA33" s="3015"/>
      <c r="AB33" s="3015"/>
      <c r="AC33" s="3008" t="s">
        <v>706</v>
      </c>
      <c r="AD33" s="3009"/>
      <c r="AE33" s="3014" t="s">
        <v>25</v>
      </c>
      <c r="AF33" s="3015"/>
      <c r="AG33" s="3015"/>
      <c r="AH33" s="3008" t="s">
        <v>706</v>
      </c>
      <c r="AI33" s="3009"/>
      <c r="AJ33" s="3014" t="s">
        <v>25</v>
      </c>
      <c r="AK33" s="3015"/>
      <c r="AL33" s="3015"/>
      <c r="AM33" s="3008" t="s">
        <v>706</v>
      </c>
      <c r="AN33" s="3009"/>
      <c r="AO33" s="3014" t="s">
        <v>25</v>
      </c>
      <c r="AP33" s="3015"/>
      <c r="AQ33" s="3015"/>
      <c r="AR33" s="3008" t="s">
        <v>706</v>
      </c>
      <c r="AS33" s="3009"/>
      <c r="AT33" s="3014" t="s">
        <v>25</v>
      </c>
      <c r="AU33" s="3015"/>
      <c r="AV33" s="3015"/>
      <c r="AW33" s="3008" t="s">
        <v>706</v>
      </c>
      <c r="AX33" s="3009"/>
      <c r="AY33" s="3014" t="s">
        <v>25</v>
      </c>
      <c r="AZ33" s="3015"/>
      <c r="BA33" s="3015"/>
      <c r="BB33" s="3008" t="s">
        <v>706</v>
      </c>
      <c r="BC33" s="3009"/>
      <c r="BD33" s="2956" t="s">
        <v>25</v>
      </c>
      <c r="BE33" s="2957"/>
      <c r="BF33" s="2957"/>
      <c r="BG33" s="2962" t="s">
        <v>706</v>
      </c>
      <c r="BH33" s="2963"/>
      <c r="BI33" s="2956" t="s">
        <v>25</v>
      </c>
      <c r="BJ33" s="2957"/>
      <c r="BK33" s="2957"/>
      <c r="BL33" s="2962" t="s">
        <v>706</v>
      </c>
      <c r="BM33" s="2963"/>
      <c r="BN33" s="2956" t="s">
        <v>25</v>
      </c>
      <c r="BO33" s="2957"/>
      <c r="BP33" s="2957"/>
      <c r="BQ33" s="2962" t="s">
        <v>706</v>
      </c>
      <c r="BR33" s="2963"/>
      <c r="BS33" s="2956" t="s">
        <v>25</v>
      </c>
      <c r="BT33" s="2957"/>
      <c r="BU33" s="2957"/>
      <c r="BV33" s="2962" t="s">
        <v>706</v>
      </c>
      <c r="BW33" s="2963"/>
      <c r="BX33" s="2956" t="s">
        <v>25</v>
      </c>
      <c r="BY33" s="2957"/>
      <c r="BZ33" s="2957"/>
      <c r="CA33" s="2962" t="s">
        <v>706</v>
      </c>
      <c r="CB33" s="2963"/>
      <c r="EN33" s="57"/>
      <c r="EO33" s="57"/>
      <c r="EP33" s="57"/>
      <c r="EQ33" s="57"/>
      <c r="ER33" s="57"/>
    </row>
    <row r="34" spans="1:148" ht="11.25" customHeight="1" x14ac:dyDescent="0.25">
      <c r="A34" s="3016"/>
      <c r="B34" s="3017"/>
      <c r="C34" s="3017"/>
      <c r="D34" s="3010"/>
      <c r="E34" s="3011"/>
      <c r="F34" s="3016"/>
      <c r="G34" s="3017"/>
      <c r="H34" s="3017"/>
      <c r="I34" s="3010"/>
      <c r="J34" s="3011"/>
      <c r="K34" s="3016"/>
      <c r="L34" s="3017"/>
      <c r="M34" s="3017"/>
      <c r="N34" s="3010"/>
      <c r="O34" s="3011"/>
      <c r="P34" s="3016"/>
      <c r="Q34" s="3017"/>
      <c r="R34" s="3017"/>
      <c r="S34" s="3010"/>
      <c r="T34" s="3011"/>
      <c r="U34" s="3016"/>
      <c r="V34" s="3017"/>
      <c r="W34" s="3017"/>
      <c r="X34" s="3010"/>
      <c r="Y34" s="3011"/>
      <c r="Z34" s="3016"/>
      <c r="AA34" s="3017"/>
      <c r="AB34" s="3017"/>
      <c r="AC34" s="3010"/>
      <c r="AD34" s="3011"/>
      <c r="AE34" s="3016"/>
      <c r="AF34" s="3017"/>
      <c r="AG34" s="3017"/>
      <c r="AH34" s="3010"/>
      <c r="AI34" s="3011"/>
      <c r="AJ34" s="3016"/>
      <c r="AK34" s="3017"/>
      <c r="AL34" s="3017"/>
      <c r="AM34" s="3010"/>
      <c r="AN34" s="3011"/>
      <c r="AO34" s="3016"/>
      <c r="AP34" s="3017"/>
      <c r="AQ34" s="3017"/>
      <c r="AR34" s="3010"/>
      <c r="AS34" s="3011"/>
      <c r="AT34" s="3016"/>
      <c r="AU34" s="3017"/>
      <c r="AV34" s="3017"/>
      <c r="AW34" s="3010"/>
      <c r="AX34" s="3011"/>
      <c r="AY34" s="3016"/>
      <c r="AZ34" s="3017"/>
      <c r="BA34" s="3017"/>
      <c r="BB34" s="3010"/>
      <c r="BC34" s="3011"/>
      <c r="BD34" s="2958"/>
      <c r="BE34" s="2959"/>
      <c r="BF34" s="2959"/>
      <c r="BG34" s="2964"/>
      <c r="BH34" s="2965"/>
      <c r="BI34" s="2958"/>
      <c r="BJ34" s="2959"/>
      <c r="BK34" s="2959"/>
      <c r="BL34" s="2964"/>
      <c r="BM34" s="2965"/>
      <c r="BN34" s="2958"/>
      <c r="BO34" s="2959"/>
      <c r="BP34" s="2959"/>
      <c r="BQ34" s="2964"/>
      <c r="BR34" s="2965"/>
      <c r="BS34" s="2958"/>
      <c r="BT34" s="2959"/>
      <c r="BU34" s="2959"/>
      <c r="BV34" s="2964"/>
      <c r="BW34" s="2965"/>
      <c r="BX34" s="2958"/>
      <c r="BY34" s="2959"/>
      <c r="BZ34" s="2959"/>
      <c r="CA34" s="2964"/>
      <c r="CB34" s="2965"/>
      <c r="EN34" s="57"/>
      <c r="EO34" s="57"/>
      <c r="EP34" s="57"/>
      <c r="EQ34" s="57"/>
      <c r="ER34" s="57"/>
    </row>
    <row r="35" spans="1:148" ht="11.25" customHeight="1" x14ac:dyDescent="0.25">
      <c r="A35" s="3018"/>
      <c r="B35" s="3019"/>
      <c r="C35" s="3019"/>
      <c r="D35" s="3012"/>
      <c r="E35" s="3013"/>
      <c r="F35" s="3018"/>
      <c r="G35" s="3019"/>
      <c r="H35" s="3019"/>
      <c r="I35" s="3012"/>
      <c r="J35" s="3013"/>
      <c r="K35" s="3018"/>
      <c r="L35" s="3019"/>
      <c r="M35" s="3019"/>
      <c r="N35" s="3012"/>
      <c r="O35" s="3013"/>
      <c r="P35" s="3018"/>
      <c r="Q35" s="3019"/>
      <c r="R35" s="3019"/>
      <c r="S35" s="3012"/>
      <c r="T35" s="3013"/>
      <c r="U35" s="3018"/>
      <c r="V35" s="3019"/>
      <c r="W35" s="3019"/>
      <c r="X35" s="3012"/>
      <c r="Y35" s="3013"/>
      <c r="Z35" s="3018"/>
      <c r="AA35" s="3019"/>
      <c r="AB35" s="3019"/>
      <c r="AC35" s="3012"/>
      <c r="AD35" s="3013"/>
      <c r="AE35" s="3018"/>
      <c r="AF35" s="3019"/>
      <c r="AG35" s="3019"/>
      <c r="AH35" s="3012"/>
      <c r="AI35" s="3013"/>
      <c r="AJ35" s="3018"/>
      <c r="AK35" s="3019"/>
      <c r="AL35" s="3019"/>
      <c r="AM35" s="3012"/>
      <c r="AN35" s="3013"/>
      <c r="AO35" s="3018"/>
      <c r="AP35" s="3019"/>
      <c r="AQ35" s="3019"/>
      <c r="AR35" s="3012"/>
      <c r="AS35" s="3013"/>
      <c r="AT35" s="3018"/>
      <c r="AU35" s="3019"/>
      <c r="AV35" s="3019"/>
      <c r="AW35" s="3012"/>
      <c r="AX35" s="3013"/>
      <c r="AY35" s="3018"/>
      <c r="AZ35" s="3019"/>
      <c r="BA35" s="3019"/>
      <c r="BB35" s="3012"/>
      <c r="BC35" s="3013"/>
      <c r="BD35" s="2960"/>
      <c r="BE35" s="2961"/>
      <c r="BF35" s="2961"/>
      <c r="BG35" s="2966"/>
      <c r="BH35" s="2967"/>
      <c r="BI35" s="2960"/>
      <c r="BJ35" s="2961"/>
      <c r="BK35" s="2961"/>
      <c r="BL35" s="2966"/>
      <c r="BM35" s="2967"/>
      <c r="BN35" s="2960"/>
      <c r="BO35" s="2961"/>
      <c r="BP35" s="2961"/>
      <c r="BQ35" s="2966"/>
      <c r="BR35" s="2967"/>
      <c r="BS35" s="2960"/>
      <c r="BT35" s="2961"/>
      <c r="BU35" s="2961"/>
      <c r="BV35" s="2966"/>
      <c r="BW35" s="2967"/>
      <c r="BX35" s="2960"/>
      <c r="BY35" s="2961"/>
      <c r="BZ35" s="2961"/>
      <c r="CA35" s="2966"/>
      <c r="CB35" s="2967"/>
      <c r="EN35" s="57"/>
      <c r="EO35" s="57"/>
      <c r="EP35" s="57"/>
      <c r="EQ35" s="57"/>
      <c r="ER35" s="57"/>
    </row>
    <row r="36" spans="1:148" s="22" customFormat="1" ht="111.75" customHeight="1" x14ac:dyDescent="1.35">
      <c r="A36" s="634" t="s">
        <v>133</v>
      </c>
      <c r="B36" s="2845"/>
      <c r="C36" s="2846"/>
      <c r="D36" s="2846"/>
      <c r="E36" s="2847"/>
      <c r="F36" s="634" t="s">
        <v>133</v>
      </c>
      <c r="G36" s="2845"/>
      <c r="H36" s="2846"/>
      <c r="I36" s="2846"/>
      <c r="J36" s="2847"/>
      <c r="K36" s="634" t="s">
        <v>133</v>
      </c>
      <c r="L36" s="2845"/>
      <c r="M36" s="2846"/>
      <c r="N36" s="2846"/>
      <c r="O36" s="2847"/>
      <c r="P36" s="634" t="s">
        <v>133</v>
      </c>
      <c r="Q36" s="2845"/>
      <c r="R36" s="2846"/>
      <c r="S36" s="2846"/>
      <c r="T36" s="2847"/>
      <c r="U36" s="634" t="s">
        <v>133</v>
      </c>
      <c r="V36" s="2845"/>
      <c r="W36" s="2846"/>
      <c r="X36" s="2846"/>
      <c r="Y36" s="2847"/>
      <c r="Z36" s="634" t="s">
        <v>133</v>
      </c>
      <c r="AA36" s="2845"/>
      <c r="AB36" s="2846"/>
      <c r="AC36" s="2846"/>
      <c r="AD36" s="2847"/>
      <c r="AE36" s="634" t="s">
        <v>133</v>
      </c>
      <c r="AF36" s="2845"/>
      <c r="AG36" s="2846"/>
      <c r="AH36" s="2846"/>
      <c r="AI36" s="2847"/>
      <c r="AJ36" s="634" t="s">
        <v>133</v>
      </c>
      <c r="AK36" s="2845"/>
      <c r="AL36" s="2846"/>
      <c r="AM36" s="2846"/>
      <c r="AN36" s="2847"/>
      <c r="AO36" s="634" t="s">
        <v>133</v>
      </c>
      <c r="AP36" s="2845"/>
      <c r="AQ36" s="2846"/>
      <c r="AR36" s="2846"/>
      <c r="AS36" s="2847"/>
      <c r="AT36" s="634" t="s">
        <v>133</v>
      </c>
      <c r="AU36" s="2845"/>
      <c r="AV36" s="2846"/>
      <c r="AW36" s="2846"/>
      <c r="AX36" s="2847"/>
      <c r="AY36" s="634" t="s">
        <v>133</v>
      </c>
      <c r="AZ36" s="2845"/>
      <c r="BA36" s="2846"/>
      <c r="BB36" s="2846"/>
      <c r="BC36" s="2847"/>
      <c r="BD36" s="3020" t="s">
        <v>707</v>
      </c>
      <c r="BE36" s="2845"/>
      <c r="BF36" s="2846"/>
      <c r="BG36" s="2846"/>
      <c r="BH36" s="2847"/>
      <c r="BI36" s="3020" t="s">
        <v>707</v>
      </c>
      <c r="BJ36" s="2845"/>
      <c r="BK36" s="2846"/>
      <c r="BL36" s="2846"/>
      <c r="BM36" s="2847"/>
      <c r="BN36" s="3020" t="s">
        <v>707</v>
      </c>
      <c r="BO36" s="2845"/>
      <c r="BP36" s="2846"/>
      <c r="BQ36" s="2846"/>
      <c r="BR36" s="2847"/>
      <c r="BS36" s="3020" t="s">
        <v>707</v>
      </c>
      <c r="BT36" s="2845"/>
      <c r="BU36" s="2846"/>
      <c r="BV36" s="2846"/>
      <c r="BW36" s="2847"/>
      <c r="BX36" s="3020" t="s">
        <v>707</v>
      </c>
      <c r="BY36" s="2845"/>
      <c r="BZ36" s="2846"/>
      <c r="CA36" s="2846"/>
      <c r="CB36" s="2847"/>
      <c r="DE36"/>
      <c r="EN36" s="13"/>
      <c r="EO36" s="13"/>
      <c r="EP36" s="13"/>
      <c r="EQ36" s="13"/>
      <c r="ER36" s="13"/>
    </row>
    <row r="37" spans="1:148" ht="50.25" customHeight="1" thickBot="1" x14ac:dyDescent="0.3">
      <c r="A37" s="635"/>
      <c r="B37" s="518"/>
      <c r="C37" s="519" t="s">
        <v>113</v>
      </c>
      <c r="D37" s="520"/>
      <c r="E37" s="523" t="s">
        <v>114</v>
      </c>
      <c r="F37" s="635"/>
      <c r="G37" s="518"/>
      <c r="H37" s="519" t="s">
        <v>113</v>
      </c>
      <c r="I37" s="520"/>
      <c r="J37" s="523" t="s">
        <v>114</v>
      </c>
      <c r="K37" s="635"/>
      <c r="L37" s="518"/>
      <c r="M37" s="519" t="s">
        <v>113</v>
      </c>
      <c r="N37" s="520"/>
      <c r="O37" s="523" t="s">
        <v>114</v>
      </c>
      <c r="P37" s="635"/>
      <c r="Q37" s="518"/>
      <c r="R37" s="519" t="s">
        <v>113</v>
      </c>
      <c r="S37" s="520"/>
      <c r="T37" s="523" t="s">
        <v>114</v>
      </c>
      <c r="U37" s="635"/>
      <c r="V37" s="518"/>
      <c r="W37" s="519" t="s">
        <v>113</v>
      </c>
      <c r="X37" s="520"/>
      <c r="Y37" s="523" t="s">
        <v>114</v>
      </c>
      <c r="Z37" s="635"/>
      <c r="AA37" s="518"/>
      <c r="AB37" s="519" t="s">
        <v>113</v>
      </c>
      <c r="AC37" s="520"/>
      <c r="AD37" s="523" t="s">
        <v>114</v>
      </c>
      <c r="AE37" s="635"/>
      <c r="AF37" s="518"/>
      <c r="AG37" s="519" t="s">
        <v>113</v>
      </c>
      <c r="AH37" s="520"/>
      <c r="AI37" s="523" t="s">
        <v>114</v>
      </c>
      <c r="AJ37" s="635"/>
      <c r="AK37" s="518"/>
      <c r="AL37" s="519" t="s">
        <v>113</v>
      </c>
      <c r="AM37" s="520"/>
      <c r="AN37" s="523" t="s">
        <v>114</v>
      </c>
      <c r="AO37" s="635"/>
      <c r="AP37" s="518"/>
      <c r="AQ37" s="519" t="s">
        <v>113</v>
      </c>
      <c r="AR37" s="520"/>
      <c r="AS37" s="523" t="s">
        <v>114</v>
      </c>
      <c r="AT37" s="635"/>
      <c r="AU37" s="518"/>
      <c r="AV37" s="519" t="s">
        <v>113</v>
      </c>
      <c r="AW37" s="520"/>
      <c r="AX37" s="523" t="s">
        <v>114</v>
      </c>
      <c r="AY37" s="635"/>
      <c r="AZ37" s="518"/>
      <c r="BA37" s="519" t="s">
        <v>113</v>
      </c>
      <c r="BB37" s="520"/>
      <c r="BC37" s="523" t="s">
        <v>114</v>
      </c>
      <c r="BD37" s="3021"/>
      <c r="BE37" s="518"/>
      <c r="BF37" s="519" t="s">
        <v>113</v>
      </c>
      <c r="BG37" s="520"/>
      <c r="BH37" s="523" t="s">
        <v>114</v>
      </c>
      <c r="BI37" s="3021"/>
      <c r="BJ37" s="518"/>
      <c r="BK37" s="519" t="s">
        <v>113</v>
      </c>
      <c r="BL37" s="520"/>
      <c r="BM37" s="523" t="s">
        <v>114</v>
      </c>
      <c r="BN37" s="3021"/>
      <c r="BO37" s="518"/>
      <c r="BP37" s="519" t="s">
        <v>113</v>
      </c>
      <c r="BQ37" s="520"/>
      <c r="BR37" s="523" t="s">
        <v>114</v>
      </c>
      <c r="BS37" s="3021"/>
      <c r="BT37" s="518"/>
      <c r="BU37" s="519" t="s">
        <v>113</v>
      </c>
      <c r="BV37" s="520"/>
      <c r="BW37" s="523" t="s">
        <v>114</v>
      </c>
      <c r="BX37" s="3021"/>
      <c r="BY37" s="518"/>
      <c r="BZ37" s="519" t="s">
        <v>113</v>
      </c>
      <c r="CA37" s="520"/>
      <c r="CB37" s="523" t="s">
        <v>114</v>
      </c>
      <c r="CG37" s="27"/>
      <c r="CH37" s="27"/>
      <c r="CI37" s="27"/>
      <c r="CJ37" s="27"/>
      <c r="CK37" s="27"/>
      <c r="CL37" s="27"/>
      <c r="CM37" s="27"/>
      <c r="CN37" s="27"/>
      <c r="CO37" s="27"/>
      <c r="EN37" s="13"/>
      <c r="EO37" s="13"/>
      <c r="EP37" s="13"/>
      <c r="EQ37" s="13"/>
      <c r="ER37" s="13"/>
    </row>
    <row r="38" spans="1:148" ht="57" customHeight="1" thickTop="1" x14ac:dyDescent="0.25">
      <c r="A38" s="3022" t="s">
        <v>110</v>
      </c>
      <c r="B38" s="3023"/>
      <c r="C38" s="3024">
        <f t="shared" ref="C38" si="93">B43/((36*3.1415/59)*(45.5/3.281))</f>
        <v>0</v>
      </c>
      <c r="D38" s="3024"/>
      <c r="E38" s="3025"/>
      <c r="F38" s="3022" t="s">
        <v>110</v>
      </c>
      <c r="G38" s="3023"/>
      <c r="H38" s="3024">
        <f t="shared" ref="H38" si="94">G43/((36*3.1415/59)*(45.5/3.281))</f>
        <v>0</v>
      </c>
      <c r="I38" s="3024"/>
      <c r="J38" s="3025"/>
      <c r="K38" s="3022" t="s">
        <v>110</v>
      </c>
      <c r="L38" s="3023"/>
      <c r="M38" s="3024">
        <f t="shared" ref="M38" si="95">L43/((36*3.1415/59)*(45.5/3.281))</f>
        <v>0</v>
      </c>
      <c r="N38" s="3024"/>
      <c r="O38" s="3025"/>
      <c r="P38" s="3022" t="s">
        <v>110</v>
      </c>
      <c r="Q38" s="3023"/>
      <c r="R38" s="3024">
        <f t="shared" ref="R38" si="96">Q43/((36*3.1415/59)*(45.5/3.281))</f>
        <v>0</v>
      </c>
      <c r="S38" s="3024"/>
      <c r="T38" s="3025"/>
      <c r="U38" s="668" t="s">
        <v>110</v>
      </c>
      <c r="V38" s="669"/>
      <c r="W38" s="3081">
        <f>V43/((36*3.1415/59)*(46/3.281))</f>
        <v>0</v>
      </c>
      <c r="X38" s="3081"/>
      <c r="Y38" s="3082"/>
      <c r="Z38" s="668" t="s">
        <v>110</v>
      </c>
      <c r="AA38" s="669"/>
      <c r="AB38" s="3081">
        <f t="shared" ref="AB38" si="97">AA43/((36*3.1415/59)*(46/3.281))</f>
        <v>0</v>
      </c>
      <c r="AC38" s="3081"/>
      <c r="AD38" s="3082"/>
      <c r="AE38" s="668" t="s">
        <v>110</v>
      </c>
      <c r="AF38" s="669"/>
      <c r="AG38" s="3081">
        <f t="shared" ref="AG38" si="98">AF43/((36*3.1415/59)*(46/3.281))</f>
        <v>0</v>
      </c>
      <c r="AH38" s="3081"/>
      <c r="AI38" s="3082"/>
      <c r="AJ38" s="668" t="s">
        <v>110</v>
      </c>
      <c r="AK38" s="669"/>
      <c r="AL38" s="3081">
        <f t="shared" ref="AL38" si="99">AK43/((36*3.1415/59)*(46/3.281))</f>
        <v>0</v>
      </c>
      <c r="AM38" s="3081"/>
      <c r="AN38" s="3082"/>
      <c r="AO38" s="668" t="s">
        <v>110</v>
      </c>
      <c r="AP38" s="669"/>
      <c r="AQ38" s="3081">
        <f t="shared" ref="AQ38" si="100">AP43/((36*3.1415/59)*(46/3.281))</f>
        <v>0</v>
      </c>
      <c r="AR38" s="3081"/>
      <c r="AS38" s="3082"/>
      <c r="AT38" s="2968" t="s">
        <v>110</v>
      </c>
      <c r="AU38" s="2969"/>
      <c r="AV38" s="2970">
        <f>AU43/((36*3.1415/59)*(47/3.281))</f>
        <v>0</v>
      </c>
      <c r="AW38" s="2970"/>
      <c r="AX38" s="2971"/>
      <c r="AY38" s="2968" t="s">
        <v>110</v>
      </c>
      <c r="AZ38" s="2969"/>
      <c r="BA38" s="2970">
        <f>AZ43/((36*3.1415/59)*(47/3.281))</f>
        <v>0</v>
      </c>
      <c r="BB38" s="2970"/>
      <c r="BC38" s="2971"/>
      <c r="BD38" s="2968" t="s">
        <v>110</v>
      </c>
      <c r="BE38" s="2969"/>
      <c r="BF38" s="2970">
        <f>BE43/((36*3.1415/59)*(47/3.281))</f>
        <v>0</v>
      </c>
      <c r="BG38" s="2970"/>
      <c r="BH38" s="2971"/>
      <c r="BI38" s="2968" t="s">
        <v>110</v>
      </c>
      <c r="BJ38" s="2969"/>
      <c r="BK38" s="2970">
        <f>BJ43/((36*3.1415/59)*(47/3.281))</f>
        <v>0</v>
      </c>
      <c r="BL38" s="2970"/>
      <c r="BM38" s="2971"/>
      <c r="BN38" s="2968" t="s">
        <v>110</v>
      </c>
      <c r="BO38" s="2969"/>
      <c r="BP38" s="2970">
        <f>BO43/((36*3.1415/59)*(47/3.281))</f>
        <v>0</v>
      </c>
      <c r="BQ38" s="2970"/>
      <c r="BR38" s="2971"/>
      <c r="BS38" s="1882" t="s">
        <v>110</v>
      </c>
      <c r="BT38" s="1037"/>
      <c r="BU38" s="1886">
        <f>BT43/((36*3.1415/59)*(49/3.281))</f>
        <v>0</v>
      </c>
      <c r="BV38" s="1886"/>
      <c r="BW38" s="1887"/>
      <c r="BX38" s="1882" t="s">
        <v>110</v>
      </c>
      <c r="BY38" s="1037"/>
      <c r="BZ38" s="1886">
        <f>BY43/((36*3.1415/59)*(49/3.281))</f>
        <v>0</v>
      </c>
      <c r="CA38" s="1886"/>
      <c r="CB38" s="1887"/>
      <c r="EN38" s="13"/>
      <c r="EO38" s="13"/>
      <c r="EP38" s="13"/>
      <c r="EQ38" s="13"/>
      <c r="ER38" s="13"/>
    </row>
    <row r="39" spans="1:148" ht="11.25" customHeight="1" x14ac:dyDescent="0.25">
      <c r="A39" s="2956" t="s">
        <v>25</v>
      </c>
      <c r="B39" s="2957"/>
      <c r="C39" s="2957"/>
      <c r="D39" s="2962" t="s">
        <v>706</v>
      </c>
      <c r="E39" s="2963"/>
      <c r="F39" s="2956" t="s">
        <v>25</v>
      </c>
      <c r="G39" s="2957"/>
      <c r="H39" s="2957"/>
      <c r="I39" s="2962" t="s">
        <v>706</v>
      </c>
      <c r="J39" s="2963"/>
      <c r="K39" s="2956" t="s">
        <v>25</v>
      </c>
      <c r="L39" s="2957"/>
      <c r="M39" s="2957"/>
      <c r="N39" s="2962" t="s">
        <v>706</v>
      </c>
      <c r="O39" s="2963"/>
      <c r="P39" s="2956" t="s">
        <v>25</v>
      </c>
      <c r="Q39" s="2957"/>
      <c r="R39" s="2957"/>
      <c r="S39" s="2962" t="s">
        <v>706</v>
      </c>
      <c r="T39" s="2963"/>
      <c r="U39" s="2996" t="s">
        <v>25</v>
      </c>
      <c r="V39" s="2997"/>
      <c r="W39" s="2997"/>
      <c r="X39" s="3002" t="s">
        <v>706</v>
      </c>
      <c r="Y39" s="3003"/>
      <c r="Z39" s="2996" t="s">
        <v>25</v>
      </c>
      <c r="AA39" s="2997"/>
      <c r="AB39" s="2997"/>
      <c r="AC39" s="3002" t="s">
        <v>706</v>
      </c>
      <c r="AD39" s="3003"/>
      <c r="AE39" s="2996" t="s">
        <v>25</v>
      </c>
      <c r="AF39" s="2997"/>
      <c r="AG39" s="2997"/>
      <c r="AH39" s="3002" t="s">
        <v>706</v>
      </c>
      <c r="AI39" s="3003"/>
      <c r="AJ39" s="2996" t="s">
        <v>25</v>
      </c>
      <c r="AK39" s="2997"/>
      <c r="AL39" s="2997"/>
      <c r="AM39" s="3002" t="s">
        <v>706</v>
      </c>
      <c r="AN39" s="3003"/>
      <c r="AO39" s="2996" t="s">
        <v>25</v>
      </c>
      <c r="AP39" s="2997"/>
      <c r="AQ39" s="2997"/>
      <c r="AR39" s="3002" t="s">
        <v>706</v>
      </c>
      <c r="AS39" s="3003"/>
      <c r="AT39" s="2972" t="s">
        <v>25</v>
      </c>
      <c r="AU39" s="2973"/>
      <c r="AV39" s="2973"/>
      <c r="AW39" s="2978" t="s">
        <v>706</v>
      </c>
      <c r="AX39" s="2979"/>
      <c r="AY39" s="2972" t="s">
        <v>25</v>
      </c>
      <c r="AZ39" s="2973"/>
      <c r="BA39" s="2973"/>
      <c r="BB39" s="2978" t="s">
        <v>706</v>
      </c>
      <c r="BC39" s="2979"/>
      <c r="BD39" s="2972" t="s">
        <v>25</v>
      </c>
      <c r="BE39" s="2973"/>
      <c r="BF39" s="2973"/>
      <c r="BG39" s="2978" t="s">
        <v>706</v>
      </c>
      <c r="BH39" s="2979"/>
      <c r="BI39" s="2972" t="s">
        <v>25</v>
      </c>
      <c r="BJ39" s="2973"/>
      <c r="BK39" s="2973"/>
      <c r="BL39" s="2978" t="s">
        <v>706</v>
      </c>
      <c r="BM39" s="2979"/>
      <c r="BN39" s="2972" t="s">
        <v>25</v>
      </c>
      <c r="BO39" s="2973"/>
      <c r="BP39" s="2973"/>
      <c r="BQ39" s="2978" t="s">
        <v>706</v>
      </c>
      <c r="BR39" s="2979"/>
      <c r="BS39" s="2984" t="s">
        <v>25</v>
      </c>
      <c r="BT39" s="2985"/>
      <c r="BU39" s="2985"/>
      <c r="BV39" s="2990" t="s">
        <v>706</v>
      </c>
      <c r="BW39" s="2991"/>
      <c r="BX39" s="2984" t="s">
        <v>25</v>
      </c>
      <c r="BY39" s="2985"/>
      <c r="BZ39" s="2985"/>
      <c r="CA39" s="2990" t="s">
        <v>706</v>
      </c>
      <c r="CB39" s="2991"/>
      <c r="EN39" s="13"/>
      <c r="EO39" s="13"/>
      <c r="EP39" s="13"/>
      <c r="EQ39" s="13"/>
      <c r="ER39" s="13"/>
    </row>
    <row r="40" spans="1:148" ht="11.25" customHeight="1" x14ac:dyDescent="0.25">
      <c r="A40" s="2958"/>
      <c r="B40" s="2959"/>
      <c r="C40" s="2959"/>
      <c r="D40" s="2964"/>
      <c r="E40" s="2965"/>
      <c r="F40" s="2958"/>
      <c r="G40" s="2959"/>
      <c r="H40" s="2959"/>
      <c r="I40" s="2964"/>
      <c r="J40" s="2965"/>
      <c r="K40" s="2958"/>
      <c r="L40" s="2959"/>
      <c r="M40" s="2959"/>
      <c r="N40" s="2964"/>
      <c r="O40" s="2965"/>
      <c r="P40" s="2958"/>
      <c r="Q40" s="2959"/>
      <c r="R40" s="2959"/>
      <c r="S40" s="2964"/>
      <c r="T40" s="2965"/>
      <c r="U40" s="2998"/>
      <c r="V40" s="2999"/>
      <c r="W40" s="2999"/>
      <c r="X40" s="3004"/>
      <c r="Y40" s="3005"/>
      <c r="Z40" s="2998"/>
      <c r="AA40" s="2999"/>
      <c r="AB40" s="2999"/>
      <c r="AC40" s="3004"/>
      <c r="AD40" s="3005"/>
      <c r="AE40" s="2998"/>
      <c r="AF40" s="2999"/>
      <c r="AG40" s="2999"/>
      <c r="AH40" s="3004"/>
      <c r="AI40" s="3005"/>
      <c r="AJ40" s="2998"/>
      <c r="AK40" s="2999"/>
      <c r="AL40" s="2999"/>
      <c r="AM40" s="3004"/>
      <c r="AN40" s="3005"/>
      <c r="AO40" s="2998"/>
      <c r="AP40" s="2999"/>
      <c r="AQ40" s="2999"/>
      <c r="AR40" s="3004"/>
      <c r="AS40" s="3005"/>
      <c r="AT40" s="2974"/>
      <c r="AU40" s="2975"/>
      <c r="AV40" s="2975"/>
      <c r="AW40" s="2980"/>
      <c r="AX40" s="2981"/>
      <c r="AY40" s="2974"/>
      <c r="AZ40" s="2975"/>
      <c r="BA40" s="2975"/>
      <c r="BB40" s="2980"/>
      <c r="BC40" s="2981"/>
      <c r="BD40" s="2974"/>
      <c r="BE40" s="2975"/>
      <c r="BF40" s="2975"/>
      <c r="BG40" s="2980"/>
      <c r="BH40" s="2981"/>
      <c r="BI40" s="2974"/>
      <c r="BJ40" s="2975"/>
      <c r="BK40" s="2975"/>
      <c r="BL40" s="2980"/>
      <c r="BM40" s="2981"/>
      <c r="BN40" s="2974"/>
      <c r="BO40" s="2975"/>
      <c r="BP40" s="2975"/>
      <c r="BQ40" s="2980"/>
      <c r="BR40" s="2981"/>
      <c r="BS40" s="2986"/>
      <c r="BT40" s="2987"/>
      <c r="BU40" s="2987"/>
      <c r="BV40" s="2992"/>
      <c r="BW40" s="2993"/>
      <c r="BX40" s="2986"/>
      <c r="BY40" s="2987"/>
      <c r="BZ40" s="2987"/>
      <c r="CA40" s="2992"/>
      <c r="CB40" s="2993"/>
      <c r="EN40" s="13"/>
      <c r="EO40" s="13"/>
      <c r="EP40" s="13"/>
      <c r="EQ40" s="13"/>
      <c r="ER40" s="13"/>
    </row>
    <row r="41" spans="1:148" ht="11.25" customHeight="1" x14ac:dyDescent="0.25">
      <c r="A41" s="2960"/>
      <c r="B41" s="2961"/>
      <c r="C41" s="2961"/>
      <c r="D41" s="2966"/>
      <c r="E41" s="2967"/>
      <c r="F41" s="2960"/>
      <c r="G41" s="2961"/>
      <c r="H41" s="2961"/>
      <c r="I41" s="2966"/>
      <c r="J41" s="2967"/>
      <c r="K41" s="2960"/>
      <c r="L41" s="2961"/>
      <c r="M41" s="2961"/>
      <c r="N41" s="2966"/>
      <c r="O41" s="2967"/>
      <c r="P41" s="2960"/>
      <c r="Q41" s="2961"/>
      <c r="R41" s="2961"/>
      <c r="S41" s="2966"/>
      <c r="T41" s="2967"/>
      <c r="U41" s="3000"/>
      <c r="V41" s="3001"/>
      <c r="W41" s="3001"/>
      <c r="X41" s="3006"/>
      <c r="Y41" s="3007"/>
      <c r="Z41" s="3000"/>
      <c r="AA41" s="3001"/>
      <c r="AB41" s="3001"/>
      <c r="AC41" s="3006"/>
      <c r="AD41" s="3007"/>
      <c r="AE41" s="3000"/>
      <c r="AF41" s="3001"/>
      <c r="AG41" s="3001"/>
      <c r="AH41" s="3006"/>
      <c r="AI41" s="3007"/>
      <c r="AJ41" s="3000"/>
      <c r="AK41" s="3001"/>
      <c r="AL41" s="3001"/>
      <c r="AM41" s="3006"/>
      <c r="AN41" s="3007"/>
      <c r="AO41" s="3000"/>
      <c r="AP41" s="3001"/>
      <c r="AQ41" s="3001"/>
      <c r="AR41" s="3006"/>
      <c r="AS41" s="3007"/>
      <c r="AT41" s="2976"/>
      <c r="AU41" s="2977"/>
      <c r="AV41" s="2977"/>
      <c r="AW41" s="2982"/>
      <c r="AX41" s="2983"/>
      <c r="AY41" s="2976"/>
      <c r="AZ41" s="2977"/>
      <c r="BA41" s="2977"/>
      <c r="BB41" s="2982"/>
      <c r="BC41" s="2983"/>
      <c r="BD41" s="2976"/>
      <c r="BE41" s="2977"/>
      <c r="BF41" s="2977"/>
      <c r="BG41" s="2982"/>
      <c r="BH41" s="2983"/>
      <c r="BI41" s="2976"/>
      <c r="BJ41" s="2977"/>
      <c r="BK41" s="2977"/>
      <c r="BL41" s="2982"/>
      <c r="BM41" s="2983"/>
      <c r="BN41" s="2976"/>
      <c r="BO41" s="2977"/>
      <c r="BP41" s="2977"/>
      <c r="BQ41" s="2982"/>
      <c r="BR41" s="2983"/>
      <c r="BS41" s="2988"/>
      <c r="BT41" s="2989"/>
      <c r="BU41" s="2989"/>
      <c r="BV41" s="2994"/>
      <c r="BW41" s="2995"/>
      <c r="BX41" s="2988"/>
      <c r="BY41" s="2989"/>
      <c r="BZ41" s="2989"/>
      <c r="CA41" s="2994"/>
      <c r="CB41" s="2995"/>
      <c r="EN41" s="13"/>
      <c r="EO41" s="13"/>
      <c r="EP41" s="13"/>
      <c r="EQ41" s="13"/>
      <c r="ER41" s="13"/>
    </row>
    <row r="42" spans="1:148" s="535" customFormat="1" ht="111.75" customHeight="1" x14ac:dyDescent="1.35">
      <c r="A42" s="3020" t="s">
        <v>707</v>
      </c>
      <c r="B42" s="2681"/>
      <c r="C42" s="2682"/>
      <c r="D42" s="2682"/>
      <c r="E42" s="2683"/>
      <c r="F42" s="3020" t="s">
        <v>707</v>
      </c>
      <c r="G42" s="2681"/>
      <c r="H42" s="2682"/>
      <c r="I42" s="2682"/>
      <c r="J42" s="2683"/>
      <c r="K42" s="3020" t="s">
        <v>707</v>
      </c>
      <c r="L42" s="2681"/>
      <c r="M42" s="2682"/>
      <c r="N42" s="2682"/>
      <c r="O42" s="2683"/>
      <c r="P42" s="3020" t="s">
        <v>707</v>
      </c>
      <c r="Q42" s="2681"/>
      <c r="R42" s="2682"/>
      <c r="S42" s="2682"/>
      <c r="T42" s="2683"/>
      <c r="U42" s="666" t="s">
        <v>708</v>
      </c>
      <c r="V42" s="2681"/>
      <c r="W42" s="2682"/>
      <c r="X42" s="2682"/>
      <c r="Y42" s="2683"/>
      <c r="Z42" s="666" t="s">
        <v>708</v>
      </c>
      <c r="AA42" s="2681"/>
      <c r="AB42" s="2682"/>
      <c r="AC42" s="2682"/>
      <c r="AD42" s="2683"/>
      <c r="AE42" s="666" t="s">
        <v>708</v>
      </c>
      <c r="AF42" s="2681"/>
      <c r="AG42" s="2682"/>
      <c r="AH42" s="2682"/>
      <c r="AI42" s="2683"/>
      <c r="AJ42" s="666" t="s">
        <v>708</v>
      </c>
      <c r="AK42" s="2681"/>
      <c r="AL42" s="2682"/>
      <c r="AM42" s="2682"/>
      <c r="AN42" s="2683"/>
      <c r="AO42" s="666" t="s">
        <v>708</v>
      </c>
      <c r="AP42" s="2681"/>
      <c r="AQ42" s="2682"/>
      <c r="AR42" s="2682"/>
      <c r="AS42" s="2683"/>
      <c r="AT42" s="3079" t="s">
        <v>709</v>
      </c>
      <c r="AU42" s="2681"/>
      <c r="AV42" s="2682"/>
      <c r="AW42" s="2682"/>
      <c r="AX42" s="2683"/>
      <c r="AY42" s="3079" t="s">
        <v>709</v>
      </c>
      <c r="AZ42" s="2681"/>
      <c r="BA42" s="2682"/>
      <c r="BB42" s="2682"/>
      <c r="BC42" s="2683"/>
      <c r="BD42" s="3079" t="s">
        <v>709</v>
      </c>
      <c r="BE42" s="2681"/>
      <c r="BF42" s="2682"/>
      <c r="BG42" s="2682"/>
      <c r="BH42" s="2683"/>
      <c r="BI42" s="3079" t="s">
        <v>709</v>
      </c>
      <c r="BJ42" s="2681"/>
      <c r="BK42" s="2682"/>
      <c r="BL42" s="2682"/>
      <c r="BM42" s="2683"/>
      <c r="BN42" s="3079" t="s">
        <v>709</v>
      </c>
      <c r="BO42" s="2681"/>
      <c r="BP42" s="2682"/>
      <c r="BQ42" s="2682"/>
      <c r="BR42" s="2683"/>
      <c r="BS42" s="1870" t="s">
        <v>710</v>
      </c>
      <c r="BT42" s="2681">
        <v>162</v>
      </c>
      <c r="BU42" s="2682"/>
      <c r="BV42" s="2682"/>
      <c r="BW42" s="2683"/>
      <c r="BX42" s="1870" t="s">
        <v>710</v>
      </c>
      <c r="BY42" s="2681">
        <v>256</v>
      </c>
      <c r="BZ42" s="2682"/>
      <c r="CA42" s="2682"/>
      <c r="CB42" s="2683"/>
      <c r="EN42" s="545"/>
      <c r="EO42" s="545"/>
      <c r="EP42" s="545"/>
      <c r="EQ42" s="545"/>
      <c r="ER42" s="545"/>
    </row>
    <row r="43" spans="1:148" ht="50.25" customHeight="1" thickBot="1" x14ac:dyDescent="0.3">
      <c r="A43" s="3021"/>
      <c r="B43" s="518"/>
      <c r="C43" s="519" t="s">
        <v>113</v>
      </c>
      <c r="D43" s="520"/>
      <c r="E43" s="523" t="s">
        <v>114</v>
      </c>
      <c r="F43" s="3021"/>
      <c r="G43" s="518"/>
      <c r="H43" s="519" t="s">
        <v>113</v>
      </c>
      <c r="I43" s="520"/>
      <c r="J43" s="523" t="s">
        <v>114</v>
      </c>
      <c r="K43" s="3021"/>
      <c r="L43" s="518"/>
      <c r="M43" s="519" t="s">
        <v>113</v>
      </c>
      <c r="N43" s="520"/>
      <c r="O43" s="523" t="s">
        <v>114</v>
      </c>
      <c r="P43" s="3021"/>
      <c r="Q43" s="518"/>
      <c r="R43" s="519" t="s">
        <v>113</v>
      </c>
      <c r="S43" s="520"/>
      <c r="T43" s="523" t="s">
        <v>114</v>
      </c>
      <c r="U43" s="667"/>
      <c r="V43" s="518"/>
      <c r="W43" s="519" t="s">
        <v>113</v>
      </c>
      <c r="X43" s="520"/>
      <c r="Y43" s="523" t="s">
        <v>114</v>
      </c>
      <c r="Z43" s="667"/>
      <c r="AA43" s="518"/>
      <c r="AB43" s="519" t="s">
        <v>113</v>
      </c>
      <c r="AC43" s="520"/>
      <c r="AD43" s="523" t="s">
        <v>114</v>
      </c>
      <c r="AE43" s="667"/>
      <c r="AF43" s="518"/>
      <c r="AG43" s="519" t="s">
        <v>113</v>
      </c>
      <c r="AH43" s="520"/>
      <c r="AI43" s="523" t="s">
        <v>114</v>
      </c>
      <c r="AJ43" s="667"/>
      <c r="AK43" s="518"/>
      <c r="AL43" s="519" t="s">
        <v>113</v>
      </c>
      <c r="AM43" s="520"/>
      <c r="AN43" s="523" t="s">
        <v>114</v>
      </c>
      <c r="AO43" s="667"/>
      <c r="AP43" s="518"/>
      <c r="AQ43" s="519" t="s">
        <v>113</v>
      </c>
      <c r="AR43" s="520"/>
      <c r="AS43" s="523" t="s">
        <v>114</v>
      </c>
      <c r="AT43" s="3080"/>
      <c r="AU43" s="518"/>
      <c r="AV43" s="519" t="s">
        <v>113</v>
      </c>
      <c r="AW43" s="520"/>
      <c r="AX43" s="523" t="s">
        <v>114</v>
      </c>
      <c r="AY43" s="3080"/>
      <c r="AZ43" s="518"/>
      <c r="BA43" s="519" t="s">
        <v>113</v>
      </c>
      <c r="BB43" s="520"/>
      <c r="BC43" s="523" t="s">
        <v>114</v>
      </c>
      <c r="BD43" s="3080"/>
      <c r="BE43" s="518"/>
      <c r="BF43" s="519" t="s">
        <v>113</v>
      </c>
      <c r="BG43" s="520"/>
      <c r="BH43" s="523" t="s">
        <v>114</v>
      </c>
      <c r="BI43" s="3080"/>
      <c r="BJ43" s="518"/>
      <c r="BK43" s="519" t="s">
        <v>113</v>
      </c>
      <c r="BL43" s="520"/>
      <c r="BM43" s="523" t="s">
        <v>114</v>
      </c>
      <c r="BN43" s="3080"/>
      <c r="BO43" s="518"/>
      <c r="BP43" s="519" t="s">
        <v>113</v>
      </c>
      <c r="BQ43" s="520"/>
      <c r="BR43" s="523" t="s">
        <v>114</v>
      </c>
      <c r="BS43" s="1871"/>
      <c r="BT43" s="518"/>
      <c r="BU43" s="519" t="s">
        <v>113</v>
      </c>
      <c r="BV43" s="520"/>
      <c r="BW43" s="523" t="s">
        <v>114</v>
      </c>
      <c r="BX43" s="1871"/>
      <c r="BY43" s="518"/>
      <c r="BZ43" s="519" t="s">
        <v>113</v>
      </c>
      <c r="CA43" s="520"/>
      <c r="CB43" s="523" t="s">
        <v>114</v>
      </c>
      <c r="CG43" s="27"/>
      <c r="CH43" s="27"/>
      <c r="CI43" s="27"/>
      <c r="CJ43" s="27"/>
      <c r="CK43" s="27"/>
      <c r="CL43" s="27"/>
      <c r="CM43" s="27"/>
      <c r="CN43" s="27"/>
      <c r="CO43" s="27"/>
      <c r="EN43" s="57"/>
      <c r="EO43" s="57"/>
      <c r="EP43" s="57"/>
      <c r="EQ43" s="57"/>
      <c r="ER43" s="57"/>
    </row>
    <row r="44" spans="1:148" ht="57" customHeight="1" thickTop="1" x14ac:dyDescent="0.25">
      <c r="A44" s="1882" t="s">
        <v>110</v>
      </c>
      <c r="B44" s="1037"/>
      <c r="C44" s="1886">
        <f t="shared" ref="C44" si="101">B49/((36*3.1415/59)*(49/3.281))</f>
        <v>0</v>
      </c>
      <c r="D44" s="1886"/>
      <c r="E44" s="1887"/>
      <c r="F44" s="1882" t="s">
        <v>110</v>
      </c>
      <c r="G44" s="1037"/>
      <c r="H44" s="1886">
        <f t="shared" ref="H44" si="102">G49/((36*3.1415/59)*(49/3.281))</f>
        <v>0</v>
      </c>
      <c r="I44" s="1886"/>
      <c r="J44" s="1887"/>
      <c r="K44" s="1882" t="s">
        <v>110</v>
      </c>
      <c r="L44" s="1037"/>
      <c r="M44" s="1886">
        <f t="shared" ref="M44" si="103">L49/((36*3.1415/59)*(49/3.281))</f>
        <v>0</v>
      </c>
      <c r="N44" s="1886"/>
      <c r="O44" s="1887"/>
      <c r="P44" s="3063" t="s">
        <v>110</v>
      </c>
      <c r="Q44" s="3064"/>
      <c r="R44" s="3065">
        <f>Q49/((36*3.1415/59)*(51/3.281))</f>
        <v>0</v>
      </c>
      <c r="S44" s="3065"/>
      <c r="T44" s="3066"/>
      <c r="U44" s="2808" t="s">
        <v>110</v>
      </c>
      <c r="V44" s="2809"/>
      <c r="W44" s="2806">
        <f>V49/((36*3.1415/59)*(53/3.281))</f>
        <v>0</v>
      </c>
      <c r="X44" s="2806"/>
      <c r="Y44" s="2807"/>
      <c r="Z44" s="2952" t="s">
        <v>110</v>
      </c>
      <c r="AA44" s="2953"/>
      <c r="AB44" s="2954">
        <f>AA49/((36*3.1415/59)*(54/3.281))</f>
        <v>0</v>
      </c>
      <c r="AC44" s="2954"/>
      <c r="AD44" s="2955"/>
      <c r="AE44" s="2952" t="s">
        <v>110</v>
      </c>
      <c r="AF44" s="2953"/>
      <c r="AG44" s="2954">
        <f t="shared" ref="AG44" si="104">AF49/((36*3.1415/59)*(54/3.281))</f>
        <v>0</v>
      </c>
      <c r="AH44" s="2954"/>
      <c r="AI44" s="2955"/>
      <c r="AJ44" s="2952" t="s">
        <v>110</v>
      </c>
      <c r="AK44" s="2953"/>
      <c r="AL44" s="2954">
        <f t="shared" ref="AL44" si="105">AK49/((36*3.1415/59)*(54/3.281))</f>
        <v>0</v>
      </c>
      <c r="AM44" s="2954"/>
      <c r="AN44" s="2955"/>
      <c r="AO44" s="2952" t="s">
        <v>110</v>
      </c>
      <c r="AP44" s="2953"/>
      <c r="AQ44" s="2954">
        <f t="shared" ref="AQ44" si="106">AP49/((36*3.1415/59)*(54/3.281))</f>
        <v>0</v>
      </c>
      <c r="AR44" s="2954"/>
      <c r="AS44" s="2955"/>
      <c r="AT44" s="3059" t="s">
        <v>110</v>
      </c>
      <c r="AU44" s="3060"/>
      <c r="AV44" s="3061">
        <f>AU49/((36*3.1415/59)*(56/3.281))</f>
        <v>0</v>
      </c>
      <c r="AW44" s="3061"/>
      <c r="AX44" s="3062"/>
      <c r="AY44" s="2924" t="s">
        <v>110</v>
      </c>
      <c r="AZ44" s="2925"/>
      <c r="BA44" s="2926">
        <f>AZ49/((36*3.1415/59)*(58/3.281))</f>
        <v>0</v>
      </c>
      <c r="BB44" s="2926"/>
      <c r="BC44" s="2927"/>
      <c r="BD44" s="2924" t="s">
        <v>110</v>
      </c>
      <c r="BE44" s="2925"/>
      <c r="BF44" s="2926">
        <f t="shared" ref="BF44" si="107">BE49/((36*3.1415/59)*(58/3.281))</f>
        <v>0</v>
      </c>
      <c r="BG44" s="2926"/>
      <c r="BH44" s="2927"/>
      <c r="BI44" s="2924" t="s">
        <v>110</v>
      </c>
      <c r="BJ44" s="2925"/>
      <c r="BK44" s="2926">
        <f t="shared" ref="BK44" si="108">BJ49/((36*3.1415/59)*(58/3.281))</f>
        <v>0</v>
      </c>
      <c r="BL44" s="2926"/>
      <c r="BM44" s="2927"/>
      <c r="BN44" s="2924" t="s">
        <v>110</v>
      </c>
      <c r="BO44" s="2925"/>
      <c r="BP44" s="2926">
        <f t="shared" ref="BP44" si="109">BO49/((36*3.1415/59)*(58/3.281))</f>
        <v>0</v>
      </c>
      <c r="BQ44" s="2926"/>
      <c r="BR44" s="2927"/>
      <c r="BS44" s="2924" t="s">
        <v>110</v>
      </c>
      <c r="BT44" s="2925"/>
      <c r="BU44" s="2926">
        <f t="shared" ref="BU44" si="110">BT49/((36*3.1415/59)*(58/3.281))</f>
        <v>0</v>
      </c>
      <c r="BV44" s="2926"/>
      <c r="BW44" s="2927"/>
      <c r="BX44" s="2924" t="s">
        <v>110</v>
      </c>
      <c r="BY44" s="2925"/>
      <c r="BZ44" s="2926">
        <f t="shared" ref="BZ44" si="111">BY49/((36*3.1415/59)*(58/3.281))</f>
        <v>0</v>
      </c>
      <c r="CA44" s="2926"/>
      <c r="CB44" s="2927"/>
      <c r="EN44" s="57"/>
      <c r="EO44" s="57"/>
      <c r="EP44" s="57"/>
      <c r="EQ44" s="57"/>
      <c r="ER44" s="57"/>
    </row>
    <row r="45" spans="1:148" ht="11.25" customHeight="1" x14ac:dyDescent="0.25">
      <c r="A45" s="2984" t="s">
        <v>25</v>
      </c>
      <c r="B45" s="2985"/>
      <c r="C45" s="2985"/>
      <c r="D45" s="2990" t="s">
        <v>706</v>
      </c>
      <c r="E45" s="2991"/>
      <c r="F45" s="2984" t="s">
        <v>25</v>
      </c>
      <c r="G45" s="2985"/>
      <c r="H45" s="2985"/>
      <c r="I45" s="2990" t="s">
        <v>706</v>
      </c>
      <c r="J45" s="2991"/>
      <c r="K45" s="2984" t="s">
        <v>25</v>
      </c>
      <c r="L45" s="2985"/>
      <c r="M45" s="2985"/>
      <c r="N45" s="2990" t="s">
        <v>706</v>
      </c>
      <c r="O45" s="2991"/>
      <c r="P45" s="3067" t="s">
        <v>25</v>
      </c>
      <c r="Q45" s="3068"/>
      <c r="R45" s="3068"/>
      <c r="S45" s="3073" t="s">
        <v>706</v>
      </c>
      <c r="T45" s="3074"/>
      <c r="U45" s="2792" t="s">
        <v>25</v>
      </c>
      <c r="V45" s="2793"/>
      <c r="W45" s="2793"/>
      <c r="X45" s="2798" t="s">
        <v>706</v>
      </c>
      <c r="Y45" s="2799"/>
      <c r="Z45" s="2946" t="s">
        <v>25</v>
      </c>
      <c r="AA45" s="2947"/>
      <c r="AB45" s="2947"/>
      <c r="AC45" s="2928" t="s">
        <v>706</v>
      </c>
      <c r="AD45" s="2929"/>
      <c r="AE45" s="2946" t="s">
        <v>25</v>
      </c>
      <c r="AF45" s="2947"/>
      <c r="AG45" s="2947"/>
      <c r="AH45" s="2928" t="s">
        <v>706</v>
      </c>
      <c r="AI45" s="2929"/>
      <c r="AJ45" s="2946" t="s">
        <v>25</v>
      </c>
      <c r="AK45" s="2947"/>
      <c r="AL45" s="2947"/>
      <c r="AM45" s="2928" t="s">
        <v>706</v>
      </c>
      <c r="AN45" s="2929"/>
      <c r="AO45" s="2946" t="s">
        <v>25</v>
      </c>
      <c r="AP45" s="2947"/>
      <c r="AQ45" s="2947"/>
      <c r="AR45" s="2928" t="s">
        <v>706</v>
      </c>
      <c r="AS45" s="2929"/>
      <c r="AT45" s="2934" t="s">
        <v>25</v>
      </c>
      <c r="AU45" s="2935"/>
      <c r="AV45" s="2935"/>
      <c r="AW45" s="2940" t="s">
        <v>706</v>
      </c>
      <c r="AX45" s="2941"/>
      <c r="AY45" s="2918" t="s">
        <v>25</v>
      </c>
      <c r="AZ45" s="2919"/>
      <c r="BA45" s="2919"/>
      <c r="BB45" s="2912" t="s">
        <v>706</v>
      </c>
      <c r="BC45" s="2913"/>
      <c r="BD45" s="2918" t="s">
        <v>25</v>
      </c>
      <c r="BE45" s="2919"/>
      <c r="BF45" s="2919"/>
      <c r="BG45" s="2912" t="s">
        <v>706</v>
      </c>
      <c r="BH45" s="2913"/>
      <c r="BI45" s="2918" t="s">
        <v>25</v>
      </c>
      <c r="BJ45" s="2919"/>
      <c r="BK45" s="2919"/>
      <c r="BL45" s="2912" t="s">
        <v>706</v>
      </c>
      <c r="BM45" s="2913"/>
      <c r="BN45" s="2918" t="s">
        <v>25</v>
      </c>
      <c r="BO45" s="2919"/>
      <c r="BP45" s="2919"/>
      <c r="BQ45" s="2912" t="s">
        <v>706</v>
      </c>
      <c r="BR45" s="2913"/>
      <c r="BS45" s="2918" t="s">
        <v>25</v>
      </c>
      <c r="BT45" s="2919"/>
      <c r="BU45" s="2919"/>
      <c r="BV45" s="2912" t="s">
        <v>706</v>
      </c>
      <c r="BW45" s="2913"/>
      <c r="BX45" s="2918" t="s">
        <v>25</v>
      </c>
      <c r="BY45" s="2919"/>
      <c r="BZ45" s="2919"/>
      <c r="CA45" s="2912" t="s">
        <v>706</v>
      </c>
      <c r="CB45" s="2913"/>
      <c r="EN45" s="57"/>
      <c r="EO45" s="57"/>
      <c r="EP45" s="57"/>
      <c r="EQ45" s="57"/>
      <c r="ER45" s="57"/>
    </row>
    <row r="46" spans="1:148" ht="11.25" customHeight="1" x14ac:dyDescent="0.25">
      <c r="A46" s="2986"/>
      <c r="B46" s="2987"/>
      <c r="C46" s="2987"/>
      <c r="D46" s="2992"/>
      <c r="E46" s="2993"/>
      <c r="F46" s="2986"/>
      <c r="G46" s="2987"/>
      <c r="H46" s="2987"/>
      <c r="I46" s="2992"/>
      <c r="J46" s="2993"/>
      <c r="K46" s="2986"/>
      <c r="L46" s="2987"/>
      <c r="M46" s="2987"/>
      <c r="N46" s="2992"/>
      <c r="O46" s="2993"/>
      <c r="P46" s="3069"/>
      <c r="Q46" s="3070"/>
      <c r="R46" s="3070"/>
      <c r="S46" s="3075"/>
      <c r="T46" s="3076"/>
      <c r="U46" s="2794"/>
      <c r="V46" s="2795"/>
      <c r="W46" s="2795"/>
      <c r="X46" s="2800"/>
      <c r="Y46" s="2801"/>
      <c r="Z46" s="2948"/>
      <c r="AA46" s="2949"/>
      <c r="AB46" s="2949"/>
      <c r="AC46" s="2930"/>
      <c r="AD46" s="2931"/>
      <c r="AE46" s="2948"/>
      <c r="AF46" s="2949"/>
      <c r="AG46" s="2949"/>
      <c r="AH46" s="2930"/>
      <c r="AI46" s="2931"/>
      <c r="AJ46" s="2948"/>
      <c r="AK46" s="2949"/>
      <c r="AL46" s="2949"/>
      <c r="AM46" s="2930"/>
      <c r="AN46" s="2931"/>
      <c r="AO46" s="2948"/>
      <c r="AP46" s="2949"/>
      <c r="AQ46" s="2949"/>
      <c r="AR46" s="2930"/>
      <c r="AS46" s="2931"/>
      <c r="AT46" s="2936"/>
      <c r="AU46" s="2937"/>
      <c r="AV46" s="2937"/>
      <c r="AW46" s="2942"/>
      <c r="AX46" s="2943"/>
      <c r="AY46" s="2920"/>
      <c r="AZ46" s="2921"/>
      <c r="BA46" s="2921"/>
      <c r="BB46" s="2914"/>
      <c r="BC46" s="2915"/>
      <c r="BD46" s="2920"/>
      <c r="BE46" s="2921"/>
      <c r="BF46" s="2921"/>
      <c r="BG46" s="2914"/>
      <c r="BH46" s="2915"/>
      <c r="BI46" s="2920"/>
      <c r="BJ46" s="2921"/>
      <c r="BK46" s="2921"/>
      <c r="BL46" s="2914"/>
      <c r="BM46" s="2915"/>
      <c r="BN46" s="2920"/>
      <c r="BO46" s="2921"/>
      <c r="BP46" s="2921"/>
      <c r="BQ46" s="2914"/>
      <c r="BR46" s="2915"/>
      <c r="BS46" s="2920"/>
      <c r="BT46" s="2921"/>
      <c r="BU46" s="2921"/>
      <c r="BV46" s="2914"/>
      <c r="BW46" s="2915"/>
      <c r="BX46" s="2920"/>
      <c r="BY46" s="2921"/>
      <c r="BZ46" s="2921"/>
      <c r="CA46" s="2914"/>
      <c r="CB46" s="2915"/>
      <c r="EN46" s="57"/>
      <c r="EO46" s="57"/>
      <c r="EP46" s="57"/>
      <c r="EQ46" s="57"/>
      <c r="ER46" s="57"/>
    </row>
    <row r="47" spans="1:148" ht="11.25" customHeight="1" x14ac:dyDescent="0.25">
      <c r="A47" s="2988"/>
      <c r="B47" s="2989"/>
      <c r="C47" s="2989"/>
      <c r="D47" s="2994"/>
      <c r="E47" s="2995"/>
      <c r="F47" s="2988"/>
      <c r="G47" s="2989"/>
      <c r="H47" s="2989"/>
      <c r="I47" s="2994"/>
      <c r="J47" s="2995"/>
      <c r="K47" s="2988"/>
      <c r="L47" s="2989"/>
      <c r="M47" s="2989"/>
      <c r="N47" s="2994"/>
      <c r="O47" s="2995"/>
      <c r="P47" s="3071"/>
      <c r="Q47" s="3072"/>
      <c r="R47" s="3072"/>
      <c r="S47" s="3077"/>
      <c r="T47" s="3078"/>
      <c r="U47" s="2796"/>
      <c r="V47" s="2797"/>
      <c r="W47" s="2797"/>
      <c r="X47" s="2802"/>
      <c r="Y47" s="2803"/>
      <c r="Z47" s="2950"/>
      <c r="AA47" s="2951"/>
      <c r="AB47" s="2951"/>
      <c r="AC47" s="2932"/>
      <c r="AD47" s="2933"/>
      <c r="AE47" s="2950"/>
      <c r="AF47" s="2951"/>
      <c r="AG47" s="2951"/>
      <c r="AH47" s="2932"/>
      <c r="AI47" s="2933"/>
      <c r="AJ47" s="2950"/>
      <c r="AK47" s="2951"/>
      <c r="AL47" s="2951"/>
      <c r="AM47" s="2932"/>
      <c r="AN47" s="2933"/>
      <c r="AO47" s="2950"/>
      <c r="AP47" s="2951"/>
      <c r="AQ47" s="2951"/>
      <c r="AR47" s="2932"/>
      <c r="AS47" s="2933"/>
      <c r="AT47" s="2938"/>
      <c r="AU47" s="2939"/>
      <c r="AV47" s="2939"/>
      <c r="AW47" s="2944"/>
      <c r="AX47" s="2945"/>
      <c r="AY47" s="2922"/>
      <c r="AZ47" s="2923"/>
      <c r="BA47" s="2923"/>
      <c r="BB47" s="2916"/>
      <c r="BC47" s="2917"/>
      <c r="BD47" s="2922"/>
      <c r="BE47" s="2923"/>
      <c r="BF47" s="2923"/>
      <c r="BG47" s="2916"/>
      <c r="BH47" s="2917"/>
      <c r="BI47" s="2922"/>
      <c r="BJ47" s="2923"/>
      <c r="BK47" s="2923"/>
      <c r="BL47" s="2916"/>
      <c r="BM47" s="2917"/>
      <c r="BN47" s="2922"/>
      <c r="BO47" s="2923"/>
      <c r="BP47" s="2923"/>
      <c r="BQ47" s="2916"/>
      <c r="BR47" s="2917"/>
      <c r="BS47" s="2922"/>
      <c r="BT47" s="2923"/>
      <c r="BU47" s="2923"/>
      <c r="BV47" s="2916"/>
      <c r="BW47" s="2917"/>
      <c r="BX47" s="2922"/>
      <c r="BY47" s="2923"/>
      <c r="BZ47" s="2923"/>
      <c r="CA47" s="2916"/>
      <c r="CB47" s="2917"/>
    </row>
    <row r="48" spans="1:148" s="535" customFormat="1" ht="111.75" customHeight="1" x14ac:dyDescent="1.35">
      <c r="A48" s="1870" t="s">
        <v>710</v>
      </c>
      <c r="B48" s="2681"/>
      <c r="C48" s="2682"/>
      <c r="D48" s="2682"/>
      <c r="E48" s="2683"/>
      <c r="F48" s="1870" t="s">
        <v>710</v>
      </c>
      <c r="G48" s="2681"/>
      <c r="H48" s="2682"/>
      <c r="I48" s="2682"/>
      <c r="J48" s="2683"/>
      <c r="K48" s="1870" t="s">
        <v>710</v>
      </c>
      <c r="L48" s="2681"/>
      <c r="M48" s="2682"/>
      <c r="N48" s="2682"/>
      <c r="O48" s="2683"/>
      <c r="P48" s="3057" t="s">
        <v>711</v>
      </c>
      <c r="Q48" s="2681">
        <v>158</v>
      </c>
      <c r="R48" s="2682"/>
      <c r="S48" s="2682"/>
      <c r="T48" s="2683"/>
      <c r="U48" s="2804" t="s">
        <v>712</v>
      </c>
      <c r="V48" s="2681"/>
      <c r="W48" s="2682"/>
      <c r="X48" s="2682"/>
      <c r="Y48" s="2683"/>
      <c r="Z48" s="3055" t="s">
        <v>713</v>
      </c>
      <c r="AA48" s="2681"/>
      <c r="AB48" s="2682"/>
      <c r="AC48" s="2682"/>
      <c r="AD48" s="2683"/>
      <c r="AE48" s="3055" t="s">
        <v>713</v>
      </c>
      <c r="AF48" s="2681"/>
      <c r="AG48" s="2682"/>
      <c r="AH48" s="2682"/>
      <c r="AI48" s="2683"/>
      <c r="AJ48" s="3055" t="s">
        <v>713</v>
      </c>
      <c r="AK48" s="2681"/>
      <c r="AL48" s="2682"/>
      <c r="AM48" s="2682"/>
      <c r="AN48" s="2683"/>
      <c r="AO48" s="3055" t="s">
        <v>713</v>
      </c>
      <c r="AP48" s="2681"/>
      <c r="AQ48" s="2682"/>
      <c r="AR48" s="2682"/>
      <c r="AS48" s="2683"/>
      <c r="AT48" s="3053" t="s">
        <v>537</v>
      </c>
      <c r="AU48" s="2681"/>
      <c r="AV48" s="2682"/>
      <c r="AW48" s="2682"/>
      <c r="AX48" s="2683"/>
      <c r="AY48" s="3046" t="s">
        <v>714</v>
      </c>
      <c r="AZ48" s="2681"/>
      <c r="BA48" s="2682"/>
      <c r="BB48" s="2682"/>
      <c r="BC48" s="2683"/>
      <c r="BD48" s="3046" t="s">
        <v>714</v>
      </c>
      <c r="BE48" s="2681"/>
      <c r="BF48" s="2682"/>
      <c r="BG48" s="2682"/>
      <c r="BH48" s="2683"/>
      <c r="BI48" s="3046" t="s">
        <v>714</v>
      </c>
      <c r="BJ48" s="2681"/>
      <c r="BK48" s="2682"/>
      <c r="BL48" s="2682"/>
      <c r="BM48" s="2683"/>
      <c r="BN48" s="3046" t="s">
        <v>714</v>
      </c>
      <c r="BO48" s="2681"/>
      <c r="BP48" s="2682"/>
      <c r="BQ48" s="2682"/>
      <c r="BR48" s="2683"/>
      <c r="BS48" s="3046" t="s">
        <v>714</v>
      </c>
      <c r="BT48" s="2681"/>
      <c r="BU48" s="2682"/>
      <c r="BV48" s="2682"/>
      <c r="BW48" s="2683"/>
      <c r="BX48" s="3046" t="s">
        <v>714</v>
      </c>
      <c r="BY48" s="2681"/>
      <c r="BZ48" s="2682"/>
      <c r="CA48" s="2682"/>
      <c r="CB48" s="2683"/>
    </row>
    <row r="49" spans="1:182" ht="50.25" customHeight="1" thickBot="1" x14ac:dyDescent="0.3">
      <c r="A49" s="1871"/>
      <c r="B49" s="518"/>
      <c r="C49" s="519" t="s">
        <v>113</v>
      </c>
      <c r="D49" s="520"/>
      <c r="E49" s="523" t="s">
        <v>114</v>
      </c>
      <c r="F49" s="1871"/>
      <c r="G49" s="518"/>
      <c r="H49" s="519" t="s">
        <v>113</v>
      </c>
      <c r="I49" s="520"/>
      <c r="J49" s="523" t="s">
        <v>114</v>
      </c>
      <c r="K49" s="1871"/>
      <c r="L49" s="518"/>
      <c r="M49" s="519" t="s">
        <v>113</v>
      </c>
      <c r="N49" s="520"/>
      <c r="O49" s="523" t="s">
        <v>114</v>
      </c>
      <c r="P49" s="3058"/>
      <c r="Q49" s="518"/>
      <c r="R49" s="519" t="s">
        <v>113</v>
      </c>
      <c r="S49" s="520"/>
      <c r="T49" s="523" t="s">
        <v>114</v>
      </c>
      <c r="U49" s="2805"/>
      <c r="V49" s="518"/>
      <c r="W49" s="519" t="s">
        <v>113</v>
      </c>
      <c r="X49" s="520"/>
      <c r="Y49" s="523" t="s">
        <v>114</v>
      </c>
      <c r="Z49" s="3056"/>
      <c r="AA49" s="518"/>
      <c r="AB49" s="519" t="s">
        <v>113</v>
      </c>
      <c r="AC49" s="520"/>
      <c r="AD49" s="523" t="s">
        <v>114</v>
      </c>
      <c r="AE49" s="3056"/>
      <c r="AF49" s="518"/>
      <c r="AG49" s="519" t="s">
        <v>113</v>
      </c>
      <c r="AH49" s="520"/>
      <c r="AI49" s="523" t="s">
        <v>114</v>
      </c>
      <c r="AJ49" s="3056"/>
      <c r="AK49" s="518"/>
      <c r="AL49" s="519" t="s">
        <v>113</v>
      </c>
      <c r="AM49" s="520"/>
      <c r="AN49" s="523" t="s">
        <v>114</v>
      </c>
      <c r="AO49" s="3056"/>
      <c r="AP49" s="518"/>
      <c r="AQ49" s="519" t="s">
        <v>113</v>
      </c>
      <c r="AR49" s="520"/>
      <c r="AS49" s="523" t="s">
        <v>114</v>
      </c>
      <c r="AT49" s="3054"/>
      <c r="AU49" s="518"/>
      <c r="AV49" s="519" t="s">
        <v>113</v>
      </c>
      <c r="AW49" s="520"/>
      <c r="AX49" s="523" t="s">
        <v>114</v>
      </c>
      <c r="AY49" s="3047"/>
      <c r="AZ49" s="518"/>
      <c r="BA49" s="519" t="s">
        <v>113</v>
      </c>
      <c r="BB49" s="520"/>
      <c r="BC49" s="523" t="s">
        <v>114</v>
      </c>
      <c r="BD49" s="3047"/>
      <c r="BE49" s="518"/>
      <c r="BF49" s="519" t="s">
        <v>113</v>
      </c>
      <c r="BG49" s="520"/>
      <c r="BH49" s="523" t="s">
        <v>114</v>
      </c>
      <c r="BI49" s="3047"/>
      <c r="BJ49" s="518"/>
      <c r="BK49" s="519" t="s">
        <v>113</v>
      </c>
      <c r="BL49" s="520"/>
      <c r="BM49" s="523" t="s">
        <v>114</v>
      </c>
      <c r="BN49" s="3047"/>
      <c r="BO49" s="518"/>
      <c r="BP49" s="519" t="s">
        <v>113</v>
      </c>
      <c r="BQ49" s="520"/>
      <c r="BR49" s="523" t="s">
        <v>114</v>
      </c>
      <c r="BS49" s="3047"/>
      <c r="BT49" s="518"/>
      <c r="BU49" s="519" t="s">
        <v>113</v>
      </c>
      <c r="BV49" s="520"/>
      <c r="BW49" s="523" t="s">
        <v>114</v>
      </c>
      <c r="BX49" s="3047"/>
      <c r="BY49" s="518"/>
      <c r="BZ49" s="519" t="s">
        <v>113</v>
      </c>
      <c r="CA49" s="520"/>
      <c r="CB49" s="523" t="s">
        <v>114</v>
      </c>
      <c r="CG49" s="27"/>
      <c r="CH49" s="27"/>
      <c r="CI49" s="27"/>
      <c r="CJ49" s="27"/>
      <c r="CK49" s="27"/>
      <c r="CL49" s="27"/>
      <c r="CM49" s="27"/>
      <c r="CN49" s="27"/>
      <c r="CO49" s="27"/>
    </row>
    <row r="50" spans="1:182" ht="57" customHeight="1" thickTop="1" x14ac:dyDescent="0.25">
      <c r="A50" s="2924" t="s">
        <v>110</v>
      </c>
      <c r="B50" s="2925"/>
      <c r="C50" s="2926">
        <f t="shared" ref="C50" si="112">B55/((36*3.1415/59)*(58/3.281))</f>
        <v>0</v>
      </c>
      <c r="D50" s="2926"/>
      <c r="E50" s="2927"/>
      <c r="F50" s="2924" t="s">
        <v>110</v>
      </c>
      <c r="G50" s="2925"/>
      <c r="H50" s="2926">
        <f t="shared" ref="H50" si="113">G55/((36*3.1415/59)*(58/3.281))</f>
        <v>0</v>
      </c>
      <c r="I50" s="2926"/>
      <c r="J50" s="2927"/>
      <c r="K50" s="2924" t="s">
        <v>110</v>
      </c>
      <c r="L50" s="2925"/>
      <c r="M50" s="2926">
        <f t="shared" ref="M50" si="114">L55/((36*3.1415/59)*(58/3.281))</f>
        <v>0</v>
      </c>
      <c r="N50" s="2926"/>
      <c r="O50" s="2927"/>
      <c r="P50" s="2924" t="s">
        <v>110</v>
      </c>
      <c r="Q50" s="2925"/>
      <c r="R50" s="2926">
        <f t="shared" ref="R50" si="115">Q55/((36*3.1415/59)*(58/3.281))</f>
        <v>0</v>
      </c>
      <c r="S50" s="2926"/>
      <c r="T50" s="2927"/>
      <c r="U50" s="2924" t="s">
        <v>110</v>
      </c>
      <c r="V50" s="2925"/>
      <c r="W50" s="2926">
        <f t="shared" ref="W50" si="116">V55/((36*3.1415/59)*(58/3.281))</f>
        <v>0</v>
      </c>
      <c r="X50" s="2926"/>
      <c r="Y50" s="2927"/>
      <c r="Z50" s="2924" t="s">
        <v>110</v>
      </c>
      <c r="AA50" s="2925"/>
      <c r="AB50" s="2926">
        <f t="shared" ref="AB50" si="117">AA55/((36*3.1415/59)*(58/3.281))</f>
        <v>0</v>
      </c>
      <c r="AC50" s="2926"/>
      <c r="AD50" s="2927"/>
      <c r="AE50" s="2924" t="s">
        <v>110</v>
      </c>
      <c r="AF50" s="2925"/>
      <c r="AG50" s="2926">
        <f t="shared" ref="AG50" si="118">AF55/((36*3.1415/59)*(58/3.281))</f>
        <v>0</v>
      </c>
      <c r="AH50" s="2926"/>
      <c r="AI50" s="2927"/>
      <c r="AJ50" s="2924" t="s">
        <v>110</v>
      </c>
      <c r="AK50" s="2925"/>
      <c r="AL50" s="2926">
        <f t="shared" ref="AL50" si="119">AK55/((36*3.1415/59)*(58/3.281))</f>
        <v>0</v>
      </c>
      <c r="AM50" s="2926"/>
      <c r="AN50" s="2927"/>
      <c r="AO50" s="2924" t="s">
        <v>110</v>
      </c>
      <c r="AP50" s="2925"/>
      <c r="AQ50" s="2926">
        <f t="shared" ref="AQ50" si="120">AP55/((36*3.1415/59)*(58/3.281))</f>
        <v>0</v>
      </c>
      <c r="AR50" s="2926"/>
      <c r="AS50" s="2927"/>
      <c r="AT50" s="2924" t="s">
        <v>110</v>
      </c>
      <c r="AU50" s="2925"/>
      <c r="AV50" s="2926">
        <f t="shared" ref="AV50" si="121">AU55/((36*3.1415/59)*(58/3.281))</f>
        <v>0</v>
      </c>
      <c r="AW50" s="2926"/>
      <c r="AX50" s="2927"/>
      <c r="AY50" s="2924" t="s">
        <v>110</v>
      </c>
      <c r="AZ50" s="2925"/>
      <c r="BA50" s="2926">
        <f t="shared" ref="BA50" si="122">AZ55/((36*3.1415/59)*(58/3.281))</f>
        <v>0</v>
      </c>
      <c r="BB50" s="2926"/>
      <c r="BC50" s="2927"/>
      <c r="BD50" s="2924" t="s">
        <v>110</v>
      </c>
      <c r="BE50" s="2925"/>
      <c r="BF50" s="2926">
        <f t="shared" ref="BF50" si="123">BE55/((36*3.1415/59)*(58/3.281))</f>
        <v>0</v>
      </c>
      <c r="BG50" s="2926"/>
      <c r="BH50" s="2927"/>
      <c r="BI50" s="2924" t="s">
        <v>110</v>
      </c>
      <c r="BJ50" s="2925"/>
      <c r="BK50" s="2926">
        <f t="shared" ref="BK50" si="124">BJ55/((36*3.1415/59)*(58/3.281))</f>
        <v>0</v>
      </c>
      <c r="BL50" s="2926"/>
      <c r="BM50" s="2927"/>
      <c r="BN50" s="2924" t="s">
        <v>110</v>
      </c>
      <c r="BO50" s="2925"/>
      <c r="BP50" s="2926">
        <f t="shared" ref="BP50" si="125">BO55/((36*3.1415/59)*(58/3.281))</f>
        <v>0</v>
      </c>
      <c r="BQ50" s="2926"/>
      <c r="BR50" s="2927"/>
      <c r="BS50" s="2924" t="s">
        <v>110</v>
      </c>
      <c r="BT50" s="2925"/>
      <c r="BU50" s="2926">
        <f t="shared" ref="BU50" si="126">BT55/((36*3.1415/59)*(58/3.281))</f>
        <v>0</v>
      </c>
      <c r="BV50" s="2926"/>
      <c r="BW50" s="2927"/>
      <c r="BX50" s="2924" t="s">
        <v>110</v>
      </c>
      <c r="BY50" s="2925"/>
      <c r="BZ50" s="2926">
        <f t="shared" ref="BZ50" si="127">BY55/((36*3.1415/59)*(58/3.281))</f>
        <v>0</v>
      </c>
      <c r="CA50" s="2926"/>
      <c r="CB50" s="2927"/>
    </row>
    <row r="51" spans="1:182" ht="11.25" customHeight="1" x14ac:dyDescent="0.25">
      <c r="A51" s="2918" t="s">
        <v>25</v>
      </c>
      <c r="B51" s="2919"/>
      <c r="C51" s="2919"/>
      <c r="D51" s="2912" t="s">
        <v>706</v>
      </c>
      <c r="E51" s="2913"/>
      <c r="F51" s="2918" t="s">
        <v>25</v>
      </c>
      <c r="G51" s="2919"/>
      <c r="H51" s="2919"/>
      <c r="I51" s="2912" t="s">
        <v>706</v>
      </c>
      <c r="J51" s="2913"/>
      <c r="K51" s="2918" t="s">
        <v>25</v>
      </c>
      <c r="L51" s="2919"/>
      <c r="M51" s="2919"/>
      <c r="N51" s="2912" t="s">
        <v>706</v>
      </c>
      <c r="O51" s="2913"/>
      <c r="P51" s="2918" t="s">
        <v>25</v>
      </c>
      <c r="Q51" s="2919"/>
      <c r="R51" s="2919"/>
      <c r="S51" s="2912" t="s">
        <v>706</v>
      </c>
      <c r="T51" s="2913"/>
      <c r="U51" s="2918" t="s">
        <v>25</v>
      </c>
      <c r="V51" s="2919"/>
      <c r="W51" s="2919"/>
      <c r="X51" s="2912" t="s">
        <v>706</v>
      </c>
      <c r="Y51" s="2913"/>
      <c r="Z51" s="2918" t="s">
        <v>25</v>
      </c>
      <c r="AA51" s="2919"/>
      <c r="AB51" s="2919"/>
      <c r="AC51" s="2912" t="s">
        <v>706</v>
      </c>
      <c r="AD51" s="2913"/>
      <c r="AE51" s="2918" t="s">
        <v>25</v>
      </c>
      <c r="AF51" s="2919"/>
      <c r="AG51" s="2919"/>
      <c r="AH51" s="2912" t="s">
        <v>706</v>
      </c>
      <c r="AI51" s="2913"/>
      <c r="AJ51" s="2918" t="s">
        <v>25</v>
      </c>
      <c r="AK51" s="2919"/>
      <c r="AL51" s="2919"/>
      <c r="AM51" s="2912" t="s">
        <v>706</v>
      </c>
      <c r="AN51" s="2913"/>
      <c r="AO51" s="2918" t="s">
        <v>25</v>
      </c>
      <c r="AP51" s="2919"/>
      <c r="AQ51" s="2919"/>
      <c r="AR51" s="2912" t="s">
        <v>706</v>
      </c>
      <c r="AS51" s="2913"/>
      <c r="AT51" s="2918" t="s">
        <v>25</v>
      </c>
      <c r="AU51" s="2919"/>
      <c r="AV51" s="2919"/>
      <c r="AW51" s="2912" t="s">
        <v>706</v>
      </c>
      <c r="AX51" s="2913"/>
      <c r="AY51" s="2918" t="s">
        <v>25</v>
      </c>
      <c r="AZ51" s="2919"/>
      <c r="BA51" s="2919"/>
      <c r="BB51" s="2912" t="s">
        <v>706</v>
      </c>
      <c r="BC51" s="2913"/>
      <c r="BD51" s="2918" t="s">
        <v>25</v>
      </c>
      <c r="BE51" s="2919"/>
      <c r="BF51" s="2919"/>
      <c r="BG51" s="2912" t="s">
        <v>706</v>
      </c>
      <c r="BH51" s="2913"/>
      <c r="BI51" s="2918" t="s">
        <v>25</v>
      </c>
      <c r="BJ51" s="2919"/>
      <c r="BK51" s="2919"/>
      <c r="BL51" s="2912" t="s">
        <v>706</v>
      </c>
      <c r="BM51" s="2913"/>
      <c r="BN51" s="2918" t="s">
        <v>25</v>
      </c>
      <c r="BO51" s="2919"/>
      <c r="BP51" s="2919"/>
      <c r="BQ51" s="2912" t="s">
        <v>706</v>
      </c>
      <c r="BR51" s="2913"/>
      <c r="BS51" s="2918" t="s">
        <v>25</v>
      </c>
      <c r="BT51" s="2919"/>
      <c r="BU51" s="2919"/>
      <c r="BV51" s="2912" t="s">
        <v>706</v>
      </c>
      <c r="BW51" s="2913"/>
      <c r="BX51" s="2918" t="s">
        <v>25</v>
      </c>
      <c r="BY51" s="2919"/>
      <c r="BZ51" s="2919"/>
      <c r="CA51" s="2912" t="s">
        <v>706</v>
      </c>
      <c r="CB51" s="2913"/>
    </row>
    <row r="52" spans="1:182" ht="11.25" customHeight="1" x14ac:dyDescent="0.25">
      <c r="A52" s="2920"/>
      <c r="B52" s="2921"/>
      <c r="C52" s="2921"/>
      <c r="D52" s="2914"/>
      <c r="E52" s="2915"/>
      <c r="F52" s="2920"/>
      <c r="G52" s="2921"/>
      <c r="H52" s="2921"/>
      <c r="I52" s="2914"/>
      <c r="J52" s="2915"/>
      <c r="K52" s="2920"/>
      <c r="L52" s="2921"/>
      <c r="M52" s="2921"/>
      <c r="N52" s="2914"/>
      <c r="O52" s="2915"/>
      <c r="P52" s="2920"/>
      <c r="Q52" s="2921"/>
      <c r="R52" s="2921"/>
      <c r="S52" s="2914"/>
      <c r="T52" s="2915"/>
      <c r="U52" s="2920"/>
      <c r="V52" s="2921"/>
      <c r="W52" s="2921"/>
      <c r="X52" s="2914"/>
      <c r="Y52" s="2915"/>
      <c r="Z52" s="2920"/>
      <c r="AA52" s="2921"/>
      <c r="AB52" s="2921"/>
      <c r="AC52" s="2914"/>
      <c r="AD52" s="2915"/>
      <c r="AE52" s="2920"/>
      <c r="AF52" s="2921"/>
      <c r="AG52" s="2921"/>
      <c r="AH52" s="2914"/>
      <c r="AI52" s="2915"/>
      <c r="AJ52" s="2920"/>
      <c r="AK52" s="2921"/>
      <c r="AL52" s="2921"/>
      <c r="AM52" s="2914"/>
      <c r="AN52" s="2915"/>
      <c r="AO52" s="2920"/>
      <c r="AP52" s="2921"/>
      <c r="AQ52" s="2921"/>
      <c r="AR52" s="2914"/>
      <c r="AS52" s="2915"/>
      <c r="AT52" s="2920"/>
      <c r="AU52" s="2921"/>
      <c r="AV52" s="2921"/>
      <c r="AW52" s="2914"/>
      <c r="AX52" s="2915"/>
      <c r="AY52" s="2920"/>
      <c r="AZ52" s="2921"/>
      <c r="BA52" s="2921"/>
      <c r="BB52" s="2914"/>
      <c r="BC52" s="2915"/>
      <c r="BD52" s="2920"/>
      <c r="BE52" s="2921"/>
      <c r="BF52" s="2921"/>
      <c r="BG52" s="2914"/>
      <c r="BH52" s="2915"/>
      <c r="BI52" s="2920"/>
      <c r="BJ52" s="2921"/>
      <c r="BK52" s="2921"/>
      <c r="BL52" s="2914"/>
      <c r="BM52" s="2915"/>
      <c r="BN52" s="2920"/>
      <c r="BO52" s="2921"/>
      <c r="BP52" s="2921"/>
      <c r="BQ52" s="2914"/>
      <c r="BR52" s="2915"/>
      <c r="BS52" s="2920"/>
      <c r="BT52" s="2921"/>
      <c r="BU52" s="2921"/>
      <c r="BV52" s="2914"/>
      <c r="BW52" s="2915"/>
      <c r="BX52" s="2920"/>
      <c r="BY52" s="2921"/>
      <c r="BZ52" s="2921"/>
      <c r="CA52" s="2914"/>
      <c r="CB52" s="2915"/>
      <c r="DI52" s="37"/>
      <c r="DJ52" s="38"/>
      <c r="DK52" s="39"/>
      <c r="DL52" s="40"/>
      <c r="DM52" s="41"/>
      <c r="DN52" s="37"/>
      <c r="DO52" s="38"/>
      <c r="DP52" s="39"/>
      <c r="DQ52" s="40"/>
      <c r="DR52" s="41"/>
      <c r="DS52" s="37"/>
      <c r="DT52" s="38"/>
      <c r="DU52" s="39"/>
      <c r="DV52" s="40"/>
      <c r="DW52" s="41"/>
      <c r="DX52" s="37"/>
      <c r="DY52" s="38"/>
      <c r="DZ52" s="39"/>
      <c r="EA52" s="40"/>
      <c r="EB52" s="41"/>
      <c r="EC52" s="37"/>
      <c r="ED52" s="38"/>
      <c r="EE52" s="39"/>
      <c r="EF52" s="697"/>
      <c r="EG52" s="697"/>
      <c r="EH52" s="697"/>
      <c r="EI52" s="697"/>
      <c r="EJ52" s="697"/>
      <c r="EK52" s="697"/>
      <c r="EL52" s="697"/>
      <c r="EM52" s="697"/>
      <c r="EN52" s="697"/>
      <c r="EO52" s="697"/>
      <c r="EP52" s="697"/>
      <c r="EQ52" s="697"/>
      <c r="ER52" s="37"/>
      <c r="ES52" s="38"/>
      <c r="ET52" s="39"/>
      <c r="EU52" s="40"/>
      <c r="EV52" s="41"/>
      <c r="EW52" s="37"/>
      <c r="EX52" s="38"/>
      <c r="EY52" s="39"/>
      <c r="EZ52" s="40"/>
      <c r="FA52" s="41"/>
      <c r="FB52" s="37"/>
      <c r="FC52" s="38"/>
      <c r="FD52" s="39"/>
      <c r="FE52" s="40"/>
      <c r="FF52" s="41"/>
      <c r="FG52" s="37"/>
      <c r="FH52" s="38"/>
      <c r="FI52" s="39"/>
      <c r="FJ52" s="40"/>
      <c r="FK52" s="41"/>
      <c r="FL52" s="37"/>
      <c r="FM52" s="38"/>
      <c r="FN52" s="39"/>
      <c r="FO52" s="40"/>
      <c r="FP52" s="41"/>
      <c r="FQ52" s="37"/>
      <c r="FR52" s="38"/>
      <c r="FS52" s="39"/>
      <c r="FT52" s="40"/>
      <c r="FU52" s="41"/>
      <c r="FV52" s="37"/>
      <c r="FW52" s="38"/>
      <c r="FX52" s="39"/>
      <c r="FY52" s="40"/>
      <c r="FZ52" s="41"/>
    </row>
    <row r="53" spans="1:182" ht="11.25" customHeight="1" x14ac:dyDescent="0.25">
      <c r="A53" s="2922"/>
      <c r="B53" s="2923"/>
      <c r="C53" s="2923"/>
      <c r="D53" s="2916"/>
      <c r="E53" s="2917"/>
      <c r="F53" s="2922"/>
      <c r="G53" s="2923"/>
      <c r="H53" s="2923"/>
      <c r="I53" s="2916"/>
      <c r="J53" s="2917"/>
      <c r="K53" s="2922"/>
      <c r="L53" s="2923"/>
      <c r="M53" s="2923"/>
      <c r="N53" s="2916"/>
      <c r="O53" s="2917"/>
      <c r="P53" s="2922"/>
      <c r="Q53" s="2923"/>
      <c r="R53" s="2923"/>
      <c r="S53" s="2916"/>
      <c r="T53" s="2917"/>
      <c r="U53" s="2922"/>
      <c r="V53" s="2923"/>
      <c r="W53" s="2923"/>
      <c r="X53" s="2916"/>
      <c r="Y53" s="2917"/>
      <c r="Z53" s="2922"/>
      <c r="AA53" s="2923"/>
      <c r="AB53" s="2923"/>
      <c r="AC53" s="2916"/>
      <c r="AD53" s="2917"/>
      <c r="AE53" s="2922"/>
      <c r="AF53" s="2923"/>
      <c r="AG53" s="2923"/>
      <c r="AH53" s="2916"/>
      <c r="AI53" s="2917"/>
      <c r="AJ53" s="2922"/>
      <c r="AK53" s="2923"/>
      <c r="AL53" s="2923"/>
      <c r="AM53" s="2916"/>
      <c r="AN53" s="2917"/>
      <c r="AO53" s="2922"/>
      <c r="AP53" s="2923"/>
      <c r="AQ53" s="2923"/>
      <c r="AR53" s="2916"/>
      <c r="AS53" s="2917"/>
      <c r="AT53" s="2922"/>
      <c r="AU53" s="2923"/>
      <c r="AV53" s="2923"/>
      <c r="AW53" s="2916"/>
      <c r="AX53" s="2917"/>
      <c r="AY53" s="2922"/>
      <c r="AZ53" s="2923"/>
      <c r="BA53" s="2923"/>
      <c r="BB53" s="2916"/>
      <c r="BC53" s="2917"/>
      <c r="BD53" s="2922"/>
      <c r="BE53" s="2923"/>
      <c r="BF53" s="2923"/>
      <c r="BG53" s="2916"/>
      <c r="BH53" s="2917"/>
      <c r="BI53" s="2922"/>
      <c r="BJ53" s="2923"/>
      <c r="BK53" s="2923"/>
      <c r="BL53" s="2916"/>
      <c r="BM53" s="2917"/>
      <c r="BN53" s="2922"/>
      <c r="BO53" s="2923"/>
      <c r="BP53" s="2923"/>
      <c r="BQ53" s="2916"/>
      <c r="BR53" s="2917"/>
      <c r="BS53" s="2922"/>
      <c r="BT53" s="2923"/>
      <c r="BU53" s="2923"/>
      <c r="BV53" s="2916"/>
      <c r="BW53" s="2917"/>
      <c r="BX53" s="2922"/>
      <c r="BY53" s="2923"/>
      <c r="BZ53" s="2923"/>
      <c r="CA53" s="2916"/>
      <c r="CB53" s="2917"/>
      <c r="DI53" s="674"/>
      <c r="DJ53" s="674"/>
      <c r="DK53" s="674"/>
      <c r="DL53" s="675"/>
      <c r="DM53" s="675"/>
      <c r="DN53" s="44"/>
      <c r="DO53" s="702"/>
      <c r="DP53" s="702"/>
      <c r="DQ53" s="702"/>
      <c r="DS53" s="45"/>
      <c r="DT53" s="45"/>
      <c r="DU53" s="45"/>
      <c r="DV53" s="45"/>
      <c r="DW53" s="45"/>
      <c r="DX53" s="45"/>
      <c r="DY53" s="45"/>
      <c r="DZ53" s="45"/>
      <c r="EA53" s="45"/>
      <c r="EB53" s="45"/>
      <c r="EC53" s="45"/>
      <c r="ED53" s="45"/>
      <c r="EE53" s="45"/>
      <c r="EF53" s="697"/>
      <c r="EG53" s="697"/>
      <c r="EH53" s="697"/>
      <c r="EI53" s="697"/>
      <c r="EJ53" s="697"/>
      <c r="EK53" s="697"/>
      <c r="EL53" s="697"/>
      <c r="EM53" s="697"/>
      <c r="EN53" s="697"/>
      <c r="EO53" s="697"/>
      <c r="EP53" s="697"/>
      <c r="EQ53" s="697"/>
      <c r="ER53" s="697"/>
      <c r="ES53" s="697"/>
      <c r="ET53" s="697"/>
      <c r="EU53" s="697"/>
      <c r="EV53" s="697"/>
      <c r="EW53" s="697"/>
      <c r="EX53" s="697"/>
      <c r="EY53" s="697"/>
      <c r="EZ53" s="697"/>
      <c r="FA53" s="697"/>
      <c r="FB53" s="46"/>
      <c r="FC53" s="698"/>
      <c r="FD53" s="698"/>
      <c r="FE53" s="698"/>
      <c r="FF53" s="698"/>
      <c r="FG53" s="698"/>
      <c r="FH53" s="698"/>
      <c r="FI53" s="698"/>
      <c r="FJ53" s="698"/>
      <c r="FK53" s="698"/>
      <c r="FL53" s="698"/>
      <c r="FM53" s="698"/>
      <c r="FN53" s="698"/>
      <c r="FO53" s="699"/>
      <c r="FP53" s="699"/>
      <c r="FQ53" s="699"/>
      <c r="FR53" s="699"/>
      <c r="FS53" s="699"/>
      <c r="FT53" s="700"/>
      <c r="FU53" s="700"/>
      <c r="FV53" s="700"/>
      <c r="FW53" s="700"/>
      <c r="FX53" s="701"/>
      <c r="FY53" s="701"/>
      <c r="FZ53" s="701"/>
    </row>
    <row r="54" spans="1:182" ht="111.75" customHeight="1" x14ac:dyDescent="0.25">
      <c r="A54" s="3046" t="s">
        <v>714</v>
      </c>
      <c r="B54" s="2845"/>
      <c r="C54" s="2846"/>
      <c r="D54" s="2846"/>
      <c r="E54" s="2847"/>
      <c r="F54" s="3046" t="s">
        <v>714</v>
      </c>
      <c r="G54" s="2845"/>
      <c r="H54" s="2846"/>
      <c r="I54" s="2846"/>
      <c r="J54" s="2847"/>
      <c r="K54" s="3046" t="s">
        <v>714</v>
      </c>
      <c r="L54" s="2845"/>
      <c r="M54" s="2846"/>
      <c r="N54" s="2846"/>
      <c r="O54" s="2847"/>
      <c r="P54" s="3046" t="s">
        <v>714</v>
      </c>
      <c r="Q54" s="2845"/>
      <c r="R54" s="2846"/>
      <c r="S54" s="2846"/>
      <c r="T54" s="2847"/>
      <c r="U54" s="3046" t="s">
        <v>714</v>
      </c>
      <c r="V54" s="2845"/>
      <c r="W54" s="2846"/>
      <c r="X54" s="2846"/>
      <c r="Y54" s="2847"/>
      <c r="Z54" s="3046" t="s">
        <v>714</v>
      </c>
      <c r="AA54" s="2845"/>
      <c r="AB54" s="2846"/>
      <c r="AC54" s="2846"/>
      <c r="AD54" s="2847"/>
      <c r="AE54" s="3046" t="s">
        <v>714</v>
      </c>
      <c r="AF54" s="2845"/>
      <c r="AG54" s="2846"/>
      <c r="AH54" s="2846"/>
      <c r="AI54" s="2847"/>
      <c r="AJ54" s="3046" t="s">
        <v>714</v>
      </c>
      <c r="AK54" s="2845"/>
      <c r="AL54" s="2846"/>
      <c r="AM54" s="2846"/>
      <c r="AN54" s="2847"/>
      <c r="AO54" s="3046" t="s">
        <v>714</v>
      </c>
      <c r="AP54" s="2845"/>
      <c r="AQ54" s="2846"/>
      <c r="AR54" s="2846"/>
      <c r="AS54" s="2847"/>
      <c r="AT54" s="3046" t="s">
        <v>714</v>
      </c>
      <c r="AU54" s="2845"/>
      <c r="AV54" s="2846"/>
      <c r="AW54" s="2846"/>
      <c r="AX54" s="2847"/>
      <c r="AY54" s="3046" t="s">
        <v>714</v>
      </c>
      <c r="AZ54" s="2845"/>
      <c r="BA54" s="2846"/>
      <c r="BB54" s="2846"/>
      <c r="BC54" s="2847"/>
      <c r="BD54" s="3046" t="s">
        <v>714</v>
      </c>
      <c r="BE54" s="2845"/>
      <c r="BF54" s="2846"/>
      <c r="BG54" s="2846"/>
      <c r="BH54" s="2847"/>
      <c r="BI54" s="3046" t="s">
        <v>714</v>
      </c>
      <c r="BJ54" s="2845"/>
      <c r="BK54" s="2846"/>
      <c r="BL54" s="2846"/>
      <c r="BM54" s="2847"/>
      <c r="BN54" s="3046" t="s">
        <v>714</v>
      </c>
      <c r="BO54" s="2845"/>
      <c r="BP54" s="2846"/>
      <c r="BQ54" s="2846"/>
      <c r="BR54" s="2847"/>
      <c r="BS54" s="3046" t="s">
        <v>714</v>
      </c>
      <c r="BT54" s="2845"/>
      <c r="BU54" s="2846"/>
      <c r="BV54" s="2846"/>
      <c r="BW54" s="2847"/>
      <c r="BX54" s="3046" t="s">
        <v>714</v>
      </c>
      <c r="BY54" s="2845"/>
      <c r="BZ54" s="2846"/>
      <c r="CA54" s="2846"/>
      <c r="CB54" s="2847"/>
      <c r="CC54" s="50"/>
      <c r="CD54" s="50"/>
      <c r="CG54" s="51"/>
      <c r="CH54" s="51"/>
      <c r="CI54" s="51"/>
      <c r="CJ54" s="51"/>
      <c r="CK54" s="51"/>
      <c r="CL54" s="51"/>
      <c r="CM54" s="27"/>
      <c r="CN54" s="27"/>
      <c r="CO54" s="27"/>
      <c r="CQ54" s="27"/>
      <c r="CR54" s="27"/>
      <c r="CS54" s="27"/>
      <c r="CT54" s="27"/>
      <c r="CU54" s="27"/>
      <c r="CV54" s="27"/>
      <c r="DI54" s="676"/>
      <c r="DJ54" s="676"/>
      <c r="DK54" s="676"/>
      <c r="DL54" s="29"/>
      <c r="DM54" s="29"/>
      <c r="DN54" s="47"/>
      <c r="DO54" s="702"/>
      <c r="DP54" s="702"/>
      <c r="DQ54" s="702"/>
      <c r="DR54" s="48"/>
      <c r="DS54" s="45"/>
      <c r="DT54" s="45"/>
      <c r="DU54" s="45"/>
      <c r="DV54" s="45"/>
      <c r="DW54" s="45"/>
      <c r="DX54" s="45"/>
      <c r="DY54" s="45"/>
      <c r="DZ54" s="45"/>
      <c r="EA54" s="45"/>
      <c r="EB54" s="45"/>
      <c r="EC54" s="45"/>
      <c r="ED54" s="45"/>
      <c r="EE54" s="45"/>
      <c r="EF54" s="697"/>
      <c r="EG54" s="697"/>
      <c r="EH54" s="697"/>
      <c r="EI54" s="697"/>
      <c r="EJ54" s="697"/>
      <c r="EK54" s="697"/>
      <c r="EL54" s="697"/>
      <c r="EM54" s="697"/>
      <c r="EN54" s="697"/>
      <c r="EO54" s="697"/>
      <c r="EP54" s="697"/>
      <c r="EQ54" s="697"/>
      <c r="ER54" s="697"/>
      <c r="ES54" s="697"/>
      <c r="ET54" s="697"/>
      <c r="EU54" s="697"/>
      <c r="EV54" s="697"/>
      <c r="EW54" s="697"/>
      <c r="EX54" s="697"/>
      <c r="EY54" s="697"/>
      <c r="EZ54" s="697"/>
      <c r="FA54" s="697"/>
      <c r="FB54" s="46"/>
      <c r="FC54" s="698"/>
      <c r="FD54" s="698"/>
      <c r="FE54" s="698"/>
      <c r="FF54" s="698"/>
      <c r="FG54" s="698"/>
      <c r="FH54" s="698"/>
      <c r="FI54" s="698"/>
      <c r="FJ54" s="698"/>
      <c r="FK54" s="698"/>
      <c r="FL54" s="698"/>
      <c r="FM54" s="698"/>
      <c r="FN54" s="698"/>
      <c r="FO54" s="699"/>
      <c r="FP54" s="699"/>
      <c r="FQ54" s="699"/>
      <c r="FR54" s="699"/>
      <c r="FS54" s="699"/>
      <c r="FT54" s="700"/>
      <c r="FU54" s="700"/>
      <c r="FV54" s="700"/>
      <c r="FW54" s="700"/>
      <c r="FX54" s="701"/>
      <c r="FY54" s="701"/>
      <c r="FZ54" s="701"/>
    </row>
    <row r="55" spans="1:182" ht="50.25" customHeight="1" thickBot="1" x14ac:dyDescent="0.3">
      <c r="A55" s="3047"/>
      <c r="B55" s="518"/>
      <c r="C55" s="519" t="s">
        <v>113</v>
      </c>
      <c r="D55" s="520"/>
      <c r="E55" s="523" t="s">
        <v>114</v>
      </c>
      <c r="F55" s="3047"/>
      <c r="G55" s="518"/>
      <c r="H55" s="519" t="s">
        <v>113</v>
      </c>
      <c r="I55" s="520"/>
      <c r="J55" s="523" t="s">
        <v>114</v>
      </c>
      <c r="K55" s="3047"/>
      <c r="L55" s="518"/>
      <c r="M55" s="519" t="s">
        <v>113</v>
      </c>
      <c r="N55" s="520"/>
      <c r="O55" s="523" t="s">
        <v>114</v>
      </c>
      <c r="P55" s="3047"/>
      <c r="Q55" s="518"/>
      <c r="R55" s="519" t="s">
        <v>113</v>
      </c>
      <c r="S55" s="520"/>
      <c r="T55" s="523" t="s">
        <v>114</v>
      </c>
      <c r="U55" s="3047"/>
      <c r="V55" s="518"/>
      <c r="W55" s="519" t="s">
        <v>113</v>
      </c>
      <c r="X55" s="520"/>
      <c r="Y55" s="523" t="s">
        <v>114</v>
      </c>
      <c r="Z55" s="3047"/>
      <c r="AA55" s="518"/>
      <c r="AB55" s="519" t="s">
        <v>113</v>
      </c>
      <c r="AC55" s="520"/>
      <c r="AD55" s="523" t="s">
        <v>114</v>
      </c>
      <c r="AE55" s="3047"/>
      <c r="AF55" s="518"/>
      <c r="AG55" s="519" t="s">
        <v>113</v>
      </c>
      <c r="AH55" s="520"/>
      <c r="AI55" s="523" t="s">
        <v>114</v>
      </c>
      <c r="AJ55" s="3047"/>
      <c r="AK55" s="518"/>
      <c r="AL55" s="519" t="s">
        <v>113</v>
      </c>
      <c r="AM55" s="520"/>
      <c r="AN55" s="523" t="s">
        <v>114</v>
      </c>
      <c r="AO55" s="3047"/>
      <c r="AP55" s="518"/>
      <c r="AQ55" s="519" t="s">
        <v>113</v>
      </c>
      <c r="AR55" s="520"/>
      <c r="AS55" s="523" t="s">
        <v>114</v>
      </c>
      <c r="AT55" s="3047"/>
      <c r="AU55" s="518"/>
      <c r="AV55" s="519" t="s">
        <v>113</v>
      </c>
      <c r="AW55" s="520"/>
      <c r="AX55" s="523" t="s">
        <v>114</v>
      </c>
      <c r="AY55" s="3047"/>
      <c r="AZ55" s="518"/>
      <c r="BA55" s="519" t="s">
        <v>113</v>
      </c>
      <c r="BB55" s="520"/>
      <c r="BC55" s="523" t="s">
        <v>114</v>
      </c>
      <c r="BD55" s="3047"/>
      <c r="BE55" s="518"/>
      <c r="BF55" s="519" t="s">
        <v>113</v>
      </c>
      <c r="BG55" s="520"/>
      <c r="BH55" s="523" t="s">
        <v>114</v>
      </c>
      <c r="BI55" s="3047"/>
      <c r="BJ55" s="518"/>
      <c r="BK55" s="519" t="s">
        <v>113</v>
      </c>
      <c r="BL55" s="520"/>
      <c r="BM55" s="523" t="s">
        <v>114</v>
      </c>
      <c r="BN55" s="3047"/>
      <c r="BO55" s="518"/>
      <c r="BP55" s="519" t="s">
        <v>113</v>
      </c>
      <c r="BQ55" s="520"/>
      <c r="BR55" s="523" t="s">
        <v>114</v>
      </c>
      <c r="BS55" s="3047"/>
      <c r="BT55" s="518"/>
      <c r="BU55" s="519" t="s">
        <v>113</v>
      </c>
      <c r="BV55" s="520"/>
      <c r="BW55" s="523" t="s">
        <v>114</v>
      </c>
      <c r="BX55" s="3047"/>
      <c r="BY55" s="518"/>
      <c r="BZ55" s="519" t="s">
        <v>113</v>
      </c>
      <c r="CA55" s="520"/>
      <c r="CB55" s="523" t="s">
        <v>114</v>
      </c>
      <c r="CC55" s="50"/>
      <c r="CD55" s="50"/>
      <c r="CG55" s="27"/>
      <c r="CH55" s="27"/>
      <c r="CI55" s="27"/>
      <c r="CJ55" s="27"/>
      <c r="CK55" s="27"/>
      <c r="CL55" s="27"/>
      <c r="CM55" s="27"/>
      <c r="CN55" s="27"/>
      <c r="CO55" s="27"/>
      <c r="CQ55" s="27"/>
      <c r="CR55" s="27"/>
      <c r="CS55" s="27"/>
      <c r="CT55" s="27"/>
      <c r="CU55" s="27"/>
      <c r="CV55" s="27"/>
      <c r="DI55" s="676"/>
      <c r="DJ55" s="676"/>
      <c r="DK55" s="676"/>
      <c r="DL55" s="29"/>
      <c r="DM55" s="29"/>
      <c r="DN55" s="47"/>
      <c r="DO55" s="702"/>
      <c r="DP55" s="702"/>
      <c r="DQ55" s="702"/>
      <c r="DR55" s="48"/>
      <c r="DS55" s="45"/>
      <c r="DT55" s="45"/>
      <c r="DU55" s="45"/>
      <c r="DV55" s="45"/>
      <c r="DW55" s="45"/>
      <c r="DX55" s="45"/>
      <c r="DY55" s="45"/>
      <c r="DZ55" s="45"/>
      <c r="EA55" s="45"/>
      <c r="EB55" s="45"/>
      <c r="EC55" s="45"/>
      <c r="ED55" s="45"/>
      <c r="EE55" s="45"/>
      <c r="EF55" s="697"/>
      <c r="EG55" s="697"/>
      <c r="EH55" s="697"/>
      <c r="EI55" s="697"/>
      <c r="EJ55" s="697"/>
      <c r="EK55" s="697"/>
      <c r="EL55" s="697"/>
      <c r="EM55" s="697"/>
      <c r="EN55" s="697"/>
      <c r="EO55" s="697"/>
      <c r="EP55" s="697"/>
      <c r="EQ55" s="697"/>
      <c r="ER55" s="697"/>
      <c r="ES55" s="697"/>
      <c r="ET55" s="697"/>
      <c r="EU55" s="697"/>
      <c r="EV55" s="697"/>
      <c r="EW55" s="697"/>
      <c r="EX55" s="697"/>
      <c r="EY55" s="697"/>
      <c r="EZ55" s="697"/>
      <c r="FA55" s="697"/>
      <c r="FB55" s="46"/>
      <c r="FC55" s="698"/>
      <c r="FD55" s="698"/>
      <c r="FE55" s="698"/>
      <c r="FF55" s="698"/>
      <c r="FG55" s="698"/>
      <c r="FH55" s="698"/>
      <c r="FI55" s="698"/>
      <c r="FJ55" s="698"/>
      <c r="FK55" s="698"/>
      <c r="FL55" s="698"/>
      <c r="FM55" s="698"/>
      <c r="FN55" s="698"/>
      <c r="FO55" s="699"/>
      <c r="FP55" s="699"/>
      <c r="FQ55" s="699"/>
      <c r="FR55" s="699"/>
      <c r="FS55" s="699"/>
      <c r="FT55" s="700"/>
      <c r="FU55" s="700"/>
      <c r="FV55" s="700"/>
      <c r="FW55" s="700"/>
      <c r="FX55" s="701"/>
      <c r="FY55" s="701"/>
      <c r="FZ55" s="701"/>
    </row>
    <row r="56" spans="1:182" ht="57" customHeight="1" thickTop="1" x14ac:dyDescent="0.25">
      <c r="A56" s="2924" t="s">
        <v>110</v>
      </c>
      <c r="B56" s="2925"/>
      <c r="C56" s="2926">
        <f t="shared" ref="C56" si="128">B61/((36*3.1415/59)*(58/3.281))</f>
        <v>0</v>
      </c>
      <c r="D56" s="2926"/>
      <c r="E56" s="2927"/>
      <c r="F56" s="2924" t="s">
        <v>110</v>
      </c>
      <c r="G56" s="2925"/>
      <c r="H56" s="2926">
        <f t="shared" ref="H56" si="129">G61/((36*3.1415/59)*(58/3.281))</f>
        <v>0</v>
      </c>
      <c r="I56" s="2926"/>
      <c r="J56" s="2927"/>
      <c r="K56" s="2924" t="s">
        <v>110</v>
      </c>
      <c r="L56" s="2925"/>
      <c r="M56" s="2926">
        <f t="shared" ref="M56" si="130">L61/((36*3.1415/59)*(58/3.281))</f>
        <v>0</v>
      </c>
      <c r="N56" s="2926"/>
      <c r="O56" s="2927"/>
      <c r="P56" s="2924" t="s">
        <v>110</v>
      </c>
      <c r="Q56" s="2925"/>
      <c r="R56" s="2926">
        <f t="shared" ref="R56" si="131">Q61/((36*3.1415/59)*(58/3.281))</f>
        <v>0</v>
      </c>
      <c r="S56" s="2926"/>
      <c r="T56" s="2927"/>
      <c r="U56" s="2924" t="s">
        <v>110</v>
      </c>
      <c r="V56" s="2925"/>
      <c r="W56" s="2926">
        <f t="shared" ref="W56" si="132">V61/((36*3.1415/59)*(58/3.281))</f>
        <v>0</v>
      </c>
      <c r="X56" s="2926"/>
      <c r="Y56" s="2927"/>
      <c r="Z56" s="2924" t="s">
        <v>110</v>
      </c>
      <c r="AA56" s="2925"/>
      <c r="AB56" s="2926">
        <f t="shared" ref="AB56" si="133">AA61/((36*3.1415/59)*(58/3.281))</f>
        <v>0</v>
      </c>
      <c r="AC56" s="2926"/>
      <c r="AD56" s="2927"/>
      <c r="AE56" s="2924" t="s">
        <v>110</v>
      </c>
      <c r="AF56" s="2925"/>
      <c r="AG56" s="2926">
        <f t="shared" ref="AG56" si="134">AF61/((36*3.1415/59)*(58/3.281))</f>
        <v>0</v>
      </c>
      <c r="AH56" s="2926"/>
      <c r="AI56" s="2927"/>
      <c r="AJ56" s="2924" t="s">
        <v>110</v>
      </c>
      <c r="AK56" s="2925"/>
      <c r="AL56" s="2926">
        <f t="shared" ref="AL56" si="135">AK61/((36*3.1415/59)*(58/3.281))</f>
        <v>0</v>
      </c>
      <c r="AM56" s="2926"/>
      <c r="AN56" s="2927"/>
      <c r="AO56" s="2924" t="s">
        <v>110</v>
      </c>
      <c r="AP56" s="2925"/>
      <c r="AQ56" s="2926">
        <f t="shared" ref="AQ56" si="136">AP61/((36*3.1415/59)*(58/3.281))</f>
        <v>0</v>
      </c>
      <c r="AR56" s="2926"/>
      <c r="AS56" s="2927"/>
      <c r="AT56" s="1282" t="s">
        <v>110</v>
      </c>
      <c r="AU56" s="1283"/>
      <c r="AV56" s="1288">
        <f>AU61/((36*3.1415/59)*(59/3.281))</f>
        <v>0</v>
      </c>
      <c r="AW56" s="1288"/>
      <c r="AX56" s="1289"/>
      <c r="AY56" s="1282" t="s">
        <v>110</v>
      </c>
      <c r="AZ56" s="1283"/>
      <c r="BA56" s="1288">
        <f t="shared" ref="BA56" si="137">AZ61/((36*3.1415/59)*(59/3.281))</f>
        <v>0</v>
      </c>
      <c r="BB56" s="1288"/>
      <c r="BC56" s="1289"/>
      <c r="BD56" s="1282" t="s">
        <v>110</v>
      </c>
      <c r="BE56" s="1283"/>
      <c r="BF56" s="1288">
        <f t="shared" ref="BF56" si="138">BE61/((36*3.1415/59)*(59/3.281))</f>
        <v>0</v>
      </c>
      <c r="BG56" s="1288"/>
      <c r="BH56" s="1289"/>
      <c r="BI56" s="660" t="s">
        <v>110</v>
      </c>
      <c r="BJ56" s="661"/>
      <c r="BK56" s="3051">
        <f>BJ61/((36*3.1415/59)*(60/3.281))</f>
        <v>0</v>
      </c>
      <c r="BL56" s="3051"/>
      <c r="BM56" s="3052"/>
      <c r="BN56" s="617" t="s">
        <v>110</v>
      </c>
      <c r="BO56" s="618"/>
      <c r="BP56" s="2722">
        <f>BO61/((36*3.1415/59)*(61/3.281))</f>
        <v>0</v>
      </c>
      <c r="BQ56" s="2722"/>
      <c r="BR56" s="2723"/>
      <c r="BS56" s="617" t="s">
        <v>110</v>
      </c>
      <c r="BT56" s="618"/>
      <c r="BU56" s="2722">
        <f t="shared" ref="BU56" si="139">BT61/((36*3.1415/59)*(61/3.281))</f>
        <v>0</v>
      </c>
      <c r="BV56" s="2722"/>
      <c r="BW56" s="2723"/>
      <c r="BX56" s="617" t="s">
        <v>110</v>
      </c>
      <c r="BY56" s="618"/>
      <c r="BZ56" s="2722">
        <f t="shared" ref="BZ56" si="140">BY61/((36*3.1415/59)*(61/3.281))</f>
        <v>0</v>
      </c>
      <c r="CA56" s="2722"/>
      <c r="CB56" s="2723"/>
      <c r="CC56" s="50"/>
      <c r="CD56" s="50"/>
      <c r="CG56" s="27"/>
      <c r="CH56" s="27"/>
      <c r="CI56" s="27"/>
      <c r="CJ56" s="27"/>
      <c r="CK56" s="27"/>
      <c r="CL56" s="27"/>
      <c r="CM56" s="27"/>
      <c r="CN56" s="27"/>
      <c r="CO56" s="27"/>
      <c r="CQ56" s="27"/>
      <c r="CR56" s="27"/>
      <c r="CS56" s="27"/>
      <c r="CT56" s="27"/>
      <c r="CU56" s="27"/>
      <c r="CV56" s="27"/>
      <c r="DI56" s="676"/>
      <c r="DJ56" s="676"/>
      <c r="DK56" s="676"/>
      <c r="DL56" s="675"/>
      <c r="DM56" s="675"/>
      <c r="DN56" s="47"/>
      <c r="DO56" s="703"/>
      <c r="DP56" s="703"/>
      <c r="DQ56" s="703"/>
      <c r="DR56" s="48"/>
      <c r="DS56" s="45"/>
      <c r="DT56" s="45"/>
      <c r="DU56" s="45"/>
      <c r="DV56" s="45"/>
      <c r="DW56" s="45"/>
      <c r="DX56" s="45"/>
      <c r="DY56" s="45"/>
      <c r="DZ56" s="45"/>
      <c r="EA56" s="45"/>
      <c r="EB56" s="45"/>
      <c r="EC56" s="45"/>
      <c r="ED56" s="45"/>
      <c r="EE56" s="45"/>
      <c r="EF56" s="697"/>
      <c r="EG56" s="697"/>
      <c r="EH56" s="697"/>
      <c r="EI56" s="697"/>
      <c r="EJ56" s="697"/>
      <c r="EK56" s="697"/>
      <c r="EL56" s="697"/>
      <c r="EM56" s="697"/>
      <c r="EN56" s="697"/>
      <c r="EO56" s="697"/>
      <c r="EP56" s="697"/>
      <c r="EQ56" s="697"/>
      <c r="ER56" s="697"/>
      <c r="ES56" s="697"/>
      <c r="ET56" s="697"/>
      <c r="EU56" s="697"/>
      <c r="EV56" s="697"/>
      <c r="EW56" s="697"/>
      <c r="EX56" s="697"/>
      <c r="EY56" s="697"/>
      <c r="EZ56" s="697"/>
      <c r="FA56" s="697"/>
      <c r="FB56" s="46"/>
      <c r="FC56" s="698"/>
      <c r="FD56" s="698"/>
      <c r="FE56" s="698"/>
      <c r="FF56" s="698"/>
      <c r="FG56" s="698"/>
      <c r="FH56" s="698"/>
      <c r="FI56" s="698"/>
      <c r="FJ56" s="698"/>
      <c r="FK56" s="698"/>
      <c r="FL56" s="698"/>
      <c r="FM56" s="698"/>
      <c r="FN56" s="698"/>
      <c r="FO56" s="699"/>
      <c r="FP56" s="699"/>
      <c r="FQ56" s="699"/>
      <c r="FR56" s="699"/>
      <c r="FS56" s="699"/>
      <c r="FT56" s="700"/>
      <c r="FU56" s="700"/>
      <c r="FV56" s="700"/>
      <c r="FW56" s="700"/>
      <c r="FX56" s="701"/>
      <c r="FY56" s="701"/>
      <c r="FZ56" s="701"/>
    </row>
    <row r="57" spans="1:182" ht="11.25" customHeight="1" x14ac:dyDescent="0.25">
      <c r="A57" s="2918" t="s">
        <v>25</v>
      </c>
      <c r="B57" s="2919"/>
      <c r="C57" s="2919"/>
      <c r="D57" s="2912" t="s">
        <v>706</v>
      </c>
      <c r="E57" s="2913"/>
      <c r="F57" s="2918" t="s">
        <v>25</v>
      </c>
      <c r="G57" s="2919"/>
      <c r="H57" s="2919"/>
      <c r="I57" s="2912" t="s">
        <v>706</v>
      </c>
      <c r="J57" s="2913"/>
      <c r="K57" s="2918" t="s">
        <v>25</v>
      </c>
      <c r="L57" s="2919"/>
      <c r="M57" s="2919"/>
      <c r="N57" s="2912" t="s">
        <v>706</v>
      </c>
      <c r="O57" s="2913"/>
      <c r="P57" s="2918" t="s">
        <v>25</v>
      </c>
      <c r="Q57" s="2919"/>
      <c r="R57" s="2919"/>
      <c r="S57" s="2912" t="s">
        <v>706</v>
      </c>
      <c r="T57" s="2913"/>
      <c r="U57" s="2918" t="s">
        <v>25</v>
      </c>
      <c r="V57" s="2919"/>
      <c r="W57" s="2919"/>
      <c r="X57" s="2912" t="s">
        <v>706</v>
      </c>
      <c r="Y57" s="2913"/>
      <c r="Z57" s="2918" t="s">
        <v>25</v>
      </c>
      <c r="AA57" s="2919"/>
      <c r="AB57" s="2919"/>
      <c r="AC57" s="2912" t="s">
        <v>706</v>
      </c>
      <c r="AD57" s="2913"/>
      <c r="AE57" s="2918" t="s">
        <v>25</v>
      </c>
      <c r="AF57" s="2919"/>
      <c r="AG57" s="2919"/>
      <c r="AH57" s="2912" t="s">
        <v>706</v>
      </c>
      <c r="AI57" s="2913"/>
      <c r="AJ57" s="2918" t="s">
        <v>25</v>
      </c>
      <c r="AK57" s="2919"/>
      <c r="AL57" s="2919"/>
      <c r="AM57" s="2912" t="s">
        <v>706</v>
      </c>
      <c r="AN57" s="2913"/>
      <c r="AO57" s="2918" t="s">
        <v>25</v>
      </c>
      <c r="AP57" s="2919"/>
      <c r="AQ57" s="2919"/>
      <c r="AR57" s="2912" t="s">
        <v>706</v>
      </c>
      <c r="AS57" s="2913"/>
      <c r="AT57" s="2894" t="s">
        <v>25</v>
      </c>
      <c r="AU57" s="2895"/>
      <c r="AV57" s="2895"/>
      <c r="AW57" s="2888" t="s">
        <v>706</v>
      </c>
      <c r="AX57" s="2889"/>
      <c r="AY57" s="2894" t="s">
        <v>25</v>
      </c>
      <c r="AZ57" s="2895"/>
      <c r="BA57" s="2895"/>
      <c r="BB57" s="2888" t="s">
        <v>706</v>
      </c>
      <c r="BC57" s="2889"/>
      <c r="BD57" s="2894" t="s">
        <v>25</v>
      </c>
      <c r="BE57" s="2895"/>
      <c r="BF57" s="2895"/>
      <c r="BG57" s="2888" t="s">
        <v>706</v>
      </c>
      <c r="BH57" s="2889"/>
      <c r="BI57" s="2900" t="s">
        <v>25</v>
      </c>
      <c r="BJ57" s="2901"/>
      <c r="BK57" s="2901"/>
      <c r="BL57" s="2906" t="s">
        <v>706</v>
      </c>
      <c r="BM57" s="2907"/>
      <c r="BN57" s="2710" t="s">
        <v>25</v>
      </c>
      <c r="BO57" s="2711"/>
      <c r="BP57" s="2711"/>
      <c r="BQ57" s="2716" t="s">
        <v>706</v>
      </c>
      <c r="BR57" s="2717"/>
      <c r="BS57" s="2710" t="s">
        <v>25</v>
      </c>
      <c r="BT57" s="2711"/>
      <c r="BU57" s="2711"/>
      <c r="BV57" s="2716" t="s">
        <v>706</v>
      </c>
      <c r="BW57" s="2717"/>
      <c r="BX57" s="2710" t="s">
        <v>25</v>
      </c>
      <c r="BY57" s="2711"/>
      <c r="BZ57" s="2711"/>
      <c r="CA57" s="2716" t="s">
        <v>706</v>
      </c>
      <c r="CB57" s="2717"/>
      <c r="CC57" s="50"/>
      <c r="CD57" s="50"/>
      <c r="CG57" s="27"/>
      <c r="CH57" s="27"/>
      <c r="CI57" s="27"/>
      <c r="CJ57" s="27"/>
      <c r="CK57" s="27"/>
      <c r="CL57" s="27"/>
      <c r="CM57" s="27"/>
      <c r="CN57" s="27"/>
      <c r="CO57" s="27"/>
      <c r="CQ57" s="27"/>
      <c r="CR57" s="27"/>
      <c r="CS57" s="27"/>
      <c r="CT57" s="27"/>
      <c r="CU57" s="27"/>
      <c r="CV57" s="27"/>
      <c r="DJ57" s="17"/>
      <c r="DO57" s="703"/>
      <c r="DP57" s="703"/>
      <c r="DQ57" s="703"/>
      <c r="DR57" s="48"/>
      <c r="DS57" s="49"/>
      <c r="DT57" s="49"/>
      <c r="DU57" s="49"/>
      <c r="DV57" s="49"/>
      <c r="DW57" s="49"/>
      <c r="DX57" s="49"/>
      <c r="DY57" s="49"/>
      <c r="DZ57" s="49"/>
      <c r="EA57" s="49"/>
      <c r="EB57" s="49"/>
      <c r="EC57" s="49"/>
      <c r="ED57" s="49"/>
      <c r="EE57" s="49"/>
      <c r="EF57" s="704"/>
      <c r="EG57" s="705"/>
      <c r="EH57" s="705"/>
      <c r="EI57" s="705"/>
      <c r="EJ57" s="705"/>
      <c r="EK57" s="705"/>
      <c r="EL57" s="705"/>
      <c r="EM57" s="705"/>
      <c r="EN57" s="705"/>
      <c r="EO57" s="705"/>
      <c r="EP57" s="705"/>
      <c r="EQ57" s="705"/>
      <c r="ER57" s="706"/>
      <c r="ES57" s="706"/>
      <c r="ET57" s="706"/>
      <c r="EU57" s="706"/>
      <c r="EV57" s="706"/>
      <c r="EW57" s="706"/>
      <c r="EX57" s="706"/>
      <c r="EY57" s="706"/>
      <c r="EZ57" s="706"/>
      <c r="FA57" s="706"/>
      <c r="FB57" s="706"/>
      <c r="FC57" s="707"/>
      <c r="FD57" s="707"/>
      <c r="FE57" s="707"/>
      <c r="FF57" s="707"/>
      <c r="FG57" s="707"/>
      <c r="FH57" s="707"/>
      <c r="FI57" s="707"/>
      <c r="FJ57" s="707"/>
      <c r="FK57" s="707"/>
      <c r="FL57" s="707"/>
      <c r="FM57" s="707"/>
      <c r="FN57" s="707"/>
      <c r="FO57" s="699"/>
      <c r="FP57" s="699"/>
      <c r="FQ57" s="699"/>
      <c r="FR57" s="699"/>
      <c r="FS57" s="699"/>
      <c r="FT57" s="708"/>
      <c r="FU57" s="708"/>
      <c r="FV57" s="708"/>
      <c r="FW57" s="708"/>
      <c r="FX57" s="708"/>
      <c r="FY57" s="708"/>
      <c r="FZ57" s="708"/>
    </row>
    <row r="58" spans="1:182" ht="11.25" customHeight="1" x14ac:dyDescent="0.25">
      <c r="A58" s="2920"/>
      <c r="B58" s="2921"/>
      <c r="C58" s="2921"/>
      <c r="D58" s="2914"/>
      <c r="E58" s="2915"/>
      <c r="F58" s="2920"/>
      <c r="G58" s="2921"/>
      <c r="H58" s="2921"/>
      <c r="I58" s="2914"/>
      <c r="J58" s="2915"/>
      <c r="K58" s="2920"/>
      <c r="L58" s="2921"/>
      <c r="M58" s="2921"/>
      <c r="N58" s="2914"/>
      <c r="O58" s="2915"/>
      <c r="P58" s="2920"/>
      <c r="Q58" s="2921"/>
      <c r="R58" s="2921"/>
      <c r="S58" s="2914"/>
      <c r="T58" s="2915"/>
      <c r="U58" s="2920"/>
      <c r="V58" s="2921"/>
      <c r="W58" s="2921"/>
      <c r="X58" s="2914"/>
      <c r="Y58" s="2915"/>
      <c r="Z58" s="2920"/>
      <c r="AA58" s="2921"/>
      <c r="AB58" s="2921"/>
      <c r="AC58" s="2914"/>
      <c r="AD58" s="2915"/>
      <c r="AE58" s="2920"/>
      <c r="AF58" s="2921"/>
      <c r="AG58" s="2921"/>
      <c r="AH58" s="2914"/>
      <c r="AI58" s="2915"/>
      <c r="AJ58" s="2920"/>
      <c r="AK58" s="2921"/>
      <c r="AL58" s="2921"/>
      <c r="AM58" s="2914"/>
      <c r="AN58" s="2915"/>
      <c r="AO58" s="2920"/>
      <c r="AP58" s="2921"/>
      <c r="AQ58" s="2921"/>
      <c r="AR58" s="2914"/>
      <c r="AS58" s="2915"/>
      <c r="AT58" s="2896"/>
      <c r="AU58" s="2897"/>
      <c r="AV58" s="2897"/>
      <c r="AW58" s="2890"/>
      <c r="AX58" s="2891"/>
      <c r="AY58" s="2896"/>
      <c r="AZ58" s="2897"/>
      <c r="BA58" s="2897"/>
      <c r="BB58" s="2890"/>
      <c r="BC58" s="2891"/>
      <c r="BD58" s="2896"/>
      <c r="BE58" s="2897"/>
      <c r="BF58" s="2897"/>
      <c r="BG58" s="2890"/>
      <c r="BH58" s="2891"/>
      <c r="BI58" s="2902"/>
      <c r="BJ58" s="2903"/>
      <c r="BK58" s="2903"/>
      <c r="BL58" s="2908"/>
      <c r="BM58" s="2909"/>
      <c r="BN58" s="2712"/>
      <c r="BO58" s="2713"/>
      <c r="BP58" s="2713"/>
      <c r="BQ58" s="2718"/>
      <c r="BR58" s="2719"/>
      <c r="BS58" s="2712"/>
      <c r="BT58" s="2713"/>
      <c r="BU58" s="2713"/>
      <c r="BV58" s="2718"/>
      <c r="BW58" s="2719"/>
      <c r="BX58" s="2712"/>
      <c r="BY58" s="2713"/>
      <c r="BZ58" s="2713"/>
      <c r="CA58" s="2718"/>
      <c r="CB58" s="2719"/>
      <c r="CC58" s="53"/>
      <c r="CD58" s="53"/>
      <c r="DO58" s="703"/>
      <c r="DP58" s="703"/>
      <c r="DQ58" s="703"/>
      <c r="DR58" s="52"/>
      <c r="DS58" s="45"/>
      <c r="DT58" s="45"/>
      <c r="DU58" s="45"/>
      <c r="DV58" s="45"/>
      <c r="DW58" s="45"/>
      <c r="DX58" s="45"/>
      <c r="DY58" s="45"/>
      <c r="DZ58" s="45"/>
      <c r="EA58" s="45"/>
      <c r="EB58" s="45"/>
      <c r="EC58" s="45"/>
      <c r="ED58" s="45"/>
      <c r="EE58" s="45"/>
      <c r="EF58" s="705"/>
      <c r="EG58" s="705"/>
      <c r="EH58" s="705"/>
      <c r="EI58" s="705"/>
      <c r="EJ58" s="705"/>
      <c r="EK58" s="705"/>
      <c r="EL58" s="705"/>
      <c r="EM58" s="705"/>
      <c r="EN58" s="705"/>
      <c r="EO58" s="705"/>
      <c r="EP58" s="705"/>
      <c r="EQ58" s="705"/>
      <c r="ER58" s="706"/>
      <c r="ES58" s="706"/>
      <c r="ET58" s="706"/>
      <c r="EU58" s="706"/>
      <c r="EV58" s="706"/>
      <c r="EW58" s="706"/>
      <c r="EX58" s="706"/>
      <c r="EY58" s="706"/>
      <c r="EZ58" s="706"/>
      <c r="FA58" s="706"/>
      <c r="FB58" s="706"/>
      <c r="FC58" s="707"/>
      <c r="FD58" s="707"/>
      <c r="FE58" s="707"/>
      <c r="FF58" s="707"/>
      <c r="FG58" s="707"/>
      <c r="FH58" s="707"/>
      <c r="FI58" s="707"/>
      <c r="FJ58" s="707"/>
      <c r="FK58" s="707"/>
      <c r="FL58" s="707"/>
      <c r="FM58" s="707"/>
      <c r="FN58" s="707"/>
      <c r="FO58" s="699"/>
      <c r="FP58" s="699"/>
      <c r="FQ58" s="699"/>
      <c r="FR58" s="699"/>
      <c r="FS58" s="699"/>
      <c r="FT58" s="708"/>
      <c r="FU58" s="708"/>
      <c r="FV58" s="708"/>
      <c r="FW58" s="708"/>
      <c r="FX58" s="708"/>
      <c r="FY58" s="708"/>
      <c r="FZ58" s="708"/>
    </row>
    <row r="59" spans="1:182" ht="11.25" customHeight="1" x14ac:dyDescent="0.25">
      <c r="A59" s="2922"/>
      <c r="B59" s="2923"/>
      <c r="C59" s="2923"/>
      <c r="D59" s="2916"/>
      <c r="E59" s="2917"/>
      <c r="F59" s="2922"/>
      <c r="G59" s="2923"/>
      <c r="H59" s="2923"/>
      <c r="I59" s="2916"/>
      <c r="J59" s="2917"/>
      <c r="K59" s="2922"/>
      <c r="L59" s="2923"/>
      <c r="M59" s="2923"/>
      <c r="N59" s="2916"/>
      <c r="O59" s="2917"/>
      <c r="P59" s="2922"/>
      <c r="Q59" s="2923"/>
      <c r="R59" s="2923"/>
      <c r="S59" s="2916"/>
      <c r="T59" s="2917"/>
      <c r="U59" s="2922"/>
      <c r="V59" s="2923"/>
      <c r="W59" s="2923"/>
      <c r="X59" s="2916"/>
      <c r="Y59" s="2917"/>
      <c r="Z59" s="2922"/>
      <c r="AA59" s="2923"/>
      <c r="AB59" s="2923"/>
      <c r="AC59" s="2916"/>
      <c r="AD59" s="2917"/>
      <c r="AE59" s="2922"/>
      <c r="AF59" s="2923"/>
      <c r="AG59" s="2923"/>
      <c r="AH59" s="2916"/>
      <c r="AI59" s="2917"/>
      <c r="AJ59" s="2922"/>
      <c r="AK59" s="2923"/>
      <c r="AL59" s="2923"/>
      <c r="AM59" s="2916"/>
      <c r="AN59" s="2917"/>
      <c r="AO59" s="2922"/>
      <c r="AP59" s="2923"/>
      <c r="AQ59" s="2923"/>
      <c r="AR59" s="2916"/>
      <c r="AS59" s="2917"/>
      <c r="AT59" s="2898"/>
      <c r="AU59" s="2899"/>
      <c r="AV59" s="2899"/>
      <c r="AW59" s="2892"/>
      <c r="AX59" s="2893"/>
      <c r="AY59" s="2898"/>
      <c r="AZ59" s="2899"/>
      <c r="BA59" s="2899"/>
      <c r="BB59" s="2892"/>
      <c r="BC59" s="2893"/>
      <c r="BD59" s="2898"/>
      <c r="BE59" s="2899"/>
      <c r="BF59" s="2899"/>
      <c r="BG59" s="2892"/>
      <c r="BH59" s="2893"/>
      <c r="BI59" s="2904"/>
      <c r="BJ59" s="2905"/>
      <c r="BK59" s="2905"/>
      <c r="BL59" s="2910"/>
      <c r="BM59" s="2911"/>
      <c r="BN59" s="2714"/>
      <c r="BO59" s="2715"/>
      <c r="BP59" s="2715"/>
      <c r="BQ59" s="2720"/>
      <c r="BR59" s="2721"/>
      <c r="BS59" s="2714"/>
      <c r="BT59" s="2715"/>
      <c r="BU59" s="2715"/>
      <c r="BV59" s="2720"/>
      <c r="BW59" s="2721"/>
      <c r="BX59" s="2714"/>
      <c r="BY59" s="2715"/>
      <c r="BZ59" s="2715"/>
      <c r="CA59" s="2720"/>
      <c r="CB59" s="2721"/>
      <c r="CC59" s="53"/>
      <c r="CD59" s="53"/>
      <c r="DO59" s="709"/>
      <c r="DP59" s="709"/>
      <c r="DQ59" s="709"/>
      <c r="DR59" s="52"/>
      <c r="DS59" s="45"/>
      <c r="DT59" s="45"/>
      <c r="DU59" s="45"/>
      <c r="DV59" s="45"/>
      <c r="DW59" s="45"/>
      <c r="DX59" s="45"/>
      <c r="DY59" s="45"/>
      <c r="DZ59" s="45"/>
      <c r="EA59" s="45"/>
      <c r="EB59" s="45"/>
      <c r="EC59" s="45"/>
      <c r="ED59" s="45"/>
      <c r="EE59" s="45"/>
      <c r="EF59" s="705"/>
      <c r="EG59" s="705"/>
      <c r="EH59" s="705"/>
      <c r="EI59" s="705"/>
      <c r="EJ59" s="705"/>
      <c r="EK59" s="705"/>
      <c r="EL59" s="705"/>
      <c r="EM59" s="705"/>
      <c r="EN59" s="705"/>
      <c r="EO59" s="705"/>
      <c r="EP59" s="705"/>
      <c r="EQ59" s="705"/>
      <c r="ER59" s="706"/>
      <c r="ES59" s="706"/>
      <c r="ET59" s="706"/>
      <c r="EU59" s="706"/>
      <c r="EV59" s="706"/>
      <c r="EW59" s="706"/>
      <c r="EX59" s="706"/>
      <c r="EY59" s="706"/>
      <c r="EZ59" s="706"/>
      <c r="FA59" s="706"/>
      <c r="FB59" s="706"/>
      <c r="FC59" s="707"/>
      <c r="FD59" s="707"/>
      <c r="FE59" s="707"/>
      <c r="FF59" s="707"/>
      <c r="FG59" s="707"/>
      <c r="FH59" s="707"/>
      <c r="FI59" s="707"/>
      <c r="FJ59" s="707"/>
      <c r="FK59" s="707"/>
      <c r="FL59" s="707"/>
      <c r="FM59" s="707"/>
      <c r="FN59" s="707"/>
      <c r="FO59" s="699"/>
      <c r="FP59" s="699"/>
      <c r="FQ59" s="699"/>
      <c r="FR59" s="699"/>
      <c r="FS59" s="699"/>
      <c r="FT59" s="708"/>
      <c r="FU59" s="708"/>
      <c r="FV59" s="708"/>
      <c r="FW59" s="708"/>
      <c r="FX59" s="708"/>
      <c r="FY59" s="708"/>
      <c r="FZ59" s="708"/>
    </row>
    <row r="60" spans="1:182" ht="111.75" customHeight="1" x14ac:dyDescent="0.25">
      <c r="A60" s="3046" t="s">
        <v>714</v>
      </c>
      <c r="B60" s="2845"/>
      <c r="C60" s="2846"/>
      <c r="D60" s="2846"/>
      <c r="E60" s="2847"/>
      <c r="F60" s="3046" t="s">
        <v>714</v>
      </c>
      <c r="G60" s="2845"/>
      <c r="H60" s="2846"/>
      <c r="I60" s="2846"/>
      <c r="J60" s="2847"/>
      <c r="K60" s="3046" t="s">
        <v>714</v>
      </c>
      <c r="L60" s="2845"/>
      <c r="M60" s="2846"/>
      <c r="N60" s="2846"/>
      <c r="O60" s="2847"/>
      <c r="P60" s="3046" t="s">
        <v>714</v>
      </c>
      <c r="Q60" s="2845"/>
      <c r="R60" s="2846"/>
      <c r="S60" s="2846"/>
      <c r="T60" s="2847"/>
      <c r="U60" s="3046" t="s">
        <v>714</v>
      </c>
      <c r="V60" s="2845"/>
      <c r="W60" s="2846"/>
      <c r="X60" s="2846"/>
      <c r="Y60" s="2847"/>
      <c r="Z60" s="3046" t="s">
        <v>714</v>
      </c>
      <c r="AA60" s="2845"/>
      <c r="AB60" s="2846"/>
      <c r="AC60" s="2846"/>
      <c r="AD60" s="2847"/>
      <c r="AE60" s="3046" t="s">
        <v>714</v>
      </c>
      <c r="AF60" s="2845"/>
      <c r="AG60" s="2846"/>
      <c r="AH60" s="2846"/>
      <c r="AI60" s="2847"/>
      <c r="AJ60" s="3046" t="s">
        <v>714</v>
      </c>
      <c r="AK60" s="2845"/>
      <c r="AL60" s="2846"/>
      <c r="AM60" s="2846"/>
      <c r="AN60" s="2847"/>
      <c r="AO60" s="3046" t="s">
        <v>714</v>
      </c>
      <c r="AP60" s="2845"/>
      <c r="AQ60" s="2846"/>
      <c r="AR60" s="2846"/>
      <c r="AS60" s="2847"/>
      <c r="AT60" s="1294" t="s">
        <v>715</v>
      </c>
      <c r="AU60" s="2845"/>
      <c r="AV60" s="2846"/>
      <c r="AW60" s="2846"/>
      <c r="AX60" s="2847"/>
      <c r="AY60" s="1294" t="s">
        <v>715</v>
      </c>
      <c r="AZ60" s="2845"/>
      <c r="BA60" s="2846"/>
      <c r="BB60" s="2846"/>
      <c r="BC60" s="2847"/>
      <c r="BD60" s="1294" t="s">
        <v>715</v>
      </c>
      <c r="BE60" s="2845"/>
      <c r="BF60" s="2846"/>
      <c r="BG60" s="2846"/>
      <c r="BH60" s="2847"/>
      <c r="BI60" s="664" t="s">
        <v>169</v>
      </c>
      <c r="BJ60" s="2845"/>
      <c r="BK60" s="2846"/>
      <c r="BL60" s="2846"/>
      <c r="BM60" s="2847"/>
      <c r="BN60" s="615" t="s">
        <v>572</v>
      </c>
      <c r="BO60" s="2681">
        <v>319</v>
      </c>
      <c r="BP60" s="2682"/>
      <c r="BQ60" s="2682"/>
      <c r="BR60" s="2683"/>
      <c r="BS60" s="615" t="s">
        <v>572</v>
      </c>
      <c r="BT60" s="2845"/>
      <c r="BU60" s="2846"/>
      <c r="BV60" s="2846"/>
      <c r="BW60" s="2847"/>
      <c r="BX60" s="615" t="s">
        <v>572</v>
      </c>
      <c r="BY60" s="2845"/>
      <c r="BZ60" s="2846"/>
      <c r="CA60" s="2846"/>
      <c r="CB60" s="2847"/>
      <c r="DO60" s="709"/>
      <c r="DP60" s="709"/>
      <c r="DQ60" s="709"/>
      <c r="DR60" s="52"/>
      <c r="DS60" s="45"/>
      <c r="DT60" s="45"/>
      <c r="DU60" s="45"/>
      <c r="DV60" s="45"/>
      <c r="DW60" s="45"/>
      <c r="DX60" s="45"/>
      <c r="DY60" s="45"/>
      <c r="DZ60" s="45"/>
      <c r="EA60" s="45"/>
      <c r="EB60" s="45"/>
      <c r="EC60" s="45"/>
      <c r="ED60" s="45"/>
      <c r="EE60" s="45"/>
      <c r="EF60" s="705"/>
      <c r="EG60" s="705"/>
      <c r="EH60" s="705"/>
      <c r="EI60" s="705"/>
      <c r="EJ60" s="705"/>
      <c r="EK60" s="705"/>
      <c r="EL60" s="705"/>
      <c r="EM60" s="705"/>
      <c r="EN60" s="705"/>
      <c r="EO60" s="705"/>
      <c r="EP60" s="705"/>
      <c r="EQ60" s="705"/>
      <c r="ER60" s="706"/>
      <c r="ES60" s="706"/>
      <c r="ET60" s="706"/>
      <c r="EU60" s="706"/>
      <c r="EV60" s="706"/>
      <c r="EW60" s="706"/>
      <c r="EX60" s="706"/>
      <c r="EY60" s="706"/>
      <c r="EZ60" s="706"/>
      <c r="FA60" s="706"/>
      <c r="FB60" s="706"/>
      <c r="FC60" s="707"/>
      <c r="FD60" s="707"/>
      <c r="FE60" s="707"/>
      <c r="FF60" s="707"/>
      <c r="FG60" s="707"/>
      <c r="FH60" s="707"/>
      <c r="FI60" s="707"/>
      <c r="FJ60" s="707"/>
      <c r="FK60" s="707"/>
      <c r="FL60" s="707"/>
      <c r="FM60" s="707"/>
      <c r="FN60" s="707"/>
      <c r="FO60" s="699"/>
      <c r="FP60" s="699"/>
      <c r="FQ60" s="699"/>
      <c r="FR60" s="699"/>
      <c r="FS60" s="699"/>
      <c r="FT60" s="708"/>
      <c r="FU60" s="708"/>
      <c r="FV60" s="708"/>
      <c r="FW60" s="708"/>
      <c r="FX60" s="708"/>
      <c r="FY60" s="708"/>
      <c r="FZ60" s="708"/>
    </row>
    <row r="61" spans="1:182" ht="50.25" customHeight="1" thickBot="1" x14ac:dyDescent="0.3">
      <c r="A61" s="3047"/>
      <c r="B61" s="518"/>
      <c r="C61" s="519" t="s">
        <v>113</v>
      </c>
      <c r="D61" s="520"/>
      <c r="E61" s="523" t="s">
        <v>114</v>
      </c>
      <c r="F61" s="3047"/>
      <c r="G61" s="518"/>
      <c r="H61" s="519" t="s">
        <v>113</v>
      </c>
      <c r="I61" s="520"/>
      <c r="J61" s="523" t="s">
        <v>114</v>
      </c>
      <c r="K61" s="3047"/>
      <c r="L61" s="518"/>
      <c r="M61" s="519" t="s">
        <v>113</v>
      </c>
      <c r="N61" s="520"/>
      <c r="O61" s="523" t="s">
        <v>114</v>
      </c>
      <c r="P61" s="3047"/>
      <c r="Q61" s="518"/>
      <c r="R61" s="519" t="s">
        <v>113</v>
      </c>
      <c r="S61" s="520"/>
      <c r="T61" s="523" t="s">
        <v>114</v>
      </c>
      <c r="U61" s="3047"/>
      <c r="V61" s="518"/>
      <c r="W61" s="519" t="s">
        <v>113</v>
      </c>
      <c r="X61" s="520"/>
      <c r="Y61" s="523" t="s">
        <v>114</v>
      </c>
      <c r="Z61" s="3047"/>
      <c r="AA61" s="518"/>
      <c r="AB61" s="519" t="s">
        <v>113</v>
      </c>
      <c r="AC61" s="520"/>
      <c r="AD61" s="523" t="s">
        <v>114</v>
      </c>
      <c r="AE61" s="3047"/>
      <c r="AF61" s="518"/>
      <c r="AG61" s="519" t="s">
        <v>113</v>
      </c>
      <c r="AH61" s="520"/>
      <c r="AI61" s="523" t="s">
        <v>114</v>
      </c>
      <c r="AJ61" s="3047"/>
      <c r="AK61" s="518"/>
      <c r="AL61" s="519" t="s">
        <v>113</v>
      </c>
      <c r="AM61" s="520"/>
      <c r="AN61" s="523" t="s">
        <v>114</v>
      </c>
      <c r="AO61" s="3047"/>
      <c r="AP61" s="518"/>
      <c r="AQ61" s="519" t="s">
        <v>113</v>
      </c>
      <c r="AR61" s="520"/>
      <c r="AS61" s="523" t="s">
        <v>114</v>
      </c>
      <c r="AT61" s="1295"/>
      <c r="AU61" s="518"/>
      <c r="AV61" s="519" t="s">
        <v>113</v>
      </c>
      <c r="AW61" s="520"/>
      <c r="AX61" s="523" t="s">
        <v>114</v>
      </c>
      <c r="AY61" s="1295"/>
      <c r="AZ61" s="518"/>
      <c r="BA61" s="519" t="s">
        <v>113</v>
      </c>
      <c r="BB61" s="520"/>
      <c r="BC61" s="523" t="s">
        <v>114</v>
      </c>
      <c r="BD61" s="1295"/>
      <c r="BE61" s="518"/>
      <c r="BF61" s="519" t="s">
        <v>113</v>
      </c>
      <c r="BG61" s="520"/>
      <c r="BH61" s="523" t="s">
        <v>114</v>
      </c>
      <c r="BI61" s="665"/>
      <c r="BJ61" s="518"/>
      <c r="BK61" s="519" t="s">
        <v>113</v>
      </c>
      <c r="BL61" s="520"/>
      <c r="BM61" s="523" t="s">
        <v>114</v>
      </c>
      <c r="BN61" s="616"/>
      <c r="BO61" s="518"/>
      <c r="BP61" s="519" t="s">
        <v>113</v>
      </c>
      <c r="BQ61" s="520"/>
      <c r="BR61" s="523" t="s">
        <v>114</v>
      </c>
      <c r="BS61" s="616"/>
      <c r="BT61" s="518"/>
      <c r="BU61" s="519" t="s">
        <v>113</v>
      </c>
      <c r="BV61" s="520"/>
      <c r="BW61" s="523" t="s">
        <v>114</v>
      </c>
      <c r="BX61" s="616"/>
      <c r="BY61" s="518"/>
      <c r="BZ61" s="519" t="s">
        <v>113</v>
      </c>
      <c r="CA61" s="520"/>
      <c r="CB61" s="523" t="s">
        <v>114</v>
      </c>
      <c r="DO61" s="709"/>
      <c r="DP61" s="709"/>
      <c r="DQ61" s="709"/>
      <c r="DR61" s="52"/>
      <c r="DS61" s="45"/>
      <c r="DT61" s="45"/>
      <c r="DU61" s="45"/>
      <c r="DV61" s="45"/>
      <c r="DW61" s="45"/>
      <c r="DX61" s="45"/>
      <c r="DY61" s="45"/>
      <c r="DZ61" s="45"/>
      <c r="EA61" s="45"/>
      <c r="EB61" s="45"/>
      <c r="EC61" s="45"/>
      <c r="ED61" s="45"/>
      <c r="EE61" s="45"/>
      <c r="EF61" s="705"/>
      <c r="EG61" s="705"/>
      <c r="EH61" s="705"/>
      <c r="EI61" s="705"/>
      <c r="EJ61" s="705"/>
      <c r="EK61" s="705"/>
      <c r="EL61" s="705"/>
      <c r="EM61" s="705"/>
      <c r="EN61" s="705"/>
      <c r="EO61" s="705"/>
      <c r="EP61" s="705"/>
      <c r="EQ61" s="705"/>
      <c r="ER61" s="706"/>
      <c r="ES61" s="706"/>
      <c r="ET61" s="706"/>
      <c r="EU61" s="706"/>
      <c r="EV61" s="706"/>
      <c r="EW61" s="706"/>
      <c r="EX61" s="706"/>
      <c r="EY61" s="706"/>
      <c r="EZ61" s="706"/>
      <c r="FA61" s="706"/>
      <c r="FB61" s="706"/>
      <c r="FC61" s="707"/>
      <c r="FD61" s="707"/>
      <c r="FE61" s="707"/>
      <c r="FF61" s="707"/>
      <c r="FG61" s="707"/>
      <c r="FH61" s="707"/>
      <c r="FI61" s="707"/>
      <c r="FJ61" s="707"/>
      <c r="FK61" s="707"/>
      <c r="FL61" s="707"/>
      <c r="FM61" s="707"/>
      <c r="FN61" s="707"/>
      <c r="FO61" s="699"/>
      <c r="FP61" s="699"/>
      <c r="FQ61" s="699"/>
      <c r="FR61" s="699"/>
      <c r="FS61" s="699"/>
      <c r="FT61" s="699"/>
      <c r="FU61" s="699"/>
      <c r="FV61" s="699"/>
      <c r="FW61" s="699"/>
      <c r="FX61" s="699"/>
      <c r="FY61" s="699"/>
      <c r="FZ61" s="699"/>
    </row>
    <row r="62" spans="1:182" ht="57" customHeight="1" thickTop="1" x14ac:dyDescent="0.25">
      <c r="A62" s="617" t="s">
        <v>110</v>
      </c>
      <c r="B62" s="618"/>
      <c r="C62" s="2722">
        <f t="shared" ref="C62" si="141">B67/((36*3.1415/59)*(61/3.281))</f>
        <v>0</v>
      </c>
      <c r="D62" s="2722"/>
      <c r="E62" s="2723"/>
      <c r="F62" s="617" t="s">
        <v>110</v>
      </c>
      <c r="G62" s="618"/>
      <c r="H62" s="2722">
        <f t="shared" ref="H62" si="142">G67/((36*3.1415/59)*(61/3.281))</f>
        <v>0</v>
      </c>
      <c r="I62" s="2722"/>
      <c r="J62" s="2723"/>
      <c r="K62" s="617" t="s">
        <v>110</v>
      </c>
      <c r="L62" s="618"/>
      <c r="M62" s="2722">
        <f t="shared" ref="M62" si="143">L67/((36*3.1415/59)*(61/3.281))</f>
        <v>0</v>
      </c>
      <c r="N62" s="2722"/>
      <c r="O62" s="2723"/>
      <c r="P62" s="617" t="s">
        <v>110</v>
      </c>
      <c r="Q62" s="618"/>
      <c r="R62" s="2722">
        <f t="shared" ref="R62" si="144">Q67/((36*3.1415/59)*(61/3.281))</f>
        <v>0</v>
      </c>
      <c r="S62" s="2722"/>
      <c r="T62" s="2723"/>
      <c r="U62" s="617" t="s">
        <v>110</v>
      </c>
      <c r="V62" s="618"/>
      <c r="W62" s="2722">
        <f t="shared" ref="W62" si="145">V67/((36*3.1415/59)*(61/3.281))</f>
        <v>0</v>
      </c>
      <c r="X62" s="2722"/>
      <c r="Y62" s="2723"/>
      <c r="Z62" s="617" t="s">
        <v>110</v>
      </c>
      <c r="AA62" s="618"/>
      <c r="AB62" s="2722">
        <f t="shared" ref="AB62" si="146">AA67/((36*3.1415/59)*(61/3.281))</f>
        <v>0</v>
      </c>
      <c r="AC62" s="2722"/>
      <c r="AD62" s="2723"/>
      <c r="AE62" s="617" t="s">
        <v>110</v>
      </c>
      <c r="AF62" s="618"/>
      <c r="AG62" s="2722">
        <f t="shared" ref="AG62" si="147">AF67/((36*3.1415/59)*(61/3.281))</f>
        <v>0</v>
      </c>
      <c r="AH62" s="2722"/>
      <c r="AI62" s="2723"/>
      <c r="AJ62" s="617" t="s">
        <v>110</v>
      </c>
      <c r="AK62" s="618"/>
      <c r="AL62" s="2722">
        <f t="shared" ref="AL62" si="148">AK67/((36*3.1415/59)*(61/3.281))</f>
        <v>0</v>
      </c>
      <c r="AM62" s="2722"/>
      <c r="AN62" s="2723"/>
      <c r="AO62" s="617" t="s">
        <v>110</v>
      </c>
      <c r="AP62" s="618"/>
      <c r="AQ62" s="2722">
        <f t="shared" ref="AQ62" si="149">AP67/((36*3.1415/59)*(61/3.281))</f>
        <v>0</v>
      </c>
      <c r="AR62" s="2722"/>
      <c r="AS62" s="2723"/>
      <c r="AT62" s="617" t="s">
        <v>110</v>
      </c>
      <c r="AU62" s="618"/>
      <c r="AV62" s="2722">
        <f t="shared" ref="AV62" si="150">AU67/((36*3.1415/59)*(61/3.281))</f>
        <v>0</v>
      </c>
      <c r="AW62" s="2722"/>
      <c r="AX62" s="2723"/>
      <c r="AY62" s="617" t="s">
        <v>110</v>
      </c>
      <c r="AZ62" s="618"/>
      <c r="BA62" s="2722">
        <f t="shared" ref="BA62" si="151">AZ67/((36*3.1415/59)*(61/3.281))</f>
        <v>0</v>
      </c>
      <c r="BB62" s="2722"/>
      <c r="BC62" s="2723"/>
      <c r="BD62" s="617" t="s">
        <v>110</v>
      </c>
      <c r="BE62" s="618"/>
      <c r="BF62" s="2722">
        <f t="shared" ref="BF62" si="152">BE67/((36*3.1415/59)*(61/3.281))</f>
        <v>0</v>
      </c>
      <c r="BG62" s="2722"/>
      <c r="BH62" s="2723"/>
      <c r="BI62" s="617" t="s">
        <v>110</v>
      </c>
      <c r="BJ62" s="618"/>
      <c r="BK62" s="2722">
        <f t="shared" ref="BK62" si="153">BJ67/((36*3.1415/59)*(61/3.281))</f>
        <v>0</v>
      </c>
      <c r="BL62" s="2722"/>
      <c r="BM62" s="2723"/>
      <c r="BN62" s="617" t="s">
        <v>110</v>
      </c>
      <c r="BO62" s="618"/>
      <c r="BP62" s="2722">
        <f t="shared" ref="BP62" si="154">BO67/((36*3.1415/59)*(61/3.281))</f>
        <v>0</v>
      </c>
      <c r="BQ62" s="2722"/>
      <c r="BR62" s="2723"/>
      <c r="BS62" s="617" t="s">
        <v>110</v>
      </c>
      <c r="BT62" s="618"/>
      <c r="BU62" s="2722">
        <f t="shared" ref="BU62" si="155">BT67/((36*3.1415/59)*(61/3.281))</f>
        <v>0</v>
      </c>
      <c r="BV62" s="2722"/>
      <c r="BW62" s="2723"/>
      <c r="BX62" s="617" t="s">
        <v>110</v>
      </c>
      <c r="BY62" s="618"/>
      <c r="BZ62" s="2722">
        <f t="shared" ref="BZ62" si="156">BY67/((36*3.1415/59)*(61/3.281))</f>
        <v>0</v>
      </c>
      <c r="CA62" s="2722"/>
      <c r="CB62" s="2723"/>
      <c r="DO62" s="709"/>
      <c r="DP62" s="709"/>
      <c r="DQ62" s="709"/>
      <c r="DR62" s="52"/>
      <c r="DS62" s="49"/>
      <c r="DT62" s="49"/>
      <c r="DU62" s="49"/>
      <c r="DV62" s="49"/>
      <c r="DW62" s="49"/>
      <c r="DX62" s="49"/>
      <c r="DY62" s="49"/>
      <c r="DZ62" s="49"/>
      <c r="EA62" s="49"/>
      <c r="EB62" s="49"/>
      <c r="EC62" s="49"/>
      <c r="ED62" s="49"/>
      <c r="EE62" s="49"/>
      <c r="EF62" s="705"/>
      <c r="EG62" s="705"/>
      <c r="EH62" s="705"/>
      <c r="EI62" s="705"/>
      <c r="EJ62" s="705"/>
      <c r="EK62" s="705"/>
      <c r="EL62" s="705"/>
      <c r="EM62" s="705"/>
      <c r="EN62" s="705"/>
      <c r="EO62" s="705"/>
      <c r="EP62" s="705"/>
      <c r="EQ62" s="705"/>
      <c r="ER62" s="706"/>
      <c r="ES62" s="706"/>
      <c r="ET62" s="706"/>
      <c r="EU62" s="706"/>
      <c r="EV62" s="706"/>
      <c r="EW62" s="706"/>
      <c r="EX62" s="706"/>
      <c r="EY62" s="706"/>
      <c r="EZ62" s="706"/>
      <c r="FA62" s="706"/>
      <c r="FB62" s="706"/>
      <c r="FC62" s="707"/>
      <c r="FD62" s="707"/>
      <c r="FE62" s="707"/>
      <c r="FF62" s="707"/>
      <c r="FG62" s="707"/>
      <c r="FH62" s="707"/>
      <c r="FI62" s="707"/>
      <c r="FJ62" s="707"/>
      <c r="FK62" s="707"/>
      <c r="FL62" s="707"/>
      <c r="FM62" s="707"/>
      <c r="FN62" s="707"/>
      <c r="FO62" s="699"/>
      <c r="FP62" s="699"/>
      <c r="FQ62" s="699"/>
      <c r="FR62" s="699"/>
      <c r="FS62" s="699"/>
      <c r="FT62" s="699"/>
      <c r="FU62" s="699"/>
      <c r="FV62" s="699"/>
      <c r="FW62" s="699"/>
      <c r="FX62" s="699"/>
      <c r="FY62" s="699"/>
      <c r="FZ62" s="699"/>
    </row>
    <row r="63" spans="1:182" ht="11.25" customHeight="1" x14ac:dyDescent="0.25">
      <c r="A63" s="2710" t="s">
        <v>25</v>
      </c>
      <c r="B63" s="2711"/>
      <c r="C63" s="2711"/>
      <c r="D63" s="2716" t="s">
        <v>706</v>
      </c>
      <c r="E63" s="2717"/>
      <c r="F63" s="2710" t="s">
        <v>25</v>
      </c>
      <c r="G63" s="2711"/>
      <c r="H63" s="2711"/>
      <c r="I63" s="2716" t="s">
        <v>706</v>
      </c>
      <c r="J63" s="2717"/>
      <c r="K63" s="2710" t="s">
        <v>25</v>
      </c>
      <c r="L63" s="2711"/>
      <c r="M63" s="2711"/>
      <c r="N63" s="2716" t="s">
        <v>706</v>
      </c>
      <c r="O63" s="2717"/>
      <c r="P63" s="2710" t="s">
        <v>25</v>
      </c>
      <c r="Q63" s="2711"/>
      <c r="R63" s="2711"/>
      <c r="S63" s="2716" t="s">
        <v>706</v>
      </c>
      <c r="T63" s="2717"/>
      <c r="U63" s="2710" t="s">
        <v>25</v>
      </c>
      <c r="V63" s="2711"/>
      <c r="W63" s="2711"/>
      <c r="X63" s="2716" t="s">
        <v>706</v>
      </c>
      <c r="Y63" s="2717"/>
      <c r="Z63" s="2710" t="s">
        <v>25</v>
      </c>
      <c r="AA63" s="2711"/>
      <c r="AB63" s="2711"/>
      <c r="AC63" s="2716" t="s">
        <v>706</v>
      </c>
      <c r="AD63" s="2717"/>
      <c r="AE63" s="2710" t="s">
        <v>25</v>
      </c>
      <c r="AF63" s="2711"/>
      <c r="AG63" s="2711"/>
      <c r="AH63" s="2716" t="s">
        <v>706</v>
      </c>
      <c r="AI63" s="2717"/>
      <c r="AJ63" s="2710" t="s">
        <v>25</v>
      </c>
      <c r="AK63" s="2711"/>
      <c r="AL63" s="2711"/>
      <c r="AM63" s="2716" t="s">
        <v>706</v>
      </c>
      <c r="AN63" s="2717"/>
      <c r="AO63" s="2710" t="s">
        <v>25</v>
      </c>
      <c r="AP63" s="2711"/>
      <c r="AQ63" s="2711"/>
      <c r="AR63" s="2716" t="s">
        <v>706</v>
      </c>
      <c r="AS63" s="2717"/>
      <c r="AT63" s="2710" t="s">
        <v>25</v>
      </c>
      <c r="AU63" s="2711"/>
      <c r="AV63" s="2711"/>
      <c r="AW63" s="2716" t="s">
        <v>706</v>
      </c>
      <c r="AX63" s="2717"/>
      <c r="AY63" s="2710" t="s">
        <v>25</v>
      </c>
      <c r="AZ63" s="2711"/>
      <c r="BA63" s="2711"/>
      <c r="BB63" s="2716" t="s">
        <v>706</v>
      </c>
      <c r="BC63" s="2717"/>
      <c r="BD63" s="2710" t="s">
        <v>25</v>
      </c>
      <c r="BE63" s="2711"/>
      <c r="BF63" s="2711"/>
      <c r="BG63" s="2716" t="s">
        <v>706</v>
      </c>
      <c r="BH63" s="2717"/>
      <c r="BI63" s="2710" t="s">
        <v>25</v>
      </c>
      <c r="BJ63" s="2711"/>
      <c r="BK63" s="2711"/>
      <c r="BL63" s="2716" t="s">
        <v>706</v>
      </c>
      <c r="BM63" s="2717"/>
      <c r="BN63" s="2710" t="s">
        <v>25</v>
      </c>
      <c r="BO63" s="2711"/>
      <c r="BP63" s="2711"/>
      <c r="BQ63" s="2716" t="s">
        <v>706</v>
      </c>
      <c r="BR63" s="2717"/>
      <c r="BS63" s="2710" t="s">
        <v>25</v>
      </c>
      <c r="BT63" s="2711"/>
      <c r="BU63" s="2711"/>
      <c r="BV63" s="2716" t="s">
        <v>706</v>
      </c>
      <c r="BW63" s="2717"/>
      <c r="BX63" s="2710" t="s">
        <v>25</v>
      </c>
      <c r="BY63" s="2711"/>
      <c r="BZ63" s="2711"/>
      <c r="CA63" s="2716" t="s">
        <v>706</v>
      </c>
      <c r="CB63" s="2717"/>
    </row>
    <row r="64" spans="1:182" ht="11.25" customHeight="1" x14ac:dyDescent="0.25">
      <c r="A64" s="2712"/>
      <c r="B64" s="2713"/>
      <c r="C64" s="2713"/>
      <c r="D64" s="2718"/>
      <c r="E64" s="2719"/>
      <c r="F64" s="2712"/>
      <c r="G64" s="2713"/>
      <c r="H64" s="2713"/>
      <c r="I64" s="2718"/>
      <c r="J64" s="2719"/>
      <c r="K64" s="2712"/>
      <c r="L64" s="2713"/>
      <c r="M64" s="2713"/>
      <c r="N64" s="2718"/>
      <c r="O64" s="2719"/>
      <c r="P64" s="2712"/>
      <c r="Q64" s="2713"/>
      <c r="R64" s="2713"/>
      <c r="S64" s="2718"/>
      <c r="T64" s="2719"/>
      <c r="U64" s="2712"/>
      <c r="V64" s="2713"/>
      <c r="W64" s="2713"/>
      <c r="X64" s="2718"/>
      <c r="Y64" s="2719"/>
      <c r="Z64" s="2712"/>
      <c r="AA64" s="2713"/>
      <c r="AB64" s="2713"/>
      <c r="AC64" s="2718"/>
      <c r="AD64" s="2719"/>
      <c r="AE64" s="2712"/>
      <c r="AF64" s="2713"/>
      <c r="AG64" s="2713"/>
      <c r="AH64" s="2718"/>
      <c r="AI64" s="2719"/>
      <c r="AJ64" s="2712"/>
      <c r="AK64" s="2713"/>
      <c r="AL64" s="2713"/>
      <c r="AM64" s="2718"/>
      <c r="AN64" s="2719"/>
      <c r="AO64" s="2712"/>
      <c r="AP64" s="2713"/>
      <c r="AQ64" s="2713"/>
      <c r="AR64" s="2718"/>
      <c r="AS64" s="2719"/>
      <c r="AT64" s="2712"/>
      <c r="AU64" s="2713"/>
      <c r="AV64" s="2713"/>
      <c r="AW64" s="2718"/>
      <c r="AX64" s="2719"/>
      <c r="AY64" s="2712"/>
      <c r="AZ64" s="2713"/>
      <c r="BA64" s="2713"/>
      <c r="BB64" s="2718"/>
      <c r="BC64" s="2719"/>
      <c r="BD64" s="2712"/>
      <c r="BE64" s="2713"/>
      <c r="BF64" s="2713"/>
      <c r="BG64" s="2718"/>
      <c r="BH64" s="2719"/>
      <c r="BI64" s="2712"/>
      <c r="BJ64" s="2713"/>
      <c r="BK64" s="2713"/>
      <c r="BL64" s="2718"/>
      <c r="BM64" s="2719"/>
      <c r="BN64" s="2712"/>
      <c r="BO64" s="2713"/>
      <c r="BP64" s="2713"/>
      <c r="BQ64" s="2718"/>
      <c r="BR64" s="2719"/>
      <c r="BS64" s="2712"/>
      <c r="BT64" s="2713"/>
      <c r="BU64" s="2713"/>
      <c r="BV64" s="2718"/>
      <c r="BW64" s="2719"/>
      <c r="BX64" s="2712"/>
      <c r="BY64" s="2713"/>
      <c r="BZ64" s="2713"/>
      <c r="CA64" s="2718"/>
      <c r="CB64" s="2719"/>
    </row>
    <row r="65" spans="1:80" ht="11.25" customHeight="1" x14ac:dyDescent="0.25">
      <c r="A65" s="2714"/>
      <c r="B65" s="2715"/>
      <c r="C65" s="2715"/>
      <c r="D65" s="2720"/>
      <c r="E65" s="2721"/>
      <c r="F65" s="2714"/>
      <c r="G65" s="2715"/>
      <c r="H65" s="2715"/>
      <c r="I65" s="2720"/>
      <c r="J65" s="2721"/>
      <c r="K65" s="2714"/>
      <c r="L65" s="2715"/>
      <c r="M65" s="2715"/>
      <c r="N65" s="2720"/>
      <c r="O65" s="2721"/>
      <c r="P65" s="2714"/>
      <c r="Q65" s="2715"/>
      <c r="R65" s="2715"/>
      <c r="S65" s="2720"/>
      <c r="T65" s="2721"/>
      <c r="U65" s="2714"/>
      <c r="V65" s="2715"/>
      <c r="W65" s="2715"/>
      <c r="X65" s="2720"/>
      <c r="Y65" s="2721"/>
      <c r="Z65" s="2714"/>
      <c r="AA65" s="2715"/>
      <c r="AB65" s="2715"/>
      <c r="AC65" s="2720"/>
      <c r="AD65" s="2721"/>
      <c r="AE65" s="2714"/>
      <c r="AF65" s="2715"/>
      <c r="AG65" s="2715"/>
      <c r="AH65" s="2720"/>
      <c r="AI65" s="2721"/>
      <c r="AJ65" s="2714"/>
      <c r="AK65" s="2715"/>
      <c r="AL65" s="2715"/>
      <c r="AM65" s="2720"/>
      <c r="AN65" s="2721"/>
      <c r="AO65" s="2714"/>
      <c r="AP65" s="2715"/>
      <c r="AQ65" s="2715"/>
      <c r="AR65" s="2720"/>
      <c r="AS65" s="2721"/>
      <c r="AT65" s="2714"/>
      <c r="AU65" s="2715"/>
      <c r="AV65" s="2715"/>
      <c r="AW65" s="2720"/>
      <c r="AX65" s="2721"/>
      <c r="AY65" s="2714"/>
      <c r="AZ65" s="2715"/>
      <c r="BA65" s="2715"/>
      <c r="BB65" s="2720"/>
      <c r="BC65" s="2721"/>
      <c r="BD65" s="2714"/>
      <c r="BE65" s="2715"/>
      <c r="BF65" s="2715"/>
      <c r="BG65" s="2720"/>
      <c r="BH65" s="2721"/>
      <c r="BI65" s="2714"/>
      <c r="BJ65" s="2715"/>
      <c r="BK65" s="2715"/>
      <c r="BL65" s="2720"/>
      <c r="BM65" s="2721"/>
      <c r="BN65" s="2714"/>
      <c r="BO65" s="2715"/>
      <c r="BP65" s="2715"/>
      <c r="BQ65" s="2720"/>
      <c r="BR65" s="2721"/>
      <c r="BS65" s="2714"/>
      <c r="BT65" s="2715"/>
      <c r="BU65" s="2715"/>
      <c r="BV65" s="2720"/>
      <c r="BW65" s="2721"/>
      <c r="BX65" s="2714"/>
      <c r="BY65" s="2715"/>
      <c r="BZ65" s="2715"/>
      <c r="CA65" s="2720"/>
      <c r="CB65" s="2721"/>
    </row>
    <row r="66" spans="1:80" ht="111.75" customHeight="1" x14ac:dyDescent="0.25">
      <c r="A66" s="615" t="s">
        <v>572</v>
      </c>
      <c r="B66" s="2845"/>
      <c r="C66" s="2846"/>
      <c r="D66" s="2846"/>
      <c r="E66" s="2847"/>
      <c r="F66" s="615" t="s">
        <v>572</v>
      </c>
      <c r="G66" s="2845"/>
      <c r="H66" s="2846"/>
      <c r="I66" s="2846"/>
      <c r="J66" s="2847"/>
      <c r="K66" s="615" t="s">
        <v>572</v>
      </c>
      <c r="L66" s="2845"/>
      <c r="M66" s="2846"/>
      <c r="N66" s="2846"/>
      <c r="O66" s="2847"/>
      <c r="P66" s="615" t="s">
        <v>572</v>
      </c>
      <c r="Q66" s="2845"/>
      <c r="R66" s="2846"/>
      <c r="S66" s="2846"/>
      <c r="T66" s="2847"/>
      <c r="U66" s="615" t="s">
        <v>572</v>
      </c>
      <c r="V66" s="2845"/>
      <c r="W66" s="2846"/>
      <c r="X66" s="2846"/>
      <c r="Y66" s="2847"/>
      <c r="Z66" s="615" t="s">
        <v>572</v>
      </c>
      <c r="AA66" s="2845"/>
      <c r="AB66" s="2846"/>
      <c r="AC66" s="2846"/>
      <c r="AD66" s="2847"/>
      <c r="AE66" s="615" t="s">
        <v>572</v>
      </c>
      <c r="AF66" s="2845"/>
      <c r="AG66" s="2846"/>
      <c r="AH66" s="2846"/>
      <c r="AI66" s="2847"/>
      <c r="AJ66" s="615" t="s">
        <v>572</v>
      </c>
      <c r="AK66" s="2845"/>
      <c r="AL66" s="2846"/>
      <c r="AM66" s="2846"/>
      <c r="AN66" s="2847"/>
      <c r="AO66" s="615" t="s">
        <v>572</v>
      </c>
      <c r="AP66" s="2845"/>
      <c r="AQ66" s="2846"/>
      <c r="AR66" s="2846"/>
      <c r="AS66" s="2847"/>
      <c r="AT66" s="615" t="s">
        <v>572</v>
      </c>
      <c r="AU66" s="2845"/>
      <c r="AV66" s="2846"/>
      <c r="AW66" s="2846"/>
      <c r="AX66" s="2847"/>
      <c r="AY66" s="615" t="s">
        <v>572</v>
      </c>
      <c r="AZ66" s="2845"/>
      <c r="BA66" s="2846"/>
      <c r="BB66" s="2846"/>
      <c r="BC66" s="2847"/>
      <c r="BD66" s="615" t="s">
        <v>572</v>
      </c>
      <c r="BE66" s="2845"/>
      <c r="BF66" s="2846"/>
      <c r="BG66" s="2846"/>
      <c r="BH66" s="2847"/>
      <c r="BI66" s="615" t="s">
        <v>572</v>
      </c>
      <c r="BJ66" s="2845"/>
      <c r="BK66" s="2846"/>
      <c r="BL66" s="2846"/>
      <c r="BM66" s="2847"/>
      <c r="BN66" s="615" t="s">
        <v>572</v>
      </c>
      <c r="BO66" s="2845"/>
      <c r="BP66" s="2846"/>
      <c r="BQ66" s="2846"/>
      <c r="BR66" s="2847"/>
      <c r="BS66" s="615" t="s">
        <v>572</v>
      </c>
      <c r="BT66" s="2845"/>
      <c r="BU66" s="2846"/>
      <c r="BV66" s="2846"/>
      <c r="BW66" s="2847"/>
      <c r="BX66" s="615" t="s">
        <v>572</v>
      </c>
      <c r="BY66" s="2845"/>
      <c r="BZ66" s="2846"/>
      <c r="CA66" s="2846"/>
      <c r="CB66" s="2847"/>
    </row>
    <row r="67" spans="1:80" ht="50.25" customHeight="1" thickBot="1" x14ac:dyDescent="0.3">
      <c r="A67" s="616"/>
      <c r="B67" s="518"/>
      <c r="C67" s="519" t="s">
        <v>113</v>
      </c>
      <c r="D67" s="520"/>
      <c r="E67" s="523" t="s">
        <v>114</v>
      </c>
      <c r="F67" s="616"/>
      <c r="G67" s="518"/>
      <c r="H67" s="519" t="s">
        <v>113</v>
      </c>
      <c r="I67" s="520"/>
      <c r="J67" s="523" t="s">
        <v>114</v>
      </c>
      <c r="K67" s="616"/>
      <c r="L67" s="518"/>
      <c r="M67" s="519" t="s">
        <v>113</v>
      </c>
      <c r="N67" s="520"/>
      <c r="O67" s="523" t="s">
        <v>114</v>
      </c>
      <c r="P67" s="616"/>
      <c r="Q67" s="518"/>
      <c r="R67" s="519" t="s">
        <v>113</v>
      </c>
      <c r="S67" s="520"/>
      <c r="T67" s="523" t="s">
        <v>114</v>
      </c>
      <c r="U67" s="616"/>
      <c r="V67" s="518"/>
      <c r="W67" s="519" t="s">
        <v>113</v>
      </c>
      <c r="X67" s="520"/>
      <c r="Y67" s="523" t="s">
        <v>114</v>
      </c>
      <c r="Z67" s="616"/>
      <c r="AA67" s="518"/>
      <c r="AB67" s="519" t="s">
        <v>113</v>
      </c>
      <c r="AC67" s="520"/>
      <c r="AD67" s="523" t="s">
        <v>114</v>
      </c>
      <c r="AE67" s="616"/>
      <c r="AF67" s="518"/>
      <c r="AG67" s="519" t="s">
        <v>113</v>
      </c>
      <c r="AH67" s="520"/>
      <c r="AI67" s="523" t="s">
        <v>114</v>
      </c>
      <c r="AJ67" s="616"/>
      <c r="AK67" s="518"/>
      <c r="AL67" s="519" t="s">
        <v>113</v>
      </c>
      <c r="AM67" s="520"/>
      <c r="AN67" s="523" t="s">
        <v>114</v>
      </c>
      <c r="AO67" s="616"/>
      <c r="AP67" s="518"/>
      <c r="AQ67" s="519" t="s">
        <v>113</v>
      </c>
      <c r="AR67" s="520"/>
      <c r="AS67" s="523" t="s">
        <v>114</v>
      </c>
      <c r="AT67" s="616"/>
      <c r="AU67" s="518"/>
      <c r="AV67" s="519" t="s">
        <v>113</v>
      </c>
      <c r="AW67" s="520"/>
      <c r="AX67" s="523" t="s">
        <v>114</v>
      </c>
      <c r="AY67" s="616"/>
      <c r="AZ67" s="518"/>
      <c r="BA67" s="519" t="s">
        <v>113</v>
      </c>
      <c r="BB67" s="520"/>
      <c r="BC67" s="523" t="s">
        <v>114</v>
      </c>
      <c r="BD67" s="616"/>
      <c r="BE67" s="518"/>
      <c r="BF67" s="519" t="s">
        <v>113</v>
      </c>
      <c r="BG67" s="520"/>
      <c r="BH67" s="523" t="s">
        <v>114</v>
      </c>
      <c r="BI67" s="616"/>
      <c r="BJ67" s="518"/>
      <c r="BK67" s="519" t="s">
        <v>113</v>
      </c>
      <c r="BL67" s="520"/>
      <c r="BM67" s="523" t="s">
        <v>114</v>
      </c>
      <c r="BN67" s="616"/>
      <c r="BO67" s="518"/>
      <c r="BP67" s="519" t="s">
        <v>113</v>
      </c>
      <c r="BQ67" s="520"/>
      <c r="BR67" s="523" t="s">
        <v>114</v>
      </c>
      <c r="BS67" s="616"/>
      <c r="BT67" s="518"/>
      <c r="BU67" s="519" t="s">
        <v>113</v>
      </c>
      <c r="BV67" s="520"/>
      <c r="BW67" s="523" t="s">
        <v>114</v>
      </c>
      <c r="BX67" s="616"/>
      <c r="BY67" s="518"/>
      <c r="BZ67" s="519" t="s">
        <v>113</v>
      </c>
      <c r="CA67" s="520"/>
      <c r="CB67" s="523" t="s">
        <v>114</v>
      </c>
    </row>
    <row r="68" spans="1:80" ht="57" customHeight="1" thickTop="1" x14ac:dyDescent="0.25">
      <c r="A68" s="617" t="s">
        <v>110</v>
      </c>
      <c r="B68" s="618"/>
      <c r="C68" s="2722">
        <f t="shared" ref="C68" si="157">B73/((36*3.1415/59)*(61/3.281))</f>
        <v>0</v>
      </c>
      <c r="D68" s="2722"/>
      <c r="E68" s="2723"/>
      <c r="F68" s="617" t="s">
        <v>110</v>
      </c>
      <c r="G68" s="618"/>
      <c r="H68" s="2722">
        <f t="shared" ref="H68" si="158">G73/((36*3.1415/59)*(61/3.281))</f>
        <v>0</v>
      </c>
      <c r="I68" s="2722"/>
      <c r="J68" s="2723"/>
      <c r="K68" s="617" t="s">
        <v>110</v>
      </c>
      <c r="L68" s="618"/>
      <c r="M68" s="2722">
        <f t="shared" ref="M68" si="159">L73/((36*3.1415/59)*(61/3.281))</f>
        <v>0</v>
      </c>
      <c r="N68" s="2722"/>
      <c r="O68" s="2723"/>
      <c r="P68" s="617" t="s">
        <v>110</v>
      </c>
      <c r="Q68" s="618"/>
      <c r="R68" s="2722">
        <f t="shared" ref="R68" si="160">Q73/((36*3.1415/59)*(61/3.281))</f>
        <v>0</v>
      </c>
      <c r="S68" s="2722"/>
      <c r="T68" s="2723"/>
      <c r="U68" s="617" t="s">
        <v>110</v>
      </c>
      <c r="V68" s="618"/>
      <c r="W68" s="2722">
        <f t="shared" ref="W68" si="161">V73/((36*3.1415/59)*(61/3.281))</f>
        <v>0</v>
      </c>
      <c r="X68" s="2722"/>
      <c r="Y68" s="2723"/>
      <c r="Z68" s="2808" t="s">
        <v>110</v>
      </c>
      <c r="AA68" s="2809"/>
      <c r="AB68" s="2806">
        <f>AA73/((36*3.1415/59)*(62/3.281))</f>
        <v>0</v>
      </c>
      <c r="AC68" s="2806"/>
      <c r="AD68" s="2807"/>
      <c r="AE68" s="2808" t="s">
        <v>110</v>
      </c>
      <c r="AF68" s="2809"/>
      <c r="AG68" s="2806">
        <f>AF73/((36*3.1415/59)*(62/3.281))</f>
        <v>0</v>
      </c>
      <c r="AH68" s="2806"/>
      <c r="AI68" s="2807"/>
      <c r="AJ68" s="2886" t="s">
        <v>110</v>
      </c>
      <c r="AK68" s="2887"/>
      <c r="AL68" s="2884">
        <f>AK73/((36*3.1415/59)*(63/3.281))</f>
        <v>1.656239301988148E-2</v>
      </c>
      <c r="AM68" s="2884"/>
      <c r="AN68" s="2885"/>
      <c r="AO68" s="2886" t="s">
        <v>110</v>
      </c>
      <c r="AP68" s="2887"/>
      <c r="AQ68" s="2884">
        <f t="shared" ref="AQ68" si="162">AP73/((36*3.1415/59)*(63/3.281))</f>
        <v>0</v>
      </c>
      <c r="AR68" s="2884"/>
      <c r="AS68" s="2885"/>
      <c r="AT68" s="2886" t="s">
        <v>110</v>
      </c>
      <c r="AU68" s="2887"/>
      <c r="AV68" s="2884">
        <f t="shared" ref="AV68" si="163">AU73/((36*3.1415/59)*(63/3.281))</f>
        <v>0</v>
      </c>
      <c r="AW68" s="2884"/>
      <c r="AX68" s="2885"/>
      <c r="AY68" s="2886" t="s">
        <v>110</v>
      </c>
      <c r="AZ68" s="2887"/>
      <c r="BA68" s="2884">
        <f t="shared" ref="BA68" si="164">AZ73/((36*3.1415/59)*(63/3.281))</f>
        <v>0</v>
      </c>
      <c r="BB68" s="2884"/>
      <c r="BC68" s="2885"/>
      <c r="BD68" s="2886" t="s">
        <v>110</v>
      </c>
      <c r="BE68" s="2887"/>
      <c r="BF68" s="2884">
        <f t="shared" ref="BF68" si="165">BE73/((36*3.1415/59)*(63/3.281))</f>
        <v>0</v>
      </c>
      <c r="BG68" s="2884"/>
      <c r="BH68" s="2885"/>
      <c r="BI68" s="2886" t="s">
        <v>110</v>
      </c>
      <c r="BJ68" s="2887"/>
      <c r="BK68" s="2884">
        <f t="shared" ref="BK68" si="166">BJ73/((36*3.1415/59)*(63/3.281))</f>
        <v>0</v>
      </c>
      <c r="BL68" s="2884"/>
      <c r="BM68" s="2885"/>
      <c r="BN68" s="2786" t="s">
        <v>110</v>
      </c>
      <c r="BO68" s="2787"/>
      <c r="BP68" s="2788">
        <f>BO73/((36*3.1415/59)*(64/3.281))</f>
        <v>0</v>
      </c>
      <c r="BQ68" s="2788"/>
      <c r="BR68" s="2789"/>
      <c r="BS68" s="2786" t="s">
        <v>110</v>
      </c>
      <c r="BT68" s="2787"/>
      <c r="BU68" s="2788">
        <f t="shared" ref="BU68" si="167">BT73/((36*3.1415/59)*(64/3.281))</f>
        <v>0</v>
      </c>
      <c r="BV68" s="2788"/>
      <c r="BW68" s="2789"/>
      <c r="BX68" s="2786" t="s">
        <v>110</v>
      </c>
      <c r="BY68" s="2787"/>
      <c r="BZ68" s="2788">
        <f t="shared" ref="BZ68" si="168">BY73/((36*3.1415/59)*(64/3.281))</f>
        <v>0</v>
      </c>
      <c r="CA68" s="2788"/>
      <c r="CB68" s="2789"/>
    </row>
    <row r="69" spans="1:80" ht="11.25" customHeight="1" x14ac:dyDescent="0.25">
      <c r="A69" s="2710" t="s">
        <v>25</v>
      </c>
      <c r="B69" s="2711"/>
      <c r="C69" s="2711"/>
      <c r="D69" s="2716" t="s">
        <v>706</v>
      </c>
      <c r="E69" s="2717"/>
      <c r="F69" s="2710" t="s">
        <v>25</v>
      </c>
      <c r="G69" s="2711"/>
      <c r="H69" s="2711"/>
      <c r="I69" s="2716" t="s">
        <v>706</v>
      </c>
      <c r="J69" s="2717"/>
      <c r="K69" s="2710" t="s">
        <v>25</v>
      </c>
      <c r="L69" s="2711"/>
      <c r="M69" s="2711"/>
      <c r="N69" s="2716" t="s">
        <v>706</v>
      </c>
      <c r="O69" s="2717"/>
      <c r="P69" s="2710" t="s">
        <v>25</v>
      </c>
      <c r="Q69" s="2711"/>
      <c r="R69" s="2711"/>
      <c r="S69" s="2716" t="s">
        <v>706</v>
      </c>
      <c r="T69" s="2717"/>
      <c r="U69" s="2710" t="s">
        <v>25</v>
      </c>
      <c r="V69" s="2711"/>
      <c r="W69" s="2711"/>
      <c r="X69" s="2716" t="s">
        <v>706</v>
      </c>
      <c r="Y69" s="2717"/>
      <c r="Z69" s="2792" t="s">
        <v>25</v>
      </c>
      <c r="AA69" s="2793"/>
      <c r="AB69" s="2793"/>
      <c r="AC69" s="2798" t="s">
        <v>706</v>
      </c>
      <c r="AD69" s="2799"/>
      <c r="AE69" s="2792" t="s">
        <v>25</v>
      </c>
      <c r="AF69" s="2793"/>
      <c r="AG69" s="2793"/>
      <c r="AH69" s="2798" t="s">
        <v>706</v>
      </c>
      <c r="AI69" s="2799"/>
      <c r="AJ69" s="2878" t="s">
        <v>25</v>
      </c>
      <c r="AK69" s="2879"/>
      <c r="AL69" s="2879"/>
      <c r="AM69" s="2872" t="s">
        <v>706</v>
      </c>
      <c r="AN69" s="2873"/>
      <c r="AO69" s="2878" t="s">
        <v>25</v>
      </c>
      <c r="AP69" s="2879"/>
      <c r="AQ69" s="2879"/>
      <c r="AR69" s="2872" t="s">
        <v>706</v>
      </c>
      <c r="AS69" s="2873"/>
      <c r="AT69" s="2878" t="s">
        <v>25</v>
      </c>
      <c r="AU69" s="2879"/>
      <c r="AV69" s="2879"/>
      <c r="AW69" s="2872" t="s">
        <v>706</v>
      </c>
      <c r="AX69" s="2873"/>
      <c r="AY69" s="2878" t="s">
        <v>25</v>
      </c>
      <c r="AZ69" s="2879"/>
      <c r="BA69" s="2879"/>
      <c r="BB69" s="2872" t="s">
        <v>706</v>
      </c>
      <c r="BC69" s="2873"/>
      <c r="BD69" s="2878" t="s">
        <v>25</v>
      </c>
      <c r="BE69" s="2879"/>
      <c r="BF69" s="2879"/>
      <c r="BG69" s="2872" t="s">
        <v>706</v>
      </c>
      <c r="BH69" s="2873"/>
      <c r="BI69" s="2878" t="s">
        <v>25</v>
      </c>
      <c r="BJ69" s="2879"/>
      <c r="BK69" s="2879"/>
      <c r="BL69" s="2872" t="s">
        <v>706</v>
      </c>
      <c r="BM69" s="2873"/>
      <c r="BN69" s="2774" t="s">
        <v>25</v>
      </c>
      <c r="BO69" s="2775"/>
      <c r="BP69" s="2775"/>
      <c r="BQ69" s="2780" t="s">
        <v>706</v>
      </c>
      <c r="BR69" s="2781"/>
      <c r="BS69" s="2774" t="s">
        <v>25</v>
      </c>
      <c r="BT69" s="2775"/>
      <c r="BU69" s="2775"/>
      <c r="BV69" s="2780" t="s">
        <v>706</v>
      </c>
      <c r="BW69" s="2781"/>
      <c r="BX69" s="2774" t="s">
        <v>25</v>
      </c>
      <c r="BY69" s="2775"/>
      <c r="BZ69" s="2775"/>
      <c r="CA69" s="2780" t="s">
        <v>706</v>
      </c>
      <c r="CB69" s="2781"/>
    </row>
    <row r="70" spans="1:80" ht="11.25" customHeight="1" x14ac:dyDescent="0.25">
      <c r="A70" s="2712"/>
      <c r="B70" s="2713"/>
      <c r="C70" s="2713"/>
      <c r="D70" s="2718"/>
      <c r="E70" s="2719"/>
      <c r="F70" s="2712"/>
      <c r="G70" s="2713"/>
      <c r="H70" s="2713"/>
      <c r="I70" s="2718"/>
      <c r="J70" s="2719"/>
      <c r="K70" s="2712"/>
      <c r="L70" s="2713"/>
      <c r="M70" s="2713"/>
      <c r="N70" s="2718"/>
      <c r="O70" s="2719"/>
      <c r="P70" s="2712"/>
      <c r="Q70" s="2713"/>
      <c r="R70" s="2713"/>
      <c r="S70" s="2718"/>
      <c r="T70" s="2719"/>
      <c r="U70" s="2712"/>
      <c r="V70" s="2713"/>
      <c r="W70" s="2713"/>
      <c r="X70" s="2718"/>
      <c r="Y70" s="2719"/>
      <c r="Z70" s="2794"/>
      <c r="AA70" s="2795"/>
      <c r="AB70" s="2795"/>
      <c r="AC70" s="2800"/>
      <c r="AD70" s="2801"/>
      <c r="AE70" s="2794"/>
      <c r="AF70" s="2795"/>
      <c r="AG70" s="2795"/>
      <c r="AH70" s="2800"/>
      <c r="AI70" s="2801"/>
      <c r="AJ70" s="2880"/>
      <c r="AK70" s="2881"/>
      <c r="AL70" s="2881"/>
      <c r="AM70" s="2874"/>
      <c r="AN70" s="2875"/>
      <c r="AO70" s="2880"/>
      <c r="AP70" s="2881"/>
      <c r="AQ70" s="2881"/>
      <c r="AR70" s="2874"/>
      <c r="AS70" s="2875"/>
      <c r="AT70" s="2880"/>
      <c r="AU70" s="2881"/>
      <c r="AV70" s="2881"/>
      <c r="AW70" s="2874"/>
      <c r="AX70" s="2875"/>
      <c r="AY70" s="2880"/>
      <c r="AZ70" s="2881"/>
      <c r="BA70" s="2881"/>
      <c r="BB70" s="2874"/>
      <c r="BC70" s="2875"/>
      <c r="BD70" s="2880"/>
      <c r="BE70" s="2881"/>
      <c r="BF70" s="2881"/>
      <c r="BG70" s="2874"/>
      <c r="BH70" s="2875"/>
      <c r="BI70" s="2880"/>
      <c r="BJ70" s="2881"/>
      <c r="BK70" s="2881"/>
      <c r="BL70" s="2874"/>
      <c r="BM70" s="2875"/>
      <c r="BN70" s="2776"/>
      <c r="BO70" s="2777"/>
      <c r="BP70" s="2777"/>
      <c r="BQ70" s="2782"/>
      <c r="BR70" s="2783"/>
      <c r="BS70" s="2776"/>
      <c r="BT70" s="2777"/>
      <c r="BU70" s="2777"/>
      <c r="BV70" s="2782"/>
      <c r="BW70" s="2783"/>
      <c r="BX70" s="2776"/>
      <c r="BY70" s="2777"/>
      <c r="BZ70" s="2777"/>
      <c r="CA70" s="2782"/>
      <c r="CB70" s="2783"/>
    </row>
    <row r="71" spans="1:80" ht="11.25" customHeight="1" x14ac:dyDescent="0.25">
      <c r="A71" s="2714"/>
      <c r="B71" s="2715"/>
      <c r="C71" s="2715"/>
      <c r="D71" s="2720"/>
      <c r="E71" s="2721"/>
      <c r="F71" s="2714"/>
      <c r="G71" s="2715"/>
      <c r="H71" s="2715"/>
      <c r="I71" s="2720"/>
      <c r="J71" s="2721"/>
      <c r="K71" s="2714"/>
      <c r="L71" s="2715"/>
      <c r="M71" s="2715"/>
      <c r="N71" s="2720"/>
      <c r="O71" s="2721"/>
      <c r="P71" s="2714"/>
      <c r="Q71" s="2715"/>
      <c r="R71" s="2715"/>
      <c r="S71" s="2720"/>
      <c r="T71" s="2721"/>
      <c r="U71" s="2714"/>
      <c r="V71" s="2715"/>
      <c r="W71" s="2715"/>
      <c r="X71" s="2720"/>
      <c r="Y71" s="2721"/>
      <c r="Z71" s="2796"/>
      <c r="AA71" s="2797"/>
      <c r="AB71" s="2797"/>
      <c r="AC71" s="2802"/>
      <c r="AD71" s="2803"/>
      <c r="AE71" s="2796"/>
      <c r="AF71" s="2797"/>
      <c r="AG71" s="2797"/>
      <c r="AH71" s="2802"/>
      <c r="AI71" s="2803"/>
      <c r="AJ71" s="2882"/>
      <c r="AK71" s="2883"/>
      <c r="AL71" s="2883"/>
      <c r="AM71" s="2876"/>
      <c r="AN71" s="2877"/>
      <c r="AO71" s="2882"/>
      <c r="AP71" s="2883"/>
      <c r="AQ71" s="2883"/>
      <c r="AR71" s="2876"/>
      <c r="AS71" s="2877"/>
      <c r="AT71" s="2882"/>
      <c r="AU71" s="2883"/>
      <c r="AV71" s="2883"/>
      <c r="AW71" s="2876"/>
      <c r="AX71" s="2877"/>
      <c r="AY71" s="2882"/>
      <c r="AZ71" s="2883"/>
      <c r="BA71" s="2883"/>
      <c r="BB71" s="2876"/>
      <c r="BC71" s="2877"/>
      <c r="BD71" s="2882"/>
      <c r="BE71" s="2883"/>
      <c r="BF71" s="2883"/>
      <c r="BG71" s="2876"/>
      <c r="BH71" s="2877"/>
      <c r="BI71" s="2882"/>
      <c r="BJ71" s="2883"/>
      <c r="BK71" s="2883"/>
      <c r="BL71" s="2876"/>
      <c r="BM71" s="2877"/>
      <c r="BN71" s="2778"/>
      <c r="BO71" s="2779"/>
      <c r="BP71" s="2779"/>
      <c r="BQ71" s="2784"/>
      <c r="BR71" s="2785"/>
      <c r="BS71" s="2778"/>
      <c r="BT71" s="2779"/>
      <c r="BU71" s="2779"/>
      <c r="BV71" s="2784"/>
      <c r="BW71" s="2785"/>
      <c r="BX71" s="2778"/>
      <c r="BY71" s="2779"/>
      <c r="BZ71" s="2779"/>
      <c r="CA71" s="2784"/>
      <c r="CB71" s="2785"/>
    </row>
    <row r="72" spans="1:80" s="535" customFormat="1" ht="111.75" customHeight="1" x14ac:dyDescent="1.35">
      <c r="A72" s="615" t="s">
        <v>572</v>
      </c>
      <c r="B72" s="2681"/>
      <c r="C72" s="2682"/>
      <c r="D72" s="2682"/>
      <c r="E72" s="2683"/>
      <c r="F72" s="615" t="s">
        <v>572</v>
      </c>
      <c r="G72" s="2681"/>
      <c r="H72" s="2682"/>
      <c r="I72" s="2682"/>
      <c r="J72" s="2683"/>
      <c r="K72" s="615" t="s">
        <v>572</v>
      </c>
      <c r="L72" s="2681"/>
      <c r="M72" s="2682"/>
      <c r="N72" s="2682"/>
      <c r="O72" s="2683"/>
      <c r="P72" s="615" t="s">
        <v>572</v>
      </c>
      <c r="Q72" s="2681"/>
      <c r="R72" s="2682"/>
      <c r="S72" s="2682"/>
      <c r="T72" s="2683"/>
      <c r="U72" s="615" t="s">
        <v>572</v>
      </c>
      <c r="V72" s="2681"/>
      <c r="W72" s="2682"/>
      <c r="X72" s="2682"/>
      <c r="Y72" s="2683"/>
      <c r="Z72" s="2804" t="s">
        <v>716</v>
      </c>
      <c r="AA72" s="2681"/>
      <c r="AB72" s="2682"/>
      <c r="AC72" s="2682"/>
      <c r="AD72" s="2683"/>
      <c r="AE72" s="2804" t="s">
        <v>716</v>
      </c>
      <c r="AF72" s="2681"/>
      <c r="AG72" s="2682"/>
      <c r="AH72" s="2682"/>
      <c r="AI72" s="2683"/>
      <c r="AJ72" s="2870" t="s">
        <v>717</v>
      </c>
      <c r="AK72" s="2828">
        <v>294</v>
      </c>
      <c r="AL72" s="2829"/>
      <c r="AM72" s="2829"/>
      <c r="AN72" s="2830"/>
      <c r="AO72" s="2870" t="s">
        <v>717</v>
      </c>
      <c r="AP72" s="2681"/>
      <c r="AQ72" s="2682"/>
      <c r="AR72" s="2682"/>
      <c r="AS72" s="2683"/>
      <c r="AT72" s="2870" t="s">
        <v>717</v>
      </c>
      <c r="AU72" s="2681"/>
      <c r="AV72" s="2682"/>
      <c r="AW72" s="2682"/>
      <c r="AX72" s="2683"/>
      <c r="AY72" s="2870" t="s">
        <v>717</v>
      </c>
      <c r="AZ72" s="2681"/>
      <c r="BA72" s="2682"/>
      <c r="BB72" s="2682"/>
      <c r="BC72" s="2683"/>
      <c r="BD72" s="2870" t="s">
        <v>717</v>
      </c>
      <c r="BE72" s="2681"/>
      <c r="BF72" s="2682"/>
      <c r="BG72" s="2682"/>
      <c r="BH72" s="2683"/>
      <c r="BI72" s="2870" t="s">
        <v>717</v>
      </c>
      <c r="BJ72" s="2681"/>
      <c r="BK72" s="2682"/>
      <c r="BL72" s="2682"/>
      <c r="BM72" s="2683"/>
      <c r="BN72" s="2790" t="s">
        <v>718</v>
      </c>
      <c r="BO72" s="2681"/>
      <c r="BP72" s="2682"/>
      <c r="BQ72" s="2682"/>
      <c r="BR72" s="2683"/>
      <c r="BS72" s="2790" t="s">
        <v>718</v>
      </c>
      <c r="BT72" s="2681"/>
      <c r="BU72" s="2682"/>
      <c r="BV72" s="2682"/>
      <c r="BW72" s="2683"/>
      <c r="BX72" s="2790" t="s">
        <v>718</v>
      </c>
      <c r="BY72" s="2681"/>
      <c r="BZ72" s="2682"/>
      <c r="CA72" s="2682"/>
      <c r="CB72" s="2683"/>
    </row>
    <row r="73" spans="1:80" ht="50.25" customHeight="1" thickBot="1" x14ac:dyDescent="0.3">
      <c r="A73" s="616"/>
      <c r="B73" s="518"/>
      <c r="C73" s="519" t="s">
        <v>113</v>
      </c>
      <c r="D73" s="520"/>
      <c r="E73" s="523" t="s">
        <v>114</v>
      </c>
      <c r="F73" s="616"/>
      <c r="G73" s="518"/>
      <c r="H73" s="519" t="s">
        <v>113</v>
      </c>
      <c r="I73" s="520"/>
      <c r="J73" s="523" t="s">
        <v>114</v>
      </c>
      <c r="K73" s="616"/>
      <c r="L73" s="518"/>
      <c r="M73" s="519" t="s">
        <v>113</v>
      </c>
      <c r="N73" s="520"/>
      <c r="O73" s="523" t="s">
        <v>114</v>
      </c>
      <c r="P73" s="616"/>
      <c r="Q73" s="518"/>
      <c r="R73" s="519" t="s">
        <v>113</v>
      </c>
      <c r="S73" s="520"/>
      <c r="T73" s="523" t="s">
        <v>114</v>
      </c>
      <c r="U73" s="616"/>
      <c r="V73" s="518"/>
      <c r="W73" s="519" t="s">
        <v>113</v>
      </c>
      <c r="X73" s="520"/>
      <c r="Y73" s="523" t="s">
        <v>114</v>
      </c>
      <c r="Z73" s="2805"/>
      <c r="AA73" s="518"/>
      <c r="AB73" s="519" t="s">
        <v>113</v>
      </c>
      <c r="AC73" s="520"/>
      <c r="AD73" s="523" t="s">
        <v>114</v>
      </c>
      <c r="AE73" s="2805"/>
      <c r="AF73" s="518"/>
      <c r="AG73" s="519" t="s">
        <v>113</v>
      </c>
      <c r="AH73" s="520"/>
      <c r="AI73" s="523" t="s">
        <v>114</v>
      </c>
      <c r="AJ73" s="2871"/>
      <c r="AK73" s="518">
        <v>0.60960000000000003</v>
      </c>
      <c r="AL73" s="519" t="s">
        <v>113</v>
      </c>
      <c r="AM73" s="520"/>
      <c r="AN73" s="523" t="s">
        <v>114</v>
      </c>
      <c r="AO73" s="2871"/>
      <c r="AP73" s="518"/>
      <c r="AQ73" s="519" t="s">
        <v>113</v>
      </c>
      <c r="AR73" s="520"/>
      <c r="AS73" s="523" t="s">
        <v>114</v>
      </c>
      <c r="AT73" s="2871"/>
      <c r="AU73" s="518"/>
      <c r="AV73" s="519" t="s">
        <v>113</v>
      </c>
      <c r="AW73" s="520"/>
      <c r="AX73" s="523" t="s">
        <v>114</v>
      </c>
      <c r="AY73" s="2871"/>
      <c r="AZ73" s="518"/>
      <c r="BA73" s="519" t="s">
        <v>113</v>
      </c>
      <c r="BB73" s="520"/>
      <c r="BC73" s="523" t="s">
        <v>114</v>
      </c>
      <c r="BD73" s="2871"/>
      <c r="BE73" s="518"/>
      <c r="BF73" s="519" t="s">
        <v>113</v>
      </c>
      <c r="BG73" s="520"/>
      <c r="BH73" s="523" t="s">
        <v>114</v>
      </c>
      <c r="BI73" s="2871"/>
      <c r="BJ73" s="518"/>
      <c r="BK73" s="519" t="s">
        <v>113</v>
      </c>
      <c r="BL73" s="520"/>
      <c r="BM73" s="523" t="s">
        <v>114</v>
      </c>
      <c r="BN73" s="2791"/>
      <c r="BO73" s="518"/>
      <c r="BP73" s="519" t="s">
        <v>113</v>
      </c>
      <c r="BQ73" s="520"/>
      <c r="BR73" s="523" t="s">
        <v>114</v>
      </c>
      <c r="BS73" s="2791"/>
      <c r="BT73" s="518"/>
      <c r="BU73" s="519" t="s">
        <v>113</v>
      </c>
      <c r="BV73" s="520"/>
      <c r="BW73" s="523" t="s">
        <v>114</v>
      </c>
      <c r="BX73" s="2791"/>
      <c r="BY73" s="518"/>
      <c r="BZ73" s="519" t="s">
        <v>113</v>
      </c>
      <c r="CA73" s="520"/>
      <c r="CB73" s="523" t="s">
        <v>114</v>
      </c>
    </row>
    <row r="74" spans="1:80" ht="57" customHeight="1" thickTop="1" x14ac:dyDescent="0.25">
      <c r="A74" s="2786" t="s">
        <v>110</v>
      </c>
      <c r="B74" s="2787"/>
      <c r="C74" s="2788">
        <f t="shared" ref="C74" si="169">B79/((36*3.1415/59)*(64/3.281))</f>
        <v>0</v>
      </c>
      <c r="D74" s="2788"/>
      <c r="E74" s="2789"/>
      <c r="F74" s="2786" t="s">
        <v>110</v>
      </c>
      <c r="G74" s="2787"/>
      <c r="H74" s="2788">
        <f t="shared" ref="H74" si="170">G79/((36*3.1415/59)*(64/3.281))</f>
        <v>0</v>
      </c>
      <c r="I74" s="2788"/>
      <c r="J74" s="2789"/>
      <c r="K74" s="2786" t="s">
        <v>110</v>
      </c>
      <c r="L74" s="2787"/>
      <c r="M74" s="2788">
        <f t="shared" ref="M74" si="171">L79/((36*3.1415/59)*(64/3.281))</f>
        <v>0</v>
      </c>
      <c r="N74" s="2788"/>
      <c r="O74" s="2789"/>
      <c r="P74" s="2786" t="s">
        <v>110</v>
      </c>
      <c r="Q74" s="2787"/>
      <c r="R74" s="2788">
        <f t="shared" ref="R74" si="172">Q79/((36*3.1415/59)*(64/3.281))</f>
        <v>0</v>
      </c>
      <c r="S74" s="2788"/>
      <c r="T74" s="2789"/>
      <c r="U74" s="2786" t="s">
        <v>110</v>
      </c>
      <c r="V74" s="2787"/>
      <c r="W74" s="2788">
        <f t="shared" ref="W74" si="173">V79/((36*3.1415/59)*(64/3.281))</f>
        <v>0</v>
      </c>
      <c r="X74" s="2788"/>
      <c r="Y74" s="2789"/>
      <c r="Z74" s="2786" t="s">
        <v>110</v>
      </c>
      <c r="AA74" s="2787"/>
      <c r="AB74" s="2788">
        <f t="shared" ref="AB74" si="174">AA79/((36*3.1415/59)*(64/3.281))</f>
        <v>0</v>
      </c>
      <c r="AC74" s="2788"/>
      <c r="AD74" s="2789"/>
      <c r="AE74" s="2786" t="s">
        <v>110</v>
      </c>
      <c r="AF74" s="2787"/>
      <c r="AG74" s="2788">
        <f t="shared" ref="AG74" si="175">AF79/((36*3.1415/59)*(64/3.281))</f>
        <v>0</v>
      </c>
      <c r="AH74" s="2788"/>
      <c r="AI74" s="2789"/>
      <c r="AJ74" s="2786" t="s">
        <v>110</v>
      </c>
      <c r="AK74" s="2787"/>
      <c r="AL74" s="2788">
        <f t="shared" ref="AL74" si="176">AK79/((36*3.1415/59)*(64/3.281))</f>
        <v>0</v>
      </c>
      <c r="AM74" s="2788"/>
      <c r="AN74" s="2789"/>
      <c r="AO74" s="2786" t="s">
        <v>110</v>
      </c>
      <c r="AP74" s="2787"/>
      <c r="AQ74" s="2788">
        <f t="shared" ref="AQ74" si="177">AP79/((36*3.1415/59)*(64/3.281))</f>
        <v>0</v>
      </c>
      <c r="AR74" s="2788"/>
      <c r="AS74" s="2789"/>
      <c r="AT74" s="2786" t="s">
        <v>110</v>
      </c>
      <c r="AU74" s="2787"/>
      <c r="AV74" s="2788">
        <f t="shared" ref="AV74" si="178">AU79/((36*3.1415/59)*(64/3.281))</f>
        <v>0</v>
      </c>
      <c r="AW74" s="2788"/>
      <c r="AX74" s="2789"/>
      <c r="AY74" s="2786" t="s">
        <v>110</v>
      </c>
      <c r="AZ74" s="2787"/>
      <c r="BA74" s="2788">
        <f t="shared" ref="BA74" si="179">AZ79/((36*3.1415/59)*(64/3.281))</f>
        <v>0</v>
      </c>
      <c r="BB74" s="2788"/>
      <c r="BC74" s="2789"/>
      <c r="BD74" s="2786" t="s">
        <v>110</v>
      </c>
      <c r="BE74" s="2787"/>
      <c r="BF74" s="2788">
        <f t="shared" ref="BF74" si="180">BE79/((36*3.1415/59)*(64/3.281))</f>
        <v>0</v>
      </c>
      <c r="BG74" s="2788"/>
      <c r="BH74" s="2789"/>
      <c r="BI74" s="2786" t="s">
        <v>110</v>
      </c>
      <c r="BJ74" s="2787"/>
      <c r="BK74" s="2788">
        <f t="shared" ref="BK74" si="181">BJ79/((36*3.1415/59)*(64/3.281))</f>
        <v>0</v>
      </c>
      <c r="BL74" s="2788"/>
      <c r="BM74" s="2789"/>
      <c r="BN74" s="2786" t="s">
        <v>110</v>
      </c>
      <c r="BO74" s="2787"/>
      <c r="BP74" s="2788">
        <f t="shared" ref="BP74" si="182">BO79/((36*3.1415/59)*(64/3.281))</f>
        <v>0</v>
      </c>
      <c r="BQ74" s="2788"/>
      <c r="BR74" s="2789"/>
      <c r="BS74" s="2786" t="s">
        <v>110</v>
      </c>
      <c r="BT74" s="2787"/>
      <c r="BU74" s="2788">
        <f t="shared" ref="BU74" si="183">BT79/((36*3.1415/59)*(64/3.281))</f>
        <v>0</v>
      </c>
      <c r="BV74" s="2788"/>
      <c r="BW74" s="2789"/>
      <c r="BX74" s="2786" t="s">
        <v>110</v>
      </c>
      <c r="BY74" s="2787"/>
      <c r="BZ74" s="2788">
        <f t="shared" ref="BZ74" si="184">BY79/((36*3.1415/59)*(64/3.281))</f>
        <v>0</v>
      </c>
      <c r="CA74" s="2788"/>
      <c r="CB74" s="2789"/>
    </row>
    <row r="75" spans="1:80" ht="11.25" customHeight="1" x14ac:dyDescent="0.25">
      <c r="A75" s="2774" t="s">
        <v>25</v>
      </c>
      <c r="B75" s="2775"/>
      <c r="C75" s="2775"/>
      <c r="D75" s="2780" t="s">
        <v>706</v>
      </c>
      <c r="E75" s="2781"/>
      <c r="F75" s="2774" t="s">
        <v>25</v>
      </c>
      <c r="G75" s="2775"/>
      <c r="H75" s="2775"/>
      <c r="I75" s="2780" t="s">
        <v>706</v>
      </c>
      <c r="J75" s="2781"/>
      <c r="K75" s="2774" t="s">
        <v>25</v>
      </c>
      <c r="L75" s="2775"/>
      <c r="M75" s="2775"/>
      <c r="N75" s="2780" t="s">
        <v>706</v>
      </c>
      <c r="O75" s="2781"/>
      <c r="P75" s="2774" t="s">
        <v>25</v>
      </c>
      <c r="Q75" s="2775"/>
      <c r="R75" s="2775"/>
      <c r="S75" s="2780" t="s">
        <v>706</v>
      </c>
      <c r="T75" s="2781"/>
      <c r="U75" s="2774" t="s">
        <v>25</v>
      </c>
      <c r="V75" s="2775"/>
      <c r="W75" s="2775"/>
      <c r="X75" s="2780" t="s">
        <v>706</v>
      </c>
      <c r="Y75" s="2781"/>
      <c r="Z75" s="2774" t="s">
        <v>25</v>
      </c>
      <c r="AA75" s="2775"/>
      <c r="AB75" s="2775"/>
      <c r="AC75" s="2780" t="s">
        <v>706</v>
      </c>
      <c r="AD75" s="2781"/>
      <c r="AE75" s="2774" t="s">
        <v>25</v>
      </c>
      <c r="AF75" s="2775"/>
      <c r="AG75" s="2775"/>
      <c r="AH75" s="2780" t="s">
        <v>706</v>
      </c>
      <c r="AI75" s="2781"/>
      <c r="AJ75" s="2774" t="s">
        <v>25</v>
      </c>
      <c r="AK75" s="2775"/>
      <c r="AL75" s="2775"/>
      <c r="AM75" s="2780" t="s">
        <v>706</v>
      </c>
      <c r="AN75" s="2781"/>
      <c r="AO75" s="2774" t="s">
        <v>25</v>
      </c>
      <c r="AP75" s="2775"/>
      <c r="AQ75" s="2775"/>
      <c r="AR75" s="2780" t="s">
        <v>706</v>
      </c>
      <c r="AS75" s="2781"/>
      <c r="AT75" s="2774" t="s">
        <v>25</v>
      </c>
      <c r="AU75" s="2775"/>
      <c r="AV75" s="2775"/>
      <c r="AW75" s="2780" t="s">
        <v>706</v>
      </c>
      <c r="AX75" s="2781"/>
      <c r="AY75" s="2774" t="s">
        <v>25</v>
      </c>
      <c r="AZ75" s="2775"/>
      <c r="BA75" s="2775"/>
      <c r="BB75" s="2780" t="s">
        <v>706</v>
      </c>
      <c r="BC75" s="2781"/>
      <c r="BD75" s="2774" t="s">
        <v>25</v>
      </c>
      <c r="BE75" s="2775"/>
      <c r="BF75" s="2775"/>
      <c r="BG75" s="2780" t="s">
        <v>706</v>
      </c>
      <c r="BH75" s="2781"/>
      <c r="BI75" s="2774" t="s">
        <v>25</v>
      </c>
      <c r="BJ75" s="2775"/>
      <c r="BK75" s="2775"/>
      <c r="BL75" s="2780" t="s">
        <v>706</v>
      </c>
      <c r="BM75" s="2781"/>
      <c r="BN75" s="2774" t="s">
        <v>25</v>
      </c>
      <c r="BO75" s="2775"/>
      <c r="BP75" s="2775"/>
      <c r="BQ75" s="2780" t="s">
        <v>706</v>
      </c>
      <c r="BR75" s="2781"/>
      <c r="BS75" s="2774" t="s">
        <v>25</v>
      </c>
      <c r="BT75" s="2775"/>
      <c r="BU75" s="2775"/>
      <c r="BV75" s="2780" t="s">
        <v>706</v>
      </c>
      <c r="BW75" s="2781"/>
      <c r="BX75" s="2774" t="s">
        <v>25</v>
      </c>
      <c r="BY75" s="2775"/>
      <c r="BZ75" s="2775"/>
      <c r="CA75" s="2780" t="s">
        <v>706</v>
      </c>
      <c r="CB75" s="2781"/>
    </row>
    <row r="76" spans="1:80" ht="11.25" customHeight="1" x14ac:dyDescent="0.25">
      <c r="A76" s="2776"/>
      <c r="B76" s="2777"/>
      <c r="C76" s="2777"/>
      <c r="D76" s="2782"/>
      <c r="E76" s="2783"/>
      <c r="F76" s="2776"/>
      <c r="G76" s="2777"/>
      <c r="H76" s="2777"/>
      <c r="I76" s="2782"/>
      <c r="J76" s="2783"/>
      <c r="K76" s="2776"/>
      <c r="L76" s="2777"/>
      <c r="M76" s="2777"/>
      <c r="N76" s="2782"/>
      <c r="O76" s="2783"/>
      <c r="P76" s="2776"/>
      <c r="Q76" s="2777"/>
      <c r="R76" s="2777"/>
      <c r="S76" s="2782"/>
      <c r="T76" s="2783"/>
      <c r="U76" s="2776"/>
      <c r="V76" s="2777"/>
      <c r="W76" s="2777"/>
      <c r="X76" s="2782"/>
      <c r="Y76" s="2783"/>
      <c r="Z76" s="2776"/>
      <c r="AA76" s="2777"/>
      <c r="AB76" s="2777"/>
      <c r="AC76" s="2782"/>
      <c r="AD76" s="2783"/>
      <c r="AE76" s="2776"/>
      <c r="AF76" s="2777"/>
      <c r="AG76" s="2777"/>
      <c r="AH76" s="2782"/>
      <c r="AI76" s="2783"/>
      <c r="AJ76" s="2776"/>
      <c r="AK76" s="2777"/>
      <c r="AL76" s="2777"/>
      <c r="AM76" s="2782"/>
      <c r="AN76" s="2783"/>
      <c r="AO76" s="2776"/>
      <c r="AP76" s="2777"/>
      <c r="AQ76" s="2777"/>
      <c r="AR76" s="2782"/>
      <c r="AS76" s="2783"/>
      <c r="AT76" s="2776"/>
      <c r="AU76" s="2777"/>
      <c r="AV76" s="2777"/>
      <c r="AW76" s="2782"/>
      <c r="AX76" s="2783"/>
      <c r="AY76" s="2776"/>
      <c r="AZ76" s="2777"/>
      <c r="BA76" s="2777"/>
      <c r="BB76" s="2782"/>
      <c r="BC76" s="2783"/>
      <c r="BD76" s="2776"/>
      <c r="BE76" s="2777"/>
      <c r="BF76" s="2777"/>
      <c r="BG76" s="2782"/>
      <c r="BH76" s="2783"/>
      <c r="BI76" s="2776"/>
      <c r="BJ76" s="2777"/>
      <c r="BK76" s="2777"/>
      <c r="BL76" s="2782"/>
      <c r="BM76" s="2783"/>
      <c r="BN76" s="2776"/>
      <c r="BO76" s="2777"/>
      <c r="BP76" s="2777"/>
      <c r="BQ76" s="2782"/>
      <c r="BR76" s="2783"/>
      <c r="BS76" s="2776"/>
      <c r="BT76" s="2777"/>
      <c r="BU76" s="2777"/>
      <c r="BV76" s="2782"/>
      <c r="BW76" s="2783"/>
      <c r="BX76" s="2776"/>
      <c r="BY76" s="2777"/>
      <c r="BZ76" s="2777"/>
      <c r="CA76" s="2782"/>
      <c r="CB76" s="2783"/>
    </row>
    <row r="77" spans="1:80" ht="11.25" customHeight="1" x14ac:dyDescent="0.25">
      <c r="A77" s="2778"/>
      <c r="B77" s="2779"/>
      <c r="C77" s="2779"/>
      <c r="D77" s="2784"/>
      <c r="E77" s="2785"/>
      <c r="F77" s="2778"/>
      <c r="G77" s="2779"/>
      <c r="H77" s="2779"/>
      <c r="I77" s="2784"/>
      <c r="J77" s="2785"/>
      <c r="K77" s="2778"/>
      <c r="L77" s="2779"/>
      <c r="M77" s="2779"/>
      <c r="N77" s="2784"/>
      <c r="O77" s="2785"/>
      <c r="P77" s="2778"/>
      <c r="Q77" s="2779"/>
      <c r="R77" s="2779"/>
      <c r="S77" s="2784"/>
      <c r="T77" s="2785"/>
      <c r="U77" s="2778"/>
      <c r="V77" s="2779"/>
      <c r="W77" s="2779"/>
      <c r="X77" s="2784"/>
      <c r="Y77" s="2785"/>
      <c r="Z77" s="2778"/>
      <c r="AA77" s="2779"/>
      <c r="AB77" s="2779"/>
      <c r="AC77" s="2784"/>
      <c r="AD77" s="2785"/>
      <c r="AE77" s="2778"/>
      <c r="AF77" s="2779"/>
      <c r="AG77" s="2779"/>
      <c r="AH77" s="2784"/>
      <c r="AI77" s="2785"/>
      <c r="AJ77" s="2778"/>
      <c r="AK77" s="2779"/>
      <c r="AL77" s="2779"/>
      <c r="AM77" s="2784"/>
      <c r="AN77" s="2785"/>
      <c r="AO77" s="2778"/>
      <c r="AP77" s="2779"/>
      <c r="AQ77" s="2779"/>
      <c r="AR77" s="2784"/>
      <c r="AS77" s="2785"/>
      <c r="AT77" s="2778"/>
      <c r="AU77" s="2779"/>
      <c r="AV77" s="2779"/>
      <c r="AW77" s="2784"/>
      <c r="AX77" s="2785"/>
      <c r="AY77" s="2778"/>
      <c r="AZ77" s="2779"/>
      <c r="BA77" s="2779"/>
      <c r="BB77" s="2784"/>
      <c r="BC77" s="2785"/>
      <c r="BD77" s="2778"/>
      <c r="BE77" s="2779"/>
      <c r="BF77" s="2779"/>
      <c r="BG77" s="2784"/>
      <c r="BH77" s="2785"/>
      <c r="BI77" s="2778"/>
      <c r="BJ77" s="2779"/>
      <c r="BK77" s="2779"/>
      <c r="BL77" s="2784"/>
      <c r="BM77" s="2785"/>
      <c r="BN77" s="2778"/>
      <c r="BO77" s="2779"/>
      <c r="BP77" s="2779"/>
      <c r="BQ77" s="2784"/>
      <c r="BR77" s="2785"/>
      <c r="BS77" s="2778"/>
      <c r="BT77" s="2779"/>
      <c r="BU77" s="2779"/>
      <c r="BV77" s="2784"/>
      <c r="BW77" s="2785"/>
      <c r="BX77" s="2778"/>
      <c r="BY77" s="2779"/>
      <c r="BZ77" s="2779"/>
      <c r="CA77" s="2784"/>
      <c r="CB77" s="2785"/>
    </row>
    <row r="78" spans="1:80" ht="111.75" customHeight="1" x14ac:dyDescent="0.25">
      <c r="A78" s="2790" t="s">
        <v>718</v>
      </c>
      <c r="B78" s="2845"/>
      <c r="C78" s="2846"/>
      <c r="D78" s="2846"/>
      <c r="E78" s="2847"/>
      <c r="F78" s="2790" t="s">
        <v>718</v>
      </c>
      <c r="G78" s="2845"/>
      <c r="H78" s="2846"/>
      <c r="I78" s="2846"/>
      <c r="J78" s="2847"/>
      <c r="K78" s="2790" t="s">
        <v>718</v>
      </c>
      <c r="L78" s="2845"/>
      <c r="M78" s="2846"/>
      <c r="N78" s="2846"/>
      <c r="O78" s="2847"/>
      <c r="P78" s="2790" t="s">
        <v>718</v>
      </c>
      <c r="Q78" s="2845"/>
      <c r="R78" s="2846"/>
      <c r="S78" s="2846"/>
      <c r="T78" s="2847"/>
      <c r="U78" s="2790" t="s">
        <v>718</v>
      </c>
      <c r="V78" s="2845"/>
      <c r="W78" s="2846"/>
      <c r="X78" s="2846"/>
      <c r="Y78" s="2847"/>
      <c r="Z78" s="2790" t="s">
        <v>718</v>
      </c>
      <c r="AA78" s="2845"/>
      <c r="AB78" s="2846"/>
      <c r="AC78" s="2846"/>
      <c r="AD78" s="2847"/>
      <c r="AE78" s="2790" t="s">
        <v>718</v>
      </c>
      <c r="AF78" s="2845"/>
      <c r="AG78" s="2846"/>
      <c r="AH78" s="2846"/>
      <c r="AI78" s="2847"/>
      <c r="AJ78" s="2790" t="s">
        <v>718</v>
      </c>
      <c r="AK78" s="2845"/>
      <c r="AL78" s="2846"/>
      <c r="AM78" s="2846"/>
      <c r="AN78" s="2847"/>
      <c r="AO78" s="2790" t="s">
        <v>718</v>
      </c>
      <c r="AP78" s="2845"/>
      <c r="AQ78" s="2846"/>
      <c r="AR78" s="2846"/>
      <c r="AS78" s="2847"/>
      <c r="AT78" s="2790" t="s">
        <v>718</v>
      </c>
      <c r="AU78" s="2845"/>
      <c r="AV78" s="2846"/>
      <c r="AW78" s="2846"/>
      <c r="AX78" s="2847"/>
      <c r="AY78" s="2790" t="s">
        <v>718</v>
      </c>
      <c r="AZ78" s="2845"/>
      <c r="BA78" s="2846"/>
      <c r="BB78" s="2846"/>
      <c r="BC78" s="2847"/>
      <c r="BD78" s="2790" t="s">
        <v>718</v>
      </c>
      <c r="BE78" s="2845"/>
      <c r="BF78" s="2846"/>
      <c r="BG78" s="2846"/>
      <c r="BH78" s="2847"/>
      <c r="BI78" s="2790" t="s">
        <v>718</v>
      </c>
      <c r="BJ78" s="2845"/>
      <c r="BK78" s="2846"/>
      <c r="BL78" s="2846"/>
      <c r="BM78" s="2847"/>
      <c r="BN78" s="2790" t="s">
        <v>718</v>
      </c>
      <c r="BO78" s="2845"/>
      <c r="BP78" s="2846"/>
      <c r="BQ78" s="2846"/>
      <c r="BR78" s="2847"/>
      <c r="BS78" s="2790" t="s">
        <v>718</v>
      </c>
      <c r="BT78" s="2845"/>
      <c r="BU78" s="2846"/>
      <c r="BV78" s="2846"/>
      <c r="BW78" s="2847"/>
      <c r="BX78" s="2790" t="s">
        <v>718</v>
      </c>
      <c r="BY78" s="2845"/>
      <c r="BZ78" s="2846"/>
      <c r="CA78" s="2846"/>
      <c r="CB78" s="2847"/>
    </row>
    <row r="79" spans="1:80" ht="50.25" customHeight="1" thickBot="1" x14ac:dyDescent="0.3">
      <c r="A79" s="2791"/>
      <c r="B79" s="518"/>
      <c r="C79" s="519" t="s">
        <v>113</v>
      </c>
      <c r="D79" s="520"/>
      <c r="E79" s="523" t="s">
        <v>114</v>
      </c>
      <c r="F79" s="2791"/>
      <c r="G79" s="518"/>
      <c r="H79" s="519" t="s">
        <v>113</v>
      </c>
      <c r="I79" s="520"/>
      <c r="J79" s="523" t="s">
        <v>114</v>
      </c>
      <c r="K79" s="2791"/>
      <c r="L79" s="518"/>
      <c r="M79" s="519" t="s">
        <v>113</v>
      </c>
      <c r="N79" s="520"/>
      <c r="O79" s="523" t="s">
        <v>114</v>
      </c>
      <c r="P79" s="2791"/>
      <c r="Q79" s="518"/>
      <c r="R79" s="519" t="s">
        <v>113</v>
      </c>
      <c r="S79" s="520"/>
      <c r="T79" s="523" t="s">
        <v>114</v>
      </c>
      <c r="U79" s="2791"/>
      <c r="V79" s="518"/>
      <c r="W79" s="519" t="s">
        <v>113</v>
      </c>
      <c r="X79" s="520"/>
      <c r="Y79" s="523" t="s">
        <v>114</v>
      </c>
      <c r="Z79" s="2791"/>
      <c r="AA79" s="518"/>
      <c r="AB79" s="519" t="s">
        <v>113</v>
      </c>
      <c r="AC79" s="520"/>
      <c r="AD79" s="523" t="s">
        <v>114</v>
      </c>
      <c r="AE79" s="2791"/>
      <c r="AF79" s="518"/>
      <c r="AG79" s="519" t="s">
        <v>113</v>
      </c>
      <c r="AH79" s="520"/>
      <c r="AI79" s="523" t="s">
        <v>114</v>
      </c>
      <c r="AJ79" s="2791"/>
      <c r="AK79" s="518"/>
      <c r="AL79" s="519" t="s">
        <v>113</v>
      </c>
      <c r="AM79" s="520"/>
      <c r="AN79" s="523" t="s">
        <v>114</v>
      </c>
      <c r="AO79" s="2791"/>
      <c r="AP79" s="518"/>
      <c r="AQ79" s="519" t="s">
        <v>113</v>
      </c>
      <c r="AR79" s="520"/>
      <c r="AS79" s="523" t="s">
        <v>114</v>
      </c>
      <c r="AT79" s="2791"/>
      <c r="AU79" s="518"/>
      <c r="AV79" s="519" t="s">
        <v>113</v>
      </c>
      <c r="AW79" s="520"/>
      <c r="AX79" s="523" t="s">
        <v>114</v>
      </c>
      <c r="AY79" s="2791"/>
      <c r="AZ79" s="518"/>
      <c r="BA79" s="519" t="s">
        <v>113</v>
      </c>
      <c r="BB79" s="520"/>
      <c r="BC79" s="523" t="s">
        <v>114</v>
      </c>
      <c r="BD79" s="2791"/>
      <c r="BE79" s="518"/>
      <c r="BF79" s="519" t="s">
        <v>113</v>
      </c>
      <c r="BG79" s="520"/>
      <c r="BH79" s="523" t="s">
        <v>114</v>
      </c>
      <c r="BI79" s="2791"/>
      <c r="BJ79" s="518"/>
      <c r="BK79" s="519" t="s">
        <v>113</v>
      </c>
      <c r="BL79" s="520"/>
      <c r="BM79" s="523" t="s">
        <v>114</v>
      </c>
      <c r="BN79" s="2791"/>
      <c r="BO79" s="518"/>
      <c r="BP79" s="519" t="s">
        <v>113</v>
      </c>
      <c r="BQ79" s="520"/>
      <c r="BR79" s="523" t="s">
        <v>114</v>
      </c>
      <c r="BS79" s="2791"/>
      <c r="BT79" s="518"/>
      <c r="BU79" s="519" t="s">
        <v>113</v>
      </c>
      <c r="BV79" s="520"/>
      <c r="BW79" s="523" t="s">
        <v>114</v>
      </c>
      <c r="BX79" s="2791"/>
      <c r="BY79" s="518"/>
      <c r="BZ79" s="519" t="s">
        <v>113</v>
      </c>
      <c r="CA79" s="520"/>
      <c r="CB79" s="523" t="s">
        <v>114</v>
      </c>
    </row>
    <row r="80" spans="1:80" ht="57" customHeight="1" thickTop="1" x14ac:dyDescent="0.25">
      <c r="A80" s="2786" t="s">
        <v>110</v>
      </c>
      <c r="B80" s="2787"/>
      <c r="C80" s="2788">
        <f t="shared" ref="C80" si="185">B85/((36*3.1415/59)*(64/3.281))</f>
        <v>0</v>
      </c>
      <c r="D80" s="2788"/>
      <c r="E80" s="2789"/>
      <c r="F80" s="2786" t="s">
        <v>110</v>
      </c>
      <c r="G80" s="2787"/>
      <c r="H80" s="2788">
        <f t="shared" ref="H80" si="186">G85/((36*3.1415/59)*(64/3.281))</f>
        <v>0</v>
      </c>
      <c r="I80" s="2788"/>
      <c r="J80" s="2789"/>
      <c r="K80" s="2786" t="s">
        <v>110</v>
      </c>
      <c r="L80" s="2787"/>
      <c r="M80" s="2788">
        <f t="shared" ref="M80" si="187">L85/((36*3.1415/59)*(64/3.281))</f>
        <v>0</v>
      </c>
      <c r="N80" s="2788"/>
      <c r="O80" s="2789"/>
      <c r="P80" s="2786" t="s">
        <v>110</v>
      </c>
      <c r="Q80" s="2787"/>
      <c r="R80" s="2788">
        <f t="shared" ref="R80" si="188">Q85/((36*3.1415/59)*(64/3.281))</f>
        <v>0</v>
      </c>
      <c r="S80" s="2788"/>
      <c r="T80" s="2789"/>
      <c r="U80" s="2786" t="s">
        <v>110</v>
      </c>
      <c r="V80" s="2787"/>
      <c r="W80" s="2788">
        <f t="shared" ref="W80" si="189">V85/((36*3.1415/59)*(64/3.281))</f>
        <v>0</v>
      </c>
      <c r="X80" s="2788"/>
      <c r="Y80" s="2789"/>
      <c r="Z80" s="2786" t="s">
        <v>110</v>
      </c>
      <c r="AA80" s="2787"/>
      <c r="AB80" s="2788">
        <f t="shared" ref="AB80" si="190">AA85/((36*3.1415/59)*(64/3.281))</f>
        <v>0</v>
      </c>
      <c r="AC80" s="2788"/>
      <c r="AD80" s="2789"/>
      <c r="AE80" s="2786" t="s">
        <v>110</v>
      </c>
      <c r="AF80" s="2787"/>
      <c r="AG80" s="2788">
        <f t="shared" ref="AG80" si="191">AF85/((36*3.1415/59)*(64/3.281))</f>
        <v>0</v>
      </c>
      <c r="AH80" s="2788"/>
      <c r="AI80" s="2789"/>
      <c r="AJ80" s="2786" t="s">
        <v>110</v>
      </c>
      <c r="AK80" s="2787"/>
      <c r="AL80" s="2788">
        <f t="shared" ref="AL80" si="192">AK85/((36*3.1415/59)*(64/3.281))</f>
        <v>0</v>
      </c>
      <c r="AM80" s="2788"/>
      <c r="AN80" s="2789"/>
      <c r="AO80" s="2786" t="s">
        <v>110</v>
      </c>
      <c r="AP80" s="2787"/>
      <c r="AQ80" s="2788">
        <f t="shared" ref="AQ80" si="193">AP85/((36*3.1415/59)*(64/3.281))</f>
        <v>0</v>
      </c>
      <c r="AR80" s="2788"/>
      <c r="AS80" s="2789"/>
      <c r="AT80" s="2786" t="s">
        <v>110</v>
      </c>
      <c r="AU80" s="2787"/>
      <c r="AV80" s="2788">
        <f t="shared" ref="AV80" si="194">AU85/((36*3.1415/59)*(64/3.281))</f>
        <v>0</v>
      </c>
      <c r="AW80" s="2788"/>
      <c r="AX80" s="2789"/>
      <c r="AY80" s="2786" t="s">
        <v>110</v>
      </c>
      <c r="AZ80" s="2787"/>
      <c r="BA80" s="2788">
        <f t="shared" ref="BA80" si="195">AZ85/((36*3.1415/59)*(64/3.281))</f>
        <v>0</v>
      </c>
      <c r="BB80" s="2788"/>
      <c r="BC80" s="2789"/>
      <c r="BD80" s="2786" t="s">
        <v>110</v>
      </c>
      <c r="BE80" s="2787"/>
      <c r="BF80" s="2788">
        <f t="shared" ref="BF80" si="196">BE85/((36*3.1415/59)*(64/3.281))</f>
        <v>0</v>
      </c>
      <c r="BG80" s="2788"/>
      <c r="BH80" s="2789"/>
      <c r="BI80" s="2786" t="s">
        <v>110</v>
      </c>
      <c r="BJ80" s="2787"/>
      <c r="BK80" s="2788">
        <f t="shared" ref="BK80" si="197">BJ85/((36*3.1415/59)*(64/3.281))</f>
        <v>0</v>
      </c>
      <c r="BL80" s="2788"/>
      <c r="BM80" s="2789"/>
      <c r="BN80" s="2786" t="s">
        <v>110</v>
      </c>
      <c r="BO80" s="2787"/>
      <c r="BP80" s="2788">
        <f t="shared" ref="BP80" si="198">BO85/((36*3.1415/59)*(64/3.281))</f>
        <v>0</v>
      </c>
      <c r="BQ80" s="2788"/>
      <c r="BR80" s="2789"/>
      <c r="BS80" s="2924" t="s">
        <v>110</v>
      </c>
      <c r="BT80" s="2925"/>
      <c r="BU80" s="2926">
        <f>BT85/((36*3.1415/59)*(65/3.281))</f>
        <v>0</v>
      </c>
      <c r="BV80" s="2926"/>
      <c r="BW80" s="2927"/>
      <c r="BX80" s="2862" t="s">
        <v>110</v>
      </c>
      <c r="BY80" s="2863"/>
      <c r="BZ80" s="2864">
        <f>BY85/((36*3.1415/59)*(66/3.281))</f>
        <v>1.6468288514086698E-2</v>
      </c>
      <c r="CA80" s="2864"/>
      <c r="CB80" s="2865"/>
    </row>
    <row r="81" spans="1:93" ht="11.25" customHeight="1" x14ac:dyDescent="0.25">
      <c r="A81" s="2774" t="s">
        <v>25</v>
      </c>
      <c r="B81" s="2775"/>
      <c r="C81" s="2775"/>
      <c r="D81" s="2780" t="s">
        <v>706</v>
      </c>
      <c r="E81" s="2781"/>
      <c r="F81" s="2774" t="s">
        <v>25</v>
      </c>
      <c r="G81" s="2775"/>
      <c r="H81" s="2775"/>
      <c r="I81" s="2780" t="s">
        <v>706</v>
      </c>
      <c r="J81" s="2781"/>
      <c r="K81" s="2774" t="s">
        <v>25</v>
      </c>
      <c r="L81" s="2775"/>
      <c r="M81" s="2775"/>
      <c r="N81" s="2780" t="s">
        <v>706</v>
      </c>
      <c r="O81" s="2781"/>
      <c r="P81" s="2774" t="s">
        <v>25</v>
      </c>
      <c r="Q81" s="2775"/>
      <c r="R81" s="2775"/>
      <c r="S81" s="2780" t="s">
        <v>706</v>
      </c>
      <c r="T81" s="2781"/>
      <c r="U81" s="2774" t="s">
        <v>25</v>
      </c>
      <c r="V81" s="2775"/>
      <c r="W81" s="2775"/>
      <c r="X81" s="2780" t="s">
        <v>706</v>
      </c>
      <c r="Y81" s="2781"/>
      <c r="Z81" s="2774" t="s">
        <v>25</v>
      </c>
      <c r="AA81" s="2775"/>
      <c r="AB81" s="2775"/>
      <c r="AC81" s="2780" t="s">
        <v>706</v>
      </c>
      <c r="AD81" s="2781"/>
      <c r="AE81" s="2774" t="s">
        <v>25</v>
      </c>
      <c r="AF81" s="2775"/>
      <c r="AG81" s="2775"/>
      <c r="AH81" s="2780" t="s">
        <v>706</v>
      </c>
      <c r="AI81" s="2781"/>
      <c r="AJ81" s="2774" t="s">
        <v>25</v>
      </c>
      <c r="AK81" s="2775"/>
      <c r="AL81" s="2775"/>
      <c r="AM81" s="2780" t="s">
        <v>706</v>
      </c>
      <c r="AN81" s="2781"/>
      <c r="AO81" s="2774" t="s">
        <v>25</v>
      </c>
      <c r="AP81" s="2775"/>
      <c r="AQ81" s="2775"/>
      <c r="AR81" s="2780" t="s">
        <v>706</v>
      </c>
      <c r="AS81" s="2781"/>
      <c r="AT81" s="2774" t="s">
        <v>25</v>
      </c>
      <c r="AU81" s="2775"/>
      <c r="AV81" s="2775"/>
      <c r="AW81" s="2780" t="s">
        <v>706</v>
      </c>
      <c r="AX81" s="2781"/>
      <c r="AY81" s="2774" t="s">
        <v>25</v>
      </c>
      <c r="AZ81" s="2775"/>
      <c r="BA81" s="2775"/>
      <c r="BB81" s="2780" t="s">
        <v>706</v>
      </c>
      <c r="BC81" s="2781"/>
      <c r="BD81" s="2774" t="s">
        <v>25</v>
      </c>
      <c r="BE81" s="2775"/>
      <c r="BF81" s="2775"/>
      <c r="BG81" s="2780" t="s">
        <v>706</v>
      </c>
      <c r="BH81" s="2781"/>
      <c r="BI81" s="2774" t="s">
        <v>25</v>
      </c>
      <c r="BJ81" s="2775"/>
      <c r="BK81" s="2775"/>
      <c r="BL81" s="2780" t="s">
        <v>706</v>
      </c>
      <c r="BM81" s="2781"/>
      <c r="BN81" s="2774" t="s">
        <v>25</v>
      </c>
      <c r="BO81" s="2775"/>
      <c r="BP81" s="2775"/>
      <c r="BQ81" s="2780" t="s">
        <v>706</v>
      </c>
      <c r="BR81" s="2781"/>
      <c r="BS81" s="2918" t="s">
        <v>25</v>
      </c>
      <c r="BT81" s="2919"/>
      <c r="BU81" s="2919"/>
      <c r="BV81" s="2912" t="s">
        <v>706</v>
      </c>
      <c r="BW81" s="2913"/>
      <c r="BX81" s="2850" t="s">
        <v>25</v>
      </c>
      <c r="BY81" s="2851"/>
      <c r="BZ81" s="2851"/>
      <c r="CA81" s="2856" t="s">
        <v>706</v>
      </c>
      <c r="CB81" s="2857"/>
    </row>
    <row r="82" spans="1:93" ht="11.25" customHeight="1" x14ac:dyDescent="0.25">
      <c r="A82" s="2776"/>
      <c r="B82" s="2777"/>
      <c r="C82" s="2777"/>
      <c r="D82" s="2782"/>
      <c r="E82" s="2783"/>
      <c r="F82" s="2776"/>
      <c r="G82" s="2777"/>
      <c r="H82" s="2777"/>
      <c r="I82" s="2782"/>
      <c r="J82" s="2783"/>
      <c r="K82" s="2776"/>
      <c r="L82" s="2777"/>
      <c r="M82" s="2777"/>
      <c r="N82" s="2782"/>
      <c r="O82" s="2783"/>
      <c r="P82" s="2776"/>
      <c r="Q82" s="2777"/>
      <c r="R82" s="2777"/>
      <c r="S82" s="2782"/>
      <c r="T82" s="2783"/>
      <c r="U82" s="2776"/>
      <c r="V82" s="2777"/>
      <c r="W82" s="2777"/>
      <c r="X82" s="2782"/>
      <c r="Y82" s="2783"/>
      <c r="Z82" s="2776"/>
      <c r="AA82" s="2777"/>
      <c r="AB82" s="2777"/>
      <c r="AC82" s="2782"/>
      <c r="AD82" s="2783"/>
      <c r="AE82" s="2776"/>
      <c r="AF82" s="2777"/>
      <c r="AG82" s="2777"/>
      <c r="AH82" s="2782"/>
      <c r="AI82" s="2783"/>
      <c r="AJ82" s="2776"/>
      <c r="AK82" s="2777"/>
      <c r="AL82" s="2777"/>
      <c r="AM82" s="2782"/>
      <c r="AN82" s="2783"/>
      <c r="AO82" s="2776"/>
      <c r="AP82" s="2777"/>
      <c r="AQ82" s="2777"/>
      <c r="AR82" s="2782"/>
      <c r="AS82" s="2783"/>
      <c r="AT82" s="2776"/>
      <c r="AU82" s="2777"/>
      <c r="AV82" s="2777"/>
      <c r="AW82" s="2782"/>
      <c r="AX82" s="2783"/>
      <c r="AY82" s="2776"/>
      <c r="AZ82" s="2777"/>
      <c r="BA82" s="2777"/>
      <c r="BB82" s="2782"/>
      <c r="BC82" s="2783"/>
      <c r="BD82" s="2776"/>
      <c r="BE82" s="2777"/>
      <c r="BF82" s="2777"/>
      <c r="BG82" s="2782"/>
      <c r="BH82" s="2783"/>
      <c r="BI82" s="2776"/>
      <c r="BJ82" s="2777"/>
      <c r="BK82" s="2777"/>
      <c r="BL82" s="2782"/>
      <c r="BM82" s="2783"/>
      <c r="BN82" s="2776"/>
      <c r="BO82" s="2777"/>
      <c r="BP82" s="2777"/>
      <c r="BQ82" s="2782"/>
      <c r="BR82" s="2783"/>
      <c r="BS82" s="2920"/>
      <c r="BT82" s="2921"/>
      <c r="BU82" s="2921"/>
      <c r="BV82" s="2914"/>
      <c r="BW82" s="2915"/>
      <c r="BX82" s="2852"/>
      <c r="BY82" s="2853"/>
      <c r="BZ82" s="2853"/>
      <c r="CA82" s="2858"/>
      <c r="CB82" s="2859"/>
    </row>
    <row r="83" spans="1:93" ht="11.25" customHeight="1" x14ac:dyDescent="0.25">
      <c r="A83" s="2778"/>
      <c r="B83" s="2779"/>
      <c r="C83" s="2779"/>
      <c r="D83" s="2784"/>
      <c r="E83" s="2785"/>
      <c r="F83" s="2778"/>
      <c r="G83" s="2779"/>
      <c r="H83" s="2779"/>
      <c r="I83" s="2784"/>
      <c r="J83" s="2785"/>
      <c r="K83" s="2778"/>
      <c r="L83" s="2779"/>
      <c r="M83" s="2779"/>
      <c r="N83" s="2784"/>
      <c r="O83" s="2785"/>
      <c r="P83" s="2778"/>
      <c r="Q83" s="2779"/>
      <c r="R83" s="2779"/>
      <c r="S83" s="2784"/>
      <c r="T83" s="2785"/>
      <c r="U83" s="2778"/>
      <c r="V83" s="2779"/>
      <c r="W83" s="2779"/>
      <c r="X83" s="2784"/>
      <c r="Y83" s="2785"/>
      <c r="Z83" s="2778"/>
      <c r="AA83" s="2779"/>
      <c r="AB83" s="2779"/>
      <c r="AC83" s="2784"/>
      <c r="AD83" s="2785"/>
      <c r="AE83" s="2778"/>
      <c r="AF83" s="2779"/>
      <c r="AG83" s="2779"/>
      <c r="AH83" s="2784"/>
      <c r="AI83" s="2785"/>
      <c r="AJ83" s="2778"/>
      <c r="AK83" s="2779"/>
      <c r="AL83" s="2779"/>
      <c r="AM83" s="2784"/>
      <c r="AN83" s="2785"/>
      <c r="AO83" s="2778"/>
      <c r="AP83" s="2779"/>
      <c r="AQ83" s="2779"/>
      <c r="AR83" s="2784"/>
      <c r="AS83" s="2785"/>
      <c r="AT83" s="2778"/>
      <c r="AU83" s="2779"/>
      <c r="AV83" s="2779"/>
      <c r="AW83" s="2784"/>
      <c r="AX83" s="2785"/>
      <c r="AY83" s="2778"/>
      <c r="AZ83" s="2779"/>
      <c r="BA83" s="2779"/>
      <c r="BB83" s="2784"/>
      <c r="BC83" s="2785"/>
      <c r="BD83" s="2778"/>
      <c r="BE83" s="2779"/>
      <c r="BF83" s="2779"/>
      <c r="BG83" s="2784"/>
      <c r="BH83" s="2785"/>
      <c r="BI83" s="2778"/>
      <c r="BJ83" s="2779"/>
      <c r="BK83" s="2779"/>
      <c r="BL83" s="2784"/>
      <c r="BM83" s="2785"/>
      <c r="BN83" s="2778"/>
      <c r="BO83" s="2779"/>
      <c r="BP83" s="2779"/>
      <c r="BQ83" s="2784"/>
      <c r="BR83" s="2785"/>
      <c r="BS83" s="2922"/>
      <c r="BT83" s="2923"/>
      <c r="BU83" s="2923"/>
      <c r="BV83" s="2916"/>
      <c r="BW83" s="2917"/>
      <c r="BX83" s="2854"/>
      <c r="BY83" s="2855"/>
      <c r="BZ83" s="2855"/>
      <c r="CA83" s="2860"/>
      <c r="CB83" s="2861"/>
    </row>
    <row r="84" spans="1:93" s="535" customFormat="1" ht="111.75" customHeight="1" x14ac:dyDescent="1.35">
      <c r="A84" s="2790" t="s">
        <v>718</v>
      </c>
      <c r="B84" s="2681"/>
      <c r="C84" s="2682"/>
      <c r="D84" s="2682"/>
      <c r="E84" s="2683"/>
      <c r="F84" s="2790" t="s">
        <v>718</v>
      </c>
      <c r="G84" s="2681"/>
      <c r="H84" s="2682"/>
      <c r="I84" s="2682"/>
      <c r="J84" s="2683"/>
      <c r="K84" s="2790" t="s">
        <v>718</v>
      </c>
      <c r="L84" s="2681"/>
      <c r="M84" s="2682"/>
      <c r="N84" s="2682"/>
      <c r="O84" s="2683"/>
      <c r="P84" s="2790" t="s">
        <v>718</v>
      </c>
      <c r="Q84" s="2681"/>
      <c r="R84" s="2682"/>
      <c r="S84" s="2682"/>
      <c r="T84" s="2683"/>
      <c r="U84" s="2790" t="s">
        <v>718</v>
      </c>
      <c r="V84" s="2681"/>
      <c r="W84" s="2682"/>
      <c r="X84" s="2682"/>
      <c r="Y84" s="2683"/>
      <c r="Z84" s="2790" t="s">
        <v>718</v>
      </c>
      <c r="AA84" s="2681"/>
      <c r="AB84" s="2682"/>
      <c r="AC84" s="2682"/>
      <c r="AD84" s="2683"/>
      <c r="AE84" s="2790" t="s">
        <v>718</v>
      </c>
      <c r="AF84" s="2681"/>
      <c r="AG84" s="2682"/>
      <c r="AH84" s="2682"/>
      <c r="AI84" s="2683"/>
      <c r="AJ84" s="2790" t="s">
        <v>718</v>
      </c>
      <c r="AK84" s="2681"/>
      <c r="AL84" s="2682"/>
      <c r="AM84" s="2682"/>
      <c r="AN84" s="2683"/>
      <c r="AO84" s="2790" t="s">
        <v>718</v>
      </c>
      <c r="AP84" s="2681"/>
      <c r="AQ84" s="2682"/>
      <c r="AR84" s="2682"/>
      <c r="AS84" s="2683"/>
      <c r="AT84" s="2790" t="s">
        <v>718</v>
      </c>
      <c r="AU84" s="2681"/>
      <c r="AV84" s="2682"/>
      <c r="AW84" s="2682"/>
      <c r="AX84" s="2683"/>
      <c r="AY84" s="2790" t="s">
        <v>718</v>
      </c>
      <c r="AZ84" s="2681"/>
      <c r="BA84" s="2682"/>
      <c r="BB84" s="2682"/>
      <c r="BC84" s="2683"/>
      <c r="BD84" s="2790" t="s">
        <v>718</v>
      </c>
      <c r="BE84" s="2681"/>
      <c r="BF84" s="2682"/>
      <c r="BG84" s="2682"/>
      <c r="BH84" s="2683"/>
      <c r="BI84" s="2790" t="s">
        <v>718</v>
      </c>
      <c r="BJ84" s="2681"/>
      <c r="BK84" s="2682"/>
      <c r="BL84" s="2682"/>
      <c r="BM84" s="2683"/>
      <c r="BN84" s="2790" t="s">
        <v>718</v>
      </c>
      <c r="BO84" s="2681"/>
      <c r="BP84" s="2682"/>
      <c r="BQ84" s="2682"/>
      <c r="BR84" s="2683"/>
      <c r="BS84" s="3046" t="s">
        <v>165</v>
      </c>
      <c r="BT84" s="2681">
        <v>358</v>
      </c>
      <c r="BU84" s="2682"/>
      <c r="BV84" s="2682"/>
      <c r="BW84" s="2683"/>
      <c r="BX84" s="3044" t="s">
        <v>719</v>
      </c>
      <c r="BY84" s="2828">
        <v>200</v>
      </c>
      <c r="BZ84" s="2829"/>
      <c r="CA84" s="2829"/>
      <c r="CB84" s="2830"/>
    </row>
    <row r="85" spans="1:93" ht="50.25" customHeight="1" thickBot="1" x14ac:dyDescent="0.3">
      <c r="A85" s="2791"/>
      <c r="B85" s="518"/>
      <c r="C85" s="519" t="s">
        <v>113</v>
      </c>
      <c r="D85" s="520"/>
      <c r="E85" s="523" t="s">
        <v>114</v>
      </c>
      <c r="F85" s="2791"/>
      <c r="G85" s="518"/>
      <c r="H85" s="519" t="s">
        <v>113</v>
      </c>
      <c r="I85" s="520"/>
      <c r="J85" s="523" t="s">
        <v>114</v>
      </c>
      <c r="K85" s="2791"/>
      <c r="L85" s="518"/>
      <c r="M85" s="519" t="s">
        <v>113</v>
      </c>
      <c r="N85" s="520"/>
      <c r="O85" s="523" t="s">
        <v>114</v>
      </c>
      <c r="P85" s="2791"/>
      <c r="Q85" s="518"/>
      <c r="R85" s="519" t="s">
        <v>113</v>
      </c>
      <c r="S85" s="520"/>
      <c r="T85" s="523" t="s">
        <v>114</v>
      </c>
      <c r="U85" s="2791"/>
      <c r="V85" s="518"/>
      <c r="W85" s="519" t="s">
        <v>113</v>
      </c>
      <c r="X85" s="520"/>
      <c r="Y85" s="523" t="s">
        <v>114</v>
      </c>
      <c r="Z85" s="2791"/>
      <c r="AA85" s="518"/>
      <c r="AB85" s="519" t="s">
        <v>113</v>
      </c>
      <c r="AC85" s="520"/>
      <c r="AD85" s="523" t="s">
        <v>114</v>
      </c>
      <c r="AE85" s="2791"/>
      <c r="AF85" s="518"/>
      <c r="AG85" s="519" t="s">
        <v>113</v>
      </c>
      <c r="AH85" s="520"/>
      <c r="AI85" s="523" t="s">
        <v>114</v>
      </c>
      <c r="AJ85" s="2791"/>
      <c r="AK85" s="518"/>
      <c r="AL85" s="519" t="s">
        <v>113</v>
      </c>
      <c r="AM85" s="520"/>
      <c r="AN85" s="523" t="s">
        <v>114</v>
      </c>
      <c r="AO85" s="2791"/>
      <c r="AP85" s="518"/>
      <c r="AQ85" s="519" t="s">
        <v>113</v>
      </c>
      <c r="AR85" s="520"/>
      <c r="AS85" s="523" t="s">
        <v>114</v>
      </c>
      <c r="AT85" s="2791"/>
      <c r="AU85" s="518"/>
      <c r="AV85" s="519" t="s">
        <v>113</v>
      </c>
      <c r="AW85" s="520"/>
      <c r="AX85" s="523" t="s">
        <v>114</v>
      </c>
      <c r="AY85" s="2791"/>
      <c r="AZ85" s="518"/>
      <c r="BA85" s="519" t="s">
        <v>113</v>
      </c>
      <c r="BB85" s="520"/>
      <c r="BC85" s="523" t="s">
        <v>114</v>
      </c>
      <c r="BD85" s="2791"/>
      <c r="BE85" s="518"/>
      <c r="BF85" s="519" t="s">
        <v>113</v>
      </c>
      <c r="BG85" s="520"/>
      <c r="BH85" s="523" t="s">
        <v>114</v>
      </c>
      <c r="BI85" s="2791"/>
      <c r="BJ85" s="518"/>
      <c r="BK85" s="519" t="s">
        <v>113</v>
      </c>
      <c r="BL85" s="520"/>
      <c r="BM85" s="523" t="s">
        <v>114</v>
      </c>
      <c r="BN85" s="2791"/>
      <c r="BO85" s="518"/>
      <c r="BP85" s="519" t="s">
        <v>113</v>
      </c>
      <c r="BQ85" s="520"/>
      <c r="BR85" s="523" t="s">
        <v>114</v>
      </c>
      <c r="BS85" s="3047"/>
      <c r="BT85" s="518"/>
      <c r="BU85" s="519" t="s">
        <v>113</v>
      </c>
      <c r="BV85" s="520"/>
      <c r="BW85" s="523" t="s">
        <v>114</v>
      </c>
      <c r="BX85" s="3045"/>
      <c r="BY85" s="518">
        <v>0.63500000000000001</v>
      </c>
      <c r="BZ85" s="519" t="s">
        <v>113</v>
      </c>
      <c r="CA85" s="520"/>
      <c r="CB85" s="523" t="s">
        <v>114</v>
      </c>
    </row>
    <row r="86" spans="1:93" ht="57" customHeight="1" thickTop="1" x14ac:dyDescent="0.25">
      <c r="A86" s="2862" t="s">
        <v>110</v>
      </c>
      <c r="B86" s="2863"/>
      <c r="C86" s="2864">
        <f>B91/((36*3.1415/59)*(66/3.281))</f>
        <v>0</v>
      </c>
      <c r="D86" s="2864"/>
      <c r="E86" s="2865"/>
      <c r="F86" s="2866" t="s">
        <v>110</v>
      </c>
      <c r="G86" s="2867"/>
      <c r="H86" s="2868">
        <f>G91/((36*3.1415/59)*(67/3.281))</f>
        <v>0</v>
      </c>
      <c r="I86" s="2868"/>
      <c r="J86" s="2869"/>
      <c r="K86" s="2866" t="s">
        <v>110</v>
      </c>
      <c r="L86" s="2867"/>
      <c r="M86" s="2868">
        <f t="shared" ref="M86" si="199">L91/((36*3.1415/59)*(67/3.281))</f>
        <v>0</v>
      </c>
      <c r="N86" s="2868"/>
      <c r="O86" s="2869"/>
      <c r="P86" s="2866" t="s">
        <v>110</v>
      </c>
      <c r="Q86" s="2867"/>
      <c r="R86" s="2868">
        <f t="shared" ref="R86" si="200">Q91/((36*3.1415/59)*(67/3.281))</f>
        <v>0</v>
      </c>
      <c r="S86" s="2868"/>
      <c r="T86" s="2869"/>
      <c r="U86" s="2866" t="s">
        <v>110</v>
      </c>
      <c r="V86" s="2867"/>
      <c r="W86" s="2868">
        <f t="shared" ref="W86" si="201">V91/((36*3.1415/59)*(67/3.281))</f>
        <v>0</v>
      </c>
      <c r="X86" s="2868"/>
      <c r="Y86" s="2869"/>
      <c r="Z86" s="2866" t="s">
        <v>110</v>
      </c>
      <c r="AA86" s="2867"/>
      <c r="AB86" s="2868">
        <f t="shared" ref="AB86" si="202">AA91/((36*3.1415/59)*(67/3.281))</f>
        <v>0</v>
      </c>
      <c r="AC86" s="2868"/>
      <c r="AD86" s="2869"/>
      <c r="AE86" s="2843" t="s">
        <v>110</v>
      </c>
      <c r="AF86" s="2844"/>
      <c r="AG86" s="2514">
        <f>AF91/((36*3.1415/59)*(68/3.281))</f>
        <v>0</v>
      </c>
      <c r="AH86" s="2514"/>
      <c r="AI86" s="2515"/>
      <c r="AJ86" s="2843" t="s">
        <v>110</v>
      </c>
      <c r="AK86" s="2844"/>
      <c r="AL86" s="2514">
        <f t="shared" ref="AL86" si="203">AK91/((36*3.1415/59)*(68/3.281))</f>
        <v>0</v>
      </c>
      <c r="AM86" s="2514"/>
      <c r="AN86" s="2515"/>
      <c r="AO86" s="2843" t="s">
        <v>110</v>
      </c>
      <c r="AP86" s="2844"/>
      <c r="AQ86" s="2514">
        <f t="shared" ref="AQ86" si="204">AP91/((36*3.1415/59)*(68/3.281))</f>
        <v>0</v>
      </c>
      <c r="AR86" s="2514"/>
      <c r="AS86" s="2515"/>
      <c r="AT86" s="2843" t="s">
        <v>110</v>
      </c>
      <c r="AU86" s="2844"/>
      <c r="AV86" s="2514">
        <f t="shared" ref="AV86" si="205">AU91/((36*3.1415/59)*(68/3.281))</f>
        <v>0</v>
      </c>
      <c r="AW86" s="2514"/>
      <c r="AX86" s="2515"/>
      <c r="AY86" s="2843" t="s">
        <v>110</v>
      </c>
      <c r="AZ86" s="2844"/>
      <c r="BA86" s="2514">
        <f t="shared" ref="BA86" si="206">AZ91/((36*3.1415/59)*(68/3.281))</f>
        <v>0</v>
      </c>
      <c r="BB86" s="2514"/>
      <c r="BC86" s="2515"/>
      <c r="BD86" s="2843" t="s">
        <v>110</v>
      </c>
      <c r="BE86" s="2844"/>
      <c r="BF86" s="2514">
        <f t="shared" ref="BF86" si="207">BE91/((36*3.1415/59)*(68/3.281))</f>
        <v>0</v>
      </c>
      <c r="BG86" s="2514"/>
      <c r="BH86" s="2515"/>
      <c r="BI86" s="2843" t="s">
        <v>110</v>
      </c>
      <c r="BJ86" s="2844"/>
      <c r="BK86" s="2514">
        <f t="shared" ref="BK86" si="208">BJ91/((36*3.1415/59)*(68/3.281))</f>
        <v>2.5171538720002826E-14</v>
      </c>
      <c r="BL86" s="2514"/>
      <c r="BM86" s="2515"/>
      <c r="BN86" s="2843" t="s">
        <v>110</v>
      </c>
      <c r="BO86" s="2844"/>
      <c r="BP86" s="2514">
        <f t="shared" ref="BP86" si="209">BO91/((36*3.1415/59)*(68/3.281))</f>
        <v>2.5171538720002829E-10</v>
      </c>
      <c r="BQ86" s="2514"/>
      <c r="BR86" s="2515"/>
      <c r="BS86" s="2843" t="s">
        <v>110</v>
      </c>
      <c r="BT86" s="2844"/>
      <c r="BU86" s="2514">
        <f t="shared" ref="BU86" si="210">BT91/((36*3.1415/59)*(68/3.281))</f>
        <v>0</v>
      </c>
      <c r="BV86" s="2514"/>
      <c r="BW86" s="2515"/>
      <c r="BX86" s="2843" t="s">
        <v>110</v>
      </c>
      <c r="BY86" s="2844"/>
      <c r="BZ86" s="2514">
        <f t="shared" ref="BZ86" si="211">BY91/((36*3.1415/59)*(68/3.281))</f>
        <v>0</v>
      </c>
      <c r="CA86" s="2514"/>
      <c r="CB86" s="2515"/>
    </row>
    <row r="87" spans="1:93" ht="11.25" customHeight="1" x14ac:dyDescent="0.25">
      <c r="A87" s="2850" t="s">
        <v>25</v>
      </c>
      <c r="B87" s="2851"/>
      <c r="C87" s="2851"/>
      <c r="D87" s="2856" t="s">
        <v>706</v>
      </c>
      <c r="E87" s="2857"/>
      <c r="F87" s="2758" t="s">
        <v>25</v>
      </c>
      <c r="G87" s="2759"/>
      <c r="H87" s="2759"/>
      <c r="I87" s="2764" t="s">
        <v>706</v>
      </c>
      <c r="J87" s="2765"/>
      <c r="K87" s="2758" t="s">
        <v>25</v>
      </c>
      <c r="L87" s="2759"/>
      <c r="M87" s="2759"/>
      <c r="N87" s="2764" t="s">
        <v>706</v>
      </c>
      <c r="O87" s="2765"/>
      <c r="P87" s="2758" t="s">
        <v>25</v>
      </c>
      <c r="Q87" s="2759"/>
      <c r="R87" s="2759"/>
      <c r="S87" s="2764" t="s">
        <v>706</v>
      </c>
      <c r="T87" s="2765"/>
      <c r="U87" s="2758" t="s">
        <v>25</v>
      </c>
      <c r="V87" s="2759"/>
      <c r="W87" s="2759"/>
      <c r="X87" s="2764" t="s">
        <v>706</v>
      </c>
      <c r="Y87" s="2765"/>
      <c r="Z87" s="2758" t="s">
        <v>25</v>
      </c>
      <c r="AA87" s="2759"/>
      <c r="AB87" s="2759"/>
      <c r="AC87" s="2764" t="s">
        <v>706</v>
      </c>
      <c r="AD87" s="2765"/>
      <c r="AE87" s="2831" t="s">
        <v>25</v>
      </c>
      <c r="AF87" s="2832"/>
      <c r="AG87" s="2832"/>
      <c r="AH87" s="2837" t="s">
        <v>706</v>
      </c>
      <c r="AI87" s="2838"/>
      <c r="AJ87" s="2831" t="s">
        <v>25</v>
      </c>
      <c r="AK87" s="2832"/>
      <c r="AL87" s="2832"/>
      <c r="AM87" s="2837" t="s">
        <v>706</v>
      </c>
      <c r="AN87" s="2838"/>
      <c r="AO87" s="2831" t="s">
        <v>25</v>
      </c>
      <c r="AP87" s="2832"/>
      <c r="AQ87" s="2832"/>
      <c r="AR87" s="2837" t="s">
        <v>706</v>
      </c>
      <c r="AS87" s="2838"/>
      <c r="AT87" s="2831" t="s">
        <v>25</v>
      </c>
      <c r="AU87" s="2832"/>
      <c r="AV87" s="2832"/>
      <c r="AW87" s="2837" t="s">
        <v>706</v>
      </c>
      <c r="AX87" s="2838"/>
      <c r="AY87" s="2831" t="s">
        <v>25</v>
      </c>
      <c r="AZ87" s="2832"/>
      <c r="BA87" s="2832"/>
      <c r="BB87" s="2837" t="s">
        <v>706</v>
      </c>
      <c r="BC87" s="2838"/>
      <c r="BD87" s="2831" t="s">
        <v>25</v>
      </c>
      <c r="BE87" s="2832"/>
      <c r="BF87" s="2832"/>
      <c r="BG87" s="2837" t="s">
        <v>706</v>
      </c>
      <c r="BH87" s="2838"/>
      <c r="BI87" s="2831" t="s">
        <v>25</v>
      </c>
      <c r="BJ87" s="2832"/>
      <c r="BK87" s="2832"/>
      <c r="BL87" s="2696" t="s">
        <v>706</v>
      </c>
      <c r="BM87" s="2697"/>
      <c r="BN87" s="2831" t="s">
        <v>25</v>
      </c>
      <c r="BO87" s="2832"/>
      <c r="BP87" s="2832"/>
      <c r="BQ87" s="2837" t="s">
        <v>706</v>
      </c>
      <c r="BR87" s="2838"/>
      <c r="BS87" s="2831" t="s">
        <v>25</v>
      </c>
      <c r="BT87" s="2832"/>
      <c r="BU87" s="2832"/>
      <c r="BV87" s="2837" t="s">
        <v>706</v>
      </c>
      <c r="BW87" s="2838"/>
      <c r="BX87" s="2831" t="s">
        <v>25</v>
      </c>
      <c r="BY87" s="2832"/>
      <c r="BZ87" s="2832"/>
      <c r="CA87" s="2837" t="s">
        <v>706</v>
      </c>
      <c r="CB87" s="2838"/>
    </row>
    <row r="88" spans="1:93" ht="11.25" customHeight="1" x14ac:dyDescent="0.25">
      <c r="A88" s="2852"/>
      <c r="B88" s="2853"/>
      <c r="C88" s="2853"/>
      <c r="D88" s="2858"/>
      <c r="E88" s="2859"/>
      <c r="F88" s="2760"/>
      <c r="G88" s="2761"/>
      <c r="H88" s="2761"/>
      <c r="I88" s="2766"/>
      <c r="J88" s="2767"/>
      <c r="K88" s="2760"/>
      <c r="L88" s="2761"/>
      <c r="M88" s="2761"/>
      <c r="N88" s="2766"/>
      <c r="O88" s="2767"/>
      <c r="P88" s="2760"/>
      <c r="Q88" s="2761"/>
      <c r="R88" s="2761"/>
      <c r="S88" s="2766"/>
      <c r="T88" s="2767"/>
      <c r="U88" s="2760"/>
      <c r="V88" s="2761"/>
      <c r="W88" s="2761"/>
      <c r="X88" s="2766"/>
      <c r="Y88" s="2767"/>
      <c r="Z88" s="2760"/>
      <c r="AA88" s="2761"/>
      <c r="AB88" s="2761"/>
      <c r="AC88" s="2766"/>
      <c r="AD88" s="2767"/>
      <c r="AE88" s="2833"/>
      <c r="AF88" s="2834"/>
      <c r="AG88" s="2834"/>
      <c r="AH88" s="2839"/>
      <c r="AI88" s="2840"/>
      <c r="AJ88" s="2833"/>
      <c r="AK88" s="2834"/>
      <c r="AL88" s="2834"/>
      <c r="AM88" s="2839"/>
      <c r="AN88" s="2840"/>
      <c r="AO88" s="2833"/>
      <c r="AP88" s="2834"/>
      <c r="AQ88" s="2834"/>
      <c r="AR88" s="2839"/>
      <c r="AS88" s="2840"/>
      <c r="AT88" s="2833"/>
      <c r="AU88" s="2834"/>
      <c r="AV88" s="2834"/>
      <c r="AW88" s="2839"/>
      <c r="AX88" s="2840"/>
      <c r="AY88" s="2833"/>
      <c r="AZ88" s="2834"/>
      <c r="BA88" s="2834"/>
      <c r="BB88" s="2839"/>
      <c r="BC88" s="2840"/>
      <c r="BD88" s="2833"/>
      <c r="BE88" s="2834"/>
      <c r="BF88" s="2834"/>
      <c r="BG88" s="2839"/>
      <c r="BH88" s="2840"/>
      <c r="BI88" s="2833"/>
      <c r="BJ88" s="2834"/>
      <c r="BK88" s="2834"/>
      <c r="BL88" s="2698"/>
      <c r="BM88" s="2699"/>
      <c r="BN88" s="2833"/>
      <c r="BO88" s="2834"/>
      <c r="BP88" s="2834"/>
      <c r="BQ88" s="2839"/>
      <c r="BR88" s="2840"/>
      <c r="BS88" s="2833"/>
      <c r="BT88" s="2834"/>
      <c r="BU88" s="2834"/>
      <c r="BV88" s="2839"/>
      <c r="BW88" s="2840"/>
      <c r="BX88" s="2833"/>
      <c r="BY88" s="2834"/>
      <c r="BZ88" s="2834"/>
      <c r="CA88" s="2839"/>
      <c r="CB88" s="2840"/>
    </row>
    <row r="89" spans="1:93" ht="11.25" customHeight="1" x14ac:dyDescent="0.25">
      <c r="A89" s="2854"/>
      <c r="B89" s="2855"/>
      <c r="C89" s="2855"/>
      <c r="D89" s="2860"/>
      <c r="E89" s="2861"/>
      <c r="F89" s="2762"/>
      <c r="G89" s="2763"/>
      <c r="H89" s="2763"/>
      <c r="I89" s="2768"/>
      <c r="J89" s="2769"/>
      <c r="K89" s="2762"/>
      <c r="L89" s="2763"/>
      <c r="M89" s="2763"/>
      <c r="N89" s="2768"/>
      <c r="O89" s="2769"/>
      <c r="P89" s="2762"/>
      <c r="Q89" s="2763"/>
      <c r="R89" s="2763"/>
      <c r="S89" s="2768"/>
      <c r="T89" s="2769"/>
      <c r="U89" s="2762"/>
      <c r="V89" s="2763"/>
      <c r="W89" s="2763"/>
      <c r="X89" s="2768"/>
      <c r="Y89" s="2769"/>
      <c r="Z89" s="2762"/>
      <c r="AA89" s="2763"/>
      <c r="AB89" s="2763"/>
      <c r="AC89" s="2768"/>
      <c r="AD89" s="2769"/>
      <c r="AE89" s="2835"/>
      <c r="AF89" s="2836"/>
      <c r="AG89" s="2836"/>
      <c r="AH89" s="2841"/>
      <c r="AI89" s="2842"/>
      <c r="AJ89" s="2835"/>
      <c r="AK89" s="2836"/>
      <c r="AL89" s="2836"/>
      <c r="AM89" s="2841"/>
      <c r="AN89" s="2842"/>
      <c r="AO89" s="2835"/>
      <c r="AP89" s="2836"/>
      <c r="AQ89" s="2836"/>
      <c r="AR89" s="2841"/>
      <c r="AS89" s="2842"/>
      <c r="AT89" s="2835"/>
      <c r="AU89" s="2836"/>
      <c r="AV89" s="2836"/>
      <c r="AW89" s="2841"/>
      <c r="AX89" s="2842"/>
      <c r="AY89" s="2835"/>
      <c r="AZ89" s="2836"/>
      <c r="BA89" s="2836"/>
      <c r="BB89" s="2841"/>
      <c r="BC89" s="2842"/>
      <c r="BD89" s="2835"/>
      <c r="BE89" s="2836"/>
      <c r="BF89" s="2836"/>
      <c r="BG89" s="2841"/>
      <c r="BH89" s="2842"/>
      <c r="BI89" s="2835"/>
      <c r="BJ89" s="2836"/>
      <c r="BK89" s="2836"/>
      <c r="BL89" s="2700"/>
      <c r="BM89" s="2701"/>
      <c r="BN89" s="2835"/>
      <c r="BO89" s="2836"/>
      <c r="BP89" s="2836"/>
      <c r="BQ89" s="2841"/>
      <c r="BR89" s="2842"/>
      <c r="BS89" s="2835"/>
      <c r="BT89" s="2836"/>
      <c r="BU89" s="2836"/>
      <c r="BV89" s="2841"/>
      <c r="BW89" s="2842"/>
      <c r="BX89" s="2835"/>
      <c r="BY89" s="2836"/>
      <c r="BZ89" s="2836"/>
      <c r="CA89" s="2841"/>
      <c r="CB89" s="2842"/>
    </row>
    <row r="90" spans="1:93" s="535" customFormat="1" ht="111.75" customHeight="1" x14ac:dyDescent="1.35">
      <c r="A90" s="3044" t="s">
        <v>719</v>
      </c>
      <c r="B90" s="2681"/>
      <c r="C90" s="2682"/>
      <c r="D90" s="2682"/>
      <c r="E90" s="2683"/>
      <c r="F90" s="3040" t="s">
        <v>720</v>
      </c>
      <c r="G90" s="2681">
        <v>337</v>
      </c>
      <c r="H90" s="2682"/>
      <c r="I90" s="2682"/>
      <c r="J90" s="2683"/>
      <c r="K90" s="3040" t="s">
        <v>720</v>
      </c>
      <c r="L90" s="2681"/>
      <c r="M90" s="2682"/>
      <c r="N90" s="2682"/>
      <c r="O90" s="2683"/>
      <c r="P90" s="3040" t="s">
        <v>720</v>
      </c>
      <c r="Q90" s="2681"/>
      <c r="R90" s="2682"/>
      <c r="S90" s="2682"/>
      <c r="T90" s="2683"/>
      <c r="U90" s="3040" t="s">
        <v>720</v>
      </c>
      <c r="V90" s="2681"/>
      <c r="W90" s="2682"/>
      <c r="X90" s="2682"/>
      <c r="Y90" s="2683"/>
      <c r="Z90" s="3040" t="s">
        <v>720</v>
      </c>
      <c r="AA90" s="2681"/>
      <c r="AB90" s="2682"/>
      <c r="AC90" s="2682"/>
      <c r="AD90" s="2683"/>
      <c r="AE90" s="2848" t="s">
        <v>721</v>
      </c>
      <c r="AF90" s="2681">
        <v>171</v>
      </c>
      <c r="AG90" s="2682"/>
      <c r="AH90" s="2682"/>
      <c r="AI90" s="2683"/>
      <c r="AJ90" s="2848" t="s">
        <v>721</v>
      </c>
      <c r="AK90" s="2681">
        <v>172</v>
      </c>
      <c r="AL90" s="2682"/>
      <c r="AM90" s="2682"/>
      <c r="AN90" s="2683"/>
      <c r="AO90" s="2848" t="s">
        <v>721</v>
      </c>
      <c r="AP90" s="2681">
        <v>174</v>
      </c>
      <c r="AQ90" s="2682"/>
      <c r="AR90" s="2682"/>
      <c r="AS90" s="2683"/>
      <c r="AT90" s="2848" t="s">
        <v>721</v>
      </c>
      <c r="AU90" s="2681">
        <v>175</v>
      </c>
      <c r="AV90" s="2682"/>
      <c r="AW90" s="2682"/>
      <c r="AX90" s="2683"/>
      <c r="AY90" s="2848" t="s">
        <v>721</v>
      </c>
      <c r="AZ90" s="2681">
        <v>176</v>
      </c>
      <c r="BA90" s="2682"/>
      <c r="BB90" s="2682"/>
      <c r="BC90" s="2683"/>
      <c r="BD90" s="2848" t="s">
        <v>721</v>
      </c>
      <c r="BE90" s="2681">
        <v>177</v>
      </c>
      <c r="BF90" s="2682"/>
      <c r="BG90" s="2682"/>
      <c r="BH90" s="2683"/>
      <c r="BI90" s="2848" t="s">
        <v>721</v>
      </c>
      <c r="BJ90" s="2828">
        <v>178</v>
      </c>
      <c r="BK90" s="2829"/>
      <c r="BL90" s="2829"/>
      <c r="BM90" s="2830"/>
      <c r="BN90" s="2848" t="s">
        <v>721</v>
      </c>
      <c r="BO90" s="2828">
        <v>179</v>
      </c>
      <c r="BP90" s="2829"/>
      <c r="BQ90" s="2829"/>
      <c r="BR90" s="2830"/>
      <c r="BS90" s="2848" t="s">
        <v>721</v>
      </c>
      <c r="BT90" s="2681">
        <v>180</v>
      </c>
      <c r="BU90" s="2682"/>
      <c r="BV90" s="2682"/>
      <c r="BW90" s="2683"/>
      <c r="BX90" s="2848" t="s">
        <v>721</v>
      </c>
      <c r="BY90" s="2681">
        <v>181</v>
      </c>
      <c r="BZ90" s="2682"/>
      <c r="CA90" s="2682"/>
      <c r="CB90" s="2683"/>
    </row>
    <row r="91" spans="1:93" ht="50.25" customHeight="1" thickBot="1" x14ac:dyDescent="0.3">
      <c r="A91" s="3045"/>
      <c r="B91" s="518"/>
      <c r="C91" s="519" t="s">
        <v>113</v>
      </c>
      <c r="D91" s="520"/>
      <c r="E91" s="523" t="s">
        <v>114</v>
      </c>
      <c r="F91" s="3041"/>
      <c r="G91" s="518"/>
      <c r="H91" s="519" t="s">
        <v>113</v>
      </c>
      <c r="I91" s="520"/>
      <c r="J91" s="523" t="s">
        <v>114</v>
      </c>
      <c r="K91" s="3041"/>
      <c r="L91" s="518"/>
      <c r="M91" s="519" t="s">
        <v>113</v>
      </c>
      <c r="N91" s="520"/>
      <c r="O91" s="523" t="s">
        <v>114</v>
      </c>
      <c r="P91" s="3041"/>
      <c r="Q91" s="518"/>
      <c r="R91" s="519" t="s">
        <v>113</v>
      </c>
      <c r="S91" s="520"/>
      <c r="T91" s="523" t="s">
        <v>114</v>
      </c>
      <c r="U91" s="3041"/>
      <c r="V91" s="518"/>
      <c r="W91" s="519" t="s">
        <v>113</v>
      </c>
      <c r="X91" s="520"/>
      <c r="Y91" s="523" t="s">
        <v>114</v>
      </c>
      <c r="Z91" s="3041"/>
      <c r="AA91" s="518"/>
      <c r="AB91" s="519" t="s">
        <v>113</v>
      </c>
      <c r="AC91" s="520"/>
      <c r="AD91" s="523" t="s">
        <v>114</v>
      </c>
      <c r="AE91" s="2849"/>
      <c r="AF91" s="518"/>
      <c r="AG91" s="519" t="s">
        <v>113</v>
      </c>
      <c r="AH91" s="520"/>
      <c r="AI91" s="523" t="s">
        <v>114</v>
      </c>
      <c r="AJ91" s="2849"/>
      <c r="AK91" s="518"/>
      <c r="AL91" s="519" t="s">
        <v>113</v>
      </c>
      <c r="AM91" s="520"/>
      <c r="AN91" s="523" t="s">
        <v>114</v>
      </c>
      <c r="AO91" s="2849"/>
      <c r="AP91" s="518"/>
      <c r="AQ91" s="519" t="s">
        <v>113</v>
      </c>
      <c r="AR91" s="520"/>
      <c r="AS91" s="523" t="s">
        <v>114</v>
      </c>
      <c r="AT91" s="2849"/>
      <c r="AU91" s="518"/>
      <c r="AV91" s="519" t="s">
        <v>113</v>
      </c>
      <c r="AW91" s="520"/>
      <c r="AX91" s="523" t="s">
        <v>114</v>
      </c>
      <c r="AY91" s="2849"/>
      <c r="AZ91" s="518"/>
      <c r="BA91" s="519" t="s">
        <v>113</v>
      </c>
      <c r="BB91" s="520"/>
      <c r="BC91" s="523" t="s">
        <v>114</v>
      </c>
      <c r="BD91" s="2849"/>
      <c r="BE91" s="518"/>
      <c r="BF91" s="519" t="s">
        <v>113</v>
      </c>
      <c r="BG91" s="520"/>
      <c r="BH91" s="523" t="s">
        <v>114</v>
      </c>
      <c r="BI91" s="2849"/>
      <c r="BJ91" s="518">
        <v>9.9999999999999998E-13</v>
      </c>
      <c r="BK91" s="519" t="s">
        <v>113</v>
      </c>
      <c r="BL91" s="520"/>
      <c r="BM91" s="523" t="s">
        <v>114</v>
      </c>
      <c r="BN91" s="2849"/>
      <c r="BO91" s="518">
        <v>1E-8</v>
      </c>
      <c r="BP91" s="519" t="s">
        <v>113</v>
      </c>
      <c r="BQ91" s="520"/>
      <c r="BR91" s="523" t="s">
        <v>114</v>
      </c>
      <c r="BS91" s="2849"/>
      <c r="BT91" s="518"/>
      <c r="BU91" s="519" t="s">
        <v>113</v>
      </c>
      <c r="BV91" s="520"/>
      <c r="BW91" s="523" t="s">
        <v>114</v>
      </c>
      <c r="BX91" s="2849"/>
      <c r="BY91" s="518"/>
      <c r="BZ91" s="519" t="s">
        <v>113</v>
      </c>
      <c r="CA91" s="520"/>
      <c r="CB91" s="523" t="s">
        <v>114</v>
      </c>
      <c r="CG91" s="27"/>
      <c r="CH91" s="27"/>
      <c r="CI91" s="27"/>
      <c r="CJ91" s="27"/>
      <c r="CK91" s="27"/>
      <c r="CL91" s="27"/>
      <c r="CM91" s="27"/>
      <c r="CN91" s="27"/>
      <c r="CO91" s="27"/>
    </row>
    <row r="92" spans="1:93" ht="57" customHeight="1" thickTop="1" x14ac:dyDescent="0.25">
      <c r="A92" s="2843" t="s">
        <v>110</v>
      </c>
      <c r="B92" s="2844"/>
      <c r="C92" s="2514">
        <f t="shared" ref="C92" si="212">B97/((36*3.1415/59)*(68/3.281))</f>
        <v>0</v>
      </c>
      <c r="D92" s="2514"/>
      <c r="E92" s="2515"/>
      <c r="F92" s="2843" t="s">
        <v>110</v>
      </c>
      <c r="G92" s="2844"/>
      <c r="H92" s="2514">
        <f t="shared" ref="H92" si="213">G97/((36*3.1415/59)*(68/3.281))</f>
        <v>0</v>
      </c>
      <c r="I92" s="2514"/>
      <c r="J92" s="2515"/>
      <c r="K92" s="2843" t="s">
        <v>110</v>
      </c>
      <c r="L92" s="2844"/>
      <c r="M92" s="2514">
        <f t="shared" ref="M92" si="214">L97/((36*3.1415/59)*(68/3.281))</f>
        <v>0</v>
      </c>
      <c r="N92" s="2514"/>
      <c r="O92" s="2515"/>
      <c r="P92" s="2843" t="s">
        <v>110</v>
      </c>
      <c r="Q92" s="2844"/>
      <c r="R92" s="2514">
        <f t="shared" ref="R92" si="215">Q97/((36*3.1415/59)*(68/3.281))</f>
        <v>0</v>
      </c>
      <c r="S92" s="2514"/>
      <c r="T92" s="2515"/>
      <c r="U92" s="2843" t="s">
        <v>110</v>
      </c>
      <c r="V92" s="2844"/>
      <c r="W92" s="2514">
        <f t="shared" ref="W92" si="216">V97/((36*3.1415/59)*(68/3.281))</f>
        <v>0</v>
      </c>
      <c r="X92" s="2514"/>
      <c r="Y92" s="2515"/>
      <c r="Z92" s="2843" t="s">
        <v>110</v>
      </c>
      <c r="AA92" s="2844"/>
      <c r="AB92" s="2514">
        <f t="shared" ref="AB92" si="217">AA97/((36*3.1415/59)*(68/3.281))</f>
        <v>0</v>
      </c>
      <c r="AC92" s="2514"/>
      <c r="AD92" s="2515"/>
      <c r="AE92" s="2843" t="s">
        <v>110</v>
      </c>
      <c r="AF92" s="2844"/>
      <c r="AG92" s="2514">
        <f t="shared" ref="AG92" si="218">AF97/((36*3.1415/59)*(68/3.281))</f>
        <v>0</v>
      </c>
      <c r="AH92" s="2514"/>
      <c r="AI92" s="2515"/>
      <c r="AJ92" s="2843" t="s">
        <v>110</v>
      </c>
      <c r="AK92" s="2844"/>
      <c r="AL92" s="2514">
        <f t="shared" ref="AL92" si="219">AK97/((36*3.1415/59)*(68/3.281))</f>
        <v>0</v>
      </c>
      <c r="AM92" s="2514"/>
      <c r="AN92" s="2515"/>
      <c r="AO92" s="2843" t="s">
        <v>110</v>
      </c>
      <c r="AP92" s="2844"/>
      <c r="AQ92" s="2514">
        <f t="shared" ref="AQ92" si="220">AP97/((36*3.1415/59)*(68/3.281))</f>
        <v>0</v>
      </c>
      <c r="AR92" s="2514"/>
      <c r="AS92" s="2515"/>
      <c r="AT92" s="2843" t="s">
        <v>110</v>
      </c>
      <c r="AU92" s="2844"/>
      <c r="AV92" s="2514">
        <f t="shared" ref="AV92" si="221">AU97/((36*3.1415/59)*(68/3.281))</f>
        <v>0</v>
      </c>
      <c r="AW92" s="2514"/>
      <c r="AX92" s="2515"/>
      <c r="AY92" s="2843" t="s">
        <v>110</v>
      </c>
      <c r="AZ92" s="2844"/>
      <c r="BA92" s="2514">
        <f t="shared" ref="BA92" si="222">AZ97/((36*3.1415/59)*(68/3.281))</f>
        <v>0</v>
      </c>
      <c r="BB92" s="2514"/>
      <c r="BC92" s="2515"/>
      <c r="BD92" s="2843" t="s">
        <v>110</v>
      </c>
      <c r="BE92" s="2844"/>
      <c r="BF92" s="2514">
        <f t="shared" ref="BF92" si="223">BE97/((36*3.1415/59)*(68/3.281))</f>
        <v>0</v>
      </c>
      <c r="BG92" s="2514"/>
      <c r="BH92" s="2515"/>
      <c r="BI92" s="2843" t="s">
        <v>110</v>
      </c>
      <c r="BJ92" s="2844"/>
      <c r="BK92" s="2514">
        <f t="shared" ref="BK92" si="224">BJ97/((36*3.1415/59)*(68/3.281))</f>
        <v>0</v>
      </c>
      <c r="BL92" s="2514"/>
      <c r="BM92" s="2515"/>
      <c r="BN92" s="2843" t="s">
        <v>110</v>
      </c>
      <c r="BO92" s="2844"/>
      <c r="BP92" s="2514">
        <f t="shared" ref="BP92" si="225">BO97/((36*3.1415/59)*(68/3.281))</f>
        <v>0</v>
      </c>
      <c r="BQ92" s="2514"/>
      <c r="BR92" s="2515"/>
      <c r="BS92" s="2843" t="s">
        <v>110</v>
      </c>
      <c r="BT92" s="2844"/>
      <c r="BU92" s="2514">
        <f t="shared" ref="BU92" si="226">BT97/((36*3.1415/59)*(68/3.281))</f>
        <v>0</v>
      </c>
      <c r="BV92" s="2514"/>
      <c r="BW92" s="2515"/>
      <c r="BX92" s="2843" t="s">
        <v>110</v>
      </c>
      <c r="BY92" s="2844"/>
      <c r="BZ92" s="2514">
        <f t="shared" ref="BZ92" si="227">BY97/((36*3.1415/59)*(68/3.281))</f>
        <v>0</v>
      </c>
      <c r="CA92" s="2514"/>
      <c r="CB92" s="2515"/>
    </row>
    <row r="93" spans="1:93" ht="11.25" customHeight="1" x14ac:dyDescent="0.25">
      <c r="A93" s="2831" t="s">
        <v>25</v>
      </c>
      <c r="B93" s="2832"/>
      <c r="C93" s="2832"/>
      <c r="D93" s="2837" t="s">
        <v>706</v>
      </c>
      <c r="E93" s="2838"/>
      <c r="F93" s="2831" t="s">
        <v>25</v>
      </c>
      <c r="G93" s="2832"/>
      <c r="H93" s="2832"/>
      <c r="I93" s="2837" t="s">
        <v>706</v>
      </c>
      <c r="J93" s="2838"/>
      <c r="K93" s="2831" t="s">
        <v>25</v>
      </c>
      <c r="L93" s="2832"/>
      <c r="M93" s="2832"/>
      <c r="N93" s="2837" t="s">
        <v>706</v>
      </c>
      <c r="O93" s="2838"/>
      <c r="P93" s="2831" t="s">
        <v>25</v>
      </c>
      <c r="Q93" s="2832"/>
      <c r="R93" s="2832"/>
      <c r="S93" s="2837" t="s">
        <v>706</v>
      </c>
      <c r="T93" s="2838"/>
      <c r="U93" s="2831" t="s">
        <v>25</v>
      </c>
      <c r="V93" s="2832"/>
      <c r="W93" s="2832"/>
      <c r="X93" s="2837" t="s">
        <v>706</v>
      </c>
      <c r="Y93" s="2838"/>
      <c r="Z93" s="2831" t="s">
        <v>25</v>
      </c>
      <c r="AA93" s="2832"/>
      <c r="AB93" s="2832"/>
      <c r="AC93" s="2837" t="s">
        <v>706</v>
      </c>
      <c r="AD93" s="2838"/>
      <c r="AE93" s="2831" t="s">
        <v>25</v>
      </c>
      <c r="AF93" s="2832"/>
      <c r="AG93" s="2832"/>
      <c r="AH93" s="2837" t="s">
        <v>706</v>
      </c>
      <c r="AI93" s="2838"/>
      <c r="AJ93" s="2831" t="s">
        <v>25</v>
      </c>
      <c r="AK93" s="2832"/>
      <c r="AL93" s="2832"/>
      <c r="AM93" s="2837" t="s">
        <v>706</v>
      </c>
      <c r="AN93" s="2838"/>
      <c r="AO93" s="2831" t="s">
        <v>25</v>
      </c>
      <c r="AP93" s="2832"/>
      <c r="AQ93" s="2832"/>
      <c r="AR93" s="2837" t="s">
        <v>706</v>
      </c>
      <c r="AS93" s="2838"/>
      <c r="AT93" s="2831" t="s">
        <v>25</v>
      </c>
      <c r="AU93" s="2832"/>
      <c r="AV93" s="2832"/>
      <c r="AW93" s="2837" t="s">
        <v>706</v>
      </c>
      <c r="AX93" s="2838"/>
      <c r="AY93" s="2831" t="s">
        <v>25</v>
      </c>
      <c r="AZ93" s="2832"/>
      <c r="BA93" s="2832"/>
      <c r="BB93" s="2837" t="s">
        <v>706</v>
      </c>
      <c r="BC93" s="2838"/>
      <c r="BD93" s="2831" t="s">
        <v>25</v>
      </c>
      <c r="BE93" s="2832"/>
      <c r="BF93" s="2832"/>
      <c r="BG93" s="2837" t="s">
        <v>706</v>
      </c>
      <c r="BH93" s="2838"/>
      <c r="BI93" s="2831" t="s">
        <v>25</v>
      </c>
      <c r="BJ93" s="2832"/>
      <c r="BK93" s="2832"/>
      <c r="BL93" s="2837" t="s">
        <v>706</v>
      </c>
      <c r="BM93" s="2838"/>
      <c r="BN93" s="2831" t="s">
        <v>25</v>
      </c>
      <c r="BO93" s="2832"/>
      <c r="BP93" s="2832"/>
      <c r="BQ93" s="2837" t="s">
        <v>706</v>
      </c>
      <c r="BR93" s="2838"/>
      <c r="BS93" s="2831" t="s">
        <v>25</v>
      </c>
      <c r="BT93" s="2832"/>
      <c r="BU93" s="2832"/>
      <c r="BV93" s="2837" t="s">
        <v>706</v>
      </c>
      <c r="BW93" s="2838"/>
      <c r="BX93" s="2831" t="s">
        <v>25</v>
      </c>
      <c r="BY93" s="2832"/>
      <c r="BZ93" s="2832"/>
      <c r="CA93" s="2837" t="s">
        <v>706</v>
      </c>
      <c r="CB93" s="2838"/>
    </row>
    <row r="94" spans="1:93" ht="11.25" customHeight="1" x14ac:dyDescent="0.25">
      <c r="A94" s="2833"/>
      <c r="B94" s="2834"/>
      <c r="C94" s="2834"/>
      <c r="D94" s="2839"/>
      <c r="E94" s="2840"/>
      <c r="F94" s="2833"/>
      <c r="G94" s="2834"/>
      <c r="H94" s="2834"/>
      <c r="I94" s="2839"/>
      <c r="J94" s="2840"/>
      <c r="K94" s="2833"/>
      <c r="L94" s="2834"/>
      <c r="M94" s="2834"/>
      <c r="N94" s="2839"/>
      <c r="O94" s="2840"/>
      <c r="P94" s="2833"/>
      <c r="Q94" s="2834"/>
      <c r="R94" s="2834"/>
      <c r="S94" s="2839"/>
      <c r="T94" s="2840"/>
      <c r="U94" s="2833"/>
      <c r="V94" s="2834"/>
      <c r="W94" s="2834"/>
      <c r="X94" s="2839"/>
      <c r="Y94" s="2840"/>
      <c r="Z94" s="2833"/>
      <c r="AA94" s="2834"/>
      <c r="AB94" s="2834"/>
      <c r="AC94" s="2839"/>
      <c r="AD94" s="2840"/>
      <c r="AE94" s="2833"/>
      <c r="AF94" s="2834"/>
      <c r="AG94" s="2834"/>
      <c r="AH94" s="2839"/>
      <c r="AI94" s="2840"/>
      <c r="AJ94" s="2833"/>
      <c r="AK94" s="2834"/>
      <c r="AL94" s="2834"/>
      <c r="AM94" s="2839"/>
      <c r="AN94" s="2840"/>
      <c r="AO94" s="2833"/>
      <c r="AP94" s="2834"/>
      <c r="AQ94" s="2834"/>
      <c r="AR94" s="2839"/>
      <c r="AS94" s="2840"/>
      <c r="AT94" s="2833"/>
      <c r="AU94" s="2834"/>
      <c r="AV94" s="2834"/>
      <c r="AW94" s="2839"/>
      <c r="AX94" s="2840"/>
      <c r="AY94" s="2833"/>
      <c r="AZ94" s="2834"/>
      <c r="BA94" s="2834"/>
      <c r="BB94" s="2839"/>
      <c r="BC94" s="2840"/>
      <c r="BD94" s="2833"/>
      <c r="BE94" s="2834"/>
      <c r="BF94" s="2834"/>
      <c r="BG94" s="2839"/>
      <c r="BH94" s="2840"/>
      <c r="BI94" s="2833"/>
      <c r="BJ94" s="2834"/>
      <c r="BK94" s="2834"/>
      <c r="BL94" s="2839"/>
      <c r="BM94" s="2840"/>
      <c r="BN94" s="2833"/>
      <c r="BO94" s="2834"/>
      <c r="BP94" s="2834"/>
      <c r="BQ94" s="2839"/>
      <c r="BR94" s="2840"/>
      <c r="BS94" s="2833"/>
      <c r="BT94" s="2834"/>
      <c r="BU94" s="2834"/>
      <c r="BV94" s="2839"/>
      <c r="BW94" s="2840"/>
      <c r="BX94" s="2833"/>
      <c r="BY94" s="2834"/>
      <c r="BZ94" s="2834"/>
      <c r="CA94" s="2839"/>
      <c r="CB94" s="2840"/>
    </row>
    <row r="95" spans="1:93" ht="11.25" customHeight="1" x14ac:dyDescent="0.25">
      <c r="A95" s="2835"/>
      <c r="B95" s="2836"/>
      <c r="C95" s="2836"/>
      <c r="D95" s="2841"/>
      <c r="E95" s="2842"/>
      <c r="F95" s="2835"/>
      <c r="G95" s="2836"/>
      <c r="H95" s="2836"/>
      <c r="I95" s="2841"/>
      <c r="J95" s="2842"/>
      <c r="K95" s="2835"/>
      <c r="L95" s="2836"/>
      <c r="M95" s="2836"/>
      <c r="N95" s="2841"/>
      <c r="O95" s="2842"/>
      <c r="P95" s="2835"/>
      <c r="Q95" s="2836"/>
      <c r="R95" s="2836"/>
      <c r="S95" s="2841"/>
      <c r="T95" s="2842"/>
      <c r="U95" s="2835"/>
      <c r="V95" s="2836"/>
      <c r="W95" s="2836"/>
      <c r="X95" s="2841"/>
      <c r="Y95" s="2842"/>
      <c r="Z95" s="2835"/>
      <c r="AA95" s="2836"/>
      <c r="AB95" s="2836"/>
      <c r="AC95" s="2841"/>
      <c r="AD95" s="2842"/>
      <c r="AE95" s="2835"/>
      <c r="AF95" s="2836"/>
      <c r="AG95" s="2836"/>
      <c r="AH95" s="2841"/>
      <c r="AI95" s="2842"/>
      <c r="AJ95" s="2835"/>
      <c r="AK95" s="2836"/>
      <c r="AL95" s="2836"/>
      <c r="AM95" s="2841"/>
      <c r="AN95" s="2842"/>
      <c r="AO95" s="2835"/>
      <c r="AP95" s="2836"/>
      <c r="AQ95" s="2836"/>
      <c r="AR95" s="2841"/>
      <c r="AS95" s="2842"/>
      <c r="AT95" s="2835"/>
      <c r="AU95" s="2836"/>
      <c r="AV95" s="2836"/>
      <c r="AW95" s="2841"/>
      <c r="AX95" s="2842"/>
      <c r="AY95" s="2835"/>
      <c r="AZ95" s="2836"/>
      <c r="BA95" s="2836"/>
      <c r="BB95" s="2841"/>
      <c r="BC95" s="2842"/>
      <c r="BD95" s="2835"/>
      <c r="BE95" s="2836"/>
      <c r="BF95" s="2836"/>
      <c r="BG95" s="2841"/>
      <c r="BH95" s="2842"/>
      <c r="BI95" s="2835"/>
      <c r="BJ95" s="2836"/>
      <c r="BK95" s="2836"/>
      <c r="BL95" s="2841"/>
      <c r="BM95" s="2842"/>
      <c r="BN95" s="2835"/>
      <c r="BO95" s="2836"/>
      <c r="BP95" s="2836"/>
      <c r="BQ95" s="2841"/>
      <c r="BR95" s="2842"/>
      <c r="BS95" s="2835"/>
      <c r="BT95" s="2836"/>
      <c r="BU95" s="2836"/>
      <c r="BV95" s="2841"/>
      <c r="BW95" s="2842"/>
      <c r="BX95" s="2835"/>
      <c r="BY95" s="2836"/>
      <c r="BZ95" s="2836"/>
      <c r="CA95" s="2841"/>
      <c r="CB95" s="2842"/>
    </row>
    <row r="96" spans="1:93" s="535" customFormat="1" ht="111.75" customHeight="1" x14ac:dyDescent="1.35">
      <c r="A96" s="2848" t="s">
        <v>721</v>
      </c>
      <c r="B96" s="2681">
        <v>182</v>
      </c>
      <c r="C96" s="2682"/>
      <c r="D96" s="2682"/>
      <c r="E96" s="2683"/>
      <c r="F96" s="2848" t="s">
        <v>721</v>
      </c>
      <c r="G96" s="2681">
        <v>183</v>
      </c>
      <c r="H96" s="2682"/>
      <c r="I96" s="2682"/>
      <c r="J96" s="2683"/>
      <c r="K96" s="2848" t="s">
        <v>721</v>
      </c>
      <c r="L96" s="2681">
        <v>184</v>
      </c>
      <c r="M96" s="2682"/>
      <c r="N96" s="2682"/>
      <c r="O96" s="2683"/>
      <c r="P96" s="2848" t="s">
        <v>721</v>
      </c>
      <c r="Q96" s="2681">
        <v>185</v>
      </c>
      <c r="R96" s="2682"/>
      <c r="S96" s="2682"/>
      <c r="T96" s="2683"/>
      <c r="U96" s="2848" t="s">
        <v>721</v>
      </c>
      <c r="V96" s="2681">
        <v>186</v>
      </c>
      <c r="W96" s="2682"/>
      <c r="X96" s="2682"/>
      <c r="Y96" s="2683"/>
      <c r="Z96" s="2848" t="s">
        <v>721</v>
      </c>
      <c r="AA96" s="2681">
        <v>187</v>
      </c>
      <c r="AB96" s="2682"/>
      <c r="AC96" s="2682"/>
      <c r="AD96" s="2683"/>
      <c r="AE96" s="2848" t="s">
        <v>721</v>
      </c>
      <c r="AF96" s="2681">
        <v>188</v>
      </c>
      <c r="AG96" s="2682"/>
      <c r="AH96" s="2682"/>
      <c r="AI96" s="2683"/>
      <c r="AJ96" s="2848" t="s">
        <v>721</v>
      </c>
      <c r="AK96" s="2681">
        <v>189</v>
      </c>
      <c r="AL96" s="2682"/>
      <c r="AM96" s="2682"/>
      <c r="AN96" s="2683"/>
      <c r="AO96" s="2848" t="s">
        <v>721</v>
      </c>
      <c r="AP96" s="2681">
        <v>190</v>
      </c>
      <c r="AQ96" s="2682"/>
      <c r="AR96" s="2682"/>
      <c r="AS96" s="2683"/>
      <c r="AT96" s="2848" t="s">
        <v>721</v>
      </c>
      <c r="AU96" s="2681">
        <v>191</v>
      </c>
      <c r="AV96" s="2682"/>
      <c r="AW96" s="2682"/>
      <c r="AX96" s="2683"/>
      <c r="AY96" s="2848" t="s">
        <v>721</v>
      </c>
      <c r="AZ96" s="2681">
        <v>192</v>
      </c>
      <c r="BA96" s="2682"/>
      <c r="BB96" s="2682"/>
      <c r="BC96" s="2683"/>
      <c r="BD96" s="2848" t="s">
        <v>721</v>
      </c>
      <c r="BE96" s="2681">
        <v>193</v>
      </c>
      <c r="BF96" s="2682"/>
      <c r="BG96" s="2682"/>
      <c r="BH96" s="2683"/>
      <c r="BI96" s="2848" t="s">
        <v>721</v>
      </c>
      <c r="BJ96" s="2681">
        <v>194</v>
      </c>
      <c r="BK96" s="2682"/>
      <c r="BL96" s="2682"/>
      <c r="BM96" s="2683"/>
      <c r="BN96" s="2848" t="s">
        <v>721</v>
      </c>
      <c r="BO96" s="2681">
        <v>195</v>
      </c>
      <c r="BP96" s="2682"/>
      <c r="BQ96" s="2682"/>
      <c r="BR96" s="2683"/>
      <c r="BS96" s="2848" t="s">
        <v>721</v>
      </c>
      <c r="BT96" s="2681">
        <v>205</v>
      </c>
      <c r="BU96" s="2682"/>
      <c r="BV96" s="2682"/>
      <c r="BW96" s="2683"/>
      <c r="BX96" s="2848" t="s">
        <v>721</v>
      </c>
      <c r="BY96" s="2681">
        <v>206</v>
      </c>
      <c r="BZ96" s="2682"/>
      <c r="CA96" s="2682"/>
      <c r="CB96" s="2683"/>
    </row>
    <row r="97" spans="1:148" ht="50.25" customHeight="1" thickBot="1" x14ac:dyDescent="0.3">
      <c r="A97" s="2849"/>
      <c r="B97" s="518"/>
      <c r="C97" s="519" t="s">
        <v>113</v>
      </c>
      <c r="D97" s="520"/>
      <c r="E97" s="523" t="s">
        <v>114</v>
      </c>
      <c r="F97" s="2849"/>
      <c r="G97" s="518"/>
      <c r="H97" s="519" t="s">
        <v>113</v>
      </c>
      <c r="I97" s="520"/>
      <c r="J97" s="523" t="s">
        <v>114</v>
      </c>
      <c r="K97" s="2849"/>
      <c r="L97" s="518"/>
      <c r="M97" s="519" t="s">
        <v>113</v>
      </c>
      <c r="N97" s="520"/>
      <c r="O97" s="523" t="s">
        <v>114</v>
      </c>
      <c r="P97" s="2849"/>
      <c r="Q97" s="518"/>
      <c r="R97" s="519" t="s">
        <v>113</v>
      </c>
      <c r="S97" s="520"/>
      <c r="T97" s="523" t="s">
        <v>114</v>
      </c>
      <c r="U97" s="2849"/>
      <c r="V97" s="518"/>
      <c r="W97" s="519" t="s">
        <v>113</v>
      </c>
      <c r="X97" s="520"/>
      <c r="Y97" s="523" t="s">
        <v>114</v>
      </c>
      <c r="Z97" s="2849"/>
      <c r="AA97" s="518"/>
      <c r="AB97" s="519" t="s">
        <v>113</v>
      </c>
      <c r="AC97" s="520"/>
      <c r="AD97" s="523" t="s">
        <v>114</v>
      </c>
      <c r="AE97" s="2849"/>
      <c r="AF97" s="518"/>
      <c r="AG97" s="519" t="s">
        <v>113</v>
      </c>
      <c r="AH97" s="520"/>
      <c r="AI97" s="523" t="s">
        <v>114</v>
      </c>
      <c r="AJ97" s="2849"/>
      <c r="AK97" s="518"/>
      <c r="AL97" s="519" t="s">
        <v>113</v>
      </c>
      <c r="AM97" s="520"/>
      <c r="AN97" s="523" t="s">
        <v>114</v>
      </c>
      <c r="AO97" s="2849"/>
      <c r="AP97" s="518"/>
      <c r="AQ97" s="519" t="s">
        <v>113</v>
      </c>
      <c r="AR97" s="520"/>
      <c r="AS97" s="523" t="s">
        <v>114</v>
      </c>
      <c r="AT97" s="2849"/>
      <c r="AU97" s="518"/>
      <c r="AV97" s="519" t="s">
        <v>113</v>
      </c>
      <c r="AW97" s="520"/>
      <c r="AX97" s="523" t="s">
        <v>114</v>
      </c>
      <c r="AY97" s="2849"/>
      <c r="AZ97" s="518"/>
      <c r="BA97" s="519" t="s">
        <v>113</v>
      </c>
      <c r="BB97" s="520"/>
      <c r="BC97" s="523" t="s">
        <v>114</v>
      </c>
      <c r="BD97" s="2849"/>
      <c r="BE97" s="518"/>
      <c r="BF97" s="519" t="s">
        <v>113</v>
      </c>
      <c r="BG97" s="520"/>
      <c r="BH97" s="523" t="s">
        <v>114</v>
      </c>
      <c r="BI97" s="2849"/>
      <c r="BJ97" s="518"/>
      <c r="BK97" s="519" t="s">
        <v>113</v>
      </c>
      <c r="BL97" s="520"/>
      <c r="BM97" s="523" t="s">
        <v>114</v>
      </c>
      <c r="BN97" s="2849"/>
      <c r="BO97" s="518"/>
      <c r="BP97" s="519" t="s">
        <v>113</v>
      </c>
      <c r="BQ97" s="520"/>
      <c r="BR97" s="523" t="s">
        <v>114</v>
      </c>
      <c r="BS97" s="2849"/>
      <c r="BT97" s="518"/>
      <c r="BU97" s="519" t="s">
        <v>113</v>
      </c>
      <c r="BV97" s="520"/>
      <c r="BW97" s="523" t="s">
        <v>114</v>
      </c>
      <c r="BX97" s="2849"/>
      <c r="BY97" s="518"/>
      <c r="BZ97" s="519" t="s">
        <v>113</v>
      </c>
      <c r="CA97" s="520"/>
      <c r="CB97" s="523" t="s">
        <v>114</v>
      </c>
      <c r="CG97" s="27"/>
      <c r="CH97" s="27"/>
      <c r="CI97" s="27"/>
      <c r="CJ97" s="27"/>
      <c r="CK97" s="27"/>
      <c r="CL97" s="27"/>
      <c r="CM97" s="27"/>
      <c r="CN97" s="27"/>
      <c r="CO97" s="27"/>
    </row>
    <row r="98" spans="1:148" ht="57" customHeight="1" thickTop="1" x14ac:dyDescent="0.25">
      <c r="A98" s="2843" t="s">
        <v>110</v>
      </c>
      <c r="B98" s="2844"/>
      <c r="C98" s="2514">
        <f t="shared" ref="C98" si="228">B103/((36*3.1415/59)*(68/3.281))</f>
        <v>0</v>
      </c>
      <c r="D98" s="2514"/>
      <c r="E98" s="2515"/>
      <c r="F98" s="2843" t="s">
        <v>110</v>
      </c>
      <c r="G98" s="2844"/>
      <c r="H98" s="2514">
        <f t="shared" ref="H98" si="229">G103/((36*3.1415/59)*(68/3.281))</f>
        <v>0</v>
      </c>
      <c r="I98" s="2514"/>
      <c r="J98" s="2515"/>
      <c r="K98" s="2843" t="s">
        <v>110</v>
      </c>
      <c r="L98" s="2844"/>
      <c r="M98" s="2514">
        <f t="shared" ref="M98" si="230">L103/((36*3.1415/59)*(68/3.281))</f>
        <v>0</v>
      </c>
      <c r="N98" s="2514"/>
      <c r="O98" s="2515"/>
      <c r="P98" s="2843" t="s">
        <v>110</v>
      </c>
      <c r="Q98" s="2844"/>
      <c r="R98" s="2514">
        <f t="shared" ref="R98" si="231">Q103/((36*3.1415/59)*(68/3.281))</f>
        <v>0</v>
      </c>
      <c r="S98" s="2514"/>
      <c r="T98" s="2515"/>
      <c r="U98" s="2843" t="s">
        <v>110</v>
      </c>
      <c r="V98" s="2844"/>
      <c r="W98" s="2514">
        <f t="shared" ref="W98" si="232">V103/((36*3.1415/59)*(68/3.281))</f>
        <v>0</v>
      </c>
      <c r="X98" s="2514"/>
      <c r="Y98" s="2515"/>
      <c r="Z98" s="2843" t="s">
        <v>110</v>
      </c>
      <c r="AA98" s="2844"/>
      <c r="AB98" s="2514">
        <f t="shared" ref="AB98" si="233">AA103/((36*3.1415/59)*(68/3.281))</f>
        <v>0</v>
      </c>
      <c r="AC98" s="2514"/>
      <c r="AD98" s="2515"/>
      <c r="AE98" s="2843" t="s">
        <v>110</v>
      </c>
      <c r="AF98" s="2844"/>
      <c r="AG98" s="2514">
        <f t="shared" ref="AG98" si="234">AF103/((36*3.1415/59)*(68/3.281))</f>
        <v>2.5171538720002827E-12</v>
      </c>
      <c r="AH98" s="2514"/>
      <c r="AI98" s="2515"/>
      <c r="AJ98" s="2843" t="s">
        <v>110</v>
      </c>
      <c r="AK98" s="2844"/>
      <c r="AL98" s="2514">
        <f t="shared" ref="AL98" si="235">AK103/((36*3.1415/59)*(68/3.281))</f>
        <v>0</v>
      </c>
      <c r="AM98" s="2514"/>
      <c r="AN98" s="2515"/>
      <c r="AO98" s="2843" t="s">
        <v>110</v>
      </c>
      <c r="AP98" s="2844"/>
      <c r="AQ98" s="2514">
        <f t="shared" ref="AQ98" si="236">AP103/((36*3.1415/59)*(68/3.281))</f>
        <v>0</v>
      </c>
      <c r="AR98" s="2514"/>
      <c r="AS98" s="2515"/>
      <c r="AT98" s="2843" t="s">
        <v>110</v>
      </c>
      <c r="AU98" s="2844"/>
      <c r="AV98" s="2514">
        <f t="shared" ref="AV98" si="237">AU103/((36*3.1415/59)*(68/3.281))</f>
        <v>0</v>
      </c>
      <c r="AW98" s="2514"/>
      <c r="AX98" s="2515"/>
      <c r="AY98" s="2843" t="s">
        <v>110</v>
      </c>
      <c r="AZ98" s="2844"/>
      <c r="BA98" s="2514">
        <f t="shared" ref="BA98" si="238">AZ103/((36*3.1415/59)*(68/3.281))</f>
        <v>0</v>
      </c>
      <c r="BB98" s="2514"/>
      <c r="BC98" s="2515"/>
      <c r="BD98" s="2843" t="s">
        <v>110</v>
      </c>
      <c r="BE98" s="2844"/>
      <c r="BF98" s="2514">
        <f t="shared" ref="BF98" si="239">BE103/((36*3.1415/59)*(68/3.281))</f>
        <v>0</v>
      </c>
      <c r="BG98" s="2514"/>
      <c r="BH98" s="2515"/>
      <c r="BI98" s="2843" t="s">
        <v>110</v>
      </c>
      <c r="BJ98" s="2844"/>
      <c r="BK98" s="2514">
        <f t="shared" ref="BK98" si="240">BJ103/((36*3.1415/59)*(68/3.281))</f>
        <v>0</v>
      </c>
      <c r="BL98" s="2514"/>
      <c r="BM98" s="2515"/>
      <c r="BN98" s="2843" t="s">
        <v>110</v>
      </c>
      <c r="BO98" s="2844"/>
      <c r="BP98" s="2514">
        <f t="shared" ref="BP98" si="241">BO103/((36*3.1415/59)*(68/3.281))</f>
        <v>0</v>
      </c>
      <c r="BQ98" s="2514"/>
      <c r="BR98" s="2515"/>
      <c r="BS98" s="2843" t="s">
        <v>110</v>
      </c>
      <c r="BT98" s="2844"/>
      <c r="BU98" s="2514">
        <f t="shared" ref="BU98" si="242">BT103/((36*3.1415/59)*(68/3.281))</f>
        <v>0</v>
      </c>
      <c r="BV98" s="2514"/>
      <c r="BW98" s="2515"/>
      <c r="BX98" s="2843" t="s">
        <v>110</v>
      </c>
      <c r="BY98" s="2844"/>
      <c r="BZ98" s="2514">
        <f t="shared" ref="BZ98" si="243">BY103/((36*3.1415/59)*(68/3.281))</f>
        <v>0</v>
      </c>
      <c r="CA98" s="2514"/>
      <c r="CB98" s="2515"/>
    </row>
    <row r="99" spans="1:148" ht="11.25" customHeight="1" x14ac:dyDescent="0.25">
      <c r="A99" s="2831" t="s">
        <v>25</v>
      </c>
      <c r="B99" s="2832"/>
      <c r="C99" s="2832"/>
      <c r="D99" s="2837" t="s">
        <v>706</v>
      </c>
      <c r="E99" s="2838"/>
      <c r="F99" s="2831" t="s">
        <v>25</v>
      </c>
      <c r="G99" s="2832"/>
      <c r="H99" s="2832"/>
      <c r="I99" s="2837" t="s">
        <v>706</v>
      </c>
      <c r="J99" s="2838"/>
      <c r="K99" s="2831" t="s">
        <v>25</v>
      </c>
      <c r="L99" s="2832"/>
      <c r="M99" s="2832"/>
      <c r="N99" s="2837" t="s">
        <v>706</v>
      </c>
      <c r="O99" s="2838"/>
      <c r="P99" s="2831" t="s">
        <v>25</v>
      </c>
      <c r="Q99" s="2832"/>
      <c r="R99" s="2832"/>
      <c r="S99" s="2837" t="s">
        <v>706</v>
      </c>
      <c r="T99" s="2838"/>
      <c r="U99" s="2831" t="s">
        <v>25</v>
      </c>
      <c r="V99" s="2832"/>
      <c r="W99" s="2832"/>
      <c r="X99" s="2837" t="s">
        <v>706</v>
      </c>
      <c r="Y99" s="2838"/>
      <c r="Z99" s="2831" t="s">
        <v>25</v>
      </c>
      <c r="AA99" s="2832"/>
      <c r="AB99" s="2832"/>
      <c r="AC99" s="2837" t="s">
        <v>706</v>
      </c>
      <c r="AD99" s="2838"/>
      <c r="AE99" s="2831" t="s">
        <v>25</v>
      </c>
      <c r="AF99" s="2832"/>
      <c r="AG99" s="2832"/>
      <c r="AH99" s="2696" t="s">
        <v>706</v>
      </c>
      <c r="AI99" s="2697"/>
      <c r="AJ99" s="2831" t="s">
        <v>25</v>
      </c>
      <c r="AK99" s="2832"/>
      <c r="AL99" s="2832"/>
      <c r="AM99" s="2837" t="s">
        <v>706</v>
      </c>
      <c r="AN99" s="2838"/>
      <c r="AO99" s="2831" t="s">
        <v>25</v>
      </c>
      <c r="AP99" s="2832"/>
      <c r="AQ99" s="2832"/>
      <c r="AR99" s="2837" t="s">
        <v>706</v>
      </c>
      <c r="AS99" s="2838"/>
      <c r="AT99" s="2831" t="s">
        <v>25</v>
      </c>
      <c r="AU99" s="2832"/>
      <c r="AV99" s="2832"/>
      <c r="AW99" s="2837" t="s">
        <v>706</v>
      </c>
      <c r="AX99" s="2838"/>
      <c r="AY99" s="2831" t="s">
        <v>25</v>
      </c>
      <c r="AZ99" s="2832"/>
      <c r="BA99" s="2832"/>
      <c r="BB99" s="2837" t="s">
        <v>706</v>
      </c>
      <c r="BC99" s="2838"/>
      <c r="BD99" s="2831" t="s">
        <v>25</v>
      </c>
      <c r="BE99" s="2832"/>
      <c r="BF99" s="2832"/>
      <c r="BG99" s="2837" t="s">
        <v>706</v>
      </c>
      <c r="BH99" s="2838"/>
      <c r="BI99" s="2831" t="s">
        <v>25</v>
      </c>
      <c r="BJ99" s="2832"/>
      <c r="BK99" s="2832"/>
      <c r="BL99" s="2837" t="s">
        <v>706</v>
      </c>
      <c r="BM99" s="2838"/>
      <c r="BN99" s="2831" t="s">
        <v>25</v>
      </c>
      <c r="BO99" s="2832"/>
      <c r="BP99" s="2832"/>
      <c r="BQ99" s="2837" t="s">
        <v>706</v>
      </c>
      <c r="BR99" s="2838"/>
      <c r="BS99" s="2831" t="s">
        <v>25</v>
      </c>
      <c r="BT99" s="2832"/>
      <c r="BU99" s="2832"/>
      <c r="BV99" s="2837" t="s">
        <v>706</v>
      </c>
      <c r="BW99" s="2838"/>
      <c r="BX99" s="2831" t="s">
        <v>25</v>
      </c>
      <c r="BY99" s="2832"/>
      <c r="BZ99" s="2832"/>
      <c r="CA99" s="2837" t="s">
        <v>706</v>
      </c>
      <c r="CB99" s="2838"/>
    </row>
    <row r="100" spans="1:148" ht="11.25" customHeight="1" x14ac:dyDescent="0.25">
      <c r="A100" s="2833"/>
      <c r="B100" s="2834"/>
      <c r="C100" s="2834"/>
      <c r="D100" s="2839"/>
      <c r="E100" s="2840"/>
      <c r="F100" s="2833"/>
      <c r="G100" s="2834"/>
      <c r="H100" s="2834"/>
      <c r="I100" s="2839"/>
      <c r="J100" s="2840"/>
      <c r="K100" s="2833"/>
      <c r="L100" s="2834"/>
      <c r="M100" s="2834"/>
      <c r="N100" s="2839"/>
      <c r="O100" s="2840"/>
      <c r="P100" s="2833"/>
      <c r="Q100" s="2834"/>
      <c r="R100" s="2834"/>
      <c r="S100" s="2839"/>
      <c r="T100" s="2840"/>
      <c r="U100" s="2833"/>
      <c r="V100" s="2834"/>
      <c r="W100" s="2834"/>
      <c r="X100" s="2839"/>
      <c r="Y100" s="2840"/>
      <c r="Z100" s="2833"/>
      <c r="AA100" s="2834"/>
      <c r="AB100" s="2834"/>
      <c r="AC100" s="2839"/>
      <c r="AD100" s="2840"/>
      <c r="AE100" s="2833"/>
      <c r="AF100" s="2834"/>
      <c r="AG100" s="2834"/>
      <c r="AH100" s="2698"/>
      <c r="AI100" s="2699"/>
      <c r="AJ100" s="2833"/>
      <c r="AK100" s="2834"/>
      <c r="AL100" s="2834"/>
      <c r="AM100" s="2839"/>
      <c r="AN100" s="2840"/>
      <c r="AO100" s="2833"/>
      <c r="AP100" s="2834"/>
      <c r="AQ100" s="2834"/>
      <c r="AR100" s="2839"/>
      <c r="AS100" s="2840"/>
      <c r="AT100" s="2833"/>
      <c r="AU100" s="2834"/>
      <c r="AV100" s="2834"/>
      <c r="AW100" s="2839"/>
      <c r="AX100" s="2840"/>
      <c r="AY100" s="2833"/>
      <c r="AZ100" s="2834"/>
      <c r="BA100" s="2834"/>
      <c r="BB100" s="2839"/>
      <c r="BC100" s="2840"/>
      <c r="BD100" s="2833"/>
      <c r="BE100" s="2834"/>
      <c r="BF100" s="2834"/>
      <c r="BG100" s="2839"/>
      <c r="BH100" s="2840"/>
      <c r="BI100" s="2833"/>
      <c r="BJ100" s="2834"/>
      <c r="BK100" s="2834"/>
      <c r="BL100" s="2839"/>
      <c r="BM100" s="2840"/>
      <c r="BN100" s="2833"/>
      <c r="BO100" s="2834"/>
      <c r="BP100" s="2834"/>
      <c r="BQ100" s="2839"/>
      <c r="BR100" s="2840"/>
      <c r="BS100" s="2833"/>
      <c r="BT100" s="2834"/>
      <c r="BU100" s="2834"/>
      <c r="BV100" s="2839"/>
      <c r="BW100" s="2840"/>
      <c r="BX100" s="2833"/>
      <c r="BY100" s="2834"/>
      <c r="BZ100" s="2834"/>
      <c r="CA100" s="2839"/>
      <c r="CB100" s="2840"/>
    </row>
    <row r="101" spans="1:148" ht="11.25" customHeight="1" x14ac:dyDescent="0.25">
      <c r="A101" s="2835"/>
      <c r="B101" s="2836"/>
      <c r="C101" s="2836"/>
      <c r="D101" s="2841"/>
      <c r="E101" s="2842"/>
      <c r="F101" s="2835"/>
      <c r="G101" s="2836"/>
      <c r="H101" s="2836"/>
      <c r="I101" s="2841"/>
      <c r="J101" s="2842"/>
      <c r="K101" s="2835"/>
      <c r="L101" s="2836"/>
      <c r="M101" s="2836"/>
      <c r="N101" s="2841"/>
      <c r="O101" s="2842"/>
      <c r="P101" s="2835"/>
      <c r="Q101" s="2836"/>
      <c r="R101" s="2836"/>
      <c r="S101" s="2841"/>
      <c r="T101" s="2842"/>
      <c r="U101" s="2835"/>
      <c r="V101" s="2836"/>
      <c r="W101" s="2836"/>
      <c r="X101" s="2841"/>
      <c r="Y101" s="2842"/>
      <c r="Z101" s="2835"/>
      <c r="AA101" s="2836"/>
      <c r="AB101" s="2836"/>
      <c r="AC101" s="2841"/>
      <c r="AD101" s="2842"/>
      <c r="AE101" s="2835"/>
      <c r="AF101" s="2836"/>
      <c r="AG101" s="2836"/>
      <c r="AH101" s="2700"/>
      <c r="AI101" s="2701"/>
      <c r="AJ101" s="2835"/>
      <c r="AK101" s="2836"/>
      <c r="AL101" s="2836"/>
      <c r="AM101" s="2841"/>
      <c r="AN101" s="2842"/>
      <c r="AO101" s="2835"/>
      <c r="AP101" s="2836"/>
      <c r="AQ101" s="2836"/>
      <c r="AR101" s="2841"/>
      <c r="AS101" s="2842"/>
      <c r="AT101" s="2835"/>
      <c r="AU101" s="2836"/>
      <c r="AV101" s="2836"/>
      <c r="AW101" s="2841"/>
      <c r="AX101" s="2842"/>
      <c r="AY101" s="2835"/>
      <c r="AZ101" s="2836"/>
      <c r="BA101" s="2836"/>
      <c r="BB101" s="2841"/>
      <c r="BC101" s="2842"/>
      <c r="BD101" s="2835"/>
      <c r="BE101" s="2836"/>
      <c r="BF101" s="2836"/>
      <c r="BG101" s="2841"/>
      <c r="BH101" s="2842"/>
      <c r="BI101" s="2835"/>
      <c r="BJ101" s="2836"/>
      <c r="BK101" s="2836"/>
      <c r="BL101" s="2841"/>
      <c r="BM101" s="2842"/>
      <c r="BN101" s="2835"/>
      <c r="BO101" s="2836"/>
      <c r="BP101" s="2836"/>
      <c r="BQ101" s="2841"/>
      <c r="BR101" s="2842"/>
      <c r="BS101" s="2835"/>
      <c r="BT101" s="2836"/>
      <c r="BU101" s="2836"/>
      <c r="BV101" s="2841"/>
      <c r="BW101" s="2842"/>
      <c r="BX101" s="2835"/>
      <c r="BY101" s="2836"/>
      <c r="BZ101" s="2836"/>
      <c r="CA101" s="2841"/>
      <c r="CB101" s="2842"/>
    </row>
    <row r="102" spans="1:148" s="535" customFormat="1" ht="111.75" customHeight="1" x14ac:dyDescent="1.35">
      <c r="A102" s="2848" t="s">
        <v>721</v>
      </c>
      <c r="B102" s="2681">
        <v>207</v>
      </c>
      <c r="C102" s="2682"/>
      <c r="D102" s="2682"/>
      <c r="E102" s="2683"/>
      <c r="F102" s="2848" t="s">
        <v>721</v>
      </c>
      <c r="G102" s="2681">
        <v>208</v>
      </c>
      <c r="H102" s="2682"/>
      <c r="I102" s="2682"/>
      <c r="J102" s="2683"/>
      <c r="K102" s="2848" t="s">
        <v>721</v>
      </c>
      <c r="L102" s="2681">
        <v>209</v>
      </c>
      <c r="M102" s="2682"/>
      <c r="N102" s="2682"/>
      <c r="O102" s="2683"/>
      <c r="P102" s="2848" t="s">
        <v>721</v>
      </c>
      <c r="Q102" s="2681">
        <v>210</v>
      </c>
      <c r="R102" s="2682"/>
      <c r="S102" s="2682"/>
      <c r="T102" s="2683"/>
      <c r="U102" s="2848" t="s">
        <v>721</v>
      </c>
      <c r="V102" s="2681">
        <v>211</v>
      </c>
      <c r="W102" s="2682"/>
      <c r="X102" s="2682"/>
      <c r="Y102" s="2683"/>
      <c r="Z102" s="2848" t="s">
        <v>721</v>
      </c>
      <c r="AA102" s="2681">
        <v>212</v>
      </c>
      <c r="AB102" s="2682"/>
      <c r="AC102" s="2682"/>
      <c r="AD102" s="2683"/>
      <c r="AE102" s="2848" t="s">
        <v>721</v>
      </c>
      <c r="AF102" s="2828">
        <v>213</v>
      </c>
      <c r="AG102" s="2829"/>
      <c r="AH102" s="2829"/>
      <c r="AI102" s="2830"/>
      <c r="AJ102" s="2848" t="s">
        <v>721</v>
      </c>
      <c r="AK102" s="2681">
        <v>214</v>
      </c>
      <c r="AL102" s="2682"/>
      <c r="AM102" s="2682"/>
      <c r="AN102" s="2683"/>
      <c r="AO102" s="2848" t="s">
        <v>721</v>
      </c>
      <c r="AP102" s="2681">
        <v>215</v>
      </c>
      <c r="AQ102" s="2682"/>
      <c r="AR102" s="2682"/>
      <c r="AS102" s="2683"/>
      <c r="AT102" s="2848" t="s">
        <v>721</v>
      </c>
      <c r="AU102" s="2681">
        <v>216</v>
      </c>
      <c r="AV102" s="2682"/>
      <c r="AW102" s="2682"/>
      <c r="AX102" s="2683"/>
      <c r="AY102" s="2848" t="s">
        <v>721</v>
      </c>
      <c r="AZ102" s="2681">
        <v>217</v>
      </c>
      <c r="BA102" s="2682"/>
      <c r="BB102" s="2682"/>
      <c r="BC102" s="2683"/>
      <c r="BD102" s="2848" t="s">
        <v>721</v>
      </c>
      <c r="BE102" s="2681"/>
      <c r="BF102" s="2682"/>
      <c r="BG102" s="2682"/>
      <c r="BH102" s="2683"/>
      <c r="BI102" s="2848" t="s">
        <v>721</v>
      </c>
      <c r="BJ102" s="2681"/>
      <c r="BK102" s="2682"/>
      <c r="BL102" s="2682"/>
      <c r="BM102" s="2683"/>
      <c r="BN102" s="2848" t="s">
        <v>721</v>
      </c>
      <c r="BO102" s="2681"/>
      <c r="BP102" s="2682"/>
      <c r="BQ102" s="2682"/>
      <c r="BR102" s="2683"/>
      <c r="BS102" s="2848" t="s">
        <v>721</v>
      </c>
      <c r="BT102" s="2681"/>
      <c r="BU102" s="2682"/>
      <c r="BV102" s="2682"/>
      <c r="BW102" s="2683"/>
      <c r="BX102" s="2848" t="s">
        <v>721</v>
      </c>
      <c r="BY102" s="2681"/>
      <c r="BZ102" s="2682"/>
      <c r="CA102" s="2682"/>
      <c r="CB102" s="2683"/>
    </row>
    <row r="103" spans="1:148" ht="50.25" customHeight="1" thickBot="1" x14ac:dyDescent="0.3">
      <c r="A103" s="2849"/>
      <c r="B103" s="518"/>
      <c r="C103" s="519" t="s">
        <v>113</v>
      </c>
      <c r="D103" s="520"/>
      <c r="E103" s="523" t="s">
        <v>114</v>
      </c>
      <c r="F103" s="2849"/>
      <c r="G103" s="518"/>
      <c r="H103" s="519" t="s">
        <v>113</v>
      </c>
      <c r="I103" s="520"/>
      <c r="J103" s="523" t="s">
        <v>114</v>
      </c>
      <c r="K103" s="2849"/>
      <c r="L103" s="518"/>
      <c r="M103" s="519" t="s">
        <v>113</v>
      </c>
      <c r="N103" s="520"/>
      <c r="O103" s="523" t="s">
        <v>114</v>
      </c>
      <c r="P103" s="2849"/>
      <c r="Q103" s="518"/>
      <c r="R103" s="519" t="s">
        <v>113</v>
      </c>
      <c r="S103" s="520"/>
      <c r="T103" s="523" t="s">
        <v>114</v>
      </c>
      <c r="U103" s="2849"/>
      <c r="V103" s="518"/>
      <c r="W103" s="519" t="s">
        <v>113</v>
      </c>
      <c r="X103" s="520"/>
      <c r="Y103" s="523" t="s">
        <v>114</v>
      </c>
      <c r="Z103" s="2849"/>
      <c r="AA103" s="518"/>
      <c r="AB103" s="519" t="s">
        <v>113</v>
      </c>
      <c r="AC103" s="520"/>
      <c r="AD103" s="523" t="s">
        <v>114</v>
      </c>
      <c r="AE103" s="2849"/>
      <c r="AF103" s="518">
        <v>1E-10</v>
      </c>
      <c r="AG103" s="519" t="s">
        <v>113</v>
      </c>
      <c r="AH103" s="520"/>
      <c r="AI103" s="523" t="s">
        <v>114</v>
      </c>
      <c r="AJ103" s="2849"/>
      <c r="AK103" s="518"/>
      <c r="AL103" s="519" t="s">
        <v>113</v>
      </c>
      <c r="AM103" s="520"/>
      <c r="AN103" s="523" t="s">
        <v>114</v>
      </c>
      <c r="AO103" s="2849"/>
      <c r="AP103" s="518"/>
      <c r="AQ103" s="519" t="s">
        <v>113</v>
      </c>
      <c r="AR103" s="520"/>
      <c r="AS103" s="523" t="s">
        <v>114</v>
      </c>
      <c r="AT103" s="2849"/>
      <c r="AU103" s="518"/>
      <c r="AV103" s="519" t="s">
        <v>113</v>
      </c>
      <c r="AW103" s="520"/>
      <c r="AX103" s="523" t="s">
        <v>114</v>
      </c>
      <c r="AY103" s="2849"/>
      <c r="AZ103" s="518"/>
      <c r="BA103" s="519" t="s">
        <v>113</v>
      </c>
      <c r="BB103" s="520"/>
      <c r="BC103" s="523" t="s">
        <v>114</v>
      </c>
      <c r="BD103" s="2849"/>
      <c r="BE103" s="518"/>
      <c r="BF103" s="519" t="s">
        <v>113</v>
      </c>
      <c r="BG103" s="520"/>
      <c r="BH103" s="523" t="s">
        <v>114</v>
      </c>
      <c r="BI103" s="2849"/>
      <c r="BJ103" s="518"/>
      <c r="BK103" s="519" t="s">
        <v>113</v>
      </c>
      <c r="BL103" s="520"/>
      <c r="BM103" s="523" t="s">
        <v>114</v>
      </c>
      <c r="BN103" s="2849"/>
      <c r="BO103" s="518"/>
      <c r="BP103" s="519" t="s">
        <v>113</v>
      </c>
      <c r="BQ103" s="520"/>
      <c r="BR103" s="523" t="s">
        <v>114</v>
      </c>
      <c r="BS103" s="2849"/>
      <c r="BT103" s="518"/>
      <c r="BU103" s="519" t="s">
        <v>113</v>
      </c>
      <c r="BV103" s="520"/>
      <c r="BW103" s="523" t="s">
        <v>114</v>
      </c>
      <c r="BX103" s="2849"/>
      <c r="BY103" s="518"/>
      <c r="BZ103" s="519" t="s">
        <v>113</v>
      </c>
      <c r="CA103" s="520"/>
      <c r="CB103" s="523" t="s">
        <v>114</v>
      </c>
      <c r="CG103" s="27"/>
      <c r="CH103" s="27"/>
      <c r="CI103" s="27"/>
      <c r="CJ103" s="27"/>
      <c r="CK103" s="27"/>
      <c r="CL103" s="27"/>
      <c r="CM103" s="27"/>
      <c r="CN103" s="27"/>
      <c r="CO103" s="27"/>
    </row>
    <row r="104" spans="1:148" ht="57" customHeight="1" thickTop="1" x14ac:dyDescent="0.25">
      <c r="A104" s="2843" t="s">
        <v>110</v>
      </c>
      <c r="B104" s="2844"/>
      <c r="C104" s="2514">
        <f t="shared" ref="C104" si="244">B109/((36*3.1415/59)*(68/3.281))</f>
        <v>0</v>
      </c>
      <c r="D104" s="2514"/>
      <c r="E104" s="2515"/>
      <c r="F104" s="2843" t="s">
        <v>110</v>
      </c>
      <c r="G104" s="2844"/>
      <c r="H104" s="2514">
        <f t="shared" ref="H104" si="245">G109/((36*3.1415/59)*(68/3.281))</f>
        <v>0</v>
      </c>
      <c r="I104" s="2514"/>
      <c r="J104" s="2515"/>
      <c r="K104" s="2843" t="s">
        <v>110</v>
      </c>
      <c r="L104" s="2844"/>
      <c r="M104" s="2514">
        <f t="shared" ref="M104" si="246">L109/((36*3.1415/59)*(68/3.281))</f>
        <v>0</v>
      </c>
      <c r="N104" s="2514"/>
      <c r="O104" s="2515"/>
      <c r="P104" s="2843" t="s">
        <v>110</v>
      </c>
      <c r="Q104" s="2844"/>
      <c r="R104" s="2514">
        <f t="shared" ref="R104" si="247">Q109/((36*3.1415/59)*(68/3.281))</f>
        <v>0</v>
      </c>
      <c r="S104" s="2514"/>
      <c r="T104" s="2515"/>
      <c r="U104" s="2843" t="s">
        <v>110</v>
      </c>
      <c r="V104" s="2844"/>
      <c r="W104" s="2514">
        <f t="shared" ref="W104" si="248">V109/((36*3.1415/59)*(68/3.281))</f>
        <v>0</v>
      </c>
      <c r="X104" s="2514"/>
      <c r="Y104" s="2515"/>
      <c r="Z104" s="2843" t="s">
        <v>110</v>
      </c>
      <c r="AA104" s="2844"/>
      <c r="AB104" s="2514">
        <f t="shared" ref="AB104" si="249">AA109/((36*3.1415/59)*(68/3.281))</f>
        <v>0</v>
      </c>
      <c r="AC104" s="2514"/>
      <c r="AD104" s="2515"/>
      <c r="AE104" s="2843" t="s">
        <v>110</v>
      </c>
      <c r="AF104" s="2844"/>
      <c r="AG104" s="2514">
        <f t="shared" ref="AG104" si="250">AF109/((36*3.1415/59)*(68/3.281))</f>
        <v>0</v>
      </c>
      <c r="AH104" s="2514"/>
      <c r="AI104" s="2515"/>
      <c r="AJ104" s="2843" t="s">
        <v>110</v>
      </c>
      <c r="AK104" s="2844"/>
      <c r="AL104" s="2514">
        <f t="shared" ref="AL104" si="251">AK109/((36*3.1415/59)*(68/3.281))</f>
        <v>0</v>
      </c>
      <c r="AM104" s="2514"/>
      <c r="AN104" s="2515"/>
      <c r="AO104" s="2843" t="s">
        <v>110</v>
      </c>
      <c r="AP104" s="2844"/>
      <c r="AQ104" s="2514">
        <f t="shared" ref="AQ104" si="252">AP109/((36*3.1415/59)*(68/3.281))</f>
        <v>0</v>
      </c>
      <c r="AR104" s="2514"/>
      <c r="AS104" s="2515"/>
      <c r="AT104" s="2843" t="s">
        <v>110</v>
      </c>
      <c r="AU104" s="2844"/>
      <c r="AV104" s="2514">
        <f t="shared" ref="AV104" si="253">AU109/((36*3.1415/59)*(68/3.281))</f>
        <v>0</v>
      </c>
      <c r="AW104" s="2514"/>
      <c r="AX104" s="2515"/>
      <c r="AY104" s="2843" t="s">
        <v>110</v>
      </c>
      <c r="AZ104" s="2844"/>
      <c r="BA104" s="2514">
        <f t="shared" ref="BA104" si="254">AZ109/((36*3.1415/59)*(68/3.281))</f>
        <v>0</v>
      </c>
      <c r="BB104" s="2514"/>
      <c r="BC104" s="2515"/>
      <c r="BD104" s="2843" t="s">
        <v>110</v>
      </c>
      <c r="BE104" s="2844"/>
      <c r="BF104" s="2514">
        <f t="shared" ref="BF104" si="255">BE109/((36*3.1415/59)*(68/3.281))</f>
        <v>0</v>
      </c>
      <c r="BG104" s="2514"/>
      <c r="BH104" s="2515"/>
      <c r="BI104" s="2843" t="s">
        <v>110</v>
      </c>
      <c r="BJ104" s="2844"/>
      <c r="BK104" s="2514">
        <f t="shared" ref="BK104" si="256">BJ109/((36*3.1415/59)*(68/3.281))</f>
        <v>0</v>
      </c>
      <c r="BL104" s="2514"/>
      <c r="BM104" s="2515"/>
      <c r="BN104" s="2843" t="s">
        <v>110</v>
      </c>
      <c r="BO104" s="2844"/>
      <c r="BP104" s="2514">
        <f t="shared" ref="BP104" si="257">BO109/((36*3.1415/59)*(68/3.281))</f>
        <v>0</v>
      </c>
      <c r="BQ104" s="2514"/>
      <c r="BR104" s="2515"/>
      <c r="BS104" s="2843" t="s">
        <v>110</v>
      </c>
      <c r="BT104" s="2844"/>
      <c r="BU104" s="2514">
        <f t="shared" ref="BU104" si="258">BT109/((36*3.1415/59)*(68/3.281))</f>
        <v>0</v>
      </c>
      <c r="BV104" s="2514"/>
      <c r="BW104" s="2515"/>
      <c r="BX104" s="2843" t="s">
        <v>110</v>
      </c>
      <c r="BY104" s="2844"/>
      <c r="BZ104" s="2514">
        <f t="shared" ref="BZ104" si="259">BY109/((36*3.1415/59)*(68/3.281))</f>
        <v>0</v>
      </c>
      <c r="CA104" s="2514"/>
      <c r="CB104" s="2515"/>
    </row>
    <row r="105" spans="1:148" ht="11.25" customHeight="1" x14ac:dyDescent="0.25">
      <c r="A105" s="2831" t="s">
        <v>25</v>
      </c>
      <c r="B105" s="2832"/>
      <c r="C105" s="2832"/>
      <c r="D105" s="2837" t="s">
        <v>706</v>
      </c>
      <c r="E105" s="2838"/>
      <c r="F105" s="2831" t="s">
        <v>25</v>
      </c>
      <c r="G105" s="2832"/>
      <c r="H105" s="2832"/>
      <c r="I105" s="2837" t="s">
        <v>706</v>
      </c>
      <c r="J105" s="2838"/>
      <c r="K105" s="2831" t="s">
        <v>25</v>
      </c>
      <c r="L105" s="2832"/>
      <c r="M105" s="2832"/>
      <c r="N105" s="2837" t="s">
        <v>706</v>
      </c>
      <c r="O105" s="2838"/>
      <c r="P105" s="2831" t="s">
        <v>25</v>
      </c>
      <c r="Q105" s="2832"/>
      <c r="R105" s="2832"/>
      <c r="S105" s="2837" t="s">
        <v>706</v>
      </c>
      <c r="T105" s="2838"/>
      <c r="U105" s="2831" t="s">
        <v>25</v>
      </c>
      <c r="V105" s="2832"/>
      <c r="W105" s="2832"/>
      <c r="X105" s="2837" t="s">
        <v>706</v>
      </c>
      <c r="Y105" s="2838"/>
      <c r="Z105" s="2831" t="s">
        <v>25</v>
      </c>
      <c r="AA105" s="2832"/>
      <c r="AB105" s="2832"/>
      <c r="AC105" s="2837" t="s">
        <v>706</v>
      </c>
      <c r="AD105" s="2838"/>
      <c r="AE105" s="2831" t="s">
        <v>25</v>
      </c>
      <c r="AF105" s="2832"/>
      <c r="AG105" s="2832"/>
      <c r="AH105" s="2837" t="s">
        <v>706</v>
      </c>
      <c r="AI105" s="2838"/>
      <c r="AJ105" s="2831" t="s">
        <v>25</v>
      </c>
      <c r="AK105" s="2832"/>
      <c r="AL105" s="2832"/>
      <c r="AM105" s="2837" t="s">
        <v>706</v>
      </c>
      <c r="AN105" s="2838"/>
      <c r="AO105" s="2831" t="s">
        <v>25</v>
      </c>
      <c r="AP105" s="2832"/>
      <c r="AQ105" s="2832"/>
      <c r="AR105" s="2837" t="s">
        <v>706</v>
      </c>
      <c r="AS105" s="2838"/>
      <c r="AT105" s="2831" t="s">
        <v>25</v>
      </c>
      <c r="AU105" s="2832"/>
      <c r="AV105" s="2832"/>
      <c r="AW105" s="2837" t="s">
        <v>706</v>
      </c>
      <c r="AX105" s="2838"/>
      <c r="AY105" s="2831" t="s">
        <v>25</v>
      </c>
      <c r="AZ105" s="2832"/>
      <c r="BA105" s="2832"/>
      <c r="BB105" s="2837" t="s">
        <v>706</v>
      </c>
      <c r="BC105" s="2838"/>
      <c r="BD105" s="2831" t="s">
        <v>25</v>
      </c>
      <c r="BE105" s="2832"/>
      <c r="BF105" s="2832"/>
      <c r="BG105" s="2837" t="s">
        <v>706</v>
      </c>
      <c r="BH105" s="2838"/>
      <c r="BI105" s="2831" t="s">
        <v>25</v>
      </c>
      <c r="BJ105" s="2832"/>
      <c r="BK105" s="2832"/>
      <c r="BL105" s="2837" t="s">
        <v>706</v>
      </c>
      <c r="BM105" s="2838"/>
      <c r="BN105" s="2831" t="s">
        <v>25</v>
      </c>
      <c r="BO105" s="2832"/>
      <c r="BP105" s="2832"/>
      <c r="BQ105" s="2837" t="s">
        <v>706</v>
      </c>
      <c r="BR105" s="2838"/>
      <c r="BS105" s="2831" t="s">
        <v>25</v>
      </c>
      <c r="BT105" s="2832"/>
      <c r="BU105" s="2832"/>
      <c r="BV105" s="2837" t="s">
        <v>706</v>
      </c>
      <c r="BW105" s="2838"/>
      <c r="BX105" s="2831" t="s">
        <v>25</v>
      </c>
      <c r="BY105" s="2832"/>
      <c r="BZ105" s="2832"/>
      <c r="CA105" s="2837" t="s">
        <v>706</v>
      </c>
      <c r="CB105" s="2838"/>
    </row>
    <row r="106" spans="1:148" ht="11.25" customHeight="1" x14ac:dyDescent="0.25">
      <c r="A106" s="2833"/>
      <c r="B106" s="2834"/>
      <c r="C106" s="2834"/>
      <c r="D106" s="2839"/>
      <c r="E106" s="2840"/>
      <c r="F106" s="2833"/>
      <c r="G106" s="2834"/>
      <c r="H106" s="2834"/>
      <c r="I106" s="2839"/>
      <c r="J106" s="2840"/>
      <c r="K106" s="2833"/>
      <c r="L106" s="2834"/>
      <c r="M106" s="2834"/>
      <c r="N106" s="2839"/>
      <c r="O106" s="2840"/>
      <c r="P106" s="2833"/>
      <c r="Q106" s="2834"/>
      <c r="R106" s="2834"/>
      <c r="S106" s="2839"/>
      <c r="T106" s="2840"/>
      <c r="U106" s="2833"/>
      <c r="V106" s="2834"/>
      <c r="W106" s="2834"/>
      <c r="X106" s="2839"/>
      <c r="Y106" s="2840"/>
      <c r="Z106" s="2833"/>
      <c r="AA106" s="2834"/>
      <c r="AB106" s="2834"/>
      <c r="AC106" s="2839"/>
      <c r="AD106" s="2840"/>
      <c r="AE106" s="2833"/>
      <c r="AF106" s="2834"/>
      <c r="AG106" s="2834"/>
      <c r="AH106" s="2839"/>
      <c r="AI106" s="2840"/>
      <c r="AJ106" s="2833"/>
      <c r="AK106" s="2834"/>
      <c r="AL106" s="2834"/>
      <c r="AM106" s="2839"/>
      <c r="AN106" s="2840"/>
      <c r="AO106" s="2833"/>
      <c r="AP106" s="2834"/>
      <c r="AQ106" s="2834"/>
      <c r="AR106" s="2839"/>
      <c r="AS106" s="2840"/>
      <c r="AT106" s="2833"/>
      <c r="AU106" s="2834"/>
      <c r="AV106" s="2834"/>
      <c r="AW106" s="2839"/>
      <c r="AX106" s="2840"/>
      <c r="AY106" s="2833"/>
      <c r="AZ106" s="2834"/>
      <c r="BA106" s="2834"/>
      <c r="BB106" s="2839"/>
      <c r="BC106" s="2840"/>
      <c r="BD106" s="2833"/>
      <c r="BE106" s="2834"/>
      <c r="BF106" s="2834"/>
      <c r="BG106" s="2839"/>
      <c r="BH106" s="2840"/>
      <c r="BI106" s="2833"/>
      <c r="BJ106" s="2834"/>
      <c r="BK106" s="2834"/>
      <c r="BL106" s="2839"/>
      <c r="BM106" s="2840"/>
      <c r="BN106" s="2833"/>
      <c r="BO106" s="2834"/>
      <c r="BP106" s="2834"/>
      <c r="BQ106" s="2839"/>
      <c r="BR106" s="2840"/>
      <c r="BS106" s="2833"/>
      <c r="BT106" s="2834"/>
      <c r="BU106" s="2834"/>
      <c r="BV106" s="2839"/>
      <c r="BW106" s="2840"/>
      <c r="BX106" s="2833"/>
      <c r="BY106" s="2834"/>
      <c r="BZ106" s="2834"/>
      <c r="CA106" s="2839"/>
      <c r="CB106" s="2840"/>
    </row>
    <row r="107" spans="1:148" ht="11.25" customHeight="1" x14ac:dyDescent="0.25">
      <c r="A107" s="2835"/>
      <c r="B107" s="2836"/>
      <c r="C107" s="2836"/>
      <c r="D107" s="2841"/>
      <c r="E107" s="2842"/>
      <c r="F107" s="2835"/>
      <c r="G107" s="2836"/>
      <c r="H107" s="2836"/>
      <c r="I107" s="2841"/>
      <c r="J107" s="2842"/>
      <c r="K107" s="2835"/>
      <c r="L107" s="2836"/>
      <c r="M107" s="2836"/>
      <c r="N107" s="2841"/>
      <c r="O107" s="2842"/>
      <c r="P107" s="2835"/>
      <c r="Q107" s="2836"/>
      <c r="R107" s="2836"/>
      <c r="S107" s="2841"/>
      <c r="T107" s="2842"/>
      <c r="U107" s="2835"/>
      <c r="V107" s="2836"/>
      <c r="W107" s="2836"/>
      <c r="X107" s="2841"/>
      <c r="Y107" s="2842"/>
      <c r="Z107" s="2835"/>
      <c r="AA107" s="2836"/>
      <c r="AB107" s="2836"/>
      <c r="AC107" s="2841"/>
      <c r="AD107" s="2842"/>
      <c r="AE107" s="2835"/>
      <c r="AF107" s="2836"/>
      <c r="AG107" s="2836"/>
      <c r="AH107" s="2841"/>
      <c r="AI107" s="2842"/>
      <c r="AJ107" s="2835"/>
      <c r="AK107" s="2836"/>
      <c r="AL107" s="2836"/>
      <c r="AM107" s="2841"/>
      <c r="AN107" s="2842"/>
      <c r="AO107" s="2835"/>
      <c r="AP107" s="2836"/>
      <c r="AQ107" s="2836"/>
      <c r="AR107" s="2841"/>
      <c r="AS107" s="2842"/>
      <c r="AT107" s="2835"/>
      <c r="AU107" s="2836"/>
      <c r="AV107" s="2836"/>
      <c r="AW107" s="2841"/>
      <c r="AX107" s="2842"/>
      <c r="AY107" s="2835"/>
      <c r="AZ107" s="2836"/>
      <c r="BA107" s="2836"/>
      <c r="BB107" s="2841"/>
      <c r="BC107" s="2842"/>
      <c r="BD107" s="2835"/>
      <c r="BE107" s="2836"/>
      <c r="BF107" s="2836"/>
      <c r="BG107" s="2841"/>
      <c r="BH107" s="2842"/>
      <c r="BI107" s="2835"/>
      <c r="BJ107" s="2836"/>
      <c r="BK107" s="2836"/>
      <c r="BL107" s="2841"/>
      <c r="BM107" s="2842"/>
      <c r="BN107" s="2835"/>
      <c r="BO107" s="2836"/>
      <c r="BP107" s="2836"/>
      <c r="BQ107" s="2841"/>
      <c r="BR107" s="2842"/>
      <c r="BS107" s="2835"/>
      <c r="BT107" s="2836"/>
      <c r="BU107" s="2836"/>
      <c r="BV107" s="2841"/>
      <c r="BW107" s="2842"/>
      <c r="BX107" s="2835"/>
      <c r="BY107" s="2836"/>
      <c r="BZ107" s="2836"/>
      <c r="CA107" s="2841"/>
      <c r="CB107" s="2842"/>
    </row>
    <row r="108" spans="1:148" s="22" customFormat="1" ht="111.75" customHeight="1" x14ac:dyDescent="1.35">
      <c r="A108" s="2848" t="s">
        <v>721</v>
      </c>
      <c r="B108" s="2845"/>
      <c r="C108" s="2846"/>
      <c r="D108" s="2846"/>
      <c r="E108" s="2847"/>
      <c r="F108" s="2848" t="s">
        <v>721</v>
      </c>
      <c r="G108" s="2845"/>
      <c r="H108" s="2846"/>
      <c r="I108" s="2846"/>
      <c r="J108" s="2847"/>
      <c r="K108" s="2848" t="s">
        <v>721</v>
      </c>
      <c r="L108" s="2845"/>
      <c r="M108" s="2846"/>
      <c r="N108" s="2846"/>
      <c r="O108" s="2847"/>
      <c r="P108" s="2848" t="s">
        <v>721</v>
      </c>
      <c r="Q108" s="2845"/>
      <c r="R108" s="2846"/>
      <c r="S108" s="2846"/>
      <c r="T108" s="2847"/>
      <c r="U108" s="2848" t="s">
        <v>721</v>
      </c>
      <c r="V108" s="2845"/>
      <c r="W108" s="2846"/>
      <c r="X108" s="2846"/>
      <c r="Y108" s="2847"/>
      <c r="Z108" s="2848" t="s">
        <v>721</v>
      </c>
      <c r="AA108" s="2845"/>
      <c r="AB108" s="2846"/>
      <c r="AC108" s="2846"/>
      <c r="AD108" s="2847"/>
      <c r="AE108" s="2848" t="s">
        <v>721</v>
      </c>
      <c r="AF108" s="2845"/>
      <c r="AG108" s="2846"/>
      <c r="AH108" s="2846"/>
      <c r="AI108" s="2847"/>
      <c r="AJ108" s="2848" t="s">
        <v>721</v>
      </c>
      <c r="AK108" s="2845"/>
      <c r="AL108" s="2846"/>
      <c r="AM108" s="2846"/>
      <c r="AN108" s="2847"/>
      <c r="AO108" s="2848" t="s">
        <v>721</v>
      </c>
      <c r="AP108" s="2845"/>
      <c r="AQ108" s="2846"/>
      <c r="AR108" s="2846"/>
      <c r="AS108" s="2847"/>
      <c r="AT108" s="2848" t="s">
        <v>721</v>
      </c>
      <c r="AU108" s="2845"/>
      <c r="AV108" s="2846"/>
      <c r="AW108" s="2846"/>
      <c r="AX108" s="2847"/>
      <c r="AY108" s="2848" t="s">
        <v>721</v>
      </c>
      <c r="AZ108" s="2845"/>
      <c r="BA108" s="2846"/>
      <c r="BB108" s="2846"/>
      <c r="BC108" s="2847"/>
      <c r="BD108" s="2848" t="s">
        <v>721</v>
      </c>
      <c r="BE108" s="2845"/>
      <c r="BF108" s="2846"/>
      <c r="BG108" s="2846"/>
      <c r="BH108" s="2847"/>
      <c r="BI108" s="2848" t="s">
        <v>721</v>
      </c>
      <c r="BJ108" s="2845"/>
      <c r="BK108" s="2846"/>
      <c r="BL108" s="2846"/>
      <c r="BM108" s="2847"/>
      <c r="BN108" s="2848" t="s">
        <v>721</v>
      </c>
      <c r="BO108" s="2845"/>
      <c r="BP108" s="2846"/>
      <c r="BQ108" s="2846"/>
      <c r="BR108" s="2847"/>
      <c r="BS108" s="2848" t="s">
        <v>721</v>
      </c>
      <c r="BT108" s="2845"/>
      <c r="BU108" s="2846"/>
      <c r="BV108" s="2846"/>
      <c r="BW108" s="2847"/>
      <c r="BX108" s="2848" t="s">
        <v>721</v>
      </c>
      <c r="BY108" s="2845"/>
      <c r="BZ108" s="2846"/>
      <c r="CA108" s="2846"/>
      <c r="CB108" s="2847"/>
    </row>
    <row r="109" spans="1:148" ht="50.25" customHeight="1" thickBot="1" x14ac:dyDescent="0.3">
      <c r="A109" s="2849"/>
      <c r="B109" s="518"/>
      <c r="C109" s="519" t="s">
        <v>113</v>
      </c>
      <c r="D109" s="520"/>
      <c r="E109" s="523" t="s">
        <v>114</v>
      </c>
      <c r="F109" s="2849"/>
      <c r="G109" s="518"/>
      <c r="H109" s="519" t="s">
        <v>113</v>
      </c>
      <c r="I109" s="520"/>
      <c r="J109" s="523" t="s">
        <v>114</v>
      </c>
      <c r="K109" s="2849"/>
      <c r="L109" s="518"/>
      <c r="M109" s="519" t="s">
        <v>113</v>
      </c>
      <c r="N109" s="520"/>
      <c r="O109" s="523" t="s">
        <v>114</v>
      </c>
      <c r="P109" s="2849"/>
      <c r="Q109" s="518"/>
      <c r="R109" s="519" t="s">
        <v>113</v>
      </c>
      <c r="S109" s="520"/>
      <c r="T109" s="523" t="s">
        <v>114</v>
      </c>
      <c r="U109" s="2849"/>
      <c r="V109" s="518"/>
      <c r="W109" s="519" t="s">
        <v>113</v>
      </c>
      <c r="X109" s="520"/>
      <c r="Y109" s="523" t="s">
        <v>114</v>
      </c>
      <c r="Z109" s="2849"/>
      <c r="AA109" s="518"/>
      <c r="AB109" s="519" t="s">
        <v>113</v>
      </c>
      <c r="AC109" s="520"/>
      <c r="AD109" s="523" t="s">
        <v>114</v>
      </c>
      <c r="AE109" s="2849"/>
      <c r="AF109" s="518"/>
      <c r="AG109" s="519" t="s">
        <v>113</v>
      </c>
      <c r="AH109" s="520"/>
      <c r="AI109" s="523" t="s">
        <v>114</v>
      </c>
      <c r="AJ109" s="2849"/>
      <c r="AK109" s="518"/>
      <c r="AL109" s="519" t="s">
        <v>113</v>
      </c>
      <c r="AM109" s="520"/>
      <c r="AN109" s="523" t="s">
        <v>114</v>
      </c>
      <c r="AO109" s="2849"/>
      <c r="AP109" s="518"/>
      <c r="AQ109" s="519" t="s">
        <v>113</v>
      </c>
      <c r="AR109" s="520"/>
      <c r="AS109" s="523" t="s">
        <v>114</v>
      </c>
      <c r="AT109" s="2849"/>
      <c r="AU109" s="518"/>
      <c r="AV109" s="519" t="s">
        <v>113</v>
      </c>
      <c r="AW109" s="520"/>
      <c r="AX109" s="523" t="s">
        <v>114</v>
      </c>
      <c r="AY109" s="2849"/>
      <c r="AZ109" s="518"/>
      <c r="BA109" s="519" t="s">
        <v>113</v>
      </c>
      <c r="BB109" s="520"/>
      <c r="BC109" s="523" t="s">
        <v>114</v>
      </c>
      <c r="BD109" s="2849"/>
      <c r="BE109" s="518"/>
      <c r="BF109" s="519" t="s">
        <v>113</v>
      </c>
      <c r="BG109" s="520"/>
      <c r="BH109" s="523" t="s">
        <v>114</v>
      </c>
      <c r="BI109" s="2849"/>
      <c r="BJ109" s="518"/>
      <c r="BK109" s="519" t="s">
        <v>113</v>
      </c>
      <c r="BL109" s="520"/>
      <c r="BM109" s="523" t="s">
        <v>114</v>
      </c>
      <c r="BN109" s="2849"/>
      <c r="BO109" s="518"/>
      <c r="BP109" s="519" t="s">
        <v>113</v>
      </c>
      <c r="BQ109" s="520"/>
      <c r="BR109" s="523" t="s">
        <v>114</v>
      </c>
      <c r="BS109" s="2849"/>
      <c r="BT109" s="518"/>
      <c r="BU109" s="519" t="s">
        <v>113</v>
      </c>
      <c r="BV109" s="520"/>
      <c r="BW109" s="523" t="s">
        <v>114</v>
      </c>
      <c r="BX109" s="2849"/>
      <c r="BY109" s="518"/>
      <c r="BZ109" s="519" t="s">
        <v>113</v>
      </c>
      <c r="CA109" s="520"/>
      <c r="CB109" s="523" t="s">
        <v>114</v>
      </c>
      <c r="CG109" s="27"/>
      <c r="CH109" s="27"/>
      <c r="CI109" s="27"/>
      <c r="CJ109" s="27"/>
      <c r="CK109" s="27"/>
      <c r="CL109" s="27"/>
      <c r="CM109" s="27"/>
      <c r="CN109" s="27"/>
      <c r="CO109" s="27"/>
    </row>
    <row r="110" spans="1:148" ht="57" customHeight="1" thickTop="1" x14ac:dyDescent="0.25">
      <c r="A110" s="2843" t="s">
        <v>110</v>
      </c>
      <c r="B110" s="2844"/>
      <c r="C110" s="2514">
        <f t="shared" ref="C110" si="260">B115/((36*3.1415/59)*(68/3.281))</f>
        <v>0</v>
      </c>
      <c r="D110" s="2514"/>
      <c r="E110" s="2515"/>
      <c r="F110" s="2843" t="s">
        <v>110</v>
      </c>
      <c r="G110" s="2844"/>
      <c r="H110" s="2514">
        <f t="shared" ref="H110" si="261">G115/((36*3.1415/59)*(68/3.281))</f>
        <v>0</v>
      </c>
      <c r="I110" s="2514"/>
      <c r="J110" s="2515"/>
      <c r="K110" s="2843" t="s">
        <v>110</v>
      </c>
      <c r="L110" s="2844"/>
      <c r="M110" s="2514">
        <f t="shared" ref="M110" si="262">L115/((36*3.1415/59)*(68/3.281))</f>
        <v>0</v>
      </c>
      <c r="N110" s="2514"/>
      <c r="O110" s="2515"/>
      <c r="P110" s="2843" t="s">
        <v>110</v>
      </c>
      <c r="Q110" s="2844"/>
      <c r="R110" s="2514">
        <f t="shared" ref="R110" si="263">Q115/((36*3.1415/59)*(68/3.281))</f>
        <v>0</v>
      </c>
      <c r="S110" s="2514"/>
      <c r="T110" s="2515"/>
      <c r="U110" s="2843" t="s">
        <v>110</v>
      </c>
      <c r="V110" s="2844"/>
      <c r="W110" s="2514">
        <f t="shared" ref="W110" si="264">V115/((36*3.1415/59)*(68/3.281))</f>
        <v>0</v>
      </c>
      <c r="X110" s="2514"/>
      <c r="Y110" s="2515"/>
      <c r="Z110" s="2843" t="s">
        <v>110</v>
      </c>
      <c r="AA110" s="2844"/>
      <c r="AB110" s="2514">
        <f t="shared" ref="AB110" si="265">AA115/((36*3.1415/59)*(68/3.281))</f>
        <v>0</v>
      </c>
      <c r="AC110" s="2514"/>
      <c r="AD110" s="2515"/>
      <c r="AE110" s="2843" t="s">
        <v>110</v>
      </c>
      <c r="AF110" s="2844"/>
      <c r="AG110" s="2514">
        <f t="shared" ref="AG110" si="266">AF115/((36*3.1415/59)*(68/3.281))</f>
        <v>0</v>
      </c>
      <c r="AH110" s="2514"/>
      <c r="AI110" s="2515"/>
      <c r="AJ110" s="2843" t="s">
        <v>110</v>
      </c>
      <c r="AK110" s="2844"/>
      <c r="AL110" s="2514">
        <f t="shared" ref="AL110" si="267">AK115/((36*3.1415/59)*(68/3.281))</f>
        <v>0</v>
      </c>
      <c r="AM110" s="2514"/>
      <c r="AN110" s="2515"/>
      <c r="AO110" s="2843" t="s">
        <v>110</v>
      </c>
      <c r="AP110" s="2844"/>
      <c r="AQ110" s="2514">
        <f t="shared" ref="AQ110" si="268">AP115/((36*3.1415/59)*(68/3.281))</f>
        <v>0</v>
      </c>
      <c r="AR110" s="2514"/>
      <c r="AS110" s="2515"/>
      <c r="AT110" s="2843" t="s">
        <v>110</v>
      </c>
      <c r="AU110" s="2844"/>
      <c r="AV110" s="2514">
        <f t="shared" ref="AV110" si="269">AU115/((36*3.1415/59)*(68/3.281))</f>
        <v>0</v>
      </c>
      <c r="AW110" s="2514"/>
      <c r="AX110" s="2515"/>
      <c r="AY110" s="2843" t="s">
        <v>110</v>
      </c>
      <c r="AZ110" s="2844"/>
      <c r="BA110" s="2514">
        <f t="shared" ref="BA110" si="270">AZ115/((36*3.1415/59)*(68/3.281))</f>
        <v>0</v>
      </c>
      <c r="BB110" s="2514"/>
      <c r="BC110" s="2515"/>
      <c r="BD110" s="2843" t="s">
        <v>110</v>
      </c>
      <c r="BE110" s="2844"/>
      <c r="BF110" s="2514">
        <f t="shared" ref="BF110" si="271">BE115/((36*3.1415/59)*(68/3.281))</f>
        <v>0</v>
      </c>
      <c r="BG110" s="2514"/>
      <c r="BH110" s="2515"/>
      <c r="BI110" s="2843" t="s">
        <v>110</v>
      </c>
      <c r="BJ110" s="2844"/>
      <c r="BK110" s="2514">
        <f t="shared" ref="BK110" si="272">BJ115/((36*3.1415/59)*(68/3.281))</f>
        <v>0</v>
      </c>
      <c r="BL110" s="2514"/>
      <c r="BM110" s="2515"/>
      <c r="BN110" s="2843" t="s">
        <v>110</v>
      </c>
      <c r="BO110" s="2844"/>
      <c r="BP110" s="2514">
        <f t="shared" ref="BP110" si="273">BO115/((36*3.1415/59)*(68/3.281))</f>
        <v>0</v>
      </c>
      <c r="BQ110" s="2514"/>
      <c r="BR110" s="2515"/>
      <c r="BS110" s="2843" t="s">
        <v>110</v>
      </c>
      <c r="BT110" s="2844"/>
      <c r="BU110" s="2514">
        <f t="shared" ref="BU110" si="274">BT115/((36*3.1415/59)*(68/3.281))</f>
        <v>0</v>
      </c>
      <c r="BV110" s="2514"/>
      <c r="BW110" s="2515"/>
      <c r="BX110" s="2843" t="s">
        <v>110</v>
      </c>
      <c r="BY110" s="2844"/>
      <c r="BZ110" s="2514">
        <f t="shared" ref="BZ110" si="275">BY115/((36*3.1415/59)*(68/3.281))</f>
        <v>0</v>
      </c>
      <c r="CA110" s="2514"/>
      <c r="CB110" s="2515"/>
    </row>
    <row r="111" spans="1:148" ht="11.25" customHeight="1" x14ac:dyDescent="0.25">
      <c r="A111" s="2831" t="s">
        <v>25</v>
      </c>
      <c r="B111" s="2832"/>
      <c r="C111" s="2832"/>
      <c r="D111" s="2837" t="s">
        <v>706</v>
      </c>
      <c r="E111" s="2838"/>
      <c r="F111" s="2831" t="s">
        <v>25</v>
      </c>
      <c r="G111" s="2832"/>
      <c r="H111" s="2832"/>
      <c r="I111" s="2837" t="s">
        <v>706</v>
      </c>
      <c r="J111" s="2838"/>
      <c r="K111" s="2831" t="s">
        <v>25</v>
      </c>
      <c r="L111" s="2832"/>
      <c r="M111" s="2832"/>
      <c r="N111" s="2837" t="s">
        <v>706</v>
      </c>
      <c r="O111" s="2838"/>
      <c r="P111" s="2831" t="s">
        <v>25</v>
      </c>
      <c r="Q111" s="2832"/>
      <c r="R111" s="2832"/>
      <c r="S111" s="2837" t="s">
        <v>706</v>
      </c>
      <c r="T111" s="2838"/>
      <c r="U111" s="2831" t="s">
        <v>25</v>
      </c>
      <c r="V111" s="2832"/>
      <c r="W111" s="2832"/>
      <c r="X111" s="2837" t="s">
        <v>706</v>
      </c>
      <c r="Y111" s="2838"/>
      <c r="Z111" s="2831" t="s">
        <v>25</v>
      </c>
      <c r="AA111" s="2832"/>
      <c r="AB111" s="2832"/>
      <c r="AC111" s="2837" t="s">
        <v>706</v>
      </c>
      <c r="AD111" s="2838"/>
      <c r="AE111" s="2831" t="s">
        <v>25</v>
      </c>
      <c r="AF111" s="2832"/>
      <c r="AG111" s="2832"/>
      <c r="AH111" s="2837" t="s">
        <v>706</v>
      </c>
      <c r="AI111" s="2838"/>
      <c r="AJ111" s="2831" t="s">
        <v>25</v>
      </c>
      <c r="AK111" s="2832"/>
      <c r="AL111" s="2832"/>
      <c r="AM111" s="2837" t="s">
        <v>706</v>
      </c>
      <c r="AN111" s="2838"/>
      <c r="AO111" s="2831" t="s">
        <v>25</v>
      </c>
      <c r="AP111" s="2832"/>
      <c r="AQ111" s="2832"/>
      <c r="AR111" s="2837" t="s">
        <v>706</v>
      </c>
      <c r="AS111" s="2838"/>
      <c r="AT111" s="2831" t="s">
        <v>25</v>
      </c>
      <c r="AU111" s="2832"/>
      <c r="AV111" s="2832"/>
      <c r="AW111" s="2837" t="s">
        <v>706</v>
      </c>
      <c r="AX111" s="2838"/>
      <c r="AY111" s="2831" t="s">
        <v>25</v>
      </c>
      <c r="AZ111" s="2832"/>
      <c r="BA111" s="2832"/>
      <c r="BB111" s="2837" t="s">
        <v>706</v>
      </c>
      <c r="BC111" s="2838"/>
      <c r="BD111" s="2831" t="s">
        <v>25</v>
      </c>
      <c r="BE111" s="2832"/>
      <c r="BF111" s="2832"/>
      <c r="BG111" s="2837" t="s">
        <v>706</v>
      </c>
      <c r="BH111" s="2838"/>
      <c r="BI111" s="2831" t="s">
        <v>25</v>
      </c>
      <c r="BJ111" s="2832"/>
      <c r="BK111" s="2832"/>
      <c r="BL111" s="2837" t="s">
        <v>706</v>
      </c>
      <c r="BM111" s="2838"/>
      <c r="BN111" s="2831" t="s">
        <v>25</v>
      </c>
      <c r="BO111" s="2832"/>
      <c r="BP111" s="2832"/>
      <c r="BQ111" s="2837" t="s">
        <v>706</v>
      </c>
      <c r="BR111" s="2838"/>
      <c r="BS111" s="2831" t="s">
        <v>25</v>
      </c>
      <c r="BT111" s="2832"/>
      <c r="BU111" s="2832"/>
      <c r="BV111" s="2837" t="s">
        <v>706</v>
      </c>
      <c r="BW111" s="2838"/>
      <c r="BX111" s="2831" t="s">
        <v>25</v>
      </c>
      <c r="BY111" s="2832"/>
      <c r="BZ111" s="2832"/>
      <c r="CA111" s="2837" t="s">
        <v>706</v>
      </c>
      <c r="CB111" s="2838"/>
    </row>
    <row r="112" spans="1:148" ht="11.25" customHeight="1" x14ac:dyDescent="0.25">
      <c r="A112" s="2833"/>
      <c r="B112" s="2834"/>
      <c r="C112" s="2834"/>
      <c r="D112" s="2839"/>
      <c r="E112" s="2840"/>
      <c r="F112" s="2833"/>
      <c r="G112" s="2834"/>
      <c r="H112" s="2834"/>
      <c r="I112" s="2839"/>
      <c r="J112" s="2840"/>
      <c r="K112" s="2833"/>
      <c r="L112" s="2834"/>
      <c r="M112" s="2834"/>
      <c r="N112" s="2839"/>
      <c r="O112" s="2840"/>
      <c r="P112" s="2833"/>
      <c r="Q112" s="2834"/>
      <c r="R112" s="2834"/>
      <c r="S112" s="2839"/>
      <c r="T112" s="2840"/>
      <c r="U112" s="2833"/>
      <c r="V112" s="2834"/>
      <c r="W112" s="2834"/>
      <c r="X112" s="2839"/>
      <c r="Y112" s="2840"/>
      <c r="Z112" s="2833"/>
      <c r="AA112" s="2834"/>
      <c r="AB112" s="2834"/>
      <c r="AC112" s="2839"/>
      <c r="AD112" s="2840"/>
      <c r="AE112" s="2833"/>
      <c r="AF112" s="2834"/>
      <c r="AG112" s="2834"/>
      <c r="AH112" s="2839"/>
      <c r="AI112" s="2840"/>
      <c r="AJ112" s="2833"/>
      <c r="AK112" s="2834"/>
      <c r="AL112" s="2834"/>
      <c r="AM112" s="2839"/>
      <c r="AN112" s="2840"/>
      <c r="AO112" s="2833"/>
      <c r="AP112" s="2834"/>
      <c r="AQ112" s="2834"/>
      <c r="AR112" s="2839"/>
      <c r="AS112" s="2840"/>
      <c r="AT112" s="2833"/>
      <c r="AU112" s="2834"/>
      <c r="AV112" s="2834"/>
      <c r="AW112" s="2839"/>
      <c r="AX112" s="2840"/>
      <c r="AY112" s="2833"/>
      <c r="AZ112" s="2834"/>
      <c r="BA112" s="2834"/>
      <c r="BB112" s="2839"/>
      <c r="BC112" s="2840"/>
      <c r="BD112" s="2833"/>
      <c r="BE112" s="2834"/>
      <c r="BF112" s="2834"/>
      <c r="BG112" s="2839"/>
      <c r="BH112" s="2840"/>
      <c r="BI112" s="2833"/>
      <c r="BJ112" s="2834"/>
      <c r="BK112" s="2834"/>
      <c r="BL112" s="2839"/>
      <c r="BM112" s="2840"/>
      <c r="BN112" s="2833"/>
      <c r="BO112" s="2834"/>
      <c r="BP112" s="2834"/>
      <c r="BQ112" s="2839"/>
      <c r="BR112" s="2840"/>
      <c r="BS112" s="2833"/>
      <c r="BT112" s="2834"/>
      <c r="BU112" s="2834"/>
      <c r="BV112" s="2839"/>
      <c r="BW112" s="2840"/>
      <c r="BX112" s="2833"/>
      <c r="BY112" s="2834"/>
      <c r="BZ112" s="2834"/>
      <c r="CA112" s="2839"/>
      <c r="CB112" s="2840"/>
      <c r="EN112" s="13"/>
      <c r="EO112" s="13"/>
      <c r="EP112" s="13"/>
      <c r="EQ112" s="13"/>
      <c r="ER112" s="13"/>
    </row>
    <row r="113" spans="1:148" ht="11.25" customHeight="1" x14ac:dyDescent="0.25">
      <c r="A113" s="2835"/>
      <c r="B113" s="2836"/>
      <c r="C113" s="2836"/>
      <c r="D113" s="2841"/>
      <c r="E113" s="2842"/>
      <c r="F113" s="2835"/>
      <c r="G113" s="2836"/>
      <c r="H113" s="2836"/>
      <c r="I113" s="2841"/>
      <c r="J113" s="2842"/>
      <c r="K113" s="2835"/>
      <c r="L113" s="2836"/>
      <c r="M113" s="2836"/>
      <c r="N113" s="2841"/>
      <c r="O113" s="2842"/>
      <c r="P113" s="2835"/>
      <c r="Q113" s="2836"/>
      <c r="R113" s="2836"/>
      <c r="S113" s="2841"/>
      <c r="T113" s="2842"/>
      <c r="U113" s="2835"/>
      <c r="V113" s="2836"/>
      <c r="W113" s="2836"/>
      <c r="X113" s="2841"/>
      <c r="Y113" s="2842"/>
      <c r="Z113" s="2835"/>
      <c r="AA113" s="2836"/>
      <c r="AB113" s="2836"/>
      <c r="AC113" s="2841"/>
      <c r="AD113" s="2842"/>
      <c r="AE113" s="2835"/>
      <c r="AF113" s="2836"/>
      <c r="AG113" s="2836"/>
      <c r="AH113" s="2841"/>
      <c r="AI113" s="2842"/>
      <c r="AJ113" s="2835"/>
      <c r="AK113" s="2836"/>
      <c r="AL113" s="2836"/>
      <c r="AM113" s="2841"/>
      <c r="AN113" s="2842"/>
      <c r="AO113" s="2835"/>
      <c r="AP113" s="2836"/>
      <c r="AQ113" s="2836"/>
      <c r="AR113" s="2841"/>
      <c r="AS113" s="2842"/>
      <c r="AT113" s="2835"/>
      <c r="AU113" s="2836"/>
      <c r="AV113" s="2836"/>
      <c r="AW113" s="2841"/>
      <c r="AX113" s="2842"/>
      <c r="AY113" s="2835"/>
      <c r="AZ113" s="2836"/>
      <c r="BA113" s="2836"/>
      <c r="BB113" s="2841"/>
      <c r="BC113" s="2842"/>
      <c r="BD113" s="2835"/>
      <c r="BE113" s="2836"/>
      <c r="BF113" s="2836"/>
      <c r="BG113" s="2841"/>
      <c r="BH113" s="2842"/>
      <c r="BI113" s="2835"/>
      <c r="BJ113" s="2836"/>
      <c r="BK113" s="2836"/>
      <c r="BL113" s="2841"/>
      <c r="BM113" s="2842"/>
      <c r="BN113" s="2835"/>
      <c r="BO113" s="2836"/>
      <c r="BP113" s="2836"/>
      <c r="BQ113" s="2841"/>
      <c r="BR113" s="2842"/>
      <c r="BS113" s="2835"/>
      <c r="BT113" s="2836"/>
      <c r="BU113" s="2836"/>
      <c r="BV113" s="2841"/>
      <c r="BW113" s="2842"/>
      <c r="BX113" s="2835"/>
      <c r="BY113" s="2836"/>
      <c r="BZ113" s="2836"/>
      <c r="CA113" s="2841"/>
      <c r="CB113" s="2842"/>
      <c r="EN113" s="13"/>
      <c r="EO113" s="13"/>
      <c r="EP113" s="13"/>
      <c r="EQ113" s="13"/>
      <c r="ER113" s="13"/>
    </row>
    <row r="114" spans="1:148" s="22" customFormat="1" ht="111.75" customHeight="1" x14ac:dyDescent="1.35">
      <c r="A114" s="2848" t="s">
        <v>721</v>
      </c>
      <c r="B114" s="2845"/>
      <c r="C114" s="2846"/>
      <c r="D114" s="2846"/>
      <c r="E114" s="2847"/>
      <c r="F114" s="2848" t="s">
        <v>721</v>
      </c>
      <c r="G114" s="2845"/>
      <c r="H114" s="2846"/>
      <c r="I114" s="2846"/>
      <c r="J114" s="2847"/>
      <c r="K114" s="2848" t="s">
        <v>721</v>
      </c>
      <c r="L114" s="2845"/>
      <c r="M114" s="2846"/>
      <c r="N114" s="2846"/>
      <c r="O114" s="2847"/>
      <c r="P114" s="2848" t="s">
        <v>721</v>
      </c>
      <c r="Q114" s="2845"/>
      <c r="R114" s="2846"/>
      <c r="S114" s="2846"/>
      <c r="T114" s="2847"/>
      <c r="U114" s="2848" t="s">
        <v>721</v>
      </c>
      <c r="V114" s="2845"/>
      <c r="W114" s="2846"/>
      <c r="X114" s="2846"/>
      <c r="Y114" s="2847"/>
      <c r="Z114" s="2848" t="s">
        <v>721</v>
      </c>
      <c r="AA114" s="2845"/>
      <c r="AB114" s="2846"/>
      <c r="AC114" s="2846"/>
      <c r="AD114" s="2847"/>
      <c r="AE114" s="2848" t="s">
        <v>721</v>
      </c>
      <c r="AF114" s="2845"/>
      <c r="AG114" s="2846"/>
      <c r="AH114" s="2846"/>
      <c r="AI114" s="2847"/>
      <c r="AJ114" s="2848" t="s">
        <v>721</v>
      </c>
      <c r="AK114" s="2845"/>
      <c r="AL114" s="2846"/>
      <c r="AM114" s="2846"/>
      <c r="AN114" s="2847"/>
      <c r="AO114" s="2848" t="s">
        <v>721</v>
      </c>
      <c r="AP114" s="2845"/>
      <c r="AQ114" s="2846"/>
      <c r="AR114" s="2846"/>
      <c r="AS114" s="2847"/>
      <c r="AT114" s="2848" t="s">
        <v>721</v>
      </c>
      <c r="AU114" s="2845"/>
      <c r="AV114" s="2846"/>
      <c r="AW114" s="2846"/>
      <c r="AX114" s="2847"/>
      <c r="AY114" s="2848" t="s">
        <v>721</v>
      </c>
      <c r="AZ114" s="2845"/>
      <c r="BA114" s="2846"/>
      <c r="BB114" s="2846"/>
      <c r="BC114" s="2847"/>
      <c r="BD114" s="2848" t="s">
        <v>721</v>
      </c>
      <c r="BE114" s="2845"/>
      <c r="BF114" s="2846"/>
      <c r="BG114" s="2846"/>
      <c r="BH114" s="2847"/>
      <c r="BI114" s="2848" t="s">
        <v>721</v>
      </c>
      <c r="BJ114" s="2845"/>
      <c r="BK114" s="2846"/>
      <c r="BL114" s="2846"/>
      <c r="BM114" s="2847"/>
      <c r="BN114" s="2848" t="s">
        <v>721</v>
      </c>
      <c r="BO114" s="2845"/>
      <c r="BP114" s="2846"/>
      <c r="BQ114" s="2846"/>
      <c r="BR114" s="2847"/>
      <c r="BS114" s="2848" t="s">
        <v>721</v>
      </c>
      <c r="BT114" s="2845"/>
      <c r="BU114" s="2846"/>
      <c r="BV114" s="2846"/>
      <c r="BW114" s="2847"/>
      <c r="BX114" s="2848" t="s">
        <v>721</v>
      </c>
      <c r="BY114" s="2845"/>
      <c r="BZ114" s="2846"/>
      <c r="CA114" s="2846"/>
      <c r="CB114" s="2847"/>
      <c r="DE114" s="56"/>
      <c r="EN114" s="13"/>
      <c r="EO114" s="13"/>
      <c r="EP114" s="13"/>
      <c r="EQ114" s="13"/>
      <c r="ER114" s="13"/>
    </row>
    <row r="115" spans="1:148" ht="50.25" customHeight="1" thickBot="1" x14ac:dyDescent="0.3">
      <c r="A115" s="2849"/>
      <c r="B115" s="518"/>
      <c r="C115" s="519" t="s">
        <v>113</v>
      </c>
      <c r="D115" s="520"/>
      <c r="E115" s="523" t="s">
        <v>114</v>
      </c>
      <c r="F115" s="2849"/>
      <c r="G115" s="518"/>
      <c r="H115" s="519" t="s">
        <v>113</v>
      </c>
      <c r="I115" s="520"/>
      <c r="J115" s="523" t="s">
        <v>114</v>
      </c>
      <c r="K115" s="2849"/>
      <c r="L115" s="518"/>
      <c r="M115" s="519" t="s">
        <v>113</v>
      </c>
      <c r="N115" s="520"/>
      <c r="O115" s="523" t="s">
        <v>114</v>
      </c>
      <c r="P115" s="2849"/>
      <c r="Q115" s="518"/>
      <c r="R115" s="519" t="s">
        <v>113</v>
      </c>
      <c r="S115" s="520"/>
      <c r="T115" s="523" t="s">
        <v>114</v>
      </c>
      <c r="U115" s="2849"/>
      <c r="V115" s="518"/>
      <c r="W115" s="519" t="s">
        <v>113</v>
      </c>
      <c r="X115" s="520"/>
      <c r="Y115" s="523" t="s">
        <v>114</v>
      </c>
      <c r="Z115" s="2849"/>
      <c r="AA115" s="518"/>
      <c r="AB115" s="519" t="s">
        <v>113</v>
      </c>
      <c r="AC115" s="520"/>
      <c r="AD115" s="523" t="s">
        <v>114</v>
      </c>
      <c r="AE115" s="2849"/>
      <c r="AF115" s="518"/>
      <c r="AG115" s="519" t="s">
        <v>113</v>
      </c>
      <c r="AH115" s="520"/>
      <c r="AI115" s="523" t="s">
        <v>114</v>
      </c>
      <c r="AJ115" s="2849"/>
      <c r="AK115" s="518"/>
      <c r="AL115" s="519" t="s">
        <v>113</v>
      </c>
      <c r="AM115" s="520"/>
      <c r="AN115" s="523" t="s">
        <v>114</v>
      </c>
      <c r="AO115" s="2849"/>
      <c r="AP115" s="518"/>
      <c r="AQ115" s="519" t="s">
        <v>113</v>
      </c>
      <c r="AR115" s="520"/>
      <c r="AS115" s="523" t="s">
        <v>114</v>
      </c>
      <c r="AT115" s="2849"/>
      <c r="AU115" s="518"/>
      <c r="AV115" s="519" t="s">
        <v>113</v>
      </c>
      <c r="AW115" s="520"/>
      <c r="AX115" s="523" t="s">
        <v>114</v>
      </c>
      <c r="AY115" s="2849"/>
      <c r="AZ115" s="518"/>
      <c r="BA115" s="519" t="s">
        <v>113</v>
      </c>
      <c r="BB115" s="520"/>
      <c r="BC115" s="523" t="s">
        <v>114</v>
      </c>
      <c r="BD115" s="2849"/>
      <c r="BE115" s="518"/>
      <c r="BF115" s="519" t="s">
        <v>113</v>
      </c>
      <c r="BG115" s="520"/>
      <c r="BH115" s="523" t="s">
        <v>114</v>
      </c>
      <c r="BI115" s="2849"/>
      <c r="BJ115" s="518"/>
      <c r="BK115" s="519" t="s">
        <v>113</v>
      </c>
      <c r="BL115" s="520"/>
      <c r="BM115" s="523" t="s">
        <v>114</v>
      </c>
      <c r="BN115" s="2849"/>
      <c r="BO115" s="518"/>
      <c r="BP115" s="519" t="s">
        <v>113</v>
      </c>
      <c r="BQ115" s="520"/>
      <c r="BR115" s="523" t="s">
        <v>114</v>
      </c>
      <c r="BS115" s="2849"/>
      <c r="BT115" s="518"/>
      <c r="BU115" s="519" t="s">
        <v>113</v>
      </c>
      <c r="BV115" s="520"/>
      <c r="BW115" s="523" t="s">
        <v>114</v>
      </c>
      <c r="BX115" s="2849"/>
      <c r="BY115" s="518"/>
      <c r="BZ115" s="519" t="s">
        <v>113</v>
      </c>
      <c r="CA115" s="520"/>
      <c r="CB115" s="523" t="s">
        <v>114</v>
      </c>
      <c r="CG115" s="27"/>
      <c r="CH115" s="27"/>
      <c r="CI115" s="27"/>
      <c r="CJ115" s="27"/>
      <c r="CK115" s="27"/>
      <c r="CL115" s="27"/>
      <c r="CM115" s="27"/>
      <c r="CN115" s="27"/>
      <c r="CO115" s="27"/>
      <c r="EN115" s="13"/>
      <c r="EO115" s="13"/>
      <c r="EP115" s="13"/>
      <c r="EQ115" s="13"/>
      <c r="ER115" s="13"/>
    </row>
    <row r="116" spans="1:148" ht="57" customHeight="1" thickTop="1" x14ac:dyDescent="0.25">
      <c r="A116" s="2843" t="s">
        <v>110</v>
      </c>
      <c r="B116" s="2844"/>
      <c r="C116" s="2514">
        <f t="shared" ref="C116" si="276">B121/((36*3.1415/59)*(68/3.281))</f>
        <v>0</v>
      </c>
      <c r="D116" s="2514"/>
      <c r="E116" s="2515"/>
      <c r="F116" s="2843" t="s">
        <v>110</v>
      </c>
      <c r="G116" s="2844"/>
      <c r="H116" s="2514">
        <f t="shared" ref="H116" si="277">G121/((36*3.1415/59)*(68/3.281))</f>
        <v>0</v>
      </c>
      <c r="I116" s="2514"/>
      <c r="J116" s="2515"/>
      <c r="K116" s="2843" t="s">
        <v>110</v>
      </c>
      <c r="L116" s="2844"/>
      <c r="M116" s="2514">
        <f t="shared" ref="M116" si="278">L121/((36*3.1415/59)*(68/3.281))</f>
        <v>0</v>
      </c>
      <c r="N116" s="2514"/>
      <c r="O116" s="2515"/>
      <c r="P116" s="2843" t="s">
        <v>110</v>
      </c>
      <c r="Q116" s="2844"/>
      <c r="R116" s="2514">
        <f t="shared" ref="R116" si="279">Q121/((36*3.1415/59)*(68/3.281))</f>
        <v>0</v>
      </c>
      <c r="S116" s="2514"/>
      <c r="T116" s="2515"/>
      <c r="U116" s="2843" t="s">
        <v>110</v>
      </c>
      <c r="V116" s="2844"/>
      <c r="W116" s="2514">
        <f t="shared" ref="W116" si="280">V121/((36*3.1415/59)*(68/3.281))</f>
        <v>0</v>
      </c>
      <c r="X116" s="2514"/>
      <c r="Y116" s="2515"/>
      <c r="Z116" s="2843" t="s">
        <v>110</v>
      </c>
      <c r="AA116" s="2844"/>
      <c r="AB116" s="2514">
        <f t="shared" ref="AB116" si="281">AA121/((36*3.1415/59)*(68/3.281))</f>
        <v>0</v>
      </c>
      <c r="AC116" s="2514"/>
      <c r="AD116" s="2515"/>
      <c r="AE116" s="2843" t="s">
        <v>110</v>
      </c>
      <c r="AF116" s="2844"/>
      <c r="AG116" s="2514">
        <f t="shared" ref="AG116" si="282">AF121/((36*3.1415/59)*(68/3.281))</f>
        <v>0</v>
      </c>
      <c r="AH116" s="2514"/>
      <c r="AI116" s="2515"/>
      <c r="AJ116" s="2843" t="s">
        <v>110</v>
      </c>
      <c r="AK116" s="2844"/>
      <c r="AL116" s="2514">
        <f t="shared" ref="AL116" si="283">AK121/((36*3.1415/59)*(68/3.281))</f>
        <v>0</v>
      </c>
      <c r="AM116" s="2514"/>
      <c r="AN116" s="2515"/>
      <c r="AO116" s="2843" t="s">
        <v>110</v>
      </c>
      <c r="AP116" s="2844"/>
      <c r="AQ116" s="2514">
        <f t="shared" ref="AQ116" si="284">AP121/((36*3.1415/59)*(68/3.281))</f>
        <v>0</v>
      </c>
      <c r="AR116" s="2514"/>
      <c r="AS116" s="2515"/>
      <c r="AT116" s="2843" t="s">
        <v>110</v>
      </c>
      <c r="AU116" s="2844"/>
      <c r="AV116" s="2514">
        <f t="shared" ref="AV116" si="285">AU121/((36*3.1415/59)*(68/3.281))</f>
        <v>0</v>
      </c>
      <c r="AW116" s="2514"/>
      <c r="AX116" s="2515"/>
      <c r="AY116" s="2843" t="s">
        <v>110</v>
      </c>
      <c r="AZ116" s="2844"/>
      <c r="BA116" s="2514">
        <f t="shared" ref="BA116" si="286">AZ121/((36*3.1415/59)*(68/3.281))</f>
        <v>0</v>
      </c>
      <c r="BB116" s="2514"/>
      <c r="BC116" s="2515"/>
      <c r="BD116" s="2843" t="s">
        <v>110</v>
      </c>
      <c r="BE116" s="2844"/>
      <c r="BF116" s="2514">
        <f t="shared" ref="BF116" si="287">BE121/((36*3.1415/59)*(68/3.281))</f>
        <v>0</v>
      </c>
      <c r="BG116" s="2514"/>
      <c r="BH116" s="2515"/>
      <c r="BI116" s="2843" t="s">
        <v>110</v>
      </c>
      <c r="BJ116" s="2844"/>
      <c r="BK116" s="2514">
        <f t="shared" ref="BK116" si="288">BJ121/((36*3.1415/59)*(68/3.281))</f>
        <v>0</v>
      </c>
      <c r="BL116" s="2514"/>
      <c r="BM116" s="2515"/>
      <c r="BN116" s="2843" t="s">
        <v>110</v>
      </c>
      <c r="BO116" s="2844"/>
      <c r="BP116" s="2514">
        <f t="shared" ref="BP116" si="289">BO121/((36*3.1415/59)*(68/3.281))</f>
        <v>0</v>
      </c>
      <c r="BQ116" s="2514"/>
      <c r="BR116" s="2515"/>
      <c r="BS116" s="2843" t="s">
        <v>110</v>
      </c>
      <c r="BT116" s="2844"/>
      <c r="BU116" s="2514">
        <f t="shared" ref="BU116" si="290">BT121/((36*3.1415/59)*(68/3.281))</f>
        <v>0</v>
      </c>
      <c r="BV116" s="2514"/>
      <c r="BW116" s="2515"/>
      <c r="BX116" s="2843" t="s">
        <v>110</v>
      </c>
      <c r="BY116" s="2844"/>
      <c r="BZ116" s="2514">
        <f t="shared" ref="BZ116" si="291">BY121/((36*3.1415/59)*(68/3.281))</f>
        <v>0</v>
      </c>
      <c r="CA116" s="2514"/>
      <c r="CB116" s="2515"/>
      <c r="EN116" s="13"/>
      <c r="EO116" s="13"/>
      <c r="EP116" s="13"/>
      <c r="EQ116" s="13"/>
      <c r="ER116" s="13"/>
    </row>
    <row r="117" spans="1:148" ht="11.25" customHeight="1" x14ac:dyDescent="0.25">
      <c r="A117" s="2831" t="s">
        <v>25</v>
      </c>
      <c r="B117" s="2832"/>
      <c r="C117" s="2832"/>
      <c r="D117" s="2837" t="s">
        <v>706</v>
      </c>
      <c r="E117" s="2838"/>
      <c r="F117" s="2831" t="s">
        <v>25</v>
      </c>
      <c r="G117" s="2832"/>
      <c r="H117" s="2832"/>
      <c r="I117" s="2837" t="s">
        <v>706</v>
      </c>
      <c r="J117" s="2838"/>
      <c r="K117" s="2831" t="s">
        <v>25</v>
      </c>
      <c r="L117" s="2832"/>
      <c r="M117" s="2832"/>
      <c r="N117" s="2837" t="s">
        <v>706</v>
      </c>
      <c r="O117" s="2838"/>
      <c r="P117" s="2831" t="s">
        <v>25</v>
      </c>
      <c r="Q117" s="2832"/>
      <c r="R117" s="2832"/>
      <c r="S117" s="2837" t="s">
        <v>706</v>
      </c>
      <c r="T117" s="2838"/>
      <c r="U117" s="2831" t="s">
        <v>25</v>
      </c>
      <c r="V117" s="2832"/>
      <c r="W117" s="2832"/>
      <c r="X117" s="2837" t="s">
        <v>706</v>
      </c>
      <c r="Y117" s="2838"/>
      <c r="Z117" s="2831" t="s">
        <v>25</v>
      </c>
      <c r="AA117" s="2832"/>
      <c r="AB117" s="2832"/>
      <c r="AC117" s="2837" t="s">
        <v>706</v>
      </c>
      <c r="AD117" s="2838"/>
      <c r="AE117" s="2831" t="s">
        <v>25</v>
      </c>
      <c r="AF117" s="2832"/>
      <c r="AG117" s="2832"/>
      <c r="AH117" s="2837" t="s">
        <v>706</v>
      </c>
      <c r="AI117" s="2838"/>
      <c r="AJ117" s="2831" t="s">
        <v>25</v>
      </c>
      <c r="AK117" s="2832"/>
      <c r="AL117" s="2832"/>
      <c r="AM117" s="2837" t="s">
        <v>706</v>
      </c>
      <c r="AN117" s="2838"/>
      <c r="AO117" s="2831" t="s">
        <v>25</v>
      </c>
      <c r="AP117" s="2832"/>
      <c r="AQ117" s="2832"/>
      <c r="AR117" s="2837" t="s">
        <v>706</v>
      </c>
      <c r="AS117" s="2838"/>
      <c r="AT117" s="2831" t="s">
        <v>25</v>
      </c>
      <c r="AU117" s="2832"/>
      <c r="AV117" s="2832"/>
      <c r="AW117" s="2837" t="s">
        <v>706</v>
      </c>
      <c r="AX117" s="2838"/>
      <c r="AY117" s="2831" t="s">
        <v>25</v>
      </c>
      <c r="AZ117" s="2832"/>
      <c r="BA117" s="2832"/>
      <c r="BB117" s="2837" t="s">
        <v>706</v>
      </c>
      <c r="BC117" s="2838"/>
      <c r="BD117" s="2831" t="s">
        <v>25</v>
      </c>
      <c r="BE117" s="2832"/>
      <c r="BF117" s="2832"/>
      <c r="BG117" s="2837" t="s">
        <v>706</v>
      </c>
      <c r="BH117" s="2838"/>
      <c r="BI117" s="2831" t="s">
        <v>25</v>
      </c>
      <c r="BJ117" s="2832"/>
      <c r="BK117" s="2832"/>
      <c r="BL117" s="2837" t="s">
        <v>706</v>
      </c>
      <c r="BM117" s="2838"/>
      <c r="BN117" s="2831" t="s">
        <v>25</v>
      </c>
      <c r="BO117" s="2832"/>
      <c r="BP117" s="2832"/>
      <c r="BQ117" s="2837" t="s">
        <v>706</v>
      </c>
      <c r="BR117" s="2838"/>
      <c r="BS117" s="2831" t="s">
        <v>25</v>
      </c>
      <c r="BT117" s="2832"/>
      <c r="BU117" s="2832"/>
      <c r="BV117" s="2837" t="s">
        <v>706</v>
      </c>
      <c r="BW117" s="2838"/>
      <c r="BX117" s="2831" t="s">
        <v>25</v>
      </c>
      <c r="BY117" s="2832"/>
      <c r="BZ117" s="2832"/>
      <c r="CA117" s="2837" t="s">
        <v>706</v>
      </c>
      <c r="CB117" s="2838"/>
      <c r="EN117" s="57"/>
      <c r="EO117" s="57"/>
      <c r="EP117" s="57"/>
      <c r="EQ117" s="57"/>
      <c r="ER117" s="57"/>
    </row>
    <row r="118" spans="1:148" ht="11.25" customHeight="1" x14ac:dyDescent="0.25">
      <c r="A118" s="2833"/>
      <c r="B118" s="2834"/>
      <c r="C118" s="2834"/>
      <c r="D118" s="2839"/>
      <c r="E118" s="2840"/>
      <c r="F118" s="2833"/>
      <c r="G118" s="2834"/>
      <c r="H118" s="2834"/>
      <c r="I118" s="2839"/>
      <c r="J118" s="2840"/>
      <c r="K118" s="2833"/>
      <c r="L118" s="2834"/>
      <c r="M118" s="2834"/>
      <c r="N118" s="2839"/>
      <c r="O118" s="2840"/>
      <c r="P118" s="2833"/>
      <c r="Q118" s="2834"/>
      <c r="R118" s="2834"/>
      <c r="S118" s="2839"/>
      <c r="T118" s="2840"/>
      <c r="U118" s="2833"/>
      <c r="V118" s="2834"/>
      <c r="W118" s="2834"/>
      <c r="X118" s="2839"/>
      <c r="Y118" s="2840"/>
      <c r="Z118" s="2833"/>
      <c r="AA118" s="2834"/>
      <c r="AB118" s="2834"/>
      <c r="AC118" s="2839"/>
      <c r="AD118" s="2840"/>
      <c r="AE118" s="2833"/>
      <c r="AF118" s="2834"/>
      <c r="AG118" s="2834"/>
      <c r="AH118" s="2839"/>
      <c r="AI118" s="2840"/>
      <c r="AJ118" s="2833"/>
      <c r="AK118" s="2834"/>
      <c r="AL118" s="2834"/>
      <c r="AM118" s="2839"/>
      <c r="AN118" s="2840"/>
      <c r="AO118" s="2833"/>
      <c r="AP118" s="2834"/>
      <c r="AQ118" s="2834"/>
      <c r="AR118" s="2839"/>
      <c r="AS118" s="2840"/>
      <c r="AT118" s="2833"/>
      <c r="AU118" s="2834"/>
      <c r="AV118" s="2834"/>
      <c r="AW118" s="2839"/>
      <c r="AX118" s="2840"/>
      <c r="AY118" s="2833"/>
      <c r="AZ118" s="2834"/>
      <c r="BA118" s="2834"/>
      <c r="BB118" s="2839"/>
      <c r="BC118" s="2840"/>
      <c r="BD118" s="2833"/>
      <c r="BE118" s="2834"/>
      <c r="BF118" s="2834"/>
      <c r="BG118" s="2839"/>
      <c r="BH118" s="2840"/>
      <c r="BI118" s="2833"/>
      <c r="BJ118" s="2834"/>
      <c r="BK118" s="2834"/>
      <c r="BL118" s="2839"/>
      <c r="BM118" s="2840"/>
      <c r="BN118" s="2833"/>
      <c r="BO118" s="2834"/>
      <c r="BP118" s="2834"/>
      <c r="BQ118" s="2839"/>
      <c r="BR118" s="2840"/>
      <c r="BS118" s="2833"/>
      <c r="BT118" s="2834"/>
      <c r="BU118" s="2834"/>
      <c r="BV118" s="2839"/>
      <c r="BW118" s="2840"/>
      <c r="BX118" s="2833"/>
      <c r="BY118" s="2834"/>
      <c r="BZ118" s="2834"/>
      <c r="CA118" s="2839"/>
      <c r="CB118" s="2840"/>
      <c r="EN118" s="57"/>
      <c r="EO118" s="57"/>
      <c r="EP118" s="57"/>
      <c r="EQ118" s="57"/>
      <c r="ER118" s="57"/>
    </row>
    <row r="119" spans="1:148" ht="11.25" customHeight="1" x14ac:dyDescent="0.25">
      <c r="A119" s="2835"/>
      <c r="B119" s="2836"/>
      <c r="C119" s="2836"/>
      <c r="D119" s="2841"/>
      <c r="E119" s="2842"/>
      <c r="F119" s="2835"/>
      <c r="G119" s="2836"/>
      <c r="H119" s="2836"/>
      <c r="I119" s="2841"/>
      <c r="J119" s="2842"/>
      <c r="K119" s="2835"/>
      <c r="L119" s="2836"/>
      <c r="M119" s="2836"/>
      <c r="N119" s="2841"/>
      <c r="O119" s="2842"/>
      <c r="P119" s="2835"/>
      <c r="Q119" s="2836"/>
      <c r="R119" s="2836"/>
      <c r="S119" s="2841"/>
      <c r="T119" s="2842"/>
      <c r="U119" s="2835"/>
      <c r="V119" s="2836"/>
      <c r="W119" s="2836"/>
      <c r="X119" s="2841"/>
      <c r="Y119" s="2842"/>
      <c r="Z119" s="2835"/>
      <c r="AA119" s="2836"/>
      <c r="AB119" s="2836"/>
      <c r="AC119" s="2841"/>
      <c r="AD119" s="2842"/>
      <c r="AE119" s="2835"/>
      <c r="AF119" s="2836"/>
      <c r="AG119" s="2836"/>
      <c r="AH119" s="2841"/>
      <c r="AI119" s="2842"/>
      <c r="AJ119" s="2835"/>
      <c r="AK119" s="2836"/>
      <c r="AL119" s="2836"/>
      <c r="AM119" s="2841"/>
      <c r="AN119" s="2842"/>
      <c r="AO119" s="2835"/>
      <c r="AP119" s="2836"/>
      <c r="AQ119" s="2836"/>
      <c r="AR119" s="2841"/>
      <c r="AS119" s="2842"/>
      <c r="AT119" s="2835"/>
      <c r="AU119" s="2836"/>
      <c r="AV119" s="2836"/>
      <c r="AW119" s="2841"/>
      <c r="AX119" s="2842"/>
      <c r="AY119" s="2835"/>
      <c r="AZ119" s="2836"/>
      <c r="BA119" s="2836"/>
      <c r="BB119" s="2841"/>
      <c r="BC119" s="2842"/>
      <c r="BD119" s="2835"/>
      <c r="BE119" s="2836"/>
      <c r="BF119" s="2836"/>
      <c r="BG119" s="2841"/>
      <c r="BH119" s="2842"/>
      <c r="BI119" s="2835"/>
      <c r="BJ119" s="2836"/>
      <c r="BK119" s="2836"/>
      <c r="BL119" s="2841"/>
      <c r="BM119" s="2842"/>
      <c r="BN119" s="2835"/>
      <c r="BO119" s="2836"/>
      <c r="BP119" s="2836"/>
      <c r="BQ119" s="2841"/>
      <c r="BR119" s="2842"/>
      <c r="BS119" s="2835"/>
      <c r="BT119" s="2836"/>
      <c r="BU119" s="2836"/>
      <c r="BV119" s="2841"/>
      <c r="BW119" s="2842"/>
      <c r="BX119" s="2835"/>
      <c r="BY119" s="2836"/>
      <c r="BZ119" s="2836"/>
      <c r="CA119" s="2841"/>
      <c r="CB119" s="2842"/>
      <c r="EN119" s="57"/>
      <c r="EO119" s="57"/>
      <c r="EP119" s="57"/>
      <c r="EQ119" s="57"/>
      <c r="ER119" s="57"/>
    </row>
    <row r="120" spans="1:148" s="22" customFormat="1" ht="111.75" customHeight="1" x14ac:dyDescent="1.35">
      <c r="A120" s="2848" t="s">
        <v>721</v>
      </c>
      <c r="B120" s="2845"/>
      <c r="C120" s="2846"/>
      <c r="D120" s="2846"/>
      <c r="E120" s="2847"/>
      <c r="F120" s="2848" t="s">
        <v>721</v>
      </c>
      <c r="G120" s="2845"/>
      <c r="H120" s="2846"/>
      <c r="I120" s="2846"/>
      <c r="J120" s="2847"/>
      <c r="K120" s="2848" t="s">
        <v>721</v>
      </c>
      <c r="L120" s="2845"/>
      <c r="M120" s="2846"/>
      <c r="N120" s="2846"/>
      <c r="O120" s="2847"/>
      <c r="P120" s="2848" t="s">
        <v>721</v>
      </c>
      <c r="Q120" s="2845"/>
      <c r="R120" s="2846"/>
      <c r="S120" s="2846"/>
      <c r="T120" s="2847"/>
      <c r="U120" s="2848" t="s">
        <v>721</v>
      </c>
      <c r="V120" s="2845"/>
      <c r="W120" s="2846"/>
      <c r="X120" s="2846"/>
      <c r="Y120" s="2847"/>
      <c r="Z120" s="2848" t="s">
        <v>721</v>
      </c>
      <c r="AA120" s="2845"/>
      <c r="AB120" s="2846"/>
      <c r="AC120" s="2846"/>
      <c r="AD120" s="2847"/>
      <c r="AE120" s="2848" t="s">
        <v>721</v>
      </c>
      <c r="AF120" s="2845"/>
      <c r="AG120" s="2846"/>
      <c r="AH120" s="2846"/>
      <c r="AI120" s="2847"/>
      <c r="AJ120" s="2848" t="s">
        <v>721</v>
      </c>
      <c r="AK120" s="2845"/>
      <c r="AL120" s="2846"/>
      <c r="AM120" s="2846"/>
      <c r="AN120" s="2847"/>
      <c r="AO120" s="2848" t="s">
        <v>721</v>
      </c>
      <c r="AP120" s="2845"/>
      <c r="AQ120" s="2846"/>
      <c r="AR120" s="2846"/>
      <c r="AS120" s="2847"/>
      <c r="AT120" s="2848" t="s">
        <v>721</v>
      </c>
      <c r="AU120" s="2845"/>
      <c r="AV120" s="2846"/>
      <c r="AW120" s="2846"/>
      <c r="AX120" s="2847"/>
      <c r="AY120" s="2848" t="s">
        <v>721</v>
      </c>
      <c r="AZ120" s="2845"/>
      <c r="BA120" s="2846"/>
      <c r="BB120" s="2846"/>
      <c r="BC120" s="2847"/>
      <c r="BD120" s="2848" t="s">
        <v>721</v>
      </c>
      <c r="BE120" s="2845"/>
      <c r="BF120" s="2846"/>
      <c r="BG120" s="2846"/>
      <c r="BH120" s="2847"/>
      <c r="BI120" s="2848" t="s">
        <v>721</v>
      </c>
      <c r="BJ120" s="2845"/>
      <c r="BK120" s="2846"/>
      <c r="BL120" s="2846"/>
      <c r="BM120" s="2847"/>
      <c r="BN120" s="2848" t="s">
        <v>721</v>
      </c>
      <c r="BO120" s="2845"/>
      <c r="BP120" s="2846"/>
      <c r="BQ120" s="2846"/>
      <c r="BR120" s="2847"/>
      <c r="BS120" s="2848" t="s">
        <v>721</v>
      </c>
      <c r="BT120" s="2845"/>
      <c r="BU120" s="2846"/>
      <c r="BV120" s="2846"/>
      <c r="BW120" s="2847"/>
      <c r="BX120" s="2848" t="s">
        <v>721</v>
      </c>
      <c r="BY120" s="2845"/>
      <c r="BZ120" s="2846"/>
      <c r="CA120" s="2846"/>
      <c r="CB120" s="2847"/>
      <c r="DE120"/>
      <c r="EN120" s="13"/>
      <c r="EO120" s="13"/>
      <c r="EP120" s="13"/>
      <c r="EQ120" s="13"/>
      <c r="ER120" s="13"/>
    </row>
    <row r="121" spans="1:148" ht="50.25" customHeight="1" thickBot="1" x14ac:dyDescent="0.3">
      <c r="A121" s="2849"/>
      <c r="B121" s="518"/>
      <c r="C121" s="519" t="s">
        <v>113</v>
      </c>
      <c r="D121" s="520"/>
      <c r="E121" s="523" t="s">
        <v>114</v>
      </c>
      <c r="F121" s="2849"/>
      <c r="G121" s="518"/>
      <c r="H121" s="519" t="s">
        <v>113</v>
      </c>
      <c r="I121" s="520"/>
      <c r="J121" s="523" t="s">
        <v>114</v>
      </c>
      <c r="K121" s="2849"/>
      <c r="L121" s="518"/>
      <c r="M121" s="519" t="s">
        <v>113</v>
      </c>
      <c r="N121" s="520"/>
      <c r="O121" s="523" t="s">
        <v>114</v>
      </c>
      <c r="P121" s="2849"/>
      <c r="Q121" s="518"/>
      <c r="R121" s="519" t="s">
        <v>113</v>
      </c>
      <c r="S121" s="520"/>
      <c r="T121" s="523" t="s">
        <v>114</v>
      </c>
      <c r="U121" s="2849"/>
      <c r="V121" s="518"/>
      <c r="W121" s="519" t="s">
        <v>113</v>
      </c>
      <c r="X121" s="520"/>
      <c r="Y121" s="523" t="s">
        <v>114</v>
      </c>
      <c r="Z121" s="2849"/>
      <c r="AA121" s="518"/>
      <c r="AB121" s="519" t="s">
        <v>113</v>
      </c>
      <c r="AC121" s="520"/>
      <c r="AD121" s="523" t="s">
        <v>114</v>
      </c>
      <c r="AE121" s="2849"/>
      <c r="AF121" s="518"/>
      <c r="AG121" s="519" t="s">
        <v>113</v>
      </c>
      <c r="AH121" s="520"/>
      <c r="AI121" s="523" t="s">
        <v>114</v>
      </c>
      <c r="AJ121" s="2849"/>
      <c r="AK121" s="518"/>
      <c r="AL121" s="519" t="s">
        <v>113</v>
      </c>
      <c r="AM121" s="520"/>
      <c r="AN121" s="523" t="s">
        <v>114</v>
      </c>
      <c r="AO121" s="2849"/>
      <c r="AP121" s="518"/>
      <c r="AQ121" s="519" t="s">
        <v>113</v>
      </c>
      <c r="AR121" s="520"/>
      <c r="AS121" s="523" t="s">
        <v>114</v>
      </c>
      <c r="AT121" s="2849"/>
      <c r="AU121" s="518"/>
      <c r="AV121" s="519" t="s">
        <v>113</v>
      </c>
      <c r="AW121" s="520"/>
      <c r="AX121" s="523" t="s">
        <v>114</v>
      </c>
      <c r="AY121" s="2849"/>
      <c r="AZ121" s="518"/>
      <c r="BA121" s="519" t="s">
        <v>113</v>
      </c>
      <c r="BB121" s="520"/>
      <c r="BC121" s="523" t="s">
        <v>114</v>
      </c>
      <c r="BD121" s="2849"/>
      <c r="BE121" s="518"/>
      <c r="BF121" s="519" t="s">
        <v>113</v>
      </c>
      <c r="BG121" s="520"/>
      <c r="BH121" s="523" t="s">
        <v>114</v>
      </c>
      <c r="BI121" s="2849"/>
      <c r="BJ121" s="518"/>
      <c r="BK121" s="519" t="s">
        <v>113</v>
      </c>
      <c r="BL121" s="520"/>
      <c r="BM121" s="523" t="s">
        <v>114</v>
      </c>
      <c r="BN121" s="2849"/>
      <c r="BO121" s="518"/>
      <c r="BP121" s="519" t="s">
        <v>113</v>
      </c>
      <c r="BQ121" s="520"/>
      <c r="BR121" s="523" t="s">
        <v>114</v>
      </c>
      <c r="BS121" s="2849"/>
      <c r="BT121" s="518"/>
      <c r="BU121" s="519" t="s">
        <v>113</v>
      </c>
      <c r="BV121" s="520"/>
      <c r="BW121" s="523" t="s">
        <v>114</v>
      </c>
      <c r="BX121" s="2849"/>
      <c r="BY121" s="518"/>
      <c r="BZ121" s="519" t="s">
        <v>113</v>
      </c>
      <c r="CA121" s="520"/>
      <c r="CB121" s="523" t="s">
        <v>114</v>
      </c>
      <c r="CG121" s="27"/>
      <c r="CH121" s="27"/>
      <c r="CI121" s="27"/>
      <c r="CJ121" s="27"/>
      <c r="CK121" s="27"/>
      <c r="CL121" s="27"/>
      <c r="CM121" s="27"/>
      <c r="CN121" s="27"/>
      <c r="CO121" s="27"/>
      <c r="EN121" s="13"/>
      <c r="EO121" s="13"/>
      <c r="EP121" s="13"/>
      <c r="EQ121" s="13"/>
      <c r="ER121" s="13"/>
    </row>
    <row r="122" spans="1:148" ht="57" customHeight="1" thickTop="1" x14ac:dyDescent="0.25">
      <c r="A122" s="2843" t="s">
        <v>110</v>
      </c>
      <c r="B122" s="2844"/>
      <c r="C122" s="2514">
        <f t="shared" ref="C122" si="292">B127/((36*3.1415/59)*(68/3.281))</f>
        <v>0</v>
      </c>
      <c r="D122" s="2514"/>
      <c r="E122" s="2515"/>
      <c r="F122" s="2843" t="s">
        <v>110</v>
      </c>
      <c r="G122" s="2844"/>
      <c r="H122" s="2514">
        <f t="shared" ref="H122" si="293">G127/((36*3.1415/59)*(68/3.281))</f>
        <v>0</v>
      </c>
      <c r="I122" s="2514"/>
      <c r="J122" s="2515"/>
      <c r="K122" s="2843" t="s">
        <v>110</v>
      </c>
      <c r="L122" s="2844"/>
      <c r="M122" s="2514">
        <f t="shared" ref="M122" si="294">L127/((36*3.1415/59)*(68/3.281))</f>
        <v>0</v>
      </c>
      <c r="N122" s="2514"/>
      <c r="O122" s="2515"/>
      <c r="P122" s="2843" t="s">
        <v>110</v>
      </c>
      <c r="Q122" s="2844"/>
      <c r="R122" s="2514">
        <f t="shared" ref="R122" si="295">Q127/((36*3.1415/59)*(68/3.281))</f>
        <v>0</v>
      </c>
      <c r="S122" s="2514"/>
      <c r="T122" s="2515"/>
      <c r="U122" s="2843" t="s">
        <v>110</v>
      </c>
      <c r="V122" s="2844"/>
      <c r="W122" s="2514">
        <f t="shared" ref="W122" si="296">V127/((36*3.1415/59)*(68/3.281))</f>
        <v>0</v>
      </c>
      <c r="X122" s="2514"/>
      <c r="Y122" s="2515"/>
      <c r="Z122" s="2843" t="s">
        <v>110</v>
      </c>
      <c r="AA122" s="2844"/>
      <c r="AB122" s="2514">
        <f t="shared" ref="AB122" si="297">AA127/((36*3.1415/59)*(68/3.281))</f>
        <v>0</v>
      </c>
      <c r="AC122" s="2514"/>
      <c r="AD122" s="2515"/>
      <c r="AE122" s="2843" t="s">
        <v>110</v>
      </c>
      <c r="AF122" s="2844"/>
      <c r="AG122" s="2514">
        <f t="shared" ref="AG122" si="298">AF127/((36*3.1415/59)*(68/3.281))</f>
        <v>0</v>
      </c>
      <c r="AH122" s="2514"/>
      <c r="AI122" s="2515"/>
      <c r="AJ122" s="2843" t="s">
        <v>110</v>
      </c>
      <c r="AK122" s="2844"/>
      <c r="AL122" s="2514">
        <f t="shared" ref="AL122" si="299">AK127/((36*3.1415/59)*(68/3.281))</f>
        <v>0</v>
      </c>
      <c r="AM122" s="2514"/>
      <c r="AN122" s="2515"/>
      <c r="AO122" s="2843" t="s">
        <v>110</v>
      </c>
      <c r="AP122" s="2844"/>
      <c r="AQ122" s="2514">
        <f t="shared" ref="AQ122" si="300">AP127/((36*3.1415/59)*(68/3.281))</f>
        <v>0</v>
      </c>
      <c r="AR122" s="2514"/>
      <c r="AS122" s="2515"/>
      <c r="AT122" s="2843" t="s">
        <v>110</v>
      </c>
      <c r="AU122" s="2844"/>
      <c r="AV122" s="2514">
        <f t="shared" ref="AV122" si="301">AU127/((36*3.1415/59)*(68/3.281))</f>
        <v>0</v>
      </c>
      <c r="AW122" s="2514"/>
      <c r="AX122" s="2515"/>
      <c r="AY122" s="2843" t="s">
        <v>110</v>
      </c>
      <c r="AZ122" s="2844"/>
      <c r="BA122" s="2514">
        <f t="shared" ref="BA122" si="302">AZ127/((36*3.1415/59)*(68/3.281))</f>
        <v>0</v>
      </c>
      <c r="BB122" s="2514"/>
      <c r="BC122" s="2515"/>
      <c r="BD122" s="2843" t="s">
        <v>110</v>
      </c>
      <c r="BE122" s="2844"/>
      <c r="BF122" s="2514">
        <f t="shared" ref="BF122" si="303">BE127/((36*3.1415/59)*(68/3.281))</f>
        <v>0</v>
      </c>
      <c r="BG122" s="2514"/>
      <c r="BH122" s="2515"/>
      <c r="BI122" s="2843" t="s">
        <v>110</v>
      </c>
      <c r="BJ122" s="2844"/>
      <c r="BK122" s="2514">
        <f t="shared" ref="BK122" si="304">BJ127/((36*3.1415/59)*(68/3.281))</f>
        <v>0</v>
      </c>
      <c r="BL122" s="2514"/>
      <c r="BM122" s="2515"/>
      <c r="BN122" s="2843" t="s">
        <v>110</v>
      </c>
      <c r="BO122" s="2844"/>
      <c r="BP122" s="2514">
        <f t="shared" ref="BP122" si="305">BO127/((36*3.1415/59)*(68/3.281))</f>
        <v>0</v>
      </c>
      <c r="BQ122" s="2514"/>
      <c r="BR122" s="2515"/>
      <c r="BS122" s="2843" t="s">
        <v>110</v>
      </c>
      <c r="BT122" s="2844"/>
      <c r="BU122" s="2514">
        <f t="shared" ref="BU122" si="306">BT127/((36*3.1415/59)*(68/3.281))</f>
        <v>0</v>
      </c>
      <c r="BV122" s="2514"/>
      <c r="BW122" s="2515"/>
      <c r="BX122" s="2843" t="s">
        <v>110</v>
      </c>
      <c r="BY122" s="2844"/>
      <c r="BZ122" s="2514">
        <f t="shared" ref="BZ122" si="307">BY127/((36*3.1415/59)*(68/3.281))</f>
        <v>0</v>
      </c>
      <c r="CA122" s="2514"/>
      <c r="CB122" s="2515"/>
      <c r="EN122" s="13"/>
      <c r="EO122" s="13"/>
      <c r="EP122" s="13"/>
      <c r="EQ122" s="13"/>
      <c r="ER122" s="13"/>
    </row>
    <row r="123" spans="1:148" ht="11.25" customHeight="1" x14ac:dyDescent="0.25">
      <c r="A123" s="2831" t="s">
        <v>25</v>
      </c>
      <c r="B123" s="2832"/>
      <c r="C123" s="2832"/>
      <c r="D123" s="2837" t="s">
        <v>706</v>
      </c>
      <c r="E123" s="2838"/>
      <c r="F123" s="2831" t="s">
        <v>25</v>
      </c>
      <c r="G123" s="2832"/>
      <c r="H123" s="2832"/>
      <c r="I123" s="2837" t="s">
        <v>706</v>
      </c>
      <c r="J123" s="2838"/>
      <c r="K123" s="2831" t="s">
        <v>25</v>
      </c>
      <c r="L123" s="2832"/>
      <c r="M123" s="2832"/>
      <c r="N123" s="2837" t="s">
        <v>706</v>
      </c>
      <c r="O123" s="2838"/>
      <c r="P123" s="2831" t="s">
        <v>25</v>
      </c>
      <c r="Q123" s="2832"/>
      <c r="R123" s="2832"/>
      <c r="S123" s="2837" t="s">
        <v>706</v>
      </c>
      <c r="T123" s="2838"/>
      <c r="U123" s="2831" t="s">
        <v>25</v>
      </c>
      <c r="V123" s="2832"/>
      <c r="W123" s="2832"/>
      <c r="X123" s="2837" t="s">
        <v>706</v>
      </c>
      <c r="Y123" s="2838"/>
      <c r="Z123" s="2831" t="s">
        <v>25</v>
      </c>
      <c r="AA123" s="2832"/>
      <c r="AB123" s="2832"/>
      <c r="AC123" s="2837" t="s">
        <v>706</v>
      </c>
      <c r="AD123" s="2838"/>
      <c r="AE123" s="2831" t="s">
        <v>25</v>
      </c>
      <c r="AF123" s="2832"/>
      <c r="AG123" s="2832"/>
      <c r="AH123" s="2837" t="s">
        <v>706</v>
      </c>
      <c r="AI123" s="2838"/>
      <c r="AJ123" s="2831" t="s">
        <v>25</v>
      </c>
      <c r="AK123" s="2832"/>
      <c r="AL123" s="2832"/>
      <c r="AM123" s="2837" t="s">
        <v>706</v>
      </c>
      <c r="AN123" s="2838"/>
      <c r="AO123" s="2831" t="s">
        <v>25</v>
      </c>
      <c r="AP123" s="2832"/>
      <c r="AQ123" s="2832"/>
      <c r="AR123" s="2837" t="s">
        <v>706</v>
      </c>
      <c r="AS123" s="2838"/>
      <c r="AT123" s="2831" t="s">
        <v>25</v>
      </c>
      <c r="AU123" s="2832"/>
      <c r="AV123" s="2832"/>
      <c r="AW123" s="2837" t="s">
        <v>706</v>
      </c>
      <c r="AX123" s="2838"/>
      <c r="AY123" s="2831" t="s">
        <v>25</v>
      </c>
      <c r="AZ123" s="2832"/>
      <c r="BA123" s="2832"/>
      <c r="BB123" s="2837" t="s">
        <v>706</v>
      </c>
      <c r="BC123" s="2838"/>
      <c r="BD123" s="2831" t="s">
        <v>25</v>
      </c>
      <c r="BE123" s="2832"/>
      <c r="BF123" s="2832"/>
      <c r="BG123" s="2837" t="s">
        <v>706</v>
      </c>
      <c r="BH123" s="2838"/>
      <c r="BI123" s="2831" t="s">
        <v>25</v>
      </c>
      <c r="BJ123" s="2832"/>
      <c r="BK123" s="2832"/>
      <c r="BL123" s="2837" t="s">
        <v>706</v>
      </c>
      <c r="BM123" s="2838"/>
      <c r="BN123" s="2831" t="s">
        <v>25</v>
      </c>
      <c r="BO123" s="2832"/>
      <c r="BP123" s="2832"/>
      <c r="BQ123" s="2837" t="s">
        <v>706</v>
      </c>
      <c r="BR123" s="2838"/>
      <c r="BS123" s="2831" t="s">
        <v>25</v>
      </c>
      <c r="BT123" s="2832"/>
      <c r="BU123" s="2832"/>
      <c r="BV123" s="2837" t="s">
        <v>706</v>
      </c>
      <c r="BW123" s="2838"/>
      <c r="BX123" s="2831" t="s">
        <v>25</v>
      </c>
      <c r="BY123" s="2832"/>
      <c r="BZ123" s="2832"/>
      <c r="CA123" s="2837" t="s">
        <v>706</v>
      </c>
      <c r="CB123" s="2838"/>
      <c r="EN123" s="13"/>
      <c r="EO123" s="13"/>
      <c r="EP123" s="13"/>
      <c r="EQ123" s="13"/>
      <c r="ER123" s="13"/>
    </row>
    <row r="124" spans="1:148" ht="11.25" customHeight="1" x14ac:dyDescent="0.25">
      <c r="A124" s="2833"/>
      <c r="B124" s="2834"/>
      <c r="C124" s="2834"/>
      <c r="D124" s="2839"/>
      <c r="E124" s="2840"/>
      <c r="F124" s="2833"/>
      <c r="G124" s="2834"/>
      <c r="H124" s="2834"/>
      <c r="I124" s="2839"/>
      <c r="J124" s="2840"/>
      <c r="K124" s="2833"/>
      <c r="L124" s="2834"/>
      <c r="M124" s="2834"/>
      <c r="N124" s="2839"/>
      <c r="O124" s="2840"/>
      <c r="P124" s="2833"/>
      <c r="Q124" s="2834"/>
      <c r="R124" s="2834"/>
      <c r="S124" s="2839"/>
      <c r="T124" s="2840"/>
      <c r="U124" s="2833"/>
      <c r="V124" s="2834"/>
      <c r="W124" s="2834"/>
      <c r="X124" s="2839"/>
      <c r="Y124" s="2840"/>
      <c r="Z124" s="2833"/>
      <c r="AA124" s="2834"/>
      <c r="AB124" s="2834"/>
      <c r="AC124" s="2839"/>
      <c r="AD124" s="2840"/>
      <c r="AE124" s="2833"/>
      <c r="AF124" s="2834"/>
      <c r="AG124" s="2834"/>
      <c r="AH124" s="2839"/>
      <c r="AI124" s="2840"/>
      <c r="AJ124" s="2833"/>
      <c r="AK124" s="2834"/>
      <c r="AL124" s="2834"/>
      <c r="AM124" s="2839"/>
      <c r="AN124" s="2840"/>
      <c r="AO124" s="2833"/>
      <c r="AP124" s="2834"/>
      <c r="AQ124" s="2834"/>
      <c r="AR124" s="2839"/>
      <c r="AS124" s="2840"/>
      <c r="AT124" s="2833"/>
      <c r="AU124" s="2834"/>
      <c r="AV124" s="2834"/>
      <c r="AW124" s="2839"/>
      <c r="AX124" s="2840"/>
      <c r="AY124" s="2833"/>
      <c r="AZ124" s="2834"/>
      <c r="BA124" s="2834"/>
      <c r="BB124" s="2839"/>
      <c r="BC124" s="2840"/>
      <c r="BD124" s="2833"/>
      <c r="BE124" s="2834"/>
      <c r="BF124" s="2834"/>
      <c r="BG124" s="2839"/>
      <c r="BH124" s="2840"/>
      <c r="BI124" s="2833"/>
      <c r="BJ124" s="2834"/>
      <c r="BK124" s="2834"/>
      <c r="BL124" s="2839"/>
      <c r="BM124" s="2840"/>
      <c r="BN124" s="2833"/>
      <c r="BO124" s="2834"/>
      <c r="BP124" s="2834"/>
      <c r="BQ124" s="2839"/>
      <c r="BR124" s="2840"/>
      <c r="BS124" s="2833"/>
      <c r="BT124" s="2834"/>
      <c r="BU124" s="2834"/>
      <c r="BV124" s="2839"/>
      <c r="BW124" s="2840"/>
      <c r="BX124" s="2833"/>
      <c r="BY124" s="2834"/>
      <c r="BZ124" s="2834"/>
      <c r="CA124" s="2839"/>
      <c r="CB124" s="2840"/>
      <c r="EN124" s="13"/>
      <c r="EO124" s="13"/>
      <c r="EP124" s="13"/>
      <c r="EQ124" s="13"/>
      <c r="ER124" s="13"/>
    </row>
    <row r="125" spans="1:148" ht="11.25" customHeight="1" x14ac:dyDescent="0.25">
      <c r="A125" s="2835"/>
      <c r="B125" s="2836"/>
      <c r="C125" s="2836"/>
      <c r="D125" s="2841"/>
      <c r="E125" s="2842"/>
      <c r="F125" s="2835"/>
      <c r="G125" s="2836"/>
      <c r="H125" s="2836"/>
      <c r="I125" s="2841"/>
      <c r="J125" s="2842"/>
      <c r="K125" s="2835"/>
      <c r="L125" s="2836"/>
      <c r="M125" s="2836"/>
      <c r="N125" s="2841"/>
      <c r="O125" s="2842"/>
      <c r="P125" s="2835"/>
      <c r="Q125" s="2836"/>
      <c r="R125" s="2836"/>
      <c r="S125" s="2841"/>
      <c r="T125" s="2842"/>
      <c r="U125" s="2835"/>
      <c r="V125" s="2836"/>
      <c r="W125" s="2836"/>
      <c r="X125" s="2841"/>
      <c r="Y125" s="2842"/>
      <c r="Z125" s="2835"/>
      <c r="AA125" s="2836"/>
      <c r="AB125" s="2836"/>
      <c r="AC125" s="2841"/>
      <c r="AD125" s="2842"/>
      <c r="AE125" s="2835"/>
      <c r="AF125" s="2836"/>
      <c r="AG125" s="2836"/>
      <c r="AH125" s="2841"/>
      <c r="AI125" s="2842"/>
      <c r="AJ125" s="2835"/>
      <c r="AK125" s="2836"/>
      <c r="AL125" s="2836"/>
      <c r="AM125" s="2841"/>
      <c r="AN125" s="2842"/>
      <c r="AO125" s="2835"/>
      <c r="AP125" s="2836"/>
      <c r="AQ125" s="2836"/>
      <c r="AR125" s="2841"/>
      <c r="AS125" s="2842"/>
      <c r="AT125" s="2835"/>
      <c r="AU125" s="2836"/>
      <c r="AV125" s="2836"/>
      <c r="AW125" s="2841"/>
      <c r="AX125" s="2842"/>
      <c r="AY125" s="2835"/>
      <c r="AZ125" s="2836"/>
      <c r="BA125" s="2836"/>
      <c r="BB125" s="2841"/>
      <c r="BC125" s="2842"/>
      <c r="BD125" s="2835"/>
      <c r="BE125" s="2836"/>
      <c r="BF125" s="2836"/>
      <c r="BG125" s="2841"/>
      <c r="BH125" s="2842"/>
      <c r="BI125" s="2835"/>
      <c r="BJ125" s="2836"/>
      <c r="BK125" s="2836"/>
      <c r="BL125" s="2841"/>
      <c r="BM125" s="2842"/>
      <c r="BN125" s="2835"/>
      <c r="BO125" s="2836"/>
      <c r="BP125" s="2836"/>
      <c r="BQ125" s="2841"/>
      <c r="BR125" s="2842"/>
      <c r="BS125" s="2835"/>
      <c r="BT125" s="2836"/>
      <c r="BU125" s="2836"/>
      <c r="BV125" s="2841"/>
      <c r="BW125" s="2842"/>
      <c r="BX125" s="2835"/>
      <c r="BY125" s="2836"/>
      <c r="BZ125" s="2836"/>
      <c r="CA125" s="2841"/>
      <c r="CB125" s="2842"/>
      <c r="EN125" s="13"/>
      <c r="EO125" s="13"/>
      <c r="EP125" s="13"/>
      <c r="EQ125" s="13"/>
      <c r="ER125" s="13"/>
    </row>
    <row r="126" spans="1:148" s="22" customFormat="1" ht="111.75" customHeight="1" x14ac:dyDescent="1.35">
      <c r="A126" s="2848" t="s">
        <v>721</v>
      </c>
      <c r="B126" s="2845"/>
      <c r="C126" s="2846"/>
      <c r="D126" s="2846"/>
      <c r="E126" s="2847"/>
      <c r="F126" s="2848" t="s">
        <v>721</v>
      </c>
      <c r="G126" s="2845"/>
      <c r="H126" s="2846"/>
      <c r="I126" s="2846"/>
      <c r="J126" s="2847"/>
      <c r="K126" s="2848" t="s">
        <v>721</v>
      </c>
      <c r="L126" s="2845"/>
      <c r="M126" s="2846"/>
      <c r="N126" s="2846"/>
      <c r="O126" s="2847"/>
      <c r="P126" s="2848" t="s">
        <v>721</v>
      </c>
      <c r="Q126" s="2845"/>
      <c r="R126" s="2846"/>
      <c r="S126" s="2846"/>
      <c r="T126" s="2847"/>
      <c r="U126" s="2848" t="s">
        <v>721</v>
      </c>
      <c r="V126" s="2845"/>
      <c r="W126" s="2846"/>
      <c r="X126" s="2846"/>
      <c r="Y126" s="2847"/>
      <c r="Z126" s="2848" t="s">
        <v>721</v>
      </c>
      <c r="AA126" s="2845"/>
      <c r="AB126" s="2846"/>
      <c r="AC126" s="2846"/>
      <c r="AD126" s="2847"/>
      <c r="AE126" s="2848" t="s">
        <v>721</v>
      </c>
      <c r="AF126" s="2845"/>
      <c r="AG126" s="2846"/>
      <c r="AH126" s="2846"/>
      <c r="AI126" s="2847"/>
      <c r="AJ126" s="2848" t="s">
        <v>721</v>
      </c>
      <c r="AK126" s="2845"/>
      <c r="AL126" s="2846"/>
      <c r="AM126" s="2846"/>
      <c r="AN126" s="2847"/>
      <c r="AO126" s="2848" t="s">
        <v>721</v>
      </c>
      <c r="AP126" s="2845"/>
      <c r="AQ126" s="2846"/>
      <c r="AR126" s="2846"/>
      <c r="AS126" s="2847"/>
      <c r="AT126" s="2848" t="s">
        <v>721</v>
      </c>
      <c r="AU126" s="2845"/>
      <c r="AV126" s="2846"/>
      <c r="AW126" s="2846"/>
      <c r="AX126" s="2847"/>
      <c r="AY126" s="2848" t="s">
        <v>721</v>
      </c>
      <c r="AZ126" s="2845"/>
      <c r="BA126" s="2846"/>
      <c r="BB126" s="2846"/>
      <c r="BC126" s="2847"/>
      <c r="BD126" s="2848" t="s">
        <v>721</v>
      </c>
      <c r="BE126" s="2845"/>
      <c r="BF126" s="2846"/>
      <c r="BG126" s="2846"/>
      <c r="BH126" s="2847"/>
      <c r="BI126" s="2848" t="s">
        <v>721</v>
      </c>
      <c r="BJ126" s="2845"/>
      <c r="BK126" s="2846"/>
      <c r="BL126" s="2846"/>
      <c r="BM126" s="2847"/>
      <c r="BN126" s="2848" t="s">
        <v>721</v>
      </c>
      <c r="BO126" s="2845"/>
      <c r="BP126" s="2846"/>
      <c r="BQ126" s="2846"/>
      <c r="BR126" s="2847"/>
      <c r="BS126" s="2848" t="s">
        <v>721</v>
      </c>
      <c r="BT126" s="2845"/>
      <c r="BU126" s="2846"/>
      <c r="BV126" s="2846"/>
      <c r="BW126" s="2847"/>
      <c r="BX126" s="2848" t="s">
        <v>721</v>
      </c>
      <c r="BY126" s="2845"/>
      <c r="BZ126" s="2846"/>
      <c r="CA126" s="2846"/>
      <c r="CB126" s="2847"/>
      <c r="DE126"/>
      <c r="EN126" s="57"/>
      <c r="EO126" s="57"/>
      <c r="EP126" s="57"/>
      <c r="EQ126" s="57"/>
      <c r="ER126" s="57"/>
    </row>
    <row r="127" spans="1:148" ht="50.25" customHeight="1" thickBot="1" x14ac:dyDescent="0.3">
      <c r="A127" s="2849"/>
      <c r="B127" s="518"/>
      <c r="C127" s="519" t="s">
        <v>113</v>
      </c>
      <c r="D127" s="520"/>
      <c r="E127" s="523" t="s">
        <v>114</v>
      </c>
      <c r="F127" s="2849"/>
      <c r="G127" s="518"/>
      <c r="H127" s="519" t="s">
        <v>113</v>
      </c>
      <c r="I127" s="520"/>
      <c r="J127" s="523" t="s">
        <v>114</v>
      </c>
      <c r="K127" s="2849"/>
      <c r="L127" s="518"/>
      <c r="M127" s="519" t="s">
        <v>113</v>
      </c>
      <c r="N127" s="520"/>
      <c r="O127" s="523" t="s">
        <v>114</v>
      </c>
      <c r="P127" s="2849"/>
      <c r="Q127" s="518"/>
      <c r="R127" s="519" t="s">
        <v>113</v>
      </c>
      <c r="S127" s="520"/>
      <c r="T127" s="523" t="s">
        <v>114</v>
      </c>
      <c r="U127" s="2849"/>
      <c r="V127" s="518"/>
      <c r="W127" s="519" t="s">
        <v>113</v>
      </c>
      <c r="X127" s="520"/>
      <c r="Y127" s="523" t="s">
        <v>114</v>
      </c>
      <c r="Z127" s="2849"/>
      <c r="AA127" s="518"/>
      <c r="AB127" s="519" t="s">
        <v>113</v>
      </c>
      <c r="AC127" s="520"/>
      <c r="AD127" s="523" t="s">
        <v>114</v>
      </c>
      <c r="AE127" s="2849"/>
      <c r="AF127" s="518"/>
      <c r="AG127" s="519" t="s">
        <v>113</v>
      </c>
      <c r="AH127" s="520"/>
      <c r="AI127" s="523" t="s">
        <v>114</v>
      </c>
      <c r="AJ127" s="2849"/>
      <c r="AK127" s="518"/>
      <c r="AL127" s="519" t="s">
        <v>113</v>
      </c>
      <c r="AM127" s="520"/>
      <c r="AN127" s="523" t="s">
        <v>114</v>
      </c>
      <c r="AO127" s="2849"/>
      <c r="AP127" s="518"/>
      <c r="AQ127" s="519" t="s">
        <v>113</v>
      </c>
      <c r="AR127" s="520"/>
      <c r="AS127" s="523" t="s">
        <v>114</v>
      </c>
      <c r="AT127" s="2849"/>
      <c r="AU127" s="518"/>
      <c r="AV127" s="519" t="s">
        <v>113</v>
      </c>
      <c r="AW127" s="520"/>
      <c r="AX127" s="523" t="s">
        <v>114</v>
      </c>
      <c r="AY127" s="2849"/>
      <c r="AZ127" s="518"/>
      <c r="BA127" s="519" t="s">
        <v>113</v>
      </c>
      <c r="BB127" s="520"/>
      <c r="BC127" s="523" t="s">
        <v>114</v>
      </c>
      <c r="BD127" s="2849"/>
      <c r="BE127" s="518"/>
      <c r="BF127" s="519" t="s">
        <v>113</v>
      </c>
      <c r="BG127" s="520"/>
      <c r="BH127" s="523" t="s">
        <v>114</v>
      </c>
      <c r="BI127" s="2849"/>
      <c r="BJ127" s="518"/>
      <c r="BK127" s="519" t="s">
        <v>113</v>
      </c>
      <c r="BL127" s="520"/>
      <c r="BM127" s="523" t="s">
        <v>114</v>
      </c>
      <c r="BN127" s="2849"/>
      <c r="BO127" s="518"/>
      <c r="BP127" s="519" t="s">
        <v>113</v>
      </c>
      <c r="BQ127" s="520"/>
      <c r="BR127" s="523" t="s">
        <v>114</v>
      </c>
      <c r="BS127" s="2849"/>
      <c r="BT127" s="518"/>
      <c r="BU127" s="519" t="s">
        <v>113</v>
      </c>
      <c r="BV127" s="520"/>
      <c r="BW127" s="523" t="s">
        <v>114</v>
      </c>
      <c r="BX127" s="2849"/>
      <c r="BY127" s="518"/>
      <c r="BZ127" s="519" t="s">
        <v>113</v>
      </c>
      <c r="CA127" s="520"/>
      <c r="CB127" s="523" t="s">
        <v>114</v>
      </c>
      <c r="CG127" s="27"/>
      <c r="CH127" s="27"/>
      <c r="CI127" s="27"/>
      <c r="CJ127" s="27"/>
      <c r="CK127" s="27"/>
      <c r="CL127" s="27"/>
      <c r="CM127" s="27"/>
      <c r="CN127" s="27"/>
      <c r="CO127" s="27"/>
      <c r="EN127" s="57"/>
      <c r="EO127" s="57"/>
      <c r="EP127" s="57"/>
      <c r="EQ127" s="57"/>
      <c r="ER127" s="57"/>
    </row>
    <row r="128" spans="1:148" ht="57" customHeight="1" thickTop="1" x14ac:dyDescent="0.25">
      <c r="A128" s="2843" t="s">
        <v>110</v>
      </c>
      <c r="B128" s="2844"/>
      <c r="C128" s="2514">
        <f t="shared" ref="C128" si="308">B133/((36*3.1415/59)*(68/3.281))</f>
        <v>0</v>
      </c>
      <c r="D128" s="2514"/>
      <c r="E128" s="2515"/>
      <c r="F128" s="2843" t="s">
        <v>110</v>
      </c>
      <c r="G128" s="2844"/>
      <c r="H128" s="2514">
        <f t="shared" ref="H128" si="309">G133/((36*3.1415/59)*(68/3.281))</f>
        <v>0</v>
      </c>
      <c r="I128" s="2514"/>
      <c r="J128" s="2515"/>
      <c r="K128" s="2843" t="s">
        <v>110</v>
      </c>
      <c r="L128" s="2844"/>
      <c r="M128" s="2514">
        <f t="shared" ref="M128" si="310">L133/((36*3.1415/59)*(68/3.281))</f>
        <v>0</v>
      </c>
      <c r="N128" s="2514"/>
      <c r="O128" s="2515"/>
      <c r="P128" s="2843" t="s">
        <v>110</v>
      </c>
      <c r="Q128" s="2844"/>
      <c r="R128" s="2514">
        <f t="shared" ref="R128" si="311">Q133/((36*3.1415/59)*(68/3.281))</f>
        <v>0</v>
      </c>
      <c r="S128" s="2514"/>
      <c r="T128" s="2515"/>
      <c r="U128" s="2843" t="s">
        <v>110</v>
      </c>
      <c r="V128" s="2844"/>
      <c r="W128" s="2514">
        <f t="shared" ref="W128" si="312">V133/((36*3.1415/59)*(68/3.281))</f>
        <v>0</v>
      </c>
      <c r="X128" s="2514"/>
      <c r="Y128" s="2515"/>
      <c r="Z128" s="2843" t="s">
        <v>110</v>
      </c>
      <c r="AA128" s="2844"/>
      <c r="AB128" s="2514">
        <f t="shared" ref="AB128" si="313">AA133/((36*3.1415/59)*(68/3.281))</f>
        <v>0</v>
      </c>
      <c r="AC128" s="2514"/>
      <c r="AD128" s="2515"/>
      <c r="AE128" s="2843" t="s">
        <v>110</v>
      </c>
      <c r="AF128" s="2844"/>
      <c r="AG128" s="2514">
        <f t="shared" ref="AG128" si="314">AF133/((36*3.1415/59)*(68/3.281))</f>
        <v>0</v>
      </c>
      <c r="AH128" s="2514"/>
      <c r="AI128" s="2515"/>
      <c r="AJ128" s="2843" t="s">
        <v>110</v>
      </c>
      <c r="AK128" s="2844"/>
      <c r="AL128" s="2514">
        <f t="shared" ref="AL128" si="315">AK133/((36*3.1415/59)*(68/3.281))</f>
        <v>0</v>
      </c>
      <c r="AM128" s="2514"/>
      <c r="AN128" s="2515"/>
      <c r="AO128" s="2843" t="s">
        <v>110</v>
      </c>
      <c r="AP128" s="2844"/>
      <c r="AQ128" s="2514">
        <f t="shared" ref="AQ128" si="316">AP133/((36*3.1415/59)*(68/3.281))</f>
        <v>0</v>
      </c>
      <c r="AR128" s="2514"/>
      <c r="AS128" s="2515"/>
      <c r="AT128" s="2843" t="s">
        <v>110</v>
      </c>
      <c r="AU128" s="2844"/>
      <c r="AV128" s="2514">
        <f t="shared" ref="AV128" si="317">AU133/((36*3.1415/59)*(68/3.281))</f>
        <v>0</v>
      </c>
      <c r="AW128" s="2514"/>
      <c r="AX128" s="2515"/>
      <c r="AY128" s="2843" t="s">
        <v>110</v>
      </c>
      <c r="AZ128" s="2844"/>
      <c r="BA128" s="2514">
        <f t="shared" ref="BA128" si="318">AZ133/((36*3.1415/59)*(68/3.281))</f>
        <v>0</v>
      </c>
      <c r="BB128" s="2514"/>
      <c r="BC128" s="2515"/>
      <c r="BD128" s="2843" t="s">
        <v>110</v>
      </c>
      <c r="BE128" s="2844"/>
      <c r="BF128" s="2514">
        <f t="shared" ref="BF128" si="319">BE133/((36*3.1415/59)*(68/3.281))</f>
        <v>0</v>
      </c>
      <c r="BG128" s="2514"/>
      <c r="BH128" s="2515"/>
      <c r="BI128" s="2843" t="s">
        <v>110</v>
      </c>
      <c r="BJ128" s="2844"/>
      <c r="BK128" s="2514">
        <f t="shared" ref="BK128" si="320">BJ133/((36*3.1415/59)*(68/3.281))</f>
        <v>0</v>
      </c>
      <c r="BL128" s="2514"/>
      <c r="BM128" s="2515"/>
      <c r="BN128" s="2822" t="s">
        <v>110</v>
      </c>
      <c r="BO128" s="2823"/>
      <c r="BP128" s="2824">
        <f>BO133/((36*3.1415/59)*(69/3.281))</f>
        <v>0</v>
      </c>
      <c r="BQ128" s="2824"/>
      <c r="BR128" s="2825"/>
      <c r="BS128" s="2822" t="s">
        <v>110</v>
      </c>
      <c r="BT128" s="2823"/>
      <c r="BU128" s="2824">
        <f t="shared" ref="BU128" si="321">BT133/((36*3.1415/59)*(69/3.281))</f>
        <v>0</v>
      </c>
      <c r="BV128" s="2824"/>
      <c r="BW128" s="2825"/>
      <c r="BX128" s="2822" t="s">
        <v>110</v>
      </c>
      <c r="BY128" s="2823"/>
      <c r="BZ128" s="2824">
        <f t="shared" ref="BZ128" si="322">BY133/((36*3.1415/59)*(69/3.281))</f>
        <v>2.4806733811017284E-17</v>
      </c>
      <c r="CA128" s="2824"/>
      <c r="CB128" s="2825"/>
      <c r="EN128" s="57"/>
      <c r="EO128" s="57"/>
      <c r="EP128" s="57"/>
      <c r="EQ128" s="57"/>
      <c r="ER128" s="57"/>
    </row>
    <row r="129" spans="1:148" ht="11.25" customHeight="1" x14ac:dyDescent="0.25">
      <c r="A129" s="2831" t="s">
        <v>25</v>
      </c>
      <c r="B129" s="2832"/>
      <c r="C129" s="2832"/>
      <c r="D129" s="2837" t="s">
        <v>706</v>
      </c>
      <c r="E129" s="2838"/>
      <c r="F129" s="2831" t="s">
        <v>25</v>
      </c>
      <c r="G129" s="2832"/>
      <c r="H129" s="2832"/>
      <c r="I129" s="2837" t="s">
        <v>706</v>
      </c>
      <c r="J129" s="2838"/>
      <c r="K129" s="2831" t="s">
        <v>25</v>
      </c>
      <c r="L129" s="2832"/>
      <c r="M129" s="2832"/>
      <c r="N129" s="2837" t="s">
        <v>706</v>
      </c>
      <c r="O129" s="2838"/>
      <c r="P129" s="2831" t="s">
        <v>25</v>
      </c>
      <c r="Q129" s="2832"/>
      <c r="R129" s="2832"/>
      <c r="S129" s="2837" t="s">
        <v>706</v>
      </c>
      <c r="T129" s="2838"/>
      <c r="U129" s="2831" t="s">
        <v>25</v>
      </c>
      <c r="V129" s="2832"/>
      <c r="W129" s="2832"/>
      <c r="X129" s="2837" t="s">
        <v>706</v>
      </c>
      <c r="Y129" s="2838"/>
      <c r="Z129" s="2831" t="s">
        <v>25</v>
      </c>
      <c r="AA129" s="2832"/>
      <c r="AB129" s="2832"/>
      <c r="AC129" s="2837" t="s">
        <v>706</v>
      </c>
      <c r="AD129" s="2838"/>
      <c r="AE129" s="2831" t="s">
        <v>25</v>
      </c>
      <c r="AF129" s="2832"/>
      <c r="AG129" s="2832"/>
      <c r="AH129" s="2837" t="s">
        <v>706</v>
      </c>
      <c r="AI129" s="2838"/>
      <c r="AJ129" s="2831" t="s">
        <v>25</v>
      </c>
      <c r="AK129" s="2832"/>
      <c r="AL129" s="2832"/>
      <c r="AM129" s="2837" t="s">
        <v>706</v>
      </c>
      <c r="AN129" s="2838"/>
      <c r="AO129" s="2831" t="s">
        <v>25</v>
      </c>
      <c r="AP129" s="2832"/>
      <c r="AQ129" s="2832"/>
      <c r="AR129" s="2837" t="s">
        <v>706</v>
      </c>
      <c r="AS129" s="2838"/>
      <c r="AT129" s="2831" t="s">
        <v>25</v>
      </c>
      <c r="AU129" s="2832"/>
      <c r="AV129" s="2832"/>
      <c r="AW129" s="2837" t="s">
        <v>706</v>
      </c>
      <c r="AX129" s="2838"/>
      <c r="AY129" s="2831" t="s">
        <v>25</v>
      </c>
      <c r="AZ129" s="2832"/>
      <c r="BA129" s="2832"/>
      <c r="BB129" s="2837" t="s">
        <v>706</v>
      </c>
      <c r="BC129" s="2838"/>
      <c r="BD129" s="2831" t="s">
        <v>25</v>
      </c>
      <c r="BE129" s="2832"/>
      <c r="BF129" s="2832"/>
      <c r="BG129" s="2837" t="s">
        <v>706</v>
      </c>
      <c r="BH129" s="2838"/>
      <c r="BI129" s="2831" t="s">
        <v>25</v>
      </c>
      <c r="BJ129" s="2832"/>
      <c r="BK129" s="2832"/>
      <c r="BL129" s="2837" t="s">
        <v>706</v>
      </c>
      <c r="BM129" s="2838"/>
      <c r="BN129" s="2810" t="s">
        <v>25</v>
      </c>
      <c r="BO129" s="2811"/>
      <c r="BP129" s="2811"/>
      <c r="BQ129" s="2816" t="s">
        <v>706</v>
      </c>
      <c r="BR129" s="2817"/>
      <c r="BS129" s="2810" t="s">
        <v>25</v>
      </c>
      <c r="BT129" s="2811"/>
      <c r="BU129" s="2811"/>
      <c r="BV129" s="2816" t="s">
        <v>706</v>
      </c>
      <c r="BW129" s="2817"/>
      <c r="BX129" s="2810" t="s">
        <v>25</v>
      </c>
      <c r="BY129" s="2811"/>
      <c r="BZ129" s="2811"/>
      <c r="CA129" s="2816" t="s">
        <v>706</v>
      </c>
      <c r="CB129" s="2817"/>
      <c r="EN129" s="57"/>
      <c r="EO129" s="57"/>
      <c r="EP129" s="57"/>
      <c r="EQ129" s="57"/>
      <c r="ER129" s="57"/>
    </row>
    <row r="130" spans="1:148" ht="11.25" customHeight="1" x14ac:dyDescent="0.25">
      <c r="A130" s="2833"/>
      <c r="B130" s="2834"/>
      <c r="C130" s="2834"/>
      <c r="D130" s="2839"/>
      <c r="E130" s="2840"/>
      <c r="F130" s="2833"/>
      <c r="G130" s="2834"/>
      <c r="H130" s="2834"/>
      <c r="I130" s="2839"/>
      <c r="J130" s="2840"/>
      <c r="K130" s="2833"/>
      <c r="L130" s="2834"/>
      <c r="M130" s="2834"/>
      <c r="N130" s="2839"/>
      <c r="O130" s="2840"/>
      <c r="P130" s="2833"/>
      <c r="Q130" s="2834"/>
      <c r="R130" s="2834"/>
      <c r="S130" s="2839"/>
      <c r="T130" s="2840"/>
      <c r="U130" s="2833"/>
      <c r="V130" s="2834"/>
      <c r="W130" s="2834"/>
      <c r="X130" s="2839"/>
      <c r="Y130" s="2840"/>
      <c r="Z130" s="2833"/>
      <c r="AA130" s="2834"/>
      <c r="AB130" s="2834"/>
      <c r="AC130" s="2839"/>
      <c r="AD130" s="2840"/>
      <c r="AE130" s="2833"/>
      <c r="AF130" s="2834"/>
      <c r="AG130" s="2834"/>
      <c r="AH130" s="2839"/>
      <c r="AI130" s="2840"/>
      <c r="AJ130" s="2833"/>
      <c r="AK130" s="2834"/>
      <c r="AL130" s="2834"/>
      <c r="AM130" s="2839"/>
      <c r="AN130" s="2840"/>
      <c r="AO130" s="2833"/>
      <c r="AP130" s="2834"/>
      <c r="AQ130" s="2834"/>
      <c r="AR130" s="2839"/>
      <c r="AS130" s="2840"/>
      <c r="AT130" s="2833"/>
      <c r="AU130" s="2834"/>
      <c r="AV130" s="2834"/>
      <c r="AW130" s="2839"/>
      <c r="AX130" s="2840"/>
      <c r="AY130" s="2833"/>
      <c r="AZ130" s="2834"/>
      <c r="BA130" s="2834"/>
      <c r="BB130" s="2839"/>
      <c r="BC130" s="2840"/>
      <c r="BD130" s="2833"/>
      <c r="BE130" s="2834"/>
      <c r="BF130" s="2834"/>
      <c r="BG130" s="2839"/>
      <c r="BH130" s="2840"/>
      <c r="BI130" s="2833"/>
      <c r="BJ130" s="2834"/>
      <c r="BK130" s="2834"/>
      <c r="BL130" s="2839"/>
      <c r="BM130" s="2840"/>
      <c r="BN130" s="2812"/>
      <c r="BO130" s="2813"/>
      <c r="BP130" s="2813"/>
      <c r="BQ130" s="2818"/>
      <c r="BR130" s="2819"/>
      <c r="BS130" s="2812"/>
      <c r="BT130" s="2813"/>
      <c r="BU130" s="2813"/>
      <c r="BV130" s="2818"/>
      <c r="BW130" s="2819"/>
      <c r="BX130" s="2812"/>
      <c r="BY130" s="2813"/>
      <c r="BZ130" s="2813"/>
      <c r="CA130" s="2818"/>
      <c r="CB130" s="2819"/>
      <c r="EN130" s="57"/>
      <c r="EO130" s="57"/>
      <c r="EP130" s="57"/>
      <c r="EQ130" s="57"/>
      <c r="ER130" s="57"/>
    </row>
    <row r="131" spans="1:148" ht="11.25" customHeight="1" x14ac:dyDescent="0.25">
      <c r="A131" s="2835"/>
      <c r="B131" s="2836"/>
      <c r="C131" s="2836"/>
      <c r="D131" s="2841"/>
      <c r="E131" s="2842"/>
      <c r="F131" s="2835"/>
      <c r="G131" s="2836"/>
      <c r="H131" s="2836"/>
      <c r="I131" s="2841"/>
      <c r="J131" s="2842"/>
      <c r="K131" s="2835"/>
      <c r="L131" s="2836"/>
      <c r="M131" s="2836"/>
      <c r="N131" s="2841"/>
      <c r="O131" s="2842"/>
      <c r="P131" s="2835"/>
      <c r="Q131" s="2836"/>
      <c r="R131" s="2836"/>
      <c r="S131" s="2841"/>
      <c r="T131" s="2842"/>
      <c r="U131" s="2835"/>
      <c r="V131" s="2836"/>
      <c r="W131" s="2836"/>
      <c r="X131" s="2841"/>
      <c r="Y131" s="2842"/>
      <c r="Z131" s="2835"/>
      <c r="AA131" s="2836"/>
      <c r="AB131" s="2836"/>
      <c r="AC131" s="2841"/>
      <c r="AD131" s="2842"/>
      <c r="AE131" s="2835"/>
      <c r="AF131" s="2836"/>
      <c r="AG131" s="2836"/>
      <c r="AH131" s="2841"/>
      <c r="AI131" s="2842"/>
      <c r="AJ131" s="2835"/>
      <c r="AK131" s="2836"/>
      <c r="AL131" s="2836"/>
      <c r="AM131" s="2841"/>
      <c r="AN131" s="2842"/>
      <c r="AO131" s="2835"/>
      <c r="AP131" s="2836"/>
      <c r="AQ131" s="2836"/>
      <c r="AR131" s="2841"/>
      <c r="AS131" s="2842"/>
      <c r="AT131" s="2835"/>
      <c r="AU131" s="2836"/>
      <c r="AV131" s="2836"/>
      <c r="AW131" s="2841"/>
      <c r="AX131" s="2842"/>
      <c r="AY131" s="2835"/>
      <c r="AZ131" s="2836"/>
      <c r="BA131" s="2836"/>
      <c r="BB131" s="2841"/>
      <c r="BC131" s="2842"/>
      <c r="BD131" s="2835"/>
      <c r="BE131" s="2836"/>
      <c r="BF131" s="2836"/>
      <c r="BG131" s="2841"/>
      <c r="BH131" s="2842"/>
      <c r="BI131" s="2835"/>
      <c r="BJ131" s="2836"/>
      <c r="BK131" s="2836"/>
      <c r="BL131" s="2841"/>
      <c r="BM131" s="2842"/>
      <c r="BN131" s="2814"/>
      <c r="BO131" s="2815"/>
      <c r="BP131" s="2815"/>
      <c r="BQ131" s="2820"/>
      <c r="BR131" s="2821"/>
      <c r="BS131" s="2814"/>
      <c r="BT131" s="2815"/>
      <c r="BU131" s="2815"/>
      <c r="BV131" s="2820"/>
      <c r="BW131" s="2821"/>
      <c r="BX131" s="2814"/>
      <c r="BY131" s="2815"/>
      <c r="BZ131" s="2815"/>
      <c r="CA131" s="2820"/>
      <c r="CB131" s="2821"/>
    </row>
    <row r="132" spans="1:148" s="535" customFormat="1" ht="111.75" customHeight="1" x14ac:dyDescent="1.35">
      <c r="A132" s="2848" t="s">
        <v>721</v>
      </c>
      <c r="B132" s="2681"/>
      <c r="C132" s="2682"/>
      <c r="D132" s="2682"/>
      <c r="E132" s="2683"/>
      <c r="F132" s="2848" t="s">
        <v>721</v>
      </c>
      <c r="G132" s="2681"/>
      <c r="H132" s="2682"/>
      <c r="I132" s="2682"/>
      <c r="J132" s="2683"/>
      <c r="K132" s="2848" t="s">
        <v>721</v>
      </c>
      <c r="L132" s="2681"/>
      <c r="M132" s="2682"/>
      <c r="N132" s="2682"/>
      <c r="O132" s="2683"/>
      <c r="P132" s="2848" t="s">
        <v>721</v>
      </c>
      <c r="Q132" s="2681"/>
      <c r="R132" s="2682"/>
      <c r="S132" s="2682"/>
      <c r="T132" s="2683"/>
      <c r="U132" s="2848" t="s">
        <v>721</v>
      </c>
      <c r="V132" s="2681"/>
      <c r="W132" s="2682"/>
      <c r="X132" s="2682"/>
      <c r="Y132" s="2683"/>
      <c r="Z132" s="2848" t="s">
        <v>721</v>
      </c>
      <c r="AA132" s="2681"/>
      <c r="AB132" s="2682"/>
      <c r="AC132" s="2682"/>
      <c r="AD132" s="2683"/>
      <c r="AE132" s="2848" t="s">
        <v>721</v>
      </c>
      <c r="AF132" s="2681"/>
      <c r="AG132" s="2682"/>
      <c r="AH132" s="2682"/>
      <c r="AI132" s="2683"/>
      <c r="AJ132" s="2848" t="s">
        <v>721</v>
      </c>
      <c r="AK132" s="2681"/>
      <c r="AL132" s="2682"/>
      <c r="AM132" s="2682"/>
      <c r="AN132" s="2683"/>
      <c r="AO132" s="2848" t="s">
        <v>721</v>
      </c>
      <c r="AP132" s="2681"/>
      <c r="AQ132" s="2682"/>
      <c r="AR132" s="2682"/>
      <c r="AS132" s="2683"/>
      <c r="AT132" s="2848" t="s">
        <v>721</v>
      </c>
      <c r="AU132" s="2681"/>
      <c r="AV132" s="2682"/>
      <c r="AW132" s="2682"/>
      <c r="AX132" s="2683"/>
      <c r="AY132" s="2848" t="s">
        <v>721</v>
      </c>
      <c r="AZ132" s="2681"/>
      <c r="BA132" s="2682"/>
      <c r="BB132" s="2682"/>
      <c r="BC132" s="2683"/>
      <c r="BD132" s="2848" t="s">
        <v>721</v>
      </c>
      <c r="BE132" s="2681"/>
      <c r="BF132" s="2682"/>
      <c r="BG132" s="2682"/>
      <c r="BH132" s="2683"/>
      <c r="BI132" s="2848" t="s">
        <v>721</v>
      </c>
      <c r="BJ132" s="2681"/>
      <c r="BK132" s="2682"/>
      <c r="BL132" s="2682"/>
      <c r="BM132" s="2683"/>
      <c r="BN132" s="2826" t="s">
        <v>722</v>
      </c>
      <c r="BO132" s="2681">
        <v>318</v>
      </c>
      <c r="BP132" s="2682"/>
      <c r="BQ132" s="2682"/>
      <c r="BR132" s="2683"/>
      <c r="BS132" s="2826" t="s">
        <v>722</v>
      </c>
      <c r="BT132" s="2681">
        <v>320</v>
      </c>
      <c r="BU132" s="2682"/>
      <c r="BV132" s="2682"/>
      <c r="BW132" s="2683"/>
      <c r="BX132" s="2826" t="s">
        <v>722</v>
      </c>
      <c r="BY132" s="2828">
        <v>321</v>
      </c>
      <c r="BZ132" s="2829"/>
      <c r="CA132" s="2829"/>
      <c r="CB132" s="2830"/>
    </row>
    <row r="133" spans="1:148" ht="50.25" customHeight="1" thickBot="1" x14ac:dyDescent="0.3">
      <c r="A133" s="2849"/>
      <c r="B133" s="518"/>
      <c r="C133" s="519" t="s">
        <v>113</v>
      </c>
      <c r="D133" s="520"/>
      <c r="E133" s="523" t="s">
        <v>114</v>
      </c>
      <c r="F133" s="2849"/>
      <c r="G133" s="518"/>
      <c r="H133" s="519" t="s">
        <v>113</v>
      </c>
      <c r="I133" s="520"/>
      <c r="J133" s="523" t="s">
        <v>114</v>
      </c>
      <c r="K133" s="2849"/>
      <c r="L133" s="518"/>
      <c r="M133" s="519" t="s">
        <v>113</v>
      </c>
      <c r="N133" s="520"/>
      <c r="O133" s="523" t="s">
        <v>114</v>
      </c>
      <c r="P133" s="2849"/>
      <c r="Q133" s="518"/>
      <c r="R133" s="519" t="s">
        <v>113</v>
      </c>
      <c r="S133" s="520"/>
      <c r="T133" s="523" t="s">
        <v>114</v>
      </c>
      <c r="U133" s="2849"/>
      <c r="V133" s="518"/>
      <c r="W133" s="519" t="s">
        <v>113</v>
      </c>
      <c r="X133" s="520"/>
      <c r="Y133" s="523" t="s">
        <v>114</v>
      </c>
      <c r="Z133" s="2849"/>
      <c r="AA133" s="518"/>
      <c r="AB133" s="519" t="s">
        <v>113</v>
      </c>
      <c r="AC133" s="520"/>
      <c r="AD133" s="523" t="s">
        <v>114</v>
      </c>
      <c r="AE133" s="2849"/>
      <c r="AF133" s="518"/>
      <c r="AG133" s="519" t="s">
        <v>113</v>
      </c>
      <c r="AH133" s="520"/>
      <c r="AI133" s="523" t="s">
        <v>114</v>
      </c>
      <c r="AJ133" s="2849"/>
      <c r="AK133" s="518"/>
      <c r="AL133" s="519" t="s">
        <v>113</v>
      </c>
      <c r="AM133" s="520"/>
      <c r="AN133" s="523" t="s">
        <v>114</v>
      </c>
      <c r="AO133" s="2849"/>
      <c r="AP133" s="518"/>
      <c r="AQ133" s="519" t="s">
        <v>113</v>
      </c>
      <c r="AR133" s="520"/>
      <c r="AS133" s="523" t="s">
        <v>114</v>
      </c>
      <c r="AT133" s="2849"/>
      <c r="AU133" s="518"/>
      <c r="AV133" s="519" t="s">
        <v>113</v>
      </c>
      <c r="AW133" s="520"/>
      <c r="AX133" s="523" t="s">
        <v>114</v>
      </c>
      <c r="AY133" s="2849"/>
      <c r="AZ133" s="518"/>
      <c r="BA133" s="519" t="s">
        <v>113</v>
      </c>
      <c r="BB133" s="520"/>
      <c r="BC133" s="523" t="s">
        <v>114</v>
      </c>
      <c r="BD133" s="2849"/>
      <c r="BE133" s="518"/>
      <c r="BF133" s="519" t="s">
        <v>113</v>
      </c>
      <c r="BG133" s="520"/>
      <c r="BH133" s="523" t="s">
        <v>114</v>
      </c>
      <c r="BI133" s="2849"/>
      <c r="BJ133" s="518"/>
      <c r="BK133" s="519" t="s">
        <v>113</v>
      </c>
      <c r="BL133" s="520"/>
      <c r="BM133" s="523" t="s">
        <v>114</v>
      </c>
      <c r="BN133" s="2827"/>
      <c r="BO133" s="518"/>
      <c r="BP133" s="519" t="s">
        <v>113</v>
      </c>
      <c r="BQ133" s="520"/>
      <c r="BR133" s="523" t="s">
        <v>114</v>
      </c>
      <c r="BS133" s="2827"/>
      <c r="BT133" s="518"/>
      <c r="BU133" s="519" t="s">
        <v>113</v>
      </c>
      <c r="BV133" s="520"/>
      <c r="BW133" s="523" t="s">
        <v>114</v>
      </c>
      <c r="BX133" s="2827"/>
      <c r="BY133" s="518">
        <v>1.0000000000000001E-15</v>
      </c>
      <c r="BZ133" s="519" t="s">
        <v>113</v>
      </c>
      <c r="CA133" s="520"/>
      <c r="CB133" s="523" t="s">
        <v>114</v>
      </c>
      <c r="CG133" s="27"/>
      <c r="CH133" s="27"/>
      <c r="CI133" s="27"/>
      <c r="CJ133" s="27"/>
      <c r="CK133" s="27"/>
      <c r="CL133" s="27"/>
      <c r="CM133" s="27"/>
      <c r="CN133" s="27"/>
      <c r="CO133" s="27"/>
    </row>
    <row r="134" spans="1:148" ht="26.1" hidden="1" customHeight="1" x14ac:dyDescent="0.25">
      <c r="A134" s="672"/>
      <c r="B134" s="672"/>
      <c r="C134" s="672"/>
      <c r="D134" s="673"/>
      <c r="E134" s="673"/>
      <c r="F134" s="672"/>
      <c r="G134" s="672"/>
      <c r="H134" s="672"/>
      <c r="I134" s="673"/>
      <c r="J134" s="673"/>
      <c r="K134" s="672"/>
      <c r="L134" s="672"/>
      <c r="M134" s="672"/>
      <c r="N134" s="673"/>
      <c r="O134" s="673"/>
      <c r="P134" s="672"/>
      <c r="Q134" s="672"/>
      <c r="R134" s="672"/>
      <c r="S134" s="673"/>
      <c r="T134" s="673"/>
      <c r="U134" s="674"/>
      <c r="V134" s="674"/>
      <c r="W134" s="674"/>
      <c r="X134" s="675"/>
      <c r="Y134" s="675"/>
      <c r="Z134" s="674"/>
      <c r="AA134" s="674"/>
      <c r="AB134" s="674"/>
      <c r="AC134" s="675"/>
      <c r="AD134" s="675"/>
      <c r="AE134" s="674"/>
      <c r="AF134" s="674"/>
      <c r="AG134" s="674"/>
      <c r="AH134" s="675"/>
      <c r="AI134" s="675"/>
      <c r="AJ134" s="674"/>
      <c r="AK134" s="674"/>
      <c r="AL134" s="674"/>
      <c r="AM134" s="675"/>
      <c r="AN134" s="675"/>
      <c r="AO134" s="674"/>
      <c r="AP134" s="674"/>
      <c r="AQ134" s="674"/>
      <c r="AR134" s="675"/>
      <c r="AS134" s="675"/>
      <c r="AT134" s="674"/>
      <c r="AU134" s="674"/>
      <c r="AV134" s="674"/>
      <c r="AW134" s="675"/>
      <c r="AX134" s="675"/>
      <c r="AY134" s="674"/>
      <c r="AZ134" s="674"/>
      <c r="BA134" s="674"/>
      <c r="BB134" s="675"/>
      <c r="BC134" s="675"/>
      <c r="BD134" s="674"/>
      <c r="BE134" s="674"/>
      <c r="BF134" s="674"/>
      <c r="BG134" s="675"/>
      <c r="BH134" s="675"/>
      <c r="BI134" s="674"/>
      <c r="BJ134" s="674"/>
      <c r="BK134" s="674"/>
      <c r="BL134" s="675"/>
      <c r="BM134" s="675"/>
      <c r="BN134" s="674"/>
      <c r="BO134" s="674"/>
      <c r="BP134" s="674"/>
      <c r="BQ134" s="675"/>
      <c r="BR134" s="675"/>
      <c r="BS134" s="674"/>
      <c r="BT134" s="674"/>
      <c r="BU134" s="674"/>
      <c r="BV134" s="675"/>
      <c r="BW134" s="675"/>
      <c r="BX134" s="674"/>
      <c r="BY134" s="674"/>
      <c r="BZ134" s="674"/>
      <c r="CA134" s="675"/>
      <c r="CB134" s="675"/>
    </row>
    <row r="135" spans="1:148" ht="6.75" hidden="1" customHeight="1" x14ac:dyDescent="0.25">
      <c r="A135" s="676"/>
      <c r="B135" s="676"/>
      <c r="C135" s="676"/>
      <c r="D135" s="29"/>
      <c r="E135" s="524"/>
      <c r="F135" s="676"/>
      <c r="G135" s="676"/>
      <c r="H135" s="676"/>
      <c r="I135" s="29"/>
      <c r="J135" s="524"/>
      <c r="K135" s="676"/>
      <c r="L135" s="676"/>
      <c r="M135" s="676"/>
      <c r="N135" s="29"/>
      <c r="O135" s="524"/>
      <c r="P135" s="676"/>
      <c r="Q135" s="676"/>
      <c r="R135" s="676"/>
      <c r="S135" s="29"/>
      <c r="T135" s="524"/>
      <c r="U135" s="676"/>
      <c r="V135" s="676"/>
      <c r="W135" s="676"/>
      <c r="X135" s="29"/>
      <c r="Y135" s="524"/>
      <c r="Z135" s="676"/>
      <c r="AA135" s="676"/>
      <c r="AB135" s="676"/>
      <c r="AC135" s="29"/>
      <c r="AD135" s="524"/>
      <c r="AE135" s="676"/>
      <c r="AF135" s="676"/>
      <c r="AG135" s="676"/>
      <c r="AH135" s="29"/>
      <c r="AI135" s="524"/>
      <c r="AJ135" s="676"/>
      <c r="AK135" s="676"/>
      <c r="AL135" s="676"/>
      <c r="AM135" s="29"/>
      <c r="AN135" s="524"/>
      <c r="AO135" s="676"/>
      <c r="AP135" s="676"/>
      <c r="AQ135" s="676"/>
      <c r="AR135" s="29"/>
      <c r="AS135" s="524"/>
      <c r="AT135" s="676"/>
      <c r="AU135" s="676"/>
      <c r="AV135" s="676"/>
      <c r="AW135" s="29"/>
      <c r="AX135" s="524"/>
      <c r="AY135" s="676"/>
      <c r="AZ135" s="676"/>
      <c r="BA135" s="676"/>
      <c r="BB135" s="29"/>
      <c r="BC135" s="524"/>
      <c r="BD135" s="676"/>
      <c r="BE135" s="676"/>
      <c r="BF135" s="676"/>
      <c r="BG135" s="29"/>
      <c r="BH135" s="524"/>
      <c r="BI135" s="676"/>
      <c r="BJ135" s="676"/>
      <c r="BK135" s="676"/>
      <c r="BL135" s="29"/>
      <c r="BM135" s="524"/>
      <c r="BN135" s="676"/>
      <c r="BO135" s="676"/>
      <c r="BP135" s="676"/>
      <c r="BQ135" s="29"/>
      <c r="BR135" s="524"/>
      <c r="BS135" s="676"/>
      <c r="BT135" s="676"/>
      <c r="BU135" s="676"/>
      <c r="BV135" s="29"/>
      <c r="BW135" s="524"/>
      <c r="BX135" s="676"/>
      <c r="BY135" s="676"/>
      <c r="BZ135" s="676"/>
      <c r="CA135" s="29"/>
      <c r="CB135" s="524"/>
    </row>
    <row r="136" spans="1:148" ht="21.95" hidden="1" customHeight="1" x14ac:dyDescent="0.25">
      <c r="A136" s="676"/>
      <c r="B136" s="676"/>
      <c r="C136" s="676"/>
      <c r="D136" s="30"/>
      <c r="E136" s="524"/>
      <c r="F136" s="676"/>
      <c r="G136" s="676"/>
      <c r="H136" s="676"/>
      <c r="I136" s="30"/>
      <c r="J136" s="524"/>
      <c r="K136" s="676"/>
      <c r="L136" s="676"/>
      <c r="M136" s="676"/>
      <c r="N136" s="30"/>
      <c r="O136" s="524"/>
      <c r="P136" s="676"/>
      <c r="Q136" s="676"/>
      <c r="R136" s="676"/>
      <c r="S136" s="30"/>
      <c r="T136" s="524"/>
      <c r="U136" s="676"/>
      <c r="V136" s="676"/>
      <c r="W136" s="676"/>
      <c r="X136" s="30"/>
      <c r="Y136" s="524"/>
      <c r="Z136" s="676"/>
      <c r="AA136" s="676"/>
      <c r="AB136" s="676"/>
      <c r="AC136" s="30"/>
      <c r="AD136" s="524"/>
      <c r="AE136" s="676"/>
      <c r="AF136" s="676"/>
      <c r="AG136" s="676"/>
      <c r="AH136" s="30"/>
      <c r="AI136" s="524"/>
      <c r="AJ136" s="676"/>
      <c r="AK136" s="676"/>
      <c r="AL136" s="676"/>
      <c r="AM136" s="30"/>
      <c r="AN136" s="524"/>
      <c r="AO136" s="676"/>
      <c r="AP136" s="676"/>
      <c r="AQ136" s="676"/>
      <c r="AR136" s="30"/>
      <c r="AS136" s="524"/>
      <c r="AT136" s="676"/>
      <c r="AU136" s="676"/>
      <c r="AV136" s="676"/>
      <c r="AW136" s="30"/>
      <c r="AX136" s="524"/>
      <c r="AY136" s="676"/>
      <c r="AZ136" s="676"/>
      <c r="BA136" s="676"/>
      <c r="BB136" s="30"/>
      <c r="BC136" s="524"/>
      <c r="BD136" s="676"/>
      <c r="BE136" s="676"/>
      <c r="BF136" s="676"/>
      <c r="BG136" s="30"/>
      <c r="BH136" s="524"/>
      <c r="BI136" s="676"/>
      <c r="BJ136" s="676"/>
      <c r="BK136" s="676"/>
      <c r="BL136" s="30"/>
      <c r="BM136" s="524"/>
      <c r="BN136" s="676"/>
      <c r="BO136" s="676"/>
      <c r="BP136" s="676"/>
      <c r="BQ136" s="30"/>
      <c r="BR136" s="524"/>
      <c r="BS136" s="676"/>
      <c r="BT136" s="676"/>
      <c r="BU136" s="676"/>
      <c r="BV136" s="30"/>
      <c r="BW136" s="524"/>
      <c r="BX136" s="676"/>
      <c r="BY136" s="676"/>
      <c r="BZ136" s="676"/>
      <c r="CA136" s="30"/>
      <c r="CB136" s="524"/>
    </row>
    <row r="137" spans="1:148" ht="6" hidden="1" customHeight="1" x14ac:dyDescent="0.25">
      <c r="A137" s="676"/>
      <c r="B137" s="676"/>
      <c r="C137" s="676"/>
      <c r="D137" s="675"/>
      <c r="E137" s="675"/>
      <c r="F137" s="676"/>
      <c r="G137" s="676"/>
      <c r="H137" s="676"/>
      <c r="I137" s="675"/>
      <c r="J137" s="675"/>
      <c r="K137" s="676"/>
      <c r="L137" s="676"/>
      <c r="M137" s="676"/>
      <c r="N137" s="675"/>
      <c r="O137" s="675"/>
      <c r="P137" s="676"/>
      <c r="Q137" s="676"/>
      <c r="R137" s="676"/>
      <c r="S137" s="675"/>
      <c r="T137" s="675"/>
      <c r="U137" s="676"/>
      <c r="V137" s="676"/>
      <c r="W137" s="676"/>
      <c r="X137" s="675"/>
      <c r="Y137" s="675"/>
      <c r="Z137" s="676"/>
      <c r="AA137" s="676"/>
      <c r="AB137" s="676"/>
      <c r="AC137" s="675"/>
      <c r="AD137" s="675"/>
      <c r="AE137" s="676"/>
      <c r="AF137" s="676"/>
      <c r="AG137" s="676"/>
      <c r="AH137" s="675"/>
      <c r="AI137" s="675"/>
      <c r="AJ137" s="676"/>
      <c r="AK137" s="676"/>
      <c r="AL137" s="676"/>
      <c r="AM137" s="675"/>
      <c r="AN137" s="675"/>
      <c r="AO137" s="676"/>
      <c r="AP137" s="676"/>
      <c r="AQ137" s="676"/>
      <c r="AR137" s="675"/>
      <c r="AS137" s="675"/>
      <c r="AT137" s="676"/>
      <c r="AU137" s="676"/>
      <c r="AV137" s="676"/>
      <c r="AW137" s="675"/>
      <c r="AX137" s="675"/>
      <c r="AY137" s="676"/>
      <c r="AZ137" s="676"/>
      <c r="BA137" s="676"/>
      <c r="BB137" s="675"/>
      <c r="BC137" s="675"/>
      <c r="BD137" s="676"/>
      <c r="BE137" s="676"/>
      <c r="BF137" s="676"/>
      <c r="BG137" s="675"/>
      <c r="BH137" s="675"/>
      <c r="BI137" s="676"/>
      <c r="BJ137" s="676"/>
      <c r="BK137" s="676"/>
      <c r="BL137" s="675"/>
      <c r="BM137" s="675"/>
      <c r="BN137" s="676"/>
      <c r="BO137" s="676"/>
      <c r="BP137" s="676"/>
      <c r="BQ137" s="675"/>
      <c r="BR137" s="675"/>
      <c r="BS137" s="676"/>
      <c r="BT137" s="676"/>
      <c r="BU137" s="676"/>
      <c r="BV137" s="675"/>
      <c r="BW137" s="675"/>
      <c r="BX137" s="676"/>
      <c r="BY137" s="676"/>
      <c r="BZ137" s="676"/>
      <c r="CA137" s="675"/>
      <c r="CB137" s="675"/>
    </row>
    <row r="138" spans="1:148" ht="60" hidden="1" thickTop="1" thickBot="1" x14ac:dyDescent="0.3">
      <c r="A138" s="677"/>
      <c r="B138" s="678"/>
      <c r="C138" s="678"/>
      <c r="D138" s="678"/>
      <c r="E138" s="678"/>
      <c r="F138" s="677"/>
      <c r="G138" s="678"/>
      <c r="H138" s="678"/>
      <c r="I138" s="678"/>
      <c r="J138" s="678"/>
      <c r="K138" s="677"/>
      <c r="L138" s="678"/>
      <c r="M138" s="678"/>
      <c r="N138" s="678"/>
      <c r="O138" s="678"/>
      <c r="P138" s="677"/>
      <c r="Q138" s="678"/>
      <c r="R138" s="678"/>
      <c r="S138" s="678"/>
      <c r="T138" s="678"/>
      <c r="U138" s="677"/>
      <c r="V138" s="678"/>
      <c r="W138" s="678"/>
      <c r="X138" s="678"/>
      <c r="Y138" s="678"/>
      <c r="Z138" s="677"/>
      <c r="AA138" s="678"/>
      <c r="AB138" s="678"/>
      <c r="AC138" s="678"/>
      <c r="AD138" s="678"/>
      <c r="AE138" s="677"/>
      <c r="AF138" s="678"/>
      <c r="AG138" s="678"/>
      <c r="AH138" s="678"/>
      <c r="AI138" s="678"/>
      <c r="AJ138" s="677"/>
      <c r="AK138" s="678"/>
      <c r="AL138" s="678"/>
      <c r="AM138" s="678"/>
      <c r="AN138" s="678"/>
      <c r="AO138" s="677"/>
      <c r="AP138" s="678"/>
      <c r="AQ138" s="678"/>
      <c r="AR138" s="678"/>
      <c r="AS138" s="678"/>
      <c r="AT138" s="677"/>
      <c r="AU138" s="678"/>
      <c r="AV138" s="678"/>
      <c r="AW138" s="678"/>
      <c r="AX138" s="678"/>
      <c r="AY138" s="677"/>
      <c r="AZ138" s="678"/>
      <c r="BA138" s="678"/>
      <c r="BB138" s="678"/>
      <c r="BC138" s="678"/>
      <c r="BD138" s="677"/>
      <c r="BE138" s="678"/>
      <c r="BF138" s="678"/>
      <c r="BG138" s="678"/>
      <c r="BH138" s="678"/>
      <c r="BI138" s="677"/>
      <c r="BJ138" s="678"/>
      <c r="BK138" s="678"/>
      <c r="BL138" s="678"/>
      <c r="BM138" s="678"/>
      <c r="BN138" s="677"/>
      <c r="BO138" s="678"/>
      <c r="BP138" s="678"/>
      <c r="BQ138" s="678"/>
      <c r="BR138" s="678"/>
      <c r="BS138" s="677"/>
      <c r="BT138" s="678"/>
      <c r="BU138" s="678"/>
      <c r="BV138" s="678"/>
      <c r="BW138" s="678"/>
      <c r="BX138" s="677"/>
      <c r="BY138" s="678"/>
      <c r="BZ138" s="678"/>
      <c r="CA138" s="678"/>
      <c r="CB138" s="678"/>
    </row>
    <row r="139" spans="1:148" ht="27.75" hidden="1" thickTop="1" thickBot="1" x14ac:dyDescent="0.3">
      <c r="A139" s="677"/>
      <c r="B139" s="32"/>
      <c r="C139" s="33"/>
      <c r="D139" s="34"/>
      <c r="E139" s="36"/>
      <c r="F139" s="677"/>
      <c r="G139" s="32"/>
      <c r="H139" s="33"/>
      <c r="I139" s="34"/>
      <c r="J139" s="36"/>
      <c r="K139" s="677"/>
      <c r="L139" s="32"/>
      <c r="M139" s="33"/>
      <c r="N139" s="34"/>
      <c r="O139" s="36"/>
      <c r="P139" s="677"/>
      <c r="Q139" s="32"/>
      <c r="R139" s="33"/>
      <c r="S139" s="34"/>
      <c r="T139" s="36"/>
      <c r="U139" s="677"/>
      <c r="V139" s="32"/>
      <c r="W139" s="33"/>
      <c r="X139" s="34"/>
      <c r="Y139" s="36"/>
      <c r="Z139" s="677"/>
      <c r="AA139" s="32"/>
      <c r="AB139" s="33"/>
      <c r="AC139" s="34"/>
      <c r="AD139" s="36"/>
      <c r="AE139" s="677"/>
      <c r="AF139" s="32"/>
      <c r="AG139" s="33"/>
      <c r="AH139" s="34"/>
      <c r="AI139" s="36"/>
      <c r="AJ139" s="677"/>
      <c r="AK139" s="32"/>
      <c r="AL139" s="33"/>
      <c r="AM139" s="34"/>
      <c r="AN139" s="36"/>
      <c r="AO139" s="677"/>
      <c r="AP139" s="32"/>
      <c r="AQ139" s="33"/>
      <c r="AR139" s="34"/>
      <c r="AS139" s="36"/>
      <c r="AT139" s="677"/>
      <c r="AU139" s="32"/>
      <c r="AV139" s="33"/>
      <c r="AW139" s="34"/>
      <c r="AX139" s="36"/>
      <c r="AY139" s="677"/>
      <c r="AZ139" s="32"/>
      <c r="BA139" s="33"/>
      <c r="BB139" s="34"/>
      <c r="BC139" s="36"/>
      <c r="BD139" s="677"/>
      <c r="BE139" s="32"/>
      <c r="BF139" s="33"/>
      <c r="BG139" s="34"/>
      <c r="BH139" s="36"/>
      <c r="BI139" s="677"/>
      <c r="BJ139" s="32"/>
      <c r="BK139" s="33"/>
      <c r="BL139" s="34"/>
      <c r="BM139" s="36"/>
      <c r="BN139" s="677"/>
      <c r="BO139" s="32"/>
      <c r="BP139" s="33"/>
      <c r="BQ139" s="34"/>
      <c r="BR139" s="36"/>
      <c r="BS139" s="677"/>
      <c r="BT139" s="32"/>
      <c r="BU139" s="33"/>
      <c r="BV139" s="34"/>
      <c r="BW139" s="36"/>
      <c r="BX139" s="677"/>
      <c r="BY139" s="32"/>
      <c r="BZ139" s="33"/>
      <c r="CA139" s="34"/>
      <c r="CB139" s="36"/>
      <c r="CG139" s="27"/>
      <c r="CH139" s="27"/>
      <c r="CI139" s="27"/>
      <c r="CJ139" s="27"/>
      <c r="CK139" s="27"/>
      <c r="CL139" s="27"/>
      <c r="CM139" s="27"/>
      <c r="CN139" s="27"/>
      <c r="CO139" s="27"/>
    </row>
    <row r="140" spans="1:148" ht="26.1" hidden="1" customHeight="1" x14ac:dyDescent="0.25">
      <c r="A140" s="674"/>
      <c r="B140" s="674"/>
      <c r="C140" s="674"/>
      <c r="D140" s="675"/>
      <c r="E140" s="675"/>
      <c r="F140" s="674"/>
      <c r="G140" s="674"/>
      <c r="H140" s="674"/>
      <c r="I140" s="675"/>
      <c r="J140" s="675"/>
      <c r="K140" s="674"/>
      <c r="L140" s="674"/>
      <c r="M140" s="674"/>
      <c r="N140" s="675"/>
      <c r="O140" s="675"/>
      <c r="P140" s="674"/>
      <c r="Q140" s="674"/>
      <c r="R140" s="674"/>
      <c r="S140" s="675"/>
      <c r="T140" s="675"/>
      <c r="U140" s="674"/>
      <c r="V140" s="674"/>
      <c r="W140" s="674"/>
      <c r="X140" s="675"/>
      <c r="Y140" s="675"/>
      <c r="Z140" s="674"/>
      <c r="AA140" s="674"/>
      <c r="AB140" s="674"/>
      <c r="AC140" s="675"/>
      <c r="AD140" s="675"/>
      <c r="AE140" s="674"/>
      <c r="AF140" s="674"/>
      <c r="AG140" s="674"/>
      <c r="AH140" s="675"/>
      <c r="AI140" s="675"/>
      <c r="AJ140" s="674"/>
      <c r="AK140" s="674"/>
      <c r="AL140" s="674"/>
      <c r="AM140" s="675"/>
      <c r="AN140" s="675"/>
      <c r="AO140" s="674"/>
      <c r="AP140" s="674"/>
      <c r="AQ140" s="674"/>
      <c r="AR140" s="675"/>
      <c r="AS140" s="675"/>
      <c r="AT140" s="674"/>
      <c r="AU140" s="674"/>
      <c r="AV140" s="674"/>
      <c r="AW140" s="675"/>
      <c r="AX140" s="675"/>
      <c r="AY140" s="674"/>
      <c r="AZ140" s="674"/>
      <c r="BA140" s="674"/>
      <c r="BB140" s="675"/>
      <c r="BC140" s="675"/>
      <c r="BD140" s="674"/>
      <c r="BE140" s="674"/>
      <c r="BF140" s="674"/>
      <c r="BG140" s="675"/>
      <c r="BH140" s="675"/>
      <c r="BI140" s="674"/>
      <c r="BJ140" s="674"/>
      <c r="BK140" s="674"/>
      <c r="BL140" s="675"/>
      <c r="BM140" s="675"/>
      <c r="BN140" s="674"/>
      <c r="BO140" s="674"/>
      <c r="BP140" s="674"/>
      <c r="BQ140" s="675"/>
      <c r="BR140" s="675"/>
      <c r="BS140" s="674"/>
      <c r="BT140" s="674"/>
      <c r="BU140" s="674"/>
      <c r="BV140" s="675"/>
      <c r="BW140" s="675"/>
      <c r="BX140" s="674"/>
      <c r="BY140" s="674"/>
      <c r="BZ140" s="674"/>
      <c r="CA140" s="675"/>
      <c r="CB140" s="675"/>
    </row>
    <row r="141" spans="1:148" ht="6.75" hidden="1" customHeight="1" x14ac:dyDescent="0.25">
      <c r="A141" s="676"/>
      <c r="B141" s="676"/>
      <c r="C141" s="676"/>
      <c r="D141" s="29"/>
      <c r="E141" s="524"/>
      <c r="F141" s="676"/>
      <c r="G141" s="676"/>
      <c r="H141" s="676"/>
      <c r="I141" s="29"/>
      <c r="J141" s="524"/>
      <c r="K141" s="676"/>
      <c r="L141" s="676"/>
      <c r="M141" s="676"/>
      <c r="N141" s="29"/>
      <c r="O141" s="524"/>
      <c r="P141" s="676"/>
      <c r="Q141" s="676"/>
      <c r="R141" s="676"/>
      <c r="S141" s="29"/>
      <c r="T141" s="524"/>
      <c r="U141" s="676"/>
      <c r="V141" s="676"/>
      <c r="W141" s="676"/>
      <c r="X141" s="29"/>
      <c r="Y141" s="524"/>
      <c r="Z141" s="676"/>
      <c r="AA141" s="676"/>
      <c r="AB141" s="676"/>
      <c r="AC141" s="29"/>
      <c r="AD141" s="524"/>
      <c r="AE141" s="676"/>
      <c r="AF141" s="676"/>
      <c r="AG141" s="676"/>
      <c r="AH141" s="29"/>
      <c r="AI141" s="524"/>
      <c r="AJ141" s="676"/>
      <c r="AK141" s="676"/>
      <c r="AL141" s="676"/>
      <c r="AM141" s="29"/>
      <c r="AN141" s="524"/>
      <c r="AO141" s="676"/>
      <c r="AP141" s="676"/>
      <c r="AQ141" s="676"/>
      <c r="AR141" s="29"/>
      <c r="AS141" s="524"/>
      <c r="AT141" s="676"/>
      <c r="AU141" s="676"/>
      <c r="AV141" s="676"/>
      <c r="AW141" s="29"/>
      <c r="AX141" s="524"/>
      <c r="AY141" s="676"/>
      <c r="AZ141" s="676"/>
      <c r="BA141" s="676"/>
      <c r="BB141" s="29"/>
      <c r="BC141" s="524"/>
      <c r="BD141" s="676"/>
      <c r="BE141" s="676"/>
      <c r="BF141" s="676"/>
      <c r="BG141" s="29"/>
      <c r="BH141" s="524"/>
      <c r="BI141" s="676"/>
      <c r="BJ141" s="676"/>
      <c r="BK141" s="676"/>
      <c r="BL141" s="29"/>
      <c r="BM141" s="524"/>
      <c r="BN141" s="676"/>
      <c r="BO141" s="676"/>
      <c r="BP141" s="676"/>
      <c r="BQ141" s="29"/>
      <c r="BR141" s="524"/>
      <c r="BS141" s="676"/>
      <c r="BT141" s="676"/>
      <c r="BU141" s="676"/>
      <c r="BV141" s="29"/>
      <c r="BW141" s="524"/>
      <c r="BX141" s="676"/>
      <c r="BY141" s="676"/>
      <c r="BZ141" s="676"/>
      <c r="CA141" s="29"/>
      <c r="CB141" s="524"/>
    </row>
    <row r="142" spans="1:148" ht="21.95" hidden="1" customHeight="1" x14ac:dyDescent="0.25">
      <c r="A142" s="676"/>
      <c r="B142" s="676"/>
      <c r="C142" s="676"/>
      <c r="D142" s="30"/>
      <c r="E142" s="524"/>
      <c r="F142" s="676"/>
      <c r="G142" s="676"/>
      <c r="H142" s="676"/>
      <c r="I142" s="30"/>
      <c r="J142" s="524"/>
      <c r="K142" s="676"/>
      <c r="L142" s="676"/>
      <c r="M142" s="676"/>
      <c r="N142" s="30"/>
      <c r="O142" s="524"/>
      <c r="P142" s="676"/>
      <c r="Q142" s="676"/>
      <c r="R142" s="676"/>
      <c r="S142" s="30"/>
      <c r="T142" s="524"/>
      <c r="U142" s="676"/>
      <c r="V142" s="676"/>
      <c r="W142" s="676"/>
      <c r="X142" s="30"/>
      <c r="Y142" s="524"/>
      <c r="Z142" s="676"/>
      <c r="AA142" s="676"/>
      <c r="AB142" s="676"/>
      <c r="AC142" s="30"/>
      <c r="AD142" s="524"/>
      <c r="AE142" s="676"/>
      <c r="AF142" s="676"/>
      <c r="AG142" s="676"/>
      <c r="AH142" s="30"/>
      <c r="AI142" s="524"/>
      <c r="AJ142" s="676"/>
      <c r="AK142" s="676"/>
      <c r="AL142" s="676"/>
      <c r="AM142" s="30"/>
      <c r="AN142" s="524"/>
      <c r="AO142" s="676"/>
      <c r="AP142" s="676"/>
      <c r="AQ142" s="676"/>
      <c r="AR142" s="30"/>
      <c r="AS142" s="524"/>
      <c r="AT142" s="676"/>
      <c r="AU142" s="676"/>
      <c r="AV142" s="676"/>
      <c r="AW142" s="30"/>
      <c r="AX142" s="524"/>
      <c r="AY142" s="676"/>
      <c r="AZ142" s="676"/>
      <c r="BA142" s="676"/>
      <c r="BB142" s="30"/>
      <c r="BC142" s="524"/>
      <c r="BD142" s="676"/>
      <c r="BE142" s="676"/>
      <c r="BF142" s="676"/>
      <c r="BG142" s="30"/>
      <c r="BH142" s="524"/>
      <c r="BI142" s="676"/>
      <c r="BJ142" s="676"/>
      <c r="BK142" s="676"/>
      <c r="BL142" s="30"/>
      <c r="BM142" s="524"/>
      <c r="BN142" s="676"/>
      <c r="BO142" s="676"/>
      <c r="BP142" s="676"/>
      <c r="BQ142" s="30"/>
      <c r="BR142" s="524"/>
      <c r="BS142" s="676"/>
      <c r="BT142" s="676"/>
      <c r="BU142" s="676"/>
      <c r="BV142" s="30"/>
      <c r="BW142" s="524"/>
      <c r="BX142" s="676"/>
      <c r="BY142" s="676"/>
      <c r="BZ142" s="676"/>
      <c r="CA142" s="30"/>
      <c r="CB142" s="524"/>
    </row>
    <row r="143" spans="1:148" ht="6" hidden="1" customHeight="1" x14ac:dyDescent="0.25">
      <c r="A143" s="676"/>
      <c r="B143" s="676"/>
      <c r="C143" s="676"/>
      <c r="D143" s="675"/>
      <c r="E143" s="675"/>
      <c r="F143" s="676"/>
      <c r="G143" s="676"/>
      <c r="H143" s="676"/>
      <c r="I143" s="675"/>
      <c r="J143" s="675"/>
      <c r="K143" s="676"/>
      <c r="L143" s="676"/>
      <c r="M143" s="676"/>
      <c r="N143" s="675"/>
      <c r="O143" s="675"/>
      <c r="P143" s="676"/>
      <c r="Q143" s="676"/>
      <c r="R143" s="676"/>
      <c r="S143" s="675"/>
      <c r="T143" s="675"/>
      <c r="U143" s="676"/>
      <c r="V143" s="676"/>
      <c r="W143" s="676"/>
      <c r="X143" s="675"/>
      <c r="Y143" s="675"/>
      <c r="Z143" s="676"/>
      <c r="AA143" s="676"/>
      <c r="AB143" s="676"/>
      <c r="AC143" s="675"/>
      <c r="AD143" s="675"/>
      <c r="AE143" s="676"/>
      <c r="AF143" s="676"/>
      <c r="AG143" s="676"/>
      <c r="AH143" s="675"/>
      <c r="AI143" s="675"/>
      <c r="AJ143" s="676"/>
      <c r="AK143" s="676"/>
      <c r="AL143" s="676"/>
      <c r="AM143" s="675"/>
      <c r="AN143" s="675"/>
      <c r="AO143" s="676"/>
      <c r="AP143" s="676"/>
      <c r="AQ143" s="676"/>
      <c r="AR143" s="675"/>
      <c r="AS143" s="675"/>
      <c r="AT143" s="676"/>
      <c r="AU143" s="676"/>
      <c r="AV143" s="676"/>
      <c r="AW143" s="675"/>
      <c r="AX143" s="675"/>
      <c r="AY143" s="676"/>
      <c r="AZ143" s="676"/>
      <c r="BA143" s="676"/>
      <c r="BB143" s="675"/>
      <c r="BC143" s="675"/>
      <c r="BD143" s="676"/>
      <c r="BE143" s="676"/>
      <c r="BF143" s="676"/>
      <c r="BG143" s="675"/>
      <c r="BH143" s="675"/>
      <c r="BI143" s="676"/>
      <c r="BJ143" s="676"/>
      <c r="BK143" s="676"/>
      <c r="BL143" s="675"/>
      <c r="BM143" s="675"/>
      <c r="BN143" s="676"/>
      <c r="BO143" s="676"/>
      <c r="BP143" s="676"/>
      <c r="BQ143" s="675"/>
      <c r="BR143" s="675"/>
      <c r="BS143" s="676"/>
      <c r="BT143" s="676"/>
      <c r="BU143" s="676"/>
      <c r="BV143" s="675"/>
      <c r="BW143" s="675"/>
      <c r="BX143" s="676"/>
      <c r="BY143" s="676"/>
      <c r="BZ143" s="676"/>
      <c r="CA143" s="675"/>
      <c r="CB143" s="675"/>
    </row>
    <row r="144" spans="1:148" ht="57" customHeight="1" thickTop="1" x14ac:dyDescent="0.25">
      <c r="A144" s="2822" t="s">
        <v>110</v>
      </c>
      <c r="B144" s="2823"/>
      <c r="C144" s="2824">
        <f t="shared" ref="C144" si="323">B149/((36*3.1415/59)*(69/3.281))</f>
        <v>0</v>
      </c>
      <c r="D144" s="2824"/>
      <c r="E144" s="2825"/>
      <c r="F144" s="2822" t="s">
        <v>110</v>
      </c>
      <c r="G144" s="2823"/>
      <c r="H144" s="2824">
        <f t="shared" ref="H144" si="324">G149/((36*3.1415/59)*(69/3.281))</f>
        <v>0</v>
      </c>
      <c r="I144" s="2824"/>
      <c r="J144" s="2825"/>
      <c r="K144" s="2822" t="s">
        <v>110</v>
      </c>
      <c r="L144" s="2823"/>
      <c r="M144" s="2824">
        <f t="shared" ref="M144" si="325">L149/((36*3.1415/59)*(69/3.281))</f>
        <v>2.4806733811017282E-12</v>
      </c>
      <c r="N144" s="2824"/>
      <c r="O144" s="2825"/>
      <c r="P144" s="2822" t="s">
        <v>110</v>
      </c>
      <c r="Q144" s="2823"/>
      <c r="R144" s="2824">
        <f t="shared" ref="R144" si="326">Q149/((36*3.1415/59)*(69/3.281))</f>
        <v>2.480673381101728E-14</v>
      </c>
      <c r="S144" s="2824"/>
      <c r="T144" s="2825"/>
      <c r="U144" s="2822" t="s">
        <v>110</v>
      </c>
      <c r="V144" s="2823"/>
      <c r="W144" s="2824">
        <f t="shared" ref="W144" si="327">V149/((36*3.1415/59)*(69/3.281))</f>
        <v>4.410637271598873E-3</v>
      </c>
      <c r="X144" s="2824"/>
      <c r="Y144" s="2825"/>
      <c r="Z144" s="2822" t="s">
        <v>110</v>
      </c>
      <c r="AA144" s="2823"/>
      <c r="AB144" s="2824">
        <f t="shared" ref="AB144" si="328">AA149/((36*3.1415/59)*(69/3.281))</f>
        <v>0</v>
      </c>
      <c r="AC144" s="2824"/>
      <c r="AD144" s="2825"/>
      <c r="AE144" s="2822" t="s">
        <v>110</v>
      </c>
      <c r="AF144" s="2823"/>
      <c r="AG144" s="2824">
        <f t="shared" ref="AG144" si="329">AF149/((36*3.1415/59)*(69/3.281))</f>
        <v>2.4806733811017278E-13</v>
      </c>
      <c r="AH144" s="2824"/>
      <c r="AI144" s="2825"/>
      <c r="AJ144" s="2822" t="s">
        <v>110</v>
      </c>
      <c r="AK144" s="2823"/>
      <c r="AL144" s="2824">
        <f t="shared" ref="AL144" si="330">AK149/((36*3.1415/59)*(69/3.281))</f>
        <v>0</v>
      </c>
      <c r="AM144" s="2824"/>
      <c r="AN144" s="2825"/>
      <c r="AO144" s="2822" t="s">
        <v>110</v>
      </c>
      <c r="AP144" s="2823"/>
      <c r="AQ144" s="2824">
        <f t="shared" ref="AQ144" si="331">AP149/((36*3.1415/59)*(69/3.281))</f>
        <v>0</v>
      </c>
      <c r="AR144" s="2824"/>
      <c r="AS144" s="2825"/>
      <c r="AT144" s="2822" t="s">
        <v>110</v>
      </c>
      <c r="AU144" s="2823"/>
      <c r="AV144" s="2824">
        <f t="shared" ref="AV144" si="332">AU149/((36*3.1415/59)*(69/3.281))</f>
        <v>0</v>
      </c>
      <c r="AW144" s="2824"/>
      <c r="AX144" s="2825"/>
      <c r="AY144" s="2822" t="s">
        <v>110</v>
      </c>
      <c r="AZ144" s="2823"/>
      <c r="BA144" s="2824">
        <f t="shared" ref="BA144" si="333">AZ149/((36*3.1415/59)*(69/3.281))</f>
        <v>0</v>
      </c>
      <c r="BB144" s="2824"/>
      <c r="BC144" s="2825"/>
      <c r="BD144" s="2822" t="s">
        <v>110</v>
      </c>
      <c r="BE144" s="2823"/>
      <c r="BF144" s="2824">
        <f t="shared" ref="BF144" si="334">BE149/((36*3.1415/59)*(69/3.281))</f>
        <v>0</v>
      </c>
      <c r="BG144" s="2824"/>
      <c r="BH144" s="2825"/>
      <c r="BI144" s="2822" t="s">
        <v>110</v>
      </c>
      <c r="BJ144" s="2823"/>
      <c r="BK144" s="2824">
        <f t="shared" ref="BK144" si="335">BJ149/((36*3.1415/59)*(69/3.281))</f>
        <v>0</v>
      </c>
      <c r="BL144" s="2824"/>
      <c r="BM144" s="2825"/>
      <c r="BN144" s="2822" t="s">
        <v>110</v>
      </c>
      <c r="BO144" s="2823"/>
      <c r="BP144" s="2824">
        <f t="shared" ref="BP144" si="336">BO149/((36*3.1415/59)*(69/3.281))</f>
        <v>0</v>
      </c>
      <c r="BQ144" s="2824"/>
      <c r="BR144" s="2825"/>
      <c r="BS144" s="2822" t="s">
        <v>110</v>
      </c>
      <c r="BT144" s="2823"/>
      <c r="BU144" s="2824">
        <f t="shared" ref="BU144" si="337">BT149/((36*3.1415/59)*(69/3.281))</f>
        <v>0</v>
      </c>
      <c r="BV144" s="2824"/>
      <c r="BW144" s="2825"/>
      <c r="BX144" s="2822" t="s">
        <v>110</v>
      </c>
      <c r="BY144" s="2823"/>
      <c r="BZ144" s="2824">
        <f t="shared" ref="BZ144" si="338">BY149/((36*3.1415/59)*(69/3.281))</f>
        <v>0</v>
      </c>
      <c r="CA144" s="2824"/>
      <c r="CB144" s="2825"/>
    </row>
    <row r="145" spans="1:182" ht="11.25" customHeight="1" x14ac:dyDescent="0.25">
      <c r="A145" s="2810" t="s">
        <v>25</v>
      </c>
      <c r="B145" s="2811"/>
      <c r="C145" s="2811"/>
      <c r="D145" s="2816" t="s">
        <v>706</v>
      </c>
      <c r="E145" s="2817"/>
      <c r="F145" s="2810" t="s">
        <v>25</v>
      </c>
      <c r="G145" s="2811"/>
      <c r="H145" s="2811"/>
      <c r="I145" s="2816" t="s">
        <v>706</v>
      </c>
      <c r="J145" s="2817"/>
      <c r="K145" s="2810" t="s">
        <v>25</v>
      </c>
      <c r="L145" s="2811"/>
      <c r="M145" s="2811"/>
      <c r="N145" s="2816" t="s">
        <v>706</v>
      </c>
      <c r="O145" s="2817"/>
      <c r="P145" s="2810" t="s">
        <v>25</v>
      </c>
      <c r="Q145" s="2811"/>
      <c r="R145" s="2811"/>
      <c r="S145" s="2816" t="s">
        <v>706</v>
      </c>
      <c r="T145" s="2817"/>
      <c r="U145" s="2810" t="s">
        <v>25</v>
      </c>
      <c r="V145" s="2811"/>
      <c r="W145" s="2811"/>
      <c r="X145" s="2816" t="s">
        <v>706</v>
      </c>
      <c r="Y145" s="2817"/>
      <c r="Z145" s="2810" t="s">
        <v>25</v>
      </c>
      <c r="AA145" s="2811"/>
      <c r="AB145" s="2811"/>
      <c r="AC145" s="2816" t="s">
        <v>706</v>
      </c>
      <c r="AD145" s="2817"/>
      <c r="AE145" s="2810" t="s">
        <v>25</v>
      </c>
      <c r="AF145" s="2811"/>
      <c r="AG145" s="2811"/>
      <c r="AH145" s="2816" t="s">
        <v>706</v>
      </c>
      <c r="AI145" s="2817"/>
      <c r="AJ145" s="2810" t="s">
        <v>25</v>
      </c>
      <c r="AK145" s="2811"/>
      <c r="AL145" s="2811"/>
      <c r="AM145" s="2816" t="s">
        <v>706</v>
      </c>
      <c r="AN145" s="2817"/>
      <c r="AO145" s="2810" t="s">
        <v>25</v>
      </c>
      <c r="AP145" s="2811"/>
      <c r="AQ145" s="2811"/>
      <c r="AR145" s="2816" t="s">
        <v>706</v>
      </c>
      <c r="AS145" s="2817"/>
      <c r="AT145" s="2810" t="s">
        <v>25</v>
      </c>
      <c r="AU145" s="2811"/>
      <c r="AV145" s="2811"/>
      <c r="AW145" s="2816" t="s">
        <v>706</v>
      </c>
      <c r="AX145" s="2817"/>
      <c r="AY145" s="2810" t="s">
        <v>25</v>
      </c>
      <c r="AZ145" s="2811"/>
      <c r="BA145" s="2811"/>
      <c r="BB145" s="2816" t="s">
        <v>706</v>
      </c>
      <c r="BC145" s="2817"/>
      <c r="BD145" s="2810" t="s">
        <v>25</v>
      </c>
      <c r="BE145" s="2811"/>
      <c r="BF145" s="2811"/>
      <c r="BG145" s="2816" t="s">
        <v>706</v>
      </c>
      <c r="BH145" s="2817"/>
      <c r="BI145" s="2810" t="s">
        <v>25</v>
      </c>
      <c r="BJ145" s="2811"/>
      <c r="BK145" s="2811"/>
      <c r="BL145" s="2816" t="s">
        <v>706</v>
      </c>
      <c r="BM145" s="2817"/>
      <c r="BN145" s="2810" t="s">
        <v>25</v>
      </c>
      <c r="BO145" s="2811"/>
      <c r="BP145" s="2811"/>
      <c r="BQ145" s="2816" t="s">
        <v>706</v>
      </c>
      <c r="BR145" s="2817"/>
      <c r="BS145" s="2810" t="s">
        <v>25</v>
      </c>
      <c r="BT145" s="2811"/>
      <c r="BU145" s="2811"/>
      <c r="BV145" s="2816" t="s">
        <v>706</v>
      </c>
      <c r="BW145" s="2817"/>
      <c r="BX145" s="2810" t="s">
        <v>25</v>
      </c>
      <c r="BY145" s="2811"/>
      <c r="BZ145" s="2811"/>
      <c r="CA145" s="2816" t="s">
        <v>706</v>
      </c>
      <c r="CB145" s="2817"/>
    </row>
    <row r="146" spans="1:182" ht="11.25" customHeight="1" x14ac:dyDescent="0.25">
      <c r="A146" s="2812"/>
      <c r="B146" s="2813"/>
      <c r="C146" s="2813"/>
      <c r="D146" s="2818"/>
      <c r="E146" s="2819"/>
      <c r="F146" s="2812"/>
      <c r="G146" s="2813"/>
      <c r="H146" s="2813"/>
      <c r="I146" s="2818"/>
      <c r="J146" s="2819"/>
      <c r="K146" s="2812"/>
      <c r="L146" s="2813"/>
      <c r="M146" s="2813"/>
      <c r="N146" s="2818"/>
      <c r="O146" s="2819"/>
      <c r="P146" s="2812"/>
      <c r="Q146" s="2813"/>
      <c r="R146" s="2813"/>
      <c r="S146" s="2818"/>
      <c r="T146" s="2819"/>
      <c r="U146" s="2812"/>
      <c r="V146" s="2813"/>
      <c r="W146" s="2813"/>
      <c r="X146" s="2818"/>
      <c r="Y146" s="2819"/>
      <c r="Z146" s="2812"/>
      <c r="AA146" s="2813"/>
      <c r="AB146" s="2813"/>
      <c r="AC146" s="2818"/>
      <c r="AD146" s="2819"/>
      <c r="AE146" s="2812"/>
      <c r="AF146" s="2813"/>
      <c r="AG146" s="2813"/>
      <c r="AH146" s="2818"/>
      <c r="AI146" s="2819"/>
      <c r="AJ146" s="2812"/>
      <c r="AK146" s="2813"/>
      <c r="AL146" s="2813"/>
      <c r="AM146" s="2818"/>
      <c r="AN146" s="2819"/>
      <c r="AO146" s="2812"/>
      <c r="AP146" s="2813"/>
      <c r="AQ146" s="2813"/>
      <c r="AR146" s="2818"/>
      <c r="AS146" s="2819"/>
      <c r="AT146" s="2812"/>
      <c r="AU146" s="2813"/>
      <c r="AV146" s="2813"/>
      <c r="AW146" s="2818"/>
      <c r="AX146" s="2819"/>
      <c r="AY146" s="2812"/>
      <c r="AZ146" s="2813"/>
      <c r="BA146" s="2813"/>
      <c r="BB146" s="2818"/>
      <c r="BC146" s="2819"/>
      <c r="BD146" s="2812"/>
      <c r="BE146" s="2813"/>
      <c r="BF146" s="2813"/>
      <c r="BG146" s="2818"/>
      <c r="BH146" s="2819"/>
      <c r="BI146" s="2812"/>
      <c r="BJ146" s="2813"/>
      <c r="BK146" s="2813"/>
      <c r="BL146" s="2818"/>
      <c r="BM146" s="2819"/>
      <c r="BN146" s="2812"/>
      <c r="BO146" s="2813"/>
      <c r="BP146" s="2813"/>
      <c r="BQ146" s="2818"/>
      <c r="BR146" s="2819"/>
      <c r="BS146" s="2812"/>
      <c r="BT146" s="2813"/>
      <c r="BU146" s="2813"/>
      <c r="BV146" s="2818"/>
      <c r="BW146" s="2819"/>
      <c r="BX146" s="2812"/>
      <c r="BY146" s="2813"/>
      <c r="BZ146" s="2813"/>
      <c r="CA146" s="2818"/>
      <c r="CB146" s="2819"/>
      <c r="DI146" s="37"/>
      <c r="DJ146" s="38"/>
      <c r="DK146" s="39"/>
      <c r="DL146" s="40"/>
      <c r="DM146" s="41"/>
      <c r="DN146" s="37"/>
      <c r="DO146" s="38"/>
      <c r="DP146" s="39"/>
      <c r="DQ146" s="40"/>
      <c r="DR146" s="41"/>
      <c r="DS146" s="37"/>
      <c r="DT146" s="38"/>
      <c r="DU146" s="39"/>
      <c r="DV146" s="40"/>
      <c r="DW146" s="41"/>
      <c r="DX146" s="37"/>
      <c r="DY146" s="38"/>
      <c r="DZ146" s="39"/>
      <c r="EA146" s="40"/>
      <c r="EB146" s="41"/>
      <c r="EC146" s="37"/>
      <c r="ED146" s="38"/>
      <c r="EE146" s="39"/>
      <c r="EF146" s="697"/>
      <c r="EG146" s="697"/>
      <c r="EH146" s="697"/>
      <c r="EI146" s="697"/>
      <c r="EJ146" s="697"/>
      <c r="EK146" s="697"/>
      <c r="EL146" s="697"/>
      <c r="EM146" s="697"/>
      <c r="EN146" s="697"/>
      <c r="EO146" s="697"/>
      <c r="EP146" s="697"/>
      <c r="EQ146" s="697"/>
      <c r="ER146" s="37"/>
      <c r="ES146" s="38"/>
      <c r="ET146" s="39"/>
      <c r="EU146" s="40"/>
      <c r="EV146" s="41"/>
      <c r="EW146" s="37"/>
      <c r="EX146" s="38"/>
      <c r="EY146" s="39"/>
      <c r="EZ146" s="40"/>
      <c r="FA146" s="41"/>
      <c r="FB146" s="37"/>
      <c r="FC146" s="38"/>
      <c r="FD146" s="39"/>
      <c r="FE146" s="40"/>
      <c r="FF146" s="41"/>
      <c r="FG146" s="37"/>
      <c r="FH146" s="38"/>
      <c r="FI146" s="39"/>
      <c r="FJ146" s="40"/>
      <c r="FK146" s="41"/>
      <c r="FL146" s="37"/>
      <c r="FM146" s="38"/>
      <c r="FN146" s="39"/>
      <c r="FO146" s="40"/>
      <c r="FP146" s="41"/>
      <c r="FQ146" s="37"/>
      <c r="FR146" s="38"/>
      <c r="FS146" s="39"/>
      <c r="FT146" s="40"/>
      <c r="FU146" s="41"/>
      <c r="FV146" s="37"/>
      <c r="FW146" s="38"/>
      <c r="FX146" s="39"/>
      <c r="FY146" s="40"/>
      <c r="FZ146" s="41"/>
    </row>
    <row r="147" spans="1:182" ht="11.25" customHeight="1" x14ac:dyDescent="0.25">
      <c r="A147" s="2814"/>
      <c r="B147" s="2815"/>
      <c r="C147" s="2815"/>
      <c r="D147" s="2820"/>
      <c r="E147" s="2821"/>
      <c r="F147" s="2814"/>
      <c r="G147" s="2815"/>
      <c r="H147" s="2815"/>
      <c r="I147" s="2820"/>
      <c r="J147" s="2821"/>
      <c r="K147" s="2814"/>
      <c r="L147" s="2815"/>
      <c r="M147" s="2815"/>
      <c r="N147" s="2820"/>
      <c r="O147" s="2821"/>
      <c r="P147" s="2814"/>
      <c r="Q147" s="2815"/>
      <c r="R147" s="2815"/>
      <c r="S147" s="2820"/>
      <c r="T147" s="2821"/>
      <c r="U147" s="2814"/>
      <c r="V147" s="2815"/>
      <c r="W147" s="2815"/>
      <c r="X147" s="2820"/>
      <c r="Y147" s="2821"/>
      <c r="Z147" s="2814"/>
      <c r="AA147" s="2815"/>
      <c r="AB147" s="2815"/>
      <c r="AC147" s="2820"/>
      <c r="AD147" s="2821"/>
      <c r="AE147" s="2814"/>
      <c r="AF147" s="2815"/>
      <c r="AG147" s="2815"/>
      <c r="AH147" s="2820"/>
      <c r="AI147" s="2821"/>
      <c r="AJ147" s="2814"/>
      <c r="AK147" s="2815"/>
      <c r="AL147" s="2815"/>
      <c r="AM147" s="2820"/>
      <c r="AN147" s="2821"/>
      <c r="AO147" s="2814"/>
      <c r="AP147" s="2815"/>
      <c r="AQ147" s="2815"/>
      <c r="AR147" s="2820"/>
      <c r="AS147" s="2821"/>
      <c r="AT147" s="2814"/>
      <c r="AU147" s="2815"/>
      <c r="AV147" s="2815"/>
      <c r="AW147" s="2820"/>
      <c r="AX147" s="2821"/>
      <c r="AY147" s="2814"/>
      <c r="AZ147" s="2815"/>
      <c r="BA147" s="2815"/>
      <c r="BB147" s="2820"/>
      <c r="BC147" s="2821"/>
      <c r="BD147" s="2814"/>
      <c r="BE147" s="2815"/>
      <c r="BF147" s="2815"/>
      <c r="BG147" s="2820"/>
      <c r="BH147" s="2821"/>
      <c r="BI147" s="2814"/>
      <c r="BJ147" s="2815"/>
      <c r="BK147" s="2815"/>
      <c r="BL147" s="2820"/>
      <c r="BM147" s="2821"/>
      <c r="BN147" s="2814"/>
      <c r="BO147" s="2815"/>
      <c r="BP147" s="2815"/>
      <c r="BQ147" s="2820"/>
      <c r="BR147" s="2821"/>
      <c r="BS147" s="2814"/>
      <c r="BT147" s="2815"/>
      <c r="BU147" s="2815"/>
      <c r="BV147" s="2820"/>
      <c r="BW147" s="2821"/>
      <c r="BX147" s="2814"/>
      <c r="BY147" s="2815"/>
      <c r="BZ147" s="2815"/>
      <c r="CA147" s="2820"/>
      <c r="CB147" s="2821"/>
      <c r="DI147" s="674"/>
      <c r="DJ147" s="674"/>
      <c r="DK147" s="674"/>
      <c r="DL147" s="675"/>
      <c r="DM147" s="675"/>
      <c r="DN147" s="44"/>
      <c r="DO147" s="702"/>
      <c r="DP147" s="702"/>
      <c r="DQ147" s="702"/>
      <c r="DS147" s="45"/>
      <c r="DT147" s="45"/>
      <c r="DU147" s="45"/>
      <c r="DV147" s="45"/>
      <c r="DW147" s="45"/>
      <c r="DX147" s="45"/>
      <c r="DY147" s="45"/>
      <c r="DZ147" s="45"/>
      <c r="EA147" s="45"/>
      <c r="EB147" s="45"/>
      <c r="EC147" s="45"/>
      <c r="ED147" s="45"/>
      <c r="EE147" s="45"/>
      <c r="EF147" s="697"/>
      <c r="EG147" s="697"/>
      <c r="EH147" s="697"/>
      <c r="EI147" s="697"/>
      <c r="EJ147" s="697"/>
      <c r="EK147" s="697"/>
      <c r="EL147" s="697"/>
      <c r="EM147" s="697"/>
      <c r="EN147" s="697"/>
      <c r="EO147" s="697"/>
      <c r="EP147" s="697"/>
      <c r="EQ147" s="697"/>
      <c r="ER147" s="697"/>
      <c r="ES147" s="697"/>
      <c r="ET147" s="697"/>
      <c r="EU147" s="697"/>
      <c r="EV147" s="697"/>
      <c r="EW147" s="697"/>
      <c r="EX147" s="697"/>
      <c r="EY147" s="697"/>
      <c r="EZ147" s="697"/>
      <c r="FA147" s="697"/>
      <c r="FB147" s="46"/>
      <c r="FC147" s="698"/>
      <c r="FD147" s="698"/>
      <c r="FE147" s="698"/>
      <c r="FF147" s="698"/>
      <c r="FG147" s="698"/>
      <c r="FH147" s="698"/>
      <c r="FI147" s="698"/>
      <c r="FJ147" s="698"/>
      <c r="FK147" s="698"/>
      <c r="FL147" s="698"/>
      <c r="FM147" s="698"/>
      <c r="FN147" s="698"/>
      <c r="FO147" s="699"/>
      <c r="FP147" s="699"/>
      <c r="FQ147" s="699"/>
      <c r="FR147" s="699"/>
      <c r="FS147" s="699"/>
      <c r="FT147" s="700"/>
      <c r="FU147" s="700"/>
      <c r="FV147" s="700"/>
      <c r="FW147" s="700"/>
      <c r="FX147" s="701"/>
      <c r="FY147" s="701"/>
      <c r="FZ147" s="701"/>
    </row>
    <row r="148" spans="1:182" s="535" customFormat="1" ht="111.75" customHeight="1" x14ac:dyDescent="1.35">
      <c r="A148" s="2826" t="s">
        <v>722</v>
      </c>
      <c r="B148" s="2681">
        <v>322</v>
      </c>
      <c r="C148" s="2682"/>
      <c r="D148" s="2682"/>
      <c r="E148" s="2683"/>
      <c r="F148" s="2826" t="s">
        <v>722</v>
      </c>
      <c r="G148" s="2681">
        <v>323</v>
      </c>
      <c r="H148" s="2682"/>
      <c r="I148" s="2682"/>
      <c r="J148" s="2683"/>
      <c r="K148" s="2826" t="s">
        <v>722</v>
      </c>
      <c r="L148" s="2828">
        <v>324</v>
      </c>
      <c r="M148" s="2829"/>
      <c r="N148" s="2829"/>
      <c r="O148" s="2830"/>
      <c r="P148" s="2826" t="s">
        <v>722</v>
      </c>
      <c r="Q148" s="2828">
        <v>325</v>
      </c>
      <c r="R148" s="2829"/>
      <c r="S148" s="2829"/>
      <c r="T148" s="2830"/>
      <c r="U148" s="2826" t="s">
        <v>722</v>
      </c>
      <c r="V148" s="2828">
        <v>326</v>
      </c>
      <c r="W148" s="2829"/>
      <c r="X148" s="2829"/>
      <c r="Y148" s="2830"/>
      <c r="Z148" s="2826" t="s">
        <v>722</v>
      </c>
      <c r="AA148" s="2681">
        <v>327</v>
      </c>
      <c r="AB148" s="2682"/>
      <c r="AC148" s="2682"/>
      <c r="AD148" s="2683"/>
      <c r="AE148" s="2826" t="s">
        <v>722</v>
      </c>
      <c r="AF148" s="2828">
        <v>328</v>
      </c>
      <c r="AG148" s="2829"/>
      <c r="AH148" s="2829"/>
      <c r="AI148" s="2830"/>
      <c r="AJ148" s="2826" t="s">
        <v>722</v>
      </c>
      <c r="AK148" s="2681">
        <v>329</v>
      </c>
      <c r="AL148" s="2682"/>
      <c r="AM148" s="2682"/>
      <c r="AN148" s="2683"/>
      <c r="AO148" s="2826" t="s">
        <v>722</v>
      </c>
      <c r="AP148" s="2681">
        <v>330</v>
      </c>
      <c r="AQ148" s="2682"/>
      <c r="AR148" s="2682"/>
      <c r="AS148" s="2683"/>
      <c r="AT148" s="2826" t="s">
        <v>722</v>
      </c>
      <c r="AU148" s="2681">
        <v>331</v>
      </c>
      <c r="AV148" s="2682"/>
      <c r="AW148" s="2682"/>
      <c r="AX148" s="2683"/>
      <c r="AY148" s="2826" t="s">
        <v>722</v>
      </c>
      <c r="AZ148" s="2681">
        <v>332</v>
      </c>
      <c r="BA148" s="2682"/>
      <c r="BB148" s="2682"/>
      <c r="BC148" s="2683"/>
      <c r="BD148" s="2826" t="s">
        <v>722</v>
      </c>
      <c r="BE148" s="2681">
        <v>333</v>
      </c>
      <c r="BF148" s="2682"/>
      <c r="BG148" s="2682"/>
      <c r="BH148" s="2683"/>
      <c r="BI148" s="2826" t="s">
        <v>722</v>
      </c>
      <c r="BJ148" s="2681">
        <v>334</v>
      </c>
      <c r="BK148" s="2682"/>
      <c r="BL148" s="2682"/>
      <c r="BM148" s="2683"/>
      <c r="BN148" s="2826" t="s">
        <v>722</v>
      </c>
      <c r="BO148" s="2681">
        <v>335</v>
      </c>
      <c r="BP148" s="2682"/>
      <c r="BQ148" s="2682"/>
      <c r="BR148" s="2683"/>
      <c r="BS148" s="2826" t="s">
        <v>722</v>
      </c>
      <c r="BT148" s="2681">
        <v>336</v>
      </c>
      <c r="BU148" s="2682"/>
      <c r="BV148" s="2682"/>
      <c r="BW148" s="2683"/>
      <c r="BX148" s="2826" t="s">
        <v>722</v>
      </c>
      <c r="BY148" s="2681">
        <v>338</v>
      </c>
      <c r="BZ148" s="2682"/>
      <c r="CA148" s="2682"/>
      <c r="CB148" s="2683"/>
      <c r="CC148" s="372"/>
      <c r="CD148" s="372"/>
      <c r="CG148" s="538"/>
      <c r="CH148" s="538"/>
      <c r="CI148" s="538"/>
      <c r="CJ148" s="538"/>
      <c r="CK148" s="538"/>
      <c r="CL148" s="538"/>
      <c r="CM148" s="539"/>
      <c r="CN148" s="539"/>
      <c r="CO148" s="539"/>
      <c r="CQ148" s="539"/>
      <c r="CR148" s="539"/>
      <c r="CS148" s="539"/>
      <c r="CT148" s="539"/>
      <c r="CU148" s="539"/>
      <c r="CV148" s="539"/>
      <c r="DI148" s="676"/>
      <c r="DJ148" s="676"/>
      <c r="DK148" s="676"/>
      <c r="DL148" s="540"/>
      <c r="DM148" s="540"/>
      <c r="DN148" s="541"/>
      <c r="DO148" s="702"/>
      <c r="DP148" s="702"/>
      <c r="DQ148" s="702"/>
      <c r="DR148" s="372"/>
      <c r="DS148" s="537"/>
      <c r="DT148" s="537"/>
      <c r="DU148" s="537"/>
      <c r="DV148" s="537"/>
      <c r="DW148" s="537"/>
      <c r="DX148" s="537"/>
      <c r="DY148" s="537"/>
      <c r="DZ148" s="537"/>
      <c r="EA148" s="537"/>
      <c r="EB148" s="537"/>
      <c r="EC148" s="537"/>
      <c r="ED148" s="537"/>
      <c r="EE148" s="537"/>
      <c r="EF148" s="697"/>
      <c r="EG148" s="697"/>
      <c r="EH148" s="697"/>
      <c r="EI148" s="697"/>
      <c r="EJ148" s="697"/>
      <c r="EK148" s="697"/>
      <c r="EL148" s="697"/>
      <c r="EM148" s="697"/>
      <c r="EN148" s="697"/>
      <c r="EO148" s="697"/>
      <c r="EP148" s="697"/>
      <c r="EQ148" s="697"/>
      <c r="ER148" s="697"/>
      <c r="ES148" s="697"/>
      <c r="ET148" s="697"/>
      <c r="EU148" s="697"/>
      <c r="EV148" s="697"/>
      <c r="EW148" s="697"/>
      <c r="EX148" s="697"/>
      <c r="EY148" s="697"/>
      <c r="EZ148" s="697"/>
      <c r="FA148" s="697"/>
      <c r="FB148" s="542"/>
      <c r="FC148" s="698"/>
      <c r="FD148" s="698"/>
      <c r="FE148" s="698"/>
      <c r="FF148" s="698"/>
      <c r="FG148" s="698"/>
      <c r="FH148" s="698"/>
      <c r="FI148" s="698"/>
      <c r="FJ148" s="698"/>
      <c r="FK148" s="698"/>
      <c r="FL148" s="698"/>
      <c r="FM148" s="698"/>
      <c r="FN148" s="698"/>
      <c r="FO148" s="699"/>
      <c r="FP148" s="699"/>
      <c r="FQ148" s="699"/>
      <c r="FR148" s="699"/>
      <c r="FS148" s="699"/>
      <c r="FT148" s="700"/>
      <c r="FU148" s="700"/>
      <c r="FV148" s="700"/>
      <c r="FW148" s="700"/>
      <c r="FX148" s="701"/>
      <c r="FY148" s="701"/>
      <c r="FZ148" s="701"/>
    </row>
    <row r="149" spans="1:182" ht="50.25" customHeight="1" thickBot="1" x14ac:dyDescent="0.3">
      <c r="A149" s="2827"/>
      <c r="B149" s="518"/>
      <c r="C149" s="519" t="s">
        <v>113</v>
      </c>
      <c r="D149" s="520"/>
      <c r="E149" s="523" t="s">
        <v>114</v>
      </c>
      <c r="F149" s="2827"/>
      <c r="G149" s="518"/>
      <c r="H149" s="519" t="s">
        <v>113</v>
      </c>
      <c r="I149" s="520"/>
      <c r="J149" s="523" t="s">
        <v>114</v>
      </c>
      <c r="K149" s="2827"/>
      <c r="L149" s="518">
        <v>1E-10</v>
      </c>
      <c r="M149" s="519" t="s">
        <v>113</v>
      </c>
      <c r="N149" s="520"/>
      <c r="O149" s="523" t="s">
        <v>114</v>
      </c>
      <c r="P149" s="2827"/>
      <c r="Q149" s="518">
        <v>9.9999999999999998E-13</v>
      </c>
      <c r="R149" s="519" t="s">
        <v>113</v>
      </c>
      <c r="S149" s="520"/>
      <c r="T149" s="523" t="s">
        <v>114</v>
      </c>
      <c r="U149" s="2827"/>
      <c r="V149" s="518">
        <v>0.17780000000000001</v>
      </c>
      <c r="W149" s="519" t="s">
        <v>113</v>
      </c>
      <c r="X149" s="520"/>
      <c r="Y149" s="523" t="s">
        <v>114</v>
      </c>
      <c r="Z149" s="2827"/>
      <c r="AA149" s="518"/>
      <c r="AB149" s="519" t="s">
        <v>113</v>
      </c>
      <c r="AC149" s="520"/>
      <c r="AD149" s="523" t="s">
        <v>114</v>
      </c>
      <c r="AE149" s="2827"/>
      <c r="AF149" s="518">
        <v>9.9999999999999994E-12</v>
      </c>
      <c r="AG149" s="519" t="s">
        <v>113</v>
      </c>
      <c r="AH149" s="520"/>
      <c r="AI149" s="523" t="s">
        <v>114</v>
      </c>
      <c r="AJ149" s="2827"/>
      <c r="AK149" s="518"/>
      <c r="AL149" s="519" t="s">
        <v>113</v>
      </c>
      <c r="AM149" s="520"/>
      <c r="AN149" s="523" t="s">
        <v>114</v>
      </c>
      <c r="AO149" s="2827"/>
      <c r="AP149" s="518"/>
      <c r="AQ149" s="519" t="s">
        <v>113</v>
      </c>
      <c r="AR149" s="520"/>
      <c r="AS149" s="523" t="s">
        <v>114</v>
      </c>
      <c r="AT149" s="2827"/>
      <c r="AU149" s="518"/>
      <c r="AV149" s="519" t="s">
        <v>113</v>
      </c>
      <c r="AW149" s="520"/>
      <c r="AX149" s="523" t="s">
        <v>114</v>
      </c>
      <c r="AY149" s="2827"/>
      <c r="AZ149" s="518"/>
      <c r="BA149" s="519" t="s">
        <v>113</v>
      </c>
      <c r="BB149" s="520"/>
      <c r="BC149" s="523" t="s">
        <v>114</v>
      </c>
      <c r="BD149" s="2827"/>
      <c r="BE149" s="518"/>
      <c r="BF149" s="519" t="s">
        <v>113</v>
      </c>
      <c r="BG149" s="520"/>
      <c r="BH149" s="523" t="s">
        <v>114</v>
      </c>
      <c r="BI149" s="2827"/>
      <c r="BJ149" s="518"/>
      <c r="BK149" s="519" t="s">
        <v>113</v>
      </c>
      <c r="BL149" s="520"/>
      <c r="BM149" s="523" t="s">
        <v>114</v>
      </c>
      <c r="BN149" s="2827"/>
      <c r="BO149" s="518"/>
      <c r="BP149" s="519" t="s">
        <v>113</v>
      </c>
      <c r="BQ149" s="520"/>
      <c r="BR149" s="523" t="s">
        <v>114</v>
      </c>
      <c r="BS149" s="2827"/>
      <c r="BT149" s="518"/>
      <c r="BU149" s="519" t="s">
        <v>113</v>
      </c>
      <c r="BV149" s="520"/>
      <c r="BW149" s="523" t="s">
        <v>114</v>
      </c>
      <c r="BX149" s="2827"/>
      <c r="BY149" s="518"/>
      <c r="BZ149" s="519" t="s">
        <v>113</v>
      </c>
      <c r="CA149" s="520"/>
      <c r="CB149" s="523" t="s">
        <v>114</v>
      </c>
      <c r="CC149" s="50"/>
      <c r="CD149" s="50"/>
      <c r="CG149" s="27"/>
      <c r="CH149" s="27"/>
      <c r="CI149" s="27"/>
      <c r="CJ149" s="27"/>
      <c r="CK149" s="27"/>
      <c r="CL149" s="27"/>
      <c r="CM149" s="27"/>
      <c r="CN149" s="27"/>
      <c r="CO149" s="27"/>
      <c r="CQ149" s="27"/>
      <c r="CR149" s="27"/>
      <c r="CS149" s="27"/>
      <c r="CT149" s="27"/>
      <c r="CU149" s="27"/>
      <c r="CV149" s="27"/>
      <c r="DI149" s="676"/>
      <c r="DJ149" s="676"/>
      <c r="DK149" s="676"/>
      <c r="DL149" s="29"/>
      <c r="DM149" s="29"/>
      <c r="DN149" s="47"/>
      <c r="DO149" s="702"/>
      <c r="DP149" s="702"/>
      <c r="DQ149" s="702"/>
      <c r="DR149" s="48"/>
      <c r="DS149" s="45"/>
      <c r="DT149" s="45"/>
      <c r="DU149" s="45"/>
      <c r="DV149" s="45"/>
      <c r="DW149" s="45"/>
      <c r="DX149" s="45"/>
      <c r="DY149" s="45"/>
      <c r="DZ149" s="45"/>
      <c r="EA149" s="45"/>
      <c r="EB149" s="45"/>
      <c r="EC149" s="45"/>
      <c r="ED149" s="45"/>
      <c r="EE149" s="45"/>
      <c r="EF149" s="697"/>
      <c r="EG149" s="697"/>
      <c r="EH149" s="697"/>
      <c r="EI149" s="697"/>
      <c r="EJ149" s="697"/>
      <c r="EK149" s="697"/>
      <c r="EL149" s="697"/>
      <c r="EM149" s="697"/>
      <c r="EN149" s="697"/>
      <c r="EO149" s="697"/>
      <c r="EP149" s="697"/>
      <c r="EQ149" s="697"/>
      <c r="ER149" s="697"/>
      <c r="ES149" s="697"/>
      <c r="ET149" s="697"/>
      <c r="EU149" s="697"/>
      <c r="EV149" s="697"/>
      <c r="EW149" s="697"/>
      <c r="EX149" s="697"/>
      <c r="EY149" s="697"/>
      <c r="EZ149" s="697"/>
      <c r="FA149" s="697"/>
      <c r="FB149" s="46"/>
      <c r="FC149" s="698"/>
      <c r="FD149" s="698"/>
      <c r="FE149" s="698"/>
      <c r="FF149" s="698"/>
      <c r="FG149" s="698"/>
      <c r="FH149" s="698"/>
      <c r="FI149" s="698"/>
      <c r="FJ149" s="698"/>
      <c r="FK149" s="698"/>
      <c r="FL149" s="698"/>
      <c r="FM149" s="698"/>
      <c r="FN149" s="698"/>
      <c r="FO149" s="699"/>
      <c r="FP149" s="699"/>
      <c r="FQ149" s="699"/>
      <c r="FR149" s="699"/>
      <c r="FS149" s="699"/>
      <c r="FT149" s="700"/>
      <c r="FU149" s="700"/>
      <c r="FV149" s="700"/>
      <c r="FW149" s="700"/>
      <c r="FX149" s="701"/>
      <c r="FY149" s="701"/>
      <c r="FZ149" s="701"/>
    </row>
    <row r="150" spans="1:182" ht="57" customHeight="1" thickTop="1" x14ac:dyDescent="0.25">
      <c r="A150" s="2822" t="s">
        <v>110</v>
      </c>
      <c r="B150" s="2823"/>
      <c r="C150" s="2824">
        <f t="shared" ref="C150" si="339">B155/((36*3.1415/59)*(69/3.281))</f>
        <v>0</v>
      </c>
      <c r="D150" s="2824"/>
      <c r="E150" s="2825"/>
      <c r="F150" s="2822" t="s">
        <v>110</v>
      </c>
      <c r="G150" s="2823"/>
      <c r="H150" s="2824">
        <f t="shared" ref="H150" si="340">G155/((36*3.1415/59)*(69/3.281))</f>
        <v>0</v>
      </c>
      <c r="I150" s="2824"/>
      <c r="J150" s="2825"/>
      <c r="K150" s="2822" t="s">
        <v>110</v>
      </c>
      <c r="L150" s="2823"/>
      <c r="M150" s="2824">
        <f t="shared" ref="M150" si="341">L155/((36*3.1415/59)*(69/3.281))</f>
        <v>0</v>
      </c>
      <c r="N150" s="2824"/>
      <c r="O150" s="2825"/>
      <c r="P150" s="2822" t="s">
        <v>110</v>
      </c>
      <c r="Q150" s="2823"/>
      <c r="R150" s="2824">
        <f t="shared" ref="R150" si="342">Q155/((36*3.1415/59)*(69/3.281))</f>
        <v>0</v>
      </c>
      <c r="S150" s="2824"/>
      <c r="T150" s="2825"/>
      <c r="U150" s="2822" t="s">
        <v>110</v>
      </c>
      <c r="V150" s="2823"/>
      <c r="W150" s="2824">
        <f t="shared" ref="W150" si="343">V155/((36*3.1415/59)*(69/3.281))</f>
        <v>0</v>
      </c>
      <c r="X150" s="2824"/>
      <c r="Y150" s="2825"/>
      <c r="Z150" s="2822" t="s">
        <v>110</v>
      </c>
      <c r="AA150" s="2823"/>
      <c r="AB150" s="2824">
        <f t="shared" ref="AB150" si="344">AA155/((36*3.1415/59)*(69/3.281))</f>
        <v>0</v>
      </c>
      <c r="AC150" s="2824"/>
      <c r="AD150" s="2825"/>
      <c r="AE150" s="2822" t="s">
        <v>110</v>
      </c>
      <c r="AF150" s="2823"/>
      <c r="AG150" s="2824">
        <f t="shared" ref="AG150" si="345">AF155/((36*3.1415/59)*(69/3.281))</f>
        <v>0</v>
      </c>
      <c r="AH150" s="2824"/>
      <c r="AI150" s="2825"/>
      <c r="AJ150" s="2822" t="s">
        <v>110</v>
      </c>
      <c r="AK150" s="2823"/>
      <c r="AL150" s="2824">
        <f t="shared" ref="AL150" si="346">AK155/((36*3.1415/59)*(69/3.281))</f>
        <v>0</v>
      </c>
      <c r="AM150" s="2824"/>
      <c r="AN150" s="2825"/>
      <c r="AO150" s="2822" t="s">
        <v>110</v>
      </c>
      <c r="AP150" s="2823"/>
      <c r="AQ150" s="2824">
        <f t="shared" ref="AQ150" si="347">AP155/((36*3.1415/59)*(69/3.281))</f>
        <v>0</v>
      </c>
      <c r="AR150" s="2824"/>
      <c r="AS150" s="2825"/>
      <c r="AT150" s="2822" t="s">
        <v>110</v>
      </c>
      <c r="AU150" s="2823"/>
      <c r="AV150" s="2824">
        <f t="shared" ref="AV150" si="348">AU155/((36*3.1415/59)*(69/3.281))</f>
        <v>0</v>
      </c>
      <c r="AW150" s="2824"/>
      <c r="AX150" s="2825"/>
      <c r="AY150" s="2822" t="s">
        <v>110</v>
      </c>
      <c r="AZ150" s="2823"/>
      <c r="BA150" s="2824">
        <f t="shared" ref="BA150" si="349">AZ155/((36*3.1415/59)*(69/3.281))</f>
        <v>0</v>
      </c>
      <c r="BB150" s="2824"/>
      <c r="BC150" s="2825"/>
      <c r="BD150" s="2822" t="s">
        <v>110</v>
      </c>
      <c r="BE150" s="2823"/>
      <c r="BF150" s="2824">
        <f t="shared" ref="BF150" si="350">BE155/((36*3.1415/59)*(69/3.281))</f>
        <v>0</v>
      </c>
      <c r="BG150" s="2824"/>
      <c r="BH150" s="2825"/>
      <c r="BI150" s="2822" t="s">
        <v>110</v>
      </c>
      <c r="BJ150" s="2823"/>
      <c r="BK150" s="2824">
        <f t="shared" ref="BK150" si="351">BJ155/((36*3.1415/59)*(69/3.281))</f>
        <v>0</v>
      </c>
      <c r="BL150" s="2824"/>
      <c r="BM150" s="2825"/>
      <c r="BN150" s="2822" t="s">
        <v>110</v>
      </c>
      <c r="BO150" s="2823"/>
      <c r="BP150" s="2824">
        <f t="shared" ref="BP150" si="352">BO155/((36*3.1415/59)*(69/3.281))</f>
        <v>0</v>
      </c>
      <c r="BQ150" s="2824"/>
      <c r="BR150" s="2825"/>
      <c r="BS150" s="2822" t="s">
        <v>110</v>
      </c>
      <c r="BT150" s="2823"/>
      <c r="BU150" s="2824">
        <f t="shared" ref="BU150" si="353">BT155/((36*3.1415/59)*(69/3.281))</f>
        <v>0</v>
      </c>
      <c r="BV150" s="2824"/>
      <c r="BW150" s="2825"/>
      <c r="BX150" s="2822" t="s">
        <v>110</v>
      </c>
      <c r="BY150" s="2823"/>
      <c r="BZ150" s="2824">
        <f t="shared" ref="BZ150" si="354">BY155/((36*3.1415/59)*(69/3.281))</f>
        <v>0</v>
      </c>
      <c r="CA150" s="2824"/>
      <c r="CB150" s="2825"/>
      <c r="CC150" s="50"/>
      <c r="CD150" s="50"/>
      <c r="CG150" s="27"/>
      <c r="CH150" s="27"/>
      <c r="CI150" s="27"/>
      <c r="CJ150" s="27"/>
      <c r="CK150" s="27"/>
      <c r="CL150" s="27"/>
      <c r="CM150" s="27"/>
      <c r="CN150" s="27"/>
      <c r="CO150" s="27"/>
      <c r="CQ150" s="27"/>
      <c r="CR150" s="27"/>
      <c r="CS150" s="27"/>
      <c r="CT150" s="27"/>
      <c r="CU150" s="27"/>
      <c r="CV150" s="27"/>
      <c r="DI150" s="676"/>
      <c r="DJ150" s="676"/>
      <c r="DK150" s="676"/>
      <c r="DL150" s="675"/>
      <c r="DM150" s="675"/>
      <c r="DN150" s="47"/>
      <c r="DO150" s="703"/>
      <c r="DP150" s="703"/>
      <c r="DQ150" s="703"/>
      <c r="DR150" s="48"/>
      <c r="DS150" s="45"/>
      <c r="DT150" s="45"/>
      <c r="DU150" s="45"/>
      <c r="DV150" s="45"/>
      <c r="DW150" s="45"/>
      <c r="DX150" s="45"/>
      <c r="DY150" s="45"/>
      <c r="DZ150" s="45"/>
      <c r="EA150" s="45"/>
      <c r="EB150" s="45"/>
      <c r="EC150" s="45"/>
      <c r="ED150" s="45"/>
      <c r="EE150" s="45"/>
      <c r="EF150" s="697"/>
      <c r="EG150" s="697"/>
      <c r="EH150" s="697"/>
      <c r="EI150" s="697"/>
      <c r="EJ150" s="697"/>
      <c r="EK150" s="697"/>
      <c r="EL150" s="697"/>
      <c r="EM150" s="697"/>
      <c r="EN150" s="697"/>
      <c r="EO150" s="697"/>
      <c r="EP150" s="697"/>
      <c r="EQ150" s="697"/>
      <c r="ER150" s="697"/>
      <c r="ES150" s="697"/>
      <c r="ET150" s="697"/>
      <c r="EU150" s="697"/>
      <c r="EV150" s="697"/>
      <c r="EW150" s="697"/>
      <c r="EX150" s="697"/>
      <c r="EY150" s="697"/>
      <c r="EZ150" s="697"/>
      <c r="FA150" s="697"/>
      <c r="FB150" s="46"/>
      <c r="FC150" s="698"/>
      <c r="FD150" s="698"/>
      <c r="FE150" s="698"/>
      <c r="FF150" s="698"/>
      <c r="FG150" s="698"/>
      <c r="FH150" s="698"/>
      <c r="FI150" s="698"/>
      <c r="FJ150" s="698"/>
      <c r="FK150" s="698"/>
      <c r="FL150" s="698"/>
      <c r="FM150" s="698"/>
      <c r="FN150" s="698"/>
      <c r="FO150" s="699"/>
      <c r="FP150" s="699"/>
      <c r="FQ150" s="699"/>
      <c r="FR150" s="699"/>
      <c r="FS150" s="699"/>
      <c r="FT150" s="700"/>
      <c r="FU150" s="700"/>
      <c r="FV150" s="700"/>
      <c r="FW150" s="700"/>
      <c r="FX150" s="701"/>
      <c r="FY150" s="701"/>
      <c r="FZ150" s="701"/>
    </row>
    <row r="151" spans="1:182" ht="11.25" customHeight="1" x14ac:dyDescent="0.25">
      <c r="A151" s="2810" t="s">
        <v>25</v>
      </c>
      <c r="B151" s="2811"/>
      <c r="C151" s="2811"/>
      <c r="D151" s="2816" t="s">
        <v>706</v>
      </c>
      <c r="E151" s="2817"/>
      <c r="F151" s="2810" t="s">
        <v>25</v>
      </c>
      <c r="G151" s="2811"/>
      <c r="H151" s="2811"/>
      <c r="I151" s="2816" t="s">
        <v>706</v>
      </c>
      <c r="J151" s="2817"/>
      <c r="K151" s="2810" t="s">
        <v>25</v>
      </c>
      <c r="L151" s="2811"/>
      <c r="M151" s="2811"/>
      <c r="N151" s="2816" t="s">
        <v>706</v>
      </c>
      <c r="O151" s="2817"/>
      <c r="P151" s="2810" t="s">
        <v>25</v>
      </c>
      <c r="Q151" s="2811"/>
      <c r="R151" s="2811"/>
      <c r="S151" s="2816" t="s">
        <v>706</v>
      </c>
      <c r="T151" s="2817"/>
      <c r="U151" s="2810" t="s">
        <v>25</v>
      </c>
      <c r="V151" s="2811"/>
      <c r="W151" s="2811"/>
      <c r="X151" s="2816" t="s">
        <v>706</v>
      </c>
      <c r="Y151" s="2817"/>
      <c r="Z151" s="2810" t="s">
        <v>25</v>
      </c>
      <c r="AA151" s="2811"/>
      <c r="AB151" s="2811"/>
      <c r="AC151" s="2816" t="s">
        <v>706</v>
      </c>
      <c r="AD151" s="2817"/>
      <c r="AE151" s="2810" t="s">
        <v>25</v>
      </c>
      <c r="AF151" s="2811"/>
      <c r="AG151" s="2811"/>
      <c r="AH151" s="2816" t="s">
        <v>706</v>
      </c>
      <c r="AI151" s="2817"/>
      <c r="AJ151" s="2810" t="s">
        <v>25</v>
      </c>
      <c r="AK151" s="2811"/>
      <c r="AL151" s="2811"/>
      <c r="AM151" s="2816" t="s">
        <v>706</v>
      </c>
      <c r="AN151" s="2817"/>
      <c r="AO151" s="2810" t="s">
        <v>25</v>
      </c>
      <c r="AP151" s="2811"/>
      <c r="AQ151" s="2811"/>
      <c r="AR151" s="2816" t="s">
        <v>706</v>
      </c>
      <c r="AS151" s="2817"/>
      <c r="AT151" s="2810" t="s">
        <v>25</v>
      </c>
      <c r="AU151" s="2811"/>
      <c r="AV151" s="2811"/>
      <c r="AW151" s="2816" t="s">
        <v>706</v>
      </c>
      <c r="AX151" s="2817"/>
      <c r="AY151" s="2810" t="s">
        <v>25</v>
      </c>
      <c r="AZ151" s="2811"/>
      <c r="BA151" s="2811"/>
      <c r="BB151" s="2816" t="s">
        <v>706</v>
      </c>
      <c r="BC151" s="2817"/>
      <c r="BD151" s="2810" t="s">
        <v>25</v>
      </c>
      <c r="BE151" s="2811"/>
      <c r="BF151" s="2811"/>
      <c r="BG151" s="2816" t="s">
        <v>706</v>
      </c>
      <c r="BH151" s="2817"/>
      <c r="BI151" s="2810" t="s">
        <v>25</v>
      </c>
      <c r="BJ151" s="2811"/>
      <c r="BK151" s="2811"/>
      <c r="BL151" s="2816" t="s">
        <v>706</v>
      </c>
      <c r="BM151" s="2817"/>
      <c r="BN151" s="2810" t="s">
        <v>25</v>
      </c>
      <c r="BO151" s="2811"/>
      <c r="BP151" s="2811"/>
      <c r="BQ151" s="2816" t="s">
        <v>706</v>
      </c>
      <c r="BR151" s="2817"/>
      <c r="BS151" s="2810" t="s">
        <v>25</v>
      </c>
      <c r="BT151" s="2811"/>
      <c r="BU151" s="2811"/>
      <c r="BV151" s="2816" t="s">
        <v>706</v>
      </c>
      <c r="BW151" s="2817"/>
      <c r="BX151" s="2810" t="s">
        <v>25</v>
      </c>
      <c r="BY151" s="2811"/>
      <c r="BZ151" s="2811"/>
      <c r="CA151" s="2816" t="s">
        <v>706</v>
      </c>
      <c r="CB151" s="2817"/>
      <c r="CC151" s="50"/>
      <c r="CD151" s="50"/>
      <c r="CG151" s="27"/>
      <c r="CH151" s="27"/>
      <c r="CI151" s="27"/>
      <c r="CJ151" s="27"/>
      <c r="CK151" s="27"/>
      <c r="CL151" s="27"/>
      <c r="CM151" s="27"/>
      <c r="CN151" s="27"/>
      <c r="CO151" s="27"/>
      <c r="CQ151" s="27"/>
      <c r="CR151" s="27"/>
      <c r="CS151" s="27"/>
      <c r="CT151" s="27"/>
      <c r="CU151" s="27"/>
      <c r="CV151" s="27"/>
      <c r="DJ151" s="17"/>
      <c r="DO151" s="703"/>
      <c r="DP151" s="703"/>
      <c r="DQ151" s="703"/>
      <c r="DR151" s="48"/>
      <c r="DS151" s="49"/>
      <c r="DT151" s="49"/>
      <c r="DU151" s="49"/>
      <c r="DV151" s="49"/>
      <c r="DW151" s="49"/>
      <c r="DX151" s="49"/>
      <c r="DY151" s="49"/>
      <c r="DZ151" s="49"/>
      <c r="EA151" s="49"/>
      <c r="EB151" s="49"/>
      <c r="EC151" s="49"/>
      <c r="ED151" s="49"/>
      <c r="EE151" s="49"/>
      <c r="EF151" s="704"/>
      <c r="EG151" s="705"/>
      <c r="EH151" s="705"/>
      <c r="EI151" s="705"/>
      <c r="EJ151" s="705"/>
      <c r="EK151" s="705"/>
      <c r="EL151" s="705"/>
      <c r="EM151" s="705"/>
      <c r="EN151" s="705"/>
      <c r="EO151" s="705"/>
      <c r="EP151" s="705"/>
      <c r="EQ151" s="705"/>
      <c r="ER151" s="706"/>
      <c r="ES151" s="706"/>
      <c r="ET151" s="706"/>
      <c r="EU151" s="706"/>
      <c r="EV151" s="706"/>
      <c r="EW151" s="706"/>
      <c r="EX151" s="706"/>
      <c r="EY151" s="706"/>
      <c r="EZ151" s="706"/>
      <c r="FA151" s="706"/>
      <c r="FB151" s="706"/>
      <c r="FC151" s="707"/>
      <c r="FD151" s="707"/>
      <c r="FE151" s="707"/>
      <c r="FF151" s="707"/>
      <c r="FG151" s="707"/>
      <c r="FH151" s="707"/>
      <c r="FI151" s="707"/>
      <c r="FJ151" s="707"/>
      <c r="FK151" s="707"/>
      <c r="FL151" s="707"/>
      <c r="FM151" s="707"/>
      <c r="FN151" s="707"/>
      <c r="FO151" s="699"/>
      <c r="FP151" s="699"/>
      <c r="FQ151" s="699"/>
      <c r="FR151" s="699"/>
      <c r="FS151" s="699"/>
      <c r="FT151" s="708"/>
      <c r="FU151" s="708"/>
      <c r="FV151" s="708"/>
      <c r="FW151" s="708"/>
      <c r="FX151" s="708"/>
      <c r="FY151" s="708"/>
      <c r="FZ151" s="708"/>
    </row>
    <row r="152" spans="1:182" ht="11.25" customHeight="1" x14ac:dyDescent="0.25">
      <c r="A152" s="2812"/>
      <c r="B152" s="2813"/>
      <c r="C152" s="2813"/>
      <c r="D152" s="2818"/>
      <c r="E152" s="2819"/>
      <c r="F152" s="2812"/>
      <c r="G152" s="2813"/>
      <c r="H152" s="2813"/>
      <c r="I152" s="2818"/>
      <c r="J152" s="2819"/>
      <c r="K152" s="2812"/>
      <c r="L152" s="2813"/>
      <c r="M152" s="2813"/>
      <c r="N152" s="2818"/>
      <c r="O152" s="2819"/>
      <c r="P152" s="2812"/>
      <c r="Q152" s="2813"/>
      <c r="R152" s="2813"/>
      <c r="S152" s="2818"/>
      <c r="T152" s="2819"/>
      <c r="U152" s="2812"/>
      <c r="V152" s="2813"/>
      <c r="W152" s="2813"/>
      <c r="X152" s="2818"/>
      <c r="Y152" s="2819"/>
      <c r="Z152" s="2812"/>
      <c r="AA152" s="2813"/>
      <c r="AB152" s="2813"/>
      <c r="AC152" s="2818"/>
      <c r="AD152" s="2819"/>
      <c r="AE152" s="2812"/>
      <c r="AF152" s="2813"/>
      <c r="AG152" s="2813"/>
      <c r="AH152" s="2818"/>
      <c r="AI152" s="2819"/>
      <c r="AJ152" s="2812"/>
      <c r="AK152" s="2813"/>
      <c r="AL152" s="2813"/>
      <c r="AM152" s="2818"/>
      <c r="AN152" s="2819"/>
      <c r="AO152" s="2812"/>
      <c r="AP152" s="2813"/>
      <c r="AQ152" s="2813"/>
      <c r="AR152" s="2818"/>
      <c r="AS152" s="2819"/>
      <c r="AT152" s="2812"/>
      <c r="AU152" s="2813"/>
      <c r="AV152" s="2813"/>
      <c r="AW152" s="2818"/>
      <c r="AX152" s="2819"/>
      <c r="AY152" s="2812"/>
      <c r="AZ152" s="2813"/>
      <c r="BA152" s="2813"/>
      <c r="BB152" s="2818"/>
      <c r="BC152" s="2819"/>
      <c r="BD152" s="2812"/>
      <c r="BE152" s="2813"/>
      <c r="BF152" s="2813"/>
      <c r="BG152" s="2818"/>
      <c r="BH152" s="2819"/>
      <c r="BI152" s="2812"/>
      <c r="BJ152" s="2813"/>
      <c r="BK152" s="2813"/>
      <c r="BL152" s="2818"/>
      <c r="BM152" s="2819"/>
      <c r="BN152" s="2812"/>
      <c r="BO152" s="2813"/>
      <c r="BP152" s="2813"/>
      <c r="BQ152" s="2818"/>
      <c r="BR152" s="2819"/>
      <c r="BS152" s="2812"/>
      <c r="BT152" s="2813"/>
      <c r="BU152" s="2813"/>
      <c r="BV152" s="2818"/>
      <c r="BW152" s="2819"/>
      <c r="BX152" s="2812"/>
      <c r="BY152" s="2813"/>
      <c r="BZ152" s="2813"/>
      <c r="CA152" s="2818"/>
      <c r="CB152" s="2819"/>
      <c r="CC152" s="53"/>
      <c r="CD152" s="53"/>
      <c r="DO152" s="703"/>
      <c r="DP152" s="703"/>
      <c r="DQ152" s="703"/>
      <c r="DR152" s="52"/>
      <c r="DS152" s="45"/>
      <c r="DT152" s="45"/>
      <c r="DU152" s="45"/>
      <c r="DV152" s="45"/>
      <c r="DW152" s="45"/>
      <c r="DX152" s="45"/>
      <c r="DY152" s="45"/>
      <c r="DZ152" s="45"/>
      <c r="EA152" s="45"/>
      <c r="EB152" s="45"/>
      <c r="EC152" s="45"/>
      <c r="ED152" s="45"/>
      <c r="EE152" s="45"/>
      <c r="EF152" s="705"/>
      <c r="EG152" s="705"/>
      <c r="EH152" s="705"/>
      <c r="EI152" s="705"/>
      <c r="EJ152" s="705"/>
      <c r="EK152" s="705"/>
      <c r="EL152" s="705"/>
      <c r="EM152" s="705"/>
      <c r="EN152" s="705"/>
      <c r="EO152" s="705"/>
      <c r="EP152" s="705"/>
      <c r="EQ152" s="705"/>
      <c r="ER152" s="706"/>
      <c r="ES152" s="706"/>
      <c r="ET152" s="706"/>
      <c r="EU152" s="706"/>
      <c r="EV152" s="706"/>
      <c r="EW152" s="706"/>
      <c r="EX152" s="706"/>
      <c r="EY152" s="706"/>
      <c r="EZ152" s="706"/>
      <c r="FA152" s="706"/>
      <c r="FB152" s="706"/>
      <c r="FC152" s="707"/>
      <c r="FD152" s="707"/>
      <c r="FE152" s="707"/>
      <c r="FF152" s="707"/>
      <c r="FG152" s="707"/>
      <c r="FH152" s="707"/>
      <c r="FI152" s="707"/>
      <c r="FJ152" s="707"/>
      <c r="FK152" s="707"/>
      <c r="FL152" s="707"/>
      <c r="FM152" s="707"/>
      <c r="FN152" s="707"/>
      <c r="FO152" s="699"/>
      <c r="FP152" s="699"/>
      <c r="FQ152" s="699"/>
      <c r="FR152" s="699"/>
      <c r="FS152" s="699"/>
      <c r="FT152" s="708"/>
      <c r="FU152" s="708"/>
      <c r="FV152" s="708"/>
      <c r="FW152" s="708"/>
      <c r="FX152" s="708"/>
      <c r="FY152" s="708"/>
      <c r="FZ152" s="708"/>
    </row>
    <row r="153" spans="1:182" ht="11.25" customHeight="1" x14ac:dyDescent="0.25">
      <c r="A153" s="2814"/>
      <c r="B153" s="2815"/>
      <c r="C153" s="2815"/>
      <c r="D153" s="2820"/>
      <c r="E153" s="2821"/>
      <c r="F153" s="2814"/>
      <c r="G153" s="2815"/>
      <c r="H153" s="2815"/>
      <c r="I153" s="2820"/>
      <c r="J153" s="2821"/>
      <c r="K153" s="2814"/>
      <c r="L153" s="2815"/>
      <c r="M153" s="2815"/>
      <c r="N153" s="2820"/>
      <c r="O153" s="2821"/>
      <c r="P153" s="2814"/>
      <c r="Q153" s="2815"/>
      <c r="R153" s="2815"/>
      <c r="S153" s="2820"/>
      <c r="T153" s="2821"/>
      <c r="U153" s="2814"/>
      <c r="V153" s="2815"/>
      <c r="W153" s="2815"/>
      <c r="X153" s="2820"/>
      <c r="Y153" s="2821"/>
      <c r="Z153" s="2814"/>
      <c r="AA153" s="2815"/>
      <c r="AB153" s="2815"/>
      <c r="AC153" s="2820"/>
      <c r="AD153" s="2821"/>
      <c r="AE153" s="2814"/>
      <c r="AF153" s="2815"/>
      <c r="AG153" s="2815"/>
      <c r="AH153" s="2820"/>
      <c r="AI153" s="2821"/>
      <c r="AJ153" s="2814"/>
      <c r="AK153" s="2815"/>
      <c r="AL153" s="2815"/>
      <c r="AM153" s="2820"/>
      <c r="AN153" s="2821"/>
      <c r="AO153" s="2814"/>
      <c r="AP153" s="2815"/>
      <c r="AQ153" s="2815"/>
      <c r="AR153" s="2820"/>
      <c r="AS153" s="2821"/>
      <c r="AT153" s="2814"/>
      <c r="AU153" s="2815"/>
      <c r="AV153" s="2815"/>
      <c r="AW153" s="2820"/>
      <c r="AX153" s="2821"/>
      <c r="AY153" s="2814"/>
      <c r="AZ153" s="2815"/>
      <c r="BA153" s="2815"/>
      <c r="BB153" s="2820"/>
      <c r="BC153" s="2821"/>
      <c r="BD153" s="2814"/>
      <c r="BE153" s="2815"/>
      <c r="BF153" s="2815"/>
      <c r="BG153" s="2820"/>
      <c r="BH153" s="2821"/>
      <c r="BI153" s="2814"/>
      <c r="BJ153" s="2815"/>
      <c r="BK153" s="2815"/>
      <c r="BL153" s="2820"/>
      <c r="BM153" s="2821"/>
      <c r="BN153" s="2814"/>
      <c r="BO153" s="2815"/>
      <c r="BP153" s="2815"/>
      <c r="BQ153" s="2820"/>
      <c r="BR153" s="2821"/>
      <c r="BS153" s="2814"/>
      <c r="BT153" s="2815"/>
      <c r="BU153" s="2815"/>
      <c r="BV153" s="2820"/>
      <c r="BW153" s="2821"/>
      <c r="BX153" s="2814"/>
      <c r="BY153" s="2815"/>
      <c r="BZ153" s="2815"/>
      <c r="CA153" s="2820"/>
      <c r="CB153" s="2821"/>
      <c r="CC153" s="53"/>
      <c r="CD153" s="53"/>
      <c r="DO153" s="709"/>
      <c r="DP153" s="709"/>
      <c r="DQ153" s="709"/>
      <c r="DR153" s="52"/>
      <c r="DS153" s="45"/>
      <c r="DT153" s="45"/>
      <c r="DU153" s="45"/>
      <c r="DV153" s="45"/>
      <c r="DW153" s="45"/>
      <c r="DX153" s="45"/>
      <c r="DY153" s="45"/>
      <c r="DZ153" s="45"/>
      <c r="EA153" s="45"/>
      <c r="EB153" s="45"/>
      <c r="EC153" s="45"/>
      <c r="ED153" s="45"/>
      <c r="EE153" s="45"/>
      <c r="EF153" s="705"/>
      <c r="EG153" s="705"/>
      <c r="EH153" s="705"/>
      <c r="EI153" s="705"/>
      <c r="EJ153" s="705"/>
      <c r="EK153" s="705"/>
      <c r="EL153" s="705"/>
      <c r="EM153" s="705"/>
      <c r="EN153" s="705"/>
      <c r="EO153" s="705"/>
      <c r="EP153" s="705"/>
      <c r="EQ153" s="705"/>
      <c r="ER153" s="706"/>
      <c r="ES153" s="706"/>
      <c r="ET153" s="706"/>
      <c r="EU153" s="706"/>
      <c r="EV153" s="706"/>
      <c r="EW153" s="706"/>
      <c r="EX153" s="706"/>
      <c r="EY153" s="706"/>
      <c r="EZ153" s="706"/>
      <c r="FA153" s="706"/>
      <c r="FB153" s="706"/>
      <c r="FC153" s="707"/>
      <c r="FD153" s="707"/>
      <c r="FE153" s="707"/>
      <c r="FF153" s="707"/>
      <c r="FG153" s="707"/>
      <c r="FH153" s="707"/>
      <c r="FI153" s="707"/>
      <c r="FJ153" s="707"/>
      <c r="FK153" s="707"/>
      <c r="FL153" s="707"/>
      <c r="FM153" s="707"/>
      <c r="FN153" s="707"/>
      <c r="FO153" s="699"/>
      <c r="FP153" s="699"/>
      <c r="FQ153" s="699"/>
      <c r="FR153" s="699"/>
      <c r="FS153" s="699"/>
      <c r="FT153" s="708"/>
      <c r="FU153" s="708"/>
      <c r="FV153" s="708"/>
      <c r="FW153" s="708"/>
      <c r="FX153" s="708"/>
      <c r="FY153" s="708"/>
      <c r="FZ153" s="708"/>
    </row>
    <row r="154" spans="1:182" s="535" customFormat="1" ht="111.75" customHeight="1" x14ac:dyDescent="1.35">
      <c r="A154" s="2826" t="s">
        <v>722</v>
      </c>
      <c r="B154" s="2681">
        <v>339</v>
      </c>
      <c r="C154" s="2682"/>
      <c r="D154" s="2682"/>
      <c r="E154" s="2683"/>
      <c r="F154" s="2826" t="s">
        <v>722</v>
      </c>
      <c r="G154" s="2681">
        <v>340</v>
      </c>
      <c r="H154" s="2682"/>
      <c r="I154" s="2682"/>
      <c r="J154" s="2683"/>
      <c r="K154" s="2826" t="s">
        <v>722</v>
      </c>
      <c r="L154" s="2681">
        <v>341</v>
      </c>
      <c r="M154" s="2682"/>
      <c r="N154" s="2682"/>
      <c r="O154" s="2683"/>
      <c r="P154" s="2826" t="s">
        <v>722</v>
      </c>
      <c r="Q154" s="2681">
        <v>342</v>
      </c>
      <c r="R154" s="2682"/>
      <c r="S154" s="2682"/>
      <c r="T154" s="2683"/>
      <c r="U154" s="2826" t="s">
        <v>722</v>
      </c>
      <c r="V154" s="2681">
        <v>343</v>
      </c>
      <c r="W154" s="2682"/>
      <c r="X154" s="2682"/>
      <c r="Y154" s="2683"/>
      <c r="Z154" s="2826" t="s">
        <v>722</v>
      </c>
      <c r="AA154" s="2681">
        <v>344</v>
      </c>
      <c r="AB154" s="2682"/>
      <c r="AC154" s="2682"/>
      <c r="AD154" s="2683"/>
      <c r="AE154" s="2826" t="s">
        <v>722</v>
      </c>
      <c r="AF154" s="2681">
        <v>345</v>
      </c>
      <c r="AG154" s="2682"/>
      <c r="AH154" s="2682"/>
      <c r="AI154" s="2683"/>
      <c r="AJ154" s="2826" t="s">
        <v>722</v>
      </c>
      <c r="AK154" s="2681">
        <v>346</v>
      </c>
      <c r="AL154" s="2682"/>
      <c r="AM154" s="2682"/>
      <c r="AN154" s="2683"/>
      <c r="AO154" s="2826" t="s">
        <v>722</v>
      </c>
      <c r="AP154" s="2681">
        <v>347</v>
      </c>
      <c r="AQ154" s="2682"/>
      <c r="AR154" s="2682"/>
      <c r="AS154" s="2683"/>
      <c r="AT154" s="2826" t="s">
        <v>722</v>
      </c>
      <c r="AU154" s="2681">
        <v>348</v>
      </c>
      <c r="AV154" s="2682"/>
      <c r="AW154" s="2682"/>
      <c r="AX154" s="2683"/>
      <c r="AY154" s="2826" t="s">
        <v>722</v>
      </c>
      <c r="AZ154" s="2681">
        <v>349</v>
      </c>
      <c r="BA154" s="2682"/>
      <c r="BB154" s="2682"/>
      <c r="BC154" s="2683"/>
      <c r="BD154" s="2826" t="s">
        <v>722</v>
      </c>
      <c r="BE154" s="2681">
        <v>350</v>
      </c>
      <c r="BF154" s="2682"/>
      <c r="BG154" s="2682"/>
      <c r="BH154" s="2683"/>
      <c r="BI154" s="2826" t="s">
        <v>722</v>
      </c>
      <c r="BJ154" s="2681">
        <v>351</v>
      </c>
      <c r="BK154" s="2682"/>
      <c r="BL154" s="2682"/>
      <c r="BM154" s="2683"/>
      <c r="BN154" s="2826" t="s">
        <v>722</v>
      </c>
      <c r="BO154" s="2681">
        <v>352</v>
      </c>
      <c r="BP154" s="2682"/>
      <c r="BQ154" s="2682"/>
      <c r="BR154" s="2683"/>
      <c r="BS154" s="2826" t="s">
        <v>722</v>
      </c>
      <c r="BT154" s="2681">
        <v>353</v>
      </c>
      <c r="BU154" s="2682"/>
      <c r="BV154" s="2682"/>
      <c r="BW154" s="2683"/>
      <c r="BX154" s="2826" t="s">
        <v>722</v>
      </c>
      <c r="BY154" s="2681">
        <v>354</v>
      </c>
      <c r="BZ154" s="2682"/>
      <c r="CA154" s="2682"/>
      <c r="CB154" s="2683"/>
      <c r="DO154" s="709"/>
      <c r="DP154" s="709"/>
      <c r="DQ154" s="709"/>
      <c r="DR154" s="536"/>
      <c r="DS154" s="537"/>
      <c r="DT154" s="537"/>
      <c r="DU154" s="537"/>
      <c r="DV154" s="537"/>
      <c r="DW154" s="537"/>
      <c r="DX154" s="537"/>
      <c r="DY154" s="537"/>
      <c r="DZ154" s="537"/>
      <c r="EA154" s="537"/>
      <c r="EB154" s="537"/>
      <c r="EC154" s="537"/>
      <c r="ED154" s="537"/>
      <c r="EE154" s="537"/>
      <c r="EF154" s="705"/>
      <c r="EG154" s="705"/>
      <c r="EH154" s="705"/>
      <c r="EI154" s="705"/>
      <c r="EJ154" s="705"/>
      <c r="EK154" s="705"/>
      <c r="EL154" s="705"/>
      <c r="EM154" s="705"/>
      <c r="EN154" s="705"/>
      <c r="EO154" s="705"/>
      <c r="EP154" s="705"/>
      <c r="EQ154" s="705"/>
      <c r="ER154" s="706"/>
      <c r="ES154" s="706"/>
      <c r="ET154" s="706"/>
      <c r="EU154" s="706"/>
      <c r="EV154" s="706"/>
      <c r="EW154" s="706"/>
      <c r="EX154" s="706"/>
      <c r="EY154" s="706"/>
      <c r="EZ154" s="706"/>
      <c r="FA154" s="706"/>
      <c r="FB154" s="706"/>
      <c r="FC154" s="707"/>
      <c r="FD154" s="707"/>
      <c r="FE154" s="707"/>
      <c r="FF154" s="707"/>
      <c r="FG154" s="707"/>
      <c r="FH154" s="707"/>
      <c r="FI154" s="707"/>
      <c r="FJ154" s="707"/>
      <c r="FK154" s="707"/>
      <c r="FL154" s="707"/>
      <c r="FM154" s="707"/>
      <c r="FN154" s="707"/>
      <c r="FO154" s="699"/>
      <c r="FP154" s="699"/>
      <c r="FQ154" s="699"/>
      <c r="FR154" s="699"/>
      <c r="FS154" s="699"/>
      <c r="FT154" s="708"/>
      <c r="FU154" s="708"/>
      <c r="FV154" s="708"/>
      <c r="FW154" s="708"/>
      <c r="FX154" s="708"/>
      <c r="FY154" s="708"/>
      <c r="FZ154" s="708"/>
    </row>
    <row r="155" spans="1:182" ht="50.25" customHeight="1" thickBot="1" x14ac:dyDescent="0.3">
      <c r="A155" s="2827"/>
      <c r="B155" s="518"/>
      <c r="C155" s="519" t="s">
        <v>113</v>
      </c>
      <c r="D155" s="520"/>
      <c r="E155" s="523" t="s">
        <v>114</v>
      </c>
      <c r="F155" s="2827"/>
      <c r="G155" s="518"/>
      <c r="H155" s="519" t="s">
        <v>113</v>
      </c>
      <c r="I155" s="520"/>
      <c r="J155" s="523" t="s">
        <v>114</v>
      </c>
      <c r="K155" s="2827"/>
      <c r="L155" s="518"/>
      <c r="M155" s="519" t="s">
        <v>113</v>
      </c>
      <c r="N155" s="520"/>
      <c r="O155" s="523" t="s">
        <v>114</v>
      </c>
      <c r="P155" s="2827"/>
      <c r="Q155" s="518"/>
      <c r="R155" s="519" t="s">
        <v>113</v>
      </c>
      <c r="S155" s="520"/>
      <c r="T155" s="523" t="s">
        <v>114</v>
      </c>
      <c r="U155" s="2827"/>
      <c r="V155" s="518"/>
      <c r="W155" s="519" t="s">
        <v>113</v>
      </c>
      <c r="X155" s="520"/>
      <c r="Y155" s="523" t="s">
        <v>114</v>
      </c>
      <c r="Z155" s="2827"/>
      <c r="AA155" s="518"/>
      <c r="AB155" s="519" t="s">
        <v>113</v>
      </c>
      <c r="AC155" s="520"/>
      <c r="AD155" s="523" t="s">
        <v>114</v>
      </c>
      <c r="AE155" s="2827"/>
      <c r="AF155" s="518"/>
      <c r="AG155" s="519" t="s">
        <v>113</v>
      </c>
      <c r="AH155" s="520"/>
      <c r="AI155" s="523" t="s">
        <v>114</v>
      </c>
      <c r="AJ155" s="2827"/>
      <c r="AK155" s="518"/>
      <c r="AL155" s="519" t="s">
        <v>113</v>
      </c>
      <c r="AM155" s="520"/>
      <c r="AN155" s="523" t="s">
        <v>114</v>
      </c>
      <c r="AO155" s="2827"/>
      <c r="AP155" s="518"/>
      <c r="AQ155" s="519" t="s">
        <v>113</v>
      </c>
      <c r="AR155" s="520"/>
      <c r="AS155" s="523" t="s">
        <v>114</v>
      </c>
      <c r="AT155" s="2827"/>
      <c r="AU155" s="518"/>
      <c r="AV155" s="519" t="s">
        <v>113</v>
      </c>
      <c r="AW155" s="520"/>
      <c r="AX155" s="523" t="s">
        <v>114</v>
      </c>
      <c r="AY155" s="2827"/>
      <c r="AZ155" s="518"/>
      <c r="BA155" s="519" t="s">
        <v>113</v>
      </c>
      <c r="BB155" s="520"/>
      <c r="BC155" s="523" t="s">
        <v>114</v>
      </c>
      <c r="BD155" s="2827"/>
      <c r="BE155" s="518"/>
      <c r="BF155" s="519" t="s">
        <v>113</v>
      </c>
      <c r="BG155" s="520"/>
      <c r="BH155" s="523" t="s">
        <v>114</v>
      </c>
      <c r="BI155" s="2827"/>
      <c r="BJ155" s="518"/>
      <c r="BK155" s="519" t="s">
        <v>113</v>
      </c>
      <c r="BL155" s="520"/>
      <c r="BM155" s="523" t="s">
        <v>114</v>
      </c>
      <c r="BN155" s="2827"/>
      <c r="BO155" s="518"/>
      <c r="BP155" s="519" t="s">
        <v>113</v>
      </c>
      <c r="BQ155" s="520"/>
      <c r="BR155" s="523" t="s">
        <v>114</v>
      </c>
      <c r="BS155" s="2827"/>
      <c r="BT155" s="518"/>
      <c r="BU155" s="519" t="s">
        <v>113</v>
      </c>
      <c r="BV155" s="520"/>
      <c r="BW155" s="523" t="s">
        <v>114</v>
      </c>
      <c r="BX155" s="2827"/>
      <c r="BY155" s="518"/>
      <c r="BZ155" s="519" t="s">
        <v>113</v>
      </c>
      <c r="CA155" s="520"/>
      <c r="CB155" s="523" t="s">
        <v>114</v>
      </c>
      <c r="DO155" s="709"/>
      <c r="DP155" s="709"/>
      <c r="DQ155" s="709"/>
      <c r="DR155" s="52"/>
      <c r="DS155" s="45"/>
      <c r="DT155" s="45"/>
      <c r="DU155" s="45"/>
      <c r="DV155" s="45"/>
      <c r="DW155" s="45"/>
      <c r="DX155" s="45"/>
      <c r="DY155" s="45"/>
      <c r="DZ155" s="45"/>
      <c r="EA155" s="45"/>
      <c r="EB155" s="45"/>
      <c r="EC155" s="45"/>
      <c r="ED155" s="45"/>
      <c r="EE155" s="45"/>
      <c r="EF155" s="705"/>
      <c r="EG155" s="705"/>
      <c r="EH155" s="705"/>
      <c r="EI155" s="705"/>
      <c r="EJ155" s="705"/>
      <c r="EK155" s="705"/>
      <c r="EL155" s="705"/>
      <c r="EM155" s="705"/>
      <c r="EN155" s="705"/>
      <c r="EO155" s="705"/>
      <c r="EP155" s="705"/>
      <c r="EQ155" s="705"/>
      <c r="ER155" s="706"/>
      <c r="ES155" s="706"/>
      <c r="ET155" s="706"/>
      <c r="EU155" s="706"/>
      <c r="EV155" s="706"/>
      <c r="EW155" s="706"/>
      <c r="EX155" s="706"/>
      <c r="EY155" s="706"/>
      <c r="EZ155" s="706"/>
      <c r="FA155" s="706"/>
      <c r="FB155" s="706"/>
      <c r="FC155" s="707"/>
      <c r="FD155" s="707"/>
      <c r="FE155" s="707"/>
      <c r="FF155" s="707"/>
      <c r="FG155" s="707"/>
      <c r="FH155" s="707"/>
      <c r="FI155" s="707"/>
      <c r="FJ155" s="707"/>
      <c r="FK155" s="707"/>
      <c r="FL155" s="707"/>
      <c r="FM155" s="707"/>
      <c r="FN155" s="707"/>
      <c r="FO155" s="699"/>
      <c r="FP155" s="699"/>
      <c r="FQ155" s="699"/>
      <c r="FR155" s="699"/>
      <c r="FS155" s="699"/>
      <c r="FT155" s="699"/>
      <c r="FU155" s="699"/>
      <c r="FV155" s="699"/>
      <c r="FW155" s="699"/>
      <c r="FX155" s="699"/>
      <c r="FY155" s="699"/>
      <c r="FZ155" s="699"/>
    </row>
    <row r="156" spans="1:182" ht="57" customHeight="1" thickTop="1" x14ac:dyDescent="0.25">
      <c r="A156" s="2822" t="s">
        <v>110</v>
      </c>
      <c r="B156" s="2823"/>
      <c r="C156" s="2824">
        <f t="shared" ref="C156" si="355">B161/((36*3.1415/59)*(69/3.281))</f>
        <v>0</v>
      </c>
      <c r="D156" s="2824"/>
      <c r="E156" s="2825"/>
      <c r="F156" s="2822" t="s">
        <v>110</v>
      </c>
      <c r="G156" s="2823"/>
      <c r="H156" s="2824">
        <f t="shared" ref="H156" si="356">G161/((36*3.1415/59)*(69/3.281))</f>
        <v>0</v>
      </c>
      <c r="I156" s="2824"/>
      <c r="J156" s="2825"/>
      <c r="K156" s="2822" t="s">
        <v>110</v>
      </c>
      <c r="L156" s="2823"/>
      <c r="M156" s="2824">
        <f t="shared" ref="M156" si="357">L161/((36*3.1415/59)*(69/3.281))</f>
        <v>0</v>
      </c>
      <c r="N156" s="2824"/>
      <c r="O156" s="2825"/>
      <c r="P156" s="2822" t="s">
        <v>110</v>
      </c>
      <c r="Q156" s="2823"/>
      <c r="R156" s="2824">
        <f t="shared" ref="R156" si="358">Q161/((36*3.1415/59)*(69/3.281))</f>
        <v>0</v>
      </c>
      <c r="S156" s="2824"/>
      <c r="T156" s="2825"/>
      <c r="U156" s="2822" t="s">
        <v>110</v>
      </c>
      <c r="V156" s="2823"/>
      <c r="W156" s="2824">
        <f t="shared" ref="W156" si="359">V161/((36*3.1415/59)*(69/3.281))</f>
        <v>0</v>
      </c>
      <c r="X156" s="2824"/>
      <c r="Y156" s="2825"/>
      <c r="Z156" s="2822" t="s">
        <v>110</v>
      </c>
      <c r="AA156" s="2823"/>
      <c r="AB156" s="2824">
        <f t="shared" ref="AB156" si="360">AA161/((36*3.1415/59)*(69/3.281))</f>
        <v>0</v>
      </c>
      <c r="AC156" s="2824"/>
      <c r="AD156" s="2825"/>
      <c r="AE156" s="2822" t="s">
        <v>110</v>
      </c>
      <c r="AF156" s="2823"/>
      <c r="AG156" s="2824">
        <f t="shared" ref="AG156" si="361">AF161/((36*3.1415/59)*(69/3.281))</f>
        <v>0</v>
      </c>
      <c r="AH156" s="2824"/>
      <c r="AI156" s="2825"/>
      <c r="AJ156" s="2822" t="s">
        <v>16</v>
      </c>
      <c r="AK156" s="2823"/>
      <c r="AL156" s="2824">
        <f t="shared" ref="AL156" si="362">AK161/((36*3.1415/59)*(69/3.281))</f>
        <v>0</v>
      </c>
      <c r="AM156" s="2824"/>
      <c r="AN156" s="2825"/>
      <c r="AO156" s="2822" t="s">
        <v>110</v>
      </c>
      <c r="AP156" s="2823"/>
      <c r="AQ156" s="2824">
        <f t="shared" ref="AQ156" si="363">AP161/((36*3.1415/59)*(69/3.281))</f>
        <v>0</v>
      </c>
      <c r="AR156" s="2824"/>
      <c r="AS156" s="2825"/>
      <c r="AT156" s="2822" t="s">
        <v>110</v>
      </c>
      <c r="AU156" s="2823"/>
      <c r="AV156" s="2824">
        <f t="shared" ref="AV156" si="364">AU161/((36*3.1415/59)*(69/3.281))</f>
        <v>0</v>
      </c>
      <c r="AW156" s="2824"/>
      <c r="AX156" s="2825"/>
      <c r="AY156" s="2822" t="s">
        <v>110</v>
      </c>
      <c r="AZ156" s="2823"/>
      <c r="BA156" s="2824">
        <f t="shared" ref="BA156" si="365">AZ161/((36*3.1415/59)*(69/3.281))</f>
        <v>0</v>
      </c>
      <c r="BB156" s="2824"/>
      <c r="BC156" s="2825"/>
      <c r="BD156" s="2822" t="s">
        <v>110</v>
      </c>
      <c r="BE156" s="2823"/>
      <c r="BF156" s="2824">
        <f t="shared" ref="BF156" si="366">BE161/((36*3.1415/59)*(69/3.281))</f>
        <v>0</v>
      </c>
      <c r="BG156" s="2824"/>
      <c r="BH156" s="2825"/>
      <c r="BI156" s="2822" t="s">
        <v>110</v>
      </c>
      <c r="BJ156" s="2823"/>
      <c r="BK156" s="2824">
        <f t="shared" ref="BK156" si="367">BJ161/((36*3.1415/59)*(69/3.281))</f>
        <v>0</v>
      </c>
      <c r="BL156" s="2824"/>
      <c r="BM156" s="2825"/>
      <c r="BN156" s="2822" t="s">
        <v>110</v>
      </c>
      <c r="BO156" s="2823"/>
      <c r="BP156" s="2824">
        <f t="shared" ref="BP156" si="368">BO161/((36*3.1415/59)*(69/3.281))</f>
        <v>0</v>
      </c>
      <c r="BQ156" s="2824"/>
      <c r="BR156" s="2825"/>
      <c r="BS156" s="2822" t="s">
        <v>110</v>
      </c>
      <c r="BT156" s="2823"/>
      <c r="BU156" s="2824">
        <f t="shared" ref="BU156" si="369">BT161/((36*3.1415/59)*(69/3.281))</f>
        <v>0</v>
      </c>
      <c r="BV156" s="2824"/>
      <c r="BW156" s="2825"/>
      <c r="BX156" s="2822" t="s">
        <v>110</v>
      </c>
      <c r="BY156" s="2823"/>
      <c r="BZ156" s="2824">
        <f t="shared" ref="BZ156" si="370">BY161/((36*3.1415/59)*(69/3.281))</f>
        <v>0</v>
      </c>
      <c r="CA156" s="2824"/>
      <c r="CB156" s="2825"/>
      <c r="DO156" s="709"/>
      <c r="DP156" s="709"/>
      <c r="DQ156" s="709"/>
      <c r="DR156" s="52"/>
      <c r="DS156" s="49"/>
      <c r="DT156" s="49"/>
      <c r="DU156" s="49"/>
      <c r="DV156" s="49"/>
      <c r="DW156" s="49"/>
      <c r="DX156" s="49"/>
      <c r="DY156" s="49"/>
      <c r="DZ156" s="49"/>
      <c r="EA156" s="49"/>
      <c r="EB156" s="49"/>
      <c r="EC156" s="49"/>
      <c r="ED156" s="49"/>
      <c r="EE156" s="49"/>
      <c r="EF156" s="705"/>
      <c r="EG156" s="705"/>
      <c r="EH156" s="705"/>
      <c r="EI156" s="705"/>
      <c r="EJ156" s="705"/>
      <c r="EK156" s="705"/>
      <c r="EL156" s="705"/>
      <c r="EM156" s="705"/>
      <c r="EN156" s="705"/>
      <c r="EO156" s="705"/>
      <c r="EP156" s="705"/>
      <c r="EQ156" s="705"/>
      <c r="ER156" s="706"/>
      <c r="ES156" s="706"/>
      <c r="ET156" s="706"/>
      <c r="EU156" s="706"/>
      <c r="EV156" s="706"/>
      <c r="EW156" s="706"/>
      <c r="EX156" s="706"/>
      <c r="EY156" s="706"/>
      <c r="EZ156" s="706"/>
      <c r="FA156" s="706"/>
      <c r="FB156" s="706"/>
      <c r="FC156" s="707"/>
      <c r="FD156" s="707"/>
      <c r="FE156" s="707"/>
      <c r="FF156" s="707"/>
      <c r="FG156" s="707"/>
      <c r="FH156" s="707"/>
      <c r="FI156" s="707"/>
      <c r="FJ156" s="707"/>
      <c r="FK156" s="707"/>
      <c r="FL156" s="707"/>
      <c r="FM156" s="707"/>
      <c r="FN156" s="707"/>
      <c r="FO156" s="699"/>
      <c r="FP156" s="699"/>
      <c r="FQ156" s="699"/>
      <c r="FR156" s="699"/>
      <c r="FS156" s="699"/>
      <c r="FT156" s="699"/>
      <c r="FU156" s="699"/>
      <c r="FV156" s="699"/>
      <c r="FW156" s="699"/>
      <c r="FX156" s="699"/>
      <c r="FY156" s="699"/>
      <c r="FZ156" s="699"/>
    </row>
    <row r="157" spans="1:182" ht="11.25" customHeight="1" x14ac:dyDescent="0.25">
      <c r="A157" s="2810" t="s">
        <v>25</v>
      </c>
      <c r="B157" s="2811"/>
      <c r="C157" s="2811"/>
      <c r="D157" s="2816" t="s">
        <v>706</v>
      </c>
      <c r="E157" s="2817"/>
      <c r="F157" s="2810" t="s">
        <v>25</v>
      </c>
      <c r="G157" s="2811"/>
      <c r="H157" s="2811"/>
      <c r="I157" s="2816" t="s">
        <v>706</v>
      </c>
      <c r="J157" s="2817"/>
      <c r="K157" s="2810" t="s">
        <v>25</v>
      </c>
      <c r="L157" s="2811"/>
      <c r="M157" s="2811"/>
      <c r="N157" s="2816" t="s">
        <v>706</v>
      </c>
      <c r="O157" s="2817"/>
      <c r="P157" s="2810" t="s">
        <v>25</v>
      </c>
      <c r="Q157" s="2811"/>
      <c r="R157" s="2811"/>
      <c r="S157" s="2816" t="s">
        <v>706</v>
      </c>
      <c r="T157" s="2817"/>
      <c r="U157" s="2810" t="s">
        <v>25</v>
      </c>
      <c r="V157" s="2811"/>
      <c r="W157" s="2811"/>
      <c r="X157" s="2816" t="s">
        <v>706</v>
      </c>
      <c r="Y157" s="2817"/>
      <c r="Z157" s="2810" t="s">
        <v>25</v>
      </c>
      <c r="AA157" s="2811"/>
      <c r="AB157" s="2811"/>
      <c r="AC157" s="2816" t="s">
        <v>706</v>
      </c>
      <c r="AD157" s="2817"/>
      <c r="AE157" s="2810" t="s">
        <v>25</v>
      </c>
      <c r="AF157" s="2811"/>
      <c r="AG157" s="2811"/>
      <c r="AH157" s="2816" t="s">
        <v>706</v>
      </c>
      <c r="AI157" s="2817"/>
      <c r="AJ157" s="2810" t="s">
        <v>25</v>
      </c>
      <c r="AK157" s="2811"/>
      <c r="AL157" s="2811"/>
      <c r="AM157" s="2816" t="s">
        <v>706</v>
      </c>
      <c r="AN157" s="2817"/>
      <c r="AO157" s="2810" t="s">
        <v>25</v>
      </c>
      <c r="AP157" s="2811"/>
      <c r="AQ157" s="2811"/>
      <c r="AR157" s="2816" t="s">
        <v>706</v>
      </c>
      <c r="AS157" s="2817"/>
      <c r="AT157" s="2810" t="s">
        <v>25</v>
      </c>
      <c r="AU157" s="2811"/>
      <c r="AV157" s="2811"/>
      <c r="AW157" s="2816" t="s">
        <v>706</v>
      </c>
      <c r="AX157" s="2817"/>
      <c r="AY157" s="2810" t="s">
        <v>25</v>
      </c>
      <c r="AZ157" s="2811"/>
      <c r="BA157" s="2811"/>
      <c r="BB157" s="2816" t="s">
        <v>706</v>
      </c>
      <c r="BC157" s="2817"/>
      <c r="BD157" s="2810" t="s">
        <v>25</v>
      </c>
      <c r="BE157" s="2811"/>
      <c r="BF157" s="2811"/>
      <c r="BG157" s="2816" t="s">
        <v>706</v>
      </c>
      <c r="BH157" s="2817"/>
      <c r="BI157" s="2810" t="s">
        <v>25</v>
      </c>
      <c r="BJ157" s="2811"/>
      <c r="BK157" s="2811"/>
      <c r="BL157" s="2816" t="s">
        <v>706</v>
      </c>
      <c r="BM157" s="2817"/>
      <c r="BN157" s="2810" t="s">
        <v>25</v>
      </c>
      <c r="BO157" s="2811"/>
      <c r="BP157" s="2811"/>
      <c r="BQ157" s="2816" t="s">
        <v>706</v>
      </c>
      <c r="BR157" s="2817"/>
      <c r="BS157" s="2810" t="s">
        <v>25</v>
      </c>
      <c r="BT157" s="2811"/>
      <c r="BU157" s="2811"/>
      <c r="BV157" s="2816" t="s">
        <v>706</v>
      </c>
      <c r="BW157" s="2817"/>
      <c r="BX157" s="2810" t="s">
        <v>25</v>
      </c>
      <c r="BY157" s="2811"/>
      <c r="BZ157" s="2811"/>
      <c r="CA157" s="2816" t="s">
        <v>706</v>
      </c>
      <c r="CB157" s="2817"/>
    </row>
    <row r="158" spans="1:182" ht="11.25" customHeight="1" x14ac:dyDescent="0.25">
      <c r="A158" s="2812"/>
      <c r="B158" s="2813"/>
      <c r="C158" s="2813"/>
      <c r="D158" s="2818"/>
      <c r="E158" s="2819"/>
      <c r="F158" s="2812"/>
      <c r="G158" s="2813"/>
      <c r="H158" s="2813"/>
      <c r="I158" s="2818"/>
      <c r="J158" s="2819"/>
      <c r="K158" s="2812"/>
      <c r="L158" s="2813"/>
      <c r="M158" s="2813"/>
      <c r="N158" s="2818"/>
      <c r="O158" s="2819"/>
      <c r="P158" s="2812"/>
      <c r="Q158" s="2813"/>
      <c r="R158" s="2813"/>
      <c r="S158" s="2818"/>
      <c r="T158" s="2819"/>
      <c r="U158" s="2812"/>
      <c r="V158" s="2813"/>
      <c r="W158" s="2813"/>
      <c r="X158" s="2818"/>
      <c r="Y158" s="2819"/>
      <c r="Z158" s="2812"/>
      <c r="AA158" s="2813"/>
      <c r="AB158" s="2813"/>
      <c r="AC158" s="2818"/>
      <c r="AD158" s="2819"/>
      <c r="AE158" s="2812"/>
      <c r="AF158" s="2813"/>
      <c r="AG158" s="2813"/>
      <c r="AH158" s="2818"/>
      <c r="AI158" s="2819"/>
      <c r="AJ158" s="2812"/>
      <c r="AK158" s="2813"/>
      <c r="AL158" s="2813"/>
      <c r="AM158" s="2818"/>
      <c r="AN158" s="2819"/>
      <c r="AO158" s="2812"/>
      <c r="AP158" s="2813"/>
      <c r="AQ158" s="2813"/>
      <c r="AR158" s="2818"/>
      <c r="AS158" s="2819"/>
      <c r="AT158" s="2812"/>
      <c r="AU158" s="2813"/>
      <c r="AV158" s="2813"/>
      <c r="AW158" s="2818"/>
      <c r="AX158" s="2819"/>
      <c r="AY158" s="2812"/>
      <c r="AZ158" s="2813"/>
      <c r="BA158" s="2813"/>
      <c r="BB158" s="2818"/>
      <c r="BC158" s="2819"/>
      <c r="BD158" s="2812"/>
      <c r="BE158" s="2813"/>
      <c r="BF158" s="2813"/>
      <c r="BG158" s="2818"/>
      <c r="BH158" s="2819"/>
      <c r="BI158" s="2812"/>
      <c r="BJ158" s="2813"/>
      <c r="BK158" s="2813"/>
      <c r="BL158" s="2818"/>
      <c r="BM158" s="2819"/>
      <c r="BN158" s="2812"/>
      <c r="BO158" s="2813"/>
      <c r="BP158" s="2813"/>
      <c r="BQ158" s="2818"/>
      <c r="BR158" s="2819"/>
      <c r="BS158" s="2812"/>
      <c r="BT158" s="2813"/>
      <c r="BU158" s="2813"/>
      <c r="BV158" s="2818"/>
      <c r="BW158" s="2819"/>
      <c r="BX158" s="2812"/>
      <c r="BY158" s="2813"/>
      <c r="BZ158" s="2813"/>
      <c r="CA158" s="2818"/>
      <c r="CB158" s="2819"/>
    </row>
    <row r="159" spans="1:182" ht="11.25" customHeight="1" x14ac:dyDescent="0.25">
      <c r="A159" s="2814"/>
      <c r="B159" s="2815"/>
      <c r="C159" s="2815"/>
      <c r="D159" s="2820"/>
      <c r="E159" s="2821"/>
      <c r="F159" s="2814"/>
      <c r="G159" s="2815"/>
      <c r="H159" s="2815"/>
      <c r="I159" s="2820"/>
      <c r="J159" s="2821"/>
      <c r="K159" s="2814"/>
      <c r="L159" s="2815"/>
      <c r="M159" s="2815"/>
      <c r="N159" s="2820"/>
      <c r="O159" s="2821"/>
      <c r="P159" s="2814"/>
      <c r="Q159" s="2815"/>
      <c r="R159" s="2815"/>
      <c r="S159" s="2820"/>
      <c r="T159" s="2821"/>
      <c r="U159" s="2814"/>
      <c r="V159" s="2815"/>
      <c r="W159" s="2815"/>
      <c r="X159" s="2820"/>
      <c r="Y159" s="2821"/>
      <c r="Z159" s="2814"/>
      <c r="AA159" s="2815"/>
      <c r="AB159" s="2815"/>
      <c r="AC159" s="2820"/>
      <c r="AD159" s="2821"/>
      <c r="AE159" s="2814"/>
      <c r="AF159" s="2815"/>
      <c r="AG159" s="2815"/>
      <c r="AH159" s="2820"/>
      <c r="AI159" s="2821"/>
      <c r="AJ159" s="2814"/>
      <c r="AK159" s="2815"/>
      <c r="AL159" s="2815"/>
      <c r="AM159" s="2820"/>
      <c r="AN159" s="2821"/>
      <c r="AO159" s="2814"/>
      <c r="AP159" s="2815"/>
      <c r="AQ159" s="2815"/>
      <c r="AR159" s="2820"/>
      <c r="AS159" s="2821"/>
      <c r="AT159" s="2814"/>
      <c r="AU159" s="2815"/>
      <c r="AV159" s="2815"/>
      <c r="AW159" s="2820"/>
      <c r="AX159" s="2821"/>
      <c r="AY159" s="2814"/>
      <c r="AZ159" s="2815"/>
      <c r="BA159" s="2815"/>
      <c r="BB159" s="2820"/>
      <c r="BC159" s="2821"/>
      <c r="BD159" s="2814"/>
      <c r="BE159" s="2815"/>
      <c r="BF159" s="2815"/>
      <c r="BG159" s="2820"/>
      <c r="BH159" s="2821"/>
      <c r="BI159" s="2814"/>
      <c r="BJ159" s="2815"/>
      <c r="BK159" s="2815"/>
      <c r="BL159" s="2820"/>
      <c r="BM159" s="2821"/>
      <c r="BN159" s="2814"/>
      <c r="BO159" s="2815"/>
      <c r="BP159" s="2815"/>
      <c r="BQ159" s="2820"/>
      <c r="BR159" s="2821"/>
      <c r="BS159" s="2814"/>
      <c r="BT159" s="2815"/>
      <c r="BU159" s="2815"/>
      <c r="BV159" s="2820"/>
      <c r="BW159" s="2821"/>
      <c r="BX159" s="2814"/>
      <c r="BY159" s="2815"/>
      <c r="BZ159" s="2815"/>
      <c r="CA159" s="2820"/>
      <c r="CB159" s="2821"/>
    </row>
    <row r="160" spans="1:182" s="535" customFormat="1" ht="111.75" customHeight="1" x14ac:dyDescent="1.35">
      <c r="A160" s="2826" t="s">
        <v>722</v>
      </c>
      <c r="B160" s="2681">
        <v>355</v>
      </c>
      <c r="C160" s="2682"/>
      <c r="D160" s="2682"/>
      <c r="E160" s="2683"/>
      <c r="F160" s="2826" t="s">
        <v>722</v>
      </c>
      <c r="G160" s="2681">
        <v>356</v>
      </c>
      <c r="H160" s="2682"/>
      <c r="I160" s="2682"/>
      <c r="J160" s="2683"/>
      <c r="K160" s="2826" t="s">
        <v>722</v>
      </c>
      <c r="L160" s="2681">
        <v>357</v>
      </c>
      <c r="M160" s="2682"/>
      <c r="N160" s="2682"/>
      <c r="O160" s="2683"/>
      <c r="P160" s="2826" t="s">
        <v>722</v>
      </c>
      <c r="Q160" s="2681">
        <v>359</v>
      </c>
      <c r="R160" s="2682"/>
      <c r="S160" s="2682"/>
      <c r="T160" s="2683"/>
      <c r="U160" s="2826" t="s">
        <v>722</v>
      </c>
      <c r="V160" s="2681">
        <v>360</v>
      </c>
      <c r="W160" s="2682"/>
      <c r="X160" s="2682"/>
      <c r="Y160" s="2683"/>
      <c r="Z160" s="2826" t="s">
        <v>722</v>
      </c>
      <c r="AA160" s="2681">
        <v>361</v>
      </c>
      <c r="AB160" s="2682"/>
      <c r="AC160" s="2682"/>
      <c r="AD160" s="2683"/>
      <c r="AE160" s="2826" t="s">
        <v>722</v>
      </c>
      <c r="AF160" s="2681">
        <v>362</v>
      </c>
      <c r="AG160" s="2682"/>
      <c r="AH160" s="2682"/>
      <c r="AI160" s="2683"/>
      <c r="AJ160" s="2826" t="s">
        <v>722</v>
      </c>
      <c r="AK160" s="2681">
        <v>363</v>
      </c>
      <c r="AL160" s="2682"/>
      <c r="AM160" s="2682"/>
      <c r="AN160" s="2683"/>
      <c r="AO160" s="2826" t="s">
        <v>722</v>
      </c>
      <c r="AP160" s="2681">
        <v>364</v>
      </c>
      <c r="AQ160" s="2682"/>
      <c r="AR160" s="2682"/>
      <c r="AS160" s="2683"/>
      <c r="AT160" s="2826" t="s">
        <v>722</v>
      </c>
      <c r="AU160" s="2681">
        <v>365</v>
      </c>
      <c r="AV160" s="2682"/>
      <c r="AW160" s="2682"/>
      <c r="AX160" s="2683"/>
      <c r="AY160" s="2826" t="s">
        <v>722</v>
      </c>
      <c r="AZ160" s="2681">
        <v>366</v>
      </c>
      <c r="BA160" s="2682"/>
      <c r="BB160" s="2682"/>
      <c r="BC160" s="2683"/>
      <c r="BD160" s="2826" t="s">
        <v>722</v>
      </c>
      <c r="BE160" s="2681">
        <v>367</v>
      </c>
      <c r="BF160" s="2682"/>
      <c r="BG160" s="2682"/>
      <c r="BH160" s="2683"/>
      <c r="BI160" s="2826" t="s">
        <v>722</v>
      </c>
      <c r="BJ160" s="2681">
        <v>368</v>
      </c>
      <c r="BK160" s="2682"/>
      <c r="BL160" s="2682"/>
      <c r="BM160" s="2683"/>
      <c r="BN160" s="2826" t="s">
        <v>722</v>
      </c>
      <c r="BO160" s="2681">
        <v>369</v>
      </c>
      <c r="BP160" s="2682"/>
      <c r="BQ160" s="2682"/>
      <c r="BR160" s="2683"/>
      <c r="BS160" s="2826" t="s">
        <v>722</v>
      </c>
      <c r="BT160" s="2681">
        <v>370</v>
      </c>
      <c r="BU160" s="2682"/>
      <c r="BV160" s="2682"/>
      <c r="BW160" s="2683"/>
      <c r="BX160" s="2826" t="s">
        <v>722</v>
      </c>
      <c r="BY160" s="2681">
        <v>371</v>
      </c>
      <c r="BZ160" s="2682"/>
      <c r="CA160" s="2682"/>
      <c r="CB160" s="2683"/>
    </row>
    <row r="161" spans="1:80" ht="50.25" customHeight="1" thickBot="1" x14ac:dyDescent="0.3">
      <c r="A161" s="2827"/>
      <c r="B161" s="518"/>
      <c r="C161" s="519" t="s">
        <v>113</v>
      </c>
      <c r="D161" s="520"/>
      <c r="E161" s="523" t="s">
        <v>114</v>
      </c>
      <c r="F161" s="2827"/>
      <c r="G161" s="518"/>
      <c r="H161" s="519" t="s">
        <v>113</v>
      </c>
      <c r="I161" s="520"/>
      <c r="J161" s="523" t="s">
        <v>114</v>
      </c>
      <c r="K161" s="2827"/>
      <c r="L161" s="518"/>
      <c r="M161" s="519" t="s">
        <v>113</v>
      </c>
      <c r="N161" s="520"/>
      <c r="O161" s="523" t="s">
        <v>114</v>
      </c>
      <c r="P161" s="2827"/>
      <c r="Q161" s="518"/>
      <c r="R161" s="519" t="s">
        <v>113</v>
      </c>
      <c r="S161" s="520"/>
      <c r="T161" s="523" t="s">
        <v>114</v>
      </c>
      <c r="U161" s="2827"/>
      <c r="V161" s="518"/>
      <c r="W161" s="519" t="s">
        <v>113</v>
      </c>
      <c r="X161" s="520"/>
      <c r="Y161" s="523" t="s">
        <v>114</v>
      </c>
      <c r="Z161" s="2827"/>
      <c r="AA161" s="518"/>
      <c r="AB161" s="519" t="s">
        <v>113</v>
      </c>
      <c r="AC161" s="520"/>
      <c r="AD161" s="523" t="s">
        <v>114</v>
      </c>
      <c r="AE161" s="2827"/>
      <c r="AF161" s="518"/>
      <c r="AG161" s="519" t="s">
        <v>113</v>
      </c>
      <c r="AH161" s="520"/>
      <c r="AI161" s="523" t="s">
        <v>114</v>
      </c>
      <c r="AJ161" s="2827"/>
      <c r="AK161" s="518"/>
      <c r="AL161" s="519" t="s">
        <v>113</v>
      </c>
      <c r="AM161" s="520"/>
      <c r="AN161" s="523" t="s">
        <v>114</v>
      </c>
      <c r="AO161" s="2827"/>
      <c r="AP161" s="518"/>
      <c r="AQ161" s="519" t="s">
        <v>113</v>
      </c>
      <c r="AR161" s="520"/>
      <c r="AS161" s="523" t="s">
        <v>114</v>
      </c>
      <c r="AT161" s="2827"/>
      <c r="AU161" s="518"/>
      <c r="AV161" s="519" t="s">
        <v>113</v>
      </c>
      <c r="AW161" s="520"/>
      <c r="AX161" s="523" t="s">
        <v>114</v>
      </c>
      <c r="AY161" s="2827"/>
      <c r="AZ161" s="518"/>
      <c r="BA161" s="519" t="s">
        <v>113</v>
      </c>
      <c r="BB161" s="520"/>
      <c r="BC161" s="523" t="s">
        <v>114</v>
      </c>
      <c r="BD161" s="2827"/>
      <c r="BE161" s="518"/>
      <c r="BF161" s="519" t="s">
        <v>113</v>
      </c>
      <c r="BG161" s="520"/>
      <c r="BH161" s="523" t="s">
        <v>114</v>
      </c>
      <c r="BI161" s="2827"/>
      <c r="BJ161" s="518"/>
      <c r="BK161" s="519" t="s">
        <v>113</v>
      </c>
      <c r="BL161" s="520"/>
      <c r="BM161" s="523" t="s">
        <v>114</v>
      </c>
      <c r="BN161" s="2827"/>
      <c r="BO161" s="518"/>
      <c r="BP161" s="519" t="s">
        <v>113</v>
      </c>
      <c r="BQ161" s="520"/>
      <c r="BR161" s="523" t="s">
        <v>114</v>
      </c>
      <c r="BS161" s="2827"/>
      <c r="BT161" s="518"/>
      <c r="BU161" s="519" t="s">
        <v>113</v>
      </c>
      <c r="BV161" s="520"/>
      <c r="BW161" s="523" t="s">
        <v>114</v>
      </c>
      <c r="BX161" s="2827"/>
      <c r="BY161" s="518"/>
      <c r="BZ161" s="519" t="s">
        <v>113</v>
      </c>
      <c r="CA161" s="520"/>
      <c r="CB161" s="523" t="s">
        <v>114</v>
      </c>
    </row>
    <row r="162" spans="1:80" ht="57" customHeight="1" thickTop="1" x14ac:dyDescent="0.25">
      <c r="A162" s="2822" t="s">
        <v>110</v>
      </c>
      <c r="B162" s="2823"/>
      <c r="C162" s="2824">
        <f>B167/((36*3.1415/59)*(69/3.281))</f>
        <v>0</v>
      </c>
      <c r="D162" s="2824"/>
      <c r="E162" s="2825"/>
      <c r="F162" s="2808" t="s">
        <v>110</v>
      </c>
      <c r="G162" s="2809"/>
      <c r="H162" s="2806">
        <f>G167/((36*3.1415/59)*(70/3.281))</f>
        <v>2.4452351899431321E-10</v>
      </c>
      <c r="I162" s="2806"/>
      <c r="J162" s="2807"/>
      <c r="K162" s="2808" t="s">
        <v>110</v>
      </c>
      <c r="L162" s="2809"/>
      <c r="M162" s="2806">
        <f t="shared" ref="M162" si="371">L167/((36*3.1415/59)*(70/3.281))</f>
        <v>2.9812307435786667E-2</v>
      </c>
      <c r="N162" s="2806"/>
      <c r="O162" s="2807"/>
      <c r="P162" s="2808" t="s">
        <v>110</v>
      </c>
      <c r="Q162" s="2809"/>
      <c r="R162" s="2806">
        <f t="shared" ref="R162" si="372">Q167/((36*3.1415/59)*(70/3.281))</f>
        <v>0</v>
      </c>
      <c r="S162" s="2806"/>
      <c r="T162" s="2807"/>
      <c r="U162" s="2808" t="s">
        <v>110</v>
      </c>
      <c r="V162" s="2809"/>
      <c r="W162" s="2806">
        <f t="shared" ref="W162" si="373">V167/((36*3.1415/59)*(70/3.281))</f>
        <v>2.4452351899431323E-12</v>
      </c>
      <c r="X162" s="2806"/>
      <c r="Y162" s="2807"/>
      <c r="Z162" s="2808" t="s">
        <v>110</v>
      </c>
      <c r="AA162" s="2809"/>
      <c r="AB162" s="2806">
        <f t="shared" ref="AB162" si="374">AA167/((36*3.1415/59)*(70/3.281))</f>
        <v>2.4452351899431322E-14</v>
      </c>
      <c r="AC162" s="2806"/>
      <c r="AD162" s="2807"/>
      <c r="AE162" s="2808" t="s">
        <v>110</v>
      </c>
      <c r="AF162" s="2809"/>
      <c r="AG162" s="2806">
        <f t="shared" ref="AG162" si="375">AF167/((36*3.1415/59)*(70/3.281))</f>
        <v>0</v>
      </c>
      <c r="AH162" s="2806"/>
      <c r="AI162" s="2807"/>
      <c r="AJ162" s="2808" t="s">
        <v>110</v>
      </c>
      <c r="AK162" s="2809"/>
      <c r="AL162" s="2806">
        <f t="shared" ref="AL162" si="376">AK167/((36*3.1415/59)*(70/3.281))</f>
        <v>0</v>
      </c>
      <c r="AM162" s="2806"/>
      <c r="AN162" s="2807"/>
      <c r="AO162" s="2808" t="s">
        <v>110</v>
      </c>
      <c r="AP162" s="2809"/>
      <c r="AQ162" s="2806">
        <f t="shared" ref="AQ162" si="377">AP167/((36*3.1415/59)*(70/3.281))</f>
        <v>2.4452351899431319E-13</v>
      </c>
      <c r="AR162" s="2806"/>
      <c r="AS162" s="2807"/>
      <c r="AT162" s="2808" t="s">
        <v>110</v>
      </c>
      <c r="AU162" s="2809"/>
      <c r="AV162" s="2806">
        <f t="shared" ref="AV162" si="378">AU167/((36*3.1415/59)*(70/3.281))</f>
        <v>0</v>
      </c>
      <c r="AW162" s="2806"/>
      <c r="AX162" s="2807"/>
      <c r="AY162" s="2808" t="s">
        <v>110</v>
      </c>
      <c r="AZ162" s="2809"/>
      <c r="BA162" s="2806">
        <f t="shared" ref="BA162" si="379">AZ167/((36*3.1415/59)*(70/3.281))</f>
        <v>0</v>
      </c>
      <c r="BB162" s="2806"/>
      <c r="BC162" s="2807"/>
      <c r="BD162" s="2808" t="s">
        <v>110</v>
      </c>
      <c r="BE162" s="2809"/>
      <c r="BF162" s="2806">
        <f t="shared" ref="BF162" si="380">BE167/((36*3.1415/59)*(70/3.281))</f>
        <v>7.4530768589466667E-3</v>
      </c>
      <c r="BG162" s="2806"/>
      <c r="BH162" s="2807"/>
      <c r="BI162" s="2808" t="s">
        <v>110</v>
      </c>
      <c r="BJ162" s="2809"/>
      <c r="BK162" s="2806">
        <f t="shared" ref="BK162" si="381">BJ167/((36*3.1415/59)*(70/3.281))</f>
        <v>2.4452351899431319E-13</v>
      </c>
      <c r="BL162" s="2806"/>
      <c r="BM162" s="2807"/>
      <c r="BN162" s="2808" t="s">
        <v>110</v>
      </c>
      <c r="BO162" s="2809"/>
      <c r="BP162" s="2806">
        <f t="shared" ref="BP162" si="382">BO167/((36*3.1415/59)*(70/3.281))</f>
        <v>0</v>
      </c>
      <c r="BQ162" s="2806"/>
      <c r="BR162" s="2807"/>
      <c r="BS162" s="2808" t="s">
        <v>110</v>
      </c>
      <c r="BT162" s="2809"/>
      <c r="BU162" s="2806">
        <f t="shared" ref="BU162" si="383">BT167/((36*3.1415/59)*(70/3.281))</f>
        <v>0</v>
      </c>
      <c r="BV162" s="2806"/>
      <c r="BW162" s="2807"/>
      <c r="BX162" s="2808" t="s">
        <v>110</v>
      </c>
      <c r="BY162" s="2809"/>
      <c r="BZ162" s="2806">
        <f t="shared" ref="BZ162" si="384">BY167/((36*3.1415/59)*(70/3.281))</f>
        <v>0</v>
      </c>
      <c r="CA162" s="2806"/>
      <c r="CB162" s="2807"/>
    </row>
    <row r="163" spans="1:80" ht="11.25" customHeight="1" x14ac:dyDescent="0.25">
      <c r="A163" s="2810" t="s">
        <v>25</v>
      </c>
      <c r="B163" s="2811"/>
      <c r="C163" s="2811"/>
      <c r="D163" s="2816" t="s">
        <v>706</v>
      </c>
      <c r="E163" s="2817"/>
      <c r="F163" s="2792" t="s">
        <v>25</v>
      </c>
      <c r="G163" s="2793"/>
      <c r="H163" s="2793"/>
      <c r="I163" s="2696" t="s">
        <v>706</v>
      </c>
      <c r="J163" s="2697"/>
      <c r="K163" s="2792" t="s">
        <v>25</v>
      </c>
      <c r="L163" s="2793"/>
      <c r="M163" s="2793"/>
      <c r="N163" s="2798" t="s">
        <v>706</v>
      </c>
      <c r="O163" s="2799"/>
      <c r="P163" s="2792" t="s">
        <v>25</v>
      </c>
      <c r="Q163" s="2793"/>
      <c r="R163" s="2793"/>
      <c r="S163" s="2798" t="s">
        <v>706</v>
      </c>
      <c r="T163" s="2799"/>
      <c r="U163" s="2792" t="s">
        <v>25</v>
      </c>
      <c r="V163" s="2793"/>
      <c r="W163" s="2793"/>
      <c r="X163" s="2798" t="s">
        <v>706</v>
      </c>
      <c r="Y163" s="2799"/>
      <c r="Z163" s="2792" t="s">
        <v>25</v>
      </c>
      <c r="AA163" s="2793"/>
      <c r="AB163" s="2793"/>
      <c r="AC163" s="2696" t="s">
        <v>706</v>
      </c>
      <c r="AD163" s="2697"/>
      <c r="AE163" s="2792" t="s">
        <v>25</v>
      </c>
      <c r="AF163" s="2793"/>
      <c r="AG163" s="2793"/>
      <c r="AH163" s="2798" t="s">
        <v>706</v>
      </c>
      <c r="AI163" s="2799"/>
      <c r="AJ163" s="2792" t="s">
        <v>25</v>
      </c>
      <c r="AK163" s="2793"/>
      <c r="AL163" s="2793"/>
      <c r="AM163" s="2798" t="s">
        <v>706</v>
      </c>
      <c r="AN163" s="2799"/>
      <c r="AO163" s="2792" t="s">
        <v>25</v>
      </c>
      <c r="AP163" s="2793"/>
      <c r="AQ163" s="2793"/>
      <c r="AR163" s="2798" t="s">
        <v>706</v>
      </c>
      <c r="AS163" s="2799"/>
      <c r="AT163" s="2792" t="s">
        <v>25</v>
      </c>
      <c r="AU163" s="2793"/>
      <c r="AV163" s="2793"/>
      <c r="AW163" s="2798" t="s">
        <v>706</v>
      </c>
      <c r="AX163" s="2799"/>
      <c r="AY163" s="2792" t="s">
        <v>25</v>
      </c>
      <c r="AZ163" s="2793"/>
      <c r="BA163" s="2793"/>
      <c r="BB163" s="2798" t="s">
        <v>706</v>
      </c>
      <c r="BC163" s="2799"/>
      <c r="BD163" s="2792" t="s">
        <v>25</v>
      </c>
      <c r="BE163" s="2793"/>
      <c r="BF163" s="2793"/>
      <c r="BG163" s="2798" t="s">
        <v>706</v>
      </c>
      <c r="BH163" s="2799"/>
      <c r="BI163" s="2792" t="s">
        <v>25</v>
      </c>
      <c r="BJ163" s="2793"/>
      <c r="BK163" s="2793"/>
      <c r="BL163" s="2798" t="s">
        <v>706</v>
      </c>
      <c r="BM163" s="2799"/>
      <c r="BN163" s="2792" t="s">
        <v>25</v>
      </c>
      <c r="BO163" s="2793"/>
      <c r="BP163" s="2793"/>
      <c r="BQ163" s="2798" t="s">
        <v>706</v>
      </c>
      <c r="BR163" s="2799"/>
      <c r="BS163" s="2792" t="s">
        <v>25</v>
      </c>
      <c r="BT163" s="2793"/>
      <c r="BU163" s="2793"/>
      <c r="BV163" s="2798" t="s">
        <v>706</v>
      </c>
      <c r="BW163" s="2799"/>
      <c r="BX163" s="2792" t="s">
        <v>25</v>
      </c>
      <c r="BY163" s="2793"/>
      <c r="BZ163" s="2793"/>
      <c r="CA163" s="2798" t="s">
        <v>706</v>
      </c>
      <c r="CB163" s="2799"/>
    </row>
    <row r="164" spans="1:80" ht="11.25" customHeight="1" x14ac:dyDescent="0.25">
      <c r="A164" s="2812"/>
      <c r="B164" s="2813"/>
      <c r="C164" s="2813"/>
      <c r="D164" s="2818"/>
      <c r="E164" s="2819"/>
      <c r="F164" s="2794"/>
      <c r="G164" s="2795"/>
      <c r="H164" s="2795"/>
      <c r="I164" s="2698"/>
      <c r="J164" s="2699"/>
      <c r="K164" s="2794"/>
      <c r="L164" s="2795"/>
      <c r="M164" s="2795"/>
      <c r="N164" s="2800"/>
      <c r="O164" s="2801"/>
      <c r="P164" s="2794"/>
      <c r="Q164" s="2795"/>
      <c r="R164" s="2795"/>
      <c r="S164" s="2800"/>
      <c r="T164" s="2801"/>
      <c r="U164" s="2794"/>
      <c r="V164" s="2795"/>
      <c r="W164" s="2795"/>
      <c r="X164" s="2800"/>
      <c r="Y164" s="2801"/>
      <c r="Z164" s="2794"/>
      <c r="AA164" s="2795"/>
      <c r="AB164" s="2795"/>
      <c r="AC164" s="2698"/>
      <c r="AD164" s="2699"/>
      <c r="AE164" s="2794"/>
      <c r="AF164" s="2795"/>
      <c r="AG164" s="2795"/>
      <c r="AH164" s="2800"/>
      <c r="AI164" s="2801"/>
      <c r="AJ164" s="2794"/>
      <c r="AK164" s="2795"/>
      <c r="AL164" s="2795"/>
      <c r="AM164" s="2800"/>
      <c r="AN164" s="2801"/>
      <c r="AO164" s="2794"/>
      <c r="AP164" s="2795"/>
      <c r="AQ164" s="2795"/>
      <c r="AR164" s="2800"/>
      <c r="AS164" s="2801"/>
      <c r="AT164" s="2794"/>
      <c r="AU164" s="2795"/>
      <c r="AV164" s="2795"/>
      <c r="AW164" s="2800"/>
      <c r="AX164" s="2801"/>
      <c r="AY164" s="2794"/>
      <c r="AZ164" s="2795"/>
      <c r="BA164" s="2795"/>
      <c r="BB164" s="2800"/>
      <c r="BC164" s="2801"/>
      <c r="BD164" s="2794"/>
      <c r="BE164" s="2795"/>
      <c r="BF164" s="2795"/>
      <c r="BG164" s="2800"/>
      <c r="BH164" s="2801"/>
      <c r="BI164" s="2794"/>
      <c r="BJ164" s="2795"/>
      <c r="BK164" s="2795"/>
      <c r="BL164" s="2800"/>
      <c r="BM164" s="2801"/>
      <c r="BN164" s="2794"/>
      <c r="BO164" s="2795"/>
      <c r="BP164" s="2795"/>
      <c r="BQ164" s="2800"/>
      <c r="BR164" s="2801"/>
      <c r="BS164" s="2794"/>
      <c r="BT164" s="2795"/>
      <c r="BU164" s="2795"/>
      <c r="BV164" s="2800"/>
      <c r="BW164" s="2801"/>
      <c r="BX164" s="2794"/>
      <c r="BY164" s="2795"/>
      <c r="BZ164" s="2795"/>
      <c r="CA164" s="2800"/>
      <c r="CB164" s="2801"/>
    </row>
    <row r="165" spans="1:80" ht="11.25" customHeight="1" x14ac:dyDescent="0.25">
      <c r="A165" s="2814"/>
      <c r="B165" s="2815"/>
      <c r="C165" s="2815"/>
      <c r="D165" s="2820"/>
      <c r="E165" s="2821"/>
      <c r="F165" s="2796"/>
      <c r="G165" s="2797"/>
      <c r="H165" s="2797"/>
      <c r="I165" s="2700"/>
      <c r="J165" s="2701"/>
      <c r="K165" s="2796"/>
      <c r="L165" s="2797"/>
      <c r="M165" s="2797"/>
      <c r="N165" s="2802"/>
      <c r="O165" s="2803"/>
      <c r="P165" s="2796"/>
      <c r="Q165" s="2797"/>
      <c r="R165" s="2797"/>
      <c r="S165" s="2802"/>
      <c r="T165" s="2803"/>
      <c r="U165" s="2796"/>
      <c r="V165" s="2797"/>
      <c r="W165" s="2797"/>
      <c r="X165" s="2802"/>
      <c r="Y165" s="2803"/>
      <c r="Z165" s="2796"/>
      <c r="AA165" s="2797"/>
      <c r="AB165" s="2797"/>
      <c r="AC165" s="2700"/>
      <c r="AD165" s="2701"/>
      <c r="AE165" s="2796"/>
      <c r="AF165" s="2797"/>
      <c r="AG165" s="2797"/>
      <c r="AH165" s="2802"/>
      <c r="AI165" s="2803"/>
      <c r="AJ165" s="2796"/>
      <c r="AK165" s="2797"/>
      <c r="AL165" s="2797"/>
      <c r="AM165" s="2802"/>
      <c r="AN165" s="2803"/>
      <c r="AO165" s="2796"/>
      <c r="AP165" s="2797"/>
      <c r="AQ165" s="2797"/>
      <c r="AR165" s="2802"/>
      <c r="AS165" s="2803"/>
      <c r="AT165" s="2796"/>
      <c r="AU165" s="2797"/>
      <c r="AV165" s="2797"/>
      <c r="AW165" s="2802"/>
      <c r="AX165" s="2803"/>
      <c r="AY165" s="2796"/>
      <c r="AZ165" s="2797"/>
      <c r="BA165" s="2797"/>
      <c r="BB165" s="2802"/>
      <c r="BC165" s="2803"/>
      <c r="BD165" s="2796"/>
      <c r="BE165" s="2797"/>
      <c r="BF165" s="2797"/>
      <c r="BG165" s="2802"/>
      <c r="BH165" s="2803"/>
      <c r="BI165" s="2796"/>
      <c r="BJ165" s="2797"/>
      <c r="BK165" s="2797"/>
      <c r="BL165" s="2802"/>
      <c r="BM165" s="2803"/>
      <c r="BN165" s="2796"/>
      <c r="BO165" s="2797"/>
      <c r="BP165" s="2797"/>
      <c r="BQ165" s="2802"/>
      <c r="BR165" s="2803"/>
      <c r="BS165" s="2796"/>
      <c r="BT165" s="2797"/>
      <c r="BU165" s="2797"/>
      <c r="BV165" s="2802"/>
      <c r="BW165" s="2803"/>
      <c r="BX165" s="2796"/>
      <c r="BY165" s="2797"/>
      <c r="BZ165" s="2797"/>
      <c r="CA165" s="2802"/>
      <c r="CB165" s="2803"/>
    </row>
    <row r="166" spans="1:80" s="535" customFormat="1" ht="111.75" customHeight="1" x14ac:dyDescent="1.35">
      <c r="A166" s="2826" t="s">
        <v>722</v>
      </c>
      <c r="B166" s="2681"/>
      <c r="C166" s="2682"/>
      <c r="D166" s="2682"/>
      <c r="E166" s="2683"/>
      <c r="F166" s="2804" t="s">
        <v>137</v>
      </c>
      <c r="G166" s="2828">
        <v>275</v>
      </c>
      <c r="H166" s="2829"/>
      <c r="I166" s="2829"/>
      <c r="J166" s="2830"/>
      <c r="K166" s="2804" t="s">
        <v>137</v>
      </c>
      <c r="L166" s="2828">
        <v>276</v>
      </c>
      <c r="M166" s="2829"/>
      <c r="N166" s="2829"/>
      <c r="O166" s="2830"/>
      <c r="P166" s="2804" t="s">
        <v>137</v>
      </c>
      <c r="Q166" s="2681">
        <v>277</v>
      </c>
      <c r="R166" s="2682"/>
      <c r="S166" s="2682"/>
      <c r="T166" s="2683"/>
      <c r="U166" s="2804" t="s">
        <v>137</v>
      </c>
      <c r="V166" s="2828">
        <v>278</v>
      </c>
      <c r="W166" s="2829"/>
      <c r="X166" s="2829"/>
      <c r="Y166" s="2830"/>
      <c r="Z166" s="2804" t="s">
        <v>137</v>
      </c>
      <c r="AA166" s="2828">
        <v>279</v>
      </c>
      <c r="AB166" s="2829"/>
      <c r="AC166" s="2829"/>
      <c r="AD166" s="2830"/>
      <c r="AE166" s="2804" t="s">
        <v>137</v>
      </c>
      <c r="AF166" s="2681">
        <v>280</v>
      </c>
      <c r="AG166" s="2682"/>
      <c r="AH166" s="2682"/>
      <c r="AI166" s="2683"/>
      <c r="AJ166" s="2804" t="s">
        <v>137</v>
      </c>
      <c r="AK166" s="2681">
        <v>281</v>
      </c>
      <c r="AL166" s="2682"/>
      <c r="AM166" s="2682"/>
      <c r="AN166" s="2683"/>
      <c r="AO166" s="2804" t="s">
        <v>137</v>
      </c>
      <c r="AP166" s="2828">
        <v>282</v>
      </c>
      <c r="AQ166" s="2829"/>
      <c r="AR166" s="2829"/>
      <c r="AS166" s="2830"/>
      <c r="AT166" s="2804" t="s">
        <v>137</v>
      </c>
      <c r="AU166" s="2681">
        <v>283</v>
      </c>
      <c r="AV166" s="2682"/>
      <c r="AW166" s="2682"/>
      <c r="AX166" s="2683"/>
      <c r="AY166" s="2804" t="s">
        <v>137</v>
      </c>
      <c r="AZ166" s="2681">
        <v>284</v>
      </c>
      <c r="BA166" s="2682"/>
      <c r="BB166" s="2682"/>
      <c r="BC166" s="2683"/>
      <c r="BD166" s="2804" t="s">
        <v>137</v>
      </c>
      <c r="BE166" s="2828">
        <v>285</v>
      </c>
      <c r="BF166" s="2829"/>
      <c r="BG166" s="2829"/>
      <c r="BH166" s="2830"/>
      <c r="BI166" s="2804" t="s">
        <v>137</v>
      </c>
      <c r="BJ166" s="2828">
        <v>286</v>
      </c>
      <c r="BK166" s="2829"/>
      <c r="BL166" s="2829"/>
      <c r="BM166" s="2830"/>
      <c r="BN166" s="2804" t="s">
        <v>137</v>
      </c>
      <c r="BO166" s="2681">
        <v>287</v>
      </c>
      <c r="BP166" s="2682"/>
      <c r="BQ166" s="2682"/>
      <c r="BR166" s="2683"/>
      <c r="BS166" s="2804" t="s">
        <v>137</v>
      </c>
      <c r="BT166" s="2681">
        <v>288</v>
      </c>
      <c r="BU166" s="2682"/>
      <c r="BV166" s="2682"/>
      <c r="BW166" s="2683"/>
      <c r="BX166" s="2804" t="s">
        <v>137</v>
      </c>
      <c r="BY166" s="2681">
        <v>289</v>
      </c>
      <c r="BZ166" s="2682"/>
      <c r="CA166" s="2682"/>
      <c r="CB166" s="2683"/>
    </row>
    <row r="167" spans="1:80" ht="50.25" customHeight="1" thickBot="1" x14ac:dyDescent="0.3">
      <c r="A167" s="2827"/>
      <c r="B167" s="518"/>
      <c r="C167" s="519" t="s">
        <v>113</v>
      </c>
      <c r="D167" s="520"/>
      <c r="E167" s="523" t="s">
        <v>114</v>
      </c>
      <c r="F167" s="2805"/>
      <c r="G167" s="518">
        <v>1E-8</v>
      </c>
      <c r="H167" s="519" t="s">
        <v>113</v>
      </c>
      <c r="I167" s="520"/>
      <c r="J167" s="523" t="s">
        <v>114</v>
      </c>
      <c r="K167" s="2805"/>
      <c r="L167" s="518">
        <v>1.2192000000000001</v>
      </c>
      <c r="M167" s="519" t="s">
        <v>113</v>
      </c>
      <c r="N167" s="520"/>
      <c r="O167" s="523" t="s">
        <v>114</v>
      </c>
      <c r="P167" s="2805"/>
      <c r="Q167" s="518"/>
      <c r="R167" s="519" t="s">
        <v>113</v>
      </c>
      <c r="S167" s="520"/>
      <c r="T167" s="523" t="s">
        <v>114</v>
      </c>
      <c r="U167" s="2805"/>
      <c r="V167" s="518">
        <v>1E-10</v>
      </c>
      <c r="W167" s="519" t="s">
        <v>113</v>
      </c>
      <c r="X167" s="520"/>
      <c r="Y167" s="523" t="s">
        <v>114</v>
      </c>
      <c r="Z167" s="2805"/>
      <c r="AA167" s="518">
        <v>9.9999999999999998E-13</v>
      </c>
      <c r="AB167" s="519" t="s">
        <v>113</v>
      </c>
      <c r="AC167" s="520"/>
      <c r="AD167" s="523" t="s">
        <v>114</v>
      </c>
      <c r="AE167" s="2805"/>
      <c r="AF167" s="518"/>
      <c r="AG167" s="519" t="s">
        <v>113</v>
      </c>
      <c r="AH167" s="520"/>
      <c r="AI167" s="523" t="s">
        <v>114</v>
      </c>
      <c r="AJ167" s="2805"/>
      <c r="AK167" s="518"/>
      <c r="AL167" s="519" t="s">
        <v>113</v>
      </c>
      <c r="AM167" s="520"/>
      <c r="AN167" s="523" t="s">
        <v>114</v>
      </c>
      <c r="AO167" s="2805"/>
      <c r="AP167" s="518">
        <v>9.9999999999999994E-12</v>
      </c>
      <c r="AQ167" s="519" t="s">
        <v>113</v>
      </c>
      <c r="AR167" s="520"/>
      <c r="AS167" s="523" t="s">
        <v>114</v>
      </c>
      <c r="AT167" s="2805"/>
      <c r="AU167" s="518"/>
      <c r="AV167" s="519" t="s">
        <v>113</v>
      </c>
      <c r="AW167" s="520"/>
      <c r="AX167" s="523" t="s">
        <v>114</v>
      </c>
      <c r="AY167" s="2805"/>
      <c r="AZ167" s="518"/>
      <c r="BA167" s="519" t="s">
        <v>113</v>
      </c>
      <c r="BB167" s="520"/>
      <c r="BC167" s="523" t="s">
        <v>114</v>
      </c>
      <c r="BD167" s="2805"/>
      <c r="BE167" s="518">
        <v>0.30480000000000002</v>
      </c>
      <c r="BF167" s="519" t="s">
        <v>113</v>
      </c>
      <c r="BG167" s="520"/>
      <c r="BH167" s="523" t="s">
        <v>114</v>
      </c>
      <c r="BI167" s="2805"/>
      <c r="BJ167" s="518">
        <v>9.9999999999999994E-12</v>
      </c>
      <c r="BK167" s="519" t="s">
        <v>113</v>
      </c>
      <c r="BL167" s="520"/>
      <c r="BM167" s="523" t="s">
        <v>114</v>
      </c>
      <c r="BN167" s="2805"/>
      <c r="BO167" s="518"/>
      <c r="BP167" s="519" t="s">
        <v>113</v>
      </c>
      <c r="BQ167" s="520"/>
      <c r="BR167" s="523" t="s">
        <v>114</v>
      </c>
      <c r="BS167" s="2805"/>
      <c r="BT167" s="518"/>
      <c r="BU167" s="519" t="s">
        <v>113</v>
      </c>
      <c r="BV167" s="520"/>
      <c r="BW167" s="523" t="s">
        <v>114</v>
      </c>
      <c r="BX167" s="2805"/>
      <c r="BY167" s="518"/>
      <c r="BZ167" s="519" t="s">
        <v>113</v>
      </c>
      <c r="CA167" s="520"/>
      <c r="CB167" s="523" t="s">
        <v>114</v>
      </c>
    </row>
    <row r="168" spans="1:80" ht="57" customHeight="1" thickTop="1" x14ac:dyDescent="0.25">
      <c r="A168" s="2808" t="s">
        <v>110</v>
      </c>
      <c r="B168" s="2809"/>
      <c r="C168" s="2806">
        <f t="shared" ref="C168" si="385">B173/((36*3.1415/59)*(70/3.281))</f>
        <v>0</v>
      </c>
      <c r="D168" s="2806"/>
      <c r="E168" s="2807"/>
      <c r="F168" s="2808" t="s">
        <v>110</v>
      </c>
      <c r="G168" s="2809"/>
      <c r="H168" s="2806">
        <f t="shared" ref="H168" si="386">G173/((36*3.1415/59)*(70/3.281))</f>
        <v>0</v>
      </c>
      <c r="I168" s="2806"/>
      <c r="J168" s="2807"/>
      <c r="K168" s="2808" t="s">
        <v>110</v>
      </c>
      <c r="L168" s="2809"/>
      <c r="M168" s="2806">
        <f t="shared" ref="M168" si="387">L173/((36*3.1415/59)*(70/3.281))</f>
        <v>0</v>
      </c>
      <c r="N168" s="2806"/>
      <c r="O168" s="2807"/>
      <c r="P168" s="2808" t="s">
        <v>110</v>
      </c>
      <c r="Q168" s="2809"/>
      <c r="R168" s="2806">
        <f t="shared" ref="R168" si="388">Q173/((36*3.1415/59)*(70/3.281))</f>
        <v>0</v>
      </c>
      <c r="S168" s="2806"/>
      <c r="T168" s="2807"/>
      <c r="U168" s="2808" t="s">
        <v>110</v>
      </c>
      <c r="V168" s="2809"/>
      <c r="W168" s="2806">
        <f t="shared" ref="W168" si="389">V173/((36*3.1415/59)*(70/3.281))</f>
        <v>0</v>
      </c>
      <c r="X168" s="2806"/>
      <c r="Y168" s="2807"/>
      <c r="Z168" s="2808" t="s">
        <v>110</v>
      </c>
      <c r="AA168" s="2809"/>
      <c r="AB168" s="2806">
        <f t="shared" ref="AB168" si="390">AA173/((36*3.1415/59)*(70/3.281))</f>
        <v>0</v>
      </c>
      <c r="AC168" s="2806"/>
      <c r="AD168" s="2807"/>
      <c r="AE168" s="2808" t="s">
        <v>110</v>
      </c>
      <c r="AF168" s="2809"/>
      <c r="AG168" s="2806">
        <f t="shared" ref="AG168" si="391">AF173/((36*3.1415/59)*(70/3.281))</f>
        <v>0</v>
      </c>
      <c r="AH168" s="2806"/>
      <c r="AI168" s="2807"/>
      <c r="AJ168" s="2808" t="s">
        <v>110</v>
      </c>
      <c r="AK168" s="2809"/>
      <c r="AL168" s="2806">
        <f t="shared" ref="AL168" si="392">AK173/((36*3.1415/59)*(70/3.281))</f>
        <v>0</v>
      </c>
      <c r="AM168" s="2806"/>
      <c r="AN168" s="2807"/>
      <c r="AO168" s="2808" t="s">
        <v>110</v>
      </c>
      <c r="AP168" s="2809"/>
      <c r="AQ168" s="2806">
        <f t="shared" ref="AQ168" si="393">AP173/((36*3.1415/59)*(70/3.281))</f>
        <v>0</v>
      </c>
      <c r="AR168" s="2806"/>
      <c r="AS168" s="2807"/>
      <c r="AT168" s="2808" t="s">
        <v>110</v>
      </c>
      <c r="AU168" s="2809"/>
      <c r="AV168" s="2806">
        <f t="shared" ref="AV168" si="394">AU173/((36*3.1415/59)*(70/3.281))</f>
        <v>0</v>
      </c>
      <c r="AW168" s="2806"/>
      <c r="AX168" s="2807"/>
      <c r="AY168" s="2808" t="s">
        <v>110</v>
      </c>
      <c r="AZ168" s="2809"/>
      <c r="BA168" s="2806">
        <f t="shared" ref="BA168" si="395">AZ173/((36*3.1415/59)*(70/3.281))</f>
        <v>2.4452351899431321E-20</v>
      </c>
      <c r="BB168" s="2806"/>
      <c r="BC168" s="2807"/>
      <c r="BD168" s="2808" t="s">
        <v>110</v>
      </c>
      <c r="BE168" s="2809"/>
      <c r="BF168" s="2806">
        <f t="shared" ref="BF168" si="396">BE173/((36*3.1415/59)*(70/3.281))</f>
        <v>0</v>
      </c>
      <c r="BG168" s="2806"/>
      <c r="BH168" s="2807"/>
      <c r="BI168" s="2808" t="s">
        <v>110</v>
      </c>
      <c r="BJ168" s="2809"/>
      <c r="BK168" s="2806">
        <f t="shared" ref="BK168" si="397">BJ173/((36*3.1415/59)*(70/3.281))</f>
        <v>0</v>
      </c>
      <c r="BL168" s="2806"/>
      <c r="BM168" s="2807"/>
      <c r="BN168" s="2808" t="s">
        <v>110</v>
      </c>
      <c r="BO168" s="2809"/>
      <c r="BP168" s="2806">
        <f t="shared" ref="BP168" si="398">BO173/((36*3.1415/59)*(70/3.281))</f>
        <v>0</v>
      </c>
      <c r="BQ168" s="2806"/>
      <c r="BR168" s="2807"/>
      <c r="BS168" s="2808" t="s">
        <v>110</v>
      </c>
      <c r="BT168" s="2809"/>
      <c r="BU168" s="2806">
        <f t="shared" ref="BU168" si="399">BT173/((36*3.1415/59)*(70/3.281))</f>
        <v>0</v>
      </c>
      <c r="BV168" s="2806"/>
      <c r="BW168" s="2807"/>
      <c r="BX168" s="2808" t="s">
        <v>110</v>
      </c>
      <c r="BY168" s="2809"/>
      <c r="BZ168" s="2806">
        <f t="shared" ref="BZ168" si="400">BY173/((36*3.1415/59)*(70/3.281))</f>
        <v>0</v>
      </c>
      <c r="CA168" s="2806"/>
      <c r="CB168" s="2807"/>
    </row>
    <row r="169" spans="1:80" ht="11.25" customHeight="1" x14ac:dyDescent="0.25">
      <c r="A169" s="2792" t="s">
        <v>25</v>
      </c>
      <c r="B169" s="2793"/>
      <c r="C169" s="2793"/>
      <c r="D169" s="2798" t="s">
        <v>706</v>
      </c>
      <c r="E169" s="2799"/>
      <c r="F169" s="2792" t="s">
        <v>25</v>
      </c>
      <c r="G169" s="2793"/>
      <c r="H169" s="2793"/>
      <c r="I169" s="2798" t="s">
        <v>706</v>
      </c>
      <c r="J169" s="2799"/>
      <c r="K169" s="2792" t="s">
        <v>25</v>
      </c>
      <c r="L169" s="2793"/>
      <c r="M169" s="2793"/>
      <c r="N169" s="2798" t="s">
        <v>706</v>
      </c>
      <c r="O169" s="2799"/>
      <c r="P169" s="2792" t="s">
        <v>25</v>
      </c>
      <c r="Q169" s="2793"/>
      <c r="R169" s="2793"/>
      <c r="S169" s="2798" t="s">
        <v>706</v>
      </c>
      <c r="T169" s="2799"/>
      <c r="U169" s="2792" t="s">
        <v>25</v>
      </c>
      <c r="V169" s="2793"/>
      <c r="W169" s="2793"/>
      <c r="X169" s="2798" t="s">
        <v>706</v>
      </c>
      <c r="Y169" s="2799"/>
      <c r="Z169" s="2792" t="s">
        <v>25</v>
      </c>
      <c r="AA169" s="2793"/>
      <c r="AB169" s="2793"/>
      <c r="AC169" s="2798" t="s">
        <v>706</v>
      </c>
      <c r="AD169" s="2799"/>
      <c r="AE169" s="2792" t="s">
        <v>25</v>
      </c>
      <c r="AF169" s="2793"/>
      <c r="AG169" s="2793"/>
      <c r="AH169" s="2798" t="s">
        <v>706</v>
      </c>
      <c r="AI169" s="2799"/>
      <c r="AJ169" s="2792" t="s">
        <v>25</v>
      </c>
      <c r="AK169" s="2793"/>
      <c r="AL169" s="2793"/>
      <c r="AM169" s="2798" t="s">
        <v>706</v>
      </c>
      <c r="AN169" s="2799"/>
      <c r="AO169" s="2792" t="s">
        <v>25</v>
      </c>
      <c r="AP169" s="2793"/>
      <c r="AQ169" s="2793"/>
      <c r="AR169" s="2798" t="s">
        <v>706</v>
      </c>
      <c r="AS169" s="2799"/>
      <c r="AT169" s="2792" t="s">
        <v>25</v>
      </c>
      <c r="AU169" s="2793"/>
      <c r="AV169" s="2793"/>
      <c r="AW169" s="2798" t="s">
        <v>706</v>
      </c>
      <c r="AX169" s="2799"/>
      <c r="AY169" s="2792" t="s">
        <v>25</v>
      </c>
      <c r="AZ169" s="2793"/>
      <c r="BA169" s="2793"/>
      <c r="BB169" s="2696" t="s">
        <v>706</v>
      </c>
      <c r="BC169" s="2697"/>
      <c r="BD169" s="2792" t="s">
        <v>25</v>
      </c>
      <c r="BE169" s="2793"/>
      <c r="BF169" s="2793"/>
      <c r="BG169" s="2798" t="s">
        <v>706</v>
      </c>
      <c r="BH169" s="2799"/>
      <c r="BI169" s="2792" t="s">
        <v>25</v>
      </c>
      <c r="BJ169" s="2793"/>
      <c r="BK169" s="2793"/>
      <c r="BL169" s="2798" t="s">
        <v>706</v>
      </c>
      <c r="BM169" s="2799"/>
      <c r="BN169" s="2792" t="s">
        <v>25</v>
      </c>
      <c r="BO169" s="2793"/>
      <c r="BP169" s="2793"/>
      <c r="BQ169" s="2798" t="s">
        <v>706</v>
      </c>
      <c r="BR169" s="2799"/>
      <c r="BS169" s="2792" t="s">
        <v>25</v>
      </c>
      <c r="BT169" s="2793"/>
      <c r="BU169" s="2793"/>
      <c r="BV169" s="2798" t="s">
        <v>706</v>
      </c>
      <c r="BW169" s="2799"/>
      <c r="BX169" s="2792" t="s">
        <v>25</v>
      </c>
      <c r="BY169" s="2793"/>
      <c r="BZ169" s="2793"/>
      <c r="CA169" s="2798" t="s">
        <v>706</v>
      </c>
      <c r="CB169" s="2799"/>
    </row>
    <row r="170" spans="1:80" ht="11.25" customHeight="1" x14ac:dyDescent="0.25">
      <c r="A170" s="2794"/>
      <c r="B170" s="2795"/>
      <c r="C170" s="2795"/>
      <c r="D170" s="2800"/>
      <c r="E170" s="2801"/>
      <c r="F170" s="2794"/>
      <c r="G170" s="2795"/>
      <c r="H170" s="2795"/>
      <c r="I170" s="2800"/>
      <c r="J170" s="2801"/>
      <c r="K170" s="2794"/>
      <c r="L170" s="2795"/>
      <c r="M170" s="2795"/>
      <c r="N170" s="2800"/>
      <c r="O170" s="2801"/>
      <c r="P170" s="2794"/>
      <c r="Q170" s="2795"/>
      <c r="R170" s="2795"/>
      <c r="S170" s="2800"/>
      <c r="T170" s="2801"/>
      <c r="U170" s="2794"/>
      <c r="V170" s="2795"/>
      <c r="W170" s="2795"/>
      <c r="X170" s="2800"/>
      <c r="Y170" s="2801"/>
      <c r="Z170" s="2794"/>
      <c r="AA170" s="2795"/>
      <c r="AB170" s="2795"/>
      <c r="AC170" s="2800"/>
      <c r="AD170" s="2801"/>
      <c r="AE170" s="2794"/>
      <c r="AF170" s="2795"/>
      <c r="AG170" s="2795"/>
      <c r="AH170" s="2800"/>
      <c r="AI170" s="2801"/>
      <c r="AJ170" s="2794"/>
      <c r="AK170" s="2795"/>
      <c r="AL170" s="2795"/>
      <c r="AM170" s="2800"/>
      <c r="AN170" s="2801"/>
      <c r="AO170" s="2794"/>
      <c r="AP170" s="2795"/>
      <c r="AQ170" s="2795"/>
      <c r="AR170" s="2800"/>
      <c r="AS170" s="2801"/>
      <c r="AT170" s="2794"/>
      <c r="AU170" s="2795"/>
      <c r="AV170" s="2795"/>
      <c r="AW170" s="2800"/>
      <c r="AX170" s="2801"/>
      <c r="AY170" s="2794"/>
      <c r="AZ170" s="2795"/>
      <c r="BA170" s="2795"/>
      <c r="BB170" s="2698"/>
      <c r="BC170" s="2699"/>
      <c r="BD170" s="2794"/>
      <c r="BE170" s="2795"/>
      <c r="BF170" s="2795"/>
      <c r="BG170" s="2800"/>
      <c r="BH170" s="2801"/>
      <c r="BI170" s="2794"/>
      <c r="BJ170" s="2795"/>
      <c r="BK170" s="2795"/>
      <c r="BL170" s="2800"/>
      <c r="BM170" s="2801"/>
      <c r="BN170" s="2794"/>
      <c r="BO170" s="2795"/>
      <c r="BP170" s="2795"/>
      <c r="BQ170" s="2800"/>
      <c r="BR170" s="2801"/>
      <c r="BS170" s="2794"/>
      <c r="BT170" s="2795"/>
      <c r="BU170" s="2795"/>
      <c r="BV170" s="2800"/>
      <c r="BW170" s="2801"/>
      <c r="BX170" s="2794"/>
      <c r="BY170" s="2795"/>
      <c r="BZ170" s="2795"/>
      <c r="CA170" s="2800"/>
      <c r="CB170" s="2801"/>
    </row>
    <row r="171" spans="1:80" ht="11.25" customHeight="1" x14ac:dyDescent="0.25">
      <c r="A171" s="2796"/>
      <c r="B171" s="2797"/>
      <c r="C171" s="2797"/>
      <c r="D171" s="2802"/>
      <c r="E171" s="2803"/>
      <c r="F171" s="2796"/>
      <c r="G171" s="2797"/>
      <c r="H171" s="2797"/>
      <c r="I171" s="2802"/>
      <c r="J171" s="2803"/>
      <c r="K171" s="2796"/>
      <c r="L171" s="2797"/>
      <c r="M171" s="2797"/>
      <c r="N171" s="2802"/>
      <c r="O171" s="2803"/>
      <c r="P171" s="2796"/>
      <c r="Q171" s="2797"/>
      <c r="R171" s="2797"/>
      <c r="S171" s="2802"/>
      <c r="T171" s="2803"/>
      <c r="U171" s="2796"/>
      <c r="V171" s="2797"/>
      <c r="W171" s="2797"/>
      <c r="X171" s="2802"/>
      <c r="Y171" s="2803"/>
      <c r="Z171" s="2796"/>
      <c r="AA171" s="2797"/>
      <c r="AB171" s="2797"/>
      <c r="AC171" s="2802"/>
      <c r="AD171" s="2803"/>
      <c r="AE171" s="2796"/>
      <c r="AF171" s="2797"/>
      <c r="AG171" s="2797"/>
      <c r="AH171" s="2802"/>
      <c r="AI171" s="2803"/>
      <c r="AJ171" s="2796"/>
      <c r="AK171" s="2797"/>
      <c r="AL171" s="2797"/>
      <c r="AM171" s="2802"/>
      <c r="AN171" s="2803"/>
      <c r="AO171" s="2796"/>
      <c r="AP171" s="2797"/>
      <c r="AQ171" s="2797"/>
      <c r="AR171" s="2802"/>
      <c r="AS171" s="2803"/>
      <c r="AT171" s="2796"/>
      <c r="AU171" s="2797"/>
      <c r="AV171" s="2797"/>
      <c r="AW171" s="2802"/>
      <c r="AX171" s="2803"/>
      <c r="AY171" s="2796"/>
      <c r="AZ171" s="2797"/>
      <c r="BA171" s="2797"/>
      <c r="BB171" s="2700"/>
      <c r="BC171" s="2701"/>
      <c r="BD171" s="2796"/>
      <c r="BE171" s="2797"/>
      <c r="BF171" s="2797"/>
      <c r="BG171" s="2802"/>
      <c r="BH171" s="2803"/>
      <c r="BI171" s="2796"/>
      <c r="BJ171" s="2797"/>
      <c r="BK171" s="2797"/>
      <c r="BL171" s="2802"/>
      <c r="BM171" s="2803"/>
      <c r="BN171" s="2796"/>
      <c r="BO171" s="2797"/>
      <c r="BP171" s="2797"/>
      <c r="BQ171" s="2802"/>
      <c r="BR171" s="2803"/>
      <c r="BS171" s="2796"/>
      <c r="BT171" s="2797"/>
      <c r="BU171" s="2797"/>
      <c r="BV171" s="2802"/>
      <c r="BW171" s="2803"/>
      <c r="BX171" s="2796"/>
      <c r="BY171" s="2797"/>
      <c r="BZ171" s="2797"/>
      <c r="CA171" s="2802"/>
      <c r="CB171" s="2803"/>
    </row>
    <row r="172" spans="1:80" s="535" customFormat="1" ht="111.75" customHeight="1" x14ac:dyDescent="1.35">
      <c r="A172" s="2804" t="s">
        <v>137</v>
      </c>
      <c r="B172" s="2681">
        <v>290</v>
      </c>
      <c r="C172" s="2682"/>
      <c r="D172" s="2682"/>
      <c r="E172" s="2683"/>
      <c r="F172" s="2804" t="s">
        <v>137</v>
      </c>
      <c r="G172" s="2681">
        <v>291</v>
      </c>
      <c r="H172" s="2682"/>
      <c r="I172" s="2682"/>
      <c r="J172" s="2683"/>
      <c r="K172" s="2804" t="s">
        <v>137</v>
      </c>
      <c r="L172" s="2681">
        <v>292</v>
      </c>
      <c r="M172" s="2682"/>
      <c r="N172" s="2682"/>
      <c r="O172" s="2683"/>
      <c r="P172" s="2804" t="s">
        <v>137</v>
      </c>
      <c r="Q172" s="2681">
        <v>293</v>
      </c>
      <c r="R172" s="2682"/>
      <c r="S172" s="2682"/>
      <c r="T172" s="2683"/>
      <c r="U172" s="2804" t="s">
        <v>137</v>
      </c>
      <c r="V172" s="2681">
        <v>295</v>
      </c>
      <c r="W172" s="2682"/>
      <c r="X172" s="2682"/>
      <c r="Y172" s="2683"/>
      <c r="Z172" s="2804" t="s">
        <v>137</v>
      </c>
      <c r="AA172" s="2681">
        <v>296</v>
      </c>
      <c r="AB172" s="2682"/>
      <c r="AC172" s="2682"/>
      <c r="AD172" s="2683"/>
      <c r="AE172" s="2804" t="s">
        <v>137</v>
      </c>
      <c r="AF172" s="2681">
        <v>297</v>
      </c>
      <c r="AG172" s="2682"/>
      <c r="AH172" s="2682"/>
      <c r="AI172" s="2683"/>
      <c r="AJ172" s="2804" t="s">
        <v>137</v>
      </c>
      <c r="AK172" s="2681">
        <v>298</v>
      </c>
      <c r="AL172" s="2682"/>
      <c r="AM172" s="2682"/>
      <c r="AN172" s="2683"/>
      <c r="AO172" s="2804" t="s">
        <v>137</v>
      </c>
      <c r="AP172" s="2681">
        <v>299</v>
      </c>
      <c r="AQ172" s="2682"/>
      <c r="AR172" s="2682"/>
      <c r="AS172" s="2683"/>
      <c r="AT172" s="2804" t="s">
        <v>137</v>
      </c>
      <c r="AU172" s="2681">
        <v>300</v>
      </c>
      <c r="AV172" s="2682"/>
      <c r="AW172" s="2682"/>
      <c r="AX172" s="2683"/>
      <c r="AY172" s="2804" t="s">
        <v>137</v>
      </c>
      <c r="AZ172" s="2828">
        <v>301</v>
      </c>
      <c r="BA172" s="2829"/>
      <c r="BB172" s="2829"/>
      <c r="BC172" s="2830"/>
      <c r="BD172" s="2804" t="s">
        <v>137</v>
      </c>
      <c r="BE172" s="2681">
        <v>302</v>
      </c>
      <c r="BF172" s="2682"/>
      <c r="BG172" s="2682"/>
      <c r="BH172" s="2683"/>
      <c r="BI172" s="2804" t="s">
        <v>137</v>
      </c>
      <c r="BJ172" s="2681">
        <v>303</v>
      </c>
      <c r="BK172" s="2682"/>
      <c r="BL172" s="2682"/>
      <c r="BM172" s="2683"/>
      <c r="BN172" s="2804" t="s">
        <v>137</v>
      </c>
      <c r="BO172" s="2681">
        <v>304</v>
      </c>
      <c r="BP172" s="2682"/>
      <c r="BQ172" s="2682"/>
      <c r="BR172" s="2683"/>
      <c r="BS172" s="2804" t="s">
        <v>137</v>
      </c>
      <c r="BT172" s="2681">
        <v>305</v>
      </c>
      <c r="BU172" s="2682"/>
      <c r="BV172" s="2682"/>
      <c r="BW172" s="2683"/>
      <c r="BX172" s="2804" t="s">
        <v>137</v>
      </c>
      <c r="BY172" s="2681">
        <v>306</v>
      </c>
      <c r="BZ172" s="2682"/>
      <c r="CA172" s="2682"/>
      <c r="CB172" s="2683"/>
    </row>
    <row r="173" spans="1:80" ht="50.25" customHeight="1" thickBot="1" x14ac:dyDescent="0.3">
      <c r="A173" s="2805"/>
      <c r="B173" s="518"/>
      <c r="C173" s="519" t="s">
        <v>113</v>
      </c>
      <c r="D173" s="520"/>
      <c r="E173" s="523" t="s">
        <v>114</v>
      </c>
      <c r="F173" s="2805"/>
      <c r="G173" s="518"/>
      <c r="H173" s="519" t="s">
        <v>113</v>
      </c>
      <c r="I173" s="520"/>
      <c r="J173" s="523" t="s">
        <v>114</v>
      </c>
      <c r="K173" s="2805"/>
      <c r="L173" s="518"/>
      <c r="M173" s="519" t="s">
        <v>113</v>
      </c>
      <c r="N173" s="520"/>
      <c r="O173" s="523" t="s">
        <v>114</v>
      </c>
      <c r="P173" s="2805"/>
      <c r="Q173" s="518"/>
      <c r="R173" s="519" t="s">
        <v>113</v>
      </c>
      <c r="S173" s="520"/>
      <c r="T173" s="523" t="s">
        <v>114</v>
      </c>
      <c r="U173" s="2805"/>
      <c r="V173" s="518"/>
      <c r="W173" s="519" t="s">
        <v>113</v>
      </c>
      <c r="X173" s="520"/>
      <c r="Y173" s="523" t="s">
        <v>114</v>
      </c>
      <c r="Z173" s="2805"/>
      <c r="AA173" s="518"/>
      <c r="AB173" s="519" t="s">
        <v>113</v>
      </c>
      <c r="AC173" s="520"/>
      <c r="AD173" s="523" t="s">
        <v>114</v>
      </c>
      <c r="AE173" s="2805"/>
      <c r="AF173" s="518"/>
      <c r="AG173" s="519" t="s">
        <v>113</v>
      </c>
      <c r="AH173" s="520"/>
      <c r="AI173" s="523" t="s">
        <v>114</v>
      </c>
      <c r="AJ173" s="2805"/>
      <c r="AK173" s="518"/>
      <c r="AL173" s="519" t="s">
        <v>113</v>
      </c>
      <c r="AM173" s="520"/>
      <c r="AN173" s="523" t="s">
        <v>114</v>
      </c>
      <c r="AO173" s="2805"/>
      <c r="AP173" s="518"/>
      <c r="AQ173" s="519" t="s">
        <v>113</v>
      </c>
      <c r="AR173" s="520"/>
      <c r="AS173" s="523" t="s">
        <v>114</v>
      </c>
      <c r="AT173" s="2805"/>
      <c r="AU173" s="518"/>
      <c r="AV173" s="519" t="s">
        <v>113</v>
      </c>
      <c r="AW173" s="520"/>
      <c r="AX173" s="523" t="s">
        <v>114</v>
      </c>
      <c r="AY173" s="2805"/>
      <c r="AZ173" s="518">
        <v>1.0000000000000001E-18</v>
      </c>
      <c r="BA173" s="519" t="s">
        <v>113</v>
      </c>
      <c r="BB173" s="520"/>
      <c r="BC173" s="523" t="s">
        <v>114</v>
      </c>
      <c r="BD173" s="2805"/>
      <c r="BE173" s="518"/>
      <c r="BF173" s="519" t="s">
        <v>113</v>
      </c>
      <c r="BG173" s="520"/>
      <c r="BH173" s="523" t="s">
        <v>114</v>
      </c>
      <c r="BI173" s="2805"/>
      <c r="BJ173" s="518"/>
      <c r="BK173" s="519" t="s">
        <v>113</v>
      </c>
      <c r="BL173" s="520"/>
      <c r="BM173" s="523" t="s">
        <v>114</v>
      </c>
      <c r="BN173" s="2805"/>
      <c r="BO173" s="518"/>
      <c r="BP173" s="519" t="s">
        <v>113</v>
      </c>
      <c r="BQ173" s="520"/>
      <c r="BR173" s="523" t="s">
        <v>114</v>
      </c>
      <c r="BS173" s="2805"/>
      <c r="BT173" s="518"/>
      <c r="BU173" s="519" t="s">
        <v>113</v>
      </c>
      <c r="BV173" s="520"/>
      <c r="BW173" s="523" t="s">
        <v>114</v>
      </c>
      <c r="BX173" s="2805"/>
      <c r="BY173" s="518"/>
      <c r="BZ173" s="519" t="s">
        <v>113</v>
      </c>
      <c r="CA173" s="520"/>
      <c r="CB173" s="523" t="s">
        <v>114</v>
      </c>
    </row>
    <row r="174" spans="1:80" ht="57" customHeight="1" thickTop="1" x14ac:dyDescent="0.25">
      <c r="A174" s="2808" t="s">
        <v>110</v>
      </c>
      <c r="B174" s="2809"/>
      <c r="C174" s="2806">
        <f t="shared" ref="C174" si="401">B179/((36*3.1415/59)*(70/3.281))</f>
        <v>0</v>
      </c>
      <c r="D174" s="2806"/>
      <c r="E174" s="2807"/>
      <c r="F174" s="2808" t="s">
        <v>110</v>
      </c>
      <c r="G174" s="2809"/>
      <c r="H174" s="2806">
        <f t="shared" ref="H174" si="402">G179/((36*3.1415/59)*(70/3.281))</f>
        <v>0</v>
      </c>
      <c r="I174" s="2806"/>
      <c r="J174" s="2807"/>
      <c r="K174" s="2808" t="s">
        <v>110</v>
      </c>
      <c r="L174" s="2809"/>
      <c r="M174" s="2806">
        <f t="shared" ref="M174" si="403">L179/((36*3.1415/59)*(70/3.281))</f>
        <v>0</v>
      </c>
      <c r="N174" s="2806"/>
      <c r="O174" s="2807"/>
      <c r="P174" s="2808" t="s">
        <v>110</v>
      </c>
      <c r="Q174" s="2809"/>
      <c r="R174" s="2806">
        <f t="shared" ref="R174" si="404">Q179/((36*3.1415/59)*(70/3.281))</f>
        <v>1.676942293263E-2</v>
      </c>
      <c r="S174" s="2806"/>
      <c r="T174" s="2807"/>
      <c r="U174" s="2808" t="s">
        <v>110</v>
      </c>
      <c r="V174" s="2809"/>
      <c r="W174" s="2806">
        <f t="shared" ref="W174" si="405">V179/((36*3.1415/59)*(70/3.281))</f>
        <v>2.7327948482804443E-2</v>
      </c>
      <c r="X174" s="2806"/>
      <c r="Y174" s="2807"/>
      <c r="Z174" s="2808" t="s">
        <v>110</v>
      </c>
      <c r="AA174" s="2809"/>
      <c r="AB174" s="2806">
        <f t="shared" ref="AB174" si="406">AA179/((36*3.1415/59)*(70/3.281))</f>
        <v>0</v>
      </c>
      <c r="AC174" s="2806"/>
      <c r="AD174" s="2807"/>
      <c r="AE174" s="2808" t="s">
        <v>110</v>
      </c>
      <c r="AF174" s="2809"/>
      <c r="AG174" s="2806">
        <f t="shared" ref="AG174" si="407">AF179/((36*3.1415/59)*(70/3.281))</f>
        <v>0</v>
      </c>
      <c r="AH174" s="2806"/>
      <c r="AI174" s="2807"/>
      <c r="AJ174" s="2808" t="s">
        <v>110</v>
      </c>
      <c r="AK174" s="2809"/>
      <c r="AL174" s="2806">
        <f t="shared" ref="AL174" si="408">AK179/((36*3.1415/59)*(70/3.281))</f>
        <v>0</v>
      </c>
      <c r="AM174" s="2806"/>
      <c r="AN174" s="2807"/>
      <c r="AO174" s="2808" t="s">
        <v>110</v>
      </c>
      <c r="AP174" s="2809"/>
      <c r="AQ174" s="2806">
        <f t="shared" ref="AQ174" si="409">AP179/((36*3.1415/59)*(70/3.281))</f>
        <v>0</v>
      </c>
      <c r="AR174" s="2806"/>
      <c r="AS174" s="2807"/>
      <c r="AT174" s="2808" t="s">
        <v>110</v>
      </c>
      <c r="AU174" s="2809"/>
      <c r="AV174" s="2806">
        <f t="shared" ref="AV174" si="410">AU179/((36*3.1415/59)*(70/3.281))</f>
        <v>4.471846115368E-2</v>
      </c>
      <c r="AW174" s="2806"/>
      <c r="AX174" s="2807"/>
      <c r="AY174" s="2808" t="s">
        <v>110</v>
      </c>
      <c r="AZ174" s="2809"/>
      <c r="BA174" s="2806">
        <f t="shared" ref="BA174" si="411">AZ179/((36*3.1415/59)*(70/3.281))</f>
        <v>0</v>
      </c>
      <c r="BB174" s="2806"/>
      <c r="BC174" s="2807"/>
      <c r="BD174" s="617" t="s">
        <v>110</v>
      </c>
      <c r="BE174" s="618"/>
      <c r="BF174" s="2722">
        <f>BE179/((36*3.1415/59)*(72/3.281))</f>
        <v>2.5965001557210026E-2</v>
      </c>
      <c r="BG174" s="2722"/>
      <c r="BH174" s="2723"/>
      <c r="BI174" s="617" t="s">
        <v>110</v>
      </c>
      <c r="BJ174" s="618"/>
      <c r="BK174" s="2722">
        <f t="shared" ref="BK174" si="412">BJ179/((36*3.1415/59)*(72/3.281))</f>
        <v>0</v>
      </c>
      <c r="BL174" s="2722"/>
      <c r="BM174" s="2723"/>
      <c r="BN174" s="617" t="s">
        <v>110</v>
      </c>
      <c r="BO174" s="618"/>
      <c r="BP174" s="2722">
        <f t="shared" ref="BP174" si="413">BO179/((36*3.1415/59)*(72/3.281))</f>
        <v>2.3773119902224889E-18</v>
      </c>
      <c r="BQ174" s="2722"/>
      <c r="BR174" s="2723"/>
      <c r="BS174" s="2786" t="s">
        <v>110</v>
      </c>
      <c r="BT174" s="2787"/>
      <c r="BU174" s="2788">
        <f>BT179/((36*3.1415/59)*(73/3.281))</f>
        <v>0</v>
      </c>
      <c r="BV174" s="2788"/>
      <c r="BW174" s="2789"/>
      <c r="BX174" s="2786" t="s">
        <v>110</v>
      </c>
      <c r="BY174" s="2787"/>
      <c r="BZ174" s="2788">
        <f>BY179/((36*3.1415/59)*(73/3.281))</f>
        <v>0</v>
      </c>
      <c r="CA174" s="2788"/>
      <c r="CB174" s="2789"/>
    </row>
    <row r="175" spans="1:80" ht="11.25" customHeight="1" x14ac:dyDescent="0.25">
      <c r="A175" s="2792" t="s">
        <v>25</v>
      </c>
      <c r="B175" s="2793"/>
      <c r="C175" s="2793"/>
      <c r="D175" s="2798" t="s">
        <v>706</v>
      </c>
      <c r="E175" s="2799"/>
      <c r="F175" s="2792" t="s">
        <v>25</v>
      </c>
      <c r="G175" s="2793"/>
      <c r="H175" s="2793"/>
      <c r="I175" s="2798" t="s">
        <v>706</v>
      </c>
      <c r="J175" s="2799"/>
      <c r="K175" s="2792" t="s">
        <v>25</v>
      </c>
      <c r="L175" s="2793"/>
      <c r="M175" s="2793"/>
      <c r="N175" s="2798" t="s">
        <v>706</v>
      </c>
      <c r="O175" s="2799"/>
      <c r="P175" s="2792" t="s">
        <v>25</v>
      </c>
      <c r="Q175" s="2793"/>
      <c r="R175" s="2793"/>
      <c r="S175" s="2798" t="s">
        <v>706</v>
      </c>
      <c r="T175" s="2799"/>
      <c r="U175" s="2792" t="s">
        <v>25</v>
      </c>
      <c r="V175" s="2793"/>
      <c r="W175" s="2793"/>
      <c r="X175" s="2696" t="s">
        <v>706</v>
      </c>
      <c r="Y175" s="2697"/>
      <c r="Z175" s="2792" t="s">
        <v>25</v>
      </c>
      <c r="AA175" s="2793"/>
      <c r="AB175" s="2793"/>
      <c r="AC175" s="2798" t="s">
        <v>706</v>
      </c>
      <c r="AD175" s="2799"/>
      <c r="AE175" s="2792" t="s">
        <v>25</v>
      </c>
      <c r="AF175" s="2793"/>
      <c r="AG175" s="2793"/>
      <c r="AH175" s="2798" t="s">
        <v>706</v>
      </c>
      <c r="AI175" s="2799"/>
      <c r="AJ175" s="2792" t="s">
        <v>25</v>
      </c>
      <c r="AK175" s="2793"/>
      <c r="AL175" s="2793"/>
      <c r="AM175" s="2798" t="s">
        <v>706</v>
      </c>
      <c r="AN175" s="2799"/>
      <c r="AO175" s="2792" t="s">
        <v>25</v>
      </c>
      <c r="AP175" s="2793"/>
      <c r="AQ175" s="2793"/>
      <c r="AR175" s="2798" t="s">
        <v>706</v>
      </c>
      <c r="AS175" s="2799"/>
      <c r="AT175" s="2792" t="s">
        <v>25</v>
      </c>
      <c r="AU175" s="2793"/>
      <c r="AV175" s="2793"/>
      <c r="AW175" s="2798" t="s">
        <v>706</v>
      </c>
      <c r="AX175" s="2799"/>
      <c r="AY175" s="2792" t="s">
        <v>25</v>
      </c>
      <c r="AZ175" s="2793"/>
      <c r="BA175" s="2793"/>
      <c r="BB175" s="2798" t="s">
        <v>706</v>
      </c>
      <c r="BC175" s="2799"/>
      <c r="BD175" s="2710" t="s">
        <v>25</v>
      </c>
      <c r="BE175" s="2711"/>
      <c r="BF175" s="2711"/>
      <c r="BG175" s="2716" t="s">
        <v>706</v>
      </c>
      <c r="BH175" s="2717"/>
      <c r="BI175" s="2710" t="s">
        <v>25</v>
      </c>
      <c r="BJ175" s="2711"/>
      <c r="BK175" s="2711"/>
      <c r="BL175" s="2716" t="s">
        <v>706</v>
      </c>
      <c r="BM175" s="2717"/>
      <c r="BN175" s="2710" t="s">
        <v>25</v>
      </c>
      <c r="BO175" s="2711"/>
      <c r="BP175" s="2711"/>
      <c r="BQ175" s="2696" t="s">
        <v>706</v>
      </c>
      <c r="BR175" s="2697"/>
      <c r="BS175" s="2774" t="s">
        <v>25</v>
      </c>
      <c r="BT175" s="2775"/>
      <c r="BU175" s="2775"/>
      <c r="BV175" s="2780" t="s">
        <v>706</v>
      </c>
      <c r="BW175" s="2781"/>
      <c r="BX175" s="2774" t="s">
        <v>25</v>
      </c>
      <c r="BY175" s="2775"/>
      <c r="BZ175" s="2775"/>
      <c r="CA175" s="2780" t="s">
        <v>706</v>
      </c>
      <c r="CB175" s="2781"/>
    </row>
    <row r="176" spans="1:80" ht="11.25" customHeight="1" x14ac:dyDescent="0.25">
      <c r="A176" s="2794"/>
      <c r="B176" s="2795"/>
      <c r="C176" s="2795"/>
      <c r="D176" s="2800"/>
      <c r="E176" s="2801"/>
      <c r="F176" s="2794"/>
      <c r="G176" s="2795"/>
      <c r="H176" s="2795"/>
      <c r="I176" s="2800"/>
      <c r="J176" s="2801"/>
      <c r="K176" s="2794"/>
      <c r="L176" s="2795"/>
      <c r="M176" s="2795"/>
      <c r="N176" s="2800"/>
      <c r="O176" s="2801"/>
      <c r="P176" s="2794"/>
      <c r="Q176" s="2795"/>
      <c r="R176" s="2795"/>
      <c r="S176" s="2800"/>
      <c r="T176" s="2801"/>
      <c r="U176" s="2794"/>
      <c r="V176" s="2795"/>
      <c r="W176" s="2795"/>
      <c r="X176" s="2698"/>
      <c r="Y176" s="2699"/>
      <c r="Z176" s="2794"/>
      <c r="AA176" s="2795"/>
      <c r="AB176" s="2795"/>
      <c r="AC176" s="2800"/>
      <c r="AD176" s="2801"/>
      <c r="AE176" s="2794"/>
      <c r="AF176" s="2795"/>
      <c r="AG176" s="2795"/>
      <c r="AH176" s="2800"/>
      <c r="AI176" s="2801"/>
      <c r="AJ176" s="2794"/>
      <c r="AK176" s="2795"/>
      <c r="AL176" s="2795"/>
      <c r="AM176" s="2800"/>
      <c r="AN176" s="2801"/>
      <c r="AO176" s="2794"/>
      <c r="AP176" s="2795"/>
      <c r="AQ176" s="2795"/>
      <c r="AR176" s="2800"/>
      <c r="AS176" s="2801"/>
      <c r="AT176" s="2794"/>
      <c r="AU176" s="2795"/>
      <c r="AV176" s="2795"/>
      <c r="AW176" s="2800"/>
      <c r="AX176" s="2801"/>
      <c r="AY176" s="2794"/>
      <c r="AZ176" s="2795"/>
      <c r="BA176" s="2795"/>
      <c r="BB176" s="2800"/>
      <c r="BC176" s="2801"/>
      <c r="BD176" s="2712"/>
      <c r="BE176" s="2713"/>
      <c r="BF176" s="2713"/>
      <c r="BG176" s="2718"/>
      <c r="BH176" s="2719"/>
      <c r="BI176" s="2712"/>
      <c r="BJ176" s="2713"/>
      <c r="BK176" s="2713"/>
      <c r="BL176" s="2718"/>
      <c r="BM176" s="2719"/>
      <c r="BN176" s="2712"/>
      <c r="BO176" s="2713"/>
      <c r="BP176" s="2713"/>
      <c r="BQ176" s="2698"/>
      <c r="BR176" s="2699"/>
      <c r="BS176" s="2776"/>
      <c r="BT176" s="2777"/>
      <c r="BU176" s="2777"/>
      <c r="BV176" s="2782"/>
      <c r="BW176" s="2783"/>
      <c r="BX176" s="2776"/>
      <c r="BY176" s="2777"/>
      <c r="BZ176" s="2777"/>
      <c r="CA176" s="2782"/>
      <c r="CB176" s="2783"/>
    </row>
    <row r="177" spans="1:93" ht="11.25" customHeight="1" x14ac:dyDescent="0.25">
      <c r="A177" s="2796"/>
      <c r="B177" s="2797"/>
      <c r="C177" s="2797"/>
      <c r="D177" s="2802"/>
      <c r="E177" s="2803"/>
      <c r="F177" s="2796"/>
      <c r="G177" s="2797"/>
      <c r="H177" s="2797"/>
      <c r="I177" s="2802"/>
      <c r="J177" s="2803"/>
      <c r="K177" s="2796"/>
      <c r="L177" s="2797"/>
      <c r="M177" s="2797"/>
      <c r="N177" s="2802"/>
      <c r="O177" s="2803"/>
      <c r="P177" s="2796"/>
      <c r="Q177" s="2797"/>
      <c r="R177" s="2797"/>
      <c r="S177" s="2802"/>
      <c r="T177" s="2803"/>
      <c r="U177" s="2796"/>
      <c r="V177" s="2797"/>
      <c r="W177" s="2797"/>
      <c r="X177" s="2700"/>
      <c r="Y177" s="2701"/>
      <c r="Z177" s="2796"/>
      <c r="AA177" s="2797"/>
      <c r="AB177" s="2797"/>
      <c r="AC177" s="2802"/>
      <c r="AD177" s="2803"/>
      <c r="AE177" s="2796"/>
      <c r="AF177" s="2797"/>
      <c r="AG177" s="2797"/>
      <c r="AH177" s="2802"/>
      <c r="AI177" s="2803"/>
      <c r="AJ177" s="2796"/>
      <c r="AK177" s="2797"/>
      <c r="AL177" s="2797"/>
      <c r="AM177" s="2802"/>
      <c r="AN177" s="2803"/>
      <c r="AO177" s="2796"/>
      <c r="AP177" s="2797"/>
      <c r="AQ177" s="2797"/>
      <c r="AR177" s="2802"/>
      <c r="AS177" s="2803"/>
      <c r="AT177" s="2796"/>
      <c r="AU177" s="2797"/>
      <c r="AV177" s="2797"/>
      <c r="AW177" s="2802"/>
      <c r="AX177" s="2803"/>
      <c r="AY177" s="2796"/>
      <c r="AZ177" s="2797"/>
      <c r="BA177" s="2797"/>
      <c r="BB177" s="2802"/>
      <c r="BC177" s="2803"/>
      <c r="BD177" s="2714"/>
      <c r="BE177" s="2715"/>
      <c r="BF177" s="2715"/>
      <c r="BG177" s="2720"/>
      <c r="BH177" s="2721"/>
      <c r="BI177" s="2714"/>
      <c r="BJ177" s="2715"/>
      <c r="BK177" s="2715"/>
      <c r="BL177" s="2720"/>
      <c r="BM177" s="2721"/>
      <c r="BN177" s="2714"/>
      <c r="BO177" s="2715"/>
      <c r="BP177" s="2715"/>
      <c r="BQ177" s="2700"/>
      <c r="BR177" s="2701"/>
      <c r="BS177" s="2778"/>
      <c r="BT177" s="2779"/>
      <c r="BU177" s="2779"/>
      <c r="BV177" s="2784"/>
      <c r="BW177" s="2785"/>
      <c r="BX177" s="2778"/>
      <c r="BY177" s="2779"/>
      <c r="BZ177" s="2779"/>
      <c r="CA177" s="2784"/>
      <c r="CB177" s="2785"/>
    </row>
    <row r="178" spans="1:93" s="535" customFormat="1" ht="111.75" customHeight="1" x14ac:dyDescent="1.35">
      <c r="A178" s="2804" t="s">
        <v>137</v>
      </c>
      <c r="B178" s="2681">
        <v>307</v>
      </c>
      <c r="C178" s="2682"/>
      <c r="D178" s="2682"/>
      <c r="E178" s="2683"/>
      <c r="F178" s="2804" t="s">
        <v>137</v>
      </c>
      <c r="G178" s="2681">
        <v>308</v>
      </c>
      <c r="H178" s="2682"/>
      <c r="I178" s="2682"/>
      <c r="J178" s="2683"/>
      <c r="K178" s="2804" t="s">
        <v>137</v>
      </c>
      <c r="L178" s="2681">
        <v>309</v>
      </c>
      <c r="M178" s="2682"/>
      <c r="N178" s="2682"/>
      <c r="O178" s="2683"/>
      <c r="P178" s="2804" t="s">
        <v>137</v>
      </c>
      <c r="Q178" s="2828">
        <v>310</v>
      </c>
      <c r="R178" s="2829"/>
      <c r="S178" s="2829"/>
      <c r="T178" s="2830"/>
      <c r="U178" s="2804" t="s">
        <v>137</v>
      </c>
      <c r="V178" s="2828">
        <v>311</v>
      </c>
      <c r="W178" s="2829"/>
      <c r="X178" s="2829"/>
      <c r="Y178" s="2830"/>
      <c r="Z178" s="2804" t="s">
        <v>137</v>
      </c>
      <c r="AA178" s="2681">
        <v>312</v>
      </c>
      <c r="AB178" s="2682"/>
      <c r="AC178" s="2682"/>
      <c r="AD178" s="2683"/>
      <c r="AE178" s="2804" t="s">
        <v>137</v>
      </c>
      <c r="AF178" s="2681">
        <v>313</v>
      </c>
      <c r="AG178" s="2682"/>
      <c r="AH178" s="2682"/>
      <c r="AI178" s="2683"/>
      <c r="AJ178" s="2804" t="s">
        <v>137</v>
      </c>
      <c r="AK178" s="2681">
        <v>314</v>
      </c>
      <c r="AL178" s="2682"/>
      <c r="AM178" s="2682"/>
      <c r="AN178" s="2683"/>
      <c r="AO178" s="2804" t="s">
        <v>137</v>
      </c>
      <c r="AP178" s="2681">
        <v>315</v>
      </c>
      <c r="AQ178" s="2682"/>
      <c r="AR178" s="2682"/>
      <c r="AS178" s="2683"/>
      <c r="AT178" s="2804" t="s">
        <v>137</v>
      </c>
      <c r="AU178" s="2828">
        <v>316</v>
      </c>
      <c r="AV178" s="2829"/>
      <c r="AW178" s="2829"/>
      <c r="AX178" s="2830"/>
      <c r="AY178" s="2804" t="s">
        <v>137</v>
      </c>
      <c r="AZ178" s="2681">
        <v>317</v>
      </c>
      <c r="BA178" s="2682"/>
      <c r="BB178" s="2682"/>
      <c r="BC178" s="2683"/>
      <c r="BD178" s="615" t="s">
        <v>723</v>
      </c>
      <c r="BE178" s="2828">
        <v>196</v>
      </c>
      <c r="BF178" s="2829"/>
      <c r="BG178" s="2829"/>
      <c r="BH178" s="2830"/>
      <c r="BI178" s="615" t="s">
        <v>723</v>
      </c>
      <c r="BJ178" s="2681">
        <v>266</v>
      </c>
      <c r="BK178" s="2682"/>
      <c r="BL178" s="2682"/>
      <c r="BM178" s="2683"/>
      <c r="BN178" s="615" t="s">
        <v>723</v>
      </c>
      <c r="BO178" s="2828">
        <v>274</v>
      </c>
      <c r="BP178" s="2829"/>
      <c r="BQ178" s="2829"/>
      <c r="BR178" s="2830"/>
      <c r="BS178" s="2790" t="s">
        <v>724</v>
      </c>
      <c r="BT178" s="2681">
        <v>2</v>
      </c>
      <c r="BU178" s="2682"/>
      <c r="BV178" s="2682"/>
      <c r="BW178" s="2683"/>
      <c r="BX178" s="2790" t="s">
        <v>724</v>
      </c>
      <c r="BY178" s="2681">
        <v>3</v>
      </c>
      <c r="BZ178" s="2682"/>
      <c r="CA178" s="2682"/>
      <c r="CB178" s="2683"/>
    </row>
    <row r="179" spans="1:93" ht="50.25" customHeight="1" thickBot="1" x14ac:dyDescent="0.3">
      <c r="A179" s="2805"/>
      <c r="B179" s="518"/>
      <c r="C179" s="519" t="s">
        <v>113</v>
      </c>
      <c r="D179" s="520"/>
      <c r="E179" s="523" t="s">
        <v>114</v>
      </c>
      <c r="F179" s="2805"/>
      <c r="G179" s="518"/>
      <c r="H179" s="519" t="s">
        <v>113</v>
      </c>
      <c r="I179" s="520"/>
      <c r="J179" s="523" t="s">
        <v>114</v>
      </c>
      <c r="K179" s="2805"/>
      <c r="L179" s="518"/>
      <c r="M179" s="519" t="s">
        <v>113</v>
      </c>
      <c r="N179" s="520"/>
      <c r="O179" s="523" t="s">
        <v>114</v>
      </c>
      <c r="P179" s="2805"/>
      <c r="Q179" s="518">
        <v>0.68579999999999997</v>
      </c>
      <c r="R179" s="519" t="s">
        <v>113</v>
      </c>
      <c r="S179" s="520"/>
      <c r="T179" s="523" t="s">
        <v>114</v>
      </c>
      <c r="U179" s="2805"/>
      <c r="V179" s="518">
        <v>1.1175999999999999</v>
      </c>
      <c r="W179" s="519" t="s">
        <v>113</v>
      </c>
      <c r="X179" s="520"/>
      <c r="Y179" s="523" t="s">
        <v>114</v>
      </c>
      <c r="Z179" s="2805"/>
      <c r="AA179" s="518"/>
      <c r="AB179" s="519" t="s">
        <v>113</v>
      </c>
      <c r="AC179" s="520"/>
      <c r="AD179" s="523" t="s">
        <v>114</v>
      </c>
      <c r="AE179" s="2805"/>
      <c r="AF179" s="518"/>
      <c r="AG179" s="519" t="s">
        <v>113</v>
      </c>
      <c r="AH179" s="520"/>
      <c r="AI179" s="523" t="s">
        <v>114</v>
      </c>
      <c r="AJ179" s="2805"/>
      <c r="AK179" s="518"/>
      <c r="AL179" s="519" t="s">
        <v>113</v>
      </c>
      <c r="AM179" s="520"/>
      <c r="AN179" s="523" t="s">
        <v>114</v>
      </c>
      <c r="AO179" s="2805"/>
      <c r="AP179" s="518"/>
      <c r="AQ179" s="519" t="s">
        <v>113</v>
      </c>
      <c r="AR179" s="520"/>
      <c r="AS179" s="523" t="s">
        <v>114</v>
      </c>
      <c r="AT179" s="2805"/>
      <c r="AU179" s="518">
        <v>1.8288</v>
      </c>
      <c r="AV179" s="519" t="s">
        <v>113</v>
      </c>
      <c r="AW179" s="520">
        <v>1</v>
      </c>
      <c r="AX179" s="523" t="s">
        <v>114</v>
      </c>
      <c r="AY179" s="2805"/>
      <c r="AZ179" s="518"/>
      <c r="BA179" s="519" t="s">
        <v>113</v>
      </c>
      <c r="BB179" s="520"/>
      <c r="BC179" s="523" t="s">
        <v>114</v>
      </c>
      <c r="BD179" s="616"/>
      <c r="BE179" s="518">
        <v>1.0922000000000001</v>
      </c>
      <c r="BF179" s="519" t="s">
        <v>113</v>
      </c>
      <c r="BG179" s="520"/>
      <c r="BH179" s="523" t="s">
        <v>114</v>
      </c>
      <c r="BI179" s="616"/>
      <c r="BJ179" s="518"/>
      <c r="BK179" s="519" t="s">
        <v>113</v>
      </c>
      <c r="BL179" s="520"/>
      <c r="BM179" s="523" t="s">
        <v>114</v>
      </c>
      <c r="BN179" s="616"/>
      <c r="BO179" s="518">
        <v>9.9999999999999998E-17</v>
      </c>
      <c r="BP179" s="519" t="s">
        <v>113</v>
      </c>
      <c r="BQ179" s="520"/>
      <c r="BR179" s="523" t="s">
        <v>114</v>
      </c>
      <c r="BS179" s="2791"/>
      <c r="BT179" s="518"/>
      <c r="BU179" s="519" t="s">
        <v>113</v>
      </c>
      <c r="BV179" s="520"/>
      <c r="BW179" s="523" t="s">
        <v>114</v>
      </c>
      <c r="BX179" s="2791"/>
      <c r="BY179" s="518"/>
      <c r="BZ179" s="519" t="s">
        <v>113</v>
      </c>
      <c r="CA179" s="520"/>
      <c r="CB179" s="523" t="s">
        <v>114</v>
      </c>
    </row>
    <row r="180" spans="1:93" ht="57" customHeight="1" thickTop="1" x14ac:dyDescent="0.25">
      <c r="A180" s="2786" t="s">
        <v>110</v>
      </c>
      <c r="B180" s="2787"/>
      <c r="C180" s="2788">
        <f t="shared" ref="C180" si="414">B185/((36*3.1415/59)*(73/3.281))</f>
        <v>1.8462530575244596E-2</v>
      </c>
      <c r="D180" s="2788"/>
      <c r="E180" s="2789"/>
      <c r="F180" s="2786" t="s">
        <v>110</v>
      </c>
      <c r="G180" s="2787"/>
      <c r="H180" s="2788">
        <f t="shared" ref="H180" si="415">G185/((36*3.1415/59)*(73/3.281))</f>
        <v>1.8462530575244596E-2</v>
      </c>
      <c r="I180" s="2788"/>
      <c r="J180" s="2789"/>
      <c r="K180" s="2786" t="s">
        <v>110</v>
      </c>
      <c r="L180" s="2787"/>
      <c r="M180" s="2788">
        <f t="shared" ref="M180" si="416">L185/((36*3.1415/59)*(73/3.281))</f>
        <v>0</v>
      </c>
      <c r="N180" s="2788"/>
      <c r="O180" s="2789"/>
      <c r="P180" s="2786" t="s">
        <v>110</v>
      </c>
      <c r="Q180" s="2787"/>
      <c r="R180" s="2788">
        <f t="shared" ref="R180" si="417">Q185/((36*3.1415/59)*(73/3.281))</f>
        <v>8.9334825364086757E-3</v>
      </c>
      <c r="S180" s="2788"/>
      <c r="T180" s="2789"/>
      <c r="U180" s="2786" t="s">
        <v>110</v>
      </c>
      <c r="V180" s="2787"/>
      <c r="W180" s="2788">
        <f t="shared" ref="W180" si="418">V185/((36*3.1415/59)*(73/3.281))</f>
        <v>2.3447460725482087E-13</v>
      </c>
      <c r="X180" s="2788"/>
      <c r="Y180" s="2789"/>
      <c r="Z180" s="2786" t="s">
        <v>110</v>
      </c>
      <c r="AA180" s="2787"/>
      <c r="AB180" s="2788">
        <f t="shared" ref="AB180" si="419">AA185/((36*3.1415/59)*(73/3.281))</f>
        <v>3.5733930145634705E-3</v>
      </c>
      <c r="AC180" s="2788"/>
      <c r="AD180" s="2789"/>
      <c r="AE180" s="2786" t="s">
        <v>110</v>
      </c>
      <c r="AF180" s="2787"/>
      <c r="AG180" s="2788">
        <f t="shared" ref="AG180" si="420">AF185/((36*3.1415/59)*(73/3.281))</f>
        <v>1.6675834067962862E-2</v>
      </c>
      <c r="AH180" s="2788"/>
      <c r="AI180" s="2789"/>
      <c r="AJ180" s="2786" t="s">
        <v>110</v>
      </c>
      <c r="AK180" s="2787"/>
      <c r="AL180" s="2788">
        <f t="shared" ref="AL180" si="421">AK185/((36*3.1415/59)*(73/3.281))</f>
        <v>2.3447460725482087E-13</v>
      </c>
      <c r="AM180" s="2788"/>
      <c r="AN180" s="2789"/>
      <c r="AO180" s="2786" t="s">
        <v>110</v>
      </c>
      <c r="AP180" s="2787"/>
      <c r="AQ180" s="2788">
        <f t="shared" ref="AQ180" si="422">AP185/((36*3.1415/59)*(73/3.281))</f>
        <v>2.3447460725482088E-14</v>
      </c>
      <c r="AR180" s="2788"/>
      <c r="AS180" s="2789"/>
      <c r="AT180" s="2786" t="s">
        <v>110</v>
      </c>
      <c r="AU180" s="2787"/>
      <c r="AV180" s="2788">
        <f t="shared" ref="AV180" si="423">AU185/((36*3.1415/59)*(73/3.281))</f>
        <v>2.3447460725482089E-18</v>
      </c>
      <c r="AW180" s="2788"/>
      <c r="AX180" s="2789"/>
      <c r="AY180" s="2786" t="s">
        <v>110</v>
      </c>
      <c r="AZ180" s="2787"/>
      <c r="BA180" s="2788">
        <f t="shared" ref="BA180" si="424">AZ185/((36*3.1415/59)*(73/3.281))</f>
        <v>2.3447460725482087E-13</v>
      </c>
      <c r="BB180" s="2788"/>
      <c r="BC180" s="2789"/>
      <c r="BD180" s="2786" t="s">
        <v>110</v>
      </c>
      <c r="BE180" s="2787"/>
      <c r="BF180" s="2788">
        <f t="shared" ref="BF180" si="425">BE185/((36*3.1415/59)*(73/3.281))</f>
        <v>0</v>
      </c>
      <c r="BG180" s="2788"/>
      <c r="BH180" s="2789"/>
      <c r="BI180" s="2786" t="s">
        <v>110</v>
      </c>
      <c r="BJ180" s="2787"/>
      <c r="BK180" s="2788">
        <f t="shared" ref="BK180" si="426">BJ185/((36*3.1415/59)*(73/3.281))</f>
        <v>0</v>
      </c>
      <c r="BL180" s="2788"/>
      <c r="BM180" s="2789"/>
      <c r="BN180" s="2786" t="s">
        <v>110</v>
      </c>
      <c r="BO180" s="2787"/>
      <c r="BP180" s="2788">
        <f t="shared" ref="BP180" si="427">BO185/((36*3.1415/59)*(73/3.281))</f>
        <v>0</v>
      </c>
      <c r="BQ180" s="2788"/>
      <c r="BR180" s="2789"/>
      <c r="BS180" s="2786" t="s">
        <v>110</v>
      </c>
      <c r="BT180" s="2787"/>
      <c r="BU180" s="2788">
        <f t="shared" ref="BU180" si="428">BT185/((36*3.1415/59)*(73/3.281))</f>
        <v>0</v>
      </c>
      <c r="BV180" s="2788"/>
      <c r="BW180" s="2789"/>
      <c r="BX180" s="2786" t="s">
        <v>110</v>
      </c>
      <c r="BY180" s="2787"/>
      <c r="BZ180" s="2788">
        <f t="shared" ref="BZ180" si="429">BY185/((36*3.1415/59)*(73/3.281))</f>
        <v>0</v>
      </c>
      <c r="CA180" s="2788"/>
      <c r="CB180" s="2789"/>
    </row>
    <row r="181" spans="1:93" ht="11.25" customHeight="1" x14ac:dyDescent="0.25">
      <c r="A181" s="2774" t="s">
        <v>25</v>
      </c>
      <c r="B181" s="2775"/>
      <c r="C181" s="2775"/>
      <c r="D181" s="2780" t="s">
        <v>706</v>
      </c>
      <c r="E181" s="2781"/>
      <c r="F181" s="2774" t="s">
        <v>25</v>
      </c>
      <c r="G181" s="2775"/>
      <c r="H181" s="2775"/>
      <c r="I181" s="2780" t="s">
        <v>706</v>
      </c>
      <c r="J181" s="2781"/>
      <c r="K181" s="2774" t="s">
        <v>25</v>
      </c>
      <c r="L181" s="2775"/>
      <c r="M181" s="2775"/>
      <c r="N181" s="2780" t="s">
        <v>706</v>
      </c>
      <c r="O181" s="2781"/>
      <c r="P181" s="2774" t="s">
        <v>25</v>
      </c>
      <c r="Q181" s="2775"/>
      <c r="R181" s="2775"/>
      <c r="S181" s="2780" t="s">
        <v>706</v>
      </c>
      <c r="T181" s="2781"/>
      <c r="U181" s="2774" t="s">
        <v>25</v>
      </c>
      <c r="V181" s="2775"/>
      <c r="W181" s="2775"/>
      <c r="X181" s="2780" t="s">
        <v>706</v>
      </c>
      <c r="Y181" s="2781"/>
      <c r="Z181" s="2774" t="s">
        <v>25</v>
      </c>
      <c r="AA181" s="2775"/>
      <c r="AB181" s="2775"/>
      <c r="AC181" s="2696" t="s">
        <v>706</v>
      </c>
      <c r="AD181" s="2697"/>
      <c r="AE181" s="2774" t="s">
        <v>25</v>
      </c>
      <c r="AF181" s="2775"/>
      <c r="AG181" s="2775"/>
      <c r="AH181" s="2696" t="s">
        <v>706</v>
      </c>
      <c r="AI181" s="2697"/>
      <c r="AJ181" s="2724" t="s">
        <v>25</v>
      </c>
      <c r="AK181" s="2725"/>
      <c r="AL181" s="2725"/>
      <c r="AM181" s="2696" t="s">
        <v>706</v>
      </c>
      <c r="AN181" s="2697"/>
      <c r="AO181" s="2774" t="s">
        <v>25</v>
      </c>
      <c r="AP181" s="2775"/>
      <c r="AQ181" s="2775"/>
      <c r="AR181" s="2780" t="s">
        <v>706</v>
      </c>
      <c r="AS181" s="2781"/>
      <c r="AT181" s="2724" t="s">
        <v>25</v>
      </c>
      <c r="AU181" s="2725"/>
      <c r="AV181" s="2725"/>
      <c r="AW181" s="2696" t="s">
        <v>706</v>
      </c>
      <c r="AX181" s="2697"/>
      <c r="AY181" s="2774" t="s">
        <v>25</v>
      </c>
      <c r="AZ181" s="2775"/>
      <c r="BA181" s="2775"/>
      <c r="BB181" s="2696" t="s">
        <v>706</v>
      </c>
      <c r="BC181" s="2697"/>
      <c r="BD181" s="2774" t="s">
        <v>25</v>
      </c>
      <c r="BE181" s="2775"/>
      <c r="BF181" s="2775"/>
      <c r="BG181" s="2780" t="s">
        <v>706</v>
      </c>
      <c r="BH181" s="2781"/>
      <c r="BI181" s="2774" t="s">
        <v>25</v>
      </c>
      <c r="BJ181" s="2775"/>
      <c r="BK181" s="2775"/>
      <c r="BL181" s="2780" t="s">
        <v>706</v>
      </c>
      <c r="BM181" s="2781"/>
      <c r="BN181" s="2774" t="s">
        <v>25</v>
      </c>
      <c r="BO181" s="2775"/>
      <c r="BP181" s="2775"/>
      <c r="BQ181" s="2780" t="s">
        <v>706</v>
      </c>
      <c r="BR181" s="2781"/>
      <c r="BS181" s="2774" t="s">
        <v>25</v>
      </c>
      <c r="BT181" s="2775"/>
      <c r="BU181" s="2775"/>
      <c r="BV181" s="2780" t="s">
        <v>706</v>
      </c>
      <c r="BW181" s="2781"/>
      <c r="BX181" s="2774" t="s">
        <v>25</v>
      </c>
      <c r="BY181" s="2775"/>
      <c r="BZ181" s="2775"/>
      <c r="CA181" s="2780" t="s">
        <v>706</v>
      </c>
      <c r="CB181" s="2781"/>
    </row>
    <row r="182" spans="1:93" ht="11.25" customHeight="1" x14ac:dyDescent="0.25">
      <c r="A182" s="2776"/>
      <c r="B182" s="2777"/>
      <c r="C182" s="2777"/>
      <c r="D182" s="2782"/>
      <c r="E182" s="2783"/>
      <c r="F182" s="2776"/>
      <c r="G182" s="2777"/>
      <c r="H182" s="2777"/>
      <c r="I182" s="2782"/>
      <c r="J182" s="2783"/>
      <c r="K182" s="2776"/>
      <c r="L182" s="2777"/>
      <c r="M182" s="2777"/>
      <c r="N182" s="2782"/>
      <c r="O182" s="2783"/>
      <c r="P182" s="2776"/>
      <c r="Q182" s="2777"/>
      <c r="R182" s="2777"/>
      <c r="S182" s="2782"/>
      <c r="T182" s="2783"/>
      <c r="U182" s="2776"/>
      <c r="V182" s="2777"/>
      <c r="W182" s="2777"/>
      <c r="X182" s="2782"/>
      <c r="Y182" s="2783"/>
      <c r="Z182" s="2776"/>
      <c r="AA182" s="2777"/>
      <c r="AB182" s="2777"/>
      <c r="AC182" s="2698"/>
      <c r="AD182" s="2699"/>
      <c r="AE182" s="2776"/>
      <c r="AF182" s="2777"/>
      <c r="AG182" s="2777"/>
      <c r="AH182" s="2698"/>
      <c r="AI182" s="2699"/>
      <c r="AJ182" s="2726"/>
      <c r="AK182" s="2727"/>
      <c r="AL182" s="2727"/>
      <c r="AM182" s="2698"/>
      <c r="AN182" s="2699"/>
      <c r="AO182" s="2776"/>
      <c r="AP182" s="2777"/>
      <c r="AQ182" s="2777"/>
      <c r="AR182" s="2782"/>
      <c r="AS182" s="2783"/>
      <c r="AT182" s="2726"/>
      <c r="AU182" s="2727"/>
      <c r="AV182" s="2727"/>
      <c r="AW182" s="2698"/>
      <c r="AX182" s="2699"/>
      <c r="AY182" s="2776"/>
      <c r="AZ182" s="2777"/>
      <c r="BA182" s="2777"/>
      <c r="BB182" s="2698"/>
      <c r="BC182" s="2699"/>
      <c r="BD182" s="2776"/>
      <c r="BE182" s="2777"/>
      <c r="BF182" s="2777"/>
      <c r="BG182" s="2782"/>
      <c r="BH182" s="2783"/>
      <c r="BI182" s="2776"/>
      <c r="BJ182" s="2777"/>
      <c r="BK182" s="2777"/>
      <c r="BL182" s="2782"/>
      <c r="BM182" s="2783"/>
      <c r="BN182" s="2776"/>
      <c r="BO182" s="2777"/>
      <c r="BP182" s="2777"/>
      <c r="BQ182" s="2782"/>
      <c r="BR182" s="2783"/>
      <c r="BS182" s="2776"/>
      <c r="BT182" s="2777"/>
      <c r="BU182" s="2777"/>
      <c r="BV182" s="2782"/>
      <c r="BW182" s="2783"/>
      <c r="BX182" s="2776"/>
      <c r="BY182" s="2777"/>
      <c r="BZ182" s="2777"/>
      <c r="CA182" s="2782"/>
      <c r="CB182" s="2783"/>
    </row>
    <row r="183" spans="1:93" ht="11.25" customHeight="1" x14ac:dyDescent="0.25">
      <c r="A183" s="2778"/>
      <c r="B183" s="2779"/>
      <c r="C183" s="2779"/>
      <c r="D183" s="2784"/>
      <c r="E183" s="2785"/>
      <c r="F183" s="2778"/>
      <c r="G183" s="2779"/>
      <c r="H183" s="2779"/>
      <c r="I183" s="2784"/>
      <c r="J183" s="2785"/>
      <c r="K183" s="2778"/>
      <c r="L183" s="2779"/>
      <c r="M183" s="2779"/>
      <c r="N183" s="2784"/>
      <c r="O183" s="2785"/>
      <c r="P183" s="2778"/>
      <c r="Q183" s="2779"/>
      <c r="R183" s="2779"/>
      <c r="S183" s="2784"/>
      <c r="T183" s="2785"/>
      <c r="U183" s="2778"/>
      <c r="V183" s="2779"/>
      <c r="W183" s="2779"/>
      <c r="X183" s="2784"/>
      <c r="Y183" s="2785"/>
      <c r="Z183" s="2778"/>
      <c r="AA183" s="2779"/>
      <c r="AB183" s="2779"/>
      <c r="AC183" s="2700"/>
      <c r="AD183" s="2701"/>
      <c r="AE183" s="2778"/>
      <c r="AF183" s="2779"/>
      <c r="AG183" s="2779"/>
      <c r="AH183" s="2700"/>
      <c r="AI183" s="2701"/>
      <c r="AJ183" s="2728"/>
      <c r="AK183" s="2729"/>
      <c r="AL183" s="2729"/>
      <c r="AM183" s="2700"/>
      <c r="AN183" s="2701"/>
      <c r="AO183" s="2778"/>
      <c r="AP183" s="2779"/>
      <c r="AQ183" s="2779"/>
      <c r="AR183" s="2784"/>
      <c r="AS183" s="2785"/>
      <c r="AT183" s="2728"/>
      <c r="AU183" s="2729"/>
      <c r="AV183" s="2729"/>
      <c r="AW183" s="2700"/>
      <c r="AX183" s="2701"/>
      <c r="AY183" s="2778"/>
      <c r="AZ183" s="2779"/>
      <c r="BA183" s="2779"/>
      <c r="BB183" s="2700"/>
      <c r="BC183" s="2701"/>
      <c r="BD183" s="2778"/>
      <c r="BE183" s="2779"/>
      <c r="BF183" s="2779"/>
      <c r="BG183" s="2784"/>
      <c r="BH183" s="2785"/>
      <c r="BI183" s="2778"/>
      <c r="BJ183" s="2779"/>
      <c r="BK183" s="2779"/>
      <c r="BL183" s="2784"/>
      <c r="BM183" s="2785"/>
      <c r="BN183" s="2778"/>
      <c r="BO183" s="2779"/>
      <c r="BP183" s="2779"/>
      <c r="BQ183" s="2784"/>
      <c r="BR183" s="2785"/>
      <c r="BS183" s="2778"/>
      <c r="BT183" s="2779"/>
      <c r="BU183" s="2779"/>
      <c r="BV183" s="2784"/>
      <c r="BW183" s="2785"/>
      <c r="BX183" s="2778"/>
      <c r="BY183" s="2779"/>
      <c r="BZ183" s="2779"/>
      <c r="CA183" s="2784"/>
      <c r="CB183" s="2785"/>
    </row>
    <row r="184" spans="1:93" s="535" customFormat="1" ht="111.75" customHeight="1" x14ac:dyDescent="1.35">
      <c r="A184" s="2790" t="s">
        <v>724</v>
      </c>
      <c r="B184" s="2828">
        <v>166</v>
      </c>
      <c r="C184" s="2829"/>
      <c r="D184" s="2829"/>
      <c r="E184" s="2830"/>
      <c r="F184" s="2790" t="s">
        <v>724</v>
      </c>
      <c r="G184" s="2828">
        <v>167</v>
      </c>
      <c r="H184" s="2829"/>
      <c r="I184" s="2829"/>
      <c r="J184" s="2830"/>
      <c r="K184" s="2790" t="s">
        <v>724</v>
      </c>
      <c r="L184" s="2681">
        <v>168</v>
      </c>
      <c r="M184" s="2682"/>
      <c r="N184" s="2682"/>
      <c r="O184" s="2683"/>
      <c r="P184" s="2790" t="s">
        <v>724</v>
      </c>
      <c r="Q184" s="2828">
        <v>169</v>
      </c>
      <c r="R184" s="2829"/>
      <c r="S184" s="2829"/>
      <c r="T184" s="2830"/>
      <c r="U184" s="2790" t="s">
        <v>724</v>
      </c>
      <c r="V184" s="2828">
        <v>170</v>
      </c>
      <c r="W184" s="2829"/>
      <c r="X184" s="2829"/>
      <c r="Y184" s="2830"/>
      <c r="Z184" s="2790" t="s">
        <v>724</v>
      </c>
      <c r="AA184" s="2828">
        <v>173</v>
      </c>
      <c r="AB184" s="2829"/>
      <c r="AC184" s="2829"/>
      <c r="AD184" s="2830"/>
      <c r="AE184" s="2790" t="s">
        <v>724</v>
      </c>
      <c r="AF184" s="2828">
        <v>197</v>
      </c>
      <c r="AG184" s="2829"/>
      <c r="AH184" s="2829"/>
      <c r="AI184" s="2830"/>
      <c r="AJ184" s="2790" t="s">
        <v>724</v>
      </c>
      <c r="AK184" s="2828">
        <v>198</v>
      </c>
      <c r="AL184" s="2829"/>
      <c r="AM184" s="2829"/>
      <c r="AN184" s="2830"/>
      <c r="AO184" s="2790" t="s">
        <v>724</v>
      </c>
      <c r="AP184" s="2828">
        <v>199</v>
      </c>
      <c r="AQ184" s="2829"/>
      <c r="AR184" s="2829"/>
      <c r="AS184" s="2830"/>
      <c r="AT184" s="2790" t="s">
        <v>724</v>
      </c>
      <c r="AU184" s="2828">
        <v>201</v>
      </c>
      <c r="AV184" s="2829"/>
      <c r="AW184" s="2829"/>
      <c r="AX184" s="2830"/>
      <c r="AY184" s="2790" t="s">
        <v>724</v>
      </c>
      <c r="AZ184" s="2828">
        <v>202</v>
      </c>
      <c r="BA184" s="2829"/>
      <c r="BB184" s="2829"/>
      <c r="BC184" s="2830"/>
      <c r="BD184" s="2790" t="s">
        <v>724</v>
      </c>
      <c r="BE184" s="2681">
        <v>203</v>
      </c>
      <c r="BF184" s="2682"/>
      <c r="BG184" s="2682"/>
      <c r="BH184" s="2683"/>
      <c r="BI184" s="2790" t="s">
        <v>724</v>
      </c>
      <c r="BJ184" s="2681">
        <v>204</v>
      </c>
      <c r="BK184" s="2682"/>
      <c r="BL184" s="2682"/>
      <c r="BM184" s="2683"/>
      <c r="BN184" s="2790" t="s">
        <v>724</v>
      </c>
      <c r="BO184" s="2681">
        <v>218</v>
      </c>
      <c r="BP184" s="2682"/>
      <c r="BQ184" s="2682"/>
      <c r="BR184" s="2683"/>
      <c r="BS184" s="2790" t="s">
        <v>724</v>
      </c>
      <c r="BT184" s="2681">
        <v>219</v>
      </c>
      <c r="BU184" s="2682"/>
      <c r="BV184" s="2682"/>
      <c r="BW184" s="2683"/>
      <c r="BX184" s="2790" t="s">
        <v>724</v>
      </c>
      <c r="BY184" s="2681">
        <v>220</v>
      </c>
      <c r="BZ184" s="2682"/>
      <c r="CA184" s="2682"/>
      <c r="CB184" s="2683"/>
    </row>
    <row r="185" spans="1:93" ht="50.25" customHeight="1" thickBot="1" x14ac:dyDescent="0.3">
      <c r="A185" s="2791"/>
      <c r="B185" s="518">
        <v>0.78739999999999999</v>
      </c>
      <c r="C185" s="519" t="s">
        <v>113</v>
      </c>
      <c r="D185" s="520">
        <v>1</v>
      </c>
      <c r="E185" s="523" t="s">
        <v>114</v>
      </c>
      <c r="F185" s="2791"/>
      <c r="G185" s="518">
        <v>0.78739999999999999</v>
      </c>
      <c r="H185" s="519" t="s">
        <v>113</v>
      </c>
      <c r="I185" s="520"/>
      <c r="J185" s="523" t="s">
        <v>114</v>
      </c>
      <c r="K185" s="2791"/>
      <c r="L185" s="518"/>
      <c r="M185" s="519" t="s">
        <v>113</v>
      </c>
      <c r="N185" s="520"/>
      <c r="O185" s="523" t="s">
        <v>114</v>
      </c>
      <c r="P185" s="2791"/>
      <c r="Q185" s="518">
        <v>0.38100000000000001</v>
      </c>
      <c r="R185" s="519" t="s">
        <v>113</v>
      </c>
      <c r="S185" s="520"/>
      <c r="T185" s="523" t="s">
        <v>114</v>
      </c>
      <c r="U185" s="2791"/>
      <c r="V185" s="518">
        <v>9.9999999999999994E-12</v>
      </c>
      <c r="W185" s="519" t="s">
        <v>113</v>
      </c>
      <c r="X185" s="520">
        <v>1</v>
      </c>
      <c r="Y185" s="523" t="s">
        <v>114</v>
      </c>
      <c r="Z185" s="2791"/>
      <c r="AA185" s="518">
        <v>0.15240000000000001</v>
      </c>
      <c r="AB185" s="519" t="s">
        <v>113</v>
      </c>
      <c r="AC185" s="520">
        <v>1</v>
      </c>
      <c r="AD185" s="523" t="s">
        <v>114</v>
      </c>
      <c r="AE185" s="2791"/>
      <c r="AF185" s="518">
        <v>0.71120000000000005</v>
      </c>
      <c r="AG185" s="519" t="s">
        <v>113</v>
      </c>
      <c r="AH185" s="520">
        <v>1</v>
      </c>
      <c r="AI185" s="523" t="s">
        <v>114</v>
      </c>
      <c r="AJ185" s="2791"/>
      <c r="AK185" s="518">
        <v>9.9999999999999994E-12</v>
      </c>
      <c r="AL185" s="519" t="s">
        <v>113</v>
      </c>
      <c r="AM185" s="520"/>
      <c r="AN185" s="523" t="s">
        <v>114</v>
      </c>
      <c r="AO185" s="2791"/>
      <c r="AP185" s="518">
        <v>9.9999999999999998E-13</v>
      </c>
      <c r="AQ185" s="519" t="s">
        <v>113</v>
      </c>
      <c r="AR185" s="520"/>
      <c r="AS185" s="523" t="s">
        <v>114</v>
      </c>
      <c r="AT185" s="2791"/>
      <c r="AU185" s="518">
        <v>9.9999999999999998E-17</v>
      </c>
      <c r="AV185" s="519" t="s">
        <v>113</v>
      </c>
      <c r="AW185" s="520"/>
      <c r="AX185" s="523" t="s">
        <v>114</v>
      </c>
      <c r="AY185" s="2791"/>
      <c r="AZ185" s="518">
        <v>9.9999999999999994E-12</v>
      </c>
      <c r="BA185" s="519" t="s">
        <v>113</v>
      </c>
      <c r="BB185" s="520"/>
      <c r="BC185" s="523" t="s">
        <v>114</v>
      </c>
      <c r="BD185" s="2791"/>
      <c r="BE185" s="518"/>
      <c r="BF185" s="519" t="s">
        <v>113</v>
      </c>
      <c r="BG185" s="520"/>
      <c r="BH185" s="523" t="s">
        <v>114</v>
      </c>
      <c r="BI185" s="2791"/>
      <c r="BJ185" s="518"/>
      <c r="BK185" s="519" t="s">
        <v>113</v>
      </c>
      <c r="BL185" s="520"/>
      <c r="BM185" s="523" t="s">
        <v>114</v>
      </c>
      <c r="BN185" s="2791"/>
      <c r="BO185" s="518"/>
      <c r="BP185" s="519" t="s">
        <v>113</v>
      </c>
      <c r="BQ185" s="520"/>
      <c r="BR185" s="523" t="s">
        <v>114</v>
      </c>
      <c r="BS185" s="2791"/>
      <c r="BT185" s="518"/>
      <c r="BU185" s="519" t="s">
        <v>113</v>
      </c>
      <c r="BV185" s="520"/>
      <c r="BW185" s="523" t="s">
        <v>114</v>
      </c>
      <c r="BX185" s="2791"/>
      <c r="BY185" s="518"/>
      <c r="BZ185" s="519" t="s">
        <v>113</v>
      </c>
      <c r="CA185" s="520"/>
      <c r="CB185" s="523" t="s">
        <v>114</v>
      </c>
      <c r="CG185" s="27"/>
      <c r="CH185" s="27"/>
      <c r="CI185" s="27"/>
      <c r="CJ185" s="27"/>
      <c r="CK185" s="27"/>
      <c r="CL185" s="27"/>
      <c r="CM185" s="27"/>
      <c r="CN185" s="27"/>
      <c r="CO185" s="27"/>
    </row>
    <row r="186" spans="1:93" ht="57" customHeight="1" thickTop="1" x14ac:dyDescent="0.25">
      <c r="A186" s="2786" t="s">
        <v>110</v>
      </c>
      <c r="B186" s="2787"/>
      <c r="C186" s="2788">
        <f t="shared" ref="C186" si="430">B191/((36*3.1415/59)*(73/3.281))</f>
        <v>2.344746072548209E-12</v>
      </c>
      <c r="D186" s="2788"/>
      <c r="E186" s="2789"/>
      <c r="F186" s="2786" t="s">
        <v>110</v>
      </c>
      <c r="G186" s="2787"/>
      <c r="H186" s="2788">
        <f t="shared" ref="H186" si="431">G191/((36*3.1415/59)*(73/3.281))</f>
        <v>0</v>
      </c>
      <c r="I186" s="2788"/>
      <c r="J186" s="2789"/>
      <c r="K186" s="2786" t="s">
        <v>110</v>
      </c>
      <c r="L186" s="2787"/>
      <c r="M186" s="2788">
        <f t="shared" ref="M186" si="432">L191/((36*3.1415/59)*(73/3.281))</f>
        <v>2.3447460725482088E-14</v>
      </c>
      <c r="N186" s="2788"/>
      <c r="O186" s="2789"/>
      <c r="P186" s="2786" t="s">
        <v>110</v>
      </c>
      <c r="Q186" s="2787"/>
      <c r="R186" s="2788">
        <f t="shared" ref="R186" si="433">Q191/((36*3.1415/59)*(73/3.281))</f>
        <v>0</v>
      </c>
      <c r="S186" s="2788"/>
      <c r="T186" s="2789"/>
      <c r="U186" s="2786" t="s">
        <v>110</v>
      </c>
      <c r="V186" s="2787"/>
      <c r="W186" s="2788">
        <f t="shared" ref="W186" si="434">V191/((36*3.1415/59)*(73/3.281))</f>
        <v>2.344746072548209E-12</v>
      </c>
      <c r="X186" s="2788"/>
      <c r="Y186" s="2789"/>
      <c r="Z186" s="2786" t="s">
        <v>110</v>
      </c>
      <c r="AA186" s="2787"/>
      <c r="AB186" s="2788">
        <f t="shared" ref="AB186" si="435">AA191/((36*3.1415/59)*(73/3.281))</f>
        <v>0</v>
      </c>
      <c r="AC186" s="2788"/>
      <c r="AD186" s="2789"/>
      <c r="AE186" s="2786" t="s">
        <v>110</v>
      </c>
      <c r="AF186" s="2787"/>
      <c r="AG186" s="2788">
        <f t="shared" ref="AG186" si="436">AF191/((36*3.1415/59)*(73/3.281))</f>
        <v>0</v>
      </c>
      <c r="AH186" s="2788"/>
      <c r="AI186" s="2789"/>
      <c r="AJ186" s="2786" t="s">
        <v>110</v>
      </c>
      <c r="AK186" s="2787"/>
      <c r="AL186" s="2788">
        <f t="shared" ref="AL186" si="437">AK191/((36*3.1415/59)*(73/3.281))</f>
        <v>0</v>
      </c>
      <c r="AM186" s="2788"/>
      <c r="AN186" s="2789"/>
      <c r="AO186" s="2786" t="s">
        <v>110</v>
      </c>
      <c r="AP186" s="2787"/>
      <c r="AQ186" s="2788">
        <f t="shared" ref="AQ186" si="438">AP191/((36*3.1415/59)*(73/3.281))</f>
        <v>0</v>
      </c>
      <c r="AR186" s="2788"/>
      <c r="AS186" s="2789"/>
      <c r="AT186" s="2786" t="s">
        <v>110</v>
      </c>
      <c r="AU186" s="2787"/>
      <c r="AV186" s="2788">
        <f t="shared" ref="AV186" si="439">AU191/((36*3.1415/59)*(73/3.281))</f>
        <v>0</v>
      </c>
      <c r="AW186" s="2788"/>
      <c r="AX186" s="2789"/>
      <c r="AY186" s="2786" t="s">
        <v>110</v>
      </c>
      <c r="AZ186" s="2787"/>
      <c r="BA186" s="2788">
        <f t="shared" ref="BA186" si="440">AZ191/((36*3.1415/59)*(73/3.281))</f>
        <v>4.7645240194179603E-3</v>
      </c>
      <c r="BB186" s="2788"/>
      <c r="BC186" s="2789"/>
      <c r="BD186" s="2786" t="s">
        <v>110</v>
      </c>
      <c r="BE186" s="2787"/>
      <c r="BF186" s="2788">
        <f t="shared" ref="BF186" si="441">BE191/((36*3.1415/59)*(73/3.281))</f>
        <v>2.3447460725482089E-10</v>
      </c>
      <c r="BG186" s="2788"/>
      <c r="BH186" s="2789"/>
      <c r="BI186" s="2786" t="s">
        <v>110</v>
      </c>
      <c r="BJ186" s="2787"/>
      <c r="BK186" s="2788">
        <f t="shared" ref="BK186" si="442">BJ191/((36*3.1415/59)*(73/3.281))</f>
        <v>3.3947233638352968E-2</v>
      </c>
      <c r="BL186" s="2788"/>
      <c r="BM186" s="2789"/>
      <c r="BN186" s="2786" t="s">
        <v>110</v>
      </c>
      <c r="BO186" s="2787"/>
      <c r="BP186" s="2788">
        <f t="shared" ref="BP186" si="443">BO191/((36*3.1415/59)*(73/3.281))</f>
        <v>2.3447460725482087E-13</v>
      </c>
      <c r="BQ186" s="2788"/>
      <c r="BR186" s="2789"/>
      <c r="BS186" s="2786" t="s">
        <v>110</v>
      </c>
      <c r="BT186" s="2787"/>
      <c r="BU186" s="2788">
        <f t="shared" ref="BU186" si="444">BT191/((36*3.1415/59)*(73/3.281))</f>
        <v>2.344746072548209E-16</v>
      </c>
      <c r="BV186" s="2788"/>
      <c r="BW186" s="2789"/>
      <c r="BX186" s="2786" t="s">
        <v>110</v>
      </c>
      <c r="BY186" s="2787"/>
      <c r="BZ186" s="2788">
        <f t="shared" ref="BZ186" si="445">BY191/((36*3.1415/59)*(73/3.281))</f>
        <v>0</v>
      </c>
      <c r="CA186" s="2788"/>
      <c r="CB186" s="2789"/>
    </row>
    <row r="187" spans="1:93" ht="11.25" customHeight="1" x14ac:dyDescent="0.25">
      <c r="A187" s="2774" t="s">
        <v>25</v>
      </c>
      <c r="B187" s="2775"/>
      <c r="C187" s="2775"/>
      <c r="D187" s="2696" t="s">
        <v>706</v>
      </c>
      <c r="E187" s="2697"/>
      <c r="F187" s="2774" t="s">
        <v>25</v>
      </c>
      <c r="G187" s="2775"/>
      <c r="H187" s="2775"/>
      <c r="I187" s="2780" t="s">
        <v>706</v>
      </c>
      <c r="J187" s="2781"/>
      <c r="K187" s="2774" t="s">
        <v>25</v>
      </c>
      <c r="L187" s="2775"/>
      <c r="M187" s="2775"/>
      <c r="N187" s="2780" t="s">
        <v>706</v>
      </c>
      <c r="O187" s="2781"/>
      <c r="P187" s="2774" t="s">
        <v>25</v>
      </c>
      <c r="Q187" s="2775"/>
      <c r="R187" s="2775"/>
      <c r="S187" s="2780" t="s">
        <v>706</v>
      </c>
      <c r="T187" s="2781"/>
      <c r="U187" s="2774" t="s">
        <v>25</v>
      </c>
      <c r="V187" s="2775"/>
      <c r="W187" s="2775"/>
      <c r="X187" s="2696" t="s">
        <v>706</v>
      </c>
      <c r="Y187" s="2697"/>
      <c r="Z187" s="2774" t="s">
        <v>25</v>
      </c>
      <c r="AA187" s="2775"/>
      <c r="AB187" s="2775"/>
      <c r="AC187" s="2780" t="s">
        <v>706</v>
      </c>
      <c r="AD187" s="2781"/>
      <c r="AE187" s="2774" t="s">
        <v>25</v>
      </c>
      <c r="AF187" s="2775"/>
      <c r="AG187" s="2775"/>
      <c r="AH187" s="2780" t="s">
        <v>706</v>
      </c>
      <c r="AI187" s="2781"/>
      <c r="AJ187" s="2774" t="s">
        <v>25</v>
      </c>
      <c r="AK187" s="2775"/>
      <c r="AL187" s="2775"/>
      <c r="AM187" s="2780" t="s">
        <v>706</v>
      </c>
      <c r="AN187" s="2781"/>
      <c r="AO187" s="2774" t="s">
        <v>25</v>
      </c>
      <c r="AP187" s="2775"/>
      <c r="AQ187" s="2775"/>
      <c r="AR187" s="2780" t="s">
        <v>706</v>
      </c>
      <c r="AS187" s="2781"/>
      <c r="AT187" s="2774" t="s">
        <v>25</v>
      </c>
      <c r="AU187" s="2775"/>
      <c r="AV187" s="2775"/>
      <c r="AW187" s="2780" t="s">
        <v>706</v>
      </c>
      <c r="AX187" s="2781"/>
      <c r="AY187" s="2724" t="s">
        <v>25</v>
      </c>
      <c r="AZ187" s="2725"/>
      <c r="BA187" s="2725"/>
      <c r="BB187" s="2696" t="s">
        <v>706</v>
      </c>
      <c r="BC187" s="2697"/>
      <c r="BD187" s="2774" t="s">
        <v>25</v>
      </c>
      <c r="BE187" s="2775"/>
      <c r="BF187" s="2775"/>
      <c r="BG187" s="2696" t="s">
        <v>706</v>
      </c>
      <c r="BH187" s="2697"/>
      <c r="BI187" s="2774" t="s">
        <v>25</v>
      </c>
      <c r="BJ187" s="2775"/>
      <c r="BK187" s="2775"/>
      <c r="BL187" s="2696" t="s">
        <v>706</v>
      </c>
      <c r="BM187" s="2697"/>
      <c r="BN187" s="2724" t="s">
        <v>25</v>
      </c>
      <c r="BO187" s="2725"/>
      <c r="BP187" s="2725"/>
      <c r="BQ187" s="2696" t="s">
        <v>706</v>
      </c>
      <c r="BR187" s="2697"/>
      <c r="BS187" s="2774" t="s">
        <v>25</v>
      </c>
      <c r="BT187" s="2775"/>
      <c r="BU187" s="2775"/>
      <c r="BV187" s="2696" t="s">
        <v>706</v>
      </c>
      <c r="BW187" s="2697"/>
      <c r="BX187" s="2774" t="s">
        <v>25</v>
      </c>
      <c r="BY187" s="2775"/>
      <c r="BZ187" s="2775"/>
      <c r="CA187" s="2780" t="s">
        <v>706</v>
      </c>
      <c r="CB187" s="2781"/>
    </row>
    <row r="188" spans="1:93" ht="11.25" customHeight="1" x14ac:dyDescent="0.25">
      <c r="A188" s="2776"/>
      <c r="B188" s="2777"/>
      <c r="C188" s="2777"/>
      <c r="D188" s="2698"/>
      <c r="E188" s="2699"/>
      <c r="F188" s="2776"/>
      <c r="G188" s="2777"/>
      <c r="H188" s="2777"/>
      <c r="I188" s="2782"/>
      <c r="J188" s="2783"/>
      <c r="K188" s="2776"/>
      <c r="L188" s="2777"/>
      <c r="M188" s="2777"/>
      <c r="N188" s="2782"/>
      <c r="O188" s="2783"/>
      <c r="P188" s="2776"/>
      <c r="Q188" s="2777"/>
      <c r="R188" s="2777"/>
      <c r="S188" s="2782"/>
      <c r="T188" s="2783"/>
      <c r="U188" s="2776"/>
      <c r="V188" s="2777"/>
      <c r="W188" s="2777"/>
      <c r="X188" s="2698"/>
      <c r="Y188" s="2699"/>
      <c r="Z188" s="2776"/>
      <c r="AA188" s="2777"/>
      <c r="AB188" s="2777"/>
      <c r="AC188" s="2782"/>
      <c r="AD188" s="2783"/>
      <c r="AE188" s="2776"/>
      <c r="AF188" s="2777"/>
      <c r="AG188" s="2777"/>
      <c r="AH188" s="2782"/>
      <c r="AI188" s="2783"/>
      <c r="AJ188" s="2776"/>
      <c r="AK188" s="2777"/>
      <c r="AL188" s="2777"/>
      <c r="AM188" s="2782"/>
      <c r="AN188" s="2783"/>
      <c r="AO188" s="2776"/>
      <c r="AP188" s="2777"/>
      <c r="AQ188" s="2777"/>
      <c r="AR188" s="2782"/>
      <c r="AS188" s="2783"/>
      <c r="AT188" s="2776"/>
      <c r="AU188" s="2777"/>
      <c r="AV188" s="2777"/>
      <c r="AW188" s="2782"/>
      <c r="AX188" s="2783"/>
      <c r="AY188" s="2726"/>
      <c r="AZ188" s="2727"/>
      <c r="BA188" s="2727"/>
      <c r="BB188" s="2698"/>
      <c r="BC188" s="2699"/>
      <c r="BD188" s="2776"/>
      <c r="BE188" s="2777"/>
      <c r="BF188" s="2777"/>
      <c r="BG188" s="2698"/>
      <c r="BH188" s="2699"/>
      <c r="BI188" s="2776"/>
      <c r="BJ188" s="2777"/>
      <c r="BK188" s="2777"/>
      <c r="BL188" s="2698"/>
      <c r="BM188" s="2699"/>
      <c r="BN188" s="2726"/>
      <c r="BO188" s="2727"/>
      <c r="BP188" s="2727"/>
      <c r="BQ188" s="2698"/>
      <c r="BR188" s="2699"/>
      <c r="BS188" s="2776"/>
      <c r="BT188" s="2777"/>
      <c r="BU188" s="2777"/>
      <c r="BV188" s="2698"/>
      <c r="BW188" s="2699"/>
      <c r="BX188" s="2776"/>
      <c r="BY188" s="2777"/>
      <c r="BZ188" s="2777"/>
      <c r="CA188" s="2782"/>
      <c r="CB188" s="2783"/>
    </row>
    <row r="189" spans="1:93" ht="11.25" customHeight="1" x14ac:dyDescent="0.25">
      <c r="A189" s="2778"/>
      <c r="B189" s="2779"/>
      <c r="C189" s="2779"/>
      <c r="D189" s="2700"/>
      <c r="E189" s="2701"/>
      <c r="F189" s="2778"/>
      <c r="G189" s="2779"/>
      <c r="H189" s="2779"/>
      <c r="I189" s="2784"/>
      <c r="J189" s="2785"/>
      <c r="K189" s="2778"/>
      <c r="L189" s="2779"/>
      <c r="M189" s="2779"/>
      <c r="N189" s="2784"/>
      <c r="O189" s="2785"/>
      <c r="P189" s="2778"/>
      <c r="Q189" s="2779"/>
      <c r="R189" s="2779"/>
      <c r="S189" s="2784"/>
      <c r="T189" s="2785"/>
      <c r="U189" s="2778"/>
      <c r="V189" s="2779"/>
      <c r="W189" s="2779"/>
      <c r="X189" s="2700"/>
      <c r="Y189" s="2701"/>
      <c r="Z189" s="2778"/>
      <c r="AA189" s="2779"/>
      <c r="AB189" s="2779"/>
      <c r="AC189" s="2784"/>
      <c r="AD189" s="2785"/>
      <c r="AE189" s="2778"/>
      <c r="AF189" s="2779"/>
      <c r="AG189" s="2779"/>
      <c r="AH189" s="2784"/>
      <c r="AI189" s="2785"/>
      <c r="AJ189" s="2778"/>
      <c r="AK189" s="2779"/>
      <c r="AL189" s="2779"/>
      <c r="AM189" s="2784"/>
      <c r="AN189" s="2785"/>
      <c r="AO189" s="2778"/>
      <c r="AP189" s="2779"/>
      <c r="AQ189" s="2779"/>
      <c r="AR189" s="2784"/>
      <c r="AS189" s="2785"/>
      <c r="AT189" s="2778"/>
      <c r="AU189" s="2779"/>
      <c r="AV189" s="2779"/>
      <c r="AW189" s="2784"/>
      <c r="AX189" s="2785"/>
      <c r="AY189" s="2728"/>
      <c r="AZ189" s="2729"/>
      <c r="BA189" s="2729"/>
      <c r="BB189" s="2700"/>
      <c r="BC189" s="2701"/>
      <c r="BD189" s="2778"/>
      <c r="BE189" s="2779"/>
      <c r="BF189" s="2779"/>
      <c r="BG189" s="2700"/>
      <c r="BH189" s="2701"/>
      <c r="BI189" s="2778"/>
      <c r="BJ189" s="2779"/>
      <c r="BK189" s="2779"/>
      <c r="BL189" s="2700"/>
      <c r="BM189" s="2701"/>
      <c r="BN189" s="2728"/>
      <c r="BO189" s="2729"/>
      <c r="BP189" s="2729"/>
      <c r="BQ189" s="2700"/>
      <c r="BR189" s="2701"/>
      <c r="BS189" s="2778"/>
      <c r="BT189" s="2779"/>
      <c r="BU189" s="2779"/>
      <c r="BV189" s="2700"/>
      <c r="BW189" s="2701"/>
      <c r="BX189" s="2778"/>
      <c r="BY189" s="2779"/>
      <c r="BZ189" s="2779"/>
      <c r="CA189" s="2784"/>
      <c r="CB189" s="2785"/>
    </row>
    <row r="190" spans="1:93" s="535" customFormat="1" ht="111.75" customHeight="1" x14ac:dyDescent="1.35">
      <c r="A190" s="2790" t="s">
        <v>724</v>
      </c>
      <c r="B190" s="2828">
        <v>221</v>
      </c>
      <c r="C190" s="2829"/>
      <c r="D190" s="2829"/>
      <c r="E190" s="2830"/>
      <c r="F190" s="2790" t="s">
        <v>724</v>
      </c>
      <c r="G190" s="2681">
        <v>222</v>
      </c>
      <c r="H190" s="2682"/>
      <c r="I190" s="2682"/>
      <c r="J190" s="2683"/>
      <c r="K190" s="2790" t="s">
        <v>724</v>
      </c>
      <c r="L190" s="2828">
        <v>224</v>
      </c>
      <c r="M190" s="2829"/>
      <c r="N190" s="2829"/>
      <c r="O190" s="2830"/>
      <c r="P190" s="2790" t="s">
        <v>724</v>
      </c>
      <c r="Q190" s="2681">
        <v>225</v>
      </c>
      <c r="R190" s="2682"/>
      <c r="S190" s="2682"/>
      <c r="T190" s="2683"/>
      <c r="U190" s="2790" t="s">
        <v>724</v>
      </c>
      <c r="V190" s="2828">
        <v>226</v>
      </c>
      <c r="W190" s="2829"/>
      <c r="X190" s="2829"/>
      <c r="Y190" s="2830"/>
      <c r="Z190" s="2790" t="s">
        <v>724</v>
      </c>
      <c r="AA190" s="2681">
        <v>227</v>
      </c>
      <c r="AB190" s="2682"/>
      <c r="AC190" s="2682"/>
      <c r="AD190" s="2683"/>
      <c r="AE190" s="2790" t="s">
        <v>724</v>
      </c>
      <c r="AF190" s="2681">
        <v>228</v>
      </c>
      <c r="AG190" s="2682"/>
      <c r="AH190" s="2682"/>
      <c r="AI190" s="2683"/>
      <c r="AJ190" s="2790" t="s">
        <v>724</v>
      </c>
      <c r="AK190" s="2681">
        <v>229</v>
      </c>
      <c r="AL190" s="2682"/>
      <c r="AM190" s="2682"/>
      <c r="AN190" s="2683"/>
      <c r="AO190" s="2790" t="s">
        <v>724</v>
      </c>
      <c r="AP190" s="2681">
        <v>230</v>
      </c>
      <c r="AQ190" s="2682"/>
      <c r="AR190" s="2682"/>
      <c r="AS190" s="2683"/>
      <c r="AT190" s="2790" t="s">
        <v>724</v>
      </c>
      <c r="AU190" s="2681">
        <v>231</v>
      </c>
      <c r="AV190" s="2682"/>
      <c r="AW190" s="2682"/>
      <c r="AX190" s="2683"/>
      <c r="AY190" s="2790" t="s">
        <v>724</v>
      </c>
      <c r="AZ190" s="2828">
        <v>232</v>
      </c>
      <c r="BA190" s="2829"/>
      <c r="BB190" s="2829"/>
      <c r="BC190" s="2830"/>
      <c r="BD190" s="2790" t="s">
        <v>724</v>
      </c>
      <c r="BE190" s="2828">
        <v>233</v>
      </c>
      <c r="BF190" s="2829"/>
      <c r="BG190" s="2829"/>
      <c r="BH190" s="2830"/>
      <c r="BI190" s="2790" t="s">
        <v>724</v>
      </c>
      <c r="BJ190" s="2828">
        <v>234</v>
      </c>
      <c r="BK190" s="2829"/>
      <c r="BL190" s="2829"/>
      <c r="BM190" s="2830"/>
      <c r="BN190" s="2790" t="s">
        <v>724</v>
      </c>
      <c r="BO190" s="2828">
        <v>235</v>
      </c>
      <c r="BP190" s="2829"/>
      <c r="BQ190" s="2829"/>
      <c r="BR190" s="2830"/>
      <c r="BS190" s="2790" t="s">
        <v>724</v>
      </c>
      <c r="BT190" s="2828">
        <v>236</v>
      </c>
      <c r="BU190" s="2829"/>
      <c r="BV190" s="2829"/>
      <c r="BW190" s="2830"/>
      <c r="BX190" s="2790" t="s">
        <v>724</v>
      </c>
      <c r="BY190" s="2681">
        <v>237</v>
      </c>
      <c r="BZ190" s="2682"/>
      <c r="CA190" s="2682"/>
      <c r="CB190" s="2683"/>
    </row>
    <row r="191" spans="1:93" ht="50.25" customHeight="1" thickBot="1" x14ac:dyDescent="0.3">
      <c r="A191" s="2791"/>
      <c r="B191" s="518">
        <v>1E-10</v>
      </c>
      <c r="C191" s="519" t="s">
        <v>113</v>
      </c>
      <c r="D191" s="520"/>
      <c r="E191" s="523" t="s">
        <v>114</v>
      </c>
      <c r="F191" s="2791"/>
      <c r="G191" s="518"/>
      <c r="H191" s="519" t="s">
        <v>113</v>
      </c>
      <c r="I191" s="520"/>
      <c r="J191" s="523" t="s">
        <v>114</v>
      </c>
      <c r="K191" s="2791"/>
      <c r="L191" s="518">
        <v>9.9999999999999998E-13</v>
      </c>
      <c r="M191" s="519" t="s">
        <v>113</v>
      </c>
      <c r="N191" s="520"/>
      <c r="O191" s="523" t="s">
        <v>114</v>
      </c>
      <c r="P191" s="2791"/>
      <c r="Q191" s="518"/>
      <c r="R191" s="519" t="s">
        <v>113</v>
      </c>
      <c r="S191" s="520"/>
      <c r="T191" s="523" t="s">
        <v>114</v>
      </c>
      <c r="U191" s="2791"/>
      <c r="V191" s="518">
        <v>1E-10</v>
      </c>
      <c r="W191" s="519" t="s">
        <v>113</v>
      </c>
      <c r="X191" s="520"/>
      <c r="Y191" s="523" t="s">
        <v>114</v>
      </c>
      <c r="Z191" s="2791"/>
      <c r="AA191" s="518"/>
      <c r="AB191" s="519" t="s">
        <v>113</v>
      </c>
      <c r="AC191" s="520"/>
      <c r="AD191" s="523" t="s">
        <v>114</v>
      </c>
      <c r="AE191" s="2791"/>
      <c r="AF191" s="518"/>
      <c r="AG191" s="519" t="s">
        <v>113</v>
      </c>
      <c r="AH191" s="520"/>
      <c r="AI191" s="523" t="s">
        <v>114</v>
      </c>
      <c r="AJ191" s="2791"/>
      <c r="AK191" s="518"/>
      <c r="AL191" s="519" t="s">
        <v>113</v>
      </c>
      <c r="AM191" s="520"/>
      <c r="AN191" s="523" t="s">
        <v>114</v>
      </c>
      <c r="AO191" s="2791"/>
      <c r="AP191" s="518"/>
      <c r="AQ191" s="519" t="s">
        <v>113</v>
      </c>
      <c r="AR191" s="520"/>
      <c r="AS191" s="523" t="s">
        <v>114</v>
      </c>
      <c r="AT191" s="2791"/>
      <c r="AU191" s="518"/>
      <c r="AV191" s="519" t="s">
        <v>113</v>
      </c>
      <c r="AW191" s="520"/>
      <c r="AX191" s="523" t="s">
        <v>114</v>
      </c>
      <c r="AY191" s="2791"/>
      <c r="AZ191" s="518">
        <v>0.20319999999999999</v>
      </c>
      <c r="BA191" s="519" t="s">
        <v>113</v>
      </c>
      <c r="BB191" s="520"/>
      <c r="BC191" s="523" t="s">
        <v>114</v>
      </c>
      <c r="BD191" s="2791"/>
      <c r="BE191" s="518">
        <v>1E-8</v>
      </c>
      <c r="BF191" s="519" t="s">
        <v>113</v>
      </c>
      <c r="BG191" s="520"/>
      <c r="BH191" s="523" t="s">
        <v>114</v>
      </c>
      <c r="BI191" s="2791"/>
      <c r="BJ191" s="518">
        <v>1.4478</v>
      </c>
      <c r="BK191" s="519" t="s">
        <v>113</v>
      </c>
      <c r="BL191" s="520"/>
      <c r="BM191" s="523" t="s">
        <v>114</v>
      </c>
      <c r="BN191" s="2791"/>
      <c r="BO191" s="518">
        <v>9.9999999999999994E-12</v>
      </c>
      <c r="BP191" s="519" t="s">
        <v>113</v>
      </c>
      <c r="BQ191" s="520">
        <v>1</v>
      </c>
      <c r="BR191" s="523" t="s">
        <v>114</v>
      </c>
      <c r="BS191" s="2791"/>
      <c r="BT191" s="518">
        <v>1E-14</v>
      </c>
      <c r="BU191" s="519" t="s">
        <v>113</v>
      </c>
      <c r="BV191" s="520"/>
      <c r="BW191" s="523" t="s">
        <v>114</v>
      </c>
      <c r="BX191" s="2791"/>
      <c r="BY191" s="518"/>
      <c r="BZ191" s="519" t="s">
        <v>113</v>
      </c>
      <c r="CA191" s="520"/>
      <c r="CB191" s="523" t="s">
        <v>114</v>
      </c>
      <c r="CG191" s="27"/>
      <c r="CH191" s="27"/>
      <c r="CI191" s="27"/>
      <c r="CJ191" s="27"/>
      <c r="CK191" s="27"/>
      <c r="CL191" s="27"/>
      <c r="CM191" s="27"/>
      <c r="CN191" s="27"/>
      <c r="CO191" s="27"/>
    </row>
    <row r="192" spans="1:93" ht="57" customHeight="1" thickTop="1" x14ac:dyDescent="0.25">
      <c r="A192" s="2786" t="s">
        <v>110</v>
      </c>
      <c r="B192" s="2787"/>
      <c r="C192" s="2788">
        <f t="shared" ref="C192" si="446">B197/((36*3.1415/59)*(73/3.281))</f>
        <v>0</v>
      </c>
      <c r="D192" s="2788"/>
      <c r="E192" s="2789"/>
      <c r="F192" s="2786" t="s">
        <v>110</v>
      </c>
      <c r="G192" s="2787"/>
      <c r="H192" s="2788">
        <f t="shared" ref="H192" si="447">G197/((36*3.1415/59)*(73/3.281))</f>
        <v>0</v>
      </c>
      <c r="I192" s="2788"/>
      <c r="J192" s="2789"/>
      <c r="K192" s="2786" t="s">
        <v>110</v>
      </c>
      <c r="L192" s="2787"/>
      <c r="M192" s="2788">
        <f t="shared" ref="M192" si="448">L197/((36*3.1415/59)*(73/3.281))</f>
        <v>2.3447460725482089E-15</v>
      </c>
      <c r="N192" s="2788"/>
      <c r="O192" s="2789"/>
      <c r="P192" s="2786" t="s">
        <v>110</v>
      </c>
      <c r="Q192" s="2787"/>
      <c r="R192" s="2788">
        <f t="shared" ref="R192" si="449">Q197/((36*3.1415/59)*(73/3.281))</f>
        <v>0</v>
      </c>
      <c r="S192" s="2788"/>
      <c r="T192" s="2789"/>
      <c r="U192" s="2786" t="s">
        <v>110</v>
      </c>
      <c r="V192" s="2787"/>
      <c r="W192" s="2788">
        <f t="shared" ref="W192" si="450">V197/((36*3.1415/59)*(73/3.281))</f>
        <v>0</v>
      </c>
      <c r="X192" s="2788"/>
      <c r="Y192" s="2789"/>
      <c r="Z192" s="2786" t="s">
        <v>110</v>
      </c>
      <c r="AA192" s="2787"/>
      <c r="AB192" s="2788">
        <f t="shared" ref="AB192" si="451">AA197/((36*3.1415/59)*(73/3.281))</f>
        <v>5.3600895218452052E-3</v>
      </c>
      <c r="AC192" s="2788"/>
      <c r="AD192" s="2789"/>
      <c r="AE192" s="2786" t="s">
        <v>110</v>
      </c>
      <c r="AF192" s="2787"/>
      <c r="AG192" s="2788">
        <f t="shared" ref="AG192" si="452">AF197/((36*3.1415/59)*(73/3.281))</f>
        <v>2.3447460725482089E-15</v>
      </c>
      <c r="AH192" s="2788"/>
      <c r="AI192" s="2789"/>
      <c r="AJ192" s="2786" t="s">
        <v>110</v>
      </c>
      <c r="AK192" s="2787"/>
      <c r="AL192" s="2788">
        <f t="shared" ref="AL192" si="453">AK197/((36*3.1415/59)*(73/3.281))</f>
        <v>0</v>
      </c>
      <c r="AM192" s="2788"/>
      <c r="AN192" s="2789"/>
      <c r="AO192" s="2786" t="s">
        <v>110</v>
      </c>
      <c r="AP192" s="2787"/>
      <c r="AQ192" s="2788">
        <f t="shared" ref="AQ192" si="454">AP197/((36*3.1415/59)*(73/3.281))</f>
        <v>2.344746072548209E-17</v>
      </c>
      <c r="AR192" s="2788"/>
      <c r="AS192" s="2789"/>
      <c r="AT192" s="2786" t="s">
        <v>110</v>
      </c>
      <c r="AU192" s="2787"/>
      <c r="AV192" s="2788">
        <f t="shared" ref="AV192" si="455">AU197/((36*3.1415/59)*(73/3.281))</f>
        <v>2.3447460725482089E-15</v>
      </c>
      <c r="AW192" s="2788"/>
      <c r="AX192" s="2789"/>
      <c r="AY192" s="2786" t="s">
        <v>110</v>
      </c>
      <c r="AZ192" s="2787"/>
      <c r="BA192" s="2788">
        <f t="shared" ref="BA192" si="456">AZ197/((36*3.1415/59)*(73/3.281))</f>
        <v>4.7645240194179603E-3</v>
      </c>
      <c r="BB192" s="2788"/>
      <c r="BC192" s="2789"/>
      <c r="BD192" s="2786" t="s">
        <v>110</v>
      </c>
      <c r="BE192" s="2787"/>
      <c r="BF192" s="2788">
        <f t="shared" ref="BF192" si="457">BE197/((36*3.1415/59)*(73/3.281))</f>
        <v>0</v>
      </c>
      <c r="BG192" s="2788"/>
      <c r="BH192" s="2789"/>
      <c r="BI192" s="2786" t="s">
        <v>110</v>
      </c>
      <c r="BJ192" s="2787"/>
      <c r="BK192" s="2788">
        <f t="shared" ref="BK192" si="458">BJ197/((36*3.1415/59)*(73/3.281))</f>
        <v>0</v>
      </c>
      <c r="BL192" s="2788"/>
      <c r="BM192" s="2789"/>
      <c r="BN192" s="2786" t="s">
        <v>110</v>
      </c>
      <c r="BO192" s="2787"/>
      <c r="BP192" s="2788">
        <f t="shared" ref="BP192" si="459">BO197/((36*3.1415/59)*(73/3.281))</f>
        <v>0</v>
      </c>
      <c r="BQ192" s="2788"/>
      <c r="BR192" s="2789"/>
      <c r="BS192" s="2786" t="s">
        <v>110</v>
      </c>
      <c r="BT192" s="2787"/>
      <c r="BU192" s="2788">
        <f t="shared" ref="BU192" si="460">BT197/((36*3.1415/59)*(73/3.281))</f>
        <v>1.2506875550972145E-2</v>
      </c>
      <c r="BV192" s="2788"/>
      <c r="BW192" s="2789"/>
      <c r="BX192" s="2786" t="s">
        <v>110</v>
      </c>
      <c r="BY192" s="2787"/>
      <c r="BZ192" s="2788">
        <f t="shared" ref="BZ192" si="461">BY197/((36*3.1415/59)*(73/3.281))</f>
        <v>0</v>
      </c>
      <c r="CA192" s="2788"/>
      <c r="CB192" s="2789"/>
    </row>
    <row r="193" spans="1:148" ht="11.25" customHeight="1" x14ac:dyDescent="0.25">
      <c r="A193" s="2774" t="s">
        <v>25</v>
      </c>
      <c r="B193" s="2775"/>
      <c r="C193" s="2775"/>
      <c r="D193" s="2780" t="s">
        <v>706</v>
      </c>
      <c r="E193" s="2781"/>
      <c r="F193" s="2774" t="s">
        <v>25</v>
      </c>
      <c r="G193" s="2775"/>
      <c r="H193" s="2775"/>
      <c r="I193" s="2780" t="s">
        <v>706</v>
      </c>
      <c r="J193" s="2781"/>
      <c r="K193" s="2774" t="s">
        <v>25</v>
      </c>
      <c r="L193" s="2775"/>
      <c r="M193" s="2775"/>
      <c r="N193" s="2696" t="s">
        <v>706</v>
      </c>
      <c r="O193" s="2697"/>
      <c r="P193" s="2724" t="s">
        <v>25</v>
      </c>
      <c r="Q193" s="2725"/>
      <c r="R193" s="2725"/>
      <c r="S193" s="2696" t="s">
        <v>706</v>
      </c>
      <c r="T193" s="2697"/>
      <c r="U193" s="2774" t="s">
        <v>25</v>
      </c>
      <c r="V193" s="2775"/>
      <c r="W193" s="2775"/>
      <c r="X193" s="2780" t="s">
        <v>706</v>
      </c>
      <c r="Y193" s="2781"/>
      <c r="Z193" s="2724" t="s">
        <v>25</v>
      </c>
      <c r="AA193" s="2725"/>
      <c r="AB193" s="2725"/>
      <c r="AC193" s="2696" t="s">
        <v>706</v>
      </c>
      <c r="AD193" s="2697"/>
      <c r="AE193" s="2774" t="s">
        <v>25</v>
      </c>
      <c r="AF193" s="2775"/>
      <c r="AG193" s="2775"/>
      <c r="AH193" s="2696" t="s">
        <v>706</v>
      </c>
      <c r="AI193" s="2697"/>
      <c r="AJ193" s="2774" t="s">
        <v>25</v>
      </c>
      <c r="AK193" s="2775"/>
      <c r="AL193" s="2775"/>
      <c r="AM193" s="2696" t="s">
        <v>706</v>
      </c>
      <c r="AN193" s="2697"/>
      <c r="AO193" s="2774" t="s">
        <v>25</v>
      </c>
      <c r="AP193" s="2775"/>
      <c r="AQ193" s="2775"/>
      <c r="AR193" s="2780" t="s">
        <v>706</v>
      </c>
      <c r="AS193" s="2781"/>
      <c r="AT193" s="2774" t="s">
        <v>25</v>
      </c>
      <c r="AU193" s="2775"/>
      <c r="AV193" s="2775"/>
      <c r="AW193" s="2696" t="s">
        <v>706</v>
      </c>
      <c r="AX193" s="2697"/>
      <c r="AY193" s="2774" t="s">
        <v>25</v>
      </c>
      <c r="AZ193" s="2775"/>
      <c r="BA193" s="2775"/>
      <c r="BB193" s="2696" t="s">
        <v>706</v>
      </c>
      <c r="BC193" s="2697"/>
      <c r="BD193" s="2774" t="s">
        <v>25</v>
      </c>
      <c r="BE193" s="2775"/>
      <c r="BF193" s="2775"/>
      <c r="BG193" s="2780" t="s">
        <v>706</v>
      </c>
      <c r="BH193" s="2781"/>
      <c r="BI193" s="2774" t="s">
        <v>25</v>
      </c>
      <c r="BJ193" s="2775"/>
      <c r="BK193" s="2775"/>
      <c r="BL193" s="2780" t="s">
        <v>706</v>
      </c>
      <c r="BM193" s="2781"/>
      <c r="BN193" s="2774" t="s">
        <v>25</v>
      </c>
      <c r="BO193" s="2775"/>
      <c r="BP193" s="2775"/>
      <c r="BQ193" s="2780" t="s">
        <v>706</v>
      </c>
      <c r="BR193" s="2781"/>
      <c r="BS193" s="2724" t="s">
        <v>25</v>
      </c>
      <c r="BT193" s="2725"/>
      <c r="BU193" s="2725"/>
      <c r="BV193" s="2696" t="s">
        <v>706</v>
      </c>
      <c r="BW193" s="2697"/>
      <c r="BX193" s="2774" t="s">
        <v>25</v>
      </c>
      <c r="BY193" s="2775"/>
      <c r="BZ193" s="2775"/>
      <c r="CA193" s="2780" t="s">
        <v>706</v>
      </c>
      <c r="CB193" s="2781"/>
    </row>
    <row r="194" spans="1:148" ht="11.25" customHeight="1" x14ac:dyDescent="0.25">
      <c r="A194" s="2776"/>
      <c r="B194" s="2777"/>
      <c r="C194" s="2777"/>
      <c r="D194" s="2782"/>
      <c r="E194" s="2783"/>
      <c r="F194" s="2776"/>
      <c r="G194" s="2777"/>
      <c r="H194" s="2777"/>
      <c r="I194" s="2782"/>
      <c r="J194" s="2783"/>
      <c r="K194" s="2776"/>
      <c r="L194" s="2777"/>
      <c r="M194" s="2777"/>
      <c r="N194" s="2698"/>
      <c r="O194" s="2699"/>
      <c r="P194" s="2726"/>
      <c r="Q194" s="2727"/>
      <c r="R194" s="2727"/>
      <c r="S194" s="2698"/>
      <c r="T194" s="2699"/>
      <c r="U194" s="2776"/>
      <c r="V194" s="2777"/>
      <c r="W194" s="2777"/>
      <c r="X194" s="2782"/>
      <c r="Y194" s="2783"/>
      <c r="Z194" s="2726"/>
      <c r="AA194" s="2727"/>
      <c r="AB194" s="2727"/>
      <c r="AC194" s="2698"/>
      <c r="AD194" s="2699"/>
      <c r="AE194" s="2776"/>
      <c r="AF194" s="2777"/>
      <c r="AG194" s="2777"/>
      <c r="AH194" s="2698"/>
      <c r="AI194" s="2699"/>
      <c r="AJ194" s="2776"/>
      <c r="AK194" s="2777"/>
      <c r="AL194" s="2777"/>
      <c r="AM194" s="2698"/>
      <c r="AN194" s="2699"/>
      <c r="AO194" s="2776"/>
      <c r="AP194" s="2777"/>
      <c r="AQ194" s="2777"/>
      <c r="AR194" s="2782"/>
      <c r="AS194" s="2783"/>
      <c r="AT194" s="2776"/>
      <c r="AU194" s="2777"/>
      <c r="AV194" s="2777"/>
      <c r="AW194" s="2698"/>
      <c r="AX194" s="2699"/>
      <c r="AY194" s="2776"/>
      <c r="AZ194" s="2777"/>
      <c r="BA194" s="2777"/>
      <c r="BB194" s="2698"/>
      <c r="BC194" s="2699"/>
      <c r="BD194" s="2776"/>
      <c r="BE194" s="2777"/>
      <c r="BF194" s="2777"/>
      <c r="BG194" s="2782"/>
      <c r="BH194" s="2783"/>
      <c r="BI194" s="2776"/>
      <c r="BJ194" s="2777"/>
      <c r="BK194" s="2777"/>
      <c r="BL194" s="2782"/>
      <c r="BM194" s="2783"/>
      <c r="BN194" s="2776"/>
      <c r="BO194" s="2777"/>
      <c r="BP194" s="2777"/>
      <c r="BQ194" s="2782"/>
      <c r="BR194" s="2783"/>
      <c r="BS194" s="2726"/>
      <c r="BT194" s="2727"/>
      <c r="BU194" s="2727"/>
      <c r="BV194" s="2698"/>
      <c r="BW194" s="2699"/>
      <c r="BX194" s="2776"/>
      <c r="BY194" s="2777"/>
      <c r="BZ194" s="2777"/>
      <c r="CA194" s="2782"/>
      <c r="CB194" s="2783"/>
    </row>
    <row r="195" spans="1:148" ht="11.25" customHeight="1" x14ac:dyDescent="0.25">
      <c r="A195" s="2778"/>
      <c r="B195" s="2779"/>
      <c r="C195" s="2779"/>
      <c r="D195" s="2784"/>
      <c r="E195" s="2785"/>
      <c r="F195" s="2778"/>
      <c r="G195" s="2779"/>
      <c r="H195" s="2779"/>
      <c r="I195" s="2784"/>
      <c r="J195" s="2785"/>
      <c r="K195" s="2778"/>
      <c r="L195" s="2779"/>
      <c r="M195" s="2779"/>
      <c r="N195" s="2700"/>
      <c r="O195" s="2701"/>
      <c r="P195" s="2728"/>
      <c r="Q195" s="2729"/>
      <c r="R195" s="2729"/>
      <c r="S195" s="2700"/>
      <c r="T195" s="2701"/>
      <c r="U195" s="2778"/>
      <c r="V195" s="2779"/>
      <c r="W195" s="2779"/>
      <c r="X195" s="2784"/>
      <c r="Y195" s="2785"/>
      <c r="Z195" s="2728"/>
      <c r="AA195" s="2729"/>
      <c r="AB195" s="2729"/>
      <c r="AC195" s="2700"/>
      <c r="AD195" s="2701"/>
      <c r="AE195" s="2778"/>
      <c r="AF195" s="2779"/>
      <c r="AG195" s="2779"/>
      <c r="AH195" s="2700"/>
      <c r="AI195" s="2701"/>
      <c r="AJ195" s="2778"/>
      <c r="AK195" s="2779"/>
      <c r="AL195" s="2779"/>
      <c r="AM195" s="2700"/>
      <c r="AN195" s="2701"/>
      <c r="AO195" s="2778"/>
      <c r="AP195" s="2779"/>
      <c r="AQ195" s="2779"/>
      <c r="AR195" s="2784"/>
      <c r="AS195" s="2785"/>
      <c r="AT195" s="2778"/>
      <c r="AU195" s="2779"/>
      <c r="AV195" s="2779"/>
      <c r="AW195" s="2700"/>
      <c r="AX195" s="2701"/>
      <c r="AY195" s="2778"/>
      <c r="AZ195" s="2779"/>
      <c r="BA195" s="2779"/>
      <c r="BB195" s="2700"/>
      <c r="BC195" s="2701"/>
      <c r="BD195" s="2778"/>
      <c r="BE195" s="2779"/>
      <c r="BF195" s="2779"/>
      <c r="BG195" s="2784"/>
      <c r="BH195" s="2785"/>
      <c r="BI195" s="2778"/>
      <c r="BJ195" s="2779"/>
      <c r="BK195" s="2779"/>
      <c r="BL195" s="2784"/>
      <c r="BM195" s="2785"/>
      <c r="BN195" s="2778"/>
      <c r="BO195" s="2779"/>
      <c r="BP195" s="2779"/>
      <c r="BQ195" s="2784"/>
      <c r="BR195" s="2785"/>
      <c r="BS195" s="2728"/>
      <c r="BT195" s="2729"/>
      <c r="BU195" s="2729"/>
      <c r="BV195" s="2700"/>
      <c r="BW195" s="2701"/>
      <c r="BX195" s="2778"/>
      <c r="BY195" s="2779"/>
      <c r="BZ195" s="2779"/>
      <c r="CA195" s="2784"/>
      <c r="CB195" s="2785"/>
    </row>
    <row r="196" spans="1:148" s="535" customFormat="1" ht="111.75" customHeight="1" x14ac:dyDescent="1.35">
      <c r="A196" s="2790" t="s">
        <v>724</v>
      </c>
      <c r="B196" s="2681">
        <v>238</v>
      </c>
      <c r="C196" s="2682"/>
      <c r="D196" s="2682"/>
      <c r="E196" s="2683"/>
      <c r="F196" s="2790" t="s">
        <v>724</v>
      </c>
      <c r="G196" s="2681">
        <v>239</v>
      </c>
      <c r="H196" s="2682"/>
      <c r="I196" s="2682"/>
      <c r="J196" s="2683"/>
      <c r="K196" s="2790" t="s">
        <v>724</v>
      </c>
      <c r="L196" s="2828">
        <v>240</v>
      </c>
      <c r="M196" s="2829"/>
      <c r="N196" s="2829"/>
      <c r="O196" s="2830"/>
      <c r="P196" s="2790" t="s">
        <v>724</v>
      </c>
      <c r="Q196" s="2681">
        <v>241</v>
      </c>
      <c r="R196" s="2682"/>
      <c r="S196" s="2682"/>
      <c r="T196" s="2683"/>
      <c r="U196" s="2790" t="s">
        <v>724</v>
      </c>
      <c r="V196" s="2681">
        <v>242</v>
      </c>
      <c r="W196" s="2682"/>
      <c r="X196" s="2682"/>
      <c r="Y196" s="2683"/>
      <c r="Z196" s="2790" t="s">
        <v>724</v>
      </c>
      <c r="AA196" s="2828">
        <v>243</v>
      </c>
      <c r="AB196" s="2829"/>
      <c r="AC196" s="2829"/>
      <c r="AD196" s="2830"/>
      <c r="AE196" s="2790" t="s">
        <v>724</v>
      </c>
      <c r="AF196" s="2828">
        <v>244</v>
      </c>
      <c r="AG196" s="2829"/>
      <c r="AH196" s="2829"/>
      <c r="AI196" s="2830"/>
      <c r="AJ196" s="2790" t="s">
        <v>724</v>
      </c>
      <c r="AK196" s="2681">
        <v>245</v>
      </c>
      <c r="AL196" s="2682"/>
      <c r="AM196" s="2682"/>
      <c r="AN196" s="2683"/>
      <c r="AO196" s="2790" t="s">
        <v>724</v>
      </c>
      <c r="AP196" s="2828">
        <v>246</v>
      </c>
      <c r="AQ196" s="2829"/>
      <c r="AR196" s="2829"/>
      <c r="AS196" s="2830"/>
      <c r="AT196" s="2790" t="s">
        <v>724</v>
      </c>
      <c r="AU196" s="2828">
        <v>247</v>
      </c>
      <c r="AV196" s="2829"/>
      <c r="AW196" s="2829"/>
      <c r="AX196" s="2830"/>
      <c r="AY196" s="2790" t="s">
        <v>724</v>
      </c>
      <c r="AZ196" s="2828">
        <v>248</v>
      </c>
      <c r="BA196" s="2829"/>
      <c r="BB196" s="2829"/>
      <c r="BC196" s="2830"/>
      <c r="BD196" s="2790" t="s">
        <v>724</v>
      </c>
      <c r="BE196" s="2681">
        <v>249</v>
      </c>
      <c r="BF196" s="2682"/>
      <c r="BG196" s="2682"/>
      <c r="BH196" s="2683"/>
      <c r="BI196" s="2790" t="s">
        <v>724</v>
      </c>
      <c r="BJ196" s="2681">
        <v>250</v>
      </c>
      <c r="BK196" s="2682"/>
      <c r="BL196" s="2682"/>
      <c r="BM196" s="2683"/>
      <c r="BN196" s="2790" t="s">
        <v>724</v>
      </c>
      <c r="BO196" s="2681">
        <v>251</v>
      </c>
      <c r="BP196" s="2682"/>
      <c r="BQ196" s="2682"/>
      <c r="BR196" s="2683"/>
      <c r="BS196" s="2790" t="s">
        <v>724</v>
      </c>
      <c r="BT196" s="2828">
        <v>252</v>
      </c>
      <c r="BU196" s="2829"/>
      <c r="BV196" s="2829"/>
      <c r="BW196" s="2830"/>
      <c r="BX196" s="2790" t="s">
        <v>724</v>
      </c>
      <c r="BY196" s="2681">
        <v>253</v>
      </c>
      <c r="BZ196" s="2682"/>
      <c r="CA196" s="2682"/>
      <c r="CB196" s="2683"/>
    </row>
    <row r="197" spans="1:148" ht="50.25" customHeight="1" thickBot="1" x14ac:dyDescent="0.3">
      <c r="A197" s="2791"/>
      <c r="B197" s="518"/>
      <c r="C197" s="519" t="s">
        <v>113</v>
      </c>
      <c r="D197" s="520"/>
      <c r="E197" s="523" t="s">
        <v>114</v>
      </c>
      <c r="F197" s="2791"/>
      <c r="G197" s="518"/>
      <c r="H197" s="519" t="s">
        <v>113</v>
      </c>
      <c r="I197" s="520"/>
      <c r="J197" s="523" t="s">
        <v>114</v>
      </c>
      <c r="K197" s="2791"/>
      <c r="L197" s="518">
        <v>1E-13</v>
      </c>
      <c r="M197" s="519" t="s">
        <v>113</v>
      </c>
      <c r="N197" s="520"/>
      <c r="O197" s="523" t="s">
        <v>114</v>
      </c>
      <c r="P197" s="2791"/>
      <c r="Q197" s="518"/>
      <c r="R197" s="519" t="s">
        <v>113</v>
      </c>
      <c r="S197" s="520"/>
      <c r="T197" s="523" t="s">
        <v>114</v>
      </c>
      <c r="U197" s="2791"/>
      <c r="V197" s="518"/>
      <c r="W197" s="519" t="s">
        <v>113</v>
      </c>
      <c r="X197" s="520"/>
      <c r="Y197" s="523" t="s">
        <v>114</v>
      </c>
      <c r="Z197" s="2791"/>
      <c r="AA197" s="518">
        <v>0.2286</v>
      </c>
      <c r="AB197" s="519" t="s">
        <v>113</v>
      </c>
      <c r="AC197" s="520"/>
      <c r="AD197" s="523" t="s">
        <v>114</v>
      </c>
      <c r="AE197" s="2791"/>
      <c r="AF197" s="518">
        <v>1E-13</v>
      </c>
      <c r="AG197" s="519" t="s">
        <v>113</v>
      </c>
      <c r="AH197" s="520"/>
      <c r="AI197" s="523" t="s">
        <v>114</v>
      </c>
      <c r="AJ197" s="2791"/>
      <c r="AK197" s="518"/>
      <c r="AL197" s="519" t="s">
        <v>113</v>
      </c>
      <c r="AM197" s="520"/>
      <c r="AN197" s="523" t="s">
        <v>114</v>
      </c>
      <c r="AO197" s="2791"/>
      <c r="AP197" s="518">
        <v>1.0000000000000001E-15</v>
      </c>
      <c r="AQ197" s="519" t="s">
        <v>113</v>
      </c>
      <c r="AR197" s="520">
        <v>1</v>
      </c>
      <c r="AS197" s="523" t="s">
        <v>114</v>
      </c>
      <c r="AT197" s="2791"/>
      <c r="AU197" s="518">
        <v>1E-13</v>
      </c>
      <c r="AV197" s="519" t="s">
        <v>113</v>
      </c>
      <c r="AW197" s="520"/>
      <c r="AX197" s="523" t="s">
        <v>114</v>
      </c>
      <c r="AY197" s="2791"/>
      <c r="AZ197" s="518">
        <v>0.20319999999999999</v>
      </c>
      <c r="BA197" s="519" t="s">
        <v>113</v>
      </c>
      <c r="BB197" s="520"/>
      <c r="BC197" s="523" t="s">
        <v>114</v>
      </c>
      <c r="BD197" s="2791"/>
      <c r="BE197" s="518"/>
      <c r="BF197" s="519" t="s">
        <v>113</v>
      </c>
      <c r="BG197" s="520"/>
      <c r="BH197" s="523" t="s">
        <v>114</v>
      </c>
      <c r="BI197" s="2791"/>
      <c r="BJ197" s="518"/>
      <c r="BK197" s="519" t="s">
        <v>113</v>
      </c>
      <c r="BL197" s="520"/>
      <c r="BM197" s="523" t="s">
        <v>114</v>
      </c>
      <c r="BN197" s="2791"/>
      <c r="BO197" s="518"/>
      <c r="BP197" s="519" t="s">
        <v>113</v>
      </c>
      <c r="BQ197" s="520"/>
      <c r="BR197" s="523" t="s">
        <v>114</v>
      </c>
      <c r="BS197" s="2791"/>
      <c r="BT197" s="518">
        <v>0.53339999999999999</v>
      </c>
      <c r="BU197" s="519" t="s">
        <v>113</v>
      </c>
      <c r="BV197" s="520"/>
      <c r="BW197" s="523" t="s">
        <v>114</v>
      </c>
      <c r="BX197" s="2791"/>
      <c r="BY197" s="518"/>
      <c r="BZ197" s="519" t="s">
        <v>113</v>
      </c>
      <c r="CA197" s="520"/>
      <c r="CB197" s="523" t="s">
        <v>114</v>
      </c>
      <c r="CG197" s="27"/>
      <c r="CH197" s="27"/>
      <c r="CI197" s="27"/>
      <c r="CJ197" s="27"/>
      <c r="CK197" s="27"/>
      <c r="CL197" s="27"/>
      <c r="CM197" s="27"/>
      <c r="CN197" s="27"/>
      <c r="CO197" s="27"/>
    </row>
    <row r="198" spans="1:148" ht="57" customHeight="1" thickTop="1" x14ac:dyDescent="0.25">
      <c r="A198" s="2786" t="s">
        <v>110</v>
      </c>
      <c r="B198" s="2787"/>
      <c r="C198" s="2788">
        <f>B203/((36*3.1415/59)*(73/3.281))</f>
        <v>2.4418185599517049E-2</v>
      </c>
      <c r="D198" s="2788"/>
      <c r="E198" s="2789"/>
      <c r="F198" s="2786" t="s">
        <v>110</v>
      </c>
      <c r="G198" s="2787"/>
      <c r="H198" s="2788">
        <f t="shared" ref="H198" si="462">G203/((36*3.1415/59)*(73/3.281))</f>
        <v>0</v>
      </c>
      <c r="I198" s="2788"/>
      <c r="J198" s="2789"/>
      <c r="K198" s="2786" t="s">
        <v>110</v>
      </c>
      <c r="L198" s="2787"/>
      <c r="M198" s="2788">
        <f t="shared" ref="M198" si="463">L203/((36*3.1415/59)*(73/3.281))</f>
        <v>9.5290480388359206E-3</v>
      </c>
      <c r="N198" s="2788"/>
      <c r="O198" s="2789"/>
      <c r="P198" s="2786" t="s">
        <v>110</v>
      </c>
      <c r="Q198" s="2787"/>
      <c r="R198" s="2788">
        <f t="shared" ref="R198" si="464">Q203/((36*3.1415/59)*(73/3.281))</f>
        <v>2.3447460725482088E-24</v>
      </c>
      <c r="S198" s="2788"/>
      <c r="T198" s="2789"/>
      <c r="U198" s="2786" t="s">
        <v>110</v>
      </c>
      <c r="V198" s="2787"/>
      <c r="W198" s="2788">
        <f t="shared" ref="W198" si="465">V203/((36*3.1415/59)*(73/3.281))</f>
        <v>2.3447460725482087E-13</v>
      </c>
      <c r="X198" s="2788"/>
      <c r="Y198" s="2789"/>
      <c r="Z198" s="2786" t="s">
        <v>110</v>
      </c>
      <c r="AA198" s="2787"/>
      <c r="AB198" s="2788">
        <f t="shared" ref="AB198" si="466">AA203/((36*3.1415/59)*(73/3.281))</f>
        <v>6.5512205266996951E-3</v>
      </c>
      <c r="AC198" s="2788"/>
      <c r="AD198" s="2789"/>
      <c r="AE198" s="2786" t="s">
        <v>110</v>
      </c>
      <c r="AF198" s="2787"/>
      <c r="AG198" s="2788">
        <f t="shared" ref="AG198" si="467">AF203/((36*3.1415/59)*(73/3.281))</f>
        <v>2.344746072548209E-12</v>
      </c>
      <c r="AH198" s="2788"/>
      <c r="AI198" s="2789"/>
      <c r="AJ198" s="2786" t="s">
        <v>110</v>
      </c>
      <c r="AK198" s="2787"/>
      <c r="AL198" s="2788">
        <f t="shared" ref="AL198" si="468">AK203/((36*3.1415/59)*(73/3.281))</f>
        <v>0</v>
      </c>
      <c r="AM198" s="2788"/>
      <c r="AN198" s="2789"/>
      <c r="AO198" s="2770" t="s">
        <v>110</v>
      </c>
      <c r="AP198" s="2771"/>
      <c r="AQ198" s="2772">
        <f>AP203/((36*3.1415/59)*(74/3.281))</f>
        <v>0</v>
      </c>
      <c r="AR198" s="2772"/>
      <c r="AS198" s="2773"/>
      <c r="AT198" s="2770" t="s">
        <v>110</v>
      </c>
      <c r="AU198" s="2771"/>
      <c r="AV198" s="2772">
        <f t="shared" ref="AV198" si="469">AU203/((36*3.1415/59)*(74/3.281))</f>
        <v>0</v>
      </c>
      <c r="AW198" s="2772"/>
      <c r="AX198" s="2773"/>
      <c r="AY198" s="2770" t="s">
        <v>110</v>
      </c>
      <c r="AZ198" s="2771"/>
      <c r="BA198" s="2772">
        <f t="shared" ref="BA198" si="470">AZ203/((36*3.1415/59)*(74/3.281))</f>
        <v>0</v>
      </c>
      <c r="BB198" s="2772"/>
      <c r="BC198" s="2773"/>
      <c r="BD198" s="2770" t="s">
        <v>110</v>
      </c>
      <c r="BE198" s="2771"/>
      <c r="BF198" s="2772">
        <f t="shared" ref="BF198" si="471">BE203/((36*3.1415/59)*(74/3.281))</f>
        <v>2.3130603148110705E-14</v>
      </c>
      <c r="BG198" s="2772"/>
      <c r="BH198" s="2773"/>
      <c r="BI198" s="2770" t="s">
        <v>110</v>
      </c>
      <c r="BJ198" s="2771"/>
      <c r="BK198" s="2772">
        <f t="shared" ref="BK198" si="472">BJ203/((36*3.1415/59)*(74/3.281))</f>
        <v>2.3130603148110708E-12</v>
      </c>
      <c r="BL198" s="2772"/>
      <c r="BM198" s="2773"/>
      <c r="BN198" s="2770" t="s">
        <v>110</v>
      </c>
      <c r="BO198" s="2771"/>
      <c r="BP198" s="2772">
        <f t="shared" ref="BP198" si="473">BO203/((36*3.1415/59)*(74/3.281))</f>
        <v>2.3130603148110709E-11</v>
      </c>
      <c r="BQ198" s="2772"/>
      <c r="BR198" s="2773"/>
      <c r="BS198" s="2770" t="s">
        <v>110</v>
      </c>
      <c r="BT198" s="2771"/>
      <c r="BU198" s="2772">
        <f t="shared" ref="BU198" si="474">BT203/((36*3.1415/59)*(74/3.281))</f>
        <v>2.3130603148110705E-14</v>
      </c>
      <c r="BV198" s="2772"/>
      <c r="BW198" s="2773"/>
      <c r="BX198" s="2770" t="s">
        <v>110</v>
      </c>
      <c r="BY198" s="2771"/>
      <c r="BZ198" s="2772">
        <f t="shared" ref="BZ198" si="475">BY203/((36*3.1415/59)*(74/3.281))</f>
        <v>2.3130603148110708E-12</v>
      </c>
      <c r="CA198" s="2772"/>
      <c r="CB198" s="2773"/>
    </row>
    <row r="199" spans="1:148" ht="11.25" customHeight="1" x14ac:dyDescent="0.25">
      <c r="A199" s="2774" t="s">
        <v>25</v>
      </c>
      <c r="B199" s="2775"/>
      <c r="C199" s="2775"/>
      <c r="D199" s="2696" t="s">
        <v>706</v>
      </c>
      <c r="E199" s="2697"/>
      <c r="F199" s="2774" t="s">
        <v>25</v>
      </c>
      <c r="G199" s="2775"/>
      <c r="H199" s="2775"/>
      <c r="I199" s="2780" t="s">
        <v>706</v>
      </c>
      <c r="J199" s="2781"/>
      <c r="K199" s="2774" t="s">
        <v>25</v>
      </c>
      <c r="L199" s="2775"/>
      <c r="M199" s="2775"/>
      <c r="N199" s="2696" t="s">
        <v>706</v>
      </c>
      <c r="O199" s="2697"/>
      <c r="P199" s="2774" t="s">
        <v>25</v>
      </c>
      <c r="Q199" s="2775"/>
      <c r="R199" s="2775"/>
      <c r="S199" s="2696" t="s">
        <v>706</v>
      </c>
      <c r="T199" s="2697"/>
      <c r="U199" s="2774" t="s">
        <v>25</v>
      </c>
      <c r="V199" s="2775"/>
      <c r="W199" s="2775"/>
      <c r="X199" s="2780" t="s">
        <v>706</v>
      </c>
      <c r="Y199" s="2781"/>
      <c r="Z199" s="2724" t="s">
        <v>25</v>
      </c>
      <c r="AA199" s="2725"/>
      <c r="AB199" s="2725"/>
      <c r="AC199" s="2696" t="s">
        <v>706</v>
      </c>
      <c r="AD199" s="2697"/>
      <c r="AE199" s="2724" t="s">
        <v>25</v>
      </c>
      <c r="AF199" s="2725"/>
      <c r="AG199" s="2725"/>
      <c r="AH199" s="2696" t="s">
        <v>706</v>
      </c>
      <c r="AI199" s="2697"/>
      <c r="AJ199" s="2774" t="s">
        <v>25</v>
      </c>
      <c r="AK199" s="2775"/>
      <c r="AL199" s="2775"/>
      <c r="AM199" s="2780" t="s">
        <v>706</v>
      </c>
      <c r="AN199" s="2781"/>
      <c r="AO199" s="2746" t="s">
        <v>25</v>
      </c>
      <c r="AP199" s="2747"/>
      <c r="AQ199" s="2747"/>
      <c r="AR199" s="2752" t="s">
        <v>706</v>
      </c>
      <c r="AS199" s="2753"/>
      <c r="AT199" s="2746" t="s">
        <v>25</v>
      </c>
      <c r="AU199" s="2747"/>
      <c r="AV199" s="2747"/>
      <c r="AW199" s="2752" t="s">
        <v>706</v>
      </c>
      <c r="AX199" s="2753"/>
      <c r="AY199" s="2746" t="s">
        <v>25</v>
      </c>
      <c r="AZ199" s="2747"/>
      <c r="BA199" s="2747"/>
      <c r="BB199" s="2752" t="s">
        <v>706</v>
      </c>
      <c r="BC199" s="2753"/>
      <c r="BD199" s="2746" t="s">
        <v>25</v>
      </c>
      <c r="BE199" s="2747"/>
      <c r="BF199" s="2747"/>
      <c r="BG199" s="2752" t="s">
        <v>706</v>
      </c>
      <c r="BH199" s="2753"/>
      <c r="BI199" s="2746" t="s">
        <v>25</v>
      </c>
      <c r="BJ199" s="2747"/>
      <c r="BK199" s="2747"/>
      <c r="BL199" s="2752" t="s">
        <v>706</v>
      </c>
      <c r="BM199" s="2753"/>
      <c r="BN199" s="2746" t="s">
        <v>25</v>
      </c>
      <c r="BO199" s="2747"/>
      <c r="BP199" s="2747"/>
      <c r="BQ199" s="2752" t="s">
        <v>706</v>
      </c>
      <c r="BR199" s="2753"/>
      <c r="BS199" s="2746" t="s">
        <v>25</v>
      </c>
      <c r="BT199" s="2747"/>
      <c r="BU199" s="2747"/>
      <c r="BV199" s="2696" t="s">
        <v>706</v>
      </c>
      <c r="BW199" s="2697"/>
      <c r="BX199" s="2746" t="s">
        <v>25</v>
      </c>
      <c r="BY199" s="2747"/>
      <c r="BZ199" s="2747"/>
      <c r="CA199" s="2696" t="s">
        <v>706</v>
      </c>
      <c r="CB199" s="2697"/>
    </row>
    <row r="200" spans="1:148" ht="11.25" customHeight="1" x14ac:dyDescent="0.25">
      <c r="A200" s="2776"/>
      <c r="B200" s="2777"/>
      <c r="C200" s="2777"/>
      <c r="D200" s="2698"/>
      <c r="E200" s="2699"/>
      <c r="F200" s="2776"/>
      <c r="G200" s="2777"/>
      <c r="H200" s="2777"/>
      <c r="I200" s="2782"/>
      <c r="J200" s="2783"/>
      <c r="K200" s="2776"/>
      <c r="L200" s="2777"/>
      <c r="M200" s="2777"/>
      <c r="N200" s="2698"/>
      <c r="O200" s="2699"/>
      <c r="P200" s="2776"/>
      <c r="Q200" s="2777"/>
      <c r="R200" s="2777"/>
      <c r="S200" s="2698"/>
      <c r="T200" s="2699"/>
      <c r="U200" s="2776"/>
      <c r="V200" s="2777"/>
      <c r="W200" s="2777"/>
      <c r="X200" s="2782"/>
      <c r="Y200" s="2783"/>
      <c r="Z200" s="2726"/>
      <c r="AA200" s="2727"/>
      <c r="AB200" s="2727"/>
      <c r="AC200" s="2698"/>
      <c r="AD200" s="2699"/>
      <c r="AE200" s="2726"/>
      <c r="AF200" s="2727"/>
      <c r="AG200" s="2727"/>
      <c r="AH200" s="2698"/>
      <c r="AI200" s="2699"/>
      <c r="AJ200" s="2776"/>
      <c r="AK200" s="2777"/>
      <c r="AL200" s="2777"/>
      <c r="AM200" s="2782"/>
      <c r="AN200" s="2783"/>
      <c r="AO200" s="2748"/>
      <c r="AP200" s="2749"/>
      <c r="AQ200" s="2749"/>
      <c r="AR200" s="2754"/>
      <c r="AS200" s="2755"/>
      <c r="AT200" s="2748"/>
      <c r="AU200" s="2749"/>
      <c r="AV200" s="2749"/>
      <c r="AW200" s="2754"/>
      <c r="AX200" s="2755"/>
      <c r="AY200" s="2748"/>
      <c r="AZ200" s="2749"/>
      <c r="BA200" s="2749"/>
      <c r="BB200" s="2754"/>
      <c r="BC200" s="2755"/>
      <c r="BD200" s="2748"/>
      <c r="BE200" s="2749"/>
      <c r="BF200" s="2749"/>
      <c r="BG200" s="2754"/>
      <c r="BH200" s="2755"/>
      <c r="BI200" s="2748"/>
      <c r="BJ200" s="2749"/>
      <c r="BK200" s="2749"/>
      <c r="BL200" s="2754"/>
      <c r="BM200" s="2755"/>
      <c r="BN200" s="2748"/>
      <c r="BO200" s="2749"/>
      <c r="BP200" s="2749"/>
      <c r="BQ200" s="2754"/>
      <c r="BR200" s="2755"/>
      <c r="BS200" s="2748"/>
      <c r="BT200" s="2749"/>
      <c r="BU200" s="2749"/>
      <c r="BV200" s="2698"/>
      <c r="BW200" s="2699"/>
      <c r="BX200" s="2748"/>
      <c r="BY200" s="2749"/>
      <c r="BZ200" s="2749"/>
      <c r="CA200" s="2698"/>
      <c r="CB200" s="2699"/>
    </row>
    <row r="201" spans="1:148" ht="11.25" customHeight="1" x14ac:dyDescent="0.25">
      <c r="A201" s="2778"/>
      <c r="B201" s="2779"/>
      <c r="C201" s="2779"/>
      <c r="D201" s="2700"/>
      <c r="E201" s="2701"/>
      <c r="F201" s="2778"/>
      <c r="G201" s="2779"/>
      <c r="H201" s="2779"/>
      <c r="I201" s="2784"/>
      <c r="J201" s="2785"/>
      <c r="K201" s="2778"/>
      <c r="L201" s="2779"/>
      <c r="M201" s="2779"/>
      <c r="N201" s="2700"/>
      <c r="O201" s="2701"/>
      <c r="P201" s="2778"/>
      <c r="Q201" s="2779"/>
      <c r="R201" s="2779"/>
      <c r="S201" s="2700"/>
      <c r="T201" s="2701"/>
      <c r="U201" s="2778"/>
      <c r="V201" s="2779"/>
      <c r="W201" s="2779"/>
      <c r="X201" s="2784"/>
      <c r="Y201" s="2785"/>
      <c r="Z201" s="2728"/>
      <c r="AA201" s="2729"/>
      <c r="AB201" s="2729"/>
      <c r="AC201" s="2700"/>
      <c r="AD201" s="2701"/>
      <c r="AE201" s="2728"/>
      <c r="AF201" s="2729"/>
      <c r="AG201" s="2729"/>
      <c r="AH201" s="2700"/>
      <c r="AI201" s="2701"/>
      <c r="AJ201" s="2778"/>
      <c r="AK201" s="2779"/>
      <c r="AL201" s="2779"/>
      <c r="AM201" s="2784"/>
      <c r="AN201" s="2785"/>
      <c r="AO201" s="2750"/>
      <c r="AP201" s="2751"/>
      <c r="AQ201" s="2751"/>
      <c r="AR201" s="2756"/>
      <c r="AS201" s="2757"/>
      <c r="AT201" s="2750"/>
      <c r="AU201" s="2751"/>
      <c r="AV201" s="2751"/>
      <c r="AW201" s="2756"/>
      <c r="AX201" s="2757"/>
      <c r="AY201" s="2750"/>
      <c r="AZ201" s="2751"/>
      <c r="BA201" s="2751"/>
      <c r="BB201" s="2756"/>
      <c r="BC201" s="2757"/>
      <c r="BD201" s="2750"/>
      <c r="BE201" s="2751"/>
      <c r="BF201" s="2751"/>
      <c r="BG201" s="2756"/>
      <c r="BH201" s="2757"/>
      <c r="BI201" s="2750"/>
      <c r="BJ201" s="2751"/>
      <c r="BK201" s="2751"/>
      <c r="BL201" s="2756"/>
      <c r="BM201" s="2757"/>
      <c r="BN201" s="2750"/>
      <c r="BO201" s="2751"/>
      <c r="BP201" s="2751"/>
      <c r="BQ201" s="2756"/>
      <c r="BR201" s="2757"/>
      <c r="BS201" s="2750"/>
      <c r="BT201" s="2751"/>
      <c r="BU201" s="2751"/>
      <c r="BV201" s="2700"/>
      <c r="BW201" s="2701"/>
      <c r="BX201" s="2750"/>
      <c r="BY201" s="2751"/>
      <c r="BZ201" s="2751"/>
      <c r="CA201" s="2700"/>
      <c r="CB201" s="2701"/>
    </row>
    <row r="202" spans="1:148" s="535" customFormat="1" ht="111.75" customHeight="1" x14ac:dyDescent="1.35">
      <c r="A202" s="2790" t="s">
        <v>724</v>
      </c>
      <c r="B202" s="2828">
        <v>254</v>
      </c>
      <c r="C202" s="2829"/>
      <c r="D202" s="2829"/>
      <c r="E202" s="2830"/>
      <c r="F202" s="2790" t="s">
        <v>724</v>
      </c>
      <c r="G202" s="2681">
        <v>255</v>
      </c>
      <c r="H202" s="2682"/>
      <c r="I202" s="2682"/>
      <c r="J202" s="2683"/>
      <c r="K202" s="2790" t="s">
        <v>724</v>
      </c>
      <c r="L202" s="2828">
        <v>257</v>
      </c>
      <c r="M202" s="2829"/>
      <c r="N202" s="2829"/>
      <c r="O202" s="2830"/>
      <c r="P202" s="2790" t="s">
        <v>724</v>
      </c>
      <c r="Q202" s="2828">
        <v>258</v>
      </c>
      <c r="R202" s="2829"/>
      <c r="S202" s="2829"/>
      <c r="T202" s="2830"/>
      <c r="U202" s="2790" t="s">
        <v>724</v>
      </c>
      <c r="V202" s="2828">
        <v>259</v>
      </c>
      <c r="W202" s="2829"/>
      <c r="X202" s="2829"/>
      <c r="Y202" s="2830"/>
      <c r="Z202" s="2790" t="s">
        <v>724</v>
      </c>
      <c r="AA202" s="2828">
        <v>260</v>
      </c>
      <c r="AB202" s="2829"/>
      <c r="AC202" s="2829"/>
      <c r="AD202" s="2830"/>
      <c r="AE202" s="2790" t="s">
        <v>724</v>
      </c>
      <c r="AF202" s="2828">
        <v>261</v>
      </c>
      <c r="AG202" s="2829"/>
      <c r="AH202" s="2829"/>
      <c r="AI202" s="2830"/>
      <c r="AJ202" s="2790" t="s">
        <v>724</v>
      </c>
      <c r="AK202" s="2681">
        <v>262</v>
      </c>
      <c r="AL202" s="2682"/>
      <c r="AM202" s="2682"/>
      <c r="AN202" s="2683"/>
      <c r="AO202" s="3042" t="s">
        <v>725</v>
      </c>
      <c r="AP202" s="2681">
        <v>93</v>
      </c>
      <c r="AQ202" s="2682"/>
      <c r="AR202" s="2682"/>
      <c r="AS202" s="2683"/>
      <c r="AT202" s="3042" t="s">
        <v>725</v>
      </c>
      <c r="AU202" s="2681">
        <v>223</v>
      </c>
      <c r="AV202" s="2682"/>
      <c r="AW202" s="2682"/>
      <c r="AX202" s="2683"/>
      <c r="AY202" s="3042" t="s">
        <v>725</v>
      </c>
      <c r="AZ202" s="2681">
        <v>263</v>
      </c>
      <c r="BA202" s="2682"/>
      <c r="BB202" s="2682"/>
      <c r="BC202" s="2683"/>
      <c r="BD202" s="3042" t="s">
        <v>725</v>
      </c>
      <c r="BE202" s="2828">
        <v>264</v>
      </c>
      <c r="BF202" s="2829"/>
      <c r="BG202" s="2829"/>
      <c r="BH202" s="2830"/>
      <c r="BI202" s="3042" t="s">
        <v>725</v>
      </c>
      <c r="BJ202" s="2828">
        <v>265</v>
      </c>
      <c r="BK202" s="2829"/>
      <c r="BL202" s="2829"/>
      <c r="BM202" s="2830"/>
      <c r="BN202" s="3042" t="s">
        <v>725</v>
      </c>
      <c r="BO202" s="2828">
        <v>267</v>
      </c>
      <c r="BP202" s="2829"/>
      <c r="BQ202" s="2829"/>
      <c r="BR202" s="2830"/>
      <c r="BS202" s="3042" t="s">
        <v>725</v>
      </c>
      <c r="BT202" s="2828">
        <v>268</v>
      </c>
      <c r="BU202" s="2829"/>
      <c r="BV202" s="2829"/>
      <c r="BW202" s="2830"/>
      <c r="BX202" s="3042" t="s">
        <v>725</v>
      </c>
      <c r="BY202" s="2828">
        <v>269</v>
      </c>
      <c r="BZ202" s="2829"/>
      <c r="CA202" s="2829"/>
      <c r="CB202" s="2830"/>
    </row>
    <row r="203" spans="1:148" ht="50.25" customHeight="1" thickBot="1" x14ac:dyDescent="0.3">
      <c r="A203" s="2791"/>
      <c r="B203" s="518">
        <v>1.0414000000000001</v>
      </c>
      <c r="C203" s="519" t="s">
        <v>113</v>
      </c>
      <c r="D203" s="520"/>
      <c r="E203" s="523" t="s">
        <v>114</v>
      </c>
      <c r="F203" s="2791"/>
      <c r="G203" s="518"/>
      <c r="H203" s="519" t="s">
        <v>113</v>
      </c>
      <c r="I203" s="520"/>
      <c r="J203" s="523" t="s">
        <v>114</v>
      </c>
      <c r="K203" s="2791"/>
      <c r="L203" s="518">
        <v>0.40639999999999998</v>
      </c>
      <c r="M203" s="519" t="s">
        <v>113</v>
      </c>
      <c r="N203" s="520"/>
      <c r="O203" s="523" t="s">
        <v>114</v>
      </c>
      <c r="P203" s="2791"/>
      <c r="Q203" s="518">
        <v>1E-22</v>
      </c>
      <c r="R203" s="519" t="s">
        <v>113</v>
      </c>
      <c r="S203" s="520"/>
      <c r="T203" s="523" t="s">
        <v>114</v>
      </c>
      <c r="U203" s="2791"/>
      <c r="V203" s="518">
        <v>9.9999999999999994E-12</v>
      </c>
      <c r="W203" s="519" t="s">
        <v>113</v>
      </c>
      <c r="X203" s="520"/>
      <c r="Y203" s="523" t="s">
        <v>114</v>
      </c>
      <c r="Z203" s="2791"/>
      <c r="AA203" s="518">
        <v>0.27939999999999998</v>
      </c>
      <c r="AB203" s="519" t="s">
        <v>113</v>
      </c>
      <c r="AC203" s="520">
        <v>1</v>
      </c>
      <c r="AD203" s="523" t="s">
        <v>114</v>
      </c>
      <c r="AE203" s="2791"/>
      <c r="AF203" s="518">
        <v>1E-10</v>
      </c>
      <c r="AG203" s="519" t="s">
        <v>113</v>
      </c>
      <c r="AH203" s="520"/>
      <c r="AI203" s="523" t="s">
        <v>114</v>
      </c>
      <c r="AJ203" s="2791"/>
      <c r="AK203" s="518"/>
      <c r="AL203" s="519" t="s">
        <v>113</v>
      </c>
      <c r="AM203" s="520"/>
      <c r="AN203" s="523" t="s">
        <v>114</v>
      </c>
      <c r="AO203" s="3043"/>
      <c r="AP203" s="518"/>
      <c r="AQ203" s="519" t="s">
        <v>113</v>
      </c>
      <c r="AR203" s="520"/>
      <c r="AS203" s="523" t="s">
        <v>114</v>
      </c>
      <c r="AT203" s="3043"/>
      <c r="AU203" s="518"/>
      <c r="AV203" s="519" t="s">
        <v>113</v>
      </c>
      <c r="AW203" s="520"/>
      <c r="AX203" s="523" t="s">
        <v>114</v>
      </c>
      <c r="AY203" s="3043"/>
      <c r="AZ203" s="518"/>
      <c r="BA203" s="519" t="s">
        <v>113</v>
      </c>
      <c r="BB203" s="520"/>
      <c r="BC203" s="523" t="s">
        <v>114</v>
      </c>
      <c r="BD203" s="3043"/>
      <c r="BE203" s="518">
        <v>9.9999999999999998E-13</v>
      </c>
      <c r="BF203" s="519" t="s">
        <v>113</v>
      </c>
      <c r="BG203" s="520"/>
      <c r="BH203" s="523" t="s">
        <v>114</v>
      </c>
      <c r="BI203" s="3043"/>
      <c r="BJ203" s="518">
        <v>1E-10</v>
      </c>
      <c r="BK203" s="519" t="s">
        <v>113</v>
      </c>
      <c r="BL203" s="520"/>
      <c r="BM203" s="523" t="s">
        <v>114</v>
      </c>
      <c r="BN203" s="3043"/>
      <c r="BO203" s="518">
        <v>1.0000000000000001E-9</v>
      </c>
      <c r="BP203" s="519" t="s">
        <v>113</v>
      </c>
      <c r="BQ203" s="520">
        <v>1</v>
      </c>
      <c r="BR203" s="523" t="s">
        <v>114</v>
      </c>
      <c r="BS203" s="3043"/>
      <c r="BT203" s="518">
        <v>9.9999999999999998E-13</v>
      </c>
      <c r="BU203" s="519" t="s">
        <v>113</v>
      </c>
      <c r="BV203" s="520"/>
      <c r="BW203" s="523" t="s">
        <v>114</v>
      </c>
      <c r="BX203" s="3043"/>
      <c r="BY203" s="518">
        <v>1E-10</v>
      </c>
      <c r="BZ203" s="519" t="s">
        <v>113</v>
      </c>
      <c r="CA203" s="520"/>
      <c r="CB203" s="523" t="s">
        <v>114</v>
      </c>
      <c r="CG203" s="27"/>
      <c r="CH203" s="27"/>
      <c r="CI203" s="27"/>
      <c r="CJ203" s="27"/>
      <c r="CK203" s="27"/>
      <c r="CL203" s="27"/>
      <c r="CM203" s="27"/>
      <c r="CN203" s="27"/>
      <c r="CO203" s="27"/>
    </row>
    <row r="204" spans="1:148" ht="57" customHeight="1" thickTop="1" x14ac:dyDescent="0.25">
      <c r="A204" s="2770" t="s">
        <v>110</v>
      </c>
      <c r="B204" s="2771"/>
      <c r="C204" s="2772">
        <f t="shared" ref="C204" si="476">B209/((36*3.1415/59)*(74/3.281))</f>
        <v>0</v>
      </c>
      <c r="D204" s="2772"/>
      <c r="E204" s="2773"/>
      <c r="F204" s="2770" t="s">
        <v>110</v>
      </c>
      <c r="G204" s="2771"/>
      <c r="H204" s="2772">
        <f t="shared" ref="H204" si="477">G209/((36*3.1415/59)*(74/3.281))</f>
        <v>0</v>
      </c>
      <c r="I204" s="2772"/>
      <c r="J204" s="2773"/>
      <c r="K204" s="2770" t="s">
        <v>110</v>
      </c>
      <c r="L204" s="2771"/>
      <c r="M204" s="2772">
        <f t="shared" ref="M204" si="478">L209/((36*3.1415/59)*(74/3.281))</f>
        <v>0</v>
      </c>
      <c r="N204" s="2772"/>
      <c r="O204" s="2773"/>
      <c r="P204" s="2770" t="s">
        <v>110</v>
      </c>
      <c r="Q204" s="2771"/>
      <c r="R204" s="2772">
        <f t="shared" ref="R204" si="479">Q209/((36*3.1415/59)*(74/3.281))</f>
        <v>0</v>
      </c>
      <c r="S204" s="2772"/>
      <c r="T204" s="2773"/>
      <c r="U204" s="2866" t="s">
        <v>110</v>
      </c>
      <c r="V204" s="2867"/>
      <c r="W204" s="2868">
        <f>V209/((36*3.1415/59)*(75/3.281))</f>
        <v>0</v>
      </c>
      <c r="X204" s="2868"/>
      <c r="Y204" s="2869"/>
      <c r="Z204" s="2742" t="s">
        <v>110</v>
      </c>
      <c r="AA204" s="2743"/>
      <c r="AB204" s="2744">
        <f>AA209/((36*3.1415/59)*(76/3.281))</f>
        <v>0</v>
      </c>
      <c r="AC204" s="2744"/>
      <c r="AD204" s="2745"/>
      <c r="AE204" s="2742" t="s">
        <v>110</v>
      </c>
      <c r="AF204" s="2743"/>
      <c r="AG204" s="2744">
        <f t="shared" ref="AG204" si="480">AF209/((36*3.1415/59)*(76/3.281))</f>
        <v>0</v>
      </c>
      <c r="AH204" s="2744"/>
      <c r="AI204" s="2745"/>
      <c r="AJ204" s="2742" t="s">
        <v>110</v>
      </c>
      <c r="AK204" s="2743"/>
      <c r="AL204" s="2744">
        <f t="shared" ref="AL204" si="481">AK209/((36*3.1415/59)*(76/3.281))</f>
        <v>0</v>
      </c>
      <c r="AM204" s="2744"/>
      <c r="AN204" s="2745"/>
      <c r="AO204" s="2742" t="s">
        <v>110</v>
      </c>
      <c r="AP204" s="2743"/>
      <c r="AQ204" s="2744">
        <f t="shared" ref="AQ204" si="482">AP209/((36*3.1415/59)*(76/3.281))</f>
        <v>0</v>
      </c>
      <c r="AR204" s="2744"/>
      <c r="AS204" s="2745"/>
      <c r="AT204" s="2742" t="s">
        <v>110</v>
      </c>
      <c r="AU204" s="2743"/>
      <c r="AV204" s="2744">
        <f t="shared" ref="AV204" si="483">AU209/((36*3.1415/59)*(76/3.281))</f>
        <v>1.2013183095012718E-2</v>
      </c>
      <c r="AW204" s="2744"/>
      <c r="AX204" s="2745"/>
      <c r="AY204" s="2742" t="s">
        <v>110</v>
      </c>
      <c r="AZ204" s="2743"/>
      <c r="BA204" s="2744">
        <f t="shared" ref="BA204" si="484">AZ209/((36*3.1415/59)*(76/3.281))</f>
        <v>6.2926197164352334E-3</v>
      </c>
      <c r="BB204" s="2744"/>
      <c r="BC204" s="2745"/>
      <c r="BD204" s="2742" t="s">
        <v>110</v>
      </c>
      <c r="BE204" s="2743"/>
      <c r="BF204" s="2744">
        <f t="shared" ref="BF204" si="485">BE209/((36*3.1415/59)*(76/3.281))</f>
        <v>0</v>
      </c>
      <c r="BG204" s="2744"/>
      <c r="BH204" s="2745"/>
      <c r="BI204" s="2742" t="s">
        <v>110</v>
      </c>
      <c r="BJ204" s="2743"/>
      <c r="BK204" s="2744">
        <f t="shared" ref="BK204" si="486">BJ209/((36*3.1415/59)*(76/3.281))</f>
        <v>0</v>
      </c>
      <c r="BL204" s="2744"/>
      <c r="BM204" s="2745"/>
      <c r="BN204" s="2742" t="s">
        <v>110</v>
      </c>
      <c r="BO204" s="2743"/>
      <c r="BP204" s="2744">
        <f t="shared" ref="BP204" si="487">BO209/((36*3.1415/59)*(76/3.281))</f>
        <v>0</v>
      </c>
      <c r="BQ204" s="2744"/>
      <c r="BR204" s="2745"/>
      <c r="BS204" s="2742" t="s">
        <v>110</v>
      </c>
      <c r="BT204" s="2743"/>
      <c r="BU204" s="2744">
        <f t="shared" ref="BU204" si="488">BT209/((36*3.1415/59)*(76/3.281))</f>
        <v>0</v>
      </c>
      <c r="BV204" s="2744"/>
      <c r="BW204" s="2745"/>
      <c r="BX204" s="2742" t="s">
        <v>110</v>
      </c>
      <c r="BY204" s="2743"/>
      <c r="BZ204" s="2744">
        <f t="shared" ref="BZ204" si="489">BY209/((36*3.1415/59)*(76/3.281))</f>
        <v>0</v>
      </c>
      <c r="CA204" s="2744"/>
      <c r="CB204" s="2745"/>
    </row>
    <row r="205" spans="1:148" ht="11.25" customHeight="1" x14ac:dyDescent="0.25">
      <c r="A205" s="2746" t="s">
        <v>25</v>
      </c>
      <c r="B205" s="2747"/>
      <c r="C205" s="2747"/>
      <c r="D205" s="2752" t="s">
        <v>706</v>
      </c>
      <c r="E205" s="2753"/>
      <c r="F205" s="2746" t="s">
        <v>25</v>
      </c>
      <c r="G205" s="2747"/>
      <c r="H205" s="2747"/>
      <c r="I205" s="2752" t="s">
        <v>706</v>
      </c>
      <c r="J205" s="2753"/>
      <c r="K205" s="2746" t="s">
        <v>25</v>
      </c>
      <c r="L205" s="2747"/>
      <c r="M205" s="2747"/>
      <c r="N205" s="2752" t="s">
        <v>706</v>
      </c>
      <c r="O205" s="2753"/>
      <c r="P205" s="2746" t="s">
        <v>25</v>
      </c>
      <c r="Q205" s="2747"/>
      <c r="R205" s="2747"/>
      <c r="S205" s="2752" t="s">
        <v>706</v>
      </c>
      <c r="T205" s="2753"/>
      <c r="U205" s="2758" t="s">
        <v>25</v>
      </c>
      <c r="V205" s="2759"/>
      <c r="W205" s="2759"/>
      <c r="X205" s="2764" t="s">
        <v>706</v>
      </c>
      <c r="Y205" s="2765"/>
      <c r="Z205" s="2730" t="s">
        <v>25</v>
      </c>
      <c r="AA205" s="2731"/>
      <c r="AB205" s="2731"/>
      <c r="AC205" s="2736" t="s">
        <v>706</v>
      </c>
      <c r="AD205" s="2737"/>
      <c r="AE205" s="2730" t="s">
        <v>25</v>
      </c>
      <c r="AF205" s="2731"/>
      <c r="AG205" s="2731"/>
      <c r="AH205" s="2736" t="s">
        <v>706</v>
      </c>
      <c r="AI205" s="2737"/>
      <c r="AJ205" s="2730" t="s">
        <v>25</v>
      </c>
      <c r="AK205" s="2731"/>
      <c r="AL205" s="2731"/>
      <c r="AM205" s="2736" t="s">
        <v>706</v>
      </c>
      <c r="AN205" s="2737"/>
      <c r="AO205" s="2730" t="s">
        <v>25</v>
      </c>
      <c r="AP205" s="2731"/>
      <c r="AQ205" s="2731"/>
      <c r="AR205" s="2736" t="s">
        <v>706</v>
      </c>
      <c r="AS205" s="2737"/>
      <c r="AT205" s="2730" t="s">
        <v>25</v>
      </c>
      <c r="AU205" s="2731"/>
      <c r="AV205" s="2731"/>
      <c r="AW205" s="2736" t="s">
        <v>706</v>
      </c>
      <c r="AX205" s="2737"/>
      <c r="AY205" s="2730" t="s">
        <v>25</v>
      </c>
      <c r="AZ205" s="2731"/>
      <c r="BA205" s="2731"/>
      <c r="BB205" s="2736" t="s">
        <v>706</v>
      </c>
      <c r="BC205" s="2737"/>
      <c r="BD205" s="2730" t="s">
        <v>25</v>
      </c>
      <c r="BE205" s="2731"/>
      <c r="BF205" s="2731"/>
      <c r="BG205" s="2736" t="s">
        <v>706</v>
      </c>
      <c r="BH205" s="2737"/>
      <c r="BI205" s="2730" t="s">
        <v>25</v>
      </c>
      <c r="BJ205" s="2731"/>
      <c r="BK205" s="2731"/>
      <c r="BL205" s="2736" t="s">
        <v>706</v>
      </c>
      <c r="BM205" s="2737"/>
      <c r="BN205" s="2730" t="s">
        <v>25</v>
      </c>
      <c r="BO205" s="2731"/>
      <c r="BP205" s="2731"/>
      <c r="BQ205" s="2736" t="s">
        <v>706</v>
      </c>
      <c r="BR205" s="2737"/>
      <c r="BS205" s="2730" t="s">
        <v>25</v>
      </c>
      <c r="BT205" s="2731"/>
      <c r="BU205" s="2731"/>
      <c r="BV205" s="2736" t="s">
        <v>706</v>
      </c>
      <c r="BW205" s="2737"/>
      <c r="BX205" s="2730" t="s">
        <v>25</v>
      </c>
      <c r="BY205" s="2731"/>
      <c r="BZ205" s="2731"/>
      <c r="CA205" s="2736" t="s">
        <v>706</v>
      </c>
      <c r="CB205" s="2737"/>
    </row>
    <row r="206" spans="1:148" ht="11.25" customHeight="1" x14ac:dyDescent="0.25">
      <c r="A206" s="2748"/>
      <c r="B206" s="2749"/>
      <c r="C206" s="2749"/>
      <c r="D206" s="2754"/>
      <c r="E206" s="2755"/>
      <c r="F206" s="2748"/>
      <c r="G206" s="2749"/>
      <c r="H206" s="2749"/>
      <c r="I206" s="2754"/>
      <c r="J206" s="2755"/>
      <c r="K206" s="2748"/>
      <c r="L206" s="2749"/>
      <c r="M206" s="2749"/>
      <c r="N206" s="2754"/>
      <c r="O206" s="2755"/>
      <c r="P206" s="2748"/>
      <c r="Q206" s="2749"/>
      <c r="R206" s="2749"/>
      <c r="S206" s="2754"/>
      <c r="T206" s="2755"/>
      <c r="U206" s="2760"/>
      <c r="V206" s="2761"/>
      <c r="W206" s="2761"/>
      <c r="X206" s="2766"/>
      <c r="Y206" s="2767"/>
      <c r="Z206" s="2732"/>
      <c r="AA206" s="2733"/>
      <c r="AB206" s="2733"/>
      <c r="AC206" s="2738"/>
      <c r="AD206" s="2739"/>
      <c r="AE206" s="2732"/>
      <c r="AF206" s="2733"/>
      <c r="AG206" s="2733"/>
      <c r="AH206" s="2738"/>
      <c r="AI206" s="2739"/>
      <c r="AJ206" s="2732"/>
      <c r="AK206" s="2733"/>
      <c r="AL206" s="2733"/>
      <c r="AM206" s="2738"/>
      <c r="AN206" s="2739"/>
      <c r="AO206" s="2732"/>
      <c r="AP206" s="2733"/>
      <c r="AQ206" s="2733"/>
      <c r="AR206" s="2738"/>
      <c r="AS206" s="2739"/>
      <c r="AT206" s="2732"/>
      <c r="AU206" s="2733"/>
      <c r="AV206" s="2733"/>
      <c r="AW206" s="2738"/>
      <c r="AX206" s="2739"/>
      <c r="AY206" s="2732"/>
      <c r="AZ206" s="2733"/>
      <c r="BA206" s="2733"/>
      <c r="BB206" s="2738"/>
      <c r="BC206" s="2739"/>
      <c r="BD206" s="2732"/>
      <c r="BE206" s="2733"/>
      <c r="BF206" s="2733"/>
      <c r="BG206" s="2738"/>
      <c r="BH206" s="2739"/>
      <c r="BI206" s="2732"/>
      <c r="BJ206" s="2733"/>
      <c r="BK206" s="2733"/>
      <c r="BL206" s="2738"/>
      <c r="BM206" s="2739"/>
      <c r="BN206" s="2732"/>
      <c r="BO206" s="2733"/>
      <c r="BP206" s="2733"/>
      <c r="BQ206" s="2738"/>
      <c r="BR206" s="2739"/>
      <c r="BS206" s="2732"/>
      <c r="BT206" s="2733"/>
      <c r="BU206" s="2733"/>
      <c r="BV206" s="2738"/>
      <c r="BW206" s="2739"/>
      <c r="BX206" s="2732"/>
      <c r="BY206" s="2733"/>
      <c r="BZ206" s="2733"/>
      <c r="CA206" s="2738"/>
      <c r="CB206" s="2739"/>
      <c r="EN206" s="13"/>
      <c r="EO206" s="13"/>
      <c r="EP206" s="13"/>
      <c r="EQ206" s="13"/>
      <c r="ER206" s="13"/>
    </row>
    <row r="207" spans="1:148" ht="11.25" customHeight="1" x14ac:dyDescent="0.25">
      <c r="A207" s="2750"/>
      <c r="B207" s="2751"/>
      <c r="C207" s="2751"/>
      <c r="D207" s="2756"/>
      <c r="E207" s="2757"/>
      <c r="F207" s="2750"/>
      <c r="G207" s="2751"/>
      <c r="H207" s="2751"/>
      <c r="I207" s="2756"/>
      <c r="J207" s="2757"/>
      <c r="K207" s="2750"/>
      <c r="L207" s="2751"/>
      <c r="M207" s="2751"/>
      <c r="N207" s="2756"/>
      <c r="O207" s="2757"/>
      <c r="P207" s="2750"/>
      <c r="Q207" s="2751"/>
      <c r="R207" s="2751"/>
      <c r="S207" s="2756"/>
      <c r="T207" s="2757"/>
      <c r="U207" s="2762"/>
      <c r="V207" s="2763"/>
      <c r="W207" s="2763"/>
      <c r="X207" s="2768"/>
      <c r="Y207" s="2769"/>
      <c r="Z207" s="2734"/>
      <c r="AA207" s="2735"/>
      <c r="AB207" s="2735"/>
      <c r="AC207" s="2740"/>
      <c r="AD207" s="2741"/>
      <c r="AE207" s="2734"/>
      <c r="AF207" s="2735"/>
      <c r="AG207" s="2735"/>
      <c r="AH207" s="2740"/>
      <c r="AI207" s="2741"/>
      <c r="AJ207" s="2734"/>
      <c r="AK207" s="2735"/>
      <c r="AL207" s="2735"/>
      <c r="AM207" s="2740"/>
      <c r="AN207" s="2741"/>
      <c r="AO207" s="2734"/>
      <c r="AP207" s="2735"/>
      <c r="AQ207" s="2735"/>
      <c r="AR207" s="2740"/>
      <c r="AS207" s="2741"/>
      <c r="AT207" s="2734"/>
      <c r="AU207" s="2735"/>
      <c r="AV207" s="2735"/>
      <c r="AW207" s="2740"/>
      <c r="AX207" s="2741"/>
      <c r="AY207" s="2734"/>
      <c r="AZ207" s="2735"/>
      <c r="BA207" s="2735"/>
      <c r="BB207" s="2740"/>
      <c r="BC207" s="2741"/>
      <c r="BD207" s="2734"/>
      <c r="BE207" s="2735"/>
      <c r="BF207" s="2735"/>
      <c r="BG207" s="2740"/>
      <c r="BH207" s="2741"/>
      <c r="BI207" s="2734"/>
      <c r="BJ207" s="2735"/>
      <c r="BK207" s="2735"/>
      <c r="BL207" s="2740"/>
      <c r="BM207" s="2741"/>
      <c r="BN207" s="2734"/>
      <c r="BO207" s="2735"/>
      <c r="BP207" s="2735"/>
      <c r="BQ207" s="2740"/>
      <c r="BR207" s="2741"/>
      <c r="BS207" s="2734"/>
      <c r="BT207" s="2735"/>
      <c r="BU207" s="2735"/>
      <c r="BV207" s="2740"/>
      <c r="BW207" s="2741"/>
      <c r="BX207" s="2734"/>
      <c r="BY207" s="2735"/>
      <c r="BZ207" s="2735"/>
      <c r="CA207" s="2740"/>
      <c r="CB207" s="2741"/>
      <c r="EN207" s="13"/>
      <c r="EO207" s="13"/>
      <c r="EP207" s="13"/>
      <c r="EQ207" s="13"/>
      <c r="ER207" s="13"/>
    </row>
    <row r="208" spans="1:148" s="535" customFormat="1" ht="111.75" customHeight="1" x14ac:dyDescent="1.35">
      <c r="A208" s="3042" t="s">
        <v>725</v>
      </c>
      <c r="B208" s="2681">
        <v>270</v>
      </c>
      <c r="C208" s="2682"/>
      <c r="D208" s="2682"/>
      <c r="E208" s="2683"/>
      <c r="F208" s="3042" t="s">
        <v>725</v>
      </c>
      <c r="G208" s="2681">
        <v>271</v>
      </c>
      <c r="H208" s="2682"/>
      <c r="I208" s="2682"/>
      <c r="J208" s="2683"/>
      <c r="K208" s="3042" t="s">
        <v>725</v>
      </c>
      <c r="L208" s="2681">
        <v>272</v>
      </c>
      <c r="M208" s="2682"/>
      <c r="N208" s="2682"/>
      <c r="O208" s="2683"/>
      <c r="P208" s="3042" t="s">
        <v>725</v>
      </c>
      <c r="Q208" s="2681">
        <v>273</v>
      </c>
      <c r="R208" s="2682"/>
      <c r="S208" s="2682"/>
      <c r="T208" s="2683"/>
      <c r="U208" s="3040" t="s">
        <v>726</v>
      </c>
      <c r="V208" s="2681">
        <v>59</v>
      </c>
      <c r="W208" s="2682"/>
      <c r="X208" s="2682"/>
      <c r="Y208" s="2683"/>
      <c r="Z208" s="2640" t="s">
        <v>727</v>
      </c>
      <c r="AA208" s="2681">
        <v>129</v>
      </c>
      <c r="AB208" s="2682"/>
      <c r="AC208" s="2682"/>
      <c r="AD208" s="2683"/>
      <c r="AE208" s="2640" t="s">
        <v>727</v>
      </c>
      <c r="AF208" s="2681">
        <v>130</v>
      </c>
      <c r="AG208" s="2682"/>
      <c r="AH208" s="2682"/>
      <c r="AI208" s="2683"/>
      <c r="AJ208" s="2640" t="s">
        <v>727</v>
      </c>
      <c r="AK208" s="2681">
        <v>131</v>
      </c>
      <c r="AL208" s="2682"/>
      <c r="AM208" s="2682"/>
      <c r="AN208" s="2683"/>
      <c r="AO208" s="2640" t="s">
        <v>727</v>
      </c>
      <c r="AP208" s="2681">
        <v>132</v>
      </c>
      <c r="AQ208" s="2682"/>
      <c r="AR208" s="2682"/>
      <c r="AS208" s="2683"/>
      <c r="AT208" s="2640" t="s">
        <v>727</v>
      </c>
      <c r="AU208" s="2828">
        <v>133</v>
      </c>
      <c r="AV208" s="2829"/>
      <c r="AW208" s="2829"/>
      <c r="AX208" s="2830"/>
      <c r="AY208" s="2640" t="s">
        <v>727</v>
      </c>
      <c r="AZ208" s="2828">
        <v>134</v>
      </c>
      <c r="BA208" s="2829"/>
      <c r="BB208" s="2829"/>
      <c r="BC208" s="2830"/>
      <c r="BD208" s="2640" t="s">
        <v>727</v>
      </c>
      <c r="BE208" s="2681">
        <v>135</v>
      </c>
      <c r="BF208" s="2682"/>
      <c r="BG208" s="2682"/>
      <c r="BH208" s="2683"/>
      <c r="BI208" s="2640" t="s">
        <v>727</v>
      </c>
      <c r="BJ208" s="2681">
        <v>136</v>
      </c>
      <c r="BK208" s="2682"/>
      <c r="BL208" s="2682"/>
      <c r="BM208" s="2683"/>
      <c r="BN208" s="2640" t="s">
        <v>727</v>
      </c>
      <c r="BO208" s="2681">
        <v>137</v>
      </c>
      <c r="BP208" s="2682"/>
      <c r="BQ208" s="2682"/>
      <c r="BR208" s="2683"/>
      <c r="BS208" s="2640" t="s">
        <v>727</v>
      </c>
      <c r="BT208" s="2681">
        <v>138</v>
      </c>
      <c r="BU208" s="2682"/>
      <c r="BV208" s="2682"/>
      <c r="BW208" s="2683"/>
      <c r="BX208" s="2640" t="s">
        <v>727</v>
      </c>
      <c r="BY208" s="2681">
        <v>139</v>
      </c>
      <c r="BZ208" s="2682"/>
      <c r="CA208" s="2682"/>
      <c r="CB208" s="2683"/>
      <c r="EN208" s="546"/>
      <c r="EO208" s="546"/>
      <c r="EP208" s="546"/>
      <c r="EQ208" s="546"/>
      <c r="ER208" s="546"/>
    </row>
    <row r="209" spans="1:148" ht="50.25" customHeight="1" thickBot="1" x14ac:dyDescent="0.3">
      <c r="A209" s="3043"/>
      <c r="B209" s="518"/>
      <c r="C209" s="519" t="s">
        <v>113</v>
      </c>
      <c r="D209" s="520"/>
      <c r="E209" s="523" t="s">
        <v>114</v>
      </c>
      <c r="F209" s="3043"/>
      <c r="G209" s="518"/>
      <c r="H209" s="519" t="s">
        <v>113</v>
      </c>
      <c r="I209" s="520"/>
      <c r="J209" s="523" t="s">
        <v>114</v>
      </c>
      <c r="K209" s="3043"/>
      <c r="L209" s="518"/>
      <c r="M209" s="519" t="s">
        <v>113</v>
      </c>
      <c r="N209" s="520"/>
      <c r="O209" s="523" t="s">
        <v>114</v>
      </c>
      <c r="P209" s="3043"/>
      <c r="Q209" s="518"/>
      <c r="R209" s="519" t="s">
        <v>113</v>
      </c>
      <c r="S209" s="520"/>
      <c r="T209" s="523" t="s">
        <v>114</v>
      </c>
      <c r="U209" s="3041"/>
      <c r="V209" s="518"/>
      <c r="W209" s="519" t="s">
        <v>113</v>
      </c>
      <c r="X209" s="520"/>
      <c r="Y209" s="523" t="s">
        <v>114</v>
      </c>
      <c r="Z209" s="2641"/>
      <c r="AA209" s="518"/>
      <c r="AB209" s="519" t="s">
        <v>113</v>
      </c>
      <c r="AC209" s="520"/>
      <c r="AD209" s="523" t="s">
        <v>114</v>
      </c>
      <c r="AE209" s="2641"/>
      <c r="AF209" s="518"/>
      <c r="AG209" s="519" t="s">
        <v>113</v>
      </c>
      <c r="AH209" s="520"/>
      <c r="AI209" s="523" t="s">
        <v>114</v>
      </c>
      <c r="AJ209" s="2641"/>
      <c r="AK209" s="518"/>
      <c r="AL209" s="519" t="s">
        <v>113</v>
      </c>
      <c r="AM209" s="520"/>
      <c r="AN209" s="523" t="s">
        <v>114</v>
      </c>
      <c r="AO209" s="2641"/>
      <c r="AP209" s="518"/>
      <c r="AQ209" s="519" t="s">
        <v>113</v>
      </c>
      <c r="AR209" s="520"/>
      <c r="AS209" s="523" t="s">
        <v>114</v>
      </c>
      <c r="AT209" s="2641"/>
      <c r="AU209" s="518">
        <v>0.53339999999999999</v>
      </c>
      <c r="AV209" s="519" t="s">
        <v>113</v>
      </c>
      <c r="AW209" s="520"/>
      <c r="AX209" s="523" t="s">
        <v>114</v>
      </c>
      <c r="AY209" s="2641"/>
      <c r="AZ209" s="518">
        <v>0.27939999999999998</v>
      </c>
      <c r="BA209" s="519" t="s">
        <v>113</v>
      </c>
      <c r="BB209" s="520"/>
      <c r="BC209" s="523" t="s">
        <v>114</v>
      </c>
      <c r="BD209" s="2641"/>
      <c r="BE209" s="518"/>
      <c r="BF209" s="519" t="s">
        <v>113</v>
      </c>
      <c r="BG209" s="520"/>
      <c r="BH209" s="523" t="s">
        <v>114</v>
      </c>
      <c r="BI209" s="2641"/>
      <c r="BJ209" s="518"/>
      <c r="BK209" s="519" t="s">
        <v>113</v>
      </c>
      <c r="BL209" s="520"/>
      <c r="BM209" s="523" t="s">
        <v>114</v>
      </c>
      <c r="BN209" s="2641"/>
      <c r="BO209" s="518"/>
      <c r="BP209" s="519" t="s">
        <v>113</v>
      </c>
      <c r="BQ209" s="520"/>
      <c r="BR209" s="523" t="s">
        <v>114</v>
      </c>
      <c r="BS209" s="2641"/>
      <c r="BT209" s="518"/>
      <c r="BU209" s="519" t="s">
        <v>113</v>
      </c>
      <c r="BV209" s="520"/>
      <c r="BW209" s="523" t="s">
        <v>114</v>
      </c>
      <c r="BX209" s="2641"/>
      <c r="BY209" s="518"/>
      <c r="BZ209" s="519" t="s">
        <v>113</v>
      </c>
      <c r="CA209" s="520"/>
      <c r="CB209" s="523" t="s">
        <v>114</v>
      </c>
      <c r="CG209" s="27"/>
      <c r="CH209" s="27"/>
      <c r="CI209" s="27"/>
      <c r="CJ209" s="27"/>
      <c r="CK209" s="27"/>
      <c r="CL209" s="27"/>
      <c r="CM209" s="27"/>
      <c r="CN209" s="27"/>
      <c r="CO209" s="27"/>
      <c r="EN209" s="13"/>
      <c r="EO209" s="13"/>
      <c r="EP209" s="13"/>
      <c r="EQ209" s="13"/>
      <c r="ER209" s="13"/>
    </row>
    <row r="210" spans="1:148" ht="57" customHeight="1" thickTop="1" x14ac:dyDescent="0.25">
      <c r="A210" s="2742" t="s">
        <v>110</v>
      </c>
      <c r="B210" s="2743"/>
      <c r="C210" s="2744">
        <f t="shared" ref="C210" si="490">B215/((36*3.1415/59)*(76/3.281))</f>
        <v>0</v>
      </c>
      <c r="D210" s="2744"/>
      <c r="E210" s="2745"/>
      <c r="F210" s="2742" t="s">
        <v>110</v>
      </c>
      <c r="G210" s="2743"/>
      <c r="H210" s="2744">
        <f t="shared" ref="H210" si="491">G215/((36*3.1415/59)*(76/3.281))</f>
        <v>5.2629183082912867E-2</v>
      </c>
      <c r="I210" s="2744"/>
      <c r="J210" s="2745"/>
      <c r="K210" s="2742" t="s">
        <v>110</v>
      </c>
      <c r="L210" s="2743"/>
      <c r="M210" s="2744">
        <f t="shared" ref="M210" si="492">L215/((36*3.1415/59)*(76/3.281))</f>
        <v>8.0087887300084801E-3</v>
      </c>
      <c r="N210" s="2744"/>
      <c r="O210" s="2745"/>
      <c r="P210" s="2742" t="s">
        <v>110</v>
      </c>
      <c r="Q210" s="2743"/>
      <c r="R210" s="2744">
        <f t="shared" ref="R210" si="493">Q215/((36*3.1415/59)*(76/3.281))</f>
        <v>5.1485070407197367E-3</v>
      </c>
      <c r="S210" s="2744"/>
      <c r="T210" s="2745"/>
      <c r="U210" s="2742" t="s">
        <v>110</v>
      </c>
      <c r="V210" s="2743"/>
      <c r="W210" s="2744">
        <f t="shared" ref="W210" si="494">V215/((36*3.1415/59)*(76/3.281))</f>
        <v>0</v>
      </c>
      <c r="X210" s="2744"/>
      <c r="Y210" s="2745"/>
      <c r="Z210" s="2742" t="s">
        <v>110</v>
      </c>
      <c r="AA210" s="2743"/>
      <c r="AB210" s="2744">
        <f t="shared" ref="AB210" si="495">AA215/((36*3.1415/59)*(76/3.281))</f>
        <v>0</v>
      </c>
      <c r="AC210" s="2744"/>
      <c r="AD210" s="2745"/>
      <c r="AE210" s="2742" t="s">
        <v>110</v>
      </c>
      <c r="AF210" s="2743"/>
      <c r="AG210" s="2744">
        <f t="shared" ref="AG210" si="496">AF215/((36*3.1415/59)*(76/3.281))</f>
        <v>0</v>
      </c>
      <c r="AH210" s="2744"/>
      <c r="AI210" s="2745"/>
      <c r="AJ210" s="2742" t="s">
        <v>110</v>
      </c>
      <c r="AK210" s="2743"/>
      <c r="AL210" s="2744">
        <f t="shared" ref="AL210" si="497">AK215/((36*3.1415/59)*(76/3.281))</f>
        <v>0</v>
      </c>
      <c r="AM210" s="2744"/>
      <c r="AN210" s="2745"/>
      <c r="AO210" s="2742" t="s">
        <v>110</v>
      </c>
      <c r="AP210" s="2743"/>
      <c r="AQ210" s="2744">
        <f t="shared" ref="AQ210" si="498">AP215/((36*3.1415/59)*(76/3.281))</f>
        <v>0</v>
      </c>
      <c r="AR210" s="2744"/>
      <c r="AS210" s="2745"/>
      <c r="AT210" s="2742" t="s">
        <v>110</v>
      </c>
      <c r="AU210" s="2743"/>
      <c r="AV210" s="2744">
        <f t="shared" ref="AV210" si="499">AU215/((36*3.1415/59)*(76/3.281))</f>
        <v>0</v>
      </c>
      <c r="AW210" s="2744"/>
      <c r="AX210" s="2745"/>
      <c r="AY210" s="2742" t="s">
        <v>110</v>
      </c>
      <c r="AZ210" s="2743"/>
      <c r="BA210" s="2744">
        <f t="shared" ref="BA210" si="500">AZ215/((36*3.1415/59)*(76/3.281))</f>
        <v>5.720563378577485E-3</v>
      </c>
      <c r="BB210" s="2744"/>
      <c r="BC210" s="2745"/>
      <c r="BD210" s="2742" t="s">
        <v>110</v>
      </c>
      <c r="BE210" s="2743"/>
      <c r="BF210" s="2744">
        <f t="shared" ref="BF210" si="501">BE215/((36*3.1415/59)*(76/3.281))</f>
        <v>2.2521903065265691E-11</v>
      </c>
      <c r="BG210" s="2744"/>
      <c r="BH210" s="2745"/>
      <c r="BI210" s="2742" t="s">
        <v>110</v>
      </c>
      <c r="BJ210" s="2743"/>
      <c r="BK210" s="2744">
        <f t="shared" ref="BK210" si="502">BJ215/((36*3.1415/59)*(76/3.281))</f>
        <v>5.720563378577485E-3</v>
      </c>
      <c r="BL210" s="2744"/>
      <c r="BM210" s="2745"/>
      <c r="BN210" s="2742" t="s">
        <v>110</v>
      </c>
      <c r="BO210" s="2743"/>
      <c r="BP210" s="2744">
        <f t="shared" ref="BP210" si="503">BO215/((36*3.1415/59)*(76/3.281))</f>
        <v>5.720563378577485E-3</v>
      </c>
      <c r="BQ210" s="2744"/>
      <c r="BR210" s="2745"/>
      <c r="BS210" s="2742" t="s">
        <v>110</v>
      </c>
      <c r="BT210" s="2743"/>
      <c r="BU210" s="2744">
        <f t="shared" ref="BU210" si="504">BT215/((36*3.1415/59)*(76/3.281))</f>
        <v>0</v>
      </c>
      <c r="BV210" s="2744"/>
      <c r="BW210" s="2745"/>
      <c r="BX210" s="2742" t="s">
        <v>110</v>
      </c>
      <c r="BY210" s="2743"/>
      <c r="BZ210" s="2744">
        <f t="shared" ref="BZ210" si="505">BY215/((36*3.1415/59)*(76/3.281))</f>
        <v>0</v>
      </c>
      <c r="CA210" s="2744"/>
      <c r="CB210" s="2745"/>
      <c r="EN210" s="13"/>
      <c r="EO210" s="13"/>
      <c r="EP210" s="13"/>
      <c r="EQ210" s="13"/>
      <c r="ER210" s="13"/>
    </row>
    <row r="211" spans="1:148" ht="11.25" customHeight="1" x14ac:dyDescent="0.25">
      <c r="A211" s="2730" t="s">
        <v>25</v>
      </c>
      <c r="B211" s="2731"/>
      <c r="C211" s="2731"/>
      <c r="D211" s="2736" t="s">
        <v>706</v>
      </c>
      <c r="E211" s="2737"/>
      <c r="F211" s="2730" t="s">
        <v>25</v>
      </c>
      <c r="G211" s="2731"/>
      <c r="H211" s="2731"/>
      <c r="I211" s="2736" t="s">
        <v>706</v>
      </c>
      <c r="J211" s="2737"/>
      <c r="K211" s="2730" t="s">
        <v>25</v>
      </c>
      <c r="L211" s="2731"/>
      <c r="M211" s="2731"/>
      <c r="N211" s="2696" t="s">
        <v>706</v>
      </c>
      <c r="O211" s="2697"/>
      <c r="P211" s="2730" t="s">
        <v>25</v>
      </c>
      <c r="Q211" s="2731"/>
      <c r="R211" s="2731"/>
      <c r="S211" s="2736" t="s">
        <v>706</v>
      </c>
      <c r="T211" s="2737"/>
      <c r="U211" s="2730" t="s">
        <v>25</v>
      </c>
      <c r="V211" s="2731"/>
      <c r="W211" s="2731"/>
      <c r="X211" s="2736" t="s">
        <v>706</v>
      </c>
      <c r="Y211" s="2737"/>
      <c r="Z211" s="2730" t="s">
        <v>25</v>
      </c>
      <c r="AA211" s="2731"/>
      <c r="AB211" s="2731"/>
      <c r="AC211" s="2736" t="s">
        <v>706</v>
      </c>
      <c r="AD211" s="2737"/>
      <c r="AE211" s="2730" t="s">
        <v>25</v>
      </c>
      <c r="AF211" s="2731"/>
      <c r="AG211" s="2731"/>
      <c r="AH211" s="2736" t="s">
        <v>706</v>
      </c>
      <c r="AI211" s="2737"/>
      <c r="AJ211" s="2730" t="s">
        <v>25</v>
      </c>
      <c r="AK211" s="2731"/>
      <c r="AL211" s="2731"/>
      <c r="AM211" s="2736" t="s">
        <v>706</v>
      </c>
      <c r="AN211" s="2737"/>
      <c r="AO211" s="2730" t="s">
        <v>25</v>
      </c>
      <c r="AP211" s="2731"/>
      <c r="AQ211" s="2731"/>
      <c r="AR211" s="2736" t="s">
        <v>706</v>
      </c>
      <c r="AS211" s="2737"/>
      <c r="AT211" s="2730" t="s">
        <v>25</v>
      </c>
      <c r="AU211" s="2731"/>
      <c r="AV211" s="2731"/>
      <c r="AW211" s="2736" t="s">
        <v>706</v>
      </c>
      <c r="AX211" s="2737"/>
      <c r="AY211" s="2730" t="s">
        <v>25</v>
      </c>
      <c r="AZ211" s="2731"/>
      <c r="BA211" s="2731"/>
      <c r="BB211" s="2736" t="s">
        <v>706</v>
      </c>
      <c r="BC211" s="2737"/>
      <c r="BD211" s="2730" t="s">
        <v>25</v>
      </c>
      <c r="BE211" s="2731"/>
      <c r="BF211" s="2731"/>
      <c r="BG211" s="2736" t="s">
        <v>706</v>
      </c>
      <c r="BH211" s="2737"/>
      <c r="BI211" s="2730" t="s">
        <v>25</v>
      </c>
      <c r="BJ211" s="2731"/>
      <c r="BK211" s="2731"/>
      <c r="BL211" s="2736" t="s">
        <v>706</v>
      </c>
      <c r="BM211" s="2737"/>
      <c r="BN211" s="2730" t="s">
        <v>25</v>
      </c>
      <c r="BO211" s="2731"/>
      <c r="BP211" s="2731"/>
      <c r="BQ211" s="2736" t="s">
        <v>706</v>
      </c>
      <c r="BR211" s="2737"/>
      <c r="BS211" s="2730" t="s">
        <v>25</v>
      </c>
      <c r="BT211" s="2731"/>
      <c r="BU211" s="2731"/>
      <c r="BV211" s="2736" t="s">
        <v>706</v>
      </c>
      <c r="BW211" s="2737"/>
      <c r="BX211" s="2730" t="s">
        <v>25</v>
      </c>
      <c r="BY211" s="2731"/>
      <c r="BZ211" s="2731"/>
      <c r="CA211" s="2736" t="s">
        <v>706</v>
      </c>
      <c r="CB211" s="2737"/>
      <c r="EN211" s="57"/>
      <c r="EO211" s="57"/>
      <c r="EP211" s="57"/>
      <c r="EQ211" s="57"/>
      <c r="ER211" s="57"/>
    </row>
    <row r="212" spans="1:148" ht="11.25" customHeight="1" x14ac:dyDescent="0.25">
      <c r="A212" s="2732"/>
      <c r="B212" s="2733"/>
      <c r="C212" s="2733"/>
      <c r="D212" s="2738"/>
      <c r="E212" s="2739"/>
      <c r="F212" s="2732"/>
      <c r="G212" s="2733"/>
      <c r="H212" s="2733"/>
      <c r="I212" s="2738"/>
      <c r="J212" s="2739"/>
      <c r="K212" s="2732"/>
      <c r="L212" s="2733"/>
      <c r="M212" s="2733"/>
      <c r="N212" s="2698"/>
      <c r="O212" s="2699"/>
      <c r="P212" s="2732"/>
      <c r="Q212" s="2733"/>
      <c r="R212" s="2733"/>
      <c r="S212" s="2738"/>
      <c r="T212" s="2739"/>
      <c r="U212" s="2732"/>
      <c r="V212" s="2733"/>
      <c r="W212" s="2733"/>
      <c r="X212" s="2738"/>
      <c r="Y212" s="2739"/>
      <c r="Z212" s="2732"/>
      <c r="AA212" s="2733"/>
      <c r="AB212" s="2733"/>
      <c r="AC212" s="2738"/>
      <c r="AD212" s="2739"/>
      <c r="AE212" s="2732"/>
      <c r="AF212" s="2733"/>
      <c r="AG212" s="2733"/>
      <c r="AH212" s="2738"/>
      <c r="AI212" s="2739"/>
      <c r="AJ212" s="2732"/>
      <c r="AK212" s="2733"/>
      <c r="AL212" s="2733"/>
      <c r="AM212" s="2738"/>
      <c r="AN212" s="2739"/>
      <c r="AO212" s="2732"/>
      <c r="AP212" s="2733"/>
      <c r="AQ212" s="2733"/>
      <c r="AR212" s="2738"/>
      <c r="AS212" s="2739"/>
      <c r="AT212" s="2732"/>
      <c r="AU212" s="2733"/>
      <c r="AV212" s="2733"/>
      <c r="AW212" s="2738"/>
      <c r="AX212" s="2739"/>
      <c r="AY212" s="2732"/>
      <c r="AZ212" s="2733"/>
      <c r="BA212" s="2733"/>
      <c r="BB212" s="2738"/>
      <c r="BC212" s="2739"/>
      <c r="BD212" s="2732"/>
      <c r="BE212" s="2733"/>
      <c r="BF212" s="2733"/>
      <c r="BG212" s="2738"/>
      <c r="BH212" s="2739"/>
      <c r="BI212" s="2732"/>
      <c r="BJ212" s="2733"/>
      <c r="BK212" s="2733"/>
      <c r="BL212" s="2738"/>
      <c r="BM212" s="2739"/>
      <c r="BN212" s="2732"/>
      <c r="BO212" s="2733"/>
      <c r="BP212" s="2733"/>
      <c r="BQ212" s="2738"/>
      <c r="BR212" s="2739"/>
      <c r="BS212" s="2732"/>
      <c r="BT212" s="2733"/>
      <c r="BU212" s="2733"/>
      <c r="BV212" s="2738"/>
      <c r="BW212" s="2739"/>
      <c r="BX212" s="2732"/>
      <c r="BY212" s="2733"/>
      <c r="BZ212" s="2733"/>
      <c r="CA212" s="2738"/>
      <c r="CB212" s="2739"/>
      <c r="EN212" s="57"/>
      <c r="EO212" s="57"/>
      <c r="EP212" s="57"/>
      <c r="EQ212" s="57"/>
      <c r="ER212" s="57"/>
    </row>
    <row r="213" spans="1:148" ht="11.25" customHeight="1" x14ac:dyDescent="0.25">
      <c r="A213" s="2734"/>
      <c r="B213" s="2735"/>
      <c r="C213" s="2735"/>
      <c r="D213" s="2740"/>
      <c r="E213" s="2741"/>
      <c r="F213" s="2734"/>
      <c r="G213" s="2735"/>
      <c r="H213" s="2735"/>
      <c r="I213" s="2740"/>
      <c r="J213" s="2741"/>
      <c r="K213" s="2734"/>
      <c r="L213" s="2735"/>
      <c r="M213" s="2735"/>
      <c r="N213" s="2700"/>
      <c r="O213" s="2701"/>
      <c r="P213" s="2734"/>
      <c r="Q213" s="2735"/>
      <c r="R213" s="2735"/>
      <c r="S213" s="2740"/>
      <c r="T213" s="2741"/>
      <c r="U213" s="2734"/>
      <c r="V213" s="2735"/>
      <c r="W213" s="2735"/>
      <c r="X213" s="2740"/>
      <c r="Y213" s="2741"/>
      <c r="Z213" s="2734"/>
      <c r="AA213" s="2735"/>
      <c r="AB213" s="2735"/>
      <c r="AC213" s="2740"/>
      <c r="AD213" s="2741"/>
      <c r="AE213" s="2734"/>
      <c r="AF213" s="2735"/>
      <c r="AG213" s="2735"/>
      <c r="AH213" s="2740"/>
      <c r="AI213" s="2741"/>
      <c r="AJ213" s="2734"/>
      <c r="AK213" s="2735"/>
      <c r="AL213" s="2735"/>
      <c r="AM213" s="2740"/>
      <c r="AN213" s="2741"/>
      <c r="AO213" s="2734"/>
      <c r="AP213" s="2735"/>
      <c r="AQ213" s="2735"/>
      <c r="AR213" s="2740"/>
      <c r="AS213" s="2741"/>
      <c r="AT213" s="2734"/>
      <c r="AU213" s="2735"/>
      <c r="AV213" s="2735"/>
      <c r="AW213" s="2740"/>
      <c r="AX213" s="2741"/>
      <c r="AY213" s="2734"/>
      <c r="AZ213" s="2735"/>
      <c r="BA213" s="2735"/>
      <c r="BB213" s="2740"/>
      <c r="BC213" s="2741"/>
      <c r="BD213" s="2734"/>
      <c r="BE213" s="2735"/>
      <c r="BF213" s="2735"/>
      <c r="BG213" s="2740"/>
      <c r="BH213" s="2741"/>
      <c r="BI213" s="2734"/>
      <c r="BJ213" s="2735"/>
      <c r="BK213" s="2735"/>
      <c r="BL213" s="2740"/>
      <c r="BM213" s="2741"/>
      <c r="BN213" s="2734"/>
      <c r="BO213" s="2735"/>
      <c r="BP213" s="2735"/>
      <c r="BQ213" s="2740"/>
      <c r="BR213" s="2741"/>
      <c r="BS213" s="2734"/>
      <c r="BT213" s="2735"/>
      <c r="BU213" s="2735"/>
      <c r="BV213" s="2740"/>
      <c r="BW213" s="2741"/>
      <c r="BX213" s="2734"/>
      <c r="BY213" s="2735"/>
      <c r="BZ213" s="2735"/>
      <c r="CA213" s="2740"/>
      <c r="CB213" s="2741"/>
      <c r="EN213" s="57"/>
      <c r="EO213" s="57"/>
      <c r="EP213" s="57"/>
      <c r="EQ213" s="57"/>
      <c r="ER213" s="57"/>
    </row>
    <row r="214" spans="1:148" s="535" customFormat="1" ht="111.75" customHeight="1" x14ac:dyDescent="1.35">
      <c r="A214" s="2640" t="s">
        <v>727</v>
      </c>
      <c r="B214" s="2681">
        <v>140</v>
      </c>
      <c r="C214" s="2682"/>
      <c r="D214" s="2682"/>
      <c r="E214" s="2683"/>
      <c r="F214" s="2640" t="s">
        <v>727</v>
      </c>
      <c r="G214" s="2828">
        <v>141</v>
      </c>
      <c r="H214" s="2829"/>
      <c r="I214" s="2829"/>
      <c r="J214" s="2830"/>
      <c r="K214" s="2640" t="s">
        <v>727</v>
      </c>
      <c r="L214" s="2828">
        <v>142</v>
      </c>
      <c r="M214" s="2829"/>
      <c r="N214" s="2829"/>
      <c r="O214" s="2830"/>
      <c r="P214" s="2640" t="s">
        <v>727</v>
      </c>
      <c r="Q214" s="2828">
        <v>143</v>
      </c>
      <c r="R214" s="2829"/>
      <c r="S214" s="2829"/>
      <c r="T214" s="2830"/>
      <c r="U214" s="2640" t="s">
        <v>727</v>
      </c>
      <c r="V214" s="2681">
        <v>144</v>
      </c>
      <c r="W214" s="2682"/>
      <c r="X214" s="2682"/>
      <c r="Y214" s="2683"/>
      <c r="Z214" s="2640" t="s">
        <v>727</v>
      </c>
      <c r="AA214" s="2681">
        <v>145</v>
      </c>
      <c r="AB214" s="2682"/>
      <c r="AC214" s="2682"/>
      <c r="AD214" s="2683"/>
      <c r="AE214" s="2640" t="s">
        <v>727</v>
      </c>
      <c r="AF214" s="2681">
        <v>146</v>
      </c>
      <c r="AG214" s="2682"/>
      <c r="AH214" s="2682"/>
      <c r="AI214" s="2683"/>
      <c r="AJ214" s="2640" t="s">
        <v>727</v>
      </c>
      <c r="AK214" s="2681">
        <v>147</v>
      </c>
      <c r="AL214" s="2682"/>
      <c r="AM214" s="2682"/>
      <c r="AN214" s="2683"/>
      <c r="AO214" s="2640" t="s">
        <v>727</v>
      </c>
      <c r="AP214" s="2681">
        <v>148</v>
      </c>
      <c r="AQ214" s="2682"/>
      <c r="AR214" s="2682"/>
      <c r="AS214" s="2683"/>
      <c r="AT214" s="2640" t="s">
        <v>727</v>
      </c>
      <c r="AU214" s="2681">
        <v>149</v>
      </c>
      <c r="AV214" s="2682"/>
      <c r="AW214" s="2682"/>
      <c r="AX214" s="2683"/>
      <c r="AY214" s="2640" t="s">
        <v>727</v>
      </c>
      <c r="AZ214" s="2828">
        <v>150</v>
      </c>
      <c r="BA214" s="2829"/>
      <c r="BB214" s="2829"/>
      <c r="BC214" s="2830"/>
      <c r="BD214" s="2640" t="s">
        <v>727</v>
      </c>
      <c r="BE214" s="2828">
        <v>151</v>
      </c>
      <c r="BF214" s="2829"/>
      <c r="BG214" s="2829"/>
      <c r="BH214" s="2830"/>
      <c r="BI214" s="2640" t="s">
        <v>727</v>
      </c>
      <c r="BJ214" s="2828">
        <v>152</v>
      </c>
      <c r="BK214" s="2829"/>
      <c r="BL214" s="2829"/>
      <c r="BM214" s="2830"/>
      <c r="BN214" s="2640" t="s">
        <v>727</v>
      </c>
      <c r="BO214" s="2828">
        <v>153</v>
      </c>
      <c r="BP214" s="2829"/>
      <c r="BQ214" s="2829"/>
      <c r="BR214" s="2830"/>
      <c r="BS214" s="2640" t="s">
        <v>727</v>
      </c>
      <c r="BT214" s="2681">
        <v>154</v>
      </c>
      <c r="BU214" s="2682"/>
      <c r="BV214" s="2682"/>
      <c r="BW214" s="2683"/>
      <c r="BX214" s="2640" t="s">
        <v>727</v>
      </c>
      <c r="BY214" s="2681">
        <v>155</v>
      </c>
      <c r="BZ214" s="2682"/>
      <c r="CA214" s="2682"/>
      <c r="CB214" s="2683"/>
      <c r="EN214" s="546"/>
      <c r="EO214" s="546"/>
      <c r="EP214" s="546"/>
      <c r="EQ214" s="546"/>
      <c r="ER214" s="546"/>
    </row>
    <row r="215" spans="1:148" ht="50.25" customHeight="1" thickBot="1" x14ac:dyDescent="0.3">
      <c r="A215" s="2641"/>
      <c r="B215" s="518"/>
      <c r="C215" s="519" t="s">
        <v>113</v>
      </c>
      <c r="D215" s="520"/>
      <c r="E215" s="523" t="s">
        <v>114</v>
      </c>
      <c r="F215" s="2641"/>
      <c r="G215" s="518">
        <v>2.3368000000000002</v>
      </c>
      <c r="H215" s="519" t="s">
        <v>113</v>
      </c>
      <c r="I215" s="520"/>
      <c r="J215" s="523" t="s">
        <v>114</v>
      </c>
      <c r="K215" s="2641"/>
      <c r="L215" s="518">
        <v>0.35560000000000003</v>
      </c>
      <c r="M215" s="519" t="s">
        <v>113</v>
      </c>
      <c r="N215" s="520">
        <v>1</v>
      </c>
      <c r="O215" s="523" t="s">
        <v>114</v>
      </c>
      <c r="P215" s="2641"/>
      <c r="Q215" s="518">
        <v>0.2286</v>
      </c>
      <c r="R215" s="519" t="s">
        <v>113</v>
      </c>
      <c r="S215" s="520"/>
      <c r="T215" s="523" t="s">
        <v>114</v>
      </c>
      <c r="U215" s="2641"/>
      <c r="V215" s="518"/>
      <c r="W215" s="519" t="s">
        <v>113</v>
      </c>
      <c r="X215" s="520"/>
      <c r="Y215" s="523" t="s">
        <v>114</v>
      </c>
      <c r="Z215" s="2641"/>
      <c r="AA215" s="518"/>
      <c r="AB215" s="519" t="s">
        <v>113</v>
      </c>
      <c r="AC215" s="520"/>
      <c r="AD215" s="523" t="s">
        <v>114</v>
      </c>
      <c r="AE215" s="2641"/>
      <c r="AF215" s="518"/>
      <c r="AG215" s="519" t="s">
        <v>113</v>
      </c>
      <c r="AH215" s="520"/>
      <c r="AI215" s="523" t="s">
        <v>114</v>
      </c>
      <c r="AJ215" s="2641"/>
      <c r="AK215" s="518"/>
      <c r="AL215" s="519" t="s">
        <v>113</v>
      </c>
      <c r="AM215" s="520"/>
      <c r="AN215" s="523" t="s">
        <v>114</v>
      </c>
      <c r="AO215" s="2641"/>
      <c r="AP215" s="518"/>
      <c r="AQ215" s="519" t="s">
        <v>113</v>
      </c>
      <c r="AR215" s="520"/>
      <c r="AS215" s="523" t="s">
        <v>114</v>
      </c>
      <c r="AT215" s="2641"/>
      <c r="AU215" s="518"/>
      <c r="AV215" s="519" t="s">
        <v>113</v>
      </c>
      <c r="AW215" s="520"/>
      <c r="AX215" s="523" t="s">
        <v>114</v>
      </c>
      <c r="AY215" s="2641"/>
      <c r="AZ215" s="518">
        <v>0.254</v>
      </c>
      <c r="BA215" s="519" t="s">
        <v>113</v>
      </c>
      <c r="BB215" s="520"/>
      <c r="BC215" s="523" t="s">
        <v>114</v>
      </c>
      <c r="BD215" s="2641"/>
      <c r="BE215" s="518">
        <v>1.0000000000000001E-9</v>
      </c>
      <c r="BF215" s="519" t="s">
        <v>113</v>
      </c>
      <c r="BG215" s="520"/>
      <c r="BH215" s="523" t="s">
        <v>114</v>
      </c>
      <c r="BI215" s="2641"/>
      <c r="BJ215" s="518">
        <v>0.254</v>
      </c>
      <c r="BK215" s="519" t="s">
        <v>113</v>
      </c>
      <c r="BL215" s="520">
        <v>1</v>
      </c>
      <c r="BM215" s="523" t="s">
        <v>114</v>
      </c>
      <c r="BN215" s="2641"/>
      <c r="BO215" s="518">
        <v>0.254</v>
      </c>
      <c r="BP215" s="519" t="s">
        <v>113</v>
      </c>
      <c r="BQ215" s="520"/>
      <c r="BR215" s="523" t="s">
        <v>114</v>
      </c>
      <c r="BS215" s="2641"/>
      <c r="BT215" s="518"/>
      <c r="BU215" s="519" t="s">
        <v>113</v>
      </c>
      <c r="BV215" s="520"/>
      <c r="BW215" s="523" t="s">
        <v>114</v>
      </c>
      <c r="BX215" s="2641"/>
      <c r="BY215" s="518"/>
      <c r="BZ215" s="519" t="s">
        <v>113</v>
      </c>
      <c r="CA215" s="520"/>
      <c r="CB215" s="523" t="s">
        <v>114</v>
      </c>
      <c r="CG215" s="27"/>
      <c r="CH215" s="27"/>
      <c r="CI215" s="27"/>
      <c r="CJ215" s="27"/>
      <c r="CK215" s="27"/>
      <c r="CL215" s="27"/>
      <c r="CM215" s="27"/>
      <c r="CN215" s="27"/>
      <c r="CO215" s="27"/>
      <c r="EN215" s="13"/>
      <c r="EO215" s="13"/>
      <c r="EP215" s="13"/>
      <c r="EQ215" s="13"/>
      <c r="ER215" s="13"/>
    </row>
    <row r="216" spans="1:148" ht="57" customHeight="1" thickTop="1" x14ac:dyDescent="0.25">
      <c r="A216" s="2742" t="s">
        <v>110</v>
      </c>
      <c r="B216" s="2743"/>
      <c r="C216" s="2744">
        <f t="shared" ref="C216" si="506">B221/((36*3.1415/59)*(76/3.281))</f>
        <v>0</v>
      </c>
      <c r="D216" s="2744"/>
      <c r="E216" s="2745"/>
      <c r="F216" s="2742" t="s">
        <v>110</v>
      </c>
      <c r="G216" s="2743"/>
      <c r="H216" s="2744">
        <f t="shared" ref="H216" si="507">G221/((36*3.1415/59)*(76/3.281))</f>
        <v>0</v>
      </c>
      <c r="I216" s="2744"/>
      <c r="J216" s="2745"/>
      <c r="K216" s="2742" t="s">
        <v>110</v>
      </c>
      <c r="L216" s="2743"/>
      <c r="M216" s="2744">
        <f t="shared" ref="M216" si="508">L221/((36*3.1415/59)*(76/3.281))</f>
        <v>0</v>
      </c>
      <c r="N216" s="2744"/>
      <c r="O216" s="2745"/>
      <c r="P216" s="2742" t="s">
        <v>110</v>
      </c>
      <c r="Q216" s="2743"/>
      <c r="R216" s="2744">
        <f t="shared" ref="R216" si="509">Q221/((36*3.1415/59)*(76/3.281))</f>
        <v>2.2521903065265689E-8</v>
      </c>
      <c r="S216" s="2744"/>
      <c r="T216" s="2745"/>
      <c r="U216" s="2742" t="s">
        <v>110</v>
      </c>
      <c r="V216" s="2743"/>
      <c r="W216" s="2744">
        <f t="shared" ref="W216" si="510">V221/((36*3.1415/59)*(76/3.281))</f>
        <v>0</v>
      </c>
      <c r="X216" s="2744"/>
      <c r="Y216" s="2745"/>
      <c r="Z216" s="2742" t="s">
        <v>110</v>
      </c>
      <c r="AA216" s="2743"/>
      <c r="AB216" s="2744">
        <f t="shared" ref="AB216" si="511">AA221/((36*3.1415/59)*(76/3.281))</f>
        <v>0</v>
      </c>
      <c r="AC216" s="2744"/>
      <c r="AD216" s="2745"/>
      <c r="AE216" s="2742" t="s">
        <v>110</v>
      </c>
      <c r="AF216" s="2743"/>
      <c r="AG216" s="2744">
        <f t="shared" ref="AG216" si="512">AF221/((36*3.1415/59)*(76/3.281))</f>
        <v>0</v>
      </c>
      <c r="AH216" s="2744"/>
      <c r="AI216" s="2745"/>
      <c r="AJ216" s="2742" t="s">
        <v>110</v>
      </c>
      <c r="AK216" s="2743"/>
      <c r="AL216" s="2744">
        <f t="shared" ref="AL216" si="513">AK221/((36*3.1415/59)*(76/3.281))</f>
        <v>0</v>
      </c>
      <c r="AM216" s="2744"/>
      <c r="AN216" s="2745"/>
      <c r="AO216" s="617" t="s">
        <v>110</v>
      </c>
      <c r="AP216" s="618"/>
      <c r="AQ216" s="2722">
        <f>AP221/((36*3.1415/59)*(77/3.281))</f>
        <v>0</v>
      </c>
      <c r="AR216" s="2722"/>
      <c r="AS216" s="2723"/>
      <c r="AT216" s="617" t="s">
        <v>110</v>
      </c>
      <c r="AU216" s="618"/>
      <c r="AV216" s="2722">
        <f t="shared" ref="AV216" si="514">AU221/((36*3.1415/59)*(77/3.281))</f>
        <v>1.2986421799679798E-2</v>
      </c>
      <c r="AW216" s="2722"/>
      <c r="AX216" s="2723"/>
      <c r="AY216" s="617" t="s">
        <v>110</v>
      </c>
      <c r="AZ216" s="618"/>
      <c r="BA216" s="2722">
        <f t="shared" ref="BA216" si="515">AZ221/((36*3.1415/59)*(77/3.281))</f>
        <v>9.0340325562989886E-3</v>
      </c>
      <c r="BB216" s="2722"/>
      <c r="BC216" s="2723"/>
      <c r="BD216" s="617" t="s">
        <v>110</v>
      </c>
      <c r="BE216" s="618"/>
      <c r="BF216" s="2722">
        <f t="shared" ref="BF216" si="516">BE221/((36*3.1415/59)*(77/3.281))</f>
        <v>0</v>
      </c>
      <c r="BG216" s="2722"/>
      <c r="BH216" s="2723"/>
      <c r="BI216" s="617" t="s">
        <v>110</v>
      </c>
      <c r="BJ216" s="618"/>
      <c r="BK216" s="2722">
        <f t="shared" ref="BK216" si="517">BJ221/((36*3.1415/59)*(77/3.281))</f>
        <v>0</v>
      </c>
      <c r="BL216" s="2722"/>
      <c r="BM216" s="2723"/>
      <c r="BN216" s="617" t="s">
        <v>110</v>
      </c>
      <c r="BO216" s="618"/>
      <c r="BP216" s="2722">
        <f t="shared" ref="BP216" si="518">BO221/((36*3.1415/59)*(77/3.281))</f>
        <v>0</v>
      </c>
      <c r="BQ216" s="2722"/>
      <c r="BR216" s="2723"/>
      <c r="BS216" s="617" t="s">
        <v>110</v>
      </c>
      <c r="BT216" s="618"/>
      <c r="BU216" s="2722">
        <f t="shared" ref="BU216" si="519">BT221/((36*3.1415/59)*(77/3.281))</f>
        <v>0</v>
      </c>
      <c r="BV216" s="2722"/>
      <c r="BW216" s="2723"/>
      <c r="BX216" s="617" t="s">
        <v>110</v>
      </c>
      <c r="BY216" s="618"/>
      <c r="BZ216" s="2722">
        <f t="shared" ref="BZ216" si="520">BY221/((36*3.1415/59)*(77/3.281))</f>
        <v>0</v>
      </c>
      <c r="CA216" s="2722"/>
      <c r="CB216" s="2723"/>
      <c r="EN216" s="13"/>
      <c r="EO216" s="13"/>
      <c r="EP216" s="13"/>
      <c r="EQ216" s="13"/>
      <c r="ER216" s="13"/>
    </row>
    <row r="217" spans="1:148" ht="11.25" customHeight="1" x14ac:dyDescent="0.25">
      <c r="A217" s="2730" t="s">
        <v>25</v>
      </c>
      <c r="B217" s="2731"/>
      <c r="C217" s="2731"/>
      <c r="D217" s="2736" t="s">
        <v>706</v>
      </c>
      <c r="E217" s="2737"/>
      <c r="F217" s="2730" t="s">
        <v>25</v>
      </c>
      <c r="G217" s="2731"/>
      <c r="H217" s="2731"/>
      <c r="I217" s="2736" t="s">
        <v>706</v>
      </c>
      <c r="J217" s="2737"/>
      <c r="K217" s="2730" t="s">
        <v>25</v>
      </c>
      <c r="L217" s="2731"/>
      <c r="M217" s="2731"/>
      <c r="N217" s="2736" t="s">
        <v>706</v>
      </c>
      <c r="O217" s="2737"/>
      <c r="P217" s="2730" t="s">
        <v>25</v>
      </c>
      <c r="Q217" s="2731"/>
      <c r="R217" s="2731"/>
      <c r="S217" s="2736" t="s">
        <v>706</v>
      </c>
      <c r="T217" s="2737"/>
      <c r="U217" s="2730" t="s">
        <v>25</v>
      </c>
      <c r="V217" s="2731"/>
      <c r="W217" s="2731"/>
      <c r="X217" s="2736" t="s">
        <v>706</v>
      </c>
      <c r="Y217" s="2737"/>
      <c r="Z217" s="2730" t="s">
        <v>25</v>
      </c>
      <c r="AA217" s="2731"/>
      <c r="AB217" s="2731"/>
      <c r="AC217" s="2736" t="s">
        <v>706</v>
      </c>
      <c r="AD217" s="2737"/>
      <c r="AE217" s="2730" t="s">
        <v>25</v>
      </c>
      <c r="AF217" s="2731"/>
      <c r="AG217" s="2731"/>
      <c r="AH217" s="2736" t="s">
        <v>706</v>
      </c>
      <c r="AI217" s="2737"/>
      <c r="AJ217" s="2730" t="s">
        <v>25</v>
      </c>
      <c r="AK217" s="2731"/>
      <c r="AL217" s="2731"/>
      <c r="AM217" s="2736" t="s">
        <v>706</v>
      </c>
      <c r="AN217" s="2737"/>
      <c r="AO217" s="2710" t="s">
        <v>25</v>
      </c>
      <c r="AP217" s="2711"/>
      <c r="AQ217" s="2711"/>
      <c r="AR217" s="2716" t="s">
        <v>706</v>
      </c>
      <c r="AS217" s="2717"/>
      <c r="AT217" s="2710" t="s">
        <v>25</v>
      </c>
      <c r="AU217" s="2711"/>
      <c r="AV217" s="2711"/>
      <c r="AW217" s="2716" t="s">
        <v>706</v>
      </c>
      <c r="AX217" s="2717"/>
      <c r="AY217" s="2724" t="s">
        <v>25</v>
      </c>
      <c r="AZ217" s="2725"/>
      <c r="BA217" s="2725"/>
      <c r="BB217" s="2696" t="s">
        <v>706</v>
      </c>
      <c r="BC217" s="2697"/>
      <c r="BD217" s="2710" t="s">
        <v>25</v>
      </c>
      <c r="BE217" s="2711"/>
      <c r="BF217" s="2711"/>
      <c r="BG217" s="2716" t="s">
        <v>706</v>
      </c>
      <c r="BH217" s="2717"/>
      <c r="BI217" s="2710" t="s">
        <v>25</v>
      </c>
      <c r="BJ217" s="2711"/>
      <c r="BK217" s="2711"/>
      <c r="BL217" s="2716" t="s">
        <v>706</v>
      </c>
      <c r="BM217" s="2717"/>
      <c r="BN217" s="2710" t="s">
        <v>25</v>
      </c>
      <c r="BO217" s="2711"/>
      <c r="BP217" s="2711"/>
      <c r="BQ217" s="2716" t="s">
        <v>706</v>
      </c>
      <c r="BR217" s="2717"/>
      <c r="BS217" s="2710" t="s">
        <v>25</v>
      </c>
      <c r="BT217" s="2711"/>
      <c r="BU217" s="2711"/>
      <c r="BV217" s="2716" t="s">
        <v>706</v>
      </c>
      <c r="BW217" s="2717"/>
      <c r="BX217" s="2710" t="s">
        <v>25</v>
      </c>
      <c r="BY217" s="2711"/>
      <c r="BZ217" s="2711"/>
      <c r="CA217" s="2716" t="s">
        <v>706</v>
      </c>
      <c r="CB217" s="2717"/>
      <c r="EN217" s="13"/>
      <c r="EO217" s="13"/>
      <c r="EP217" s="13"/>
      <c r="EQ217" s="13"/>
      <c r="ER217" s="13"/>
    </row>
    <row r="218" spans="1:148" ht="11.25" customHeight="1" x14ac:dyDescent="0.25">
      <c r="A218" s="2732"/>
      <c r="B218" s="2733"/>
      <c r="C218" s="2733"/>
      <c r="D218" s="2738"/>
      <c r="E218" s="2739"/>
      <c r="F218" s="2732"/>
      <c r="G218" s="2733"/>
      <c r="H218" s="2733"/>
      <c r="I218" s="2738"/>
      <c r="J218" s="2739"/>
      <c r="K218" s="2732"/>
      <c r="L218" s="2733"/>
      <c r="M218" s="2733"/>
      <c r="N218" s="2738"/>
      <c r="O218" s="2739"/>
      <c r="P218" s="2732"/>
      <c r="Q218" s="2733"/>
      <c r="R218" s="2733"/>
      <c r="S218" s="2738"/>
      <c r="T218" s="2739"/>
      <c r="U218" s="2732"/>
      <c r="V218" s="2733"/>
      <c r="W218" s="2733"/>
      <c r="X218" s="2738"/>
      <c r="Y218" s="2739"/>
      <c r="Z218" s="2732"/>
      <c r="AA218" s="2733"/>
      <c r="AB218" s="2733"/>
      <c r="AC218" s="2738"/>
      <c r="AD218" s="2739"/>
      <c r="AE218" s="2732"/>
      <c r="AF218" s="2733"/>
      <c r="AG218" s="2733"/>
      <c r="AH218" s="2738"/>
      <c r="AI218" s="2739"/>
      <c r="AJ218" s="2732"/>
      <c r="AK218" s="2733"/>
      <c r="AL218" s="2733"/>
      <c r="AM218" s="2738"/>
      <c r="AN218" s="2739"/>
      <c r="AO218" s="2712"/>
      <c r="AP218" s="2713"/>
      <c r="AQ218" s="2713"/>
      <c r="AR218" s="2718"/>
      <c r="AS218" s="2719"/>
      <c r="AT218" s="2712"/>
      <c r="AU218" s="2713"/>
      <c r="AV218" s="2713"/>
      <c r="AW218" s="2718"/>
      <c r="AX218" s="2719"/>
      <c r="AY218" s="2726"/>
      <c r="AZ218" s="2727"/>
      <c r="BA218" s="2727"/>
      <c r="BB218" s="2698"/>
      <c r="BC218" s="2699"/>
      <c r="BD218" s="2712"/>
      <c r="BE218" s="2713"/>
      <c r="BF218" s="2713"/>
      <c r="BG218" s="2718"/>
      <c r="BH218" s="2719"/>
      <c r="BI218" s="2712"/>
      <c r="BJ218" s="2713"/>
      <c r="BK218" s="2713"/>
      <c r="BL218" s="2718"/>
      <c r="BM218" s="2719"/>
      <c r="BN218" s="2712"/>
      <c r="BO218" s="2713"/>
      <c r="BP218" s="2713"/>
      <c r="BQ218" s="2718"/>
      <c r="BR218" s="2719"/>
      <c r="BS218" s="2712"/>
      <c r="BT218" s="2713"/>
      <c r="BU218" s="2713"/>
      <c r="BV218" s="2718"/>
      <c r="BW218" s="2719"/>
      <c r="BX218" s="2712"/>
      <c r="BY218" s="2713"/>
      <c r="BZ218" s="2713"/>
      <c r="CA218" s="2718"/>
      <c r="CB218" s="2719"/>
      <c r="EN218" s="13"/>
      <c r="EO218" s="13"/>
      <c r="EP218" s="13"/>
      <c r="EQ218" s="13"/>
      <c r="ER218" s="13"/>
    </row>
    <row r="219" spans="1:148" ht="11.25" customHeight="1" x14ac:dyDescent="0.25">
      <c r="A219" s="2734"/>
      <c r="B219" s="2735"/>
      <c r="C219" s="2735"/>
      <c r="D219" s="2740"/>
      <c r="E219" s="2741"/>
      <c r="F219" s="2734"/>
      <c r="G219" s="2735"/>
      <c r="H219" s="2735"/>
      <c r="I219" s="2740"/>
      <c r="J219" s="2741"/>
      <c r="K219" s="2734"/>
      <c r="L219" s="2735"/>
      <c r="M219" s="2735"/>
      <c r="N219" s="2740"/>
      <c r="O219" s="2741"/>
      <c r="P219" s="2734"/>
      <c r="Q219" s="2735"/>
      <c r="R219" s="2735"/>
      <c r="S219" s="2740"/>
      <c r="T219" s="2741"/>
      <c r="U219" s="2734"/>
      <c r="V219" s="2735"/>
      <c r="W219" s="2735"/>
      <c r="X219" s="2740"/>
      <c r="Y219" s="2741"/>
      <c r="Z219" s="2734"/>
      <c r="AA219" s="2735"/>
      <c r="AB219" s="2735"/>
      <c r="AC219" s="2740"/>
      <c r="AD219" s="2741"/>
      <c r="AE219" s="2734"/>
      <c r="AF219" s="2735"/>
      <c r="AG219" s="2735"/>
      <c r="AH219" s="2740"/>
      <c r="AI219" s="2741"/>
      <c r="AJ219" s="2734"/>
      <c r="AK219" s="2735"/>
      <c r="AL219" s="2735"/>
      <c r="AM219" s="2740"/>
      <c r="AN219" s="2741"/>
      <c r="AO219" s="2714"/>
      <c r="AP219" s="2715"/>
      <c r="AQ219" s="2715"/>
      <c r="AR219" s="2720"/>
      <c r="AS219" s="2721"/>
      <c r="AT219" s="2714"/>
      <c r="AU219" s="2715"/>
      <c r="AV219" s="2715"/>
      <c r="AW219" s="2720"/>
      <c r="AX219" s="2721"/>
      <c r="AY219" s="2728"/>
      <c r="AZ219" s="2729"/>
      <c r="BA219" s="2729"/>
      <c r="BB219" s="2700"/>
      <c r="BC219" s="2701"/>
      <c r="BD219" s="2714"/>
      <c r="BE219" s="2715"/>
      <c r="BF219" s="2715"/>
      <c r="BG219" s="2720"/>
      <c r="BH219" s="2721"/>
      <c r="BI219" s="2714"/>
      <c r="BJ219" s="2715"/>
      <c r="BK219" s="2715"/>
      <c r="BL219" s="2720"/>
      <c r="BM219" s="2721"/>
      <c r="BN219" s="2714"/>
      <c r="BO219" s="2715"/>
      <c r="BP219" s="2715"/>
      <c r="BQ219" s="2720"/>
      <c r="BR219" s="2721"/>
      <c r="BS219" s="2714"/>
      <c r="BT219" s="2715"/>
      <c r="BU219" s="2715"/>
      <c r="BV219" s="2720"/>
      <c r="BW219" s="2721"/>
      <c r="BX219" s="2714"/>
      <c r="BY219" s="2715"/>
      <c r="BZ219" s="2715"/>
      <c r="CA219" s="2720"/>
      <c r="CB219" s="2721"/>
      <c r="EN219" s="13"/>
      <c r="EO219" s="13"/>
      <c r="EP219" s="13"/>
      <c r="EQ219" s="13"/>
      <c r="ER219" s="13"/>
    </row>
    <row r="220" spans="1:148" s="535" customFormat="1" ht="111.75" customHeight="1" x14ac:dyDescent="1.35">
      <c r="A220" s="2640" t="s">
        <v>727</v>
      </c>
      <c r="B220" s="2681">
        <v>156</v>
      </c>
      <c r="C220" s="2682"/>
      <c r="D220" s="2682"/>
      <c r="E220" s="2683"/>
      <c r="F220" s="2640" t="s">
        <v>727</v>
      </c>
      <c r="G220" s="2681">
        <v>157</v>
      </c>
      <c r="H220" s="2682"/>
      <c r="I220" s="2682"/>
      <c r="J220" s="2683"/>
      <c r="K220" s="2640" t="s">
        <v>727</v>
      </c>
      <c r="L220" s="2681">
        <v>159</v>
      </c>
      <c r="M220" s="2682"/>
      <c r="N220" s="2682"/>
      <c r="O220" s="2683"/>
      <c r="P220" s="2640" t="s">
        <v>727</v>
      </c>
      <c r="Q220" s="2828">
        <v>160</v>
      </c>
      <c r="R220" s="2829"/>
      <c r="S220" s="2829"/>
      <c r="T220" s="2830"/>
      <c r="U220" s="2640" t="s">
        <v>727</v>
      </c>
      <c r="V220" s="2681">
        <v>161</v>
      </c>
      <c r="W220" s="2682"/>
      <c r="X220" s="2682"/>
      <c r="Y220" s="2683"/>
      <c r="Z220" s="2640" t="s">
        <v>727</v>
      </c>
      <c r="AA220" s="2681">
        <v>163</v>
      </c>
      <c r="AB220" s="2682"/>
      <c r="AC220" s="2682"/>
      <c r="AD220" s="2683"/>
      <c r="AE220" s="2640" t="s">
        <v>727</v>
      </c>
      <c r="AF220" s="2681">
        <v>164</v>
      </c>
      <c r="AG220" s="2682"/>
      <c r="AH220" s="2682"/>
      <c r="AI220" s="2683"/>
      <c r="AJ220" s="2640" t="s">
        <v>727</v>
      </c>
      <c r="AK220" s="2681">
        <v>165</v>
      </c>
      <c r="AL220" s="2682"/>
      <c r="AM220" s="2682"/>
      <c r="AN220" s="2683"/>
      <c r="AO220" s="615" t="s">
        <v>330</v>
      </c>
      <c r="AP220" s="2681">
        <v>89</v>
      </c>
      <c r="AQ220" s="2682"/>
      <c r="AR220" s="2682"/>
      <c r="AS220" s="2683"/>
      <c r="AT220" s="615" t="s">
        <v>330</v>
      </c>
      <c r="AU220" s="2828">
        <v>90</v>
      </c>
      <c r="AV220" s="2829"/>
      <c r="AW220" s="2829"/>
      <c r="AX220" s="2830"/>
      <c r="AY220" s="615" t="s">
        <v>330</v>
      </c>
      <c r="AZ220" s="2828">
        <v>91</v>
      </c>
      <c r="BA220" s="2829"/>
      <c r="BB220" s="2829"/>
      <c r="BC220" s="2830"/>
      <c r="BD220" s="615" t="s">
        <v>330</v>
      </c>
      <c r="BE220" s="2681">
        <v>92</v>
      </c>
      <c r="BF220" s="2682"/>
      <c r="BG220" s="2682"/>
      <c r="BH220" s="2683"/>
      <c r="BI220" s="615" t="s">
        <v>330</v>
      </c>
      <c r="BJ220" s="2681">
        <v>94</v>
      </c>
      <c r="BK220" s="2682"/>
      <c r="BL220" s="2682"/>
      <c r="BM220" s="2683"/>
      <c r="BN220" s="615" t="s">
        <v>330</v>
      </c>
      <c r="BO220" s="2681">
        <v>95</v>
      </c>
      <c r="BP220" s="2682"/>
      <c r="BQ220" s="2682"/>
      <c r="BR220" s="2683"/>
      <c r="BS220" s="615" t="s">
        <v>330</v>
      </c>
      <c r="BT220" s="2681">
        <v>96</v>
      </c>
      <c r="BU220" s="2682"/>
      <c r="BV220" s="2682"/>
      <c r="BW220" s="2683"/>
      <c r="BX220" s="615" t="s">
        <v>330</v>
      </c>
      <c r="BY220" s="2681">
        <v>97</v>
      </c>
      <c r="BZ220" s="2682"/>
      <c r="CA220" s="2682"/>
      <c r="CB220" s="2683"/>
      <c r="EN220" s="545"/>
      <c r="EO220" s="545"/>
      <c r="EP220" s="545"/>
      <c r="EQ220" s="545"/>
      <c r="ER220" s="545"/>
    </row>
    <row r="221" spans="1:148" ht="50.25" customHeight="1" thickBot="1" x14ac:dyDescent="0.3">
      <c r="A221" s="2641"/>
      <c r="B221" s="518"/>
      <c r="C221" s="519" t="s">
        <v>113</v>
      </c>
      <c r="D221" s="520"/>
      <c r="E221" s="523" t="s">
        <v>114</v>
      </c>
      <c r="F221" s="2641"/>
      <c r="G221" s="518"/>
      <c r="H221" s="519" t="s">
        <v>113</v>
      </c>
      <c r="I221" s="520"/>
      <c r="J221" s="523" t="s">
        <v>114</v>
      </c>
      <c r="K221" s="2641"/>
      <c r="L221" s="518"/>
      <c r="M221" s="519" t="s">
        <v>113</v>
      </c>
      <c r="N221" s="520"/>
      <c r="O221" s="523" t="s">
        <v>114</v>
      </c>
      <c r="P221" s="2641"/>
      <c r="Q221" s="518">
        <v>9.9999999999999995E-7</v>
      </c>
      <c r="R221" s="519" t="s">
        <v>113</v>
      </c>
      <c r="S221" s="520"/>
      <c r="T221" s="523" t="s">
        <v>114</v>
      </c>
      <c r="U221" s="2641"/>
      <c r="V221" s="518"/>
      <c r="W221" s="519" t="s">
        <v>113</v>
      </c>
      <c r="X221" s="520"/>
      <c r="Y221" s="523" t="s">
        <v>114</v>
      </c>
      <c r="Z221" s="2641"/>
      <c r="AA221" s="518"/>
      <c r="AB221" s="519" t="s">
        <v>113</v>
      </c>
      <c r="AC221" s="520"/>
      <c r="AD221" s="523" t="s">
        <v>114</v>
      </c>
      <c r="AE221" s="2641"/>
      <c r="AF221" s="518"/>
      <c r="AG221" s="519" t="s">
        <v>113</v>
      </c>
      <c r="AH221" s="520"/>
      <c r="AI221" s="523" t="s">
        <v>114</v>
      </c>
      <c r="AJ221" s="2641"/>
      <c r="AK221" s="518"/>
      <c r="AL221" s="519" t="s">
        <v>113</v>
      </c>
      <c r="AM221" s="520"/>
      <c r="AN221" s="523" t="s">
        <v>114</v>
      </c>
      <c r="AO221" s="616"/>
      <c r="AP221" s="518"/>
      <c r="AQ221" s="519" t="s">
        <v>113</v>
      </c>
      <c r="AR221" s="520"/>
      <c r="AS221" s="523" t="s">
        <v>114</v>
      </c>
      <c r="AT221" s="616"/>
      <c r="AU221" s="518">
        <v>0.58420000000000005</v>
      </c>
      <c r="AV221" s="519" t="s">
        <v>113</v>
      </c>
      <c r="AW221" s="520">
        <v>1</v>
      </c>
      <c r="AX221" s="523" t="s">
        <v>114</v>
      </c>
      <c r="AY221" s="616"/>
      <c r="AZ221" s="518">
        <v>0.40639999999999998</v>
      </c>
      <c r="BA221" s="519" t="s">
        <v>113</v>
      </c>
      <c r="BB221" s="520"/>
      <c r="BC221" s="523" t="s">
        <v>114</v>
      </c>
      <c r="BD221" s="616"/>
      <c r="BE221" s="518"/>
      <c r="BF221" s="519" t="s">
        <v>113</v>
      </c>
      <c r="BG221" s="520"/>
      <c r="BH221" s="523" t="s">
        <v>114</v>
      </c>
      <c r="BI221" s="616"/>
      <c r="BJ221" s="518"/>
      <c r="BK221" s="519" t="s">
        <v>113</v>
      </c>
      <c r="BL221" s="520"/>
      <c r="BM221" s="523" t="s">
        <v>114</v>
      </c>
      <c r="BN221" s="616"/>
      <c r="BO221" s="518"/>
      <c r="BP221" s="519" t="s">
        <v>113</v>
      </c>
      <c r="BQ221" s="520"/>
      <c r="BR221" s="523" t="s">
        <v>114</v>
      </c>
      <c r="BS221" s="616"/>
      <c r="BT221" s="518"/>
      <c r="BU221" s="519" t="s">
        <v>113</v>
      </c>
      <c r="BV221" s="520"/>
      <c r="BW221" s="523" t="s">
        <v>114</v>
      </c>
      <c r="BX221" s="616"/>
      <c r="BY221" s="518"/>
      <c r="BZ221" s="519" t="s">
        <v>113</v>
      </c>
      <c r="CA221" s="520"/>
      <c r="CB221" s="523" t="s">
        <v>114</v>
      </c>
      <c r="CG221" s="27"/>
      <c r="CH221" s="27"/>
      <c r="CI221" s="27"/>
      <c r="CJ221" s="27"/>
      <c r="CK221" s="27"/>
      <c r="CL221" s="27"/>
      <c r="CM221" s="27"/>
      <c r="CN221" s="27"/>
      <c r="CO221" s="27"/>
      <c r="EN221" s="57"/>
      <c r="EO221" s="57"/>
      <c r="EP221" s="57"/>
      <c r="EQ221" s="57"/>
      <c r="ER221" s="57"/>
    </row>
    <row r="222" spans="1:148" ht="57" customHeight="1" thickTop="1" x14ac:dyDescent="0.25">
      <c r="A222" s="617" t="s">
        <v>110</v>
      </c>
      <c r="B222" s="618"/>
      <c r="C222" s="2722">
        <f t="shared" ref="C222" si="521">B227/((36*3.1415/59)*(77/3.281))</f>
        <v>0</v>
      </c>
      <c r="D222" s="2722"/>
      <c r="E222" s="2723"/>
      <c r="F222" s="617" t="s">
        <v>110</v>
      </c>
      <c r="G222" s="618"/>
      <c r="H222" s="2722">
        <f t="shared" ref="H222" si="522">G227/((36*3.1415/59)*(77/3.281))</f>
        <v>2.2229410817664834E-8</v>
      </c>
      <c r="I222" s="2722"/>
      <c r="J222" s="2723"/>
      <c r="K222" s="617" t="s">
        <v>110</v>
      </c>
      <c r="L222" s="618"/>
      <c r="M222" s="2722">
        <f t="shared" ref="M222" si="523">L227/((36*3.1415/59)*(77/3.281))</f>
        <v>0</v>
      </c>
      <c r="N222" s="2722"/>
      <c r="O222" s="2723"/>
      <c r="P222" s="617" t="s">
        <v>110</v>
      </c>
      <c r="Q222" s="618"/>
      <c r="R222" s="2722">
        <f t="shared" ref="R222" si="524">Q227/((36*3.1415/59)*(77/3.281))</f>
        <v>0</v>
      </c>
      <c r="S222" s="2722"/>
      <c r="T222" s="2723"/>
      <c r="U222" s="617" t="s">
        <v>110</v>
      </c>
      <c r="V222" s="618"/>
      <c r="W222" s="2722">
        <f t="shared" ref="W222" si="525">V227/((36*3.1415/59)*(77/3.281))</f>
        <v>0</v>
      </c>
      <c r="X222" s="2722"/>
      <c r="Y222" s="2723"/>
      <c r="Z222" s="617" t="s">
        <v>110</v>
      </c>
      <c r="AA222" s="618"/>
      <c r="AB222" s="2722">
        <f t="shared" ref="AB222" si="526">AA227/((36*3.1415/59)*(77/3.281))</f>
        <v>0</v>
      </c>
      <c r="AC222" s="2722"/>
      <c r="AD222" s="2723"/>
      <c r="AE222" s="617" t="s">
        <v>110</v>
      </c>
      <c r="AF222" s="618"/>
      <c r="AG222" s="2722">
        <f t="shared" ref="AG222" si="527">AF227/((36*3.1415/59)*(77/3.281))</f>
        <v>0</v>
      </c>
      <c r="AH222" s="2722"/>
      <c r="AI222" s="2723"/>
      <c r="AJ222" s="617" t="s">
        <v>110</v>
      </c>
      <c r="AK222" s="618"/>
      <c r="AL222" s="2722">
        <f t="shared" ref="AL222" si="528">AK227/((36*3.1415/59)*(77/3.281))</f>
        <v>0</v>
      </c>
      <c r="AM222" s="2722"/>
      <c r="AN222" s="2723"/>
      <c r="AO222" s="617" t="s">
        <v>110</v>
      </c>
      <c r="AP222" s="618"/>
      <c r="AQ222" s="2722">
        <f t="shared" ref="AQ222" si="529">AP227/((36*3.1415/59)*(77/3.281))</f>
        <v>0</v>
      </c>
      <c r="AR222" s="2722"/>
      <c r="AS222" s="2723"/>
      <c r="AT222" s="617" t="s">
        <v>110</v>
      </c>
      <c r="AU222" s="618"/>
      <c r="AV222" s="2722">
        <f t="shared" ref="AV222" si="530">AU227/((36*3.1415/59)*(77/3.281))</f>
        <v>0</v>
      </c>
      <c r="AW222" s="2722"/>
      <c r="AX222" s="2723"/>
      <c r="AY222" s="617" t="s">
        <v>110</v>
      </c>
      <c r="AZ222" s="618"/>
      <c r="BA222" s="2722">
        <f t="shared" ref="BA222" si="531">AZ227/((36*3.1415/59)*(77/3.281))</f>
        <v>0</v>
      </c>
      <c r="BB222" s="2722"/>
      <c r="BC222" s="2723"/>
      <c r="BD222" s="617" t="s">
        <v>110</v>
      </c>
      <c r="BE222" s="618"/>
      <c r="BF222" s="2722">
        <f t="shared" ref="BF222" si="532">BE227/((36*3.1415/59)*(77/3.281))</f>
        <v>0</v>
      </c>
      <c r="BG222" s="2722"/>
      <c r="BH222" s="2723"/>
      <c r="BI222" s="617" t="s">
        <v>110</v>
      </c>
      <c r="BJ222" s="618"/>
      <c r="BK222" s="2722">
        <f t="shared" ref="BK222" si="533">BJ227/((36*3.1415/59)*(77/3.281))</f>
        <v>0</v>
      </c>
      <c r="BL222" s="2722"/>
      <c r="BM222" s="2723"/>
      <c r="BN222" s="617" t="s">
        <v>110</v>
      </c>
      <c r="BO222" s="618"/>
      <c r="BP222" s="2722">
        <f t="shared" ref="BP222" si="534">BO227/((36*3.1415/59)*(77/3.281))</f>
        <v>0</v>
      </c>
      <c r="BQ222" s="2722"/>
      <c r="BR222" s="2723"/>
      <c r="BS222" s="617" t="s">
        <v>110</v>
      </c>
      <c r="BT222" s="618"/>
      <c r="BU222" s="2722">
        <f t="shared" ref="BU222" si="535">BT227/((36*3.1415/59)*(77/3.281))</f>
        <v>2.2229410817664835E-14</v>
      </c>
      <c r="BV222" s="2722"/>
      <c r="BW222" s="2723"/>
      <c r="BX222" s="617" t="s">
        <v>110</v>
      </c>
      <c r="BY222" s="618"/>
      <c r="BZ222" s="2722">
        <f>BY227/((36*3.1415/59)*(77/3.281))</f>
        <v>0</v>
      </c>
      <c r="CA222" s="2722"/>
      <c r="CB222" s="2723"/>
      <c r="EN222" s="57"/>
      <c r="EO222" s="57"/>
      <c r="EP222" s="57"/>
      <c r="EQ222" s="57"/>
      <c r="ER222" s="57"/>
    </row>
    <row r="223" spans="1:148" ht="11.25" customHeight="1" x14ac:dyDescent="0.25">
      <c r="A223" s="2710" t="s">
        <v>25</v>
      </c>
      <c r="B223" s="2711"/>
      <c r="C223" s="2711"/>
      <c r="D223" s="2716" t="s">
        <v>706</v>
      </c>
      <c r="E223" s="2717"/>
      <c r="F223" s="2710" t="s">
        <v>25</v>
      </c>
      <c r="G223" s="2711"/>
      <c r="H223" s="2711"/>
      <c r="I223" s="2716" t="s">
        <v>706</v>
      </c>
      <c r="J223" s="2717"/>
      <c r="K223" s="2710" t="s">
        <v>25</v>
      </c>
      <c r="L223" s="2711"/>
      <c r="M223" s="2711"/>
      <c r="N223" s="2716" t="s">
        <v>706</v>
      </c>
      <c r="O223" s="2717"/>
      <c r="P223" s="2710" t="s">
        <v>25</v>
      </c>
      <c r="Q223" s="2711"/>
      <c r="R223" s="2711"/>
      <c r="S223" s="2716" t="s">
        <v>706</v>
      </c>
      <c r="T223" s="2717"/>
      <c r="U223" s="2710" t="s">
        <v>25</v>
      </c>
      <c r="V223" s="2711"/>
      <c r="W223" s="2711"/>
      <c r="X223" s="2716" t="s">
        <v>706</v>
      </c>
      <c r="Y223" s="2717"/>
      <c r="Z223" s="2710" t="s">
        <v>25</v>
      </c>
      <c r="AA223" s="2711"/>
      <c r="AB223" s="2711"/>
      <c r="AC223" s="2716" t="s">
        <v>706</v>
      </c>
      <c r="AD223" s="2717"/>
      <c r="AE223" s="2710" t="s">
        <v>25</v>
      </c>
      <c r="AF223" s="2711"/>
      <c r="AG223" s="2711"/>
      <c r="AH223" s="2716" t="s">
        <v>706</v>
      </c>
      <c r="AI223" s="2717"/>
      <c r="AJ223" s="2710" t="s">
        <v>25</v>
      </c>
      <c r="AK223" s="2711"/>
      <c r="AL223" s="2711"/>
      <c r="AM223" s="2716" t="s">
        <v>706</v>
      </c>
      <c r="AN223" s="2717"/>
      <c r="AO223" s="2710" t="s">
        <v>25</v>
      </c>
      <c r="AP223" s="2711"/>
      <c r="AQ223" s="2711"/>
      <c r="AR223" s="2716" t="s">
        <v>706</v>
      </c>
      <c r="AS223" s="2717"/>
      <c r="AT223" s="2710" t="s">
        <v>25</v>
      </c>
      <c r="AU223" s="2711"/>
      <c r="AV223" s="2711"/>
      <c r="AW223" s="2716" t="s">
        <v>706</v>
      </c>
      <c r="AX223" s="2717"/>
      <c r="AY223" s="2710" t="s">
        <v>25</v>
      </c>
      <c r="AZ223" s="2711"/>
      <c r="BA223" s="2711"/>
      <c r="BB223" s="2716" t="s">
        <v>706</v>
      </c>
      <c r="BC223" s="2717"/>
      <c r="BD223" s="2710" t="s">
        <v>25</v>
      </c>
      <c r="BE223" s="2711"/>
      <c r="BF223" s="2711"/>
      <c r="BG223" s="2716" t="s">
        <v>706</v>
      </c>
      <c r="BH223" s="2717"/>
      <c r="BI223" s="2710" t="s">
        <v>25</v>
      </c>
      <c r="BJ223" s="2711"/>
      <c r="BK223" s="2711"/>
      <c r="BL223" s="2716" t="s">
        <v>706</v>
      </c>
      <c r="BM223" s="2717"/>
      <c r="BN223" s="2710" t="s">
        <v>25</v>
      </c>
      <c r="BO223" s="2711"/>
      <c r="BP223" s="2711"/>
      <c r="BQ223" s="2716" t="s">
        <v>706</v>
      </c>
      <c r="BR223" s="2717"/>
      <c r="BS223" s="2710" t="s">
        <v>25</v>
      </c>
      <c r="BT223" s="2711"/>
      <c r="BU223" s="2711"/>
      <c r="BV223" s="2716" t="s">
        <v>706</v>
      </c>
      <c r="BW223" s="2717"/>
      <c r="BX223" s="2710" t="s">
        <v>25</v>
      </c>
      <c r="BY223" s="2711"/>
      <c r="BZ223" s="2711"/>
      <c r="CA223" s="2716" t="s">
        <v>706</v>
      </c>
      <c r="CB223" s="2717"/>
      <c r="EN223" s="57"/>
      <c r="EO223" s="57"/>
      <c r="EP223" s="57"/>
      <c r="EQ223" s="57"/>
      <c r="ER223" s="57"/>
    </row>
    <row r="224" spans="1:148" ht="11.25" customHeight="1" x14ac:dyDescent="0.25">
      <c r="A224" s="2712"/>
      <c r="B224" s="2713"/>
      <c r="C224" s="2713"/>
      <c r="D224" s="2718"/>
      <c r="E224" s="2719"/>
      <c r="F224" s="2712"/>
      <c r="G224" s="2713"/>
      <c r="H224" s="2713"/>
      <c r="I224" s="2718"/>
      <c r="J224" s="2719"/>
      <c r="K224" s="2712"/>
      <c r="L224" s="2713"/>
      <c r="M224" s="2713"/>
      <c r="N224" s="2718"/>
      <c r="O224" s="2719"/>
      <c r="P224" s="2712"/>
      <c r="Q224" s="2713"/>
      <c r="R224" s="2713"/>
      <c r="S224" s="2718"/>
      <c r="T224" s="2719"/>
      <c r="U224" s="2712"/>
      <c r="V224" s="2713"/>
      <c r="W224" s="2713"/>
      <c r="X224" s="2718"/>
      <c r="Y224" s="2719"/>
      <c r="Z224" s="2712"/>
      <c r="AA224" s="2713"/>
      <c r="AB224" s="2713"/>
      <c r="AC224" s="2718"/>
      <c r="AD224" s="2719"/>
      <c r="AE224" s="2712"/>
      <c r="AF224" s="2713"/>
      <c r="AG224" s="2713"/>
      <c r="AH224" s="2718"/>
      <c r="AI224" s="2719"/>
      <c r="AJ224" s="2712"/>
      <c r="AK224" s="2713"/>
      <c r="AL224" s="2713"/>
      <c r="AM224" s="2718"/>
      <c r="AN224" s="2719"/>
      <c r="AO224" s="2712"/>
      <c r="AP224" s="2713"/>
      <c r="AQ224" s="2713"/>
      <c r="AR224" s="2718"/>
      <c r="AS224" s="2719"/>
      <c r="AT224" s="2712"/>
      <c r="AU224" s="2713"/>
      <c r="AV224" s="2713"/>
      <c r="AW224" s="2718"/>
      <c r="AX224" s="2719"/>
      <c r="AY224" s="2712"/>
      <c r="AZ224" s="2713"/>
      <c r="BA224" s="2713"/>
      <c r="BB224" s="2718"/>
      <c r="BC224" s="2719"/>
      <c r="BD224" s="2712"/>
      <c r="BE224" s="2713"/>
      <c r="BF224" s="2713"/>
      <c r="BG224" s="2718"/>
      <c r="BH224" s="2719"/>
      <c r="BI224" s="2712"/>
      <c r="BJ224" s="2713"/>
      <c r="BK224" s="2713"/>
      <c r="BL224" s="2718"/>
      <c r="BM224" s="2719"/>
      <c r="BN224" s="2712"/>
      <c r="BO224" s="2713"/>
      <c r="BP224" s="2713"/>
      <c r="BQ224" s="2718"/>
      <c r="BR224" s="2719"/>
      <c r="BS224" s="2712"/>
      <c r="BT224" s="2713"/>
      <c r="BU224" s="2713"/>
      <c r="BV224" s="2718"/>
      <c r="BW224" s="2719"/>
      <c r="BX224" s="2712"/>
      <c r="BY224" s="2713"/>
      <c r="BZ224" s="2713"/>
      <c r="CA224" s="2718"/>
      <c r="CB224" s="2719"/>
      <c r="EN224" s="57"/>
      <c r="EO224" s="57"/>
      <c r="EP224" s="57"/>
      <c r="EQ224" s="57"/>
      <c r="ER224" s="57"/>
    </row>
    <row r="225" spans="1:182" ht="11.25" customHeight="1" x14ac:dyDescent="0.25">
      <c r="A225" s="2714"/>
      <c r="B225" s="2715"/>
      <c r="C225" s="2715"/>
      <c r="D225" s="2720"/>
      <c r="E225" s="2721"/>
      <c r="F225" s="2714"/>
      <c r="G225" s="2715"/>
      <c r="H225" s="2715"/>
      <c r="I225" s="2720"/>
      <c r="J225" s="2721"/>
      <c r="K225" s="2714"/>
      <c r="L225" s="2715"/>
      <c r="M225" s="2715"/>
      <c r="N225" s="2720"/>
      <c r="O225" s="2721"/>
      <c r="P225" s="2714"/>
      <c r="Q225" s="2715"/>
      <c r="R225" s="2715"/>
      <c r="S225" s="2720"/>
      <c r="T225" s="2721"/>
      <c r="U225" s="2714"/>
      <c r="V225" s="2715"/>
      <c r="W225" s="2715"/>
      <c r="X225" s="2720"/>
      <c r="Y225" s="2721"/>
      <c r="Z225" s="2714"/>
      <c r="AA225" s="2715"/>
      <c r="AB225" s="2715"/>
      <c r="AC225" s="2720"/>
      <c r="AD225" s="2721"/>
      <c r="AE225" s="2714"/>
      <c r="AF225" s="2715"/>
      <c r="AG225" s="2715"/>
      <c r="AH225" s="2720"/>
      <c r="AI225" s="2721"/>
      <c r="AJ225" s="2714"/>
      <c r="AK225" s="2715"/>
      <c r="AL225" s="2715"/>
      <c r="AM225" s="2720"/>
      <c r="AN225" s="2721"/>
      <c r="AO225" s="2714"/>
      <c r="AP225" s="2715"/>
      <c r="AQ225" s="2715"/>
      <c r="AR225" s="2720"/>
      <c r="AS225" s="2721"/>
      <c r="AT225" s="2714"/>
      <c r="AU225" s="2715"/>
      <c r="AV225" s="2715"/>
      <c r="AW225" s="2720"/>
      <c r="AX225" s="2721"/>
      <c r="AY225" s="2714"/>
      <c r="AZ225" s="2715"/>
      <c r="BA225" s="2715"/>
      <c r="BB225" s="2720"/>
      <c r="BC225" s="2721"/>
      <c r="BD225" s="2714"/>
      <c r="BE225" s="2715"/>
      <c r="BF225" s="2715"/>
      <c r="BG225" s="2720"/>
      <c r="BH225" s="2721"/>
      <c r="BI225" s="2714"/>
      <c r="BJ225" s="2715"/>
      <c r="BK225" s="2715"/>
      <c r="BL225" s="2720"/>
      <c r="BM225" s="2721"/>
      <c r="BN225" s="2714"/>
      <c r="BO225" s="2715"/>
      <c r="BP225" s="2715"/>
      <c r="BQ225" s="2720"/>
      <c r="BR225" s="2721"/>
      <c r="BS225" s="2714"/>
      <c r="BT225" s="2715"/>
      <c r="BU225" s="2715"/>
      <c r="BV225" s="2720"/>
      <c r="BW225" s="2721"/>
      <c r="BX225" s="2714"/>
      <c r="BY225" s="2715"/>
      <c r="BZ225" s="2715"/>
      <c r="CA225" s="2720"/>
      <c r="CB225" s="2721"/>
    </row>
    <row r="226" spans="1:182" s="535" customFormat="1" ht="111.75" customHeight="1" x14ac:dyDescent="1.35">
      <c r="A226" s="615" t="s">
        <v>330</v>
      </c>
      <c r="B226" s="2681">
        <v>98</v>
      </c>
      <c r="C226" s="2682"/>
      <c r="D226" s="2682"/>
      <c r="E226" s="2683"/>
      <c r="F226" s="615" t="s">
        <v>330</v>
      </c>
      <c r="G226" s="2828">
        <v>99</v>
      </c>
      <c r="H226" s="2829"/>
      <c r="I226" s="2829"/>
      <c r="J226" s="2830"/>
      <c r="K226" s="615" t="s">
        <v>330</v>
      </c>
      <c r="L226" s="2681">
        <v>100</v>
      </c>
      <c r="M226" s="2682"/>
      <c r="N226" s="2682"/>
      <c r="O226" s="2683"/>
      <c r="P226" s="615" t="s">
        <v>330</v>
      </c>
      <c r="Q226" s="2681">
        <v>101</v>
      </c>
      <c r="R226" s="2682"/>
      <c r="S226" s="2682"/>
      <c r="T226" s="2683"/>
      <c r="U226" s="615" t="s">
        <v>330</v>
      </c>
      <c r="V226" s="2681">
        <v>102</v>
      </c>
      <c r="W226" s="2682"/>
      <c r="X226" s="2682"/>
      <c r="Y226" s="2683"/>
      <c r="Z226" s="615" t="s">
        <v>330</v>
      </c>
      <c r="AA226" s="2681">
        <v>103</v>
      </c>
      <c r="AB226" s="2682"/>
      <c r="AC226" s="2682"/>
      <c r="AD226" s="2683"/>
      <c r="AE226" s="615" t="s">
        <v>330</v>
      </c>
      <c r="AF226" s="2681">
        <v>104</v>
      </c>
      <c r="AG226" s="2682"/>
      <c r="AH226" s="2682"/>
      <c r="AI226" s="2683"/>
      <c r="AJ226" s="615" t="s">
        <v>330</v>
      </c>
      <c r="AK226" s="2681">
        <v>105</v>
      </c>
      <c r="AL226" s="2682"/>
      <c r="AM226" s="2682"/>
      <c r="AN226" s="2683"/>
      <c r="AO226" s="615" t="s">
        <v>330</v>
      </c>
      <c r="AP226" s="2681">
        <v>106</v>
      </c>
      <c r="AQ226" s="2682"/>
      <c r="AR226" s="2682"/>
      <c r="AS226" s="2683"/>
      <c r="AT226" s="615" t="s">
        <v>330</v>
      </c>
      <c r="AU226" s="2681">
        <v>107</v>
      </c>
      <c r="AV226" s="2682"/>
      <c r="AW226" s="2682"/>
      <c r="AX226" s="2683"/>
      <c r="AY226" s="615" t="s">
        <v>330</v>
      </c>
      <c r="AZ226" s="2681">
        <v>108</v>
      </c>
      <c r="BA226" s="2682"/>
      <c r="BB226" s="2682"/>
      <c r="BC226" s="2683"/>
      <c r="BD226" s="615" t="s">
        <v>330</v>
      </c>
      <c r="BE226" s="2681">
        <v>109</v>
      </c>
      <c r="BF226" s="2682"/>
      <c r="BG226" s="2682"/>
      <c r="BH226" s="2683"/>
      <c r="BI226" s="615" t="s">
        <v>330</v>
      </c>
      <c r="BJ226" s="2681">
        <v>110</v>
      </c>
      <c r="BK226" s="2682"/>
      <c r="BL226" s="2682"/>
      <c r="BM226" s="2683"/>
      <c r="BN226" s="615" t="s">
        <v>330</v>
      </c>
      <c r="BO226" s="2681">
        <v>111</v>
      </c>
      <c r="BP226" s="2682"/>
      <c r="BQ226" s="2682"/>
      <c r="BR226" s="2683"/>
      <c r="BS226" s="615" t="s">
        <v>330</v>
      </c>
      <c r="BT226" s="2828">
        <v>112</v>
      </c>
      <c r="BU226" s="2829"/>
      <c r="BV226" s="2829"/>
      <c r="BW226" s="2830"/>
      <c r="BX226" s="615" t="s">
        <v>330</v>
      </c>
      <c r="BY226" s="2681">
        <v>113</v>
      </c>
      <c r="BZ226" s="2682"/>
      <c r="CA226" s="2682"/>
      <c r="CB226" s="2683"/>
    </row>
    <row r="227" spans="1:182" ht="50.25" customHeight="1" thickBot="1" x14ac:dyDescent="0.3">
      <c r="A227" s="616"/>
      <c r="B227" s="518"/>
      <c r="C227" s="519" t="s">
        <v>113</v>
      </c>
      <c r="D227" s="520"/>
      <c r="E227" s="523" t="s">
        <v>114</v>
      </c>
      <c r="F227" s="616"/>
      <c r="G227" s="518">
        <v>9.9999999999999995E-7</v>
      </c>
      <c r="H227" s="519" t="s">
        <v>113</v>
      </c>
      <c r="I227" s="520"/>
      <c r="J227" s="523" t="s">
        <v>114</v>
      </c>
      <c r="K227" s="616"/>
      <c r="L227" s="518"/>
      <c r="M227" s="519" t="s">
        <v>113</v>
      </c>
      <c r="N227" s="520"/>
      <c r="O227" s="523" t="s">
        <v>114</v>
      </c>
      <c r="P227" s="616"/>
      <c r="Q227" s="518"/>
      <c r="R227" s="519" t="s">
        <v>113</v>
      </c>
      <c r="S227" s="520"/>
      <c r="T227" s="523" t="s">
        <v>114</v>
      </c>
      <c r="U227" s="616"/>
      <c r="V227" s="518"/>
      <c r="W227" s="519" t="s">
        <v>113</v>
      </c>
      <c r="X227" s="520"/>
      <c r="Y227" s="523" t="s">
        <v>114</v>
      </c>
      <c r="Z227" s="616"/>
      <c r="AA227" s="518"/>
      <c r="AB227" s="519" t="s">
        <v>113</v>
      </c>
      <c r="AC227" s="520"/>
      <c r="AD227" s="523" t="s">
        <v>114</v>
      </c>
      <c r="AE227" s="616"/>
      <c r="AF227" s="518"/>
      <c r="AG227" s="519" t="s">
        <v>113</v>
      </c>
      <c r="AH227" s="520"/>
      <c r="AI227" s="523" t="s">
        <v>114</v>
      </c>
      <c r="AJ227" s="616"/>
      <c r="AK227" s="518"/>
      <c r="AL227" s="519" t="s">
        <v>113</v>
      </c>
      <c r="AM227" s="520"/>
      <c r="AN227" s="523" t="s">
        <v>114</v>
      </c>
      <c r="AO227" s="616"/>
      <c r="AP227" s="518"/>
      <c r="AQ227" s="519" t="s">
        <v>113</v>
      </c>
      <c r="AR227" s="520"/>
      <c r="AS227" s="523" t="s">
        <v>114</v>
      </c>
      <c r="AT227" s="616"/>
      <c r="AU227" s="518"/>
      <c r="AV227" s="519" t="s">
        <v>113</v>
      </c>
      <c r="AW227" s="520"/>
      <c r="AX227" s="523" t="s">
        <v>114</v>
      </c>
      <c r="AY227" s="616"/>
      <c r="AZ227" s="518"/>
      <c r="BA227" s="519" t="s">
        <v>113</v>
      </c>
      <c r="BB227" s="520"/>
      <c r="BC227" s="523" t="s">
        <v>114</v>
      </c>
      <c r="BD227" s="616"/>
      <c r="BE227" s="518"/>
      <c r="BF227" s="519" t="s">
        <v>113</v>
      </c>
      <c r="BG227" s="520"/>
      <c r="BH227" s="523" t="s">
        <v>114</v>
      </c>
      <c r="BI227" s="616"/>
      <c r="BJ227" s="518"/>
      <c r="BK227" s="519" t="s">
        <v>113</v>
      </c>
      <c r="BL227" s="520"/>
      <c r="BM227" s="523" t="s">
        <v>114</v>
      </c>
      <c r="BN227" s="616"/>
      <c r="BO227" s="518"/>
      <c r="BP227" s="519" t="s">
        <v>113</v>
      </c>
      <c r="BQ227" s="520"/>
      <c r="BR227" s="523" t="s">
        <v>114</v>
      </c>
      <c r="BS227" s="616"/>
      <c r="BT227" s="518">
        <v>9.9999999999999998E-13</v>
      </c>
      <c r="BU227" s="519" t="s">
        <v>113</v>
      </c>
      <c r="BV227" s="520"/>
      <c r="BW227" s="523" t="s">
        <v>114</v>
      </c>
      <c r="BX227" s="616"/>
      <c r="BY227" s="518"/>
      <c r="BZ227" s="519" t="s">
        <v>113</v>
      </c>
      <c r="CA227" s="520"/>
      <c r="CB227" s="523" t="s">
        <v>114</v>
      </c>
      <c r="CG227" s="27"/>
      <c r="CH227" s="27"/>
      <c r="CI227" s="27"/>
      <c r="CJ227" s="27"/>
      <c r="CK227" s="27"/>
      <c r="CL227" s="27"/>
      <c r="CM227" s="27"/>
      <c r="CN227" s="27"/>
      <c r="CO227" s="27"/>
    </row>
    <row r="228" spans="1:182" ht="57" customHeight="1" thickTop="1" x14ac:dyDescent="0.25">
      <c r="A228" s="617" t="s">
        <v>110</v>
      </c>
      <c r="B228" s="618"/>
      <c r="C228" s="2722">
        <f t="shared" ref="C228" si="536">B233/((36*3.1415/59)*(77/3.281))</f>
        <v>0</v>
      </c>
      <c r="D228" s="2722"/>
      <c r="E228" s="2723"/>
      <c r="F228" s="617" t="s">
        <v>110</v>
      </c>
      <c r="G228" s="618"/>
      <c r="H228" s="2722">
        <f t="shared" ref="H228" si="537">G233/((36*3.1415/59)*(77/3.281))</f>
        <v>2.2229410817664837E-12</v>
      </c>
      <c r="I228" s="2722"/>
      <c r="J228" s="2723"/>
      <c r="K228" s="617" t="s">
        <v>110</v>
      </c>
      <c r="L228" s="618"/>
      <c r="M228" s="2722">
        <f t="shared" ref="M228" si="538">L233/((36*3.1415/59)*(77/3.281))</f>
        <v>0</v>
      </c>
      <c r="N228" s="2722"/>
      <c r="O228" s="2723"/>
      <c r="P228" s="617" t="s">
        <v>110</v>
      </c>
      <c r="Q228" s="618"/>
      <c r="R228" s="2722">
        <f t="shared" ref="R228" si="539">Q233/((36*3.1415/59)*(77/3.281))</f>
        <v>0</v>
      </c>
      <c r="S228" s="2722"/>
      <c r="T228" s="2723"/>
      <c r="U228" s="617" t="s">
        <v>110</v>
      </c>
      <c r="V228" s="618"/>
      <c r="W228" s="2722">
        <f t="shared" ref="W228" si="540">V233/((36*3.1415/59)*(77/3.281))</f>
        <v>0</v>
      </c>
      <c r="X228" s="2722"/>
      <c r="Y228" s="2723"/>
      <c r="Z228" s="617" t="s">
        <v>110</v>
      </c>
      <c r="AA228" s="618"/>
      <c r="AB228" s="2722">
        <f t="shared" ref="AB228" si="541">AA233/((36*3.1415/59)*(77/3.281))</f>
        <v>0</v>
      </c>
      <c r="AC228" s="2722"/>
      <c r="AD228" s="2723"/>
      <c r="AE228" s="617" t="s">
        <v>110</v>
      </c>
      <c r="AF228" s="618"/>
      <c r="AG228" s="2722">
        <f t="shared" ref="AG228" si="542">AF233/((36*3.1415/59)*(77/3.281))</f>
        <v>0</v>
      </c>
      <c r="AH228" s="2722"/>
      <c r="AI228" s="2723"/>
      <c r="AJ228" s="617" t="s">
        <v>110</v>
      </c>
      <c r="AK228" s="618"/>
      <c r="AL228" s="2722">
        <f t="shared" ref="AL228" si="543">AK233/((36*3.1415/59)*(77/3.281))</f>
        <v>0</v>
      </c>
      <c r="AM228" s="2722"/>
      <c r="AN228" s="2723"/>
      <c r="AO228" s="617" t="s">
        <v>110</v>
      </c>
      <c r="AP228" s="618"/>
      <c r="AQ228" s="2722">
        <f t="shared" ref="AQ228" si="544">AP233/((36*3.1415/59)*(77/3.281))</f>
        <v>0</v>
      </c>
      <c r="AR228" s="2722"/>
      <c r="AS228" s="2723"/>
      <c r="AT228" s="617" t="s">
        <v>110</v>
      </c>
      <c r="AU228" s="618"/>
      <c r="AV228" s="2722">
        <f t="shared" ref="AV228" si="545">AU233/((36*3.1415/59)*(77/3.281))</f>
        <v>0</v>
      </c>
      <c r="AW228" s="2722"/>
      <c r="AX228" s="2723"/>
      <c r="AY228" s="617" t="s">
        <v>110</v>
      </c>
      <c r="AZ228" s="618"/>
      <c r="BA228" s="2722">
        <f t="shared" ref="BA228" si="546">AZ233/((36*3.1415/59)*(77/3.281))</f>
        <v>0</v>
      </c>
      <c r="BB228" s="2722"/>
      <c r="BC228" s="2723"/>
      <c r="BD228" s="617" t="s">
        <v>110</v>
      </c>
      <c r="BE228" s="618"/>
      <c r="BF228" s="2722">
        <f t="shared" ref="BF228" si="547">BE233/((36*3.1415/59)*(77/3.281))</f>
        <v>0</v>
      </c>
      <c r="BG228" s="2722"/>
      <c r="BH228" s="2723"/>
      <c r="BI228" s="617" t="s">
        <v>110</v>
      </c>
      <c r="BJ228" s="618"/>
      <c r="BK228" s="2722">
        <f t="shared" ref="BK228" si="548">BJ233/((36*3.1415/59)*(77/3.281))</f>
        <v>0</v>
      </c>
      <c r="BL228" s="2722"/>
      <c r="BM228" s="2723"/>
      <c r="BN228" s="617" t="s">
        <v>110</v>
      </c>
      <c r="BO228" s="618"/>
      <c r="BP228" s="2722">
        <f t="shared" ref="BP228" si="549">BO233/((36*3.1415/59)*(77/3.281))</f>
        <v>0</v>
      </c>
      <c r="BQ228" s="2722"/>
      <c r="BR228" s="2723"/>
      <c r="BS228" s="617" t="s">
        <v>110</v>
      </c>
      <c r="BT228" s="618"/>
      <c r="BU228" s="2722">
        <f t="shared" ref="BU228" si="550">BT233/((36*3.1415/59)*(77/3.281))</f>
        <v>0</v>
      </c>
      <c r="BV228" s="2722"/>
      <c r="BW228" s="2723"/>
      <c r="BX228" s="2692" t="s">
        <v>110</v>
      </c>
      <c r="BY228" s="2693"/>
      <c r="BZ228" s="2694">
        <f>BY233/((36*3.1415/59)*(78/3.281))</f>
        <v>0</v>
      </c>
      <c r="CA228" s="2694"/>
      <c r="CB228" s="2695"/>
    </row>
    <row r="229" spans="1:182" ht="11.25" customHeight="1" x14ac:dyDescent="0.25">
      <c r="A229" s="2710" t="s">
        <v>25</v>
      </c>
      <c r="B229" s="2711"/>
      <c r="C229" s="2711"/>
      <c r="D229" s="2716" t="s">
        <v>706</v>
      </c>
      <c r="E229" s="2717"/>
      <c r="F229" s="2710" t="s">
        <v>25</v>
      </c>
      <c r="G229" s="2711"/>
      <c r="H229" s="2711"/>
      <c r="I229" s="2696" t="s">
        <v>706</v>
      </c>
      <c r="J229" s="2697"/>
      <c r="K229" s="2710" t="s">
        <v>25</v>
      </c>
      <c r="L229" s="2711"/>
      <c r="M229" s="2711"/>
      <c r="N229" s="2716" t="s">
        <v>706</v>
      </c>
      <c r="O229" s="2717"/>
      <c r="P229" s="2710" t="s">
        <v>25</v>
      </c>
      <c r="Q229" s="2711"/>
      <c r="R229" s="2711"/>
      <c r="S229" s="2716" t="s">
        <v>706</v>
      </c>
      <c r="T229" s="2717"/>
      <c r="U229" s="2710" t="s">
        <v>25</v>
      </c>
      <c r="V229" s="2711"/>
      <c r="W229" s="2711"/>
      <c r="X229" s="2716" t="s">
        <v>706</v>
      </c>
      <c r="Y229" s="2717"/>
      <c r="Z229" s="2710" t="s">
        <v>25</v>
      </c>
      <c r="AA229" s="2711"/>
      <c r="AB229" s="2711"/>
      <c r="AC229" s="2716" t="s">
        <v>706</v>
      </c>
      <c r="AD229" s="2717"/>
      <c r="AE229" s="2710" t="s">
        <v>25</v>
      </c>
      <c r="AF229" s="2711"/>
      <c r="AG229" s="2711"/>
      <c r="AH229" s="2716" t="s">
        <v>706</v>
      </c>
      <c r="AI229" s="2717"/>
      <c r="AJ229" s="2710" t="s">
        <v>25</v>
      </c>
      <c r="AK229" s="2711"/>
      <c r="AL229" s="2711"/>
      <c r="AM229" s="2716" t="s">
        <v>706</v>
      </c>
      <c r="AN229" s="2717"/>
      <c r="AO229" s="2710" t="s">
        <v>25</v>
      </c>
      <c r="AP229" s="2711"/>
      <c r="AQ229" s="2711"/>
      <c r="AR229" s="2716" t="s">
        <v>706</v>
      </c>
      <c r="AS229" s="2717"/>
      <c r="AT229" s="2710" t="s">
        <v>25</v>
      </c>
      <c r="AU229" s="2711"/>
      <c r="AV229" s="2711"/>
      <c r="AW229" s="2716" t="s">
        <v>706</v>
      </c>
      <c r="AX229" s="2717"/>
      <c r="AY229" s="2710" t="s">
        <v>25</v>
      </c>
      <c r="AZ229" s="2711"/>
      <c r="BA229" s="2711"/>
      <c r="BB229" s="2716" t="s">
        <v>706</v>
      </c>
      <c r="BC229" s="2717"/>
      <c r="BD229" s="2710" t="s">
        <v>25</v>
      </c>
      <c r="BE229" s="2711"/>
      <c r="BF229" s="2711"/>
      <c r="BG229" s="2716" t="s">
        <v>706</v>
      </c>
      <c r="BH229" s="2717"/>
      <c r="BI229" s="2710" t="s">
        <v>25</v>
      </c>
      <c r="BJ229" s="2711"/>
      <c r="BK229" s="2711"/>
      <c r="BL229" s="2716" t="s">
        <v>706</v>
      </c>
      <c r="BM229" s="2717"/>
      <c r="BN229" s="2710" t="s">
        <v>25</v>
      </c>
      <c r="BO229" s="2711"/>
      <c r="BP229" s="2711"/>
      <c r="BQ229" s="2716" t="s">
        <v>706</v>
      </c>
      <c r="BR229" s="2717"/>
      <c r="BS229" s="2710" t="s">
        <v>25</v>
      </c>
      <c r="BT229" s="2711"/>
      <c r="BU229" s="2711"/>
      <c r="BV229" s="2716" t="s">
        <v>706</v>
      </c>
      <c r="BW229" s="2717"/>
      <c r="BX229" s="2702" t="s">
        <v>25</v>
      </c>
      <c r="BY229" s="2703"/>
      <c r="BZ229" s="2703"/>
      <c r="CA229" s="2686" t="s">
        <v>706</v>
      </c>
      <c r="CB229" s="2687"/>
    </row>
    <row r="230" spans="1:182" ht="11.25" customHeight="1" x14ac:dyDescent="0.25">
      <c r="A230" s="2712"/>
      <c r="B230" s="2713"/>
      <c r="C230" s="2713"/>
      <c r="D230" s="2718"/>
      <c r="E230" s="2719"/>
      <c r="F230" s="2712"/>
      <c r="G230" s="2713"/>
      <c r="H230" s="2713"/>
      <c r="I230" s="2698"/>
      <c r="J230" s="2699"/>
      <c r="K230" s="2712"/>
      <c r="L230" s="2713"/>
      <c r="M230" s="2713"/>
      <c r="N230" s="2718"/>
      <c r="O230" s="2719"/>
      <c r="P230" s="2712"/>
      <c r="Q230" s="2713"/>
      <c r="R230" s="2713"/>
      <c r="S230" s="2718"/>
      <c r="T230" s="2719"/>
      <c r="U230" s="2712"/>
      <c r="V230" s="2713"/>
      <c r="W230" s="2713"/>
      <c r="X230" s="2718"/>
      <c r="Y230" s="2719"/>
      <c r="Z230" s="2712"/>
      <c r="AA230" s="2713"/>
      <c r="AB230" s="2713"/>
      <c r="AC230" s="2718"/>
      <c r="AD230" s="2719"/>
      <c r="AE230" s="2712"/>
      <c r="AF230" s="2713"/>
      <c r="AG230" s="2713"/>
      <c r="AH230" s="2718"/>
      <c r="AI230" s="2719"/>
      <c r="AJ230" s="2712"/>
      <c r="AK230" s="2713"/>
      <c r="AL230" s="2713"/>
      <c r="AM230" s="2718"/>
      <c r="AN230" s="2719"/>
      <c r="AO230" s="2712"/>
      <c r="AP230" s="2713"/>
      <c r="AQ230" s="2713"/>
      <c r="AR230" s="2718"/>
      <c r="AS230" s="2719"/>
      <c r="AT230" s="2712"/>
      <c r="AU230" s="2713"/>
      <c r="AV230" s="2713"/>
      <c r="AW230" s="2718"/>
      <c r="AX230" s="2719"/>
      <c r="AY230" s="2712"/>
      <c r="AZ230" s="2713"/>
      <c r="BA230" s="2713"/>
      <c r="BB230" s="2718"/>
      <c r="BC230" s="2719"/>
      <c r="BD230" s="2712"/>
      <c r="BE230" s="2713"/>
      <c r="BF230" s="2713"/>
      <c r="BG230" s="2718"/>
      <c r="BH230" s="2719"/>
      <c r="BI230" s="2712"/>
      <c r="BJ230" s="2713"/>
      <c r="BK230" s="2713"/>
      <c r="BL230" s="2718"/>
      <c r="BM230" s="2719"/>
      <c r="BN230" s="2712"/>
      <c r="BO230" s="2713"/>
      <c r="BP230" s="2713"/>
      <c r="BQ230" s="2718"/>
      <c r="BR230" s="2719"/>
      <c r="BS230" s="2712"/>
      <c r="BT230" s="2713"/>
      <c r="BU230" s="2713"/>
      <c r="BV230" s="2718"/>
      <c r="BW230" s="2719"/>
      <c r="BX230" s="2704"/>
      <c r="BY230" s="2705"/>
      <c r="BZ230" s="2705"/>
      <c r="CA230" s="2688"/>
      <c r="CB230" s="2689"/>
      <c r="DI230" s="37"/>
      <c r="DJ230" s="38"/>
      <c r="DK230" s="39"/>
      <c r="DL230" s="40"/>
      <c r="DM230" s="41"/>
      <c r="DN230" s="37"/>
      <c r="DO230" s="38"/>
      <c r="DP230" s="39"/>
      <c r="DQ230" s="40"/>
      <c r="DR230" s="41"/>
      <c r="DS230" s="37"/>
      <c r="DT230" s="38"/>
      <c r="DU230" s="39"/>
      <c r="DV230" s="40"/>
      <c r="DW230" s="41"/>
      <c r="DX230" s="37"/>
      <c r="DY230" s="38"/>
      <c r="DZ230" s="39"/>
      <c r="EA230" s="40"/>
      <c r="EB230" s="41"/>
      <c r="EC230" s="37"/>
      <c r="ED230" s="38"/>
      <c r="EE230" s="39"/>
      <c r="EF230" s="697"/>
      <c r="EG230" s="697"/>
      <c r="EH230" s="697"/>
      <c r="EI230" s="697"/>
      <c r="EJ230" s="697"/>
      <c r="EK230" s="697"/>
      <c r="EL230" s="697"/>
      <c r="EM230" s="697"/>
      <c r="EN230" s="697"/>
      <c r="EO230" s="697"/>
      <c r="EP230" s="697"/>
      <c r="EQ230" s="697"/>
      <c r="ER230" s="37"/>
      <c r="ES230" s="38"/>
      <c r="ET230" s="39"/>
      <c r="EU230" s="40"/>
      <c r="EV230" s="41"/>
      <c r="EW230" s="37"/>
      <c r="EX230" s="38"/>
      <c r="EY230" s="39"/>
      <c r="EZ230" s="40"/>
      <c r="FA230" s="41"/>
      <c r="FB230" s="37"/>
      <c r="FC230" s="38"/>
      <c r="FD230" s="39"/>
      <c r="FE230" s="40"/>
      <c r="FF230" s="41"/>
      <c r="FG230" s="37"/>
      <c r="FH230" s="38"/>
      <c r="FI230" s="39"/>
      <c r="FJ230" s="40"/>
      <c r="FK230" s="41"/>
      <c r="FL230" s="37"/>
      <c r="FM230" s="38"/>
      <c r="FN230" s="39"/>
      <c r="FO230" s="40"/>
      <c r="FP230" s="41"/>
      <c r="FQ230" s="37"/>
      <c r="FR230" s="38"/>
      <c r="FS230" s="39"/>
      <c r="FT230" s="40"/>
      <c r="FU230" s="41"/>
      <c r="FV230" s="37"/>
      <c r="FW230" s="38"/>
      <c r="FX230" s="39"/>
      <c r="FY230" s="40"/>
      <c r="FZ230" s="41"/>
    </row>
    <row r="231" spans="1:182" ht="11.25" customHeight="1" x14ac:dyDescent="0.25">
      <c r="A231" s="2714"/>
      <c r="B231" s="2715"/>
      <c r="C231" s="2715"/>
      <c r="D231" s="2720"/>
      <c r="E231" s="2721"/>
      <c r="F231" s="2714"/>
      <c r="G231" s="2715"/>
      <c r="H231" s="2715"/>
      <c r="I231" s="2700"/>
      <c r="J231" s="2701"/>
      <c r="K231" s="2714"/>
      <c r="L231" s="2715"/>
      <c r="M231" s="2715"/>
      <c r="N231" s="2720"/>
      <c r="O231" s="2721"/>
      <c r="P231" s="2714"/>
      <c r="Q231" s="2715"/>
      <c r="R231" s="2715"/>
      <c r="S231" s="2720"/>
      <c r="T231" s="2721"/>
      <c r="U231" s="2714"/>
      <c r="V231" s="2715"/>
      <c r="W231" s="2715"/>
      <c r="X231" s="2720"/>
      <c r="Y231" s="2721"/>
      <c r="Z231" s="2714"/>
      <c r="AA231" s="2715"/>
      <c r="AB231" s="2715"/>
      <c r="AC231" s="2720"/>
      <c r="AD231" s="2721"/>
      <c r="AE231" s="2714"/>
      <c r="AF231" s="2715"/>
      <c r="AG231" s="2715"/>
      <c r="AH231" s="2720"/>
      <c r="AI231" s="2721"/>
      <c r="AJ231" s="2714"/>
      <c r="AK231" s="2715"/>
      <c r="AL231" s="2715"/>
      <c r="AM231" s="2720"/>
      <c r="AN231" s="2721"/>
      <c r="AO231" s="2714"/>
      <c r="AP231" s="2715"/>
      <c r="AQ231" s="2715"/>
      <c r="AR231" s="2720"/>
      <c r="AS231" s="2721"/>
      <c r="AT231" s="2714"/>
      <c r="AU231" s="2715"/>
      <c r="AV231" s="2715"/>
      <c r="AW231" s="2720"/>
      <c r="AX231" s="2721"/>
      <c r="AY231" s="2714"/>
      <c r="AZ231" s="2715"/>
      <c r="BA231" s="2715"/>
      <c r="BB231" s="2720"/>
      <c r="BC231" s="2721"/>
      <c r="BD231" s="2714"/>
      <c r="BE231" s="2715"/>
      <c r="BF231" s="2715"/>
      <c r="BG231" s="2720"/>
      <c r="BH231" s="2721"/>
      <c r="BI231" s="2714"/>
      <c r="BJ231" s="2715"/>
      <c r="BK231" s="2715"/>
      <c r="BL231" s="2720"/>
      <c r="BM231" s="2721"/>
      <c r="BN231" s="2714"/>
      <c r="BO231" s="2715"/>
      <c r="BP231" s="2715"/>
      <c r="BQ231" s="2720"/>
      <c r="BR231" s="2721"/>
      <c r="BS231" s="2714"/>
      <c r="BT231" s="2715"/>
      <c r="BU231" s="2715"/>
      <c r="BV231" s="2720"/>
      <c r="BW231" s="2721"/>
      <c r="BX231" s="2706"/>
      <c r="BY231" s="2707"/>
      <c r="BZ231" s="2707"/>
      <c r="CA231" s="2690"/>
      <c r="CB231" s="2691"/>
      <c r="DI231" s="674"/>
      <c r="DJ231" s="674"/>
      <c r="DK231" s="674"/>
      <c r="DL231" s="675"/>
      <c r="DM231" s="675"/>
      <c r="DN231" s="44"/>
      <c r="DO231" s="702"/>
      <c r="DP231" s="702"/>
      <c r="DQ231" s="702"/>
      <c r="DS231" s="45"/>
      <c r="DT231" s="45"/>
      <c r="DU231" s="45"/>
      <c r="DV231" s="45"/>
      <c r="DW231" s="45"/>
      <c r="DX231" s="45"/>
      <c r="DY231" s="45"/>
      <c r="DZ231" s="45"/>
      <c r="EA231" s="45"/>
      <c r="EB231" s="45"/>
      <c r="EC231" s="45"/>
      <c r="ED231" s="45"/>
      <c r="EE231" s="45"/>
      <c r="EF231" s="697"/>
      <c r="EG231" s="697"/>
      <c r="EH231" s="697"/>
      <c r="EI231" s="697"/>
      <c r="EJ231" s="697"/>
      <c r="EK231" s="697"/>
      <c r="EL231" s="697"/>
      <c r="EM231" s="697"/>
      <c r="EN231" s="697"/>
      <c r="EO231" s="697"/>
      <c r="EP231" s="697"/>
      <c r="EQ231" s="697"/>
      <c r="ER231" s="697"/>
      <c r="ES231" s="697"/>
      <c r="ET231" s="697"/>
      <c r="EU231" s="697"/>
      <c r="EV231" s="697"/>
      <c r="EW231" s="697"/>
      <c r="EX231" s="697"/>
      <c r="EY231" s="697"/>
      <c r="EZ231" s="697"/>
      <c r="FA231" s="697"/>
      <c r="FB231" s="46"/>
      <c r="FC231" s="698"/>
      <c r="FD231" s="698"/>
      <c r="FE231" s="698"/>
      <c r="FF231" s="698"/>
      <c r="FG231" s="698"/>
      <c r="FH231" s="698"/>
      <c r="FI231" s="698"/>
      <c r="FJ231" s="698"/>
      <c r="FK231" s="698"/>
      <c r="FL231" s="698"/>
      <c r="FM231" s="698"/>
      <c r="FN231" s="698"/>
      <c r="FO231" s="699"/>
      <c r="FP231" s="699"/>
      <c r="FQ231" s="699"/>
      <c r="FR231" s="699"/>
      <c r="FS231" s="699"/>
      <c r="FT231" s="700"/>
      <c r="FU231" s="700"/>
      <c r="FV231" s="700"/>
      <c r="FW231" s="700"/>
      <c r="FX231" s="701"/>
      <c r="FY231" s="701"/>
      <c r="FZ231" s="701"/>
    </row>
    <row r="232" spans="1:182" s="535" customFormat="1" ht="111.75" customHeight="1" x14ac:dyDescent="1.35">
      <c r="A232" s="615" t="s">
        <v>330</v>
      </c>
      <c r="B232" s="2681">
        <v>114</v>
      </c>
      <c r="C232" s="2682"/>
      <c r="D232" s="2682"/>
      <c r="E232" s="2683"/>
      <c r="F232" s="615" t="s">
        <v>330</v>
      </c>
      <c r="G232" s="2828">
        <v>115</v>
      </c>
      <c r="H232" s="2829"/>
      <c r="I232" s="2829"/>
      <c r="J232" s="2830"/>
      <c r="K232" s="615" t="s">
        <v>330</v>
      </c>
      <c r="L232" s="2681">
        <v>116</v>
      </c>
      <c r="M232" s="2682"/>
      <c r="N232" s="2682"/>
      <c r="O232" s="2683"/>
      <c r="P232" s="615" t="s">
        <v>330</v>
      </c>
      <c r="Q232" s="2681">
        <v>117</v>
      </c>
      <c r="R232" s="2682"/>
      <c r="S232" s="2682"/>
      <c r="T232" s="2683"/>
      <c r="U232" s="615" t="s">
        <v>330</v>
      </c>
      <c r="V232" s="2681">
        <v>118</v>
      </c>
      <c r="W232" s="2682"/>
      <c r="X232" s="2682"/>
      <c r="Y232" s="2683"/>
      <c r="Z232" s="615" t="s">
        <v>330</v>
      </c>
      <c r="AA232" s="2681">
        <v>119</v>
      </c>
      <c r="AB232" s="2682"/>
      <c r="AC232" s="2682"/>
      <c r="AD232" s="2683"/>
      <c r="AE232" s="615" t="s">
        <v>330</v>
      </c>
      <c r="AF232" s="2681">
        <v>120</v>
      </c>
      <c r="AG232" s="2682"/>
      <c r="AH232" s="2682"/>
      <c r="AI232" s="2683"/>
      <c r="AJ232" s="615" t="s">
        <v>330</v>
      </c>
      <c r="AK232" s="2681">
        <v>121</v>
      </c>
      <c r="AL232" s="2682"/>
      <c r="AM232" s="2682"/>
      <c r="AN232" s="2683"/>
      <c r="AO232" s="615" t="s">
        <v>330</v>
      </c>
      <c r="AP232" s="2681">
        <v>122</v>
      </c>
      <c r="AQ232" s="2682"/>
      <c r="AR232" s="2682"/>
      <c r="AS232" s="2683"/>
      <c r="AT232" s="615" t="s">
        <v>330</v>
      </c>
      <c r="AU232" s="2681">
        <v>123</v>
      </c>
      <c r="AV232" s="2682"/>
      <c r="AW232" s="2682"/>
      <c r="AX232" s="2683"/>
      <c r="AY232" s="615" t="s">
        <v>330</v>
      </c>
      <c r="AZ232" s="2681">
        <v>124</v>
      </c>
      <c r="BA232" s="2682"/>
      <c r="BB232" s="2682"/>
      <c r="BC232" s="2683"/>
      <c r="BD232" s="615" t="s">
        <v>330</v>
      </c>
      <c r="BE232" s="2681">
        <v>125</v>
      </c>
      <c r="BF232" s="2682"/>
      <c r="BG232" s="2682"/>
      <c r="BH232" s="2683"/>
      <c r="BI232" s="615" t="s">
        <v>330</v>
      </c>
      <c r="BJ232" s="2681">
        <v>126</v>
      </c>
      <c r="BK232" s="2682"/>
      <c r="BL232" s="2682"/>
      <c r="BM232" s="2683"/>
      <c r="BN232" s="615" t="s">
        <v>330</v>
      </c>
      <c r="BO232" s="2681">
        <v>127</v>
      </c>
      <c r="BP232" s="2682"/>
      <c r="BQ232" s="2682"/>
      <c r="BR232" s="2683"/>
      <c r="BS232" s="615" t="s">
        <v>330</v>
      </c>
      <c r="BT232" s="2681">
        <v>128</v>
      </c>
      <c r="BU232" s="2682"/>
      <c r="BV232" s="2682"/>
      <c r="BW232" s="2683"/>
      <c r="BX232" s="2708" t="s">
        <v>728</v>
      </c>
      <c r="BY232" s="2681">
        <v>49</v>
      </c>
      <c r="BZ232" s="2682"/>
      <c r="CA232" s="2682"/>
      <c r="CB232" s="2683"/>
      <c r="CC232" s="372"/>
      <c r="CD232" s="372"/>
      <c r="CG232" s="538"/>
      <c r="CH232" s="538"/>
      <c r="CI232" s="538"/>
      <c r="CJ232" s="538"/>
      <c r="CK232" s="538"/>
      <c r="CL232" s="538"/>
      <c r="CM232" s="539"/>
      <c r="CN232" s="539"/>
      <c r="CO232" s="539"/>
      <c r="CQ232" s="539"/>
      <c r="CR232" s="539"/>
      <c r="CS232" s="539"/>
      <c r="CT232" s="539"/>
      <c r="CU232" s="539"/>
      <c r="CV232" s="539"/>
      <c r="DI232" s="676"/>
      <c r="DJ232" s="676"/>
      <c r="DK232" s="676"/>
      <c r="DL232" s="540"/>
      <c r="DM232" s="540"/>
      <c r="DN232" s="541"/>
      <c r="DO232" s="702"/>
      <c r="DP232" s="702"/>
      <c r="DQ232" s="702"/>
      <c r="DR232" s="372"/>
      <c r="DS232" s="537"/>
      <c r="DT232" s="537"/>
      <c r="DU232" s="537"/>
      <c r="DV232" s="537"/>
      <c r="DW232" s="537"/>
      <c r="DX232" s="537"/>
      <c r="DY232" s="537"/>
      <c r="DZ232" s="537"/>
      <c r="EA232" s="537"/>
      <c r="EB232" s="537"/>
      <c r="EC232" s="537"/>
      <c r="ED232" s="537"/>
      <c r="EE232" s="537"/>
      <c r="EF232" s="697"/>
      <c r="EG232" s="697"/>
      <c r="EH232" s="697"/>
      <c r="EI232" s="697"/>
      <c r="EJ232" s="697"/>
      <c r="EK232" s="697"/>
      <c r="EL232" s="697"/>
      <c r="EM232" s="697"/>
      <c r="EN232" s="697"/>
      <c r="EO232" s="697"/>
      <c r="EP232" s="697"/>
      <c r="EQ232" s="697"/>
      <c r="ER232" s="697"/>
      <c r="ES232" s="697"/>
      <c r="ET232" s="697"/>
      <c r="EU232" s="697"/>
      <c r="EV232" s="697"/>
      <c r="EW232" s="697"/>
      <c r="EX232" s="697"/>
      <c r="EY232" s="697"/>
      <c r="EZ232" s="697"/>
      <c r="FA232" s="697"/>
      <c r="FB232" s="542"/>
      <c r="FC232" s="698"/>
      <c r="FD232" s="698"/>
      <c r="FE232" s="698"/>
      <c r="FF232" s="698"/>
      <c r="FG232" s="698"/>
      <c r="FH232" s="698"/>
      <c r="FI232" s="698"/>
      <c r="FJ232" s="698"/>
      <c r="FK232" s="698"/>
      <c r="FL232" s="698"/>
      <c r="FM232" s="698"/>
      <c r="FN232" s="698"/>
      <c r="FO232" s="699"/>
      <c r="FP232" s="699"/>
      <c r="FQ232" s="699"/>
      <c r="FR232" s="699"/>
      <c r="FS232" s="699"/>
      <c r="FT232" s="700"/>
      <c r="FU232" s="700"/>
      <c r="FV232" s="700"/>
      <c r="FW232" s="700"/>
      <c r="FX232" s="701"/>
      <c r="FY232" s="701"/>
      <c r="FZ232" s="701"/>
    </row>
    <row r="233" spans="1:182" ht="50.25" customHeight="1" thickBot="1" x14ac:dyDescent="0.3">
      <c r="A233" s="616"/>
      <c r="B233" s="518"/>
      <c r="C233" s="519" t="s">
        <v>113</v>
      </c>
      <c r="D233" s="520"/>
      <c r="E233" s="523" t="s">
        <v>114</v>
      </c>
      <c r="F233" s="616"/>
      <c r="G233" s="518">
        <v>1E-10</v>
      </c>
      <c r="H233" s="519" t="s">
        <v>113</v>
      </c>
      <c r="I233" s="520"/>
      <c r="J233" s="523" t="s">
        <v>114</v>
      </c>
      <c r="K233" s="616"/>
      <c r="L233" s="518"/>
      <c r="M233" s="519" t="s">
        <v>113</v>
      </c>
      <c r="N233" s="520"/>
      <c r="O233" s="523" t="s">
        <v>114</v>
      </c>
      <c r="P233" s="616"/>
      <c r="Q233" s="518"/>
      <c r="R233" s="519" t="s">
        <v>113</v>
      </c>
      <c r="S233" s="520"/>
      <c r="T233" s="523" t="s">
        <v>114</v>
      </c>
      <c r="U233" s="616"/>
      <c r="V233" s="518"/>
      <c r="W233" s="519" t="s">
        <v>113</v>
      </c>
      <c r="X233" s="520"/>
      <c r="Y233" s="523" t="s">
        <v>114</v>
      </c>
      <c r="Z233" s="616"/>
      <c r="AA233" s="518"/>
      <c r="AB233" s="519" t="s">
        <v>113</v>
      </c>
      <c r="AC233" s="520"/>
      <c r="AD233" s="523" t="s">
        <v>114</v>
      </c>
      <c r="AE233" s="616"/>
      <c r="AF233" s="518"/>
      <c r="AG233" s="519" t="s">
        <v>113</v>
      </c>
      <c r="AH233" s="520"/>
      <c r="AI233" s="523" t="s">
        <v>114</v>
      </c>
      <c r="AJ233" s="616"/>
      <c r="AK233" s="518"/>
      <c r="AL233" s="519" t="s">
        <v>113</v>
      </c>
      <c r="AM233" s="520"/>
      <c r="AN233" s="523" t="s">
        <v>114</v>
      </c>
      <c r="AO233" s="616"/>
      <c r="AP233" s="518"/>
      <c r="AQ233" s="519" t="s">
        <v>113</v>
      </c>
      <c r="AR233" s="520"/>
      <c r="AS233" s="523" t="s">
        <v>114</v>
      </c>
      <c r="AT233" s="616"/>
      <c r="AU233" s="518"/>
      <c r="AV233" s="519" t="s">
        <v>113</v>
      </c>
      <c r="AW233" s="520"/>
      <c r="AX233" s="523" t="s">
        <v>114</v>
      </c>
      <c r="AY233" s="616"/>
      <c r="AZ233" s="518"/>
      <c r="BA233" s="519" t="s">
        <v>113</v>
      </c>
      <c r="BB233" s="520"/>
      <c r="BC233" s="523" t="s">
        <v>114</v>
      </c>
      <c r="BD233" s="616"/>
      <c r="BE233" s="518"/>
      <c r="BF233" s="519" t="s">
        <v>113</v>
      </c>
      <c r="BG233" s="520"/>
      <c r="BH233" s="523" t="s">
        <v>114</v>
      </c>
      <c r="BI233" s="616"/>
      <c r="BJ233" s="518"/>
      <c r="BK233" s="519" t="s">
        <v>113</v>
      </c>
      <c r="BL233" s="520"/>
      <c r="BM233" s="523" t="s">
        <v>114</v>
      </c>
      <c r="BN233" s="616"/>
      <c r="BO233" s="518"/>
      <c r="BP233" s="519" t="s">
        <v>113</v>
      </c>
      <c r="BQ233" s="520"/>
      <c r="BR233" s="523" t="s">
        <v>114</v>
      </c>
      <c r="BS233" s="616"/>
      <c r="BT233" s="518"/>
      <c r="BU233" s="519" t="s">
        <v>113</v>
      </c>
      <c r="BV233" s="520"/>
      <c r="BW233" s="523" t="s">
        <v>114</v>
      </c>
      <c r="BX233" s="2709"/>
      <c r="BY233" s="518"/>
      <c r="BZ233" s="519" t="s">
        <v>113</v>
      </c>
      <c r="CA233" s="520"/>
      <c r="CB233" s="523" t="s">
        <v>114</v>
      </c>
      <c r="CC233" s="50"/>
      <c r="CD233" s="50"/>
      <c r="CG233" s="27"/>
      <c r="CH233" s="27"/>
      <c r="CI233" s="27"/>
      <c r="CJ233" s="27"/>
      <c r="CK233" s="27"/>
      <c r="CL233" s="27"/>
      <c r="CM233" s="27"/>
      <c r="CN233" s="27"/>
      <c r="CO233" s="27"/>
      <c r="CQ233" s="27"/>
      <c r="CR233" s="27"/>
      <c r="CS233" s="27"/>
      <c r="CT233" s="27"/>
      <c r="CU233" s="27"/>
      <c r="CV233" s="27"/>
      <c r="DI233" s="676"/>
      <c r="DJ233" s="676"/>
      <c r="DK233" s="676"/>
      <c r="DL233" s="29"/>
      <c r="DM233" s="29"/>
      <c r="DN233" s="47"/>
      <c r="DO233" s="702"/>
      <c r="DP233" s="702"/>
      <c r="DQ233" s="702"/>
      <c r="DR233" s="48"/>
      <c r="DS233" s="45"/>
      <c r="DT233" s="45"/>
      <c r="DU233" s="45"/>
      <c r="DV233" s="45"/>
      <c r="DW233" s="45"/>
      <c r="DX233" s="45"/>
      <c r="DY233" s="45"/>
      <c r="DZ233" s="45"/>
      <c r="EA233" s="45"/>
      <c r="EB233" s="45"/>
      <c r="EC233" s="45"/>
      <c r="ED233" s="45"/>
      <c r="EE233" s="45"/>
      <c r="EF233" s="697"/>
      <c r="EG233" s="697"/>
      <c r="EH233" s="697"/>
      <c r="EI233" s="697"/>
      <c r="EJ233" s="697"/>
      <c r="EK233" s="697"/>
      <c r="EL233" s="697"/>
      <c r="EM233" s="697"/>
      <c r="EN233" s="697"/>
      <c r="EO233" s="697"/>
      <c r="EP233" s="697"/>
      <c r="EQ233" s="697"/>
      <c r="ER233" s="697"/>
      <c r="ES233" s="697"/>
      <c r="ET233" s="697"/>
      <c r="EU233" s="697"/>
      <c r="EV233" s="697"/>
      <c r="EW233" s="697"/>
      <c r="EX233" s="697"/>
      <c r="EY233" s="697"/>
      <c r="EZ233" s="697"/>
      <c r="FA233" s="697"/>
      <c r="FB233" s="46"/>
      <c r="FC233" s="698"/>
      <c r="FD233" s="698"/>
      <c r="FE233" s="698"/>
      <c r="FF233" s="698"/>
      <c r="FG233" s="698"/>
      <c r="FH233" s="698"/>
      <c r="FI233" s="698"/>
      <c r="FJ233" s="698"/>
      <c r="FK233" s="698"/>
      <c r="FL233" s="698"/>
      <c r="FM233" s="698"/>
      <c r="FN233" s="698"/>
      <c r="FO233" s="699"/>
      <c r="FP233" s="699"/>
      <c r="FQ233" s="699"/>
      <c r="FR233" s="699"/>
      <c r="FS233" s="699"/>
      <c r="FT233" s="700"/>
      <c r="FU233" s="700"/>
      <c r="FV233" s="700"/>
      <c r="FW233" s="700"/>
      <c r="FX233" s="701"/>
      <c r="FY233" s="701"/>
      <c r="FZ233" s="701"/>
    </row>
    <row r="234" spans="1:182" ht="57" customHeight="1" thickTop="1" x14ac:dyDescent="0.25">
      <c r="A234" s="2692" t="s">
        <v>110</v>
      </c>
      <c r="B234" s="2693"/>
      <c r="C234" s="2694">
        <f t="shared" ref="C234" si="551">B239/((36*3.1415/59)*(78/3.281))</f>
        <v>0</v>
      </c>
      <c r="D234" s="2694"/>
      <c r="E234" s="2695"/>
      <c r="F234" s="2692" t="s">
        <v>110</v>
      </c>
      <c r="G234" s="2693"/>
      <c r="H234" s="2694">
        <f t="shared" ref="H234" si="552">G239/((36*3.1415/59)*(78/3.281))</f>
        <v>0</v>
      </c>
      <c r="I234" s="2694"/>
      <c r="J234" s="2695"/>
      <c r="K234" s="2692" t="s">
        <v>110</v>
      </c>
      <c r="L234" s="2693"/>
      <c r="M234" s="2694">
        <f t="shared" ref="M234" si="553">L239/((36*3.1415/59)*(78/3.281))</f>
        <v>0</v>
      </c>
      <c r="N234" s="2694"/>
      <c r="O234" s="2695"/>
      <c r="P234" s="2692" t="s">
        <v>110</v>
      </c>
      <c r="Q234" s="2693"/>
      <c r="R234" s="2694">
        <f t="shared" ref="R234" si="554">Q239/((36*3.1415/59)*(78/3.281))</f>
        <v>0</v>
      </c>
      <c r="S234" s="2694"/>
      <c r="T234" s="2695"/>
      <c r="U234" s="2692" t="s">
        <v>110</v>
      </c>
      <c r="V234" s="2693"/>
      <c r="W234" s="2694">
        <f t="shared" ref="W234" si="555">V239/((36*3.1415/59)*(78/3.281))</f>
        <v>0</v>
      </c>
      <c r="X234" s="2694"/>
      <c r="Y234" s="2695"/>
      <c r="Z234" s="2692" t="s">
        <v>110</v>
      </c>
      <c r="AA234" s="2693"/>
      <c r="AB234" s="2694">
        <f t="shared" ref="AB234" si="556">AA239/((36*3.1415/59)*(78/3.281))</f>
        <v>0</v>
      </c>
      <c r="AC234" s="2694"/>
      <c r="AD234" s="2695"/>
      <c r="AE234" s="2692" t="s">
        <v>110</v>
      </c>
      <c r="AF234" s="2693"/>
      <c r="AG234" s="2694">
        <f t="shared" ref="AG234" si="557">AF239/((36*3.1415/59)*(78/3.281))</f>
        <v>0</v>
      </c>
      <c r="AH234" s="2694"/>
      <c r="AI234" s="2695"/>
      <c r="AJ234" s="2692" t="s">
        <v>110</v>
      </c>
      <c r="AK234" s="2693"/>
      <c r="AL234" s="2694">
        <f t="shared" ref="AL234" si="558">AK239/((36*3.1415/59)*(78/3.281))</f>
        <v>0</v>
      </c>
      <c r="AM234" s="2694"/>
      <c r="AN234" s="2695"/>
      <c r="AO234" s="2692" t="s">
        <v>110</v>
      </c>
      <c r="AP234" s="2693"/>
      <c r="AQ234" s="2694">
        <f t="shared" ref="AQ234" si="559">AP239/((36*3.1415/59)*(78/3.281))</f>
        <v>0</v>
      </c>
      <c r="AR234" s="2694"/>
      <c r="AS234" s="2695"/>
      <c r="AT234" s="2692" t="s">
        <v>110</v>
      </c>
      <c r="AU234" s="2693"/>
      <c r="AV234" s="2694">
        <f t="shared" ref="AV234" si="560">AU239/((36*3.1415/59)*(78/3.281))</f>
        <v>0</v>
      </c>
      <c r="AW234" s="2694"/>
      <c r="AX234" s="2695"/>
      <c r="AY234" s="2692" t="s">
        <v>110</v>
      </c>
      <c r="AZ234" s="2693"/>
      <c r="BA234" s="2694">
        <f t="shared" ref="BA234" si="561">AZ239/((36*3.1415/59)*(78/3.281))</f>
        <v>0</v>
      </c>
      <c r="BB234" s="2694"/>
      <c r="BC234" s="2695"/>
      <c r="BD234" s="2692" t="s">
        <v>110</v>
      </c>
      <c r="BE234" s="2693"/>
      <c r="BF234" s="2694">
        <f t="shared" ref="BF234" si="562">BE239/((36*3.1415/59)*(78/3.281))</f>
        <v>0</v>
      </c>
      <c r="BG234" s="2694"/>
      <c r="BH234" s="2695"/>
      <c r="BI234" s="2692" t="s">
        <v>110</v>
      </c>
      <c r="BJ234" s="2693"/>
      <c r="BK234" s="2694">
        <f t="shared" ref="BK234" si="563">BJ239/((36*3.1415/59)*(78/3.281))</f>
        <v>0</v>
      </c>
      <c r="BL234" s="2694"/>
      <c r="BM234" s="2695"/>
      <c r="BN234" s="2692" t="s">
        <v>110</v>
      </c>
      <c r="BO234" s="2693"/>
      <c r="BP234" s="2694">
        <f t="shared" ref="BP234" si="564">BO239/((36*3.1415/59)*(78/3.281))</f>
        <v>0</v>
      </c>
      <c r="BQ234" s="2694"/>
      <c r="BR234" s="2695"/>
      <c r="BS234" s="2692" t="s">
        <v>110</v>
      </c>
      <c r="BT234" s="2693"/>
      <c r="BU234" s="2694">
        <f t="shared" ref="BU234" si="565">BT239/((36*3.1415/59)*(78/3.281))</f>
        <v>0</v>
      </c>
      <c r="BV234" s="2694"/>
      <c r="BW234" s="2695"/>
      <c r="BX234" s="2692" t="s">
        <v>110</v>
      </c>
      <c r="BY234" s="2693"/>
      <c r="BZ234" s="2694">
        <f t="shared" ref="BZ234" si="566">BY239/((36*3.1415/59)*(78/3.281))</f>
        <v>0</v>
      </c>
      <c r="CA234" s="2694"/>
      <c r="CB234" s="2695"/>
      <c r="CC234" s="50"/>
      <c r="CD234" s="50"/>
      <c r="CG234" s="27"/>
      <c r="CH234" s="27"/>
      <c r="CI234" s="27"/>
      <c r="CJ234" s="27"/>
      <c r="CK234" s="27"/>
      <c r="CL234" s="27"/>
      <c r="CM234" s="27"/>
      <c r="CN234" s="27"/>
      <c r="CO234" s="27"/>
      <c r="CQ234" s="27"/>
      <c r="CR234" s="27"/>
      <c r="CS234" s="27"/>
      <c r="CT234" s="27"/>
      <c r="CU234" s="27"/>
      <c r="CV234" s="27"/>
      <c r="DI234" s="676"/>
      <c r="DJ234" s="676"/>
      <c r="DK234" s="676"/>
      <c r="DL234" s="675"/>
      <c r="DM234" s="675"/>
      <c r="DN234" s="47"/>
      <c r="DO234" s="703"/>
      <c r="DP234" s="703"/>
      <c r="DQ234" s="703"/>
      <c r="DR234" s="48"/>
      <c r="DS234" s="45"/>
      <c r="DT234" s="45"/>
      <c r="DU234" s="45"/>
      <c r="DV234" s="45"/>
      <c r="DW234" s="45"/>
      <c r="DX234" s="45"/>
      <c r="DY234" s="45"/>
      <c r="DZ234" s="45"/>
      <c r="EA234" s="45"/>
      <c r="EB234" s="45"/>
      <c r="EC234" s="45"/>
      <c r="ED234" s="45"/>
      <c r="EE234" s="45"/>
      <c r="EF234" s="697"/>
      <c r="EG234" s="697"/>
      <c r="EH234" s="697"/>
      <c r="EI234" s="697"/>
      <c r="EJ234" s="697"/>
      <c r="EK234" s="697"/>
      <c r="EL234" s="697"/>
      <c r="EM234" s="697"/>
      <c r="EN234" s="697"/>
      <c r="EO234" s="697"/>
      <c r="EP234" s="697"/>
      <c r="EQ234" s="697"/>
      <c r="ER234" s="697"/>
      <c r="ES234" s="697"/>
      <c r="ET234" s="697"/>
      <c r="EU234" s="697"/>
      <c r="EV234" s="697"/>
      <c r="EW234" s="697"/>
      <c r="EX234" s="697"/>
      <c r="EY234" s="697"/>
      <c r="EZ234" s="697"/>
      <c r="FA234" s="697"/>
      <c r="FB234" s="46"/>
      <c r="FC234" s="698"/>
      <c r="FD234" s="698"/>
      <c r="FE234" s="698"/>
      <c r="FF234" s="698"/>
      <c r="FG234" s="698"/>
      <c r="FH234" s="698"/>
      <c r="FI234" s="698"/>
      <c r="FJ234" s="698"/>
      <c r="FK234" s="698"/>
      <c r="FL234" s="698"/>
      <c r="FM234" s="698"/>
      <c r="FN234" s="698"/>
      <c r="FO234" s="699"/>
      <c r="FP234" s="699"/>
      <c r="FQ234" s="699"/>
      <c r="FR234" s="699"/>
      <c r="FS234" s="699"/>
      <c r="FT234" s="700"/>
      <c r="FU234" s="700"/>
      <c r="FV234" s="700"/>
      <c r="FW234" s="700"/>
      <c r="FX234" s="701"/>
      <c r="FY234" s="701"/>
      <c r="FZ234" s="701"/>
    </row>
    <row r="235" spans="1:182" ht="11.25" customHeight="1" x14ac:dyDescent="0.25">
      <c r="A235" s="2702" t="s">
        <v>25</v>
      </c>
      <c r="B235" s="2703"/>
      <c r="C235" s="2703"/>
      <c r="D235" s="2686" t="s">
        <v>706</v>
      </c>
      <c r="E235" s="2687"/>
      <c r="F235" s="2702" t="s">
        <v>25</v>
      </c>
      <c r="G235" s="2703"/>
      <c r="H235" s="2703"/>
      <c r="I235" s="2686" t="s">
        <v>706</v>
      </c>
      <c r="J235" s="2687"/>
      <c r="K235" s="2702" t="s">
        <v>25</v>
      </c>
      <c r="L235" s="2703"/>
      <c r="M235" s="2703"/>
      <c r="N235" s="2686" t="s">
        <v>706</v>
      </c>
      <c r="O235" s="2687"/>
      <c r="P235" s="2702" t="s">
        <v>25</v>
      </c>
      <c r="Q235" s="2703"/>
      <c r="R235" s="2703"/>
      <c r="S235" s="2686" t="s">
        <v>706</v>
      </c>
      <c r="T235" s="2687"/>
      <c r="U235" s="2702" t="s">
        <v>25</v>
      </c>
      <c r="V235" s="2703"/>
      <c r="W235" s="2703"/>
      <c r="X235" s="2686" t="s">
        <v>706</v>
      </c>
      <c r="Y235" s="2687"/>
      <c r="Z235" s="2702" t="s">
        <v>25</v>
      </c>
      <c r="AA235" s="2703"/>
      <c r="AB235" s="2703"/>
      <c r="AC235" s="2686" t="s">
        <v>706</v>
      </c>
      <c r="AD235" s="2687"/>
      <c r="AE235" s="2702" t="s">
        <v>25</v>
      </c>
      <c r="AF235" s="2703"/>
      <c r="AG235" s="2703"/>
      <c r="AH235" s="2686" t="s">
        <v>706</v>
      </c>
      <c r="AI235" s="2687"/>
      <c r="AJ235" s="2702" t="s">
        <v>25</v>
      </c>
      <c r="AK235" s="2703"/>
      <c r="AL235" s="2703"/>
      <c r="AM235" s="2686" t="s">
        <v>706</v>
      </c>
      <c r="AN235" s="2687"/>
      <c r="AO235" s="2702" t="s">
        <v>25</v>
      </c>
      <c r="AP235" s="2703"/>
      <c r="AQ235" s="2703"/>
      <c r="AR235" s="2686" t="s">
        <v>706</v>
      </c>
      <c r="AS235" s="2687"/>
      <c r="AT235" s="2702" t="s">
        <v>25</v>
      </c>
      <c r="AU235" s="2703"/>
      <c r="AV235" s="2703"/>
      <c r="AW235" s="2686" t="s">
        <v>706</v>
      </c>
      <c r="AX235" s="2687"/>
      <c r="AY235" s="2702" t="s">
        <v>25</v>
      </c>
      <c r="AZ235" s="2703"/>
      <c r="BA235" s="2703"/>
      <c r="BB235" s="2686" t="s">
        <v>706</v>
      </c>
      <c r="BC235" s="2687"/>
      <c r="BD235" s="2702" t="s">
        <v>25</v>
      </c>
      <c r="BE235" s="2703"/>
      <c r="BF235" s="2703"/>
      <c r="BG235" s="2686" t="s">
        <v>706</v>
      </c>
      <c r="BH235" s="2687"/>
      <c r="BI235" s="2702" t="s">
        <v>25</v>
      </c>
      <c r="BJ235" s="2703"/>
      <c r="BK235" s="2703"/>
      <c r="BL235" s="2686" t="s">
        <v>706</v>
      </c>
      <c r="BM235" s="2687"/>
      <c r="BN235" s="2702" t="s">
        <v>25</v>
      </c>
      <c r="BO235" s="2703"/>
      <c r="BP235" s="2703"/>
      <c r="BQ235" s="2686" t="s">
        <v>706</v>
      </c>
      <c r="BR235" s="2687"/>
      <c r="BS235" s="2702" t="s">
        <v>25</v>
      </c>
      <c r="BT235" s="2703"/>
      <c r="BU235" s="2703"/>
      <c r="BV235" s="2686" t="s">
        <v>706</v>
      </c>
      <c r="BW235" s="2687"/>
      <c r="BX235" s="2702" t="s">
        <v>25</v>
      </c>
      <c r="BY235" s="2703"/>
      <c r="BZ235" s="2703"/>
      <c r="CA235" s="2686" t="s">
        <v>706</v>
      </c>
      <c r="CB235" s="2687"/>
      <c r="CC235" s="50"/>
      <c r="CD235" s="50"/>
      <c r="CG235" s="27"/>
      <c r="CH235" s="27"/>
      <c r="CI235" s="27"/>
      <c r="CJ235" s="27"/>
      <c r="CK235" s="27"/>
      <c r="CL235" s="27"/>
      <c r="CM235" s="27"/>
      <c r="CN235" s="27"/>
      <c r="CO235" s="27"/>
      <c r="CQ235" s="27"/>
      <c r="CR235" s="27"/>
      <c r="CS235" s="27"/>
      <c r="CT235" s="27"/>
      <c r="CU235" s="27"/>
      <c r="CV235" s="27"/>
      <c r="DJ235" s="17"/>
      <c r="DO235" s="703"/>
      <c r="DP235" s="703"/>
      <c r="DQ235" s="703"/>
      <c r="DR235" s="48"/>
      <c r="DS235" s="49"/>
      <c r="DT235" s="49"/>
      <c r="DU235" s="49"/>
      <c r="DV235" s="49"/>
      <c r="DW235" s="49"/>
      <c r="DX235" s="49"/>
      <c r="DY235" s="49"/>
      <c r="DZ235" s="49"/>
      <c r="EA235" s="49"/>
      <c r="EB235" s="49"/>
      <c r="EC235" s="49"/>
      <c r="ED235" s="49"/>
      <c r="EE235" s="49"/>
      <c r="EF235" s="704"/>
      <c r="EG235" s="705"/>
      <c r="EH235" s="705"/>
      <c r="EI235" s="705"/>
      <c r="EJ235" s="705"/>
      <c r="EK235" s="705"/>
      <c r="EL235" s="705"/>
      <c r="EM235" s="705"/>
      <c r="EN235" s="705"/>
      <c r="EO235" s="705"/>
      <c r="EP235" s="705"/>
      <c r="EQ235" s="705"/>
      <c r="ER235" s="706"/>
      <c r="ES235" s="706"/>
      <c r="ET235" s="706"/>
      <c r="EU235" s="706"/>
      <c r="EV235" s="706"/>
      <c r="EW235" s="706"/>
      <c r="EX235" s="706"/>
      <c r="EY235" s="706"/>
      <c r="EZ235" s="706"/>
      <c r="FA235" s="706"/>
      <c r="FB235" s="706"/>
      <c r="FC235" s="707"/>
      <c r="FD235" s="707"/>
      <c r="FE235" s="707"/>
      <c r="FF235" s="707"/>
      <c r="FG235" s="707"/>
      <c r="FH235" s="707"/>
      <c r="FI235" s="707"/>
      <c r="FJ235" s="707"/>
      <c r="FK235" s="707"/>
      <c r="FL235" s="707"/>
      <c r="FM235" s="707"/>
      <c r="FN235" s="707"/>
      <c r="FO235" s="699"/>
      <c r="FP235" s="699"/>
      <c r="FQ235" s="699"/>
      <c r="FR235" s="699"/>
      <c r="FS235" s="699"/>
      <c r="FT235" s="708"/>
      <c r="FU235" s="708"/>
      <c r="FV235" s="708"/>
      <c r="FW235" s="708"/>
      <c r="FX235" s="708"/>
      <c r="FY235" s="708"/>
      <c r="FZ235" s="708"/>
    </row>
    <row r="236" spans="1:182" ht="11.25" customHeight="1" x14ac:dyDescent="0.25">
      <c r="A236" s="2704"/>
      <c r="B236" s="2705"/>
      <c r="C236" s="2705"/>
      <c r="D236" s="2688"/>
      <c r="E236" s="2689"/>
      <c r="F236" s="2704"/>
      <c r="G236" s="2705"/>
      <c r="H236" s="2705"/>
      <c r="I236" s="2688"/>
      <c r="J236" s="2689"/>
      <c r="K236" s="2704"/>
      <c r="L236" s="2705"/>
      <c r="M236" s="2705"/>
      <c r="N236" s="2688"/>
      <c r="O236" s="2689"/>
      <c r="P236" s="2704"/>
      <c r="Q236" s="2705"/>
      <c r="R236" s="2705"/>
      <c r="S236" s="2688"/>
      <c r="T236" s="2689"/>
      <c r="U236" s="2704"/>
      <c r="V236" s="2705"/>
      <c r="W236" s="2705"/>
      <c r="X236" s="2688"/>
      <c r="Y236" s="2689"/>
      <c r="Z236" s="2704"/>
      <c r="AA236" s="2705"/>
      <c r="AB236" s="2705"/>
      <c r="AC236" s="2688"/>
      <c r="AD236" s="2689"/>
      <c r="AE236" s="2704"/>
      <c r="AF236" s="2705"/>
      <c r="AG236" s="2705"/>
      <c r="AH236" s="2688"/>
      <c r="AI236" s="2689"/>
      <c r="AJ236" s="2704"/>
      <c r="AK236" s="2705"/>
      <c r="AL236" s="2705"/>
      <c r="AM236" s="2688"/>
      <c r="AN236" s="2689"/>
      <c r="AO236" s="2704"/>
      <c r="AP236" s="2705"/>
      <c r="AQ236" s="2705"/>
      <c r="AR236" s="2688"/>
      <c r="AS236" s="2689"/>
      <c r="AT236" s="2704"/>
      <c r="AU236" s="2705"/>
      <c r="AV236" s="2705"/>
      <c r="AW236" s="2688"/>
      <c r="AX236" s="2689"/>
      <c r="AY236" s="2704"/>
      <c r="AZ236" s="2705"/>
      <c r="BA236" s="2705"/>
      <c r="BB236" s="2688"/>
      <c r="BC236" s="2689"/>
      <c r="BD236" s="2704"/>
      <c r="BE236" s="2705"/>
      <c r="BF236" s="2705"/>
      <c r="BG236" s="2688"/>
      <c r="BH236" s="2689"/>
      <c r="BI236" s="2704"/>
      <c r="BJ236" s="2705"/>
      <c r="BK236" s="2705"/>
      <c r="BL236" s="2688"/>
      <c r="BM236" s="2689"/>
      <c r="BN236" s="2704"/>
      <c r="BO236" s="2705"/>
      <c r="BP236" s="2705"/>
      <c r="BQ236" s="2688"/>
      <c r="BR236" s="2689"/>
      <c r="BS236" s="2704"/>
      <c r="BT236" s="2705"/>
      <c r="BU236" s="2705"/>
      <c r="BV236" s="2688"/>
      <c r="BW236" s="2689"/>
      <c r="BX236" s="2704"/>
      <c r="BY236" s="2705"/>
      <c r="BZ236" s="2705"/>
      <c r="CA236" s="2688"/>
      <c r="CB236" s="2689"/>
      <c r="CC236" s="53"/>
      <c r="CD236" s="53"/>
      <c r="DO236" s="703"/>
      <c r="DP236" s="703"/>
      <c r="DQ236" s="703"/>
      <c r="DR236" s="52"/>
      <c r="DS236" s="45"/>
      <c r="DT236" s="45"/>
      <c r="DU236" s="45"/>
      <c r="DV236" s="45"/>
      <c r="DW236" s="45"/>
      <c r="DX236" s="45"/>
      <c r="DY236" s="45"/>
      <c r="DZ236" s="45"/>
      <c r="EA236" s="45"/>
      <c r="EB236" s="45"/>
      <c r="EC236" s="45"/>
      <c r="ED236" s="45"/>
      <c r="EE236" s="45"/>
      <c r="EF236" s="705"/>
      <c r="EG236" s="705"/>
      <c r="EH236" s="705"/>
      <c r="EI236" s="705"/>
      <c r="EJ236" s="705"/>
      <c r="EK236" s="705"/>
      <c r="EL236" s="705"/>
      <c r="EM236" s="705"/>
      <c r="EN236" s="705"/>
      <c r="EO236" s="705"/>
      <c r="EP236" s="705"/>
      <c r="EQ236" s="705"/>
      <c r="ER236" s="706"/>
      <c r="ES236" s="706"/>
      <c r="ET236" s="706"/>
      <c r="EU236" s="706"/>
      <c r="EV236" s="706"/>
      <c r="EW236" s="706"/>
      <c r="EX236" s="706"/>
      <c r="EY236" s="706"/>
      <c r="EZ236" s="706"/>
      <c r="FA236" s="706"/>
      <c r="FB236" s="706"/>
      <c r="FC236" s="707"/>
      <c r="FD236" s="707"/>
      <c r="FE236" s="707"/>
      <c r="FF236" s="707"/>
      <c r="FG236" s="707"/>
      <c r="FH236" s="707"/>
      <c r="FI236" s="707"/>
      <c r="FJ236" s="707"/>
      <c r="FK236" s="707"/>
      <c r="FL236" s="707"/>
      <c r="FM236" s="707"/>
      <c r="FN236" s="707"/>
      <c r="FO236" s="699"/>
      <c r="FP236" s="699"/>
      <c r="FQ236" s="699"/>
      <c r="FR236" s="699"/>
      <c r="FS236" s="699"/>
      <c r="FT236" s="708"/>
      <c r="FU236" s="708"/>
      <c r="FV236" s="708"/>
      <c r="FW236" s="708"/>
      <c r="FX236" s="708"/>
      <c r="FY236" s="708"/>
      <c r="FZ236" s="708"/>
    </row>
    <row r="237" spans="1:182" ht="11.25" customHeight="1" x14ac:dyDescent="0.25">
      <c r="A237" s="2706"/>
      <c r="B237" s="2707"/>
      <c r="C237" s="2707"/>
      <c r="D237" s="2690"/>
      <c r="E237" s="2691"/>
      <c r="F237" s="2706"/>
      <c r="G237" s="2707"/>
      <c r="H237" s="2707"/>
      <c r="I237" s="2690"/>
      <c r="J237" s="2691"/>
      <c r="K237" s="2706"/>
      <c r="L237" s="2707"/>
      <c r="M237" s="2707"/>
      <c r="N237" s="2690"/>
      <c r="O237" s="2691"/>
      <c r="P237" s="2706"/>
      <c r="Q237" s="2707"/>
      <c r="R237" s="2707"/>
      <c r="S237" s="2690"/>
      <c r="T237" s="2691"/>
      <c r="U237" s="2706"/>
      <c r="V237" s="2707"/>
      <c r="W237" s="2707"/>
      <c r="X237" s="2690"/>
      <c r="Y237" s="2691"/>
      <c r="Z237" s="2706"/>
      <c r="AA237" s="2707"/>
      <c r="AB237" s="2707"/>
      <c r="AC237" s="2690"/>
      <c r="AD237" s="2691"/>
      <c r="AE237" s="2706"/>
      <c r="AF237" s="2707"/>
      <c r="AG237" s="2707"/>
      <c r="AH237" s="2690"/>
      <c r="AI237" s="2691"/>
      <c r="AJ237" s="2706"/>
      <c r="AK237" s="2707"/>
      <c r="AL237" s="2707"/>
      <c r="AM237" s="2690"/>
      <c r="AN237" s="2691"/>
      <c r="AO237" s="2706"/>
      <c r="AP237" s="2707"/>
      <c r="AQ237" s="2707"/>
      <c r="AR237" s="2690"/>
      <c r="AS237" s="2691"/>
      <c r="AT237" s="2706"/>
      <c r="AU237" s="2707"/>
      <c r="AV237" s="2707"/>
      <c r="AW237" s="2690"/>
      <c r="AX237" s="2691"/>
      <c r="AY237" s="2706"/>
      <c r="AZ237" s="2707"/>
      <c r="BA237" s="2707"/>
      <c r="BB237" s="2690"/>
      <c r="BC237" s="2691"/>
      <c r="BD237" s="2706"/>
      <c r="BE237" s="2707"/>
      <c r="BF237" s="2707"/>
      <c r="BG237" s="2690"/>
      <c r="BH237" s="2691"/>
      <c r="BI237" s="2706"/>
      <c r="BJ237" s="2707"/>
      <c r="BK237" s="2707"/>
      <c r="BL237" s="2690"/>
      <c r="BM237" s="2691"/>
      <c r="BN237" s="2706"/>
      <c r="BO237" s="2707"/>
      <c r="BP237" s="2707"/>
      <c r="BQ237" s="2690"/>
      <c r="BR237" s="2691"/>
      <c r="BS237" s="2706"/>
      <c r="BT237" s="2707"/>
      <c r="BU237" s="2707"/>
      <c r="BV237" s="2690"/>
      <c r="BW237" s="2691"/>
      <c r="BX237" s="2706"/>
      <c r="BY237" s="2707"/>
      <c r="BZ237" s="2707"/>
      <c r="CA237" s="2690"/>
      <c r="CB237" s="2691"/>
      <c r="CC237" s="53"/>
      <c r="CD237" s="53"/>
      <c r="DO237" s="709"/>
      <c r="DP237" s="709"/>
      <c r="DQ237" s="709"/>
      <c r="DR237" s="52"/>
      <c r="DS237" s="45"/>
      <c r="DT237" s="45"/>
      <c r="DU237" s="45"/>
      <c r="DV237" s="45"/>
      <c r="DW237" s="45"/>
      <c r="DX237" s="45"/>
      <c r="DY237" s="45"/>
      <c r="DZ237" s="45"/>
      <c r="EA237" s="45"/>
      <c r="EB237" s="45"/>
      <c r="EC237" s="45"/>
      <c r="ED237" s="45"/>
      <c r="EE237" s="45"/>
      <c r="EF237" s="705"/>
      <c r="EG237" s="705"/>
      <c r="EH237" s="705"/>
      <c r="EI237" s="705"/>
      <c r="EJ237" s="705"/>
      <c r="EK237" s="705"/>
      <c r="EL237" s="705"/>
      <c r="EM237" s="705"/>
      <c r="EN237" s="705"/>
      <c r="EO237" s="705"/>
      <c r="EP237" s="705"/>
      <c r="EQ237" s="705"/>
      <c r="ER237" s="706"/>
      <c r="ES237" s="706"/>
      <c r="ET237" s="706"/>
      <c r="EU237" s="706"/>
      <c r="EV237" s="706"/>
      <c r="EW237" s="706"/>
      <c r="EX237" s="706"/>
      <c r="EY237" s="706"/>
      <c r="EZ237" s="706"/>
      <c r="FA237" s="706"/>
      <c r="FB237" s="706"/>
      <c r="FC237" s="707"/>
      <c r="FD237" s="707"/>
      <c r="FE237" s="707"/>
      <c r="FF237" s="707"/>
      <c r="FG237" s="707"/>
      <c r="FH237" s="707"/>
      <c r="FI237" s="707"/>
      <c r="FJ237" s="707"/>
      <c r="FK237" s="707"/>
      <c r="FL237" s="707"/>
      <c r="FM237" s="707"/>
      <c r="FN237" s="707"/>
      <c r="FO237" s="699"/>
      <c r="FP237" s="699"/>
      <c r="FQ237" s="699"/>
      <c r="FR237" s="699"/>
      <c r="FS237" s="699"/>
      <c r="FT237" s="708"/>
      <c r="FU237" s="708"/>
      <c r="FV237" s="708"/>
      <c r="FW237" s="708"/>
      <c r="FX237" s="708"/>
      <c r="FY237" s="708"/>
      <c r="FZ237" s="708"/>
    </row>
    <row r="238" spans="1:182" s="535" customFormat="1" ht="111.75" customHeight="1" x14ac:dyDescent="1.35">
      <c r="A238" s="2708" t="s">
        <v>728</v>
      </c>
      <c r="B238" s="2681">
        <v>50</v>
      </c>
      <c r="C238" s="2682"/>
      <c r="D238" s="2682"/>
      <c r="E238" s="2683"/>
      <c r="F238" s="2708" t="s">
        <v>728</v>
      </c>
      <c r="G238" s="2681">
        <v>51</v>
      </c>
      <c r="H238" s="2682"/>
      <c r="I238" s="2682"/>
      <c r="J238" s="2683"/>
      <c r="K238" s="2708" t="s">
        <v>728</v>
      </c>
      <c r="L238" s="2681">
        <v>52</v>
      </c>
      <c r="M238" s="2682"/>
      <c r="N238" s="2682"/>
      <c r="O238" s="2683"/>
      <c r="P238" s="2708" t="s">
        <v>728</v>
      </c>
      <c r="Q238" s="2681">
        <v>53</v>
      </c>
      <c r="R238" s="2682"/>
      <c r="S238" s="2682"/>
      <c r="T238" s="2683"/>
      <c r="U238" s="2708" t="s">
        <v>728</v>
      </c>
      <c r="V238" s="2681">
        <v>54</v>
      </c>
      <c r="W238" s="2682"/>
      <c r="X238" s="2682"/>
      <c r="Y238" s="2683"/>
      <c r="Z238" s="2708" t="s">
        <v>728</v>
      </c>
      <c r="AA238" s="2681">
        <v>55</v>
      </c>
      <c r="AB238" s="2682"/>
      <c r="AC238" s="2682"/>
      <c r="AD238" s="2683"/>
      <c r="AE238" s="2708" t="s">
        <v>728</v>
      </c>
      <c r="AF238" s="2681">
        <v>56</v>
      </c>
      <c r="AG238" s="2682"/>
      <c r="AH238" s="2682"/>
      <c r="AI238" s="2683"/>
      <c r="AJ238" s="2708" t="s">
        <v>728</v>
      </c>
      <c r="AK238" s="2681">
        <v>57</v>
      </c>
      <c r="AL238" s="2682"/>
      <c r="AM238" s="2682"/>
      <c r="AN238" s="2683"/>
      <c r="AO238" s="2708" t="s">
        <v>728</v>
      </c>
      <c r="AP238" s="2681">
        <v>58</v>
      </c>
      <c r="AQ238" s="2682"/>
      <c r="AR238" s="2682"/>
      <c r="AS238" s="2683"/>
      <c r="AT238" s="2708" t="s">
        <v>728</v>
      </c>
      <c r="AU238" s="2681">
        <v>60</v>
      </c>
      <c r="AV238" s="2682"/>
      <c r="AW238" s="2682"/>
      <c r="AX238" s="2683"/>
      <c r="AY238" s="2708" t="s">
        <v>728</v>
      </c>
      <c r="AZ238" s="2681">
        <v>61</v>
      </c>
      <c r="BA238" s="2682"/>
      <c r="BB238" s="2682"/>
      <c r="BC238" s="2683"/>
      <c r="BD238" s="2708" t="s">
        <v>728</v>
      </c>
      <c r="BE238" s="2681">
        <v>62</v>
      </c>
      <c r="BF238" s="2682"/>
      <c r="BG238" s="2682"/>
      <c r="BH238" s="2683"/>
      <c r="BI238" s="2708" t="s">
        <v>728</v>
      </c>
      <c r="BJ238" s="2681">
        <v>63</v>
      </c>
      <c r="BK238" s="2682"/>
      <c r="BL238" s="2682"/>
      <c r="BM238" s="2683"/>
      <c r="BN238" s="2708" t="s">
        <v>728</v>
      </c>
      <c r="BO238" s="2681">
        <v>64</v>
      </c>
      <c r="BP238" s="2682"/>
      <c r="BQ238" s="2682"/>
      <c r="BR238" s="2683"/>
      <c r="BS238" s="2708" t="s">
        <v>728</v>
      </c>
      <c r="BT238" s="2681">
        <v>65</v>
      </c>
      <c r="BU238" s="2682"/>
      <c r="BV238" s="2682"/>
      <c r="BW238" s="2683"/>
      <c r="BX238" s="2708" t="s">
        <v>728</v>
      </c>
      <c r="BY238" s="2681">
        <v>66</v>
      </c>
      <c r="BZ238" s="2682"/>
      <c r="CA238" s="2682"/>
      <c r="CB238" s="2683"/>
      <c r="DO238" s="709"/>
      <c r="DP238" s="709"/>
      <c r="DQ238" s="709"/>
      <c r="DR238" s="536"/>
      <c r="DS238" s="537"/>
      <c r="DT238" s="537"/>
      <c r="DU238" s="537"/>
      <c r="DV238" s="537"/>
      <c r="DW238" s="537"/>
      <c r="DX238" s="537"/>
      <c r="DY238" s="537"/>
      <c r="DZ238" s="537"/>
      <c r="EA238" s="537"/>
      <c r="EB238" s="537"/>
      <c r="EC238" s="537"/>
      <c r="ED238" s="537"/>
      <c r="EE238" s="537"/>
      <c r="EF238" s="705"/>
      <c r="EG238" s="705"/>
      <c r="EH238" s="705"/>
      <c r="EI238" s="705"/>
      <c r="EJ238" s="705"/>
      <c r="EK238" s="705"/>
      <c r="EL238" s="705"/>
      <c r="EM238" s="705"/>
      <c r="EN238" s="705"/>
      <c r="EO238" s="705"/>
      <c r="EP238" s="705"/>
      <c r="EQ238" s="705"/>
      <c r="ER238" s="706"/>
      <c r="ES238" s="706"/>
      <c r="ET238" s="706"/>
      <c r="EU238" s="706"/>
      <c r="EV238" s="706"/>
      <c r="EW238" s="706"/>
      <c r="EX238" s="706"/>
      <c r="EY238" s="706"/>
      <c r="EZ238" s="706"/>
      <c r="FA238" s="706"/>
      <c r="FB238" s="706"/>
      <c r="FC238" s="707"/>
      <c r="FD238" s="707"/>
      <c r="FE238" s="707"/>
      <c r="FF238" s="707"/>
      <c r="FG238" s="707"/>
      <c r="FH238" s="707"/>
      <c r="FI238" s="707"/>
      <c r="FJ238" s="707"/>
      <c r="FK238" s="707"/>
      <c r="FL238" s="707"/>
      <c r="FM238" s="707"/>
      <c r="FN238" s="707"/>
      <c r="FO238" s="699"/>
      <c r="FP238" s="699"/>
      <c r="FQ238" s="699"/>
      <c r="FR238" s="699"/>
      <c r="FS238" s="699"/>
      <c r="FT238" s="708"/>
      <c r="FU238" s="708"/>
      <c r="FV238" s="708"/>
      <c r="FW238" s="708"/>
      <c r="FX238" s="708"/>
      <c r="FY238" s="708"/>
      <c r="FZ238" s="708"/>
    </row>
    <row r="239" spans="1:182" ht="50.25" customHeight="1" thickBot="1" x14ac:dyDescent="0.3">
      <c r="A239" s="2709"/>
      <c r="B239" s="518"/>
      <c r="C239" s="519" t="s">
        <v>113</v>
      </c>
      <c r="D239" s="520"/>
      <c r="E239" s="523" t="s">
        <v>114</v>
      </c>
      <c r="F239" s="2709"/>
      <c r="G239" s="518"/>
      <c r="H239" s="519" t="s">
        <v>113</v>
      </c>
      <c r="I239" s="520"/>
      <c r="J239" s="523" t="s">
        <v>114</v>
      </c>
      <c r="K239" s="2709"/>
      <c r="L239" s="518"/>
      <c r="M239" s="519" t="s">
        <v>113</v>
      </c>
      <c r="N239" s="520"/>
      <c r="O239" s="523" t="s">
        <v>114</v>
      </c>
      <c r="P239" s="2709"/>
      <c r="Q239" s="518"/>
      <c r="R239" s="519" t="s">
        <v>113</v>
      </c>
      <c r="S239" s="520"/>
      <c r="T239" s="523" t="s">
        <v>114</v>
      </c>
      <c r="U239" s="2709"/>
      <c r="V239" s="518"/>
      <c r="W239" s="519" t="s">
        <v>113</v>
      </c>
      <c r="X239" s="520"/>
      <c r="Y239" s="523" t="s">
        <v>114</v>
      </c>
      <c r="Z239" s="2709"/>
      <c r="AA239" s="518"/>
      <c r="AB239" s="519" t="s">
        <v>113</v>
      </c>
      <c r="AC239" s="520"/>
      <c r="AD239" s="523" t="s">
        <v>114</v>
      </c>
      <c r="AE239" s="2709"/>
      <c r="AF239" s="518"/>
      <c r="AG239" s="519" t="s">
        <v>113</v>
      </c>
      <c r="AH239" s="520"/>
      <c r="AI239" s="523" t="s">
        <v>114</v>
      </c>
      <c r="AJ239" s="2709"/>
      <c r="AK239" s="518"/>
      <c r="AL239" s="519" t="s">
        <v>113</v>
      </c>
      <c r="AM239" s="520"/>
      <c r="AN239" s="523" t="s">
        <v>114</v>
      </c>
      <c r="AO239" s="2709"/>
      <c r="AP239" s="518"/>
      <c r="AQ239" s="519" t="s">
        <v>113</v>
      </c>
      <c r="AR239" s="520"/>
      <c r="AS239" s="523" t="s">
        <v>114</v>
      </c>
      <c r="AT239" s="2709"/>
      <c r="AU239" s="518"/>
      <c r="AV239" s="519" t="s">
        <v>113</v>
      </c>
      <c r="AW239" s="520"/>
      <c r="AX239" s="523" t="s">
        <v>114</v>
      </c>
      <c r="AY239" s="2709"/>
      <c r="AZ239" s="518"/>
      <c r="BA239" s="519" t="s">
        <v>113</v>
      </c>
      <c r="BB239" s="520"/>
      <c r="BC239" s="523" t="s">
        <v>114</v>
      </c>
      <c r="BD239" s="2709"/>
      <c r="BE239" s="518"/>
      <c r="BF239" s="519" t="s">
        <v>113</v>
      </c>
      <c r="BG239" s="520"/>
      <c r="BH239" s="523" t="s">
        <v>114</v>
      </c>
      <c r="BI239" s="2709"/>
      <c r="BJ239" s="518"/>
      <c r="BK239" s="519" t="s">
        <v>113</v>
      </c>
      <c r="BL239" s="520"/>
      <c r="BM239" s="523" t="s">
        <v>114</v>
      </c>
      <c r="BN239" s="2709"/>
      <c r="BO239" s="518"/>
      <c r="BP239" s="519" t="s">
        <v>113</v>
      </c>
      <c r="BQ239" s="520"/>
      <c r="BR239" s="523" t="s">
        <v>114</v>
      </c>
      <c r="BS239" s="2709"/>
      <c r="BT239" s="518"/>
      <c r="BU239" s="519" t="s">
        <v>113</v>
      </c>
      <c r="BV239" s="520"/>
      <c r="BW239" s="523" t="s">
        <v>114</v>
      </c>
      <c r="BX239" s="2709"/>
      <c r="BY239" s="518"/>
      <c r="BZ239" s="519" t="s">
        <v>113</v>
      </c>
      <c r="CA239" s="520"/>
      <c r="CB239" s="523" t="s">
        <v>114</v>
      </c>
      <c r="DO239" s="709"/>
      <c r="DP239" s="709"/>
      <c r="DQ239" s="709"/>
      <c r="DR239" s="52"/>
      <c r="DS239" s="45"/>
      <c r="DT239" s="45"/>
      <c r="DU239" s="45"/>
      <c r="DV239" s="45"/>
      <c r="DW239" s="45"/>
      <c r="DX239" s="45"/>
      <c r="DY239" s="45"/>
      <c r="DZ239" s="45"/>
      <c r="EA239" s="45"/>
      <c r="EB239" s="45"/>
      <c r="EC239" s="45"/>
      <c r="ED239" s="45"/>
      <c r="EE239" s="45"/>
      <c r="EF239" s="705"/>
      <c r="EG239" s="705"/>
      <c r="EH239" s="705"/>
      <c r="EI239" s="705"/>
      <c r="EJ239" s="705"/>
      <c r="EK239" s="705"/>
      <c r="EL239" s="705"/>
      <c r="EM239" s="705"/>
      <c r="EN239" s="705"/>
      <c r="EO239" s="705"/>
      <c r="EP239" s="705"/>
      <c r="EQ239" s="705"/>
      <c r="ER239" s="706"/>
      <c r="ES239" s="706"/>
      <c r="ET239" s="706"/>
      <c r="EU239" s="706"/>
      <c r="EV239" s="706"/>
      <c r="EW239" s="706"/>
      <c r="EX239" s="706"/>
      <c r="EY239" s="706"/>
      <c r="EZ239" s="706"/>
      <c r="FA239" s="706"/>
      <c r="FB239" s="706"/>
      <c r="FC239" s="707"/>
      <c r="FD239" s="707"/>
      <c r="FE239" s="707"/>
      <c r="FF239" s="707"/>
      <c r="FG239" s="707"/>
      <c r="FH239" s="707"/>
      <c r="FI239" s="707"/>
      <c r="FJ239" s="707"/>
      <c r="FK239" s="707"/>
      <c r="FL239" s="707"/>
      <c r="FM239" s="707"/>
      <c r="FN239" s="707"/>
      <c r="FO239" s="699"/>
      <c r="FP239" s="699"/>
      <c r="FQ239" s="699"/>
      <c r="FR239" s="699"/>
      <c r="FS239" s="699"/>
      <c r="FT239" s="699"/>
      <c r="FU239" s="699"/>
      <c r="FV239" s="699"/>
      <c r="FW239" s="699"/>
      <c r="FX239" s="699"/>
      <c r="FY239" s="699"/>
      <c r="FZ239" s="699"/>
    </row>
    <row r="240" spans="1:182" ht="57" customHeight="1" thickTop="1" x14ac:dyDescent="0.25">
      <c r="A240" s="2692" t="s">
        <v>110</v>
      </c>
      <c r="B240" s="2693"/>
      <c r="C240" s="2694">
        <f t="shared" ref="C240" si="567">B245/((36*3.1415/59)*(78/3.281))</f>
        <v>0</v>
      </c>
      <c r="D240" s="2694"/>
      <c r="E240" s="2695"/>
      <c r="F240" s="2692" t="s">
        <v>110</v>
      </c>
      <c r="G240" s="2693"/>
      <c r="H240" s="2694">
        <f t="shared" ref="H240" si="568">G245/((36*3.1415/59)*(78/3.281))</f>
        <v>0</v>
      </c>
      <c r="I240" s="2694"/>
      <c r="J240" s="2695"/>
      <c r="K240" s="2692" t="s">
        <v>110</v>
      </c>
      <c r="L240" s="2693"/>
      <c r="M240" s="2694">
        <f t="shared" ref="M240" si="569">L245/((36*3.1415/59)*(78/3.281))</f>
        <v>0</v>
      </c>
      <c r="N240" s="2694"/>
      <c r="O240" s="2695"/>
      <c r="P240" s="2692" t="s">
        <v>110</v>
      </c>
      <c r="Q240" s="2693"/>
      <c r="R240" s="2694">
        <f t="shared" ref="R240" si="570">Q245/((36*3.1415/59)*(78/3.281))</f>
        <v>0</v>
      </c>
      <c r="S240" s="2694"/>
      <c r="T240" s="2695"/>
      <c r="U240" s="2692" t="s">
        <v>110</v>
      </c>
      <c r="V240" s="2693"/>
      <c r="W240" s="2694">
        <f t="shared" ref="W240" si="571">V245/((36*3.1415/59)*(78/3.281))</f>
        <v>5.5738822663062675E-3</v>
      </c>
      <c r="X240" s="2694"/>
      <c r="Y240" s="2695"/>
      <c r="Z240" s="2692" t="s">
        <v>110</v>
      </c>
      <c r="AA240" s="2693"/>
      <c r="AB240" s="2694">
        <f t="shared" ref="AB240" si="572">AA245/((36*3.1415/59)*(78/3.281))</f>
        <v>0</v>
      </c>
      <c r="AC240" s="2694"/>
      <c r="AD240" s="2695"/>
      <c r="AE240" s="2692" t="s">
        <v>110</v>
      </c>
      <c r="AF240" s="2693"/>
      <c r="AG240" s="2694">
        <f t="shared" ref="AG240" si="573">AF245/((36*3.1415/59)*(78/3.281))</f>
        <v>1.560687034565755E-2</v>
      </c>
      <c r="AH240" s="2694"/>
      <c r="AI240" s="2695"/>
      <c r="AJ240" s="2692" t="s">
        <v>110</v>
      </c>
      <c r="AK240" s="2693"/>
      <c r="AL240" s="2694">
        <f t="shared" ref="AL240" si="574">AK245/((36*3.1415/59)*(78/3.281))</f>
        <v>0</v>
      </c>
      <c r="AM240" s="2694"/>
      <c r="AN240" s="2695"/>
      <c r="AO240" s="2692" t="s">
        <v>110</v>
      </c>
      <c r="AP240" s="2693"/>
      <c r="AQ240" s="2694">
        <f t="shared" ref="AQ240" si="575">AP245/((36*3.1415/59)*(78/3.281))</f>
        <v>1.1147764532612535E-2</v>
      </c>
      <c r="AR240" s="2694"/>
      <c r="AS240" s="2695"/>
      <c r="AT240" s="2692" t="s">
        <v>110</v>
      </c>
      <c r="AU240" s="2693"/>
      <c r="AV240" s="2694">
        <f t="shared" ref="AV240" si="576">AU245/((36*3.1415/59)*(78/3.281))</f>
        <v>0</v>
      </c>
      <c r="AW240" s="2694"/>
      <c r="AX240" s="2695"/>
      <c r="AY240" s="2692" t="s">
        <v>110</v>
      </c>
      <c r="AZ240" s="2693"/>
      <c r="BA240" s="2694">
        <f t="shared" ref="BA240" si="577">AZ245/((36*3.1415/59)*(78/3.281))</f>
        <v>0</v>
      </c>
      <c r="BB240" s="2694"/>
      <c r="BC240" s="2695"/>
      <c r="BD240" s="2692" t="s">
        <v>110</v>
      </c>
      <c r="BE240" s="2693"/>
      <c r="BF240" s="2694">
        <f t="shared" ref="BF240" si="578">BE245/((36*3.1415/59)*(78/3.281))</f>
        <v>0</v>
      </c>
      <c r="BG240" s="2694"/>
      <c r="BH240" s="2695"/>
      <c r="BI240" s="2692" t="s">
        <v>110</v>
      </c>
      <c r="BJ240" s="2693"/>
      <c r="BK240" s="2694">
        <f t="shared" ref="BK240" si="579">BJ245/((36*3.1415/59)*(78/3.281))</f>
        <v>0</v>
      </c>
      <c r="BL240" s="2694"/>
      <c r="BM240" s="2695"/>
      <c r="BN240" s="2692" t="s">
        <v>110</v>
      </c>
      <c r="BO240" s="2693"/>
      <c r="BP240" s="2694">
        <f t="shared" ref="BP240" si="580">BO245/((36*3.1415/59)*(78/3.281))</f>
        <v>0</v>
      </c>
      <c r="BQ240" s="2694"/>
      <c r="BR240" s="2695"/>
      <c r="BS240" s="2692" t="s">
        <v>110</v>
      </c>
      <c r="BT240" s="2693"/>
      <c r="BU240" s="2694">
        <f t="shared" ref="BU240" si="581">BT245/((36*3.1415/59)*(78/3.281))</f>
        <v>0</v>
      </c>
      <c r="BV240" s="2694"/>
      <c r="BW240" s="2695"/>
      <c r="BX240" s="2692" t="s">
        <v>110</v>
      </c>
      <c r="BY240" s="2693"/>
      <c r="BZ240" s="2694">
        <f t="shared" ref="BZ240" si="582">BY245/((36*3.1415/59)*(78/3.281))</f>
        <v>0</v>
      </c>
      <c r="CA240" s="2694"/>
      <c r="CB240" s="2695"/>
      <c r="DO240" s="709"/>
      <c r="DP240" s="709"/>
      <c r="DQ240" s="709"/>
      <c r="DR240" s="52"/>
      <c r="DS240" s="49"/>
      <c r="DT240" s="49"/>
      <c r="DU240" s="49"/>
      <c r="DV240" s="49"/>
      <c r="DW240" s="49"/>
      <c r="DX240" s="49"/>
      <c r="DY240" s="49"/>
      <c r="DZ240" s="49"/>
      <c r="EA240" s="49"/>
      <c r="EB240" s="49"/>
      <c r="EC240" s="49"/>
      <c r="ED240" s="49"/>
      <c r="EE240" s="49"/>
      <c r="EF240" s="705"/>
      <c r="EG240" s="705"/>
      <c r="EH240" s="705"/>
      <c r="EI240" s="705"/>
      <c r="EJ240" s="705"/>
      <c r="EK240" s="705"/>
      <c r="EL240" s="705"/>
      <c r="EM240" s="705"/>
      <c r="EN240" s="705"/>
      <c r="EO240" s="705"/>
      <c r="EP240" s="705"/>
      <c r="EQ240" s="705"/>
      <c r="ER240" s="706"/>
      <c r="ES240" s="706"/>
      <c r="ET240" s="706"/>
      <c r="EU240" s="706"/>
      <c r="EV240" s="706"/>
      <c r="EW240" s="706"/>
      <c r="EX240" s="706"/>
      <c r="EY240" s="706"/>
      <c r="EZ240" s="706"/>
      <c r="FA240" s="706"/>
      <c r="FB240" s="706"/>
      <c r="FC240" s="707"/>
      <c r="FD240" s="707"/>
      <c r="FE240" s="707"/>
      <c r="FF240" s="707"/>
      <c r="FG240" s="707"/>
      <c r="FH240" s="707"/>
      <c r="FI240" s="707"/>
      <c r="FJ240" s="707"/>
      <c r="FK240" s="707"/>
      <c r="FL240" s="707"/>
      <c r="FM240" s="707"/>
      <c r="FN240" s="707"/>
      <c r="FO240" s="699"/>
      <c r="FP240" s="699"/>
      <c r="FQ240" s="699"/>
      <c r="FR240" s="699"/>
      <c r="FS240" s="699"/>
      <c r="FT240" s="699"/>
      <c r="FU240" s="699"/>
      <c r="FV240" s="699"/>
      <c r="FW240" s="699"/>
      <c r="FX240" s="699"/>
      <c r="FY240" s="699"/>
      <c r="FZ240" s="699"/>
    </row>
    <row r="241" spans="1:135" ht="11.25" customHeight="1" x14ac:dyDescent="0.25">
      <c r="A241" s="2702" t="s">
        <v>25</v>
      </c>
      <c r="B241" s="2703"/>
      <c r="C241" s="2703"/>
      <c r="D241" s="2686" t="s">
        <v>706</v>
      </c>
      <c r="E241" s="2687"/>
      <c r="F241" s="2702" t="s">
        <v>25</v>
      </c>
      <c r="G241" s="2703"/>
      <c r="H241" s="2703"/>
      <c r="I241" s="2686" t="s">
        <v>706</v>
      </c>
      <c r="J241" s="2687"/>
      <c r="K241" s="2702" t="s">
        <v>25</v>
      </c>
      <c r="L241" s="2703"/>
      <c r="M241" s="2703"/>
      <c r="N241" s="2686" t="s">
        <v>706</v>
      </c>
      <c r="O241" s="2687"/>
      <c r="P241" s="2702" t="s">
        <v>25</v>
      </c>
      <c r="Q241" s="2703"/>
      <c r="R241" s="2703"/>
      <c r="S241" s="2686" t="s">
        <v>706</v>
      </c>
      <c r="T241" s="2687"/>
      <c r="U241" s="2724" t="s">
        <v>25</v>
      </c>
      <c r="V241" s="2725"/>
      <c r="W241" s="2725"/>
      <c r="X241" s="2696" t="s">
        <v>706</v>
      </c>
      <c r="Y241" s="2697"/>
      <c r="Z241" s="2702" t="s">
        <v>25</v>
      </c>
      <c r="AA241" s="2703"/>
      <c r="AB241" s="2703"/>
      <c r="AC241" s="2686" t="s">
        <v>706</v>
      </c>
      <c r="AD241" s="2687"/>
      <c r="AE241" s="2702" t="s">
        <v>25</v>
      </c>
      <c r="AF241" s="2703"/>
      <c r="AG241" s="2703"/>
      <c r="AH241" s="2686" t="s">
        <v>706</v>
      </c>
      <c r="AI241" s="2687"/>
      <c r="AJ241" s="2702" t="s">
        <v>25</v>
      </c>
      <c r="AK241" s="2703"/>
      <c r="AL241" s="2703"/>
      <c r="AM241" s="2686" t="s">
        <v>706</v>
      </c>
      <c r="AN241" s="2687"/>
      <c r="AO241" s="2702" t="s">
        <v>25</v>
      </c>
      <c r="AP241" s="2703"/>
      <c r="AQ241" s="2703"/>
      <c r="AR241" s="2686" t="s">
        <v>706</v>
      </c>
      <c r="AS241" s="2687"/>
      <c r="AT241" s="2702" t="s">
        <v>25</v>
      </c>
      <c r="AU241" s="2703"/>
      <c r="AV241" s="2703"/>
      <c r="AW241" s="2686" t="s">
        <v>706</v>
      </c>
      <c r="AX241" s="2687"/>
      <c r="AY241" s="2702" t="s">
        <v>25</v>
      </c>
      <c r="AZ241" s="2703"/>
      <c r="BA241" s="2703"/>
      <c r="BB241" s="2686" t="s">
        <v>706</v>
      </c>
      <c r="BC241" s="2687"/>
      <c r="BD241" s="2702" t="s">
        <v>25</v>
      </c>
      <c r="BE241" s="2703"/>
      <c r="BF241" s="2703"/>
      <c r="BG241" s="2686" t="s">
        <v>706</v>
      </c>
      <c r="BH241" s="2687"/>
      <c r="BI241" s="2702" t="s">
        <v>25</v>
      </c>
      <c r="BJ241" s="2703"/>
      <c r="BK241" s="2703"/>
      <c r="BL241" s="2686" t="s">
        <v>706</v>
      </c>
      <c r="BM241" s="2687"/>
      <c r="BN241" s="2702" t="s">
        <v>25</v>
      </c>
      <c r="BO241" s="2703"/>
      <c r="BP241" s="2703"/>
      <c r="BQ241" s="2686" t="s">
        <v>706</v>
      </c>
      <c r="BR241" s="2687"/>
      <c r="BS241" s="2702" t="s">
        <v>25</v>
      </c>
      <c r="BT241" s="2703"/>
      <c r="BU241" s="2703"/>
      <c r="BV241" s="2686" t="s">
        <v>706</v>
      </c>
      <c r="BW241" s="2687"/>
      <c r="BX241" s="2702" t="s">
        <v>25</v>
      </c>
      <c r="BY241" s="2703"/>
      <c r="BZ241" s="2703"/>
      <c r="CA241" s="2686" t="s">
        <v>706</v>
      </c>
      <c r="CB241" s="2687"/>
    </row>
    <row r="242" spans="1:135" ht="11.25" customHeight="1" x14ac:dyDescent="0.25">
      <c r="A242" s="2704"/>
      <c r="B242" s="2705"/>
      <c r="C242" s="2705"/>
      <c r="D242" s="2688"/>
      <c r="E242" s="2689"/>
      <c r="F242" s="2704"/>
      <c r="G242" s="2705"/>
      <c r="H242" s="2705"/>
      <c r="I242" s="2688"/>
      <c r="J242" s="2689"/>
      <c r="K242" s="2704"/>
      <c r="L242" s="2705"/>
      <c r="M242" s="2705"/>
      <c r="N242" s="2688"/>
      <c r="O242" s="2689"/>
      <c r="P242" s="2704"/>
      <c r="Q242" s="2705"/>
      <c r="R242" s="2705"/>
      <c r="S242" s="2688"/>
      <c r="T242" s="2689"/>
      <c r="U242" s="2726"/>
      <c r="V242" s="2727"/>
      <c r="W242" s="2727"/>
      <c r="X242" s="2698"/>
      <c r="Y242" s="2699"/>
      <c r="Z242" s="2704"/>
      <c r="AA242" s="2705"/>
      <c r="AB242" s="2705"/>
      <c r="AC242" s="2688"/>
      <c r="AD242" s="2689"/>
      <c r="AE242" s="2704"/>
      <c r="AF242" s="2705"/>
      <c r="AG242" s="2705"/>
      <c r="AH242" s="2688"/>
      <c r="AI242" s="2689"/>
      <c r="AJ242" s="2704"/>
      <c r="AK242" s="2705"/>
      <c r="AL242" s="2705"/>
      <c r="AM242" s="2688"/>
      <c r="AN242" s="2689"/>
      <c r="AO242" s="2704"/>
      <c r="AP242" s="2705"/>
      <c r="AQ242" s="2705"/>
      <c r="AR242" s="2688"/>
      <c r="AS242" s="2689"/>
      <c r="AT242" s="2704"/>
      <c r="AU242" s="2705"/>
      <c r="AV242" s="2705"/>
      <c r="AW242" s="2688"/>
      <c r="AX242" s="2689"/>
      <c r="AY242" s="2704"/>
      <c r="AZ242" s="2705"/>
      <c r="BA242" s="2705"/>
      <c r="BB242" s="2688"/>
      <c r="BC242" s="2689"/>
      <c r="BD242" s="2704"/>
      <c r="BE242" s="2705"/>
      <c r="BF242" s="2705"/>
      <c r="BG242" s="2688"/>
      <c r="BH242" s="2689"/>
      <c r="BI242" s="2704"/>
      <c r="BJ242" s="2705"/>
      <c r="BK242" s="2705"/>
      <c r="BL242" s="2688"/>
      <c r="BM242" s="2689"/>
      <c r="BN242" s="2704"/>
      <c r="BO242" s="2705"/>
      <c r="BP242" s="2705"/>
      <c r="BQ242" s="2688"/>
      <c r="BR242" s="2689"/>
      <c r="BS242" s="2704"/>
      <c r="BT242" s="2705"/>
      <c r="BU242" s="2705"/>
      <c r="BV242" s="2688"/>
      <c r="BW242" s="2689"/>
      <c r="BX242" s="2704"/>
      <c r="BY242" s="2705"/>
      <c r="BZ242" s="2705"/>
      <c r="CA242" s="2688"/>
      <c r="CB242" s="2689"/>
    </row>
    <row r="243" spans="1:135" ht="11.25" customHeight="1" x14ac:dyDescent="0.25">
      <c r="A243" s="2706"/>
      <c r="B243" s="2707"/>
      <c r="C243" s="2707"/>
      <c r="D243" s="2690"/>
      <c r="E243" s="2691"/>
      <c r="F243" s="2706"/>
      <c r="G243" s="2707"/>
      <c r="H243" s="2707"/>
      <c r="I243" s="2690"/>
      <c r="J243" s="2691"/>
      <c r="K243" s="2706"/>
      <c r="L243" s="2707"/>
      <c r="M243" s="2707"/>
      <c r="N243" s="2690"/>
      <c r="O243" s="2691"/>
      <c r="P243" s="2706"/>
      <c r="Q243" s="2707"/>
      <c r="R243" s="2707"/>
      <c r="S243" s="2690"/>
      <c r="T243" s="2691"/>
      <c r="U243" s="2728"/>
      <c r="V243" s="2729"/>
      <c r="W243" s="2729"/>
      <c r="X243" s="2700"/>
      <c r="Y243" s="2701"/>
      <c r="Z243" s="2706"/>
      <c r="AA243" s="2707"/>
      <c r="AB243" s="2707"/>
      <c r="AC243" s="2690"/>
      <c r="AD243" s="2691"/>
      <c r="AE243" s="2706"/>
      <c r="AF243" s="2707"/>
      <c r="AG243" s="2707"/>
      <c r="AH243" s="2690"/>
      <c r="AI243" s="2691"/>
      <c r="AJ243" s="2706"/>
      <c r="AK243" s="2707"/>
      <c r="AL243" s="2707"/>
      <c r="AM243" s="2690"/>
      <c r="AN243" s="2691"/>
      <c r="AO243" s="2706"/>
      <c r="AP243" s="2707"/>
      <c r="AQ243" s="2707"/>
      <c r="AR243" s="2690"/>
      <c r="AS243" s="2691"/>
      <c r="AT243" s="2706"/>
      <c r="AU243" s="2707"/>
      <c r="AV243" s="2707"/>
      <c r="AW243" s="2690"/>
      <c r="AX243" s="2691"/>
      <c r="AY243" s="2706"/>
      <c r="AZ243" s="2707"/>
      <c r="BA243" s="2707"/>
      <c r="BB243" s="2690"/>
      <c r="BC243" s="2691"/>
      <c r="BD243" s="2706"/>
      <c r="BE243" s="2707"/>
      <c r="BF243" s="2707"/>
      <c r="BG243" s="2690"/>
      <c r="BH243" s="2691"/>
      <c r="BI243" s="2706"/>
      <c r="BJ243" s="2707"/>
      <c r="BK243" s="2707"/>
      <c r="BL243" s="2690"/>
      <c r="BM243" s="2691"/>
      <c r="BN243" s="2706"/>
      <c r="BO243" s="2707"/>
      <c r="BP243" s="2707"/>
      <c r="BQ243" s="2690"/>
      <c r="BR243" s="2691"/>
      <c r="BS243" s="2706"/>
      <c r="BT243" s="2707"/>
      <c r="BU243" s="2707"/>
      <c r="BV243" s="2690"/>
      <c r="BW243" s="2691"/>
      <c r="BX243" s="2706"/>
      <c r="BY243" s="2707"/>
      <c r="BZ243" s="2707"/>
      <c r="CA243" s="2690"/>
      <c r="CB243" s="2691"/>
    </row>
    <row r="244" spans="1:135" s="535" customFormat="1" ht="111.75" customHeight="1" x14ac:dyDescent="1.35">
      <c r="A244" s="2708" t="s">
        <v>728</v>
      </c>
      <c r="B244" s="2681">
        <v>67</v>
      </c>
      <c r="C244" s="2682"/>
      <c r="D244" s="2682"/>
      <c r="E244" s="2683"/>
      <c r="F244" s="2708" t="s">
        <v>728</v>
      </c>
      <c r="G244" s="2681">
        <v>68</v>
      </c>
      <c r="H244" s="2682"/>
      <c r="I244" s="2682"/>
      <c r="J244" s="2683"/>
      <c r="K244" s="2708" t="s">
        <v>728</v>
      </c>
      <c r="L244" s="2681">
        <v>69</v>
      </c>
      <c r="M244" s="2682"/>
      <c r="N244" s="2682"/>
      <c r="O244" s="2683"/>
      <c r="P244" s="2708" t="s">
        <v>728</v>
      </c>
      <c r="Q244" s="2681">
        <v>70</v>
      </c>
      <c r="R244" s="2682"/>
      <c r="S244" s="2682"/>
      <c r="T244" s="2683"/>
      <c r="U244" s="2708" t="s">
        <v>728</v>
      </c>
      <c r="V244" s="2828">
        <v>71</v>
      </c>
      <c r="W244" s="2829"/>
      <c r="X244" s="2829"/>
      <c r="Y244" s="2830"/>
      <c r="Z244" s="2708" t="s">
        <v>728</v>
      </c>
      <c r="AA244" s="2681">
        <v>72</v>
      </c>
      <c r="AB244" s="2682"/>
      <c r="AC244" s="2682"/>
      <c r="AD244" s="2683"/>
      <c r="AE244" s="2708" t="s">
        <v>728</v>
      </c>
      <c r="AF244" s="2828">
        <v>73</v>
      </c>
      <c r="AG244" s="2829"/>
      <c r="AH244" s="2829"/>
      <c r="AI244" s="2830"/>
      <c r="AJ244" s="2708" t="s">
        <v>728</v>
      </c>
      <c r="AK244" s="2681">
        <v>74</v>
      </c>
      <c r="AL244" s="2682"/>
      <c r="AM244" s="2682"/>
      <c r="AN244" s="2683"/>
      <c r="AO244" s="2708" t="s">
        <v>728</v>
      </c>
      <c r="AP244" s="2828">
        <v>75</v>
      </c>
      <c r="AQ244" s="2829"/>
      <c r="AR244" s="2829"/>
      <c r="AS244" s="2830"/>
      <c r="AT244" s="2708" t="s">
        <v>728</v>
      </c>
      <c r="AU244" s="2681">
        <v>76</v>
      </c>
      <c r="AV244" s="2682"/>
      <c r="AW244" s="2682"/>
      <c r="AX244" s="2683"/>
      <c r="AY244" s="2708" t="s">
        <v>728</v>
      </c>
      <c r="AZ244" s="2681">
        <v>77</v>
      </c>
      <c r="BA244" s="2682"/>
      <c r="BB244" s="2682"/>
      <c r="BC244" s="2683"/>
      <c r="BD244" s="2708" t="s">
        <v>728</v>
      </c>
      <c r="BE244" s="2681">
        <v>78</v>
      </c>
      <c r="BF244" s="2682"/>
      <c r="BG244" s="2682"/>
      <c r="BH244" s="2683"/>
      <c r="BI244" s="2708" t="s">
        <v>728</v>
      </c>
      <c r="BJ244" s="2681">
        <v>79</v>
      </c>
      <c r="BK244" s="2682"/>
      <c r="BL244" s="2682"/>
      <c r="BM244" s="2683"/>
      <c r="BN244" s="2708" t="s">
        <v>728</v>
      </c>
      <c r="BO244" s="2681">
        <v>80</v>
      </c>
      <c r="BP244" s="2682"/>
      <c r="BQ244" s="2682"/>
      <c r="BR244" s="2683"/>
      <c r="BS244" s="2708" t="s">
        <v>728</v>
      </c>
      <c r="BT244" s="2681">
        <v>81</v>
      </c>
      <c r="BU244" s="2682"/>
      <c r="BV244" s="2682"/>
      <c r="BW244" s="2683"/>
      <c r="BX244" s="2708" t="s">
        <v>728</v>
      </c>
      <c r="BY244" s="2681">
        <v>82</v>
      </c>
      <c r="BZ244" s="2682"/>
      <c r="CA244" s="2682"/>
      <c r="CB244" s="2683"/>
    </row>
    <row r="245" spans="1:135" ht="50.25" customHeight="1" thickBot="1" x14ac:dyDescent="0.3">
      <c r="A245" s="2709"/>
      <c r="B245" s="518"/>
      <c r="C245" s="519" t="s">
        <v>113</v>
      </c>
      <c r="D245" s="520"/>
      <c r="E245" s="523" t="s">
        <v>114</v>
      </c>
      <c r="F245" s="2709"/>
      <c r="G245" s="518"/>
      <c r="H245" s="519" t="s">
        <v>113</v>
      </c>
      <c r="I245" s="520"/>
      <c r="J245" s="523" t="s">
        <v>114</v>
      </c>
      <c r="K245" s="2709"/>
      <c r="L245" s="518"/>
      <c r="M245" s="519" t="s">
        <v>113</v>
      </c>
      <c r="N245" s="520"/>
      <c r="O245" s="523" t="s">
        <v>114</v>
      </c>
      <c r="P245" s="2709"/>
      <c r="Q245" s="518"/>
      <c r="R245" s="519" t="s">
        <v>113</v>
      </c>
      <c r="S245" s="520"/>
      <c r="T245" s="523" t="s">
        <v>114</v>
      </c>
      <c r="U245" s="2709"/>
      <c r="V245" s="518">
        <v>0.254</v>
      </c>
      <c r="W245" s="519" t="s">
        <v>113</v>
      </c>
      <c r="X245" s="520"/>
      <c r="Y245" s="523" t="s">
        <v>114</v>
      </c>
      <c r="Z245" s="2709"/>
      <c r="AA245" s="518"/>
      <c r="AB245" s="519" t="s">
        <v>113</v>
      </c>
      <c r="AC245" s="520"/>
      <c r="AD245" s="523" t="s">
        <v>114</v>
      </c>
      <c r="AE245" s="2709"/>
      <c r="AF245" s="518">
        <v>0.71120000000000005</v>
      </c>
      <c r="AG245" s="519" t="s">
        <v>113</v>
      </c>
      <c r="AH245" s="520"/>
      <c r="AI245" s="523" t="s">
        <v>114</v>
      </c>
      <c r="AJ245" s="2709"/>
      <c r="AK245" s="518"/>
      <c r="AL245" s="519" t="s">
        <v>113</v>
      </c>
      <c r="AM245" s="520"/>
      <c r="AN245" s="523" t="s">
        <v>114</v>
      </c>
      <c r="AO245" s="2709"/>
      <c r="AP245" s="518">
        <v>0.50800000000000001</v>
      </c>
      <c r="AQ245" s="519" t="s">
        <v>113</v>
      </c>
      <c r="AR245" s="520"/>
      <c r="AS245" s="523" t="s">
        <v>114</v>
      </c>
      <c r="AT245" s="2709"/>
      <c r="AU245" s="518"/>
      <c r="AV245" s="519" t="s">
        <v>113</v>
      </c>
      <c r="AW245" s="520"/>
      <c r="AX245" s="523" t="s">
        <v>114</v>
      </c>
      <c r="AY245" s="2709"/>
      <c r="AZ245" s="518"/>
      <c r="BA245" s="519" t="s">
        <v>113</v>
      </c>
      <c r="BB245" s="520"/>
      <c r="BC245" s="523" t="s">
        <v>114</v>
      </c>
      <c r="BD245" s="2709"/>
      <c r="BE245" s="518"/>
      <c r="BF245" s="519" t="s">
        <v>113</v>
      </c>
      <c r="BG245" s="520"/>
      <c r="BH245" s="523" t="s">
        <v>114</v>
      </c>
      <c r="BI245" s="2709"/>
      <c r="BJ245" s="518"/>
      <c r="BK245" s="519" t="s">
        <v>113</v>
      </c>
      <c r="BL245" s="520"/>
      <c r="BM245" s="523" t="s">
        <v>114</v>
      </c>
      <c r="BN245" s="2709"/>
      <c r="BO245" s="518"/>
      <c r="BP245" s="519" t="s">
        <v>113</v>
      </c>
      <c r="BQ245" s="520"/>
      <c r="BR245" s="523" t="s">
        <v>114</v>
      </c>
      <c r="BS245" s="2709"/>
      <c r="BT245" s="518"/>
      <c r="BU245" s="519" t="s">
        <v>113</v>
      </c>
      <c r="BV245" s="520"/>
      <c r="BW245" s="523" t="s">
        <v>114</v>
      </c>
      <c r="BX245" s="2709"/>
      <c r="BY245" s="518"/>
      <c r="BZ245" s="519" t="s">
        <v>113</v>
      </c>
      <c r="CA245" s="520"/>
      <c r="CB245" s="523" t="s">
        <v>114</v>
      </c>
    </row>
    <row r="246" spans="1:135" ht="57" customHeight="1" thickTop="1" x14ac:dyDescent="0.25">
      <c r="A246" s="2692" t="s">
        <v>110</v>
      </c>
      <c r="B246" s="2693"/>
      <c r="C246" s="2694">
        <f t="shared" ref="C246" si="583">B251/((36*3.1415/59)*(78/3.281))</f>
        <v>0</v>
      </c>
      <c r="D246" s="2694"/>
      <c r="E246" s="2695"/>
      <c r="F246" s="2692" t="s">
        <v>110</v>
      </c>
      <c r="G246" s="2693"/>
      <c r="H246" s="2694">
        <f t="shared" ref="H246" si="584">G251/((36*3.1415/59)*(78/3.281))</f>
        <v>2.1944418371284517E-13</v>
      </c>
      <c r="I246" s="2694"/>
      <c r="J246" s="2695"/>
      <c r="K246" s="2692" t="s">
        <v>110</v>
      </c>
      <c r="L246" s="2693"/>
      <c r="M246" s="2694">
        <f t="shared" ref="M246" si="585">L251/((36*3.1415/59)*(78/3.281))</f>
        <v>0</v>
      </c>
      <c r="N246" s="2694"/>
      <c r="O246" s="2695"/>
      <c r="P246" s="2692" t="s">
        <v>110</v>
      </c>
      <c r="Q246" s="2693"/>
      <c r="R246" s="2694">
        <f t="shared" ref="R246" si="586">Q251/((36*3.1415/59)*(78/3.281))</f>
        <v>3.9017175864143874E-3</v>
      </c>
      <c r="S246" s="2694"/>
      <c r="T246" s="2695"/>
      <c r="U246" s="2692" t="s">
        <v>110</v>
      </c>
      <c r="V246" s="2693"/>
      <c r="W246" s="2694">
        <f t="shared" ref="W246" si="587">V251/((36*3.1415/59)*(78/3.281))</f>
        <v>0</v>
      </c>
      <c r="X246" s="2694"/>
      <c r="Y246" s="2695"/>
      <c r="Z246" s="2692" t="s">
        <v>110</v>
      </c>
      <c r="AA246" s="2693"/>
      <c r="AB246" s="2694">
        <f t="shared" ref="AB246" si="588">AA251/((36*3.1415/59)*(78/3.281))</f>
        <v>0</v>
      </c>
      <c r="AC246" s="2694"/>
      <c r="AD246" s="2695"/>
      <c r="AE246" s="2679" t="s">
        <v>110</v>
      </c>
      <c r="AF246" s="2680"/>
      <c r="AG246" s="2670">
        <f>AF251/((36*3.1415/59)*(79/3.281))</f>
        <v>0</v>
      </c>
      <c r="AH246" s="2670"/>
      <c r="AI246" s="2671"/>
      <c r="AJ246" s="2679" t="s">
        <v>110</v>
      </c>
      <c r="AK246" s="2680"/>
      <c r="AL246" s="2670">
        <f t="shared" ref="AL246" si="589">AK251/((36*3.1415/59)*(79/3.281))</f>
        <v>0</v>
      </c>
      <c r="AM246" s="2670"/>
      <c r="AN246" s="2671"/>
      <c r="AO246" s="2679" t="s">
        <v>110</v>
      </c>
      <c r="AP246" s="2680"/>
      <c r="AQ246" s="2670">
        <f t="shared" ref="AQ246" si="590">AP251/((36*3.1415/59)*(79/3.281))</f>
        <v>0</v>
      </c>
      <c r="AR246" s="2670"/>
      <c r="AS246" s="2671"/>
      <c r="AT246" s="2679" t="s">
        <v>110</v>
      </c>
      <c r="AU246" s="2680"/>
      <c r="AV246" s="2670">
        <f t="shared" ref="AV246" si="591">AU251/((36*3.1415/59)*(79/3.281))</f>
        <v>0</v>
      </c>
      <c r="AW246" s="2670"/>
      <c r="AX246" s="2671"/>
      <c r="AY246" s="2679" t="s">
        <v>110</v>
      </c>
      <c r="AZ246" s="2680"/>
      <c r="BA246" s="2670">
        <f t="shared" ref="BA246" si="592">AZ251/((36*3.1415/59)*(79/3.281))</f>
        <v>0</v>
      </c>
      <c r="BB246" s="2670"/>
      <c r="BC246" s="2671"/>
      <c r="BD246" s="2679" t="s">
        <v>110</v>
      </c>
      <c r="BE246" s="2680"/>
      <c r="BF246" s="2670">
        <f t="shared" ref="BF246" si="593">BE251/((36*3.1415/59)*(79/3.281))</f>
        <v>0</v>
      </c>
      <c r="BG246" s="2670"/>
      <c r="BH246" s="2671"/>
      <c r="BI246" s="2679" t="s">
        <v>110</v>
      </c>
      <c r="BJ246" s="2680"/>
      <c r="BK246" s="2670">
        <f t="shared" ref="BK246" si="594">BJ251/((36*3.1415/59)*(79/3.281))</f>
        <v>0</v>
      </c>
      <c r="BL246" s="2670"/>
      <c r="BM246" s="2671"/>
      <c r="BN246" s="2679" t="s">
        <v>110</v>
      </c>
      <c r="BO246" s="2680"/>
      <c r="BP246" s="2670">
        <f t="shared" ref="BP246" si="595">BO251/((36*3.1415/59)*(79/3.281))</f>
        <v>0</v>
      </c>
      <c r="BQ246" s="2670"/>
      <c r="BR246" s="2671"/>
      <c r="BS246" s="2679" t="s">
        <v>110</v>
      </c>
      <c r="BT246" s="2680"/>
      <c r="BU246" s="2670">
        <f t="shared" ref="BU246" si="596">BT251/((36*3.1415/59)*(79/3.281))</f>
        <v>0</v>
      </c>
      <c r="BV246" s="2670"/>
      <c r="BW246" s="2671"/>
      <c r="BX246" s="2679" t="s">
        <v>110</v>
      </c>
      <c r="BY246" s="2680"/>
      <c r="BZ246" s="2670">
        <f t="shared" ref="BZ246" si="597">BY251/((36*3.1415/59)*(79/3.281))</f>
        <v>0</v>
      </c>
      <c r="CA246" s="2670"/>
      <c r="CB246" s="2671"/>
      <c r="DR246" s="52"/>
      <c r="DS246" s="49"/>
      <c r="DT246" s="49"/>
      <c r="DU246" s="49"/>
      <c r="DV246" s="49"/>
      <c r="DW246" s="49"/>
      <c r="DX246" s="49"/>
      <c r="DY246" s="49"/>
      <c r="DZ246" s="49"/>
      <c r="EA246" s="49"/>
      <c r="EB246" s="49"/>
      <c r="EC246" s="49"/>
      <c r="ED246" s="49"/>
      <c r="EE246" s="49"/>
    </row>
    <row r="247" spans="1:135" ht="11.25" customHeight="1" x14ac:dyDescent="0.25">
      <c r="A247" s="2702" t="s">
        <v>25</v>
      </c>
      <c r="B247" s="2703"/>
      <c r="C247" s="2703"/>
      <c r="D247" s="2686" t="s">
        <v>706</v>
      </c>
      <c r="E247" s="2687"/>
      <c r="F247" s="2702" t="s">
        <v>25</v>
      </c>
      <c r="G247" s="2703"/>
      <c r="H247" s="2703"/>
      <c r="I247" s="2686" t="s">
        <v>706</v>
      </c>
      <c r="J247" s="2687"/>
      <c r="K247" s="2702" t="s">
        <v>25</v>
      </c>
      <c r="L247" s="2703"/>
      <c r="M247" s="2703"/>
      <c r="N247" s="2686" t="s">
        <v>706</v>
      </c>
      <c r="O247" s="2687"/>
      <c r="P247" s="2702" t="s">
        <v>25</v>
      </c>
      <c r="Q247" s="2703"/>
      <c r="R247" s="2703"/>
      <c r="S247" s="2686" t="s">
        <v>706</v>
      </c>
      <c r="T247" s="2687"/>
      <c r="U247" s="2702" t="s">
        <v>25</v>
      </c>
      <c r="V247" s="2703"/>
      <c r="W247" s="2703"/>
      <c r="X247" s="2686" t="s">
        <v>706</v>
      </c>
      <c r="Y247" s="2687"/>
      <c r="Z247" s="2702" t="s">
        <v>25</v>
      </c>
      <c r="AA247" s="2703"/>
      <c r="AB247" s="2703"/>
      <c r="AC247" s="2686" t="s">
        <v>706</v>
      </c>
      <c r="AD247" s="2687"/>
      <c r="AE247" s="2663" t="s">
        <v>25</v>
      </c>
      <c r="AF247" s="2664"/>
      <c r="AG247" s="2664"/>
      <c r="AH247" s="2673" t="s">
        <v>706</v>
      </c>
      <c r="AI247" s="2674"/>
      <c r="AJ247" s="2663" t="s">
        <v>25</v>
      </c>
      <c r="AK247" s="2664"/>
      <c r="AL247" s="2664"/>
      <c r="AM247" s="2673" t="s">
        <v>706</v>
      </c>
      <c r="AN247" s="2674"/>
      <c r="AO247" s="2663" t="s">
        <v>25</v>
      </c>
      <c r="AP247" s="2664"/>
      <c r="AQ247" s="2664"/>
      <c r="AR247" s="2673" t="s">
        <v>706</v>
      </c>
      <c r="AS247" s="2674"/>
      <c r="AT247" s="2663" t="s">
        <v>25</v>
      </c>
      <c r="AU247" s="2664"/>
      <c r="AV247" s="2664"/>
      <c r="AW247" s="2673" t="s">
        <v>706</v>
      </c>
      <c r="AX247" s="2674"/>
      <c r="AY247" s="2663" t="s">
        <v>25</v>
      </c>
      <c r="AZ247" s="2664"/>
      <c r="BA247" s="2664"/>
      <c r="BB247" s="2673" t="s">
        <v>706</v>
      </c>
      <c r="BC247" s="2674"/>
      <c r="BD247" s="2663" t="s">
        <v>25</v>
      </c>
      <c r="BE247" s="2664"/>
      <c r="BF247" s="2664"/>
      <c r="BG247" s="2673" t="s">
        <v>706</v>
      </c>
      <c r="BH247" s="2674"/>
      <c r="BI247" s="2663" t="s">
        <v>25</v>
      </c>
      <c r="BJ247" s="2664"/>
      <c r="BK247" s="2664"/>
      <c r="BL247" s="2673" t="s">
        <v>706</v>
      </c>
      <c r="BM247" s="2674"/>
      <c r="BN247" s="2663" t="s">
        <v>25</v>
      </c>
      <c r="BO247" s="2664"/>
      <c r="BP247" s="2664"/>
      <c r="BQ247" s="2673" t="s">
        <v>706</v>
      </c>
      <c r="BR247" s="2674"/>
      <c r="BS247" s="2663" t="s">
        <v>25</v>
      </c>
      <c r="BT247" s="2664"/>
      <c r="BU247" s="2664"/>
      <c r="BV247" s="2673" t="s">
        <v>706</v>
      </c>
      <c r="BW247" s="2674"/>
      <c r="BX247" s="2663" t="s">
        <v>25</v>
      </c>
      <c r="BY247" s="2664"/>
      <c r="BZ247" s="2664"/>
      <c r="CA247" s="2673" t="s">
        <v>706</v>
      </c>
      <c r="CB247" s="2674"/>
    </row>
    <row r="248" spans="1:135" ht="11.25" customHeight="1" x14ac:dyDescent="0.25">
      <c r="A248" s="2704"/>
      <c r="B248" s="2705"/>
      <c r="C248" s="2705"/>
      <c r="D248" s="2688"/>
      <c r="E248" s="2689"/>
      <c r="F248" s="2704"/>
      <c r="G248" s="2705"/>
      <c r="H248" s="2705"/>
      <c r="I248" s="2688"/>
      <c r="J248" s="2689"/>
      <c r="K248" s="2704"/>
      <c r="L248" s="2705"/>
      <c r="M248" s="2705"/>
      <c r="N248" s="2688"/>
      <c r="O248" s="2689"/>
      <c r="P248" s="2704"/>
      <c r="Q248" s="2705"/>
      <c r="R248" s="2705"/>
      <c r="S248" s="2688"/>
      <c r="T248" s="2689"/>
      <c r="U248" s="2704"/>
      <c r="V248" s="2705"/>
      <c r="W248" s="2705"/>
      <c r="X248" s="2688"/>
      <c r="Y248" s="2689"/>
      <c r="Z248" s="2704"/>
      <c r="AA248" s="2705"/>
      <c r="AB248" s="2705"/>
      <c r="AC248" s="2688"/>
      <c r="AD248" s="2689"/>
      <c r="AE248" s="2665"/>
      <c r="AF248" s="2666"/>
      <c r="AG248" s="2666"/>
      <c r="AH248" s="2675"/>
      <c r="AI248" s="2676"/>
      <c r="AJ248" s="2665"/>
      <c r="AK248" s="2666"/>
      <c r="AL248" s="2666"/>
      <c r="AM248" s="2675"/>
      <c r="AN248" s="2676"/>
      <c r="AO248" s="2665"/>
      <c r="AP248" s="2666"/>
      <c r="AQ248" s="2666"/>
      <c r="AR248" s="2675"/>
      <c r="AS248" s="2676"/>
      <c r="AT248" s="2665"/>
      <c r="AU248" s="2666"/>
      <c r="AV248" s="2666"/>
      <c r="AW248" s="2675"/>
      <c r="AX248" s="2676"/>
      <c r="AY248" s="2665"/>
      <c r="AZ248" s="2666"/>
      <c r="BA248" s="2666"/>
      <c r="BB248" s="2675"/>
      <c r="BC248" s="2676"/>
      <c r="BD248" s="2665"/>
      <c r="BE248" s="2666"/>
      <c r="BF248" s="2666"/>
      <c r="BG248" s="2675"/>
      <c r="BH248" s="2676"/>
      <c r="BI248" s="2665"/>
      <c r="BJ248" s="2666"/>
      <c r="BK248" s="2666"/>
      <c r="BL248" s="2675"/>
      <c r="BM248" s="2676"/>
      <c r="BN248" s="2665"/>
      <c r="BO248" s="2666"/>
      <c r="BP248" s="2666"/>
      <c r="BQ248" s="2675"/>
      <c r="BR248" s="2676"/>
      <c r="BS248" s="2665"/>
      <c r="BT248" s="2666"/>
      <c r="BU248" s="2666"/>
      <c r="BV248" s="2675"/>
      <c r="BW248" s="2676"/>
      <c r="BX248" s="2665"/>
      <c r="BY248" s="2666"/>
      <c r="BZ248" s="2666"/>
      <c r="CA248" s="2675"/>
      <c r="CB248" s="2676"/>
    </row>
    <row r="249" spans="1:135" ht="11.25" customHeight="1" x14ac:dyDescent="0.25">
      <c r="A249" s="2706"/>
      <c r="B249" s="2707"/>
      <c r="C249" s="2707"/>
      <c r="D249" s="2690"/>
      <c r="E249" s="2691"/>
      <c r="F249" s="2706"/>
      <c r="G249" s="2707"/>
      <c r="H249" s="2707"/>
      <c r="I249" s="2690"/>
      <c r="J249" s="2691"/>
      <c r="K249" s="2706"/>
      <c r="L249" s="2707"/>
      <c r="M249" s="2707"/>
      <c r="N249" s="2690"/>
      <c r="O249" s="2691"/>
      <c r="P249" s="2706"/>
      <c r="Q249" s="2707"/>
      <c r="R249" s="2707"/>
      <c r="S249" s="2690"/>
      <c r="T249" s="2691"/>
      <c r="U249" s="2706"/>
      <c r="V249" s="2707"/>
      <c r="W249" s="2707"/>
      <c r="X249" s="2690"/>
      <c r="Y249" s="2691"/>
      <c r="Z249" s="2706"/>
      <c r="AA249" s="2707"/>
      <c r="AB249" s="2707"/>
      <c r="AC249" s="2690"/>
      <c r="AD249" s="2691"/>
      <c r="AE249" s="2667"/>
      <c r="AF249" s="2668"/>
      <c r="AG249" s="2668"/>
      <c r="AH249" s="2677"/>
      <c r="AI249" s="2678"/>
      <c r="AJ249" s="2667"/>
      <c r="AK249" s="2668"/>
      <c r="AL249" s="2668"/>
      <c r="AM249" s="2677"/>
      <c r="AN249" s="2678"/>
      <c r="AO249" s="2667"/>
      <c r="AP249" s="2668"/>
      <c r="AQ249" s="2668"/>
      <c r="AR249" s="2677"/>
      <c r="AS249" s="2678"/>
      <c r="AT249" s="2667"/>
      <c r="AU249" s="2668"/>
      <c r="AV249" s="2668"/>
      <c r="AW249" s="2677"/>
      <c r="AX249" s="2678"/>
      <c r="AY249" s="2667"/>
      <c r="AZ249" s="2668"/>
      <c r="BA249" s="2668"/>
      <c r="BB249" s="2677"/>
      <c r="BC249" s="2678"/>
      <c r="BD249" s="2667"/>
      <c r="BE249" s="2668"/>
      <c r="BF249" s="2668"/>
      <c r="BG249" s="2677"/>
      <c r="BH249" s="2678"/>
      <c r="BI249" s="2667"/>
      <c r="BJ249" s="2668"/>
      <c r="BK249" s="2668"/>
      <c r="BL249" s="2677"/>
      <c r="BM249" s="2678"/>
      <c r="BN249" s="2667"/>
      <c r="BO249" s="2668"/>
      <c r="BP249" s="2668"/>
      <c r="BQ249" s="2677"/>
      <c r="BR249" s="2678"/>
      <c r="BS249" s="2667"/>
      <c r="BT249" s="2668"/>
      <c r="BU249" s="2668"/>
      <c r="BV249" s="2677"/>
      <c r="BW249" s="2678"/>
      <c r="BX249" s="2667"/>
      <c r="BY249" s="2668"/>
      <c r="BZ249" s="2668"/>
      <c r="CA249" s="2677"/>
      <c r="CB249" s="2678"/>
    </row>
    <row r="250" spans="1:135" s="535" customFormat="1" ht="111.75" customHeight="1" x14ac:dyDescent="1.35">
      <c r="A250" s="2708" t="s">
        <v>728</v>
      </c>
      <c r="B250" s="2681">
        <v>83</v>
      </c>
      <c r="C250" s="2682"/>
      <c r="D250" s="2682"/>
      <c r="E250" s="2683"/>
      <c r="F250" s="2708" t="s">
        <v>728</v>
      </c>
      <c r="G250" s="2828">
        <v>84</v>
      </c>
      <c r="H250" s="2829"/>
      <c r="I250" s="2829"/>
      <c r="J250" s="2830"/>
      <c r="K250" s="2708" t="s">
        <v>728</v>
      </c>
      <c r="L250" s="2681">
        <v>85</v>
      </c>
      <c r="M250" s="2682"/>
      <c r="N250" s="2682"/>
      <c r="O250" s="2683"/>
      <c r="P250" s="2708" t="s">
        <v>728</v>
      </c>
      <c r="Q250" s="2828">
        <v>86</v>
      </c>
      <c r="R250" s="2829"/>
      <c r="S250" s="2829"/>
      <c r="T250" s="2830"/>
      <c r="U250" s="2708" t="s">
        <v>728</v>
      </c>
      <c r="V250" s="2681">
        <v>87</v>
      </c>
      <c r="W250" s="2682"/>
      <c r="X250" s="2682"/>
      <c r="Y250" s="2683"/>
      <c r="Z250" s="2708" t="s">
        <v>728</v>
      </c>
      <c r="AA250" s="2681">
        <v>88</v>
      </c>
      <c r="AB250" s="2682"/>
      <c r="AC250" s="2682"/>
      <c r="AD250" s="2683"/>
      <c r="AE250" s="2684" t="s">
        <v>673</v>
      </c>
      <c r="AF250" s="2681">
        <v>1</v>
      </c>
      <c r="AG250" s="2682"/>
      <c r="AH250" s="2682"/>
      <c r="AI250" s="2683"/>
      <c r="AJ250" s="2684" t="s">
        <v>673</v>
      </c>
      <c r="AK250" s="2681">
        <v>4</v>
      </c>
      <c r="AL250" s="2682"/>
      <c r="AM250" s="2682"/>
      <c r="AN250" s="2683"/>
      <c r="AO250" s="2684" t="s">
        <v>673</v>
      </c>
      <c r="AP250" s="2681">
        <v>5</v>
      </c>
      <c r="AQ250" s="2682"/>
      <c r="AR250" s="2682"/>
      <c r="AS250" s="2683"/>
      <c r="AT250" s="2684" t="s">
        <v>673</v>
      </c>
      <c r="AU250" s="2681">
        <v>6</v>
      </c>
      <c r="AV250" s="2682"/>
      <c r="AW250" s="2682"/>
      <c r="AX250" s="2683"/>
      <c r="AY250" s="2684" t="s">
        <v>673</v>
      </c>
      <c r="AZ250" s="2681">
        <v>7</v>
      </c>
      <c r="BA250" s="2682"/>
      <c r="BB250" s="2682"/>
      <c r="BC250" s="2683"/>
      <c r="BD250" s="2684" t="s">
        <v>673</v>
      </c>
      <c r="BE250" s="2681">
        <v>8</v>
      </c>
      <c r="BF250" s="2682"/>
      <c r="BG250" s="2682"/>
      <c r="BH250" s="2683"/>
      <c r="BI250" s="2684" t="s">
        <v>673</v>
      </c>
      <c r="BJ250" s="2681">
        <v>9</v>
      </c>
      <c r="BK250" s="2682"/>
      <c r="BL250" s="2682"/>
      <c r="BM250" s="2683"/>
      <c r="BN250" s="2684" t="s">
        <v>673</v>
      </c>
      <c r="BO250" s="2681">
        <v>10</v>
      </c>
      <c r="BP250" s="2682"/>
      <c r="BQ250" s="2682"/>
      <c r="BR250" s="2683"/>
      <c r="BS250" s="2684" t="s">
        <v>673</v>
      </c>
      <c r="BT250" s="2681">
        <v>11</v>
      </c>
      <c r="BU250" s="2682"/>
      <c r="BV250" s="2682"/>
      <c r="BW250" s="2683"/>
      <c r="BX250" s="2684" t="s">
        <v>673</v>
      </c>
      <c r="BY250" s="2681">
        <v>12</v>
      </c>
      <c r="BZ250" s="2682"/>
      <c r="CA250" s="2682"/>
      <c r="CB250" s="2683"/>
    </row>
    <row r="251" spans="1:135" ht="50.25" customHeight="1" thickBot="1" x14ac:dyDescent="0.3">
      <c r="A251" s="2709"/>
      <c r="B251" s="518"/>
      <c r="C251" s="519" t="s">
        <v>113</v>
      </c>
      <c r="D251" s="520"/>
      <c r="E251" s="523" t="s">
        <v>114</v>
      </c>
      <c r="F251" s="2709"/>
      <c r="G251" s="518">
        <v>9.9999999999999994E-12</v>
      </c>
      <c r="H251" s="519" t="s">
        <v>113</v>
      </c>
      <c r="I251" s="520"/>
      <c r="J251" s="523" t="s">
        <v>114</v>
      </c>
      <c r="K251" s="2709"/>
      <c r="L251" s="518"/>
      <c r="M251" s="519" t="s">
        <v>113</v>
      </c>
      <c r="N251" s="520"/>
      <c r="O251" s="523" t="s">
        <v>114</v>
      </c>
      <c r="P251" s="2709"/>
      <c r="Q251" s="518">
        <v>0.17780000000000001</v>
      </c>
      <c r="R251" s="519" t="s">
        <v>113</v>
      </c>
      <c r="S251" s="520"/>
      <c r="T251" s="523" t="s">
        <v>114</v>
      </c>
      <c r="U251" s="2709"/>
      <c r="V251" s="518"/>
      <c r="W251" s="519" t="s">
        <v>113</v>
      </c>
      <c r="X251" s="520"/>
      <c r="Y251" s="523" t="s">
        <v>114</v>
      </c>
      <c r="Z251" s="2709"/>
      <c r="AA251" s="518"/>
      <c r="AB251" s="519" t="s">
        <v>113</v>
      </c>
      <c r="AC251" s="520"/>
      <c r="AD251" s="523" t="s">
        <v>114</v>
      </c>
      <c r="AE251" s="2685"/>
      <c r="AF251" s="518"/>
      <c r="AG251" s="519" t="s">
        <v>113</v>
      </c>
      <c r="AH251" s="520"/>
      <c r="AI251" s="523" t="s">
        <v>114</v>
      </c>
      <c r="AJ251" s="2685"/>
      <c r="AK251" s="518"/>
      <c r="AL251" s="519" t="s">
        <v>113</v>
      </c>
      <c r="AM251" s="520"/>
      <c r="AN251" s="523" t="s">
        <v>114</v>
      </c>
      <c r="AO251" s="2685"/>
      <c r="AP251" s="518"/>
      <c r="AQ251" s="519" t="s">
        <v>113</v>
      </c>
      <c r="AR251" s="520"/>
      <c r="AS251" s="523" t="s">
        <v>114</v>
      </c>
      <c r="AT251" s="2685"/>
      <c r="AU251" s="518"/>
      <c r="AV251" s="519" t="s">
        <v>113</v>
      </c>
      <c r="AW251" s="520"/>
      <c r="AX251" s="523" t="s">
        <v>114</v>
      </c>
      <c r="AY251" s="2685"/>
      <c r="AZ251" s="518"/>
      <c r="BA251" s="519" t="s">
        <v>113</v>
      </c>
      <c r="BB251" s="520"/>
      <c r="BC251" s="523" t="s">
        <v>114</v>
      </c>
      <c r="BD251" s="2685"/>
      <c r="BE251" s="518"/>
      <c r="BF251" s="519" t="s">
        <v>113</v>
      </c>
      <c r="BG251" s="520"/>
      <c r="BH251" s="523" t="s">
        <v>114</v>
      </c>
      <c r="BI251" s="2685"/>
      <c r="BJ251" s="518"/>
      <c r="BK251" s="519" t="s">
        <v>113</v>
      </c>
      <c r="BL251" s="520"/>
      <c r="BM251" s="523" t="s">
        <v>114</v>
      </c>
      <c r="BN251" s="2685"/>
      <c r="BO251" s="518"/>
      <c r="BP251" s="519" t="s">
        <v>113</v>
      </c>
      <c r="BQ251" s="520"/>
      <c r="BR251" s="523" t="s">
        <v>114</v>
      </c>
      <c r="BS251" s="2685"/>
      <c r="BT251" s="518"/>
      <c r="BU251" s="519" t="s">
        <v>113</v>
      </c>
      <c r="BV251" s="520"/>
      <c r="BW251" s="523" t="s">
        <v>114</v>
      </c>
      <c r="BX251" s="2685"/>
      <c r="BY251" s="518"/>
      <c r="BZ251" s="519" t="s">
        <v>113</v>
      </c>
      <c r="CA251" s="520"/>
      <c r="CB251" s="523" t="s">
        <v>114</v>
      </c>
    </row>
    <row r="252" spans="1:135" ht="57" customHeight="1" thickTop="1" x14ac:dyDescent="0.25">
      <c r="A252" s="2679" t="s">
        <v>110</v>
      </c>
      <c r="B252" s="2680"/>
      <c r="C252" s="2670">
        <f t="shared" ref="C252" si="598">B257/((36*3.1415/59)*(79/3.281))</f>
        <v>0</v>
      </c>
      <c r="D252" s="2670"/>
      <c r="E252" s="2671"/>
      <c r="F252" s="2679" t="s">
        <v>110</v>
      </c>
      <c r="G252" s="2680"/>
      <c r="H252" s="2670">
        <f t="shared" ref="H252" si="599">G257/((36*3.1415/59)*(79/3.281))</f>
        <v>0</v>
      </c>
      <c r="I252" s="2670"/>
      <c r="J252" s="2671"/>
      <c r="K252" s="2679" t="s">
        <v>110</v>
      </c>
      <c r="L252" s="2680"/>
      <c r="M252" s="2670">
        <f t="shared" ref="M252" si="600">L257/((36*3.1415/59)*(79/3.281))</f>
        <v>0</v>
      </c>
      <c r="N252" s="2670"/>
      <c r="O252" s="2671"/>
      <c r="P252" s="2679" t="s">
        <v>110</v>
      </c>
      <c r="Q252" s="2680"/>
      <c r="R252" s="2670">
        <f t="shared" ref="R252" si="601">Q257/((36*3.1415/59)*(79/3.281))</f>
        <v>0</v>
      </c>
      <c r="S252" s="2670"/>
      <c r="T252" s="2671"/>
      <c r="U252" s="2679" t="s">
        <v>110</v>
      </c>
      <c r="V252" s="2680"/>
      <c r="W252" s="2670">
        <f t="shared" ref="W252" si="602">V257/((36*3.1415/59)*(79/3.281))</f>
        <v>0</v>
      </c>
      <c r="X252" s="2670"/>
      <c r="Y252" s="2671"/>
      <c r="Z252" s="2679" t="s">
        <v>110</v>
      </c>
      <c r="AA252" s="2680"/>
      <c r="AB252" s="2670">
        <f t="shared" ref="AB252" si="603">AA257/((36*3.1415/59)*(79/3.281))</f>
        <v>0</v>
      </c>
      <c r="AC252" s="2670"/>
      <c r="AD252" s="2671"/>
      <c r="AE252" s="2679" t="s">
        <v>110</v>
      </c>
      <c r="AF252" s="2680"/>
      <c r="AG252" s="2670">
        <f t="shared" ref="AG252" si="604">AF257/((36*3.1415/59)*(79/3.281))</f>
        <v>0</v>
      </c>
      <c r="AH252" s="2670"/>
      <c r="AI252" s="2671"/>
      <c r="AJ252" s="2679" t="s">
        <v>110</v>
      </c>
      <c r="AK252" s="2680"/>
      <c r="AL252" s="2670">
        <f t="shared" ref="AL252" si="605">AK257/((36*3.1415/59)*(79/3.281))</f>
        <v>0</v>
      </c>
      <c r="AM252" s="2670"/>
      <c r="AN252" s="2671"/>
      <c r="AO252" s="2679" t="s">
        <v>110</v>
      </c>
      <c r="AP252" s="2680"/>
      <c r="AQ252" s="2670">
        <f t="shared" ref="AQ252" si="606">AP257/((36*3.1415/59)*(79/3.281))</f>
        <v>0</v>
      </c>
      <c r="AR252" s="2670"/>
      <c r="AS252" s="2671"/>
      <c r="AT252" s="2679" t="s">
        <v>110</v>
      </c>
      <c r="AU252" s="2680"/>
      <c r="AV252" s="2670">
        <f t="shared" ref="AV252" si="607">AU257/((36*3.1415/59)*(79/3.281))</f>
        <v>0</v>
      </c>
      <c r="AW252" s="2670"/>
      <c r="AX252" s="2671"/>
      <c r="AY252" s="2679" t="s">
        <v>110</v>
      </c>
      <c r="AZ252" s="2680"/>
      <c r="BA252" s="2670">
        <f t="shared" ref="BA252" si="608">AZ257/((36*3.1415/59)*(79/3.281))</f>
        <v>0</v>
      </c>
      <c r="BB252" s="2670"/>
      <c r="BC252" s="2671"/>
      <c r="BD252" s="2679" t="s">
        <v>110</v>
      </c>
      <c r="BE252" s="2680"/>
      <c r="BF252" s="2670">
        <f t="shared" ref="BF252" si="609">BE257/((36*3.1415/59)*(79/3.281))</f>
        <v>2.6966301293446265E-2</v>
      </c>
      <c r="BG252" s="2670"/>
      <c r="BH252" s="2671"/>
      <c r="BI252" s="2679" t="s">
        <v>110</v>
      </c>
      <c r="BJ252" s="2680"/>
      <c r="BK252" s="2670">
        <f t="shared" ref="BK252" si="610">BJ257/((36*3.1415/59)*(79/3.281))</f>
        <v>0</v>
      </c>
      <c r="BL252" s="2670"/>
      <c r="BM252" s="2671"/>
      <c r="BN252" s="2679" t="s">
        <v>110</v>
      </c>
      <c r="BO252" s="2680"/>
      <c r="BP252" s="2670">
        <f t="shared" ref="BP252" si="611">BO257/((36*3.1415/59)*(79/3.281))</f>
        <v>0</v>
      </c>
      <c r="BQ252" s="2670"/>
      <c r="BR252" s="2671"/>
      <c r="BS252" s="2679" t="s">
        <v>110</v>
      </c>
      <c r="BT252" s="2680"/>
      <c r="BU252" s="2670">
        <f t="shared" ref="BU252" si="612">BT257/((36*3.1415/59)*(79/3.281))</f>
        <v>0</v>
      </c>
      <c r="BV252" s="2670"/>
      <c r="BW252" s="2671"/>
      <c r="BX252" s="2679" t="s">
        <v>110</v>
      </c>
      <c r="BY252" s="2680"/>
      <c r="BZ252" s="2670">
        <f t="shared" ref="BZ252" si="613">BY257/((36*3.1415/59)*(79/3.281))</f>
        <v>0</v>
      </c>
      <c r="CA252" s="2670"/>
      <c r="CB252" s="2671"/>
      <c r="DR252" s="52"/>
      <c r="DS252" s="49"/>
      <c r="DT252" s="49"/>
      <c r="DU252" s="49"/>
      <c r="DV252" s="49"/>
      <c r="DW252" s="49"/>
      <c r="DX252" s="49"/>
      <c r="DY252" s="49"/>
      <c r="DZ252" s="49"/>
      <c r="EA252" s="49"/>
      <c r="EB252" s="49"/>
      <c r="EC252" s="49"/>
      <c r="ED252" s="49"/>
      <c r="EE252" s="49"/>
    </row>
    <row r="253" spans="1:135" ht="11.25" customHeight="1" x14ac:dyDescent="0.25">
      <c r="A253" s="2663" t="s">
        <v>25</v>
      </c>
      <c r="B253" s="2664"/>
      <c r="C253" s="2664"/>
      <c r="D253" s="2673" t="s">
        <v>706</v>
      </c>
      <c r="E253" s="2674"/>
      <c r="F253" s="2663" t="s">
        <v>25</v>
      </c>
      <c r="G253" s="2664"/>
      <c r="H253" s="2664"/>
      <c r="I253" s="2673" t="s">
        <v>706</v>
      </c>
      <c r="J253" s="2674"/>
      <c r="K253" s="2663" t="s">
        <v>25</v>
      </c>
      <c r="L253" s="2664"/>
      <c r="M253" s="2664"/>
      <c r="N253" s="2673" t="s">
        <v>706</v>
      </c>
      <c r="O253" s="2674"/>
      <c r="P253" s="2663" t="s">
        <v>25</v>
      </c>
      <c r="Q253" s="2664"/>
      <c r="R253" s="2664"/>
      <c r="S253" s="2673" t="s">
        <v>706</v>
      </c>
      <c r="T253" s="2674"/>
      <c r="U253" s="2663" t="s">
        <v>25</v>
      </c>
      <c r="V253" s="2664"/>
      <c r="W253" s="2664"/>
      <c r="X253" s="2673" t="s">
        <v>706</v>
      </c>
      <c r="Y253" s="2674"/>
      <c r="Z253" s="2663" t="s">
        <v>25</v>
      </c>
      <c r="AA253" s="2664"/>
      <c r="AB253" s="2664"/>
      <c r="AC253" s="2673" t="s">
        <v>706</v>
      </c>
      <c r="AD253" s="2674"/>
      <c r="AE253" s="2663" t="s">
        <v>25</v>
      </c>
      <c r="AF253" s="2664"/>
      <c r="AG253" s="2664"/>
      <c r="AH253" s="2673" t="s">
        <v>706</v>
      </c>
      <c r="AI253" s="2674"/>
      <c r="AJ253" s="2663" t="s">
        <v>25</v>
      </c>
      <c r="AK253" s="2664"/>
      <c r="AL253" s="2664"/>
      <c r="AM253" s="2673" t="s">
        <v>706</v>
      </c>
      <c r="AN253" s="2674"/>
      <c r="AO253" s="2663" t="s">
        <v>25</v>
      </c>
      <c r="AP253" s="2664"/>
      <c r="AQ253" s="2664"/>
      <c r="AR253" s="2673" t="s">
        <v>706</v>
      </c>
      <c r="AS253" s="2674"/>
      <c r="AT253" s="2663" t="s">
        <v>25</v>
      </c>
      <c r="AU253" s="2664"/>
      <c r="AV253" s="2664"/>
      <c r="AW253" s="2673" t="s">
        <v>706</v>
      </c>
      <c r="AX253" s="2674"/>
      <c r="AY253" s="2663" t="s">
        <v>25</v>
      </c>
      <c r="AZ253" s="2664"/>
      <c r="BA253" s="2664"/>
      <c r="BB253" s="2673" t="s">
        <v>706</v>
      </c>
      <c r="BC253" s="2674"/>
      <c r="BD253" s="2663" t="s">
        <v>25</v>
      </c>
      <c r="BE253" s="2664"/>
      <c r="BF253" s="2664"/>
      <c r="BG253" s="2673" t="s">
        <v>706</v>
      </c>
      <c r="BH253" s="2674"/>
      <c r="BI253" s="2663" t="s">
        <v>25</v>
      </c>
      <c r="BJ253" s="2664"/>
      <c r="BK253" s="2664"/>
      <c r="BL253" s="2673" t="s">
        <v>706</v>
      </c>
      <c r="BM253" s="2674"/>
      <c r="BN253" s="2663" t="s">
        <v>25</v>
      </c>
      <c r="BO253" s="2664"/>
      <c r="BP253" s="2664"/>
      <c r="BQ253" s="2673" t="s">
        <v>706</v>
      </c>
      <c r="BR253" s="2674"/>
      <c r="BS253" s="2663" t="s">
        <v>25</v>
      </c>
      <c r="BT253" s="2664"/>
      <c r="BU253" s="2664"/>
      <c r="BV253" s="2673" t="s">
        <v>706</v>
      </c>
      <c r="BW253" s="2674"/>
      <c r="BX253" s="2663" t="s">
        <v>25</v>
      </c>
      <c r="BY253" s="2664"/>
      <c r="BZ253" s="2664"/>
      <c r="CA253" s="2673" t="s">
        <v>706</v>
      </c>
      <c r="CB253" s="2674"/>
    </row>
    <row r="254" spans="1:135" ht="11.25" customHeight="1" x14ac:dyDescent="0.25">
      <c r="A254" s="2665"/>
      <c r="B254" s="2666"/>
      <c r="C254" s="2666"/>
      <c r="D254" s="2675"/>
      <c r="E254" s="2676"/>
      <c r="F254" s="2665"/>
      <c r="G254" s="2666"/>
      <c r="H254" s="2666"/>
      <c r="I254" s="2675"/>
      <c r="J254" s="2676"/>
      <c r="K254" s="2665"/>
      <c r="L254" s="2666"/>
      <c r="M254" s="2666"/>
      <c r="N254" s="2675"/>
      <c r="O254" s="2676"/>
      <c r="P254" s="2665"/>
      <c r="Q254" s="2666"/>
      <c r="R254" s="2666"/>
      <c r="S254" s="2675"/>
      <c r="T254" s="2676"/>
      <c r="U254" s="2665"/>
      <c r="V254" s="2666"/>
      <c r="W254" s="2666"/>
      <c r="X254" s="2675"/>
      <c r="Y254" s="2676"/>
      <c r="Z254" s="2665"/>
      <c r="AA254" s="2666"/>
      <c r="AB254" s="2666"/>
      <c r="AC254" s="2675"/>
      <c r="AD254" s="2676"/>
      <c r="AE254" s="2665"/>
      <c r="AF254" s="2666"/>
      <c r="AG254" s="2666"/>
      <c r="AH254" s="2675"/>
      <c r="AI254" s="2676"/>
      <c r="AJ254" s="2665"/>
      <c r="AK254" s="2666"/>
      <c r="AL254" s="2666"/>
      <c r="AM254" s="2675"/>
      <c r="AN254" s="2676"/>
      <c r="AO254" s="2665"/>
      <c r="AP254" s="2666"/>
      <c r="AQ254" s="2666"/>
      <c r="AR254" s="2675"/>
      <c r="AS254" s="2676"/>
      <c r="AT254" s="2665"/>
      <c r="AU254" s="2666"/>
      <c r="AV254" s="2666"/>
      <c r="AW254" s="2675"/>
      <c r="AX254" s="2676"/>
      <c r="AY254" s="2665"/>
      <c r="AZ254" s="2666"/>
      <c r="BA254" s="2666"/>
      <c r="BB254" s="2675"/>
      <c r="BC254" s="2676"/>
      <c r="BD254" s="2665"/>
      <c r="BE254" s="2666"/>
      <c r="BF254" s="2666"/>
      <c r="BG254" s="2675"/>
      <c r="BH254" s="2676"/>
      <c r="BI254" s="2665"/>
      <c r="BJ254" s="2666"/>
      <c r="BK254" s="2666"/>
      <c r="BL254" s="2675"/>
      <c r="BM254" s="2676"/>
      <c r="BN254" s="2665"/>
      <c r="BO254" s="2666"/>
      <c r="BP254" s="2666"/>
      <c r="BQ254" s="2675"/>
      <c r="BR254" s="2676"/>
      <c r="BS254" s="2665"/>
      <c r="BT254" s="2666"/>
      <c r="BU254" s="2666"/>
      <c r="BV254" s="2675"/>
      <c r="BW254" s="2676"/>
      <c r="BX254" s="2665"/>
      <c r="BY254" s="2666"/>
      <c r="BZ254" s="2666"/>
      <c r="CA254" s="2675"/>
      <c r="CB254" s="2676"/>
    </row>
    <row r="255" spans="1:135" ht="11.25" customHeight="1" x14ac:dyDescent="0.25">
      <c r="A255" s="2667"/>
      <c r="B255" s="2668"/>
      <c r="C255" s="2668"/>
      <c r="D255" s="2677"/>
      <c r="E255" s="2678"/>
      <c r="F255" s="2667"/>
      <c r="G255" s="2668"/>
      <c r="H255" s="2668"/>
      <c r="I255" s="2677"/>
      <c r="J255" s="2678"/>
      <c r="K255" s="2667"/>
      <c r="L255" s="2668"/>
      <c r="M255" s="2668"/>
      <c r="N255" s="2677"/>
      <c r="O255" s="2678"/>
      <c r="P255" s="2667"/>
      <c r="Q255" s="2668"/>
      <c r="R255" s="2668"/>
      <c r="S255" s="2677"/>
      <c r="T255" s="2678"/>
      <c r="U255" s="2667"/>
      <c r="V255" s="2668"/>
      <c r="W255" s="2668"/>
      <c r="X255" s="2677"/>
      <c r="Y255" s="2678"/>
      <c r="Z255" s="2667"/>
      <c r="AA255" s="2668"/>
      <c r="AB255" s="2668"/>
      <c r="AC255" s="2677"/>
      <c r="AD255" s="2678"/>
      <c r="AE255" s="2667"/>
      <c r="AF255" s="2668"/>
      <c r="AG255" s="2668"/>
      <c r="AH255" s="2677"/>
      <c r="AI255" s="2678"/>
      <c r="AJ255" s="2667"/>
      <c r="AK255" s="2668"/>
      <c r="AL255" s="2668"/>
      <c r="AM255" s="2677"/>
      <c r="AN255" s="2678"/>
      <c r="AO255" s="2667"/>
      <c r="AP255" s="2668"/>
      <c r="AQ255" s="2668"/>
      <c r="AR255" s="2677"/>
      <c r="AS255" s="2678"/>
      <c r="AT255" s="2667"/>
      <c r="AU255" s="2668"/>
      <c r="AV255" s="2668"/>
      <c r="AW255" s="2677"/>
      <c r="AX255" s="2678"/>
      <c r="AY255" s="2667"/>
      <c r="AZ255" s="2668"/>
      <c r="BA255" s="2668"/>
      <c r="BB255" s="2677"/>
      <c r="BC255" s="2678"/>
      <c r="BD255" s="2667"/>
      <c r="BE255" s="2668"/>
      <c r="BF255" s="2668"/>
      <c r="BG255" s="2677"/>
      <c r="BH255" s="2678"/>
      <c r="BI255" s="2667"/>
      <c r="BJ255" s="2668"/>
      <c r="BK255" s="2668"/>
      <c r="BL255" s="2677"/>
      <c r="BM255" s="2678"/>
      <c r="BN255" s="2667"/>
      <c r="BO255" s="2668"/>
      <c r="BP255" s="2668"/>
      <c r="BQ255" s="2677"/>
      <c r="BR255" s="2678"/>
      <c r="BS255" s="2667"/>
      <c r="BT255" s="2668"/>
      <c r="BU255" s="2668"/>
      <c r="BV255" s="2677"/>
      <c r="BW255" s="2678"/>
      <c r="BX255" s="2667"/>
      <c r="BY255" s="2668"/>
      <c r="BZ255" s="2668"/>
      <c r="CA255" s="2677"/>
      <c r="CB255" s="2678"/>
    </row>
    <row r="256" spans="1:135" s="22" customFormat="1" ht="111.75" customHeight="1" x14ac:dyDescent="1.35">
      <c r="A256" s="2684" t="s">
        <v>673</v>
      </c>
      <c r="B256" s="2681">
        <v>13</v>
      </c>
      <c r="C256" s="2682"/>
      <c r="D256" s="2682"/>
      <c r="E256" s="2683"/>
      <c r="F256" s="2684" t="s">
        <v>673</v>
      </c>
      <c r="G256" s="2681">
        <v>14</v>
      </c>
      <c r="H256" s="2682"/>
      <c r="I256" s="2682"/>
      <c r="J256" s="2683"/>
      <c r="K256" s="2684" t="s">
        <v>673</v>
      </c>
      <c r="L256" s="2681">
        <v>15</v>
      </c>
      <c r="M256" s="2682"/>
      <c r="N256" s="2682"/>
      <c r="O256" s="2683"/>
      <c r="P256" s="2684" t="s">
        <v>673</v>
      </c>
      <c r="Q256" s="2681">
        <v>16</v>
      </c>
      <c r="R256" s="2682"/>
      <c r="S256" s="2682"/>
      <c r="T256" s="2683"/>
      <c r="U256" s="2684" t="s">
        <v>673</v>
      </c>
      <c r="V256" s="2681">
        <v>17</v>
      </c>
      <c r="W256" s="2682"/>
      <c r="X256" s="2682"/>
      <c r="Y256" s="2683"/>
      <c r="Z256" s="2684" t="s">
        <v>673</v>
      </c>
      <c r="AA256" s="2681">
        <v>18</v>
      </c>
      <c r="AB256" s="2682"/>
      <c r="AC256" s="2682"/>
      <c r="AD256" s="2683"/>
      <c r="AE256" s="2684" t="s">
        <v>673</v>
      </c>
      <c r="AF256" s="2681">
        <v>19</v>
      </c>
      <c r="AG256" s="2682"/>
      <c r="AH256" s="2682"/>
      <c r="AI256" s="2683"/>
      <c r="AJ256" s="2684" t="s">
        <v>673</v>
      </c>
      <c r="AK256" s="2681">
        <v>20</v>
      </c>
      <c r="AL256" s="2682"/>
      <c r="AM256" s="2682"/>
      <c r="AN256" s="2683"/>
      <c r="AO256" s="2684" t="s">
        <v>673</v>
      </c>
      <c r="AP256" s="2681">
        <v>21</v>
      </c>
      <c r="AQ256" s="2682"/>
      <c r="AR256" s="2682"/>
      <c r="AS256" s="2683"/>
      <c r="AT256" s="2684" t="s">
        <v>673</v>
      </c>
      <c r="AU256" s="2681">
        <v>22</v>
      </c>
      <c r="AV256" s="2682"/>
      <c r="AW256" s="2682"/>
      <c r="AX256" s="2683"/>
      <c r="AY256" s="2684" t="s">
        <v>673</v>
      </c>
      <c r="AZ256" s="2681">
        <v>23</v>
      </c>
      <c r="BA256" s="2682"/>
      <c r="BB256" s="2682"/>
      <c r="BC256" s="2683"/>
      <c r="BD256" s="2684" t="s">
        <v>673</v>
      </c>
      <c r="BE256" s="2828">
        <v>24</v>
      </c>
      <c r="BF256" s="2829"/>
      <c r="BG256" s="2829"/>
      <c r="BH256" s="2830"/>
      <c r="BI256" s="2684" t="s">
        <v>673</v>
      </c>
      <c r="BJ256" s="2681">
        <v>25</v>
      </c>
      <c r="BK256" s="2682"/>
      <c r="BL256" s="2682"/>
      <c r="BM256" s="2683"/>
      <c r="BN256" s="2684" t="s">
        <v>673</v>
      </c>
      <c r="BO256" s="2681">
        <v>26</v>
      </c>
      <c r="BP256" s="2682"/>
      <c r="BQ256" s="2682"/>
      <c r="BR256" s="2683"/>
      <c r="BS256" s="2684" t="s">
        <v>673</v>
      </c>
      <c r="BT256" s="2681">
        <v>27</v>
      </c>
      <c r="BU256" s="2682"/>
      <c r="BV256" s="2682"/>
      <c r="BW256" s="2683"/>
      <c r="BX256" s="2684" t="s">
        <v>673</v>
      </c>
      <c r="BY256" s="2681">
        <v>28</v>
      </c>
      <c r="BZ256" s="2682"/>
      <c r="CA256" s="2682"/>
      <c r="CB256" s="2683"/>
    </row>
    <row r="257" spans="1:135" ht="50.25" customHeight="1" thickBot="1" x14ac:dyDescent="0.3">
      <c r="A257" s="2685"/>
      <c r="B257" s="518"/>
      <c r="C257" s="519" t="s">
        <v>113</v>
      </c>
      <c r="D257" s="520"/>
      <c r="E257" s="523" t="s">
        <v>114</v>
      </c>
      <c r="F257" s="2685"/>
      <c r="G257" s="518"/>
      <c r="H257" s="519" t="s">
        <v>113</v>
      </c>
      <c r="I257" s="520"/>
      <c r="J257" s="523" t="s">
        <v>114</v>
      </c>
      <c r="K257" s="2685"/>
      <c r="L257" s="518"/>
      <c r="M257" s="519" t="s">
        <v>113</v>
      </c>
      <c r="N257" s="520"/>
      <c r="O257" s="523" t="s">
        <v>114</v>
      </c>
      <c r="P257" s="2685"/>
      <c r="Q257" s="518"/>
      <c r="R257" s="519" t="s">
        <v>113</v>
      </c>
      <c r="S257" s="520"/>
      <c r="T257" s="523" t="s">
        <v>114</v>
      </c>
      <c r="U257" s="2685"/>
      <c r="V257" s="518"/>
      <c r="W257" s="519" t="s">
        <v>113</v>
      </c>
      <c r="X257" s="520"/>
      <c r="Y257" s="523" t="s">
        <v>114</v>
      </c>
      <c r="Z257" s="2685"/>
      <c r="AA257" s="518"/>
      <c r="AB257" s="519" t="s">
        <v>113</v>
      </c>
      <c r="AC257" s="520"/>
      <c r="AD257" s="523" t="s">
        <v>114</v>
      </c>
      <c r="AE257" s="2685"/>
      <c r="AF257" s="518"/>
      <c r="AG257" s="519" t="s">
        <v>113</v>
      </c>
      <c r="AH257" s="520"/>
      <c r="AI257" s="523" t="s">
        <v>114</v>
      </c>
      <c r="AJ257" s="2685"/>
      <c r="AK257" s="518"/>
      <c r="AL257" s="519" t="s">
        <v>113</v>
      </c>
      <c r="AM257" s="520"/>
      <c r="AN257" s="523" t="s">
        <v>114</v>
      </c>
      <c r="AO257" s="2685"/>
      <c r="AP257" s="518"/>
      <c r="AQ257" s="519" t="s">
        <v>113</v>
      </c>
      <c r="AR257" s="520"/>
      <c r="AS257" s="523" t="s">
        <v>114</v>
      </c>
      <c r="AT257" s="2685"/>
      <c r="AU257" s="518"/>
      <c r="AV257" s="519" t="s">
        <v>113</v>
      </c>
      <c r="AW257" s="520"/>
      <c r="AX257" s="523" t="s">
        <v>114</v>
      </c>
      <c r="AY257" s="2685"/>
      <c r="AZ257" s="518"/>
      <c r="BA257" s="519" t="s">
        <v>113</v>
      </c>
      <c r="BB257" s="520"/>
      <c r="BC257" s="523" t="s">
        <v>114</v>
      </c>
      <c r="BD257" s="2685"/>
      <c r="BE257" s="518">
        <v>1.2445999999999999</v>
      </c>
      <c r="BF257" s="519" t="s">
        <v>113</v>
      </c>
      <c r="BG257" s="520">
        <v>1</v>
      </c>
      <c r="BH257" s="523" t="s">
        <v>114</v>
      </c>
      <c r="BI257" s="2685"/>
      <c r="BJ257" s="518"/>
      <c r="BK257" s="519" t="s">
        <v>113</v>
      </c>
      <c r="BL257" s="520"/>
      <c r="BM257" s="523" t="s">
        <v>114</v>
      </c>
      <c r="BN257" s="2685"/>
      <c r="BO257" s="518"/>
      <c r="BP257" s="519" t="s">
        <v>113</v>
      </c>
      <c r="BQ257" s="520"/>
      <c r="BR257" s="523" t="s">
        <v>114</v>
      </c>
      <c r="BS257" s="2685"/>
      <c r="BT257" s="518"/>
      <c r="BU257" s="519" t="s">
        <v>113</v>
      </c>
      <c r="BV257" s="520"/>
      <c r="BW257" s="523" t="s">
        <v>114</v>
      </c>
      <c r="BX257" s="2685"/>
      <c r="BY257" s="518"/>
      <c r="BZ257" s="519" t="s">
        <v>113</v>
      </c>
      <c r="CA257" s="520"/>
      <c r="CB257" s="523" t="s">
        <v>114</v>
      </c>
    </row>
    <row r="258" spans="1:135" ht="57" customHeight="1" thickTop="1" x14ac:dyDescent="0.25">
      <c r="A258" s="2679" t="s">
        <v>110</v>
      </c>
      <c r="B258" s="2680"/>
      <c r="C258" s="2670">
        <f t="shared" ref="C258" si="614">B263/((36*3.1415/59)*(79/3.281))</f>
        <v>0</v>
      </c>
      <c r="D258" s="2670"/>
      <c r="E258" s="2671"/>
      <c r="F258" s="2679" t="s">
        <v>110</v>
      </c>
      <c r="G258" s="2680"/>
      <c r="H258" s="2670">
        <f t="shared" ref="H258" si="615">G263/((36*3.1415/59)*(79/3.281))</f>
        <v>0</v>
      </c>
      <c r="I258" s="2670"/>
      <c r="J258" s="2671"/>
      <c r="K258" s="2679" t="s">
        <v>110</v>
      </c>
      <c r="L258" s="2680"/>
      <c r="M258" s="2670">
        <f t="shared" ref="M258" si="616">L263/((36*3.1415/59)*(79/3.281))</f>
        <v>0</v>
      </c>
      <c r="N258" s="2670"/>
      <c r="O258" s="2671"/>
      <c r="P258" s="2679" t="s">
        <v>110</v>
      </c>
      <c r="Q258" s="2680"/>
      <c r="R258" s="2670">
        <f t="shared" ref="R258" si="617">Q263/((36*3.1415/59)*(79/3.281))</f>
        <v>0</v>
      </c>
      <c r="S258" s="2670"/>
      <c r="T258" s="2671"/>
      <c r="U258" s="2679" t="s">
        <v>110</v>
      </c>
      <c r="V258" s="2680"/>
      <c r="W258" s="2670">
        <f t="shared" ref="W258" si="618">V263/((36*3.1415/59)*(79/3.281))</f>
        <v>0</v>
      </c>
      <c r="X258" s="2670"/>
      <c r="Y258" s="2671"/>
      <c r="Z258" s="2679" t="s">
        <v>110</v>
      </c>
      <c r="AA258" s="2680"/>
      <c r="AB258" s="2670">
        <f t="shared" ref="AB258" si="619">AA263/((36*3.1415/59)*(79/3.281))</f>
        <v>0</v>
      </c>
      <c r="AC258" s="2670"/>
      <c r="AD258" s="2671"/>
      <c r="AE258" s="2679" t="s">
        <v>110</v>
      </c>
      <c r="AF258" s="2680"/>
      <c r="AG258" s="2670">
        <f t="shared" ref="AG258" si="620">AF263/((36*3.1415/59)*(79/3.281))</f>
        <v>0</v>
      </c>
      <c r="AH258" s="2670"/>
      <c r="AI258" s="2671"/>
      <c r="AJ258" s="2679" t="s">
        <v>110</v>
      </c>
      <c r="AK258" s="2680"/>
      <c r="AL258" s="2670">
        <f t="shared" ref="AL258" si="621">AK263/((36*3.1415/59)*(79/3.281))</f>
        <v>0</v>
      </c>
      <c r="AM258" s="2670"/>
      <c r="AN258" s="2671"/>
      <c r="AO258" s="2679" t="s">
        <v>110</v>
      </c>
      <c r="AP258" s="2680"/>
      <c r="AQ258" s="2670">
        <f t="shared" ref="AQ258" si="622">AP263/((36*3.1415/59)*(79/3.281))</f>
        <v>0</v>
      </c>
      <c r="AR258" s="2670"/>
      <c r="AS258" s="2671"/>
      <c r="AT258" s="2679" t="s">
        <v>110</v>
      </c>
      <c r="AU258" s="2680"/>
      <c r="AV258" s="2670">
        <f t="shared" ref="AV258" si="623">AU263/((36*3.1415/59)*(79/3.281))</f>
        <v>2.1666640923546734E-13</v>
      </c>
      <c r="AW258" s="2670"/>
      <c r="AX258" s="2671"/>
      <c r="AY258" s="2679" t="s">
        <v>110</v>
      </c>
      <c r="AZ258" s="2680"/>
      <c r="BA258" s="2670">
        <f t="shared" ref="BA258" si="624">AZ263/((36*3.1415/59)*(79/3.281))</f>
        <v>0</v>
      </c>
      <c r="BB258" s="2670"/>
      <c r="BC258" s="2671"/>
      <c r="BD258" s="2679" t="s">
        <v>110</v>
      </c>
      <c r="BE258" s="2680"/>
      <c r="BF258" s="2670">
        <f t="shared" ref="BF258" si="625">BE263/((36*3.1415/59)*(79/3.281))</f>
        <v>1.0456320909703654E-2</v>
      </c>
      <c r="BG258" s="2670"/>
      <c r="BH258" s="2671"/>
      <c r="BI258" s="2679" t="s">
        <v>110</v>
      </c>
      <c r="BJ258" s="2680"/>
      <c r="BK258" s="2670">
        <f t="shared" ref="BK258" si="626">BJ263/((36*3.1415/59)*(79/3.281))</f>
        <v>1.8160978422116874E-2</v>
      </c>
      <c r="BL258" s="2670"/>
      <c r="BM258" s="2671"/>
      <c r="BN258" s="2679" t="s">
        <v>110</v>
      </c>
      <c r="BO258" s="2680"/>
      <c r="BP258" s="2670">
        <f t="shared" ref="BP258" si="627">BO263/((36*3.1415/59)*(79/3.281))</f>
        <v>2.1666640923546737E-11</v>
      </c>
      <c r="BQ258" s="2670"/>
      <c r="BR258" s="2671"/>
      <c r="BS258" s="2679" t="s">
        <v>110</v>
      </c>
      <c r="BT258" s="2680"/>
      <c r="BU258" s="2670">
        <f t="shared" ref="BU258" si="628">BT263/((36*3.1415/59)*(79/3.281))</f>
        <v>2.1666640923546737E-12</v>
      </c>
      <c r="BV258" s="2670"/>
      <c r="BW258" s="2671"/>
      <c r="BX258" s="2679" t="s">
        <v>110</v>
      </c>
      <c r="BY258" s="2680"/>
      <c r="BZ258" s="2670">
        <f t="shared" ref="BZ258" si="629">BY263/((36*3.1415/59)*(79/3.281))</f>
        <v>0</v>
      </c>
      <c r="CA258" s="2670"/>
      <c r="CB258" s="2671"/>
      <c r="DR258" s="52"/>
      <c r="DS258" s="49"/>
      <c r="DT258" s="49"/>
      <c r="DU258" s="49"/>
      <c r="DV258" s="49"/>
      <c r="DW258" s="49"/>
      <c r="DX258" s="49"/>
      <c r="DY258" s="49"/>
      <c r="DZ258" s="49"/>
      <c r="EA258" s="49"/>
      <c r="EB258" s="49"/>
      <c r="EC258" s="49"/>
      <c r="ED258" s="49"/>
      <c r="EE258" s="49"/>
    </row>
    <row r="259" spans="1:135" ht="11.25" customHeight="1" x14ac:dyDescent="0.25">
      <c r="A259" s="2663" t="s">
        <v>25</v>
      </c>
      <c r="B259" s="2664"/>
      <c r="C259" s="2664"/>
      <c r="D259" s="2673" t="s">
        <v>706</v>
      </c>
      <c r="E259" s="2674"/>
      <c r="F259" s="2663" t="s">
        <v>25</v>
      </c>
      <c r="G259" s="2664"/>
      <c r="H259" s="2664"/>
      <c r="I259" s="2673" t="s">
        <v>706</v>
      </c>
      <c r="J259" s="2674"/>
      <c r="K259" s="2663" t="s">
        <v>25</v>
      </c>
      <c r="L259" s="2664"/>
      <c r="M259" s="2664"/>
      <c r="N259" s="2673" t="s">
        <v>706</v>
      </c>
      <c r="O259" s="2674"/>
      <c r="P259" s="2663" t="s">
        <v>25</v>
      </c>
      <c r="Q259" s="2664"/>
      <c r="R259" s="2664"/>
      <c r="S259" s="2673" t="s">
        <v>706</v>
      </c>
      <c r="T259" s="2674"/>
      <c r="U259" s="2663" t="s">
        <v>25</v>
      </c>
      <c r="V259" s="2664"/>
      <c r="W259" s="2664"/>
      <c r="X259" s="2673" t="s">
        <v>706</v>
      </c>
      <c r="Y259" s="2674"/>
      <c r="Z259" s="2663" t="s">
        <v>25</v>
      </c>
      <c r="AA259" s="2664"/>
      <c r="AB259" s="2664"/>
      <c r="AC259" s="2673" t="s">
        <v>706</v>
      </c>
      <c r="AD259" s="2674"/>
      <c r="AE259" s="2663" t="s">
        <v>25</v>
      </c>
      <c r="AF259" s="2664"/>
      <c r="AG259" s="2664"/>
      <c r="AH259" s="2673" t="s">
        <v>706</v>
      </c>
      <c r="AI259" s="2674"/>
      <c r="AJ259" s="2663" t="s">
        <v>25</v>
      </c>
      <c r="AK259" s="2664"/>
      <c r="AL259" s="2664"/>
      <c r="AM259" s="2673" t="s">
        <v>706</v>
      </c>
      <c r="AN259" s="2674"/>
      <c r="AO259" s="2663" t="s">
        <v>25</v>
      </c>
      <c r="AP259" s="2664"/>
      <c r="AQ259" s="2664"/>
      <c r="AR259" s="2673" t="s">
        <v>706</v>
      </c>
      <c r="AS259" s="2674"/>
      <c r="AT259" s="2663" t="s">
        <v>25</v>
      </c>
      <c r="AU259" s="2664"/>
      <c r="AV259" s="2664"/>
      <c r="AW259" s="2673" t="s">
        <v>706</v>
      </c>
      <c r="AX259" s="2674"/>
      <c r="AY259" s="2663" t="s">
        <v>25</v>
      </c>
      <c r="AZ259" s="2664"/>
      <c r="BA259" s="2664"/>
      <c r="BB259" s="2673" t="s">
        <v>706</v>
      </c>
      <c r="BC259" s="2674"/>
      <c r="BD259" s="2663" t="s">
        <v>25</v>
      </c>
      <c r="BE259" s="2664"/>
      <c r="BF259" s="2664"/>
      <c r="BG259" s="2673" t="s">
        <v>706</v>
      </c>
      <c r="BH259" s="2674"/>
      <c r="BI259" s="2663" t="s">
        <v>25</v>
      </c>
      <c r="BJ259" s="2664"/>
      <c r="BK259" s="2664"/>
      <c r="BL259" s="2673" t="s">
        <v>706</v>
      </c>
      <c r="BM259" s="2674"/>
      <c r="BN259" s="2663" t="s">
        <v>25</v>
      </c>
      <c r="BO259" s="2664"/>
      <c r="BP259" s="2664"/>
      <c r="BQ259" s="2673" t="s">
        <v>706</v>
      </c>
      <c r="BR259" s="2674"/>
      <c r="BS259" s="2663" t="s">
        <v>25</v>
      </c>
      <c r="BT259" s="2664"/>
      <c r="BU259" s="2664"/>
      <c r="BV259" s="2673" t="s">
        <v>706</v>
      </c>
      <c r="BW259" s="2674"/>
      <c r="BX259" s="2663" t="s">
        <v>25</v>
      </c>
      <c r="BY259" s="2664"/>
      <c r="BZ259" s="2664"/>
      <c r="CA259" s="2673" t="s">
        <v>706</v>
      </c>
      <c r="CB259" s="2674"/>
    </row>
    <row r="260" spans="1:135" ht="11.25" customHeight="1" x14ac:dyDescent="0.25">
      <c r="A260" s="2665"/>
      <c r="B260" s="2666"/>
      <c r="C260" s="2666"/>
      <c r="D260" s="2675"/>
      <c r="E260" s="2676"/>
      <c r="F260" s="2665"/>
      <c r="G260" s="2666"/>
      <c r="H260" s="2666"/>
      <c r="I260" s="2675"/>
      <c r="J260" s="2676"/>
      <c r="K260" s="2665"/>
      <c r="L260" s="2666"/>
      <c r="M260" s="2666"/>
      <c r="N260" s="2675"/>
      <c r="O260" s="2676"/>
      <c r="P260" s="2665"/>
      <c r="Q260" s="2666"/>
      <c r="R260" s="2666"/>
      <c r="S260" s="2675"/>
      <c r="T260" s="2676"/>
      <c r="U260" s="2665"/>
      <c r="V260" s="2666"/>
      <c r="W260" s="2666"/>
      <c r="X260" s="2675"/>
      <c r="Y260" s="2676"/>
      <c r="Z260" s="2665"/>
      <c r="AA260" s="2666"/>
      <c r="AB260" s="2666"/>
      <c r="AC260" s="2675"/>
      <c r="AD260" s="2676"/>
      <c r="AE260" s="2665"/>
      <c r="AF260" s="2666"/>
      <c r="AG260" s="2666"/>
      <c r="AH260" s="2675"/>
      <c r="AI260" s="2676"/>
      <c r="AJ260" s="2665"/>
      <c r="AK260" s="2666"/>
      <c r="AL260" s="2666"/>
      <c r="AM260" s="2675"/>
      <c r="AN260" s="2676"/>
      <c r="AO260" s="2665"/>
      <c r="AP260" s="2666"/>
      <c r="AQ260" s="2666"/>
      <c r="AR260" s="2675"/>
      <c r="AS260" s="2676"/>
      <c r="AT260" s="2665"/>
      <c r="AU260" s="2666"/>
      <c r="AV260" s="2666"/>
      <c r="AW260" s="2675"/>
      <c r="AX260" s="2676"/>
      <c r="AY260" s="2665"/>
      <c r="AZ260" s="2666"/>
      <c r="BA260" s="2666"/>
      <c r="BB260" s="2675"/>
      <c r="BC260" s="2676"/>
      <c r="BD260" s="2665"/>
      <c r="BE260" s="2666"/>
      <c r="BF260" s="2666"/>
      <c r="BG260" s="2675"/>
      <c r="BH260" s="2676"/>
      <c r="BI260" s="2665"/>
      <c r="BJ260" s="2666"/>
      <c r="BK260" s="2666"/>
      <c r="BL260" s="2675"/>
      <c r="BM260" s="2676"/>
      <c r="BN260" s="2665"/>
      <c r="BO260" s="2666"/>
      <c r="BP260" s="2666"/>
      <c r="BQ260" s="2675"/>
      <c r="BR260" s="2676"/>
      <c r="BS260" s="2665"/>
      <c r="BT260" s="2666"/>
      <c r="BU260" s="2666"/>
      <c r="BV260" s="2675"/>
      <c r="BW260" s="2676"/>
      <c r="BX260" s="2665"/>
      <c r="BY260" s="2666"/>
      <c r="BZ260" s="2666"/>
      <c r="CA260" s="2675"/>
      <c r="CB260" s="2676"/>
    </row>
    <row r="261" spans="1:135" ht="11.25" customHeight="1" x14ac:dyDescent="0.25">
      <c r="A261" s="2667"/>
      <c r="B261" s="2668"/>
      <c r="C261" s="2668"/>
      <c r="D261" s="2677"/>
      <c r="E261" s="2678"/>
      <c r="F261" s="2667"/>
      <c r="G261" s="2668"/>
      <c r="H261" s="2668"/>
      <c r="I261" s="2677"/>
      <c r="J261" s="2678"/>
      <c r="K261" s="2667"/>
      <c r="L261" s="2668"/>
      <c r="M261" s="2668"/>
      <c r="N261" s="2677"/>
      <c r="O261" s="2678"/>
      <c r="P261" s="2667"/>
      <c r="Q261" s="2668"/>
      <c r="R261" s="2668"/>
      <c r="S261" s="2677"/>
      <c r="T261" s="2678"/>
      <c r="U261" s="2667"/>
      <c r="V261" s="2668"/>
      <c r="W261" s="2668"/>
      <c r="X261" s="2677"/>
      <c r="Y261" s="2678"/>
      <c r="Z261" s="2667"/>
      <c r="AA261" s="2668"/>
      <c r="AB261" s="2668"/>
      <c r="AC261" s="2677"/>
      <c r="AD261" s="2678"/>
      <c r="AE261" s="2667"/>
      <c r="AF261" s="2668"/>
      <c r="AG261" s="2668"/>
      <c r="AH261" s="2677"/>
      <c r="AI261" s="2678"/>
      <c r="AJ261" s="2667"/>
      <c r="AK261" s="2668"/>
      <c r="AL261" s="2668"/>
      <c r="AM261" s="2677"/>
      <c r="AN261" s="2678"/>
      <c r="AO261" s="2667"/>
      <c r="AP261" s="2668"/>
      <c r="AQ261" s="2668"/>
      <c r="AR261" s="2677"/>
      <c r="AS261" s="2678"/>
      <c r="AT261" s="2667"/>
      <c r="AU261" s="2668"/>
      <c r="AV261" s="2668"/>
      <c r="AW261" s="2677"/>
      <c r="AX261" s="2678"/>
      <c r="AY261" s="2667"/>
      <c r="AZ261" s="2668"/>
      <c r="BA261" s="2668"/>
      <c r="BB261" s="2677"/>
      <c r="BC261" s="2678"/>
      <c r="BD261" s="2667"/>
      <c r="BE261" s="2668"/>
      <c r="BF261" s="2668"/>
      <c r="BG261" s="2677"/>
      <c r="BH261" s="2678"/>
      <c r="BI261" s="2667"/>
      <c r="BJ261" s="2668"/>
      <c r="BK261" s="2668"/>
      <c r="BL261" s="2677"/>
      <c r="BM261" s="2678"/>
      <c r="BN261" s="2667"/>
      <c r="BO261" s="2668"/>
      <c r="BP261" s="2668"/>
      <c r="BQ261" s="2677"/>
      <c r="BR261" s="2678"/>
      <c r="BS261" s="2667"/>
      <c r="BT261" s="2668"/>
      <c r="BU261" s="2668"/>
      <c r="BV261" s="2677"/>
      <c r="BW261" s="2678"/>
      <c r="BX261" s="2667"/>
      <c r="BY261" s="2668"/>
      <c r="BZ261" s="2668"/>
      <c r="CA261" s="2677"/>
      <c r="CB261" s="2678"/>
    </row>
    <row r="262" spans="1:135" s="535" customFormat="1" ht="111.75" customHeight="1" x14ac:dyDescent="1.35">
      <c r="A262" s="2684" t="s">
        <v>673</v>
      </c>
      <c r="B262" s="2681">
        <v>29</v>
      </c>
      <c r="C262" s="2682"/>
      <c r="D262" s="2682"/>
      <c r="E262" s="2683"/>
      <c r="F262" s="2684" t="s">
        <v>673</v>
      </c>
      <c r="G262" s="2681">
        <v>30</v>
      </c>
      <c r="H262" s="2682"/>
      <c r="I262" s="2682"/>
      <c r="J262" s="2683"/>
      <c r="K262" s="2684" t="s">
        <v>673</v>
      </c>
      <c r="L262" s="2681">
        <v>31</v>
      </c>
      <c r="M262" s="2682"/>
      <c r="N262" s="2682"/>
      <c r="O262" s="2683"/>
      <c r="P262" s="2684" t="s">
        <v>673</v>
      </c>
      <c r="Q262" s="2681">
        <v>32</v>
      </c>
      <c r="R262" s="2682"/>
      <c r="S262" s="2682"/>
      <c r="T262" s="2683"/>
      <c r="U262" s="2684" t="s">
        <v>673</v>
      </c>
      <c r="V262" s="2681">
        <v>33</v>
      </c>
      <c r="W262" s="2682"/>
      <c r="X262" s="2682"/>
      <c r="Y262" s="2683"/>
      <c r="Z262" s="2684" t="s">
        <v>673</v>
      </c>
      <c r="AA262" s="2681">
        <v>34</v>
      </c>
      <c r="AB262" s="2682"/>
      <c r="AC262" s="2682"/>
      <c r="AD262" s="2683"/>
      <c r="AE262" s="2684" t="s">
        <v>673</v>
      </c>
      <c r="AF262" s="2681">
        <v>35</v>
      </c>
      <c r="AG262" s="2682"/>
      <c r="AH262" s="2682"/>
      <c r="AI262" s="2683"/>
      <c r="AJ262" s="2684" t="s">
        <v>673</v>
      </c>
      <c r="AK262" s="2681">
        <v>36</v>
      </c>
      <c r="AL262" s="2682"/>
      <c r="AM262" s="2682"/>
      <c r="AN262" s="2683"/>
      <c r="AO262" s="2684" t="s">
        <v>673</v>
      </c>
      <c r="AP262" s="2681">
        <v>37</v>
      </c>
      <c r="AQ262" s="2682"/>
      <c r="AR262" s="2682"/>
      <c r="AS262" s="2683"/>
      <c r="AT262" s="2684" t="s">
        <v>673</v>
      </c>
      <c r="AU262" s="2828">
        <v>38</v>
      </c>
      <c r="AV262" s="2829"/>
      <c r="AW262" s="2829"/>
      <c r="AX262" s="2830"/>
      <c r="AY262" s="2684" t="s">
        <v>673</v>
      </c>
      <c r="AZ262" s="2681">
        <v>39</v>
      </c>
      <c r="BA262" s="2682"/>
      <c r="BB262" s="2682"/>
      <c r="BC262" s="2683"/>
      <c r="BD262" s="2684" t="s">
        <v>673</v>
      </c>
      <c r="BE262" s="2828">
        <v>40</v>
      </c>
      <c r="BF262" s="2829"/>
      <c r="BG262" s="2829"/>
      <c r="BH262" s="2830"/>
      <c r="BI262" s="2684" t="s">
        <v>673</v>
      </c>
      <c r="BJ262" s="2828">
        <v>41</v>
      </c>
      <c r="BK262" s="2829"/>
      <c r="BL262" s="2829"/>
      <c r="BM262" s="2830"/>
      <c r="BN262" s="2684" t="s">
        <v>673</v>
      </c>
      <c r="BO262" s="2828">
        <v>42</v>
      </c>
      <c r="BP262" s="2829"/>
      <c r="BQ262" s="2829"/>
      <c r="BR262" s="2830"/>
      <c r="BS262" s="2684" t="s">
        <v>673</v>
      </c>
      <c r="BT262" s="2828">
        <v>43</v>
      </c>
      <c r="BU262" s="2829"/>
      <c r="BV262" s="2829"/>
      <c r="BW262" s="2830"/>
      <c r="BX262" s="2684" t="s">
        <v>673</v>
      </c>
      <c r="BY262" s="2681">
        <v>44</v>
      </c>
      <c r="BZ262" s="2682"/>
      <c r="CA262" s="2682"/>
      <c r="CB262" s="2683"/>
    </row>
    <row r="263" spans="1:135" ht="50.25" customHeight="1" thickBot="1" x14ac:dyDescent="0.3">
      <c r="A263" s="2685"/>
      <c r="B263" s="518"/>
      <c r="C263" s="519" t="s">
        <v>113</v>
      </c>
      <c r="D263" s="520"/>
      <c r="E263" s="523" t="s">
        <v>114</v>
      </c>
      <c r="F263" s="2685"/>
      <c r="G263" s="518"/>
      <c r="H263" s="519" t="s">
        <v>113</v>
      </c>
      <c r="I263" s="520"/>
      <c r="J263" s="523" t="s">
        <v>114</v>
      </c>
      <c r="K263" s="2685"/>
      <c r="L263" s="518"/>
      <c r="M263" s="519" t="s">
        <v>113</v>
      </c>
      <c r="N263" s="520"/>
      <c r="O263" s="523" t="s">
        <v>114</v>
      </c>
      <c r="P263" s="2685"/>
      <c r="Q263" s="518"/>
      <c r="R263" s="519" t="s">
        <v>113</v>
      </c>
      <c r="S263" s="520"/>
      <c r="T263" s="523" t="s">
        <v>114</v>
      </c>
      <c r="U263" s="2685"/>
      <c r="V263" s="518"/>
      <c r="W263" s="519" t="s">
        <v>113</v>
      </c>
      <c r="X263" s="520"/>
      <c r="Y263" s="523" t="s">
        <v>114</v>
      </c>
      <c r="Z263" s="2685"/>
      <c r="AA263" s="518"/>
      <c r="AB263" s="519" t="s">
        <v>113</v>
      </c>
      <c r="AC263" s="520"/>
      <c r="AD263" s="523" t="s">
        <v>114</v>
      </c>
      <c r="AE263" s="2685"/>
      <c r="AF263" s="518"/>
      <c r="AG263" s="519" t="s">
        <v>113</v>
      </c>
      <c r="AH263" s="520"/>
      <c r="AI263" s="523" t="s">
        <v>114</v>
      </c>
      <c r="AJ263" s="2685"/>
      <c r="AK263" s="518"/>
      <c r="AL263" s="519" t="s">
        <v>113</v>
      </c>
      <c r="AM263" s="520"/>
      <c r="AN263" s="523" t="s">
        <v>114</v>
      </c>
      <c r="AO263" s="2685"/>
      <c r="AP263" s="518"/>
      <c r="AQ263" s="519" t="s">
        <v>113</v>
      </c>
      <c r="AR263" s="520"/>
      <c r="AS263" s="523" t="s">
        <v>114</v>
      </c>
      <c r="AT263" s="2685"/>
      <c r="AU263" s="518">
        <v>9.9999999999999994E-12</v>
      </c>
      <c r="AV263" s="519" t="s">
        <v>113</v>
      </c>
      <c r="AW263" s="520"/>
      <c r="AX263" s="523" t="s">
        <v>114</v>
      </c>
      <c r="AY263" s="2685"/>
      <c r="AZ263" s="518"/>
      <c r="BA263" s="519" t="s">
        <v>113</v>
      </c>
      <c r="BB263" s="520"/>
      <c r="BC263" s="523" t="s">
        <v>114</v>
      </c>
      <c r="BD263" s="2685"/>
      <c r="BE263" s="518">
        <v>0.48259999999999997</v>
      </c>
      <c r="BF263" s="519" t="s">
        <v>113</v>
      </c>
      <c r="BG263" s="520"/>
      <c r="BH263" s="523" t="s">
        <v>114</v>
      </c>
      <c r="BI263" s="2685"/>
      <c r="BJ263" s="518">
        <v>0.83819999999999995</v>
      </c>
      <c r="BK263" s="519" t="s">
        <v>113</v>
      </c>
      <c r="BL263" s="520">
        <v>1</v>
      </c>
      <c r="BM263" s="523" t="s">
        <v>114</v>
      </c>
      <c r="BN263" s="2685"/>
      <c r="BO263" s="518">
        <v>1.0000000000000001E-9</v>
      </c>
      <c r="BP263" s="519" t="s">
        <v>113</v>
      </c>
      <c r="BQ263" s="520"/>
      <c r="BR263" s="523" t="s">
        <v>114</v>
      </c>
      <c r="BS263" s="2685"/>
      <c r="BT263" s="518">
        <v>1E-10</v>
      </c>
      <c r="BU263" s="519" t="s">
        <v>113</v>
      </c>
      <c r="BV263" s="520"/>
      <c r="BW263" s="523" t="s">
        <v>114</v>
      </c>
      <c r="BX263" s="2685"/>
      <c r="BY263" s="518"/>
      <c r="BZ263" s="519" t="s">
        <v>113</v>
      </c>
      <c r="CA263" s="520"/>
      <c r="CB263" s="523" t="s">
        <v>114</v>
      </c>
    </row>
    <row r="264" spans="1:135" ht="57" customHeight="1" thickTop="1" x14ac:dyDescent="0.25">
      <c r="A264" s="2679" t="s">
        <v>110</v>
      </c>
      <c r="B264" s="2680"/>
      <c r="C264" s="2670">
        <f t="shared" ref="C264" si="630">B269/((36*3.1415/59)*(79/3.281))</f>
        <v>0</v>
      </c>
      <c r="D264" s="2670"/>
      <c r="E264" s="2671"/>
      <c r="F264" s="2679" t="s">
        <v>110</v>
      </c>
      <c r="G264" s="2680"/>
      <c r="H264" s="2670">
        <f t="shared" ref="H264" si="631">G269/((36*3.1415/59)*(79/3.281))</f>
        <v>0</v>
      </c>
      <c r="I264" s="2670"/>
      <c r="J264" s="2671"/>
      <c r="K264" s="2679" t="s">
        <v>110</v>
      </c>
      <c r="L264" s="2680"/>
      <c r="M264" s="2670">
        <f t="shared" ref="M264" si="632">L269/((36*3.1415/59)*(79/3.281))</f>
        <v>0</v>
      </c>
      <c r="N264" s="2670"/>
      <c r="O264" s="2671"/>
      <c r="P264" s="2679" t="s">
        <v>110</v>
      </c>
      <c r="Q264" s="2680"/>
      <c r="R264" s="2670">
        <f t="shared" ref="R264" si="633">Q269/((36*3.1415/59)*(79/3.281))</f>
        <v>0</v>
      </c>
      <c r="S264" s="2670"/>
      <c r="T264" s="2671"/>
      <c r="U264" s="532"/>
      <c r="V264" s="530"/>
      <c r="W264" s="117"/>
      <c r="X264" s="117"/>
      <c r="Y264" s="117"/>
      <c r="Z264" s="530"/>
      <c r="AA264" s="530"/>
      <c r="AB264" s="117"/>
      <c r="AC264" s="117"/>
      <c r="AD264" s="117"/>
      <c r="AE264" s="530"/>
      <c r="AF264" s="530"/>
      <c r="AG264" s="117"/>
      <c r="AH264" s="117"/>
      <c r="AI264" s="117"/>
      <c r="AJ264" s="530"/>
      <c r="AK264" s="530"/>
      <c r="AL264" s="117"/>
      <c r="AM264" s="117"/>
      <c r="AN264" s="117"/>
      <c r="AO264" s="530"/>
      <c r="AP264" s="530"/>
      <c r="AQ264" s="117"/>
      <c r="AR264" s="117"/>
      <c r="AS264" s="117"/>
      <c r="AT264" s="530"/>
      <c r="AU264" s="530"/>
      <c r="AV264" s="117"/>
      <c r="AW264" s="117"/>
      <c r="AX264" s="117"/>
      <c r="AY264" s="530"/>
      <c r="AZ264" s="530"/>
      <c r="BA264" s="117"/>
      <c r="BB264" s="117"/>
      <c r="BC264" s="117"/>
      <c r="BD264" s="530"/>
      <c r="BE264" s="530"/>
      <c r="BF264" s="117"/>
      <c r="BG264" s="117"/>
      <c r="BH264" s="117"/>
      <c r="BI264" s="530"/>
      <c r="BJ264" s="530"/>
      <c r="BK264" s="117"/>
      <c r="BL264" s="117"/>
      <c r="BM264" s="117"/>
      <c r="BN264" s="530"/>
      <c r="BO264" s="530"/>
      <c r="BP264" s="117"/>
      <c r="BQ264" s="117"/>
      <c r="BR264" s="117"/>
      <c r="BS264" s="530"/>
      <c r="BT264" s="530"/>
      <c r="BU264" s="117"/>
      <c r="BV264" s="117"/>
      <c r="BW264" s="117"/>
      <c r="BX264" s="530"/>
      <c r="BY264" s="530"/>
      <c r="BZ264" s="117"/>
      <c r="CA264" s="117"/>
      <c r="CB264" s="117"/>
    </row>
    <row r="265" spans="1:135" ht="11.25" customHeight="1" x14ac:dyDescent="0.25">
      <c r="A265" s="2663" t="s">
        <v>25</v>
      </c>
      <c r="B265" s="2664"/>
      <c r="C265" s="2664"/>
      <c r="D265" s="2673" t="s">
        <v>706</v>
      </c>
      <c r="E265" s="2674"/>
      <c r="F265" s="2663" t="s">
        <v>25</v>
      </c>
      <c r="G265" s="2664"/>
      <c r="H265" s="2664"/>
      <c r="I265" s="2673" t="s">
        <v>706</v>
      </c>
      <c r="J265" s="2674"/>
      <c r="K265" s="2663" t="s">
        <v>25</v>
      </c>
      <c r="L265" s="2664"/>
      <c r="M265" s="2664"/>
      <c r="N265" s="2673" t="s">
        <v>706</v>
      </c>
      <c r="O265" s="2674"/>
      <c r="P265" s="2663" t="s">
        <v>25</v>
      </c>
      <c r="Q265" s="2664"/>
      <c r="R265" s="2664"/>
      <c r="S265" s="2673" t="s">
        <v>706</v>
      </c>
      <c r="T265" s="2674"/>
      <c r="U265" s="533"/>
      <c r="V265" s="531"/>
      <c r="W265" s="69"/>
      <c r="X265" s="69"/>
      <c r="Y265" s="69"/>
      <c r="Z265" s="531"/>
      <c r="AA265" s="531"/>
      <c r="AB265" s="69"/>
      <c r="AC265" s="69"/>
      <c r="AD265" s="69"/>
      <c r="AE265" s="531"/>
      <c r="AF265" s="531"/>
      <c r="AG265" s="1923" cm="1">
        <f t="array" aca="1" ref="AG265" ca="1">SUM(COUNTIF(INDIRECT({"B6","G6","L6","Q6","V6","AA6","AF6","AK6","AP6","AU6","AZ6","BE6","BJ6","BO6","BT6","BY6","B12","G12","L12","Q12","V12","AA12","AF12","AK12","AP12","AU12","AZ12","BE12","BJ12","BO12","BT12","BY12","B18","G18","L18","Q18","V18","AA18","AF18","AK18","AP18","AU18","AZ18","BE18","BJ18","BO18","BT18","BY18","B24","G24","L24","Q24","V24","AA24","AF24","AK24","AP24","AU24","AZ24","BE24","BJ24","BO24","BT24","BY24","B30","G30","L30","Q30","V30","AA30","AF30","AK30","AP30","AU30","AZ30","BE30","BJ30","BO30","BT30","BY30","B36","G36","L36","Q36","V36","AA36","AF36","AK36","AP36","AU36","AZ36","BE36","BJ36","BO36","BT36","BY36","B42","G42","L42","Q42","V42","AA42","AF42","AK42","AP42","AU42","AZ42","BE42","BJ42","BO42","BT42","BY42","B48","G48","L48","Q48","V48","AA48","AF48","AK48","AP48","AU48","AZ48","BE48","BJ48","BO48","BT48","BY48","B54","G54","L54","Q54","V54","AA54","AF54","AK54","AP54","AU54","AZ54","BE54","BJ54","BO54","BT54","BY54","B60","G60","L60","Q60","V60","AA60","AF60","AK60","AP60","AU60","AZ60","BE60","BJ60","BO60","BT60","BY60","B66","G66","L66","Q66","V66","AA66","AF66","AK66","AP66","AU66","AZ66","BE66","BJ66","BO66","BT66","BY66","B72","G72","L72","Q72","V72","AA72","AF72","AK72","AP72","AU72","AZ72","BE72","BJ72","BO72","BT72","BY72","B78","G78","L78","Q78","V78","AA78","AF78","AK78","AP78","AU78","AZ78","BE78","BJ78","BO78","BT78","BY78","B84","G84","L84","Q84","V84","AA84","AF84","AK84","AP84","AU84","AZ84","BE84","BJ84","BO84","BT84","BY84","B90","G90","L90","Q90","V90","AA90","AF90","AK90","AP90","AU90","AZ90","BE90","BJ90","BO90","BT90","BY90","B96","G96","L96","Q96","V96","AA96","AF96","AK96","AP96","AU96","AZ96","BE96","BJ96","BO96","BT96","BY96","B102","G102","L102","Q102","V102","AA102","AF102","AK102","AP102","AU102","AZ102","BE102","BJ102","BO102","BT102","BY102","B108","G108","L108","Q108","V108","AA108","AF108","AK108","AP108","AU108","AZ108","BE108","BJ108","BO108","BT108","BY108","B114","G114","L114","Q114","V114","AA114","AF114","AK114","AP114","AU114","AZ114","BE114","BJ114","BO114","BT114","BY114","B120","G120","L120","Q120","V120","AA120","AF120","AK120","AP120","AU120","AZ120","BE120","BJ120","BO120","BT120","BY120","B126","G126","L126","Q126","V126","AA126","AF126","AK126","AP126","AU126","AZ126","BE126","BJ126","BO126","BT126","BY126","B132","G132","L132","Q132","V132","AA132","AF132","AK132","AP132","AU132","AZ132","BE132","BJ132","BO132","BT132","BY132","B148","G148","L148","Q148","V148","AA148","AF148","AK148","AP148","AU148","AZ148","BE148","BJ148","BO148","BT148","BY148","B154","G154","L154","Q154","V154","AA154","AF154","AK154","AP154","AU154","AZ154","BE154","BJ154","BO154","BT154","BY154","B160","G160","L160","Q160","V160","AA160","AF160","AK160","AP160","AU160","AZ160","BE160","BJ160","BO160","BT160","BY160","B166","G166","L166","Q166","V166","AA166","AF166","AK166","AP166","AU166","AZ166","BE166","BJ166","BO166","BT166","BY166","B172","G172","L172","Q172","V172","AA172","AF172","AK172","AP172","AU172","AZ172","BE172","BJ172","BO172","BT172","BY172","B178","G178","L178","Q178","V178","AA178","AF178","AK178","AP178","AU178","AZ178","BE178","BJ178","BO178","BT178","BY178","B184","G184","L184","Q184","V184","AA184","AF184","AK184","AP184","AU184","AZ184","BE184","BJ184","BO184","BT184","BY184","B190","G190","L190","Q190","V190","AA190","AF190","AK190","AP190","AU190","AZ190","BE190","BJ190","BO190","BT190","BY190","B196","G196","L196","Q196","V196","AA196","AF196","AK196","AP196","AU196","AZ196","BE196","BJ196","BO196","BT196","BY196","B202","G202","L202","Q202","V202","AA202","AF202","AK202","AP202","AU202","AZ202","BE202","BJ202","BO202","BT202","BY202","B208","G208","L208","Q208","V208","AA208","AF208","AK208","AP208","AU208","AZ208","BE208","BJ208","BO208","BT208","BY208","B214","G214","L214","Q214","V214","AA214","AF214","AK214","AP214","AU214","AZ214","BE214","BJ214","BO214","BT214","BY214","B220","G220","L220","Q220","V220","AA220","AF220","AK220","AP220","AU220","AZ220","BE220","BJ220","BO220","BT220","BY220","B226","G226","L226","Q226","V226","AA226","AF226","AK226","AP226","AU226","AZ226","BE226","BJ226","BO226","BT226","BY226","B232","G232","L232","Q232","V232","AA232","AF232","AK232","AP232","AU232","AZ232","BE232","BJ232","BO232","BT232","BY232","B238","G238","L238","Q238","V238","AA238","AF238","AK238","AP238","AU238","AZ238","BE238","BJ238","BO238","BT238","BY238","B244","G244","L244","Q244","V244","AA244","AF244","AK244","AP244","AU244","AZ244","BE244","BJ244","BO244","BT244","BY244","B250","G250","L250","Q250","V250","AA250","AF250","AK250","AP250","AU250","AZ250","BE250","BJ250","BO250","BT250","BY250","B256","G256","L256","Q256","V256","AA256","AF256","AK256","AP256","AU256","AZ256","BE256","BJ256","BO256","BT256","BY256","B262","G262","L262","Q262","V262","AA262","AF262","AK262","AP262","AU262","AZ262","BE262","BJ262","BO262","BT262","BY262","B268","G268","L268","Q268"}),"&gt;0"))</f>
        <v>371</v>
      </c>
      <c r="AH265" s="1923"/>
      <c r="AI265" s="1923"/>
      <c r="AJ265" s="1923"/>
      <c r="AK265" s="1923"/>
      <c r="AL265" s="69"/>
      <c r="AM265" s="69"/>
      <c r="AN265" s="69"/>
      <c r="AO265" s="531"/>
      <c r="AP265" s="531"/>
      <c r="AQ265" s="69"/>
      <c r="AR265" s="69"/>
      <c r="AS265" s="69"/>
      <c r="AT265" s="531"/>
      <c r="AU265" s="531"/>
      <c r="AV265" s="69"/>
      <c r="AW265" s="69"/>
      <c r="AX265" s="69"/>
      <c r="AY265" s="531"/>
      <c r="AZ265" s="1923">
        <v>38</v>
      </c>
      <c r="BA265" s="1923"/>
      <c r="BB265" s="1923"/>
      <c r="BC265" s="1923"/>
      <c r="BD265" s="1923"/>
      <c r="BE265" s="531"/>
      <c r="BF265" s="69"/>
      <c r="BG265" s="69"/>
      <c r="BH265" s="69"/>
      <c r="BI265" s="531"/>
      <c r="BJ265" s="531"/>
      <c r="BK265" s="69"/>
      <c r="BL265" s="69"/>
      <c r="BM265" s="69"/>
      <c r="BN265" s="531"/>
      <c r="BO265" s="531"/>
      <c r="BP265" s="1923">
        <v>11</v>
      </c>
      <c r="BQ265" s="1923"/>
      <c r="BR265" s="1923"/>
      <c r="BS265" s="1923"/>
      <c r="BT265" s="1923"/>
      <c r="BU265" s="69"/>
      <c r="BV265" s="69"/>
      <c r="BW265" s="69"/>
      <c r="BX265" s="531"/>
      <c r="BY265" s="531"/>
      <c r="BZ265" s="69"/>
      <c r="CA265" s="69"/>
      <c r="CB265" s="69"/>
    </row>
    <row r="266" spans="1:135" ht="11.25" customHeight="1" x14ac:dyDescent="0.25">
      <c r="A266" s="2665"/>
      <c r="B266" s="2666"/>
      <c r="C266" s="2666"/>
      <c r="D266" s="2675"/>
      <c r="E266" s="2676"/>
      <c r="F266" s="2665"/>
      <c r="G266" s="2666"/>
      <c r="H266" s="2666"/>
      <c r="I266" s="2675"/>
      <c r="J266" s="2676"/>
      <c r="K266" s="2665"/>
      <c r="L266" s="2666"/>
      <c r="M266" s="2666"/>
      <c r="N266" s="2675"/>
      <c r="O266" s="2676"/>
      <c r="P266" s="2665"/>
      <c r="Q266" s="2666"/>
      <c r="R266" s="2666"/>
      <c r="S266" s="2675"/>
      <c r="T266" s="2676"/>
      <c r="U266" s="533"/>
      <c r="V266" s="531"/>
      <c r="W266" s="69"/>
      <c r="X266" s="69"/>
      <c r="Y266" s="69"/>
      <c r="Z266" s="531"/>
      <c r="AA266" s="531"/>
      <c r="AB266" s="69"/>
      <c r="AC266" s="69"/>
      <c r="AD266" s="69"/>
      <c r="AE266" s="531"/>
      <c r="AF266" s="531"/>
      <c r="AG266" s="1923"/>
      <c r="AH266" s="1923"/>
      <c r="AI266" s="1923"/>
      <c r="AJ266" s="1923"/>
      <c r="AK266" s="1923"/>
      <c r="AL266" s="69"/>
      <c r="AM266" s="69"/>
      <c r="AN266" s="69"/>
      <c r="AO266" s="531"/>
      <c r="AP266" s="531"/>
      <c r="AQ266" s="69"/>
      <c r="AR266" s="69"/>
      <c r="AS266" s="69"/>
      <c r="AT266" s="531"/>
      <c r="AU266" s="531"/>
      <c r="AV266" s="69"/>
      <c r="AW266" s="69"/>
      <c r="AX266" s="69"/>
      <c r="AY266" s="531"/>
      <c r="AZ266" s="1923"/>
      <c r="BA266" s="1923"/>
      <c r="BB266" s="1923"/>
      <c r="BC266" s="1923"/>
      <c r="BD266" s="1923"/>
      <c r="BE266" s="531"/>
      <c r="BF266" s="69"/>
      <c r="BG266" s="69"/>
      <c r="BH266" s="69"/>
      <c r="BI266" s="531"/>
      <c r="BJ266" s="531"/>
      <c r="BK266" s="69"/>
      <c r="BL266" s="69"/>
      <c r="BM266" s="69"/>
      <c r="BN266" s="531"/>
      <c r="BO266" s="531"/>
      <c r="BP266" s="1923"/>
      <c r="BQ266" s="1923"/>
      <c r="BR266" s="1923"/>
      <c r="BS266" s="1923"/>
      <c r="BT266" s="1923"/>
      <c r="BU266" s="69"/>
      <c r="BV266" s="69"/>
      <c r="BW266" s="69"/>
      <c r="BX266" s="531"/>
      <c r="BY266" s="531"/>
      <c r="BZ266" s="69"/>
      <c r="CA266" s="69"/>
      <c r="CB266" s="69"/>
    </row>
    <row r="267" spans="1:135" ht="11.25" customHeight="1" x14ac:dyDescent="0.25">
      <c r="A267" s="2667"/>
      <c r="B267" s="2668"/>
      <c r="C267" s="2668"/>
      <c r="D267" s="2677"/>
      <c r="E267" s="2678"/>
      <c r="F267" s="2667"/>
      <c r="G267" s="2668"/>
      <c r="H267" s="2668"/>
      <c r="I267" s="2677"/>
      <c r="J267" s="2678"/>
      <c r="K267" s="2667"/>
      <c r="L267" s="2668"/>
      <c r="M267" s="2668"/>
      <c r="N267" s="2677"/>
      <c r="O267" s="2678"/>
      <c r="P267" s="2667"/>
      <c r="Q267" s="2668"/>
      <c r="R267" s="2668"/>
      <c r="S267" s="2677"/>
      <c r="T267" s="2678"/>
      <c r="U267" s="533"/>
      <c r="V267" s="531"/>
      <c r="W267" s="69"/>
      <c r="X267" s="69"/>
      <c r="Y267" s="69"/>
      <c r="Z267" s="531"/>
      <c r="AA267" s="531"/>
      <c r="AB267" s="69"/>
      <c r="AC267" s="69"/>
      <c r="AD267" s="69"/>
      <c r="AE267" s="531"/>
      <c r="AF267" s="531"/>
      <c r="AG267" s="1923"/>
      <c r="AH267" s="1923"/>
      <c r="AI267" s="1923"/>
      <c r="AJ267" s="1923"/>
      <c r="AK267" s="1923"/>
      <c r="AL267" s="69"/>
      <c r="AM267" s="69"/>
      <c r="AN267" s="69"/>
      <c r="AO267" s="531"/>
      <c r="AP267" s="531"/>
      <c r="AQ267" s="69"/>
      <c r="AR267" s="69"/>
      <c r="AS267" s="69"/>
      <c r="AT267" s="531"/>
      <c r="AU267" s="531"/>
      <c r="AV267" s="69"/>
      <c r="AW267" s="69"/>
      <c r="AX267" s="69"/>
      <c r="AY267" s="531"/>
      <c r="AZ267" s="1923"/>
      <c r="BA267" s="1923"/>
      <c r="BB267" s="1923"/>
      <c r="BC267" s="1923"/>
      <c r="BD267" s="1923"/>
      <c r="BE267" s="531"/>
      <c r="BF267" s="69"/>
      <c r="BG267" s="69"/>
      <c r="BH267" s="69"/>
      <c r="BI267" s="531"/>
      <c r="BJ267" s="531"/>
      <c r="BK267" s="69"/>
      <c r="BL267" s="69"/>
      <c r="BM267" s="69"/>
      <c r="BN267" s="531"/>
      <c r="BO267" s="531"/>
      <c r="BP267" s="1923"/>
      <c r="BQ267" s="1923"/>
      <c r="BR267" s="1923"/>
      <c r="BS267" s="1923"/>
      <c r="BT267" s="1923"/>
      <c r="BU267" s="69"/>
      <c r="BV267" s="69"/>
      <c r="BW267" s="69"/>
      <c r="BX267" s="531"/>
      <c r="BY267" s="531"/>
      <c r="BZ267" s="69"/>
      <c r="CA267" s="69"/>
      <c r="CB267" s="69"/>
    </row>
    <row r="268" spans="1:135" s="535" customFormat="1" ht="111.75" customHeight="1" x14ac:dyDescent="1.35">
      <c r="A268" s="2684" t="s">
        <v>673</v>
      </c>
      <c r="B268" s="2681">
        <v>45</v>
      </c>
      <c r="C268" s="2682"/>
      <c r="D268" s="2682"/>
      <c r="E268" s="2683"/>
      <c r="F268" s="2684" t="s">
        <v>673</v>
      </c>
      <c r="G268" s="2681">
        <v>46</v>
      </c>
      <c r="H268" s="2682"/>
      <c r="I268" s="2682"/>
      <c r="J268" s="2683"/>
      <c r="K268" s="2684" t="s">
        <v>673</v>
      </c>
      <c r="L268" s="2681">
        <v>47</v>
      </c>
      <c r="M268" s="2682"/>
      <c r="N268" s="2682"/>
      <c r="O268" s="2683"/>
      <c r="P268" s="2684" t="s">
        <v>673</v>
      </c>
      <c r="Q268" s="2681">
        <v>48</v>
      </c>
      <c r="R268" s="2682"/>
      <c r="S268" s="2682"/>
      <c r="T268" s="2683"/>
      <c r="U268" s="543"/>
      <c r="V268" s="372"/>
      <c r="W268" s="372"/>
      <c r="X268" s="372"/>
      <c r="Y268" s="372"/>
      <c r="Z268" s="544"/>
      <c r="AA268" s="372"/>
      <c r="AB268" s="372"/>
      <c r="AC268" s="372"/>
      <c r="AD268" s="372"/>
      <c r="AE268" s="544"/>
      <c r="AF268" s="372"/>
      <c r="AG268" s="1923"/>
      <c r="AH268" s="1923"/>
      <c r="AI268" s="1923"/>
      <c r="AJ268" s="1923"/>
      <c r="AK268" s="1923"/>
      <c r="AL268" s="372"/>
      <c r="AM268" s="372"/>
      <c r="AN268" s="372"/>
      <c r="AO268" s="544"/>
      <c r="AP268" s="372"/>
      <c r="AQ268" s="372"/>
      <c r="AR268" s="372"/>
      <c r="AS268" s="372"/>
      <c r="AT268" s="544"/>
      <c r="AU268" s="372"/>
      <c r="AV268" s="372"/>
      <c r="AW268" s="372"/>
      <c r="AX268" s="372"/>
      <c r="AY268" s="544"/>
      <c r="AZ268" s="1923"/>
      <c r="BA268" s="1923"/>
      <c r="BB268" s="1923"/>
      <c r="BC268" s="1923"/>
      <c r="BD268" s="1923"/>
      <c r="BE268" s="1923"/>
      <c r="BF268" s="1923"/>
      <c r="BG268" s="1923"/>
      <c r="BH268" s="1923"/>
      <c r="BI268" s="1923"/>
      <c r="BJ268" s="372"/>
      <c r="BK268" s="372"/>
      <c r="BL268" s="372"/>
      <c r="BM268" s="372"/>
      <c r="BN268" s="544"/>
      <c r="BO268" s="372"/>
      <c r="BP268" s="1923"/>
      <c r="BQ268" s="1923"/>
      <c r="BR268" s="1923"/>
      <c r="BS268" s="1923"/>
      <c r="BT268" s="1923"/>
      <c r="BU268" s="372"/>
      <c r="BV268" s="372"/>
      <c r="BW268" s="372"/>
      <c r="BX268" s="544"/>
      <c r="BY268" s="372"/>
      <c r="BZ268" s="372"/>
      <c r="CA268" s="372"/>
      <c r="CB268" s="372"/>
    </row>
    <row r="269" spans="1:135" ht="50.25" customHeight="1" thickBot="1" x14ac:dyDescent="0.3">
      <c r="A269" s="2685"/>
      <c r="B269" s="518"/>
      <c r="C269" s="519" t="s">
        <v>113</v>
      </c>
      <c r="D269" s="520"/>
      <c r="E269" s="523" t="s">
        <v>114</v>
      </c>
      <c r="F269" s="2685"/>
      <c r="G269" s="518"/>
      <c r="H269" s="519" t="s">
        <v>113</v>
      </c>
      <c r="I269" s="520"/>
      <c r="J269" s="523" t="s">
        <v>114</v>
      </c>
      <c r="K269" s="2685"/>
      <c r="L269" s="518"/>
      <c r="M269" s="519" t="s">
        <v>113</v>
      </c>
      <c r="N269" s="520"/>
      <c r="O269" s="523" t="s">
        <v>114</v>
      </c>
      <c r="P269" s="2685"/>
      <c r="Q269" s="518"/>
      <c r="R269" s="519" t="s">
        <v>113</v>
      </c>
      <c r="S269" s="520"/>
      <c r="T269" s="523" t="s">
        <v>114</v>
      </c>
      <c r="U269" s="529"/>
      <c r="V269" s="32"/>
      <c r="W269" s="33"/>
      <c r="X269" s="34"/>
      <c r="Y269" s="36"/>
      <c r="Z269" s="528"/>
      <c r="AA269" s="32"/>
      <c r="AB269" s="33"/>
      <c r="AC269" s="34"/>
      <c r="AD269" s="36"/>
      <c r="AE269" s="528"/>
      <c r="AF269" s="32"/>
      <c r="AG269" s="717" cm="1">
        <f t="array" aca="1" ref="AG269" ca="1">SUM(COUNTIF(INDIRECT({"B7","G7","L7","Q7","V7","AA7","AF7","AK7","AP7","AU7","AZ7","BE7","BJ7","BO7","BT7","BY7","B13","G13","L13","Q13","V13","AA13","AF13","AK13","AP13","AU13","AZ13","BE13","BJ13","BO13","BT13","BY13","B19","G19","L19","Q19","V19","AA19","AF19","AK19","AP19","AU19","AZ19","BE19","BJ19","BO19","BT19","BY19","B25","G25","L25","Q25","V25","AA25","AF25","AK25","AP25","AU25","AZ25","BE25","BJ25","BO25","BT25","BY25","B31","G31","L31","Q31","V31","AA31","AF31","AK31","AP31","AU31","AZ31","BE31","BJ31","BO31","BT31","BY31","B37","G37","L37","Q37","V37","AA37","AF37","AK37","AP37","AU37","AZ37","BE37","BJ37","BO37","BT37","BY37","B43","G43","L43","Q43","V43","AA43","AF43","AK43","AP43","AU43","AZ43","BE43","BJ43","BO43","BT43","BY43","B49","G49","L49","Q49","V49","AA49","AF49","AK49","AP49","AU49","AZ49","BE49","BJ49","BO49","BT49","BY49","B55","G55","L55","Q55","V55","AA55","AF55","AK55","AP55","AU55","AZ55","BE55","BJ55","BO55","BT55","BY55","B61","G61","L61","Q61","V61","AA61","AF61","AK61","AP61","AU61","AZ61","BE61","BJ61","BO61","BT61","BY61","B67","G67","L67","Q67","V67","AA67","AF67","AK67","AP67","AU67","AZ67","BE67","BJ67","BO67","BT67","BY67","B73","G73","L73","Q73","V73","AA73","AF73","AK73","AP73","AU73","AZ73","BE73","BJ73","BO73","BT73","BY73","B79","G79","L79","Q79","V79","AA79","AF79","AK79","AP79","AU79","AZ79","BE79","BJ79","BO79","BT79","BY79","B85","G85","L85","Q85","V85","AA85","AF85","AK85","AP85","AU85","AZ85","BE85","BJ85","BO85","BT85","BY85","B91","G91","L91","Q91","V91","AA91","AF91","AK91","AP91","AU91","AZ91","BE91","BJ91","BO91","BT91","BY91","B97","G97","L97","Q97","V97","AA97","AF97","AK97","AP97","AU97","AZ97","BE97","BJ97","BO97","BT97","BY97","B103","G103","L103","Q103","V103","AA103","AF103","AK103","AP103","AU103","AZ103","BE103","BJ103","BO103","BT103","BY103","B109","G109","L109","Q109","V109","AA109","AF109","AK109","AP109","AU109","AZ109","BE109","BJ109","BO109","BT109","BY109","B115","G115","L115","Q115","V115","AA115","AF115","AK115","AP115","AU115","AZ115","BE115","BJ115","BO115","BT115","BY115","B121","G121","L121","Q121","V121","AA121","AF121","AK121","AP121","AU121","AZ121","BE121","BJ121","BO121","BT121","BY121","B127","G127","L127","Q127","V127","AA127","AF127","AK127","AP127","AU127","AZ127","BE127","BJ127","BO127","BT127","BY127","B133","G133","L133","Q133","V133","AA133","AF133","AK133","AP133","AU133","AZ133","BE133","BJ133","BO133","BT133","BY133","B149","G149","L149","Q149","V149","AA149","AF149","AK149","AP149","AU149","AZ149","BE149","BJ149","BO149","BT149","BY149","B155","G155","L155","Q155","V155","AA155","AF155","AK155","AP155","AU155","AZ155","BE155","BJ155","BO155","BT155","BY155","B161","G161","L161","Q161","V161","AA161","AF161","AK161","AP161","AU161","AZ161","BE161","BJ161","BO161","BT161","BY161","B167","G167","L167","Q167","V167","AA167","AF167","AK167","AP167","AU167","AZ167","BE167","BJ167","BO167","BT167","BY167","B173","G173","L173","Q173","V173","AA173","AF173","AK173","AP173","AU173","AZ173","BE173","BJ173","BO173","BT173","BY173","B179","G179","L179","Q179","V179","AA179","AF179","AK179","AP179","AU179","AZ179","BE179","BJ179","BO179","BT179","BY179","B185","G185","L185","Q185","V185","AA185","AF185","AK185","AP185","AU185","AZ185","BE185","BJ185","BO185","BT185","BY185","B191","G191","L191","Q191","V191","AA191","AF191","AK191","AP191","AU191","AZ191","BE191","BJ191","BO191","BT191","BY191","B197","G197","L197","Q197","V197","AA197","AF197","AK197","AP197","AU197","AZ197","BE197","BJ197","BO197","BT197","BY197","B203","G203","L203","Q203","V203","AA203","AF203","AK203","AP203","AU203","AZ203","BE203","BJ203","BO203","BT203","BY203","B209","G209","L209","Q209","V209","AA209","AF209","AK209","AP209","AU209","AZ209","BE209","BJ209","BO209","BT209","BY209","B215","G215","L215","Q215","V215","AA215","AF215","AK215","AP215","AU215","AZ215","BE215","BJ215","BO215","BT215","BY215","B221","G221","L221","Q221","V221","AA221","AF221","AK221","AP221","AU221","AZ221","BE221","BJ221","BO221","BT221","BY221","B227","G227","L227","Q227","V227","AA227","AF227","AK227","AP227","AU227","AZ227","BE227","BJ227","BO227","BT227","BY227","B233","G233","L233","Q233","V233","AA233","AF233","AK233","AP233","AU233","AZ233","BE233","BJ233","BO233","BT233","BY233","B239","G239","L239","Q239","V239","AA239","AF239","AK239","AP239","AU239","AZ239","BE239","BJ239","BO239","BT239","BY239","B245","G245","L245","Q245","V245","AA245","AF245","AK245","AP245","AU245","AZ245","BE245","BJ245","BO245","BT245","BY245","B251","G251","L251","Q251","V251","AA251","AF251","AK251","AP251","AU251","AZ251","BE251","BJ251","BO251","BT251","BY251","B257","G257","L257","Q257","V257","AA257","AF257","AK257","AP257","AU257","AZ257","BE257","BJ257","BO257","BT257","BY257","B263","G263","L263","Q263","V263","AA263","AF263","AK263","AP263","AU263","AZ263","BE263","BJ263","BO263","BT263","BY263","B269","G269","L269","Q269"}),"&gt;0"))</f>
        <v>85</v>
      </c>
      <c r="AH269" s="717"/>
      <c r="AI269" s="717"/>
      <c r="AJ269" s="717"/>
      <c r="AK269" s="717"/>
      <c r="AL269" s="33"/>
      <c r="AM269" s="34"/>
      <c r="AN269" s="36"/>
      <c r="AO269" s="528"/>
      <c r="AP269" s="32"/>
      <c r="AQ269" s="33"/>
      <c r="AR269" s="34"/>
      <c r="AS269" s="36"/>
      <c r="AT269" s="528"/>
      <c r="AU269" s="32"/>
      <c r="AV269" s="33"/>
      <c r="AW269" s="34"/>
      <c r="AX269" s="36"/>
      <c r="AY269" s="528"/>
      <c r="AZ269" s="717">
        <v>38</v>
      </c>
      <c r="BA269" s="717"/>
      <c r="BB269" s="717"/>
      <c r="BC269" s="717"/>
      <c r="BD269" s="717"/>
      <c r="BE269" s="32"/>
      <c r="BF269" s="33"/>
      <c r="BG269" s="34"/>
      <c r="BH269" s="36"/>
      <c r="BI269" s="528"/>
      <c r="BJ269" s="32"/>
      <c r="BK269" s="33"/>
      <c r="BL269" s="34"/>
      <c r="BM269" s="36"/>
      <c r="BN269" s="528"/>
      <c r="BO269" s="32"/>
      <c r="BP269" s="717">
        <v>0</v>
      </c>
      <c r="BQ269" s="717"/>
      <c r="BR269" s="717"/>
      <c r="BS269" s="717"/>
      <c r="BT269" s="717"/>
      <c r="BU269" s="33"/>
      <c r="BV269" s="34"/>
      <c r="BW269" s="36"/>
      <c r="BX269" s="528"/>
      <c r="BY269" s="32"/>
      <c r="BZ269" s="33"/>
      <c r="CA269" s="34"/>
      <c r="CB269" s="36"/>
    </row>
    <row r="270" spans="1:135" ht="123" customHeight="1" thickTop="1" x14ac:dyDescent="0.25">
      <c r="A270" s="37"/>
      <c r="B270" s="38"/>
      <c r="C270" s="39"/>
      <c r="D270" s="40"/>
      <c r="E270" s="525"/>
      <c r="F270" s="37"/>
      <c r="G270" s="38"/>
      <c r="H270" s="39"/>
      <c r="I270" s="40"/>
      <c r="J270" s="525"/>
      <c r="K270" s="37"/>
      <c r="L270" s="38"/>
      <c r="M270" s="39"/>
      <c r="N270" s="40"/>
      <c r="O270" s="525"/>
      <c r="P270" s="37"/>
      <c r="Q270" s="38"/>
      <c r="R270" s="39"/>
      <c r="S270" s="40"/>
      <c r="T270" s="525"/>
      <c r="U270" s="37"/>
      <c r="V270" s="38"/>
      <c r="W270" s="39"/>
      <c r="X270" s="45"/>
      <c r="Y270" s="521"/>
      <c r="Z270" s="45"/>
      <c r="AA270" s="45"/>
      <c r="AB270" s="45"/>
      <c r="AC270" s="45"/>
      <c r="AD270" s="521"/>
      <c r="AE270" s="45"/>
      <c r="AF270" s="45"/>
      <c r="AG270" s="717"/>
      <c r="AH270" s="717"/>
      <c r="AI270" s="717"/>
      <c r="AJ270" s="717"/>
      <c r="AK270" s="717"/>
      <c r="AL270" s="39"/>
      <c r="AM270" s="40"/>
      <c r="AN270" s="525"/>
      <c r="AO270" s="37"/>
      <c r="AP270" s="38"/>
      <c r="AQ270" s="39"/>
      <c r="AR270" s="40"/>
      <c r="AS270" s="525"/>
      <c r="AT270" s="37"/>
      <c r="AU270" s="38"/>
      <c r="AV270" s="39"/>
      <c r="AW270" s="40"/>
      <c r="AX270" s="525"/>
      <c r="AY270" s="37"/>
      <c r="AZ270" s="717"/>
      <c r="BA270" s="717"/>
      <c r="BB270" s="717"/>
      <c r="BC270" s="717"/>
      <c r="BD270" s="717"/>
      <c r="BE270" s="38"/>
      <c r="BF270" s="39"/>
      <c r="BG270" s="40"/>
      <c r="BH270" s="525"/>
      <c r="BI270" s="37"/>
      <c r="BJ270" s="38"/>
      <c r="BK270" s="39"/>
      <c r="BL270" s="40"/>
      <c r="BM270" s="525"/>
      <c r="BN270" s="37"/>
      <c r="BO270" s="38"/>
      <c r="BP270" s="717"/>
      <c r="BQ270" s="717"/>
      <c r="BR270" s="717"/>
      <c r="BS270" s="717"/>
      <c r="BT270" s="717"/>
      <c r="BU270" s="39"/>
      <c r="BV270" s="40"/>
      <c r="BW270" s="525"/>
      <c r="BX270" s="37"/>
      <c r="BY270" s="38"/>
      <c r="BZ270" s="39"/>
      <c r="CA270" s="40"/>
      <c r="CB270" s="525"/>
    </row>
    <row r="271" spans="1:135" ht="44.25" customHeight="1" x14ac:dyDescent="0.3">
      <c r="A271" s="674"/>
      <c r="B271" s="674"/>
      <c r="C271" s="674"/>
      <c r="D271" s="675"/>
      <c r="E271" s="675"/>
      <c r="F271" s="44"/>
      <c r="G271" s="702"/>
      <c r="H271" s="702"/>
      <c r="I271" s="702"/>
      <c r="K271" s="45"/>
      <c r="L271" s="45"/>
      <c r="M271" s="45"/>
      <c r="N271" s="45"/>
      <c r="O271" s="521"/>
      <c r="P271" s="45"/>
      <c r="Q271" s="45"/>
      <c r="R271" s="45"/>
      <c r="S271" s="45"/>
      <c r="T271" s="521"/>
      <c r="U271" s="45"/>
      <c r="V271" s="45"/>
      <c r="W271" s="45"/>
      <c r="X271" s="2672" t="s">
        <v>633</v>
      </c>
      <c r="Y271" s="2672"/>
      <c r="Z271" s="2672"/>
      <c r="AA271" s="2672"/>
      <c r="AB271" s="2672"/>
      <c r="AC271" s="2672"/>
      <c r="AD271" s="2672"/>
      <c r="AE271" s="2672"/>
      <c r="AF271" s="2672"/>
      <c r="AG271" s="2672"/>
      <c r="AH271" s="2672"/>
      <c r="AI271" s="2672"/>
      <c r="AJ271" s="2672" t="s">
        <v>730</v>
      </c>
      <c r="AK271" s="2672"/>
      <c r="AL271" s="2672"/>
      <c r="AM271" s="2672"/>
      <c r="AN271" s="2672"/>
      <c r="AO271" s="2672"/>
      <c r="AP271" s="2672"/>
      <c r="AQ271" s="2672"/>
      <c r="AR271" s="2672"/>
      <c r="AS271" s="2672"/>
      <c r="AT271" s="46"/>
      <c r="AU271" s="3048" t="s">
        <v>729</v>
      </c>
      <c r="AV271" s="3048"/>
      <c r="AW271" s="3048"/>
      <c r="AX271" s="3048"/>
      <c r="AY271" s="3048"/>
      <c r="AZ271" s="3048"/>
      <c r="BA271" s="3048"/>
      <c r="BB271" s="3048"/>
      <c r="BC271" s="3048"/>
      <c r="BD271" s="3048"/>
      <c r="BE271" s="3048"/>
      <c r="BF271" s="3048"/>
      <c r="BG271" s="2672" t="s">
        <v>119</v>
      </c>
      <c r="BH271" s="2672"/>
      <c r="BI271" s="2672"/>
      <c r="BJ271" s="2672"/>
      <c r="BK271" s="2672"/>
      <c r="BL271" s="2672"/>
      <c r="BM271" s="2672"/>
      <c r="BN271" s="2672"/>
      <c r="BO271" s="2672"/>
      <c r="BP271" s="2672"/>
      <c r="BQ271" s="707">
        <f>D7+I7+N7+S7+X7+AC7+AH7+AM7+AR7+AW7+BB7+BG7+BL7+BQ7+BV7+CA7+D13+I13+N13+S13+X13+AC13+AH13+AM13+AR13+AW13+BB13+BG13+BL13+BQ13+BV13+CA13+D19+I19+N19+S19+X19+AC19+AH19+AM19+AR19+AW19+BB19+BG19+BL19+BQ19+BV19+CA19+D25+I25+N25+S25+X25+AC25+AH25+AM25+AR25+AW25+BB25+BG25+BL25+BQ25+BV25+CA25+D31+I31+N31+S31+X31+AC31+AH31+AM31+AR31+AW31+BB31+BG31+BL31+BQ31+BV31+CA31+D37+I37+N37+S37+X37+AC37+AH37+AM37+AR37+AW37+BB37+BG37+BL37+BQ37+BV37+CA37+D43+I43+N43+S43+X43+AC43+AH43+AM43+AR43+AW43+BB43+BG43+BL43+BQ43+BV43+CA43+D49+I49+N49+S49+X49+AC49+AH49+AM49+AR49+AW49+BB49+BG49+BL49+BQ49+BV49+CA49+D55+I55+N55+S55+X55+AC55+AH55+AM55+AR55+AW55+BB55+BG55+BL55+BQ55+BV55+CA55+D61+I61+N61+S61+X61+AC61+AH61+AM61+AR61+AW61+BB61+BG61+BL61+BQ61+BV61+CA61+D67+I67+N67+S67+X67+AC67+AH67+AM67+AR67+AW67+BB67+BG67+BL67+BQ67+BV67+CA67+D73+I73+N73+S73+X73+AC73+AH73+AM73+AR73+AW73+BB73+BG73+BL73+BQ73+BV73+CA73+D79+I79+N79+S79+X79+AC79+AH79+AM79+AR79+AW79+BB79+BG79+BL79+BQ79+BV79+CA79+D85+I85+N85+S85+X85+AC85+AH85+AM85+AR85+AW85+BB85+BG85+BL85+BQ85+BV85+CA85+D91+I91+N91+S91+X91+AC91+AH91+AM91+AR91+AW91+BB91+BG91+BL91+BQ91+BV91+CA91+D97+I97+N97+S97+X97+AC97+AH97+AM97+AR97+AW97+BB97+BG97+BL97+BQ97+BV97+CA97+D103+I103+N103+S103+X103+AC103+AH103+AM103+AR103+AW103+BB103+BG103+BL103+BQ103+BV103+CA103+D109+I109+N109+S109+X109+AC109+AH109+AM109+AR109+AW109+BB109+BG109+BL109+BQ109+BV109+CA109+D115+I115+N115+S115+X115+AC115+AH115+AM115+AR115+AW115+BB115+BG115+BL115+BQ115+BV115+CA115+D121+I121+N121+S121+X121+AC121+AH121+AM121+AR121+AW121+BB121+BG121+BL121+BQ121+BV121+CA121+D127+I127+N127+S127+X127+AC127+AH127+AM127+AR127+AW127+BB127+BG127+BL127+BQ127+BV127+CA127+D133+I133+N133+S133+X133+AC133+AH133+AM133+AR133+AW133+BB133+BG133+BL133+BQ133+BV133+CA133+D149+I149+N149+S149+X149+AC149+AH149+AM149+AR149+AW149+BB149+BG149+BL149+BQ149+BV149+CA149+D155+I155+N155+S155+X155+AC155+AH155+AM155+AR155+AW155+BB155+BG155+BL155+BQ155+BV155+CA155+D161+I161+N161+S161+X161+AC161+AH161+AM161+AR161+AW161+BB161+BG161+BL161+BQ161+BV161+CA161+D167+I167+N167+S167+X167+AC167+AH167+AM167+AR167+AW167+BB167+BG167+BL167+BQ167+BV167+CA167+D173+I173+N173+S173+X173+AC173+AH173+AM173+AR173+AW173+BB173+BG173+BL173+BQ173+BV173+CA173+D179+I179+N179+S179+X179+AC179+AH179+AM179+AR179+AW179+BB179+BG179+BL179+BQ179+BV179+CA179+D185+I185+N185+S185+X185+AC185+AH185+AM185+AR185+AW185+BB185+BG185+BL185+BQ185+BV185+CA185+D191+I191+N191+S191+X191+AC191+AH191+AM191+AR191+AW191+BB191+BG191+BL191+BQ191+BV191+CA191+D197+I197+N197+S197+X197+AC197+AH197+AM197+AR197+AW197+BB197+BG197+BL197+BQ197+BV197+CA197+D203+I203+N203+S203+X203+AC203+AH203+AM203+AR203+AW203+BB203+BG203+BL203+BQ203+BV203+CA203+D209+I209+N209+S209+X209+AC209+AH209+AM209+AR209+AW209+BB209+BG209+BL209+BQ209+BV209+CA209+D215+I215+N215+S215+X215+AC215+AH215+AM215+AR215+AW215+BB215+BG215+BL215+BQ215+BV215+CA215+D221+I221+N221+S221+X221+AC221+AH221+AM221+AR221+AW221+BB221+BG221+BL221+BQ221+BV221+CA221+D227+I227+N227+S227+X227+AC227+AH227+AM227+AR227+AW227+BB227+BG227+BL227+BQ227+BV227+CA227+D233+I233+N233+S233+X233+AC233+AH233+AM233+AR233+AW233+BB233+BG233+BL233+BQ233+BV233+CA233+D239+I239+N239+S239+X239+AC239+AH239+AM239+AR239+AW239+BB239+BG239+BL239+BQ239+BV239+CA239+D245+I245+N245+S245+X245+AC245+AH245+AM245+AR245+AW245+BB245+BG245+BL245+BQ245+BV245+CA245+D251+I251+N251+S251+X251+AC251+AH251+AM251+AR251+AW251+BB251+BG251+BL251+BQ251+BV251+CA251+D257+I257+N257+S257+X257+AC257+AH257+AM257+AR257+AW257+BB257+BG257+BL257+BQ257+BV257+CA257+D263+I263+N263+S263+X263+AC263+AH263+AM263+AR263+AW263+BB263+BG263+BL263+BQ263+BV263+CA263</f>
        <v>14</v>
      </c>
      <c r="BR271" s="707"/>
      <c r="BS271" s="707"/>
      <c r="BT271" s="707"/>
      <c r="BU271" s="707"/>
      <c r="BV271" s="707"/>
      <c r="BW271" s="707"/>
      <c r="BX271" s="1802" t="s">
        <v>120</v>
      </c>
      <c r="BY271" s="1802"/>
      <c r="BZ271" s="1802"/>
      <c r="CA271" s="516"/>
      <c r="CB271" s="516"/>
    </row>
    <row r="272" spans="1:135" ht="25.5" customHeight="1" x14ac:dyDescent="0.25">
      <c r="A272" s="676"/>
      <c r="B272" s="676"/>
      <c r="C272" s="676"/>
      <c r="D272" s="29"/>
      <c r="E272" s="524"/>
      <c r="F272" s="47"/>
      <c r="G272" s="702"/>
      <c r="H272" s="702"/>
      <c r="I272" s="702"/>
      <c r="J272" s="526"/>
      <c r="K272" s="45"/>
      <c r="L272" s="45"/>
      <c r="M272" s="45"/>
      <c r="N272" s="45"/>
      <c r="O272" s="521"/>
      <c r="P272" s="45"/>
      <c r="Q272" s="45"/>
      <c r="R272" s="45"/>
      <c r="S272" s="45"/>
      <c r="T272" s="521"/>
      <c r="U272" s="45"/>
      <c r="V272" s="45"/>
      <c r="W272" s="45"/>
      <c r="X272" s="2672"/>
      <c r="Y272" s="2672"/>
      <c r="Z272" s="2672"/>
      <c r="AA272" s="2672"/>
      <c r="AB272" s="2672"/>
      <c r="AC272" s="2672"/>
      <c r="AD272" s="2672"/>
      <c r="AE272" s="2672"/>
      <c r="AF272" s="2672"/>
      <c r="AG272" s="2672"/>
      <c r="AH272" s="2672"/>
      <c r="AI272" s="2672"/>
      <c r="AJ272" s="2672"/>
      <c r="AK272" s="2672"/>
      <c r="AL272" s="2672"/>
      <c r="AM272" s="2672"/>
      <c r="AN272" s="2672"/>
      <c r="AO272" s="2672"/>
      <c r="AP272" s="2672"/>
      <c r="AQ272" s="2672"/>
      <c r="AR272" s="2672"/>
      <c r="AS272" s="2672"/>
      <c r="AT272" s="46"/>
      <c r="AU272" s="3048"/>
      <c r="AV272" s="3048"/>
      <c r="AW272" s="3048"/>
      <c r="AX272" s="3048"/>
      <c r="AY272" s="3048"/>
      <c r="AZ272" s="3048"/>
      <c r="BA272" s="3048"/>
      <c r="BB272" s="3048"/>
      <c r="BC272" s="3048"/>
      <c r="BD272" s="3048"/>
      <c r="BE272" s="3048"/>
      <c r="BF272" s="3048"/>
      <c r="BG272" s="2672"/>
      <c r="BH272" s="2672"/>
      <c r="BI272" s="2672"/>
      <c r="BJ272" s="2672"/>
      <c r="BK272" s="2672"/>
      <c r="BL272" s="2672"/>
      <c r="BM272" s="2672"/>
      <c r="BN272" s="2672"/>
      <c r="BO272" s="2672"/>
      <c r="BP272" s="2672"/>
      <c r="BQ272" s="707"/>
      <c r="BR272" s="707"/>
      <c r="BS272" s="707"/>
      <c r="BT272" s="707"/>
      <c r="BU272" s="707"/>
      <c r="BV272" s="707"/>
      <c r="BW272" s="707"/>
      <c r="BX272" s="1802"/>
      <c r="BY272" s="1802"/>
      <c r="BZ272" s="1802"/>
      <c r="CA272" s="516"/>
      <c r="CB272" s="516"/>
    </row>
    <row r="273" spans="1:80" ht="60" customHeight="1" x14ac:dyDescent="0.25">
      <c r="A273" s="676"/>
      <c r="B273" s="676"/>
      <c r="C273" s="676"/>
      <c r="D273" s="29"/>
      <c r="E273" s="524"/>
      <c r="F273" s="47"/>
      <c r="G273" s="702"/>
      <c r="H273" s="702"/>
      <c r="I273" s="702"/>
      <c r="J273" s="526"/>
      <c r="K273" s="45"/>
      <c r="L273" s="45"/>
      <c r="M273" s="45"/>
      <c r="N273" s="45"/>
      <c r="O273" s="521"/>
      <c r="P273" s="45"/>
      <c r="Q273" s="45"/>
      <c r="R273" s="45"/>
      <c r="S273" s="45"/>
      <c r="T273" s="521"/>
      <c r="U273" s="45"/>
      <c r="V273" s="45"/>
      <c r="W273" s="45"/>
      <c r="X273" s="2672"/>
      <c r="Y273" s="2672"/>
      <c r="Z273" s="2672"/>
      <c r="AA273" s="2672"/>
      <c r="AB273" s="2672"/>
      <c r="AC273" s="2672"/>
      <c r="AD273" s="2672"/>
      <c r="AE273" s="2672"/>
      <c r="AF273" s="2672"/>
      <c r="AG273" s="2672"/>
      <c r="AH273" s="2672"/>
      <c r="AI273" s="2672"/>
      <c r="AJ273" s="2672"/>
      <c r="AK273" s="2672"/>
      <c r="AL273" s="2672"/>
      <c r="AM273" s="2672"/>
      <c r="AN273" s="2672"/>
      <c r="AO273" s="2672"/>
      <c r="AP273" s="2672"/>
      <c r="AQ273" s="2672"/>
      <c r="AR273" s="2672"/>
      <c r="AS273" s="2672"/>
      <c r="AT273" s="46"/>
      <c r="AU273" s="3048"/>
      <c r="AV273" s="3048"/>
      <c r="AW273" s="3048"/>
      <c r="AX273" s="3048"/>
      <c r="AY273" s="3048"/>
      <c r="AZ273" s="3048"/>
      <c r="BA273" s="3048"/>
      <c r="BB273" s="3048"/>
      <c r="BC273" s="3048"/>
      <c r="BD273" s="3048"/>
      <c r="BE273" s="3048"/>
      <c r="BF273" s="3048"/>
      <c r="BG273" s="2672"/>
      <c r="BH273" s="2672"/>
      <c r="BI273" s="2672"/>
      <c r="BJ273" s="2672"/>
      <c r="BK273" s="2672"/>
      <c r="BL273" s="2672"/>
      <c r="BM273" s="2672"/>
      <c r="BN273" s="2672"/>
      <c r="BO273" s="2672"/>
      <c r="BP273" s="2672"/>
      <c r="BQ273" s="707"/>
      <c r="BR273" s="707"/>
      <c r="BS273" s="707"/>
      <c r="BT273" s="707"/>
      <c r="BU273" s="707"/>
      <c r="BV273" s="707"/>
      <c r="BW273" s="707"/>
      <c r="BX273" s="1802"/>
      <c r="BY273" s="1802"/>
      <c r="BZ273" s="1802"/>
      <c r="CA273" s="516"/>
      <c r="CB273" s="516"/>
    </row>
    <row r="274" spans="1:80" ht="61.5" customHeight="1" x14ac:dyDescent="0.25">
      <c r="A274" s="676"/>
      <c r="B274" s="676"/>
      <c r="C274" s="676"/>
      <c r="D274" s="675"/>
      <c r="E274" s="675"/>
      <c r="F274" s="47"/>
      <c r="G274" s="703"/>
      <c r="H274" s="703"/>
      <c r="I274" s="703"/>
      <c r="J274" s="526"/>
      <c r="K274" s="45"/>
      <c r="L274" s="45"/>
      <c r="M274" s="45"/>
      <c r="N274" s="45"/>
      <c r="O274" s="521"/>
      <c r="P274" s="45"/>
      <c r="Q274" s="45"/>
      <c r="R274" s="45"/>
      <c r="S274" s="45"/>
      <c r="T274" s="521"/>
      <c r="U274" s="45"/>
      <c r="V274" s="45"/>
      <c r="W274" s="45"/>
      <c r="X274" s="2672"/>
      <c r="Y274" s="2672"/>
      <c r="Z274" s="2672"/>
      <c r="AA274" s="2672"/>
      <c r="AB274" s="2672"/>
      <c r="AC274" s="2672"/>
      <c r="AD274" s="2672"/>
      <c r="AE274" s="2672"/>
      <c r="AF274" s="2672"/>
      <c r="AG274" s="2672"/>
      <c r="AH274" s="2672"/>
      <c r="AI274" s="2672"/>
      <c r="AJ274" s="2672"/>
      <c r="AK274" s="2672"/>
      <c r="AL274" s="2672"/>
      <c r="AM274" s="2672"/>
      <c r="AN274" s="2672"/>
      <c r="AO274" s="2672"/>
      <c r="AP274" s="2672"/>
      <c r="AQ274" s="2672"/>
      <c r="AR274" s="2672"/>
      <c r="AS274" s="2672"/>
      <c r="AT274" s="46"/>
      <c r="AU274" s="3048"/>
      <c r="AV274" s="3048"/>
      <c r="AW274" s="3048"/>
      <c r="AX274" s="3048"/>
      <c r="AY274" s="3048"/>
      <c r="AZ274" s="3048"/>
      <c r="BA274" s="3048"/>
      <c r="BB274" s="3048"/>
      <c r="BC274" s="3048"/>
      <c r="BD274" s="3048"/>
      <c r="BE274" s="3048"/>
      <c r="BF274" s="3048"/>
      <c r="BG274" s="2672"/>
      <c r="BH274" s="2672"/>
      <c r="BI274" s="2672"/>
      <c r="BJ274" s="2672"/>
      <c r="BK274" s="2672"/>
      <c r="BL274" s="2672"/>
      <c r="BM274" s="2672"/>
      <c r="BN274" s="2672"/>
      <c r="BO274" s="2672"/>
      <c r="BP274" s="2672"/>
      <c r="BQ274" s="707"/>
      <c r="BR274" s="707"/>
      <c r="BS274" s="707"/>
      <c r="BT274" s="707"/>
      <c r="BU274" s="707"/>
      <c r="BV274" s="707"/>
      <c r="BW274" s="707"/>
      <c r="BX274" s="1802"/>
      <c r="BY274" s="1802"/>
      <c r="BZ274" s="1802"/>
      <c r="CA274" s="516"/>
      <c r="CB274" s="516"/>
    </row>
    <row r="275" spans="1:80" ht="21.75" customHeight="1" x14ac:dyDescent="0.3">
      <c r="B275" s="17"/>
      <c r="G275" s="703"/>
      <c r="H275" s="703"/>
      <c r="I275" s="703"/>
      <c r="J275" s="526"/>
      <c r="K275" s="49"/>
      <c r="L275" s="49"/>
      <c r="M275" s="49"/>
      <c r="N275" s="49"/>
      <c r="O275" s="521"/>
      <c r="P275" s="49"/>
      <c r="Q275" s="49"/>
      <c r="R275" s="49"/>
      <c r="S275" s="49"/>
      <c r="T275" s="521"/>
      <c r="U275" s="49"/>
      <c r="V275" s="49"/>
      <c r="W275" s="49"/>
      <c r="X275" s="722"/>
      <c r="Y275" s="722"/>
      <c r="Z275" s="722"/>
      <c r="AA275" s="722"/>
      <c r="AB275" s="722"/>
      <c r="AC275" s="722"/>
      <c r="AD275" s="722"/>
      <c r="AE275" s="722"/>
      <c r="AF275" s="722"/>
      <c r="AG275" s="722"/>
      <c r="AH275" s="722"/>
      <c r="AI275" s="722"/>
      <c r="AJ275" s="3049">
        <f>AU275-Z287</f>
        <v>3.0480010011100092</v>
      </c>
      <c r="AK275" s="3049"/>
      <c r="AL275" s="3049"/>
      <c r="AM275" s="3049"/>
      <c r="AN275" s="3049"/>
      <c r="AO275" s="3049"/>
      <c r="AP275" s="3049"/>
      <c r="AQ275" s="3049"/>
      <c r="AR275" s="3049"/>
      <c r="AS275" s="3049"/>
      <c r="AT275" s="3049"/>
      <c r="AU275" s="3050">
        <f>B7+G7+L7+Q7+V7+AA7+AF7+AK7+AP7+AU7+AZ7+BE7+BJ7+BO7+BT7+BY7+B13+G13+L13+Q13+V13+AA13+AF13+AK13+AP13+AU13+AZ13+BE13+BJ13+BO13+BT13+BY13+B19+G19+L19+Q19+V19+AA19+AF19+AK19+AP19+AU19+AZ19+BE19+BJ19+BO19+BT19+BY19+B25+G25+L25+Q25+V25+AA25+AF25+AK25+AP25+AU25+AZ25+BE25+BJ25+BO25+BT25+BY25+B31+G31+L31+Q31+V31+AA31+AF31+AK31+AP31+AU31+AZ31+BE31+BJ31+BO31+BT31+BY31+B37+G37+L37+Q37+V37+AA37+AF37+AK37+AP37+AU37+AZ37+BE37+BJ37+BO37+BT37+BY37+B43+G43+L43+Q43+V43+AA43+AF43+AK43+AP43+AU43+AZ43+BE43+BJ43+BO43+BT43+BY43+B49+G49+L49+Q49+V49+AA49+AF49+AK49+AP49+AU49+AZ49+BE49+BJ49+BO49+BT49+BY49+B55+G55+L55+Q55+V55+AA55+AF55+AK55+AP55+AU55+AZ55+BE55+BJ55+BO55+BT55+BY55+B61+G61+L61+Q61+V61+AA61+AF61+AK61+AP61+AU61+AZ61+BE61+BJ61+BO61+BT61+BY61+B67+G67+L67+Q67+V67+AA67+AF67+AK67+AP67+AU67+AZ67+BE67+BJ67+BO67+BT67+BY67+B73+G73+L73+Q73+V73+AA73+AF73+AK73+AP73+AU73+AZ73+BE73+BJ73+BO73+BT73+BY73+B79+G79+L79+Q79+V79+AA79+AF79+AK79+AP79+AU79+AZ79+BE79+BJ79+BO79+BT79+BY79+B85+G85+L85+Q85+V85+AA85+AF85+AK85+AP85+AU85+AZ85+BE85+BJ85+BO85+BT85+BY85+B91+G91+L91+Q91+V91+AA91+AF91+AK91+AP91+AU91+AZ91+BE91+BJ91+BO91+BT91+BY91+B97+G97+L97+Q97+V97+AA97+AF97+AK97+AP97+AU97+AZ97+BE97+BJ97+BO97+BT97+BY97+B103+G103+L103+Q103+V103+AA103+AF103+AK103+AP103+AU103+AZ103+BE103+BJ103+BO103+BT103+BY103+B109+G109+L109+Q109+V109+AA109+AF109+AK109+AP109+AU109+AZ109+BE109+BJ109+BO109+BT109+BY109+B115+G115+L115+Q115+V115+AA115+AF115+AK115+AP115+AU115+AZ115+BE115+BJ115+BO115+BT115+BY115+B121+G121+L121+Q121+V121+AA121+AF121+AK121+AP121+AU121+AZ121+BE121+BJ121+BO121+BT121+BY121+B127+G127+L127+Q127+V127+AA127+AF127+AK127+AP127+AU127+AZ127+BE127+BJ127+BO127+BT127+BY127+B133+G133+L133+Q133+V133+AA133+AF133+AK133+AP133+AU133+AZ133+BE133+BJ133+BO133+BT133+BY133+B149+G149+L149+Q149+V149+AA149+AF149+AK149+AP149+AU149+AZ149+BE149+BJ149+BO149+BT149+BY149+B155+G155+L155+Q155+V155+AA155+AF155+AK155+AP155+AU155+AZ155+BE155+BJ155+BO155+BT155+BY155+B161+G161+L161+Q161+V161+AA161+AF161+AK161+AP161+AU161+AZ161+BE161+BJ161+BO161+BT161+BY161+B167+G167+L167+Q167+V167+AA167+AF167+AK167+AP167+AU167+AZ167+BE167+BJ167+BO167+BT167+BY167+B173+G173+L173+Q173+V173+AA173+AF173+AK173+AP173+AU173+AZ173+BE173+BJ173+BO173+BT173+BY173+B179+G179+L179+Q179+V179+AA179+AF179+AK179+AP179+AU179+AZ179+BE179+BJ179+BO179+BT179+BY179+B185+G185+L185+Q185+V185+AA185+AF185+AK185+AP185+AU185+AZ185+BE185+BJ185+BO185+BT185+BY185+B191+G191+L191+Q191+V191+AA191+AF191+AK191+AP191+AU191+AZ191+BE191+BJ191+BO191+BT191+BY191+B197+G197+L197+Q197+V197+AA197+AF197+AK197+AP197+AU197+AZ197+BE197+BJ197+BO197+BT197+BY197+B203+G203+L203+Q203+V203+AA203+AF203+AK203+AP203+AU203+AZ203+BE203+BJ203+BO203+BT203+BY203+B209+G209+L209+Q209+V209+AA209+AF209+AK209+AP209+AU209+AZ209+BE209+BJ209+BO209+BT209+BY209+B215+G215+L215+Q215+V215+AA215+AF215+AK215+AP215+AU215+AZ215+BE215+BJ215+BO215+BT215+BY215+B221+G221+L221+Q221+V221+AA221+AF221+AK221+AP221+AU221+AZ221+BE221+BJ221+BO221+BT221+BY221+B227+G227+L227+Q227+V227+AA227+AF227+AK227+AP227+AU227+AZ227+BE227+BJ227+BO227+BT227+BY227+B233+G233+L233+Q233+V233+AA233+AF233+AK233+AP233+AU233+AZ233+BE233+BJ233+BO233+BT233+BY233+B239+G239+L239+Q239+V239+AA239+AF239+AK239+AP239+AU239+AZ239+BE239+BJ239+BO239+BT239+BY239+B245+G245+L245+Q245+V245+AA245+AF245+AK245+AP245+AU245+AZ245+BE245+BJ245+BO245+BT245+BY245+B251+G251+L251+Q251+V251+AA251+AF251+AK251+AP251+AU251+AZ251+BE251+BJ251+BO251+BT251+BY251+B257+G257+L257+Q257+V257+AA257+AF257+AK257+AP257+AU257+AZ257+BE257+BJ257+BO257+BT257+BY257+B263+G263+L263+Q263+V263+AA263+AF263+AK263+AP263+AU263+AZ263+BE263+BJ263+BO263+BT263+BY263+B269+G269+L269+Q269</f>
        <v>24.53640203410832</v>
      </c>
      <c r="AV275" s="3050"/>
      <c r="AW275" s="3050"/>
      <c r="AX275" s="3050"/>
      <c r="AY275" s="3050"/>
      <c r="AZ275" s="3050"/>
      <c r="BA275" s="3050"/>
      <c r="BB275" s="3050"/>
      <c r="BC275" s="3050"/>
      <c r="BD275" s="3050"/>
      <c r="BE275" s="3050"/>
      <c r="BF275" s="3050"/>
      <c r="BG275" s="2672"/>
      <c r="BH275" s="2672"/>
      <c r="BI275" s="2672"/>
      <c r="BJ275" s="2672"/>
      <c r="BK275" s="2672"/>
      <c r="BL275" s="2672"/>
      <c r="BM275" s="2672"/>
      <c r="BN275" s="2672"/>
      <c r="BO275" s="2672"/>
      <c r="BP275" s="2672"/>
      <c r="BQ275" s="723">
        <f>BQ271*1.5</f>
        <v>21</v>
      </c>
      <c r="BR275" s="723"/>
      <c r="BS275" s="723"/>
      <c r="BT275" s="723"/>
      <c r="BU275" s="723"/>
      <c r="BV275" s="723"/>
      <c r="BW275" s="723"/>
      <c r="BX275" s="723"/>
      <c r="BY275" s="723"/>
      <c r="BZ275" s="723"/>
      <c r="CA275" s="517"/>
      <c r="CB275" s="521"/>
    </row>
    <row r="276" spans="1:80" ht="21.75" customHeight="1" x14ac:dyDescent="0.3">
      <c r="G276" s="703"/>
      <c r="H276" s="703"/>
      <c r="I276" s="703"/>
      <c r="J276" s="527"/>
      <c r="K276" s="45"/>
      <c r="L276" s="45"/>
      <c r="M276" s="45"/>
      <c r="N276" s="45"/>
      <c r="O276" s="521"/>
      <c r="P276" s="45"/>
      <c r="Q276" s="45"/>
      <c r="R276" s="45"/>
      <c r="S276" s="45"/>
      <c r="T276" s="521"/>
      <c r="U276" s="45"/>
      <c r="V276" s="45"/>
      <c r="W276" s="45"/>
      <c r="X276" s="722"/>
      <c r="Y276" s="722"/>
      <c r="Z276" s="722"/>
      <c r="AA276" s="722"/>
      <c r="AB276" s="722"/>
      <c r="AC276" s="722"/>
      <c r="AD276" s="722"/>
      <c r="AE276" s="722"/>
      <c r="AF276" s="722"/>
      <c r="AG276" s="722"/>
      <c r="AH276" s="722"/>
      <c r="AI276" s="722"/>
      <c r="AJ276" s="3049"/>
      <c r="AK276" s="3049"/>
      <c r="AL276" s="3049"/>
      <c r="AM276" s="3049"/>
      <c r="AN276" s="3049"/>
      <c r="AO276" s="3049"/>
      <c r="AP276" s="3049"/>
      <c r="AQ276" s="3049"/>
      <c r="AR276" s="3049"/>
      <c r="AS276" s="3049"/>
      <c r="AT276" s="3049"/>
      <c r="AU276" s="3050"/>
      <c r="AV276" s="3050"/>
      <c r="AW276" s="3050"/>
      <c r="AX276" s="3050"/>
      <c r="AY276" s="3050"/>
      <c r="AZ276" s="3050"/>
      <c r="BA276" s="3050"/>
      <c r="BB276" s="3050"/>
      <c r="BC276" s="3050"/>
      <c r="BD276" s="3050"/>
      <c r="BE276" s="3050"/>
      <c r="BF276" s="3050"/>
      <c r="BG276" s="2672"/>
      <c r="BH276" s="2672"/>
      <c r="BI276" s="2672"/>
      <c r="BJ276" s="2672"/>
      <c r="BK276" s="2672"/>
      <c r="BL276" s="2672"/>
      <c r="BM276" s="2672"/>
      <c r="BN276" s="2672"/>
      <c r="BO276" s="2672"/>
      <c r="BP276" s="2672"/>
      <c r="BQ276" s="723"/>
      <c r="BR276" s="723"/>
      <c r="BS276" s="723"/>
      <c r="BT276" s="723"/>
      <c r="BU276" s="723"/>
      <c r="BV276" s="723"/>
      <c r="BW276" s="723"/>
      <c r="BX276" s="723"/>
      <c r="BY276" s="723"/>
      <c r="BZ276" s="723"/>
      <c r="CB276" s="521"/>
    </row>
    <row r="277" spans="1:80" ht="25.5" customHeight="1" x14ac:dyDescent="0.3">
      <c r="G277" s="709"/>
      <c r="H277" s="709"/>
      <c r="I277" s="709"/>
      <c r="J277" s="527"/>
      <c r="K277" s="45"/>
      <c r="L277" s="45"/>
      <c r="M277" s="45"/>
      <c r="N277" s="45"/>
      <c r="O277" s="521"/>
      <c r="P277" s="45"/>
      <c r="Q277" s="45"/>
      <c r="R277" s="45"/>
      <c r="S277" s="45"/>
      <c r="T277" s="521"/>
      <c r="U277" s="45"/>
      <c r="V277" s="45"/>
      <c r="W277" s="45"/>
      <c r="X277" s="722"/>
      <c r="Y277" s="722"/>
      <c r="Z277" s="722"/>
      <c r="AA277" s="722"/>
      <c r="AB277" s="722"/>
      <c r="AC277" s="722"/>
      <c r="AD277" s="722"/>
      <c r="AE277" s="722"/>
      <c r="AF277" s="722"/>
      <c r="AG277" s="722"/>
      <c r="AH277" s="722"/>
      <c r="AI277" s="722"/>
      <c r="AJ277" s="3049"/>
      <c r="AK277" s="3049"/>
      <c r="AL277" s="3049"/>
      <c r="AM277" s="3049"/>
      <c r="AN277" s="3049"/>
      <c r="AO277" s="3049"/>
      <c r="AP277" s="3049"/>
      <c r="AQ277" s="3049"/>
      <c r="AR277" s="3049"/>
      <c r="AS277" s="3049"/>
      <c r="AT277" s="3049"/>
      <c r="AU277" s="3050"/>
      <c r="AV277" s="3050"/>
      <c r="AW277" s="3050"/>
      <c r="AX277" s="3050"/>
      <c r="AY277" s="3050"/>
      <c r="AZ277" s="3050"/>
      <c r="BA277" s="3050"/>
      <c r="BB277" s="3050"/>
      <c r="BC277" s="3050"/>
      <c r="BD277" s="3050"/>
      <c r="BE277" s="3050"/>
      <c r="BF277" s="3050"/>
      <c r="BG277" s="2672"/>
      <c r="BH277" s="2672"/>
      <c r="BI277" s="2672"/>
      <c r="BJ277" s="2672"/>
      <c r="BK277" s="2672"/>
      <c r="BL277" s="2672"/>
      <c r="BM277" s="2672"/>
      <c r="BN277" s="2672"/>
      <c r="BO277" s="2672"/>
      <c r="BP277" s="2672"/>
      <c r="BQ277" s="723"/>
      <c r="BR277" s="723"/>
      <c r="BS277" s="723"/>
      <c r="BT277" s="723"/>
      <c r="BU277" s="723"/>
      <c r="BV277" s="723"/>
      <c r="BW277" s="723"/>
      <c r="BX277" s="723"/>
      <c r="BY277" s="723"/>
      <c r="BZ277" s="723"/>
      <c r="CB277" s="521"/>
    </row>
    <row r="278" spans="1:80" ht="26.25" customHeight="1" x14ac:dyDescent="0.3">
      <c r="G278" s="709"/>
      <c r="H278" s="709"/>
      <c r="I278" s="709"/>
      <c r="J278" s="527"/>
      <c r="K278" s="45"/>
      <c r="L278" s="45"/>
      <c r="M278" s="45"/>
      <c r="N278" s="45"/>
      <c r="O278" s="521"/>
      <c r="P278" s="45"/>
      <c r="Q278" s="45"/>
      <c r="R278" s="45"/>
      <c r="S278" s="45"/>
      <c r="T278" s="521"/>
      <c r="U278" s="45"/>
      <c r="V278" s="45"/>
      <c r="W278" s="45"/>
      <c r="X278" s="722"/>
      <c r="Y278" s="722"/>
      <c r="Z278" s="722"/>
      <c r="AA278" s="722"/>
      <c r="AB278" s="722"/>
      <c r="AC278" s="722"/>
      <c r="AD278" s="722"/>
      <c r="AE278" s="722"/>
      <c r="AF278" s="722"/>
      <c r="AG278" s="722"/>
      <c r="AH278" s="722"/>
      <c r="AI278" s="722"/>
      <c r="AJ278" s="3049"/>
      <c r="AK278" s="3049"/>
      <c r="AL278" s="3049"/>
      <c r="AM278" s="3049"/>
      <c r="AN278" s="3049"/>
      <c r="AO278" s="3049"/>
      <c r="AP278" s="3049"/>
      <c r="AQ278" s="3049"/>
      <c r="AR278" s="3049"/>
      <c r="AS278" s="3049"/>
      <c r="AT278" s="3049"/>
      <c r="AU278" s="3050"/>
      <c r="AV278" s="3050"/>
      <c r="AW278" s="3050"/>
      <c r="AX278" s="3050"/>
      <c r="AY278" s="3050"/>
      <c r="AZ278" s="3050"/>
      <c r="BA278" s="3050"/>
      <c r="BB278" s="3050"/>
      <c r="BC278" s="3050"/>
      <c r="BD278" s="3050"/>
      <c r="BE278" s="3050"/>
      <c r="BF278" s="3050"/>
      <c r="BG278" s="2672"/>
      <c r="BH278" s="2672"/>
      <c r="BI278" s="2672"/>
      <c r="BJ278" s="2672"/>
      <c r="BK278" s="2672"/>
      <c r="BL278" s="2672"/>
      <c r="BM278" s="2672"/>
      <c r="BN278" s="2672"/>
      <c r="BO278" s="2672"/>
      <c r="BP278" s="2672"/>
      <c r="BQ278" s="723"/>
      <c r="BR278" s="723"/>
      <c r="BS278" s="723"/>
      <c r="BT278" s="723"/>
      <c r="BU278" s="723"/>
      <c r="BV278" s="723"/>
      <c r="BW278" s="723"/>
      <c r="BX278" s="723"/>
      <c r="BY278" s="723"/>
      <c r="BZ278" s="723"/>
      <c r="CB278" s="521"/>
    </row>
    <row r="279" spans="1:80" ht="41.25" customHeight="1" x14ac:dyDescent="0.3">
      <c r="G279" s="709"/>
      <c r="H279" s="709"/>
      <c r="I279" s="709"/>
      <c r="J279" s="527"/>
      <c r="K279" s="45"/>
      <c r="L279" s="45"/>
      <c r="M279" s="45"/>
      <c r="N279" s="45"/>
      <c r="O279" s="521"/>
      <c r="P279" s="45"/>
      <c r="Q279" s="45"/>
      <c r="R279" s="45"/>
      <c r="S279" s="45"/>
      <c r="T279" s="521"/>
      <c r="U279" s="45"/>
      <c r="V279" s="45"/>
      <c r="W279" s="45"/>
      <c r="X279" s="722"/>
      <c r="Y279" s="722"/>
      <c r="Z279" s="722"/>
      <c r="AA279" s="722"/>
      <c r="AB279" s="722"/>
      <c r="AC279" s="722"/>
      <c r="AD279" s="722"/>
      <c r="AE279" s="722"/>
      <c r="AF279" s="722"/>
      <c r="AG279" s="722"/>
      <c r="AH279" s="722"/>
      <c r="AI279" s="722"/>
      <c r="AJ279" s="3049"/>
      <c r="AK279" s="3049"/>
      <c r="AL279" s="3049"/>
      <c r="AM279" s="3049"/>
      <c r="AN279" s="3049"/>
      <c r="AO279" s="3049"/>
      <c r="AP279" s="3049"/>
      <c r="AQ279" s="3049"/>
      <c r="AR279" s="3049"/>
      <c r="AS279" s="3049"/>
      <c r="AT279" s="3049"/>
      <c r="AU279" s="3050"/>
      <c r="AV279" s="3050"/>
      <c r="AW279" s="3050"/>
      <c r="AX279" s="3050"/>
      <c r="AY279" s="3050"/>
      <c r="AZ279" s="3050"/>
      <c r="BA279" s="3050"/>
      <c r="BB279" s="3050"/>
      <c r="BC279" s="3050"/>
      <c r="BD279" s="3050"/>
      <c r="BE279" s="3050"/>
      <c r="BF279" s="3050"/>
      <c r="BG279" s="2672"/>
      <c r="BH279" s="2672"/>
      <c r="BI279" s="2672"/>
      <c r="BJ279" s="2672"/>
      <c r="BK279" s="2672"/>
      <c r="BL279" s="2672"/>
      <c r="BM279" s="2672"/>
      <c r="BN279" s="2672"/>
      <c r="BO279" s="2672"/>
      <c r="BP279" s="2672"/>
      <c r="BQ279" s="2672" t="s">
        <v>121</v>
      </c>
      <c r="BR279" s="2672"/>
      <c r="BS279" s="2672"/>
      <c r="BT279" s="2672"/>
      <c r="BU279" s="2672"/>
      <c r="BV279" s="2672"/>
      <c r="BW279" s="2672"/>
      <c r="BX279" s="2672"/>
      <c r="BY279" s="2672"/>
      <c r="BZ279" s="2672"/>
      <c r="CB279" s="521"/>
    </row>
    <row r="280" spans="1:80" ht="114.75" customHeight="1" x14ac:dyDescent="0.3">
      <c r="G280" s="709"/>
      <c r="H280" s="709"/>
      <c r="I280" s="709"/>
      <c r="J280" s="527"/>
      <c r="K280" s="49"/>
      <c r="L280" s="49"/>
      <c r="M280" s="49"/>
      <c r="N280" s="49"/>
      <c r="O280" s="521"/>
      <c r="P280" s="49"/>
      <c r="Q280" s="49"/>
      <c r="R280" s="49"/>
      <c r="S280" s="49"/>
      <c r="T280" s="521"/>
      <c r="U280" s="49"/>
      <c r="V280" s="49"/>
      <c r="W280" s="49"/>
      <c r="X280" s="722"/>
      <c r="Y280" s="722"/>
      <c r="Z280" s="722"/>
      <c r="AA280" s="722"/>
      <c r="AB280" s="722"/>
      <c r="AC280" s="722"/>
      <c r="AD280" s="722"/>
      <c r="AE280" s="722"/>
      <c r="AF280" s="722"/>
      <c r="AG280" s="722"/>
      <c r="AH280" s="722"/>
      <c r="AI280" s="722"/>
      <c r="AJ280" s="3049"/>
      <c r="AK280" s="3049"/>
      <c r="AL280" s="3049"/>
      <c r="AM280" s="3049"/>
      <c r="AN280" s="3049"/>
      <c r="AO280" s="3049"/>
      <c r="AP280" s="3049"/>
      <c r="AQ280" s="3049"/>
      <c r="AR280" s="3049"/>
      <c r="AS280" s="3049"/>
      <c r="AT280" s="3049"/>
      <c r="AU280" s="3050"/>
      <c r="AV280" s="3050"/>
      <c r="AW280" s="3050"/>
      <c r="AX280" s="3050"/>
      <c r="AY280" s="3050"/>
      <c r="AZ280" s="3050"/>
      <c r="BA280" s="3050"/>
      <c r="BB280" s="3050"/>
      <c r="BC280" s="3050"/>
      <c r="BD280" s="3050"/>
      <c r="BE280" s="3050"/>
      <c r="BF280" s="3050"/>
      <c r="BG280" s="2672"/>
      <c r="BH280" s="2672"/>
      <c r="BI280" s="2672"/>
      <c r="BJ280" s="2672"/>
      <c r="BK280" s="2672"/>
      <c r="BL280" s="2672"/>
      <c r="BM280" s="2672"/>
      <c r="BN280" s="2672"/>
      <c r="BO280" s="2672"/>
      <c r="BP280" s="2672"/>
      <c r="BQ280" s="2672"/>
      <c r="BR280" s="2672"/>
      <c r="BS280" s="2672"/>
      <c r="BT280" s="2672"/>
      <c r="BU280" s="2672"/>
      <c r="BV280" s="2672"/>
      <c r="BW280" s="2672"/>
      <c r="BX280" s="2672"/>
      <c r="BY280" s="2672"/>
      <c r="BZ280" s="2672"/>
      <c r="CA280" s="515"/>
      <c r="CB280" s="521"/>
    </row>
    <row r="281" spans="1:80" x14ac:dyDescent="0.3">
      <c r="X281" s="496" t="s">
        <v>667</v>
      </c>
    </row>
    <row r="286" spans="1:80" ht="19.5" thickBot="1" x14ac:dyDescent="0.35"/>
    <row r="287" spans="1:80" ht="19.5" thickTop="1" x14ac:dyDescent="0.3">
      <c r="Z287" s="775">
        <v>21.488401032998311</v>
      </c>
      <c r="AA287" s="776"/>
      <c r="AB287" s="776"/>
      <c r="AC287" s="776"/>
      <c r="AD287" s="777"/>
      <c r="AH287" s="727" t="s">
        <v>122</v>
      </c>
      <c r="AI287" s="727"/>
      <c r="AJ287" s="727"/>
      <c r="AK287" s="727" t="s">
        <v>123</v>
      </c>
      <c r="AL287" s="727"/>
      <c r="AM287" s="727"/>
      <c r="AN287" s="727" t="s">
        <v>124</v>
      </c>
      <c r="AO287" s="727"/>
      <c r="AP287" s="727" t="s">
        <v>125</v>
      </c>
      <c r="AQ287" s="727"/>
      <c r="AU287" s="739" t="s">
        <v>126</v>
      </c>
      <c r="AV287" s="740"/>
      <c r="AW287" s="740"/>
      <c r="AX287" s="740"/>
      <c r="AY287" s="740"/>
      <c r="AZ287" s="740"/>
      <c r="BA287" s="740"/>
      <c r="BB287" s="740"/>
      <c r="BC287" s="740"/>
      <c r="BD287" s="741"/>
      <c r="BE287" s="13"/>
    </row>
    <row r="288" spans="1:80" x14ac:dyDescent="0.3">
      <c r="Z288" s="778"/>
      <c r="AA288" s="779"/>
      <c r="AB288" s="779"/>
      <c r="AC288" s="779"/>
      <c r="AD288" s="780"/>
      <c r="AH288" s="727"/>
      <c r="AI288" s="727"/>
      <c r="AJ288" s="727"/>
      <c r="AK288" s="727"/>
      <c r="AL288" s="727"/>
      <c r="AM288" s="727"/>
      <c r="AN288" s="727"/>
      <c r="AO288" s="727"/>
      <c r="AP288" s="727"/>
      <c r="AQ288" s="727"/>
      <c r="AU288" s="750"/>
      <c r="AV288" s="751"/>
      <c r="AW288" s="751"/>
      <c r="AX288" s="751"/>
      <c r="AY288" s="751"/>
      <c r="AZ288" s="751"/>
      <c r="BA288" s="751"/>
      <c r="BB288" s="751"/>
      <c r="BC288" s="751"/>
      <c r="BD288" s="752"/>
      <c r="BE288" s="13"/>
    </row>
    <row r="289" spans="26:94" x14ac:dyDescent="0.3">
      <c r="Z289" s="778"/>
      <c r="AA289" s="779"/>
      <c r="AB289" s="779"/>
      <c r="AC289" s="779"/>
      <c r="AD289" s="780"/>
      <c r="AH289" s="727"/>
      <c r="AI289" s="727"/>
      <c r="AJ289" s="727"/>
      <c r="AK289" s="727"/>
      <c r="AL289" s="727"/>
      <c r="AM289" s="727"/>
      <c r="AN289" s="727"/>
      <c r="AO289" s="727"/>
      <c r="AP289" s="727"/>
      <c r="AQ289" s="727"/>
      <c r="AU289" s="742"/>
      <c r="AV289" s="743"/>
      <c r="AW289" s="743"/>
      <c r="AX289" s="743"/>
      <c r="AY289" s="743"/>
      <c r="AZ289" s="743"/>
      <c r="BA289" s="743"/>
      <c r="BB289" s="743"/>
      <c r="BC289" s="743"/>
      <c r="BD289" s="744"/>
      <c r="BE289" s="13"/>
    </row>
    <row r="290" spans="26:94" x14ac:dyDescent="0.3">
      <c r="Z290" s="778"/>
      <c r="AA290" s="779"/>
      <c r="AB290" s="779"/>
      <c r="AC290" s="779"/>
      <c r="AD290" s="780"/>
      <c r="AH290" s="774">
        <v>44598.5</v>
      </c>
      <c r="AI290" s="774"/>
      <c r="AJ290" s="774"/>
      <c r="AK290" s="774">
        <f ca="1">AP390</f>
        <v>6234</v>
      </c>
      <c r="AL290" s="774"/>
      <c r="AM290" s="774"/>
      <c r="AN290" s="2669">
        <f>AU275</f>
        <v>24.53640203410832</v>
      </c>
      <c r="AO290" s="2669"/>
      <c r="AP290" s="726">
        <f>AU275+BQ275</f>
        <v>45.53640203410832</v>
      </c>
      <c r="AQ290" s="726"/>
      <c r="AU290" s="727" t="s">
        <v>128</v>
      </c>
      <c r="AV290" s="727"/>
      <c r="AW290" s="727"/>
      <c r="AX290" s="727"/>
      <c r="AY290" s="727"/>
      <c r="AZ290" s="727"/>
      <c r="BA290" s="727"/>
      <c r="BB290" s="727"/>
      <c r="BC290" s="727"/>
      <c r="BD290" s="727"/>
      <c r="BE290" s="13"/>
    </row>
    <row r="291" spans="26:94" x14ac:dyDescent="0.3">
      <c r="Z291" s="778"/>
      <c r="AA291" s="779"/>
      <c r="AB291" s="779"/>
      <c r="AC291" s="779"/>
      <c r="AD291" s="780"/>
      <c r="AH291" s="774"/>
      <c r="AI291" s="774"/>
      <c r="AJ291" s="774"/>
      <c r="AK291" s="774"/>
      <c r="AL291" s="774"/>
      <c r="AM291" s="774"/>
      <c r="AN291" s="2669"/>
      <c r="AO291" s="2669"/>
      <c r="AP291" s="726"/>
      <c r="AQ291" s="726"/>
      <c r="AU291" s="727"/>
      <c r="AV291" s="727"/>
      <c r="AW291" s="727"/>
      <c r="AX291" s="727"/>
      <c r="AY291" s="727"/>
      <c r="AZ291" s="727"/>
      <c r="BA291" s="727"/>
      <c r="BB291" s="727"/>
      <c r="BC291" s="727"/>
      <c r="BD291" s="727"/>
      <c r="BE291" s="13"/>
    </row>
    <row r="292" spans="26:94" ht="26.25" x14ac:dyDescent="0.3">
      <c r="Z292" s="778"/>
      <c r="AA292" s="779"/>
      <c r="AB292" s="779"/>
      <c r="AC292" s="779"/>
      <c r="AD292" s="780"/>
      <c r="AH292" s="774"/>
      <c r="AI292" s="774"/>
      <c r="AJ292" s="774"/>
      <c r="AK292" s="774"/>
      <c r="AL292" s="774"/>
      <c r="AM292" s="774"/>
      <c r="AN292" s="2669"/>
      <c r="AO292" s="2669"/>
      <c r="AP292" s="726"/>
      <c r="AQ292" s="726"/>
      <c r="AU292" s="728">
        <f ca="1">AN290/((36*3.1415/59)*(AK290/3.281))</f>
        <v>6.7369412226300513E-3</v>
      </c>
      <c r="AV292" s="729"/>
      <c r="AW292" s="729"/>
      <c r="AX292" s="729"/>
      <c r="AY292" s="729"/>
      <c r="AZ292" s="729"/>
      <c r="BA292" s="729"/>
      <c r="BB292" s="729"/>
      <c r="BC292" s="729"/>
      <c r="BD292" s="730"/>
      <c r="BE292" s="57"/>
    </row>
    <row r="293" spans="26:94" ht="27" thickBot="1" x14ac:dyDescent="0.35">
      <c r="Z293" s="781"/>
      <c r="AA293" s="782"/>
      <c r="AB293" s="782"/>
      <c r="AC293" s="782"/>
      <c r="AD293" s="783"/>
      <c r="AH293" s="774"/>
      <c r="AI293" s="774"/>
      <c r="AJ293" s="774"/>
      <c r="AK293" s="774"/>
      <c r="AL293" s="774"/>
      <c r="AM293" s="774"/>
      <c r="AN293" s="2669"/>
      <c r="AO293" s="2669"/>
      <c r="AP293" s="726"/>
      <c r="AQ293" s="726"/>
      <c r="AU293" s="731"/>
      <c r="AV293" s="732"/>
      <c r="AW293" s="732"/>
      <c r="AX293" s="732"/>
      <c r="AY293" s="732"/>
      <c r="AZ293" s="732"/>
      <c r="BA293" s="732"/>
      <c r="BB293" s="732"/>
      <c r="BC293" s="732"/>
      <c r="BD293" s="733"/>
      <c r="BE293" s="57"/>
    </row>
    <row r="294" spans="26:94" ht="27" thickTop="1" x14ac:dyDescent="0.3">
      <c r="AU294" s="734"/>
      <c r="AV294" s="735"/>
      <c r="AW294" s="735"/>
      <c r="AX294" s="735"/>
      <c r="AY294" s="735"/>
      <c r="AZ294" s="735"/>
      <c r="BA294" s="735"/>
      <c r="BB294" s="735"/>
      <c r="BC294" s="735"/>
      <c r="BD294" s="736"/>
      <c r="BE294" s="57"/>
      <c r="CG294" s="737" t="s">
        <v>135</v>
      </c>
      <c r="CH294" s="737"/>
      <c r="CI294" s="737"/>
      <c r="CJ294" s="737"/>
      <c r="CK294" s="737"/>
      <c r="CL294" s="737"/>
      <c r="CM294" s="737"/>
      <c r="CN294" s="737"/>
      <c r="CO294" s="737"/>
      <c r="CP294" s="737"/>
    </row>
    <row r="295" spans="26:94" x14ac:dyDescent="0.3">
      <c r="AU295" s="739" t="s">
        <v>129</v>
      </c>
      <c r="AV295" s="740"/>
      <c r="AW295" s="740"/>
      <c r="AX295" s="740"/>
      <c r="AY295" s="740"/>
      <c r="AZ295" s="740"/>
      <c r="BA295" s="740"/>
      <c r="BB295" s="740"/>
      <c r="BC295" s="740"/>
      <c r="BD295" s="741"/>
      <c r="BE295" s="13"/>
      <c r="CG295" s="737"/>
      <c r="CH295" s="737"/>
      <c r="CI295" s="737"/>
      <c r="CJ295" s="737"/>
      <c r="CK295" s="737"/>
      <c r="CL295" s="737"/>
      <c r="CM295" s="737"/>
      <c r="CN295" s="737"/>
      <c r="CO295" s="737"/>
      <c r="CP295" s="737"/>
    </row>
    <row r="296" spans="26:94" x14ac:dyDescent="0.3">
      <c r="AU296" s="742"/>
      <c r="AV296" s="743"/>
      <c r="AW296" s="743"/>
      <c r="AX296" s="743"/>
      <c r="AY296" s="743"/>
      <c r="AZ296" s="743"/>
      <c r="BA296" s="743"/>
      <c r="BB296" s="743"/>
      <c r="BC296" s="743"/>
      <c r="BD296" s="744"/>
      <c r="BE296" s="13"/>
      <c r="CG296" s="738"/>
      <c r="CH296" s="738"/>
      <c r="CI296" s="738"/>
      <c r="CJ296" s="738"/>
      <c r="CK296" s="738"/>
      <c r="CL296" s="738"/>
      <c r="CM296" s="738"/>
      <c r="CN296" s="738"/>
      <c r="CO296" s="738"/>
      <c r="CP296" s="738"/>
    </row>
    <row r="297" spans="26:94" ht="18.75" customHeight="1" x14ac:dyDescent="0.3">
      <c r="AJ297" s="745">
        <v>44</v>
      </c>
      <c r="AK297" s="745"/>
      <c r="AL297" s="745"/>
      <c r="AM297" s="746" cm="1">
        <f t="array" aca="1" ref="AM297" ca="1">SUM(COUNTIF(INDIRECT({"B7","G7","L7","Q7","V7","AA7","AF7","AK7","AP7"}),"&gt;0"))</f>
        <v>0</v>
      </c>
      <c r="AN297" s="746"/>
      <c r="AO297" s="746"/>
      <c r="AP297" s="747">
        <f ca="1">AM297*AJ297</f>
        <v>0</v>
      </c>
      <c r="AQ297" s="748"/>
      <c r="AR297" s="748"/>
      <c r="AS297" s="749"/>
      <c r="AU297" s="739" t="s">
        <v>130</v>
      </c>
      <c r="AV297" s="740"/>
      <c r="AW297" s="740"/>
      <c r="AX297" s="740"/>
      <c r="AY297" s="740"/>
      <c r="AZ297" s="740"/>
      <c r="BA297" s="740"/>
      <c r="BB297" s="740"/>
      <c r="BC297" s="740"/>
      <c r="BD297" s="741"/>
      <c r="BE297" s="13"/>
      <c r="BM297"/>
      <c r="BR297"/>
      <c r="BW297"/>
      <c r="CB297"/>
      <c r="CG297" s="739" t="s">
        <v>126</v>
      </c>
      <c r="CH297" s="740"/>
      <c r="CI297" s="740"/>
      <c r="CJ297" s="740"/>
      <c r="CK297" s="740"/>
      <c r="CL297" s="740"/>
      <c r="CM297" s="740"/>
      <c r="CN297" s="740"/>
      <c r="CO297" s="740"/>
      <c r="CP297" s="741"/>
    </row>
    <row r="298" spans="26:94" ht="18.75" customHeight="1" x14ac:dyDescent="0.3">
      <c r="AJ298" s="745"/>
      <c r="AK298" s="745"/>
      <c r="AL298" s="745"/>
      <c r="AM298" s="746"/>
      <c r="AN298" s="746"/>
      <c r="AO298" s="746"/>
      <c r="AP298" s="747"/>
      <c r="AQ298" s="748"/>
      <c r="AR298" s="748"/>
      <c r="AS298" s="749"/>
      <c r="AU298" s="750"/>
      <c r="AV298" s="751"/>
      <c r="AW298" s="751"/>
      <c r="AX298" s="751"/>
      <c r="AY298" s="751"/>
      <c r="AZ298" s="751"/>
      <c r="BA298" s="751"/>
      <c r="BB298" s="751"/>
      <c r="BC298" s="751"/>
      <c r="BD298" s="752"/>
      <c r="BE298" s="13"/>
      <c r="BM298"/>
      <c r="BR298"/>
      <c r="BW298"/>
      <c r="CB298"/>
      <c r="CG298" s="750"/>
      <c r="CH298" s="751"/>
      <c r="CI298" s="751"/>
      <c r="CJ298" s="751"/>
      <c r="CK298" s="751"/>
      <c r="CL298" s="751"/>
      <c r="CM298" s="751"/>
      <c r="CN298" s="751"/>
      <c r="CO298" s="751"/>
      <c r="CP298" s="752"/>
    </row>
    <row r="299" spans="26:94" ht="18.75" customHeight="1" x14ac:dyDescent="0.3">
      <c r="AJ299" s="745"/>
      <c r="AK299" s="745"/>
      <c r="AL299" s="745"/>
      <c r="AM299" s="746"/>
      <c r="AN299" s="746"/>
      <c r="AO299" s="746"/>
      <c r="AP299" s="747"/>
      <c r="AQ299" s="748"/>
      <c r="AR299" s="748"/>
      <c r="AS299" s="749"/>
      <c r="AU299" s="750"/>
      <c r="AV299" s="751"/>
      <c r="AW299" s="751"/>
      <c r="AX299" s="751"/>
      <c r="AY299" s="751"/>
      <c r="AZ299" s="751"/>
      <c r="BA299" s="751"/>
      <c r="BB299" s="751"/>
      <c r="BC299" s="751"/>
      <c r="BD299" s="752"/>
      <c r="BE299" s="13"/>
      <c r="BM299"/>
      <c r="BR299"/>
      <c r="BW299"/>
      <c r="CB299"/>
      <c r="CG299" s="742"/>
      <c r="CH299" s="743"/>
      <c r="CI299" s="743"/>
      <c r="CJ299" s="743"/>
      <c r="CK299" s="743"/>
      <c r="CL299" s="743"/>
      <c r="CM299" s="743"/>
      <c r="CN299" s="743"/>
      <c r="CO299" s="743"/>
      <c r="CP299" s="744"/>
    </row>
    <row r="300" spans="26:94" ht="18.75" customHeight="1" x14ac:dyDescent="0.3">
      <c r="AJ300" s="745">
        <v>45</v>
      </c>
      <c r="AK300" s="745"/>
      <c r="AL300" s="745"/>
      <c r="AM300" s="746" cm="1">
        <f t="array" aca="1" ref="AM300" ca="1">SUM(COUNTIF(INDIRECT({"AU7","AZ7","BE7","BJ7","BO7","BT7","BY7","B13","G13","L13","Q13","V13","AA13","AF13","AK13","AP13","AU13","AZ13","BE13","BJ13","BO13","BT13","BY13","B19","G19","L19","Q19","V19","AA19","AF19","AK19","AP19","AU19","AZ19","BE19","BJ19","BO19","BT19","BY19","B25","G25","L25","Q25","V25","AA25","AF25","AK25","AP25","AU25","AZ25","BE25","BJ25","BO25","BT25","BY25","B31","G31","L31","Q31","V31","AA31","AF31","AK31","AP31","AU31","AZ31","BE31","BJ31","BO31","BT31","BY31","B37","G37","L37","Q37","V37","AA37","AF37","AK37","AP37","AU37","AZ37"}),"&gt;0"))</f>
        <v>0</v>
      </c>
      <c r="AN300" s="746"/>
      <c r="AO300" s="746"/>
      <c r="AP300" s="747">
        <f ca="1">AM300*AJ300</f>
        <v>0</v>
      </c>
      <c r="AQ300" s="748"/>
      <c r="AR300" s="748"/>
      <c r="AS300" s="749"/>
      <c r="AU300" s="742"/>
      <c r="AV300" s="743"/>
      <c r="AW300" s="743"/>
      <c r="AX300" s="743"/>
      <c r="AY300" s="743"/>
      <c r="AZ300" s="743"/>
      <c r="BA300" s="743"/>
      <c r="BB300" s="743"/>
      <c r="BC300" s="743"/>
      <c r="BD300" s="744"/>
      <c r="BE300" s="13"/>
      <c r="BM300"/>
      <c r="BR300"/>
      <c r="BW300"/>
      <c r="CB300"/>
      <c r="CG300" s="727" t="s">
        <v>128</v>
      </c>
      <c r="CH300" s="727"/>
      <c r="CI300" s="727"/>
      <c r="CJ300" s="727"/>
      <c r="CK300" s="727"/>
      <c r="CL300" s="727"/>
      <c r="CM300" s="727"/>
      <c r="CN300" s="727"/>
      <c r="CO300" s="727"/>
      <c r="CP300" s="727"/>
    </row>
    <row r="301" spans="26:94" ht="26.25" x14ac:dyDescent="0.3">
      <c r="AJ301" s="745"/>
      <c r="AK301" s="745"/>
      <c r="AL301" s="745"/>
      <c r="AM301" s="746"/>
      <c r="AN301" s="746"/>
      <c r="AO301" s="746"/>
      <c r="AP301" s="747"/>
      <c r="AQ301" s="748"/>
      <c r="AR301" s="748"/>
      <c r="AS301" s="749"/>
      <c r="AU301" s="728">
        <f ca="1">AP290/((36*3.1415/59)*(AK290/3.281))</f>
        <v>1.2502895231639362E-2</v>
      </c>
      <c r="AV301" s="729"/>
      <c r="AW301" s="729"/>
      <c r="AX301" s="729"/>
      <c r="AY301" s="729"/>
      <c r="AZ301" s="729"/>
      <c r="BA301" s="729"/>
      <c r="BB301" s="729"/>
      <c r="BC301" s="729"/>
      <c r="BD301" s="730"/>
      <c r="BE301" s="57"/>
      <c r="BM301"/>
      <c r="BR301"/>
      <c r="BW301"/>
      <c r="CB301"/>
      <c r="CG301" s="727"/>
      <c r="CH301" s="727"/>
      <c r="CI301" s="727"/>
      <c r="CJ301" s="727"/>
      <c r="CK301" s="727"/>
      <c r="CL301" s="727"/>
      <c r="CM301" s="727"/>
      <c r="CN301" s="727"/>
      <c r="CO301" s="727"/>
      <c r="CP301" s="727"/>
    </row>
    <row r="302" spans="26:94" ht="26.25" x14ac:dyDescent="0.3">
      <c r="AJ302" s="745"/>
      <c r="AK302" s="745"/>
      <c r="AL302" s="745"/>
      <c r="AM302" s="746"/>
      <c r="AN302" s="746"/>
      <c r="AO302" s="746"/>
      <c r="AP302" s="747"/>
      <c r="AQ302" s="748"/>
      <c r="AR302" s="748"/>
      <c r="AS302" s="749"/>
      <c r="AU302" s="731"/>
      <c r="AV302" s="732"/>
      <c r="AW302" s="732"/>
      <c r="AX302" s="732"/>
      <c r="AY302" s="732"/>
      <c r="AZ302" s="732"/>
      <c r="BA302" s="732"/>
      <c r="BB302" s="732"/>
      <c r="BC302" s="732"/>
      <c r="BD302" s="733"/>
      <c r="BE302" s="57"/>
      <c r="BM302"/>
      <c r="BR302"/>
      <c r="BW302"/>
      <c r="CB302"/>
      <c r="CG302" s="728" t="e">
        <f>BQ300/((72*3.1415/59)*(BN300/3.281))</f>
        <v>#DIV/0!</v>
      </c>
      <c r="CH302" s="729"/>
      <c r="CI302" s="729"/>
      <c r="CJ302" s="729"/>
      <c r="CK302" s="729"/>
      <c r="CL302" s="729"/>
      <c r="CM302" s="729"/>
      <c r="CN302" s="729"/>
      <c r="CO302" s="729"/>
      <c r="CP302" s="730"/>
    </row>
    <row r="303" spans="26:94" ht="26.25" x14ac:dyDescent="0.3">
      <c r="AJ303" s="745">
        <v>45.5</v>
      </c>
      <c r="AK303" s="745"/>
      <c r="AL303" s="745"/>
      <c r="AM303" s="746" cm="1">
        <f t="array" aca="1" ref="AM303" ca="1">SUM(COUNTIF(INDIRECT({"BE37","BJ37","BO37","BT37","BY37","B43","G43","L43","Q43"}),"&gt;0"))</f>
        <v>0</v>
      </c>
      <c r="AN303" s="746"/>
      <c r="AO303" s="746"/>
      <c r="AP303" s="747">
        <f ca="1">AM303*AJ303</f>
        <v>0</v>
      </c>
      <c r="AQ303" s="748"/>
      <c r="AR303" s="748"/>
      <c r="AS303" s="749"/>
      <c r="AU303" s="731"/>
      <c r="AV303" s="732"/>
      <c r="AW303" s="732"/>
      <c r="AX303" s="732"/>
      <c r="AY303" s="732"/>
      <c r="AZ303" s="732"/>
      <c r="BA303" s="732"/>
      <c r="BB303" s="732"/>
      <c r="BC303" s="732"/>
      <c r="BD303" s="733"/>
      <c r="BE303" s="57"/>
      <c r="BM303"/>
      <c r="BR303"/>
      <c r="BW303"/>
      <c r="CB303"/>
      <c r="CG303" s="731"/>
      <c r="CH303" s="732"/>
      <c r="CI303" s="732"/>
      <c r="CJ303" s="732"/>
      <c r="CK303" s="732"/>
      <c r="CL303" s="732"/>
      <c r="CM303" s="732"/>
      <c r="CN303" s="732"/>
      <c r="CO303" s="732"/>
      <c r="CP303" s="733"/>
    </row>
    <row r="304" spans="26:94" ht="26.25" x14ac:dyDescent="0.3">
      <c r="AJ304" s="745"/>
      <c r="AK304" s="745"/>
      <c r="AL304" s="745"/>
      <c r="AM304" s="746"/>
      <c r="AN304" s="746"/>
      <c r="AO304" s="746"/>
      <c r="AP304" s="747"/>
      <c r="AQ304" s="748"/>
      <c r="AR304" s="748"/>
      <c r="AS304" s="749"/>
      <c r="AU304" s="731"/>
      <c r="AV304" s="732"/>
      <c r="AW304" s="732"/>
      <c r="AX304" s="732"/>
      <c r="AY304" s="732"/>
      <c r="AZ304" s="732"/>
      <c r="BA304" s="732"/>
      <c r="BB304" s="732"/>
      <c r="BC304" s="732"/>
      <c r="BD304" s="733"/>
      <c r="BE304" s="57"/>
      <c r="CG304" s="734"/>
      <c r="CH304" s="735"/>
      <c r="CI304" s="735"/>
      <c r="CJ304" s="735"/>
      <c r="CK304" s="735"/>
      <c r="CL304" s="735"/>
      <c r="CM304" s="735"/>
      <c r="CN304" s="735"/>
      <c r="CO304" s="735"/>
      <c r="CP304" s="736"/>
    </row>
    <row r="305" spans="36:94" ht="26.25" x14ac:dyDescent="0.3">
      <c r="AJ305" s="745"/>
      <c r="AK305" s="745"/>
      <c r="AL305" s="745"/>
      <c r="AM305" s="746"/>
      <c r="AN305" s="746"/>
      <c r="AO305" s="746"/>
      <c r="AP305" s="747"/>
      <c r="AQ305" s="748"/>
      <c r="AR305" s="748"/>
      <c r="AS305" s="749"/>
      <c r="AU305" s="734"/>
      <c r="AV305" s="735"/>
      <c r="AW305" s="735"/>
      <c r="AX305" s="735"/>
      <c r="AY305" s="735"/>
      <c r="AZ305" s="735"/>
      <c r="BA305" s="735"/>
      <c r="BB305" s="735"/>
      <c r="BC305" s="735"/>
      <c r="BD305" s="736"/>
      <c r="BE305" s="57"/>
      <c r="CG305" s="739" t="s">
        <v>129</v>
      </c>
      <c r="CH305" s="740"/>
      <c r="CI305" s="740"/>
      <c r="CJ305" s="740"/>
      <c r="CK305" s="740"/>
      <c r="CL305" s="740"/>
      <c r="CM305" s="740"/>
      <c r="CN305" s="740"/>
      <c r="CO305" s="740"/>
      <c r="CP305" s="741"/>
    </row>
    <row r="306" spans="36:94" ht="15" customHeight="1" x14ac:dyDescent="0.3">
      <c r="AJ306" s="745">
        <v>46</v>
      </c>
      <c r="AK306" s="745"/>
      <c r="AL306" s="745"/>
      <c r="AM306" s="746" cm="1">
        <f t="array" aca="1" ref="AM306" ca="1">SUM(COUNTIF(INDIRECT({"V43","AA43","AF43","AK43","AP43"}),"&gt;0"))</f>
        <v>0</v>
      </c>
      <c r="AN306" s="746"/>
      <c r="AO306" s="746"/>
      <c r="AP306" s="747">
        <f ca="1">AM306*AJ306</f>
        <v>0</v>
      </c>
      <c r="AQ306" s="748"/>
      <c r="AR306" s="748"/>
      <c r="AS306" s="749"/>
      <c r="CG306" s="742"/>
      <c r="CH306" s="743"/>
      <c r="CI306" s="743"/>
      <c r="CJ306" s="743"/>
      <c r="CK306" s="743"/>
      <c r="CL306" s="743"/>
      <c r="CM306" s="743"/>
      <c r="CN306" s="743"/>
      <c r="CO306" s="743"/>
      <c r="CP306" s="744"/>
    </row>
    <row r="307" spans="36:94" ht="15" customHeight="1" x14ac:dyDescent="0.3">
      <c r="AJ307" s="745"/>
      <c r="AK307" s="745"/>
      <c r="AL307" s="745"/>
      <c r="AM307" s="746"/>
      <c r="AN307" s="746"/>
      <c r="AO307" s="746"/>
      <c r="AP307" s="747"/>
      <c r="AQ307" s="748"/>
      <c r="AR307" s="748"/>
      <c r="AS307" s="749"/>
      <c r="CG307" s="739" t="s">
        <v>130</v>
      </c>
      <c r="CH307" s="740"/>
      <c r="CI307" s="740"/>
      <c r="CJ307" s="740"/>
      <c r="CK307" s="740"/>
      <c r="CL307" s="740"/>
      <c r="CM307" s="740"/>
      <c r="CN307" s="740"/>
      <c r="CO307" s="740"/>
      <c r="CP307" s="741"/>
    </row>
    <row r="308" spans="36:94" ht="15" customHeight="1" x14ac:dyDescent="0.3">
      <c r="AJ308" s="745"/>
      <c r="AK308" s="745"/>
      <c r="AL308" s="745"/>
      <c r="AM308" s="746"/>
      <c r="AN308" s="746"/>
      <c r="AO308" s="746"/>
      <c r="AP308" s="747"/>
      <c r="AQ308" s="748"/>
      <c r="AR308" s="748"/>
      <c r="AS308" s="749"/>
      <c r="CG308" s="750"/>
      <c r="CH308" s="751"/>
      <c r="CI308" s="751"/>
      <c r="CJ308" s="751"/>
      <c r="CK308" s="751"/>
      <c r="CL308" s="751"/>
      <c r="CM308" s="751"/>
      <c r="CN308" s="751"/>
      <c r="CO308" s="751"/>
      <c r="CP308" s="752"/>
    </row>
    <row r="309" spans="36:94" ht="18.75" customHeight="1" x14ac:dyDescent="0.3">
      <c r="AJ309" s="745">
        <v>47</v>
      </c>
      <c r="AK309" s="745"/>
      <c r="AL309" s="745"/>
      <c r="AM309" s="746" cm="1">
        <f t="array" aca="1" ref="AM309" ca="1">SUM(COUNTIF(INDIRECT({"AU43","AZ43","BE43","BJ43","BO43"}),"&gt;0"))</f>
        <v>0</v>
      </c>
      <c r="AN309" s="746"/>
      <c r="AO309" s="746"/>
      <c r="AP309" s="747">
        <f ca="1">AM309*AJ309</f>
        <v>0</v>
      </c>
      <c r="AQ309" s="748"/>
      <c r="AR309" s="748"/>
      <c r="AS309" s="749"/>
      <c r="CG309" s="750"/>
      <c r="CH309" s="751"/>
      <c r="CI309" s="751"/>
      <c r="CJ309" s="751"/>
      <c r="CK309" s="751"/>
      <c r="CL309" s="751"/>
      <c r="CM309" s="751"/>
      <c r="CN309" s="751"/>
      <c r="CO309" s="751"/>
      <c r="CP309" s="752"/>
    </row>
    <row r="310" spans="36:94" ht="18.75" customHeight="1" x14ac:dyDescent="0.3">
      <c r="AJ310" s="745"/>
      <c r="AK310" s="745"/>
      <c r="AL310" s="745"/>
      <c r="AM310" s="746"/>
      <c r="AN310" s="746"/>
      <c r="AO310" s="746"/>
      <c r="AP310" s="747"/>
      <c r="AQ310" s="748"/>
      <c r="AR310" s="748"/>
      <c r="AS310" s="749"/>
      <c r="CG310" s="742"/>
      <c r="CH310" s="743"/>
      <c r="CI310" s="743"/>
      <c r="CJ310" s="743"/>
      <c r="CK310" s="743"/>
      <c r="CL310" s="743"/>
      <c r="CM310" s="743"/>
      <c r="CN310" s="743"/>
      <c r="CO310" s="743"/>
      <c r="CP310" s="744"/>
    </row>
    <row r="311" spans="36:94" ht="15.75" customHeight="1" x14ac:dyDescent="0.3">
      <c r="AJ311" s="745"/>
      <c r="AK311" s="745"/>
      <c r="AL311" s="745"/>
      <c r="AM311" s="746"/>
      <c r="AN311" s="746"/>
      <c r="AO311" s="746"/>
      <c r="AP311" s="747"/>
      <c r="AQ311" s="748"/>
      <c r="AR311" s="748"/>
      <c r="AS311" s="749"/>
      <c r="CG311" s="728" t="e">
        <f>CC300/((72*3.1415/59)*(BN300/3.281))</f>
        <v>#DIV/0!</v>
      </c>
      <c r="CH311" s="729"/>
      <c r="CI311" s="729"/>
      <c r="CJ311" s="729"/>
      <c r="CK311" s="729"/>
      <c r="CL311" s="729"/>
      <c r="CM311" s="729"/>
      <c r="CN311" s="729"/>
      <c r="CO311" s="729"/>
      <c r="CP311" s="730"/>
    </row>
    <row r="312" spans="36:94" ht="15" customHeight="1" x14ac:dyDescent="0.3">
      <c r="AJ312" s="745">
        <v>49</v>
      </c>
      <c r="AK312" s="745"/>
      <c r="AL312" s="745"/>
      <c r="AM312" s="746" cm="1">
        <f t="array" aca="1" ref="AM312" ca="1">SUM(COUNTIF(INDIRECT({"BT43","BY43","B49","G49","L49"}),"&gt;0"))</f>
        <v>0</v>
      </c>
      <c r="AN312" s="746"/>
      <c r="AO312" s="746"/>
      <c r="AP312" s="747">
        <f ca="1">AM312*AJ312</f>
        <v>0</v>
      </c>
      <c r="AQ312" s="748"/>
      <c r="AR312" s="748"/>
      <c r="AS312" s="749"/>
      <c r="CG312" s="731"/>
      <c r="CH312" s="732"/>
      <c r="CI312" s="732"/>
      <c r="CJ312" s="732"/>
      <c r="CK312" s="732"/>
      <c r="CL312" s="732"/>
      <c r="CM312" s="732"/>
      <c r="CN312" s="732"/>
      <c r="CO312" s="732"/>
      <c r="CP312" s="733"/>
    </row>
    <row r="313" spans="36:94" ht="15" customHeight="1" x14ac:dyDescent="0.3">
      <c r="AJ313" s="745"/>
      <c r="AK313" s="745"/>
      <c r="AL313" s="745"/>
      <c r="AM313" s="746"/>
      <c r="AN313" s="746"/>
      <c r="AO313" s="746"/>
      <c r="AP313" s="747"/>
      <c r="AQ313" s="748"/>
      <c r="AR313" s="748"/>
      <c r="AS313" s="749"/>
      <c r="CG313" s="731"/>
      <c r="CH313" s="732"/>
      <c r="CI313" s="732"/>
      <c r="CJ313" s="732"/>
      <c r="CK313" s="732"/>
      <c r="CL313" s="732"/>
      <c r="CM313" s="732"/>
      <c r="CN313" s="732"/>
      <c r="CO313" s="732"/>
      <c r="CP313" s="733"/>
    </row>
    <row r="314" spans="36:94" ht="15" customHeight="1" x14ac:dyDescent="0.3">
      <c r="AJ314" s="745"/>
      <c r="AK314" s="745"/>
      <c r="AL314" s="745"/>
      <c r="AM314" s="746"/>
      <c r="AN314" s="746"/>
      <c r="AO314" s="746"/>
      <c r="AP314" s="747"/>
      <c r="AQ314" s="748"/>
      <c r="AR314" s="748"/>
      <c r="AS314" s="749"/>
      <c r="CG314" s="731"/>
      <c r="CH314" s="732"/>
      <c r="CI314" s="732"/>
      <c r="CJ314" s="732"/>
      <c r="CK314" s="732"/>
      <c r="CL314" s="732"/>
      <c r="CM314" s="732"/>
      <c r="CN314" s="732"/>
      <c r="CO314" s="732"/>
      <c r="CP314" s="733"/>
    </row>
    <row r="315" spans="36:94" ht="15" customHeight="1" x14ac:dyDescent="0.3">
      <c r="AJ315" s="745">
        <v>51</v>
      </c>
      <c r="AK315" s="745"/>
      <c r="AL315" s="745"/>
      <c r="AM315" s="746" cm="1">
        <f t="array" aca="1" ref="AM315" ca="1">SUM(COUNTIF(INDIRECT({"Q49"}),"&gt;0"))</f>
        <v>0</v>
      </c>
      <c r="AN315" s="746"/>
      <c r="AO315" s="746"/>
      <c r="AP315" s="747">
        <f ca="1">AM315*AJ315</f>
        <v>0</v>
      </c>
      <c r="AQ315" s="748"/>
      <c r="AR315" s="748"/>
      <c r="AS315" s="749"/>
      <c r="CG315" s="734"/>
      <c r="CH315" s="735"/>
      <c r="CI315" s="735"/>
      <c r="CJ315" s="735"/>
      <c r="CK315" s="735"/>
      <c r="CL315" s="735"/>
      <c r="CM315" s="735"/>
      <c r="CN315" s="735"/>
      <c r="CO315" s="735"/>
      <c r="CP315" s="736"/>
    </row>
    <row r="316" spans="36:94" ht="26.25" customHeight="1" x14ac:dyDescent="0.3">
      <c r="AJ316" s="745"/>
      <c r="AK316" s="745"/>
      <c r="AL316" s="745"/>
      <c r="AM316" s="746"/>
      <c r="AN316" s="746"/>
      <c r="AO316" s="746"/>
      <c r="AP316" s="747"/>
      <c r="AQ316" s="748"/>
      <c r="AR316" s="748"/>
      <c r="AS316" s="749"/>
    </row>
    <row r="317" spans="36:94" ht="27" customHeight="1" x14ac:dyDescent="0.3">
      <c r="AJ317" s="745"/>
      <c r="AK317" s="745"/>
      <c r="AL317" s="745"/>
      <c r="AM317" s="746"/>
      <c r="AN317" s="746"/>
      <c r="AO317" s="746"/>
      <c r="AP317" s="747"/>
      <c r="AQ317" s="748"/>
      <c r="AR317" s="748"/>
      <c r="AS317" s="749"/>
    </row>
    <row r="318" spans="36:94" ht="18.75" customHeight="1" x14ac:dyDescent="0.3">
      <c r="AJ318" s="745">
        <v>53</v>
      </c>
      <c r="AK318" s="745"/>
      <c r="AL318" s="745"/>
      <c r="AM318" s="746" cm="1">
        <f t="array" aca="1" ref="AM318" ca="1">SUM(COUNTIF(INDIRECT({"V49"}),"&gt;0"))</f>
        <v>0</v>
      </c>
      <c r="AN318" s="746"/>
      <c r="AO318" s="746"/>
      <c r="AP318" s="747">
        <f ca="1">AM318*AJ318</f>
        <v>0</v>
      </c>
      <c r="AQ318" s="748"/>
      <c r="AR318" s="748"/>
      <c r="AS318" s="749"/>
    </row>
    <row r="319" spans="36:94" ht="18.75" customHeight="1" x14ac:dyDescent="0.3">
      <c r="AJ319" s="745"/>
      <c r="AK319" s="745"/>
      <c r="AL319" s="745"/>
      <c r="AM319" s="746"/>
      <c r="AN319" s="746"/>
      <c r="AO319" s="746"/>
      <c r="AP319" s="747"/>
      <c r="AQ319" s="748"/>
      <c r="AR319" s="748"/>
      <c r="AS319" s="749"/>
    </row>
    <row r="320" spans="36:94" ht="18.75" customHeight="1" x14ac:dyDescent="0.3">
      <c r="AJ320" s="745"/>
      <c r="AK320" s="745"/>
      <c r="AL320" s="745"/>
      <c r="AM320" s="746"/>
      <c r="AN320" s="746"/>
      <c r="AO320" s="746"/>
      <c r="AP320" s="747"/>
      <c r="AQ320" s="748"/>
      <c r="AR320" s="748"/>
      <c r="AS320" s="749"/>
    </row>
    <row r="321" spans="36:45" ht="18.75" customHeight="1" x14ac:dyDescent="0.3">
      <c r="AJ321" s="745">
        <v>54</v>
      </c>
      <c r="AK321" s="745"/>
      <c r="AL321" s="745"/>
      <c r="AM321" s="746" cm="1">
        <f t="array" aca="1" ref="AM321" ca="1">SUM(COUNTIF(INDIRECT({"AA49","AF49","AK49","AP49"}),"&gt;0"))</f>
        <v>0</v>
      </c>
      <c r="AN321" s="746"/>
      <c r="AO321" s="746"/>
      <c r="AP321" s="747">
        <f ca="1">AM321*AJ321</f>
        <v>0</v>
      </c>
      <c r="AQ321" s="748"/>
      <c r="AR321" s="748"/>
      <c r="AS321" s="749"/>
    </row>
    <row r="322" spans="36:45" ht="18.75" customHeight="1" x14ac:dyDescent="0.3">
      <c r="AJ322" s="745"/>
      <c r="AK322" s="745"/>
      <c r="AL322" s="745"/>
      <c r="AM322" s="746"/>
      <c r="AN322" s="746"/>
      <c r="AO322" s="746"/>
      <c r="AP322" s="747"/>
      <c r="AQ322" s="748"/>
      <c r="AR322" s="748"/>
      <c r="AS322" s="749"/>
    </row>
    <row r="323" spans="36:45" ht="18.75" customHeight="1" x14ac:dyDescent="0.3">
      <c r="AJ323" s="745"/>
      <c r="AK323" s="745"/>
      <c r="AL323" s="745"/>
      <c r="AM323" s="746"/>
      <c r="AN323" s="746"/>
      <c r="AO323" s="746"/>
      <c r="AP323" s="747"/>
      <c r="AQ323" s="748"/>
      <c r="AR323" s="748"/>
      <c r="AS323" s="749"/>
    </row>
    <row r="324" spans="36:45" ht="18.75" customHeight="1" x14ac:dyDescent="0.3">
      <c r="AJ324" s="745">
        <v>56</v>
      </c>
      <c r="AK324" s="745"/>
      <c r="AL324" s="745"/>
      <c r="AM324" s="746" cm="1">
        <f t="array" aca="1" ref="AM324" ca="1">SUM(COUNTIF(INDIRECT({"AU49"}),"&gt;0"))</f>
        <v>0</v>
      </c>
      <c r="AN324" s="746"/>
      <c r="AO324" s="746"/>
      <c r="AP324" s="747">
        <f ca="1">AM324*AJ324</f>
        <v>0</v>
      </c>
      <c r="AQ324" s="748"/>
      <c r="AR324" s="748"/>
      <c r="AS324" s="749"/>
    </row>
    <row r="325" spans="36:45" ht="18.75" customHeight="1" x14ac:dyDescent="0.3">
      <c r="AJ325" s="745"/>
      <c r="AK325" s="745"/>
      <c r="AL325" s="745"/>
      <c r="AM325" s="746"/>
      <c r="AN325" s="746"/>
      <c r="AO325" s="746"/>
      <c r="AP325" s="747"/>
      <c r="AQ325" s="748"/>
      <c r="AR325" s="748"/>
      <c r="AS325" s="749"/>
    </row>
    <row r="326" spans="36:45" ht="18.75" customHeight="1" x14ac:dyDescent="0.3">
      <c r="AJ326" s="745"/>
      <c r="AK326" s="745"/>
      <c r="AL326" s="745"/>
      <c r="AM326" s="746"/>
      <c r="AN326" s="746"/>
      <c r="AO326" s="746"/>
      <c r="AP326" s="747"/>
      <c r="AQ326" s="748"/>
      <c r="AR326" s="748"/>
      <c r="AS326" s="749"/>
    </row>
    <row r="327" spans="36:45" ht="18.75" customHeight="1" x14ac:dyDescent="0.3">
      <c r="AJ327" s="745">
        <v>58</v>
      </c>
      <c r="AK327" s="745"/>
      <c r="AL327" s="745"/>
      <c r="AM327" s="746" cm="1">
        <f t="array" aca="1" ref="AM327" ca="1">SUM(COUNTIF(INDIRECT({"AZ49","BE49","BJ49","BO49","BT49","BY49","B55","G55","L55","Q55","V55","AA55","AF55","AK55","AP55","AU55","AZ55","BE55","BJ55","BO55","BT55","BY55","B61","G61","L61","Q61","V61","AA61","AF61","AK61","AP61"}),"&gt;0"))</f>
        <v>0</v>
      </c>
      <c r="AN327" s="746"/>
      <c r="AO327" s="746"/>
      <c r="AP327" s="747">
        <f ca="1">AM327*AJ327</f>
        <v>0</v>
      </c>
      <c r="AQ327" s="748"/>
      <c r="AR327" s="748"/>
      <c r="AS327" s="749"/>
    </row>
    <row r="328" spans="36:45" ht="18.75" customHeight="1" x14ac:dyDescent="0.3">
      <c r="AJ328" s="745"/>
      <c r="AK328" s="745"/>
      <c r="AL328" s="745"/>
      <c r="AM328" s="746"/>
      <c r="AN328" s="746"/>
      <c r="AO328" s="746"/>
      <c r="AP328" s="747"/>
      <c r="AQ328" s="748"/>
      <c r="AR328" s="748"/>
      <c r="AS328" s="749"/>
    </row>
    <row r="329" spans="36:45" ht="18.75" customHeight="1" x14ac:dyDescent="0.3">
      <c r="AJ329" s="745"/>
      <c r="AK329" s="745"/>
      <c r="AL329" s="745"/>
      <c r="AM329" s="746"/>
      <c r="AN329" s="746"/>
      <c r="AO329" s="746"/>
      <c r="AP329" s="747"/>
      <c r="AQ329" s="748"/>
      <c r="AR329" s="748"/>
      <c r="AS329" s="749"/>
    </row>
    <row r="330" spans="36:45" ht="18.75" customHeight="1" x14ac:dyDescent="0.3">
      <c r="AJ330" s="745">
        <v>59</v>
      </c>
      <c r="AK330" s="745"/>
      <c r="AL330" s="745"/>
      <c r="AM330" s="746" cm="1">
        <f t="array" aca="1" ref="AM330" ca="1">SUM(COUNTIF(INDIRECT({"AU61","AZ61","BE61"}),"&gt;0"))</f>
        <v>0</v>
      </c>
      <c r="AN330" s="746"/>
      <c r="AO330" s="746"/>
      <c r="AP330" s="747">
        <f ca="1">AM330*AJ330</f>
        <v>0</v>
      </c>
      <c r="AQ330" s="748"/>
      <c r="AR330" s="748"/>
      <c r="AS330" s="749"/>
    </row>
    <row r="331" spans="36:45" ht="18.75" customHeight="1" x14ac:dyDescent="0.3">
      <c r="AJ331" s="745"/>
      <c r="AK331" s="745"/>
      <c r="AL331" s="745"/>
      <c r="AM331" s="746"/>
      <c r="AN331" s="746"/>
      <c r="AO331" s="746"/>
      <c r="AP331" s="747"/>
      <c r="AQ331" s="748"/>
      <c r="AR331" s="748"/>
      <c r="AS331" s="749"/>
    </row>
    <row r="332" spans="36:45" ht="18.75" customHeight="1" x14ac:dyDescent="0.3">
      <c r="AJ332" s="745"/>
      <c r="AK332" s="745"/>
      <c r="AL332" s="745"/>
      <c r="AM332" s="746"/>
      <c r="AN332" s="746"/>
      <c r="AO332" s="746"/>
      <c r="AP332" s="747"/>
      <c r="AQ332" s="748"/>
      <c r="AR332" s="748"/>
      <c r="AS332" s="749"/>
    </row>
    <row r="333" spans="36:45" ht="18.75" customHeight="1" x14ac:dyDescent="0.3">
      <c r="AJ333" s="745">
        <v>60</v>
      </c>
      <c r="AK333" s="745"/>
      <c r="AL333" s="745"/>
      <c r="AM333" s="746" cm="1">
        <f t="array" aca="1" ref="AM333" ca="1">SUM(COUNTIF(INDIRECT({"BJ61"}),"&gt;0"))</f>
        <v>0</v>
      </c>
      <c r="AN333" s="746"/>
      <c r="AO333" s="746"/>
      <c r="AP333" s="747">
        <f ca="1">AM333*AJ333</f>
        <v>0</v>
      </c>
      <c r="AQ333" s="748"/>
      <c r="AR333" s="748"/>
      <c r="AS333" s="749"/>
    </row>
    <row r="334" spans="36:45" ht="18.75" customHeight="1" x14ac:dyDescent="0.3">
      <c r="AJ334" s="745"/>
      <c r="AK334" s="745"/>
      <c r="AL334" s="745"/>
      <c r="AM334" s="746"/>
      <c r="AN334" s="746"/>
      <c r="AO334" s="746"/>
      <c r="AP334" s="747"/>
      <c r="AQ334" s="748"/>
      <c r="AR334" s="748"/>
      <c r="AS334" s="749"/>
    </row>
    <row r="335" spans="36:45" ht="18.75" customHeight="1" x14ac:dyDescent="0.3">
      <c r="AJ335" s="745"/>
      <c r="AK335" s="745"/>
      <c r="AL335" s="745"/>
      <c r="AM335" s="746"/>
      <c r="AN335" s="746"/>
      <c r="AO335" s="746"/>
      <c r="AP335" s="747"/>
      <c r="AQ335" s="748"/>
      <c r="AR335" s="748"/>
      <c r="AS335" s="749"/>
    </row>
    <row r="336" spans="36:45" ht="18.75" customHeight="1" x14ac:dyDescent="0.3">
      <c r="AJ336" s="745">
        <v>61</v>
      </c>
      <c r="AK336" s="745"/>
      <c r="AL336" s="745"/>
      <c r="AM336" s="746" cm="1">
        <f t="array" aca="1" ref="AM336" ca="1">SUM(COUNTIF(INDIRECT({"BO61","BT61","BY61","B67","G67","L67","Q67","V67","AA67","AF67","AK67","AP67","AU67","AZ67","BE67","BJ67","BO67","BT67","BY67","B73","G73","L73","Q73","V73"}),"&gt;0"))</f>
        <v>0</v>
      </c>
      <c r="AN336" s="746"/>
      <c r="AO336" s="746"/>
      <c r="AP336" s="747">
        <f ca="1">AM336*AJ336</f>
        <v>0</v>
      </c>
      <c r="AQ336" s="748"/>
      <c r="AR336" s="748"/>
      <c r="AS336" s="749"/>
    </row>
    <row r="337" spans="36:45" ht="18.75" customHeight="1" x14ac:dyDescent="0.3">
      <c r="AJ337" s="745"/>
      <c r="AK337" s="745"/>
      <c r="AL337" s="745"/>
      <c r="AM337" s="746"/>
      <c r="AN337" s="746"/>
      <c r="AO337" s="746"/>
      <c r="AP337" s="747"/>
      <c r="AQ337" s="748"/>
      <c r="AR337" s="748"/>
      <c r="AS337" s="749"/>
    </row>
    <row r="338" spans="36:45" ht="18.75" customHeight="1" x14ac:dyDescent="0.3">
      <c r="AJ338" s="745"/>
      <c r="AK338" s="745"/>
      <c r="AL338" s="745"/>
      <c r="AM338" s="746"/>
      <c r="AN338" s="746"/>
      <c r="AO338" s="746"/>
      <c r="AP338" s="747"/>
      <c r="AQ338" s="748"/>
      <c r="AR338" s="748"/>
      <c r="AS338" s="749"/>
    </row>
    <row r="339" spans="36:45" ht="18.75" customHeight="1" x14ac:dyDescent="0.3">
      <c r="AJ339" s="745">
        <v>62</v>
      </c>
      <c r="AK339" s="745"/>
      <c r="AL339" s="745"/>
      <c r="AM339" s="746" cm="1">
        <f t="array" aca="1" ref="AM339" ca="1">SUM(COUNTIF(INDIRECT({"AA73","AF73"}),"&gt;0"))</f>
        <v>0</v>
      </c>
      <c r="AN339" s="746"/>
      <c r="AO339" s="746"/>
      <c r="AP339" s="747">
        <f ca="1">AM339*AJ339</f>
        <v>0</v>
      </c>
      <c r="AQ339" s="748"/>
      <c r="AR339" s="748"/>
      <c r="AS339" s="749"/>
    </row>
    <row r="340" spans="36:45" ht="18.75" customHeight="1" x14ac:dyDescent="0.3">
      <c r="AJ340" s="745"/>
      <c r="AK340" s="745"/>
      <c r="AL340" s="745"/>
      <c r="AM340" s="746"/>
      <c r="AN340" s="746"/>
      <c r="AO340" s="746"/>
      <c r="AP340" s="747"/>
      <c r="AQ340" s="748"/>
      <c r="AR340" s="748"/>
      <c r="AS340" s="749"/>
    </row>
    <row r="341" spans="36:45" ht="18.75" customHeight="1" x14ac:dyDescent="0.3">
      <c r="AJ341" s="745"/>
      <c r="AK341" s="745"/>
      <c r="AL341" s="745"/>
      <c r="AM341" s="746"/>
      <c r="AN341" s="746"/>
      <c r="AO341" s="746"/>
      <c r="AP341" s="747"/>
      <c r="AQ341" s="748"/>
      <c r="AR341" s="748"/>
      <c r="AS341" s="749"/>
    </row>
    <row r="342" spans="36:45" ht="18.75" customHeight="1" x14ac:dyDescent="0.3">
      <c r="AJ342" s="745">
        <v>63</v>
      </c>
      <c r="AK342" s="745"/>
      <c r="AL342" s="745"/>
      <c r="AM342" s="746" cm="1">
        <f t="array" aca="1" ref="AM342" ca="1">SUM(COUNTIF(INDIRECT({"AK73","AP73","AU73","AZ73","BE73","BJ73"}),"&gt;0"))</f>
        <v>1</v>
      </c>
      <c r="AN342" s="746"/>
      <c r="AO342" s="746"/>
      <c r="AP342" s="747">
        <f ca="1">AM342*AJ342</f>
        <v>63</v>
      </c>
      <c r="AQ342" s="748"/>
      <c r="AR342" s="748"/>
      <c r="AS342" s="749"/>
    </row>
    <row r="343" spans="36:45" ht="18.75" customHeight="1" x14ac:dyDescent="0.3">
      <c r="AJ343" s="745"/>
      <c r="AK343" s="745"/>
      <c r="AL343" s="745"/>
      <c r="AM343" s="746"/>
      <c r="AN343" s="746"/>
      <c r="AO343" s="746"/>
      <c r="AP343" s="747"/>
      <c r="AQ343" s="748"/>
      <c r="AR343" s="748"/>
      <c r="AS343" s="749"/>
    </row>
    <row r="344" spans="36:45" ht="18.75" customHeight="1" x14ac:dyDescent="0.3">
      <c r="AJ344" s="745"/>
      <c r="AK344" s="745"/>
      <c r="AL344" s="745"/>
      <c r="AM344" s="746"/>
      <c r="AN344" s="746"/>
      <c r="AO344" s="746"/>
      <c r="AP344" s="747"/>
      <c r="AQ344" s="748"/>
      <c r="AR344" s="748"/>
      <c r="AS344" s="749"/>
    </row>
    <row r="345" spans="36:45" ht="18.75" customHeight="1" x14ac:dyDescent="0.3">
      <c r="AJ345" s="745">
        <v>64</v>
      </c>
      <c r="AK345" s="745"/>
      <c r="AL345" s="745"/>
      <c r="AM345" s="746" cm="1">
        <f t="array" aca="1" ref="AM345" ca="1">SUM(COUNTIF(INDIRECT({"BO73","BT73","BY73","B79","G79","L79","Q79","V79","AA79","AF79","AK79","AP79","AU79","AZ79","BE79","BJ79","BO79","BT79","BY79","B85","G85","L85","Q85","V85","AA85","AF85","AK85","AP85","AU85","AZ85","BE85","BJ85","BO85"}),"&gt;0"))</f>
        <v>0</v>
      </c>
      <c r="AN345" s="746"/>
      <c r="AO345" s="746"/>
      <c r="AP345" s="747">
        <f ca="1">AM345*AJ345</f>
        <v>0</v>
      </c>
      <c r="AQ345" s="748"/>
      <c r="AR345" s="748"/>
      <c r="AS345" s="749"/>
    </row>
    <row r="346" spans="36:45" ht="18.75" customHeight="1" x14ac:dyDescent="0.3">
      <c r="AJ346" s="745"/>
      <c r="AK346" s="745"/>
      <c r="AL346" s="745"/>
      <c r="AM346" s="746"/>
      <c r="AN346" s="746"/>
      <c r="AO346" s="746"/>
      <c r="AP346" s="747"/>
      <c r="AQ346" s="748"/>
      <c r="AR346" s="748"/>
      <c r="AS346" s="749"/>
    </row>
    <row r="347" spans="36:45" ht="18.75" customHeight="1" x14ac:dyDescent="0.3">
      <c r="AJ347" s="745"/>
      <c r="AK347" s="745"/>
      <c r="AL347" s="745"/>
      <c r="AM347" s="746"/>
      <c r="AN347" s="746"/>
      <c r="AO347" s="746"/>
      <c r="AP347" s="747"/>
      <c r="AQ347" s="748"/>
      <c r="AR347" s="748"/>
      <c r="AS347" s="749"/>
    </row>
    <row r="348" spans="36:45" ht="18.75" customHeight="1" x14ac:dyDescent="0.3">
      <c r="AJ348" s="745">
        <v>65</v>
      </c>
      <c r="AK348" s="745"/>
      <c r="AL348" s="745"/>
      <c r="AM348" s="746" cm="1">
        <f t="array" aca="1" ref="AM348" ca="1">SUM(COUNTIF(INDIRECT({"BT85"}),"&gt;0"))</f>
        <v>0</v>
      </c>
      <c r="AN348" s="746"/>
      <c r="AO348" s="746"/>
      <c r="AP348" s="747">
        <f ca="1">AM348*AJ348</f>
        <v>0</v>
      </c>
      <c r="AQ348" s="748"/>
      <c r="AR348" s="748"/>
      <c r="AS348" s="749"/>
    </row>
    <row r="349" spans="36:45" ht="18.75" customHeight="1" x14ac:dyDescent="0.3">
      <c r="AJ349" s="745"/>
      <c r="AK349" s="745"/>
      <c r="AL349" s="745"/>
      <c r="AM349" s="746"/>
      <c r="AN349" s="746"/>
      <c r="AO349" s="746"/>
      <c r="AP349" s="747"/>
      <c r="AQ349" s="748"/>
      <c r="AR349" s="748"/>
      <c r="AS349" s="749"/>
    </row>
    <row r="350" spans="36:45" ht="18.75" customHeight="1" x14ac:dyDescent="0.3">
      <c r="AJ350" s="745"/>
      <c r="AK350" s="745"/>
      <c r="AL350" s="745"/>
      <c r="AM350" s="746"/>
      <c r="AN350" s="746"/>
      <c r="AO350" s="746"/>
      <c r="AP350" s="747"/>
      <c r="AQ350" s="748"/>
      <c r="AR350" s="748"/>
      <c r="AS350" s="749"/>
    </row>
    <row r="351" spans="36:45" ht="18.75" customHeight="1" x14ac:dyDescent="0.3">
      <c r="AJ351" s="745">
        <v>66</v>
      </c>
      <c r="AK351" s="745"/>
      <c r="AL351" s="745"/>
      <c r="AM351" s="746" cm="1">
        <f t="array" aca="1" ref="AM351" ca="1">SUM(COUNTIF(INDIRECT({"BY85","B91"}),"&gt;0"))</f>
        <v>1</v>
      </c>
      <c r="AN351" s="746"/>
      <c r="AO351" s="746"/>
      <c r="AP351" s="747">
        <f ca="1">AM351*AJ351</f>
        <v>66</v>
      </c>
      <c r="AQ351" s="748"/>
      <c r="AR351" s="748"/>
      <c r="AS351" s="749"/>
    </row>
    <row r="352" spans="36:45" ht="18.75" customHeight="1" x14ac:dyDescent="0.3">
      <c r="AJ352" s="745"/>
      <c r="AK352" s="745"/>
      <c r="AL352" s="745"/>
      <c r="AM352" s="746"/>
      <c r="AN352" s="746"/>
      <c r="AO352" s="746"/>
      <c r="AP352" s="747"/>
      <c r="AQ352" s="748"/>
      <c r="AR352" s="748"/>
      <c r="AS352" s="749"/>
    </row>
    <row r="353" spans="36:45" ht="18.75" customHeight="1" x14ac:dyDescent="0.3">
      <c r="AJ353" s="745"/>
      <c r="AK353" s="745"/>
      <c r="AL353" s="745"/>
      <c r="AM353" s="746"/>
      <c r="AN353" s="746"/>
      <c r="AO353" s="746"/>
      <c r="AP353" s="747"/>
      <c r="AQ353" s="748"/>
      <c r="AR353" s="748"/>
      <c r="AS353" s="749"/>
    </row>
    <row r="354" spans="36:45" ht="18.75" customHeight="1" x14ac:dyDescent="0.3">
      <c r="AJ354" s="745">
        <v>67</v>
      </c>
      <c r="AK354" s="745"/>
      <c r="AL354" s="745"/>
      <c r="AM354" s="746" cm="1">
        <f t="array" aca="1" ref="AM354" ca="1">SUM(COUNTIF(INDIRECT({"G91","L91","Q91","V91","AA91"}),"&gt;0"))</f>
        <v>0</v>
      </c>
      <c r="AN354" s="746"/>
      <c r="AO354" s="746"/>
      <c r="AP354" s="747">
        <f ca="1">AM354*AJ354</f>
        <v>0</v>
      </c>
      <c r="AQ354" s="748"/>
      <c r="AR354" s="748"/>
      <c r="AS354" s="749"/>
    </row>
    <row r="355" spans="36:45" ht="18.75" customHeight="1" x14ac:dyDescent="0.3">
      <c r="AJ355" s="745"/>
      <c r="AK355" s="745"/>
      <c r="AL355" s="745"/>
      <c r="AM355" s="746"/>
      <c r="AN355" s="746"/>
      <c r="AO355" s="746"/>
      <c r="AP355" s="747"/>
      <c r="AQ355" s="748"/>
      <c r="AR355" s="748"/>
      <c r="AS355" s="749"/>
    </row>
    <row r="356" spans="36:45" ht="18.75" customHeight="1" x14ac:dyDescent="0.3">
      <c r="AJ356" s="745"/>
      <c r="AK356" s="745"/>
      <c r="AL356" s="745"/>
      <c r="AM356" s="746"/>
      <c r="AN356" s="746"/>
      <c r="AO356" s="746"/>
      <c r="AP356" s="747"/>
      <c r="AQ356" s="748"/>
      <c r="AR356" s="748"/>
      <c r="AS356" s="749"/>
    </row>
    <row r="357" spans="36:45" ht="18.75" customHeight="1" x14ac:dyDescent="0.3">
      <c r="AJ357" s="745">
        <v>68</v>
      </c>
      <c r="AK357" s="745"/>
      <c r="AL357" s="745"/>
      <c r="AM357" s="746" cm="1">
        <f t="array" aca="1" ref="AM357" ca="1">SUM(COUNTIF(INDIRECT({"AF91","AK91","AP91","AU91","AZ91","BE91","BJ91","BO91","BT91","BY91","B97","G97","L97","Q97","V97","AA97","AF97","AK97","AP97","AU97","AZ97","BE97","BJ97","BO97","BT97","BY97","B103","G103","L103","Q103","V103","AA103","AF103","AK103","AP103","AU103","AZ103","BE103","BJ103","BO103","BT103","BY103","B109","G109","L109","Q109","V109","AA109","AF109","AK109","AP109","AU109","AZ109","BE109","BJ109","BO109","BT109","BY109","B115","G115","L115","Q115","V115","AA115","AF115","AK115","AP115","AU115","AZ115","BE115","BJ115","BO115","BT115","BY115","B121","G121","L121","Q121","V121","AA121","AF121","AK121","AP121","AU121","AZ121","BE121","BJ121","BO121","BT121","BY121","B127","G127","L127","Q127","V127","AA127","AF127","AK127","AP127","AU127","AZ127","BE127","BJ127","BO127","BT127","BY127","B133","G133","L133","Q133","V133","AA133","AF133","AK133","AP133","AU133","AZ133","BE133","BJ133"}),"&gt;0"))</f>
        <v>3</v>
      </c>
      <c r="AN357" s="746"/>
      <c r="AO357" s="746"/>
      <c r="AP357" s="747">
        <f ca="1">AM357*AJ357</f>
        <v>204</v>
      </c>
      <c r="AQ357" s="748"/>
      <c r="AR357" s="748"/>
      <c r="AS357" s="749"/>
    </row>
    <row r="358" spans="36:45" ht="18.75" customHeight="1" x14ac:dyDescent="0.3">
      <c r="AJ358" s="745"/>
      <c r="AK358" s="745"/>
      <c r="AL358" s="745"/>
      <c r="AM358" s="746"/>
      <c r="AN358" s="746"/>
      <c r="AO358" s="746"/>
      <c r="AP358" s="747"/>
      <c r="AQ358" s="748"/>
      <c r="AR358" s="748"/>
      <c r="AS358" s="749"/>
    </row>
    <row r="359" spans="36:45" ht="18.75" customHeight="1" x14ac:dyDescent="0.3">
      <c r="AJ359" s="745"/>
      <c r="AK359" s="745"/>
      <c r="AL359" s="745"/>
      <c r="AM359" s="746"/>
      <c r="AN359" s="746"/>
      <c r="AO359" s="746"/>
      <c r="AP359" s="747"/>
      <c r="AQ359" s="748"/>
      <c r="AR359" s="748"/>
      <c r="AS359" s="749"/>
    </row>
    <row r="360" spans="36:45" ht="18.75" customHeight="1" x14ac:dyDescent="0.3">
      <c r="AJ360" s="745">
        <v>69</v>
      </c>
      <c r="AK360" s="745"/>
      <c r="AL360" s="745"/>
      <c r="AM360" s="746" cm="1">
        <f t="array" aca="1" ref="AM360" ca="1">SUM(COUNTIF(INDIRECT({"BO133","BT133","BY133","B149","G149","L149","Q149","V149","AA149","AF149","AK149","AP149","AU149","AZ149","BE149","BJ149","BO149","BT149","BY149","B155","G155","L155","Q155","V155","AA155","AF155","AK155","AP155","AU155","AZ155","BE155","BJ155","BO155","BT155","BY155","B161","G161","L161","Q161","V161","AA161","AF161","AK161","AP161","AU161","AZ161","BE161","BJ161","BO161","BT161","BY161","B167"}),"&gt;0"))</f>
        <v>5</v>
      </c>
      <c r="AN360" s="746"/>
      <c r="AO360" s="746"/>
      <c r="AP360" s="747">
        <f ca="1">AM360*AJ360</f>
        <v>345</v>
      </c>
      <c r="AQ360" s="748"/>
      <c r="AR360" s="748"/>
      <c r="AS360" s="749"/>
    </row>
    <row r="361" spans="36:45" ht="18.75" customHeight="1" x14ac:dyDescent="0.3">
      <c r="AJ361" s="745"/>
      <c r="AK361" s="745"/>
      <c r="AL361" s="745"/>
      <c r="AM361" s="746"/>
      <c r="AN361" s="746"/>
      <c r="AO361" s="746"/>
      <c r="AP361" s="747"/>
      <c r="AQ361" s="748"/>
      <c r="AR361" s="748"/>
      <c r="AS361" s="749"/>
    </row>
    <row r="362" spans="36:45" ht="18.75" customHeight="1" x14ac:dyDescent="0.3">
      <c r="AJ362" s="745"/>
      <c r="AK362" s="745"/>
      <c r="AL362" s="745"/>
      <c r="AM362" s="746"/>
      <c r="AN362" s="746"/>
      <c r="AO362" s="746"/>
      <c r="AP362" s="747"/>
      <c r="AQ362" s="748"/>
      <c r="AR362" s="748"/>
      <c r="AS362" s="749"/>
    </row>
    <row r="363" spans="36:45" ht="18.75" customHeight="1" x14ac:dyDescent="0.3">
      <c r="AJ363" s="745">
        <v>70</v>
      </c>
      <c r="AK363" s="745"/>
      <c r="AL363" s="745"/>
      <c r="AM363" s="746" cm="1">
        <f t="array" aca="1" ref="AM363" ca="1">SUM(COUNTIF(INDIRECT({"G167","L167","Q167","V167","AA167","AF167","AK167","AP167","AU167","AZ167","BE167","BJ167","BO167","BT167","BY167","B173","G173","L173","Q173","V173","AA173","AF173","AK173","AP173","AU173","AZ173","BE173","BJ173","BO173","BT173","BY173","B179","G179","L179","Q179","V179","AA179","AF179","AK179","AP179","AU179","AZ179"}),"&gt;0"))</f>
        <v>11</v>
      </c>
      <c r="AN363" s="746"/>
      <c r="AO363" s="746"/>
      <c r="AP363" s="747">
        <f ca="1">AM363*AJ363</f>
        <v>770</v>
      </c>
      <c r="AQ363" s="748"/>
      <c r="AR363" s="748"/>
      <c r="AS363" s="749"/>
    </row>
    <row r="364" spans="36:45" ht="18.75" customHeight="1" x14ac:dyDescent="0.3">
      <c r="AJ364" s="745"/>
      <c r="AK364" s="745"/>
      <c r="AL364" s="745"/>
      <c r="AM364" s="746"/>
      <c r="AN364" s="746"/>
      <c r="AO364" s="746"/>
      <c r="AP364" s="747"/>
      <c r="AQ364" s="748"/>
      <c r="AR364" s="748"/>
      <c r="AS364" s="749"/>
    </row>
    <row r="365" spans="36:45" ht="18.75" customHeight="1" x14ac:dyDescent="0.3">
      <c r="AJ365" s="745"/>
      <c r="AK365" s="745"/>
      <c r="AL365" s="745"/>
      <c r="AM365" s="746"/>
      <c r="AN365" s="746"/>
      <c r="AO365" s="746"/>
      <c r="AP365" s="747"/>
      <c r="AQ365" s="748"/>
      <c r="AR365" s="748"/>
      <c r="AS365" s="749"/>
    </row>
    <row r="366" spans="36:45" ht="18.75" customHeight="1" x14ac:dyDescent="0.3">
      <c r="AJ366" s="745">
        <v>72</v>
      </c>
      <c r="AK366" s="745"/>
      <c r="AL366" s="745"/>
      <c r="AM366" s="746" cm="1">
        <f t="array" aca="1" ref="AM366" ca="1">SUM(COUNTIF(INDIRECT({"BE179","BJ179","BO179"}),"&gt;0"))</f>
        <v>2</v>
      </c>
      <c r="AN366" s="746"/>
      <c r="AO366" s="746"/>
      <c r="AP366" s="747">
        <f ca="1">AM366*AJ366</f>
        <v>144</v>
      </c>
      <c r="AQ366" s="748"/>
      <c r="AR366" s="748"/>
      <c r="AS366" s="749"/>
    </row>
    <row r="367" spans="36:45" ht="18.75" customHeight="1" x14ac:dyDescent="0.3">
      <c r="AJ367" s="745"/>
      <c r="AK367" s="745"/>
      <c r="AL367" s="745"/>
      <c r="AM367" s="746"/>
      <c r="AN367" s="746"/>
      <c r="AO367" s="746"/>
      <c r="AP367" s="747"/>
      <c r="AQ367" s="748"/>
      <c r="AR367" s="748"/>
      <c r="AS367" s="749"/>
    </row>
    <row r="368" spans="36:45" ht="18.75" customHeight="1" x14ac:dyDescent="0.3">
      <c r="AJ368" s="745"/>
      <c r="AK368" s="745"/>
      <c r="AL368" s="745"/>
      <c r="AM368" s="746"/>
      <c r="AN368" s="746"/>
      <c r="AO368" s="746"/>
      <c r="AP368" s="747"/>
      <c r="AQ368" s="748"/>
      <c r="AR368" s="748"/>
      <c r="AS368" s="749"/>
    </row>
    <row r="369" spans="36:45" ht="18.75" customHeight="1" x14ac:dyDescent="0.3">
      <c r="AJ369" s="745">
        <v>73</v>
      </c>
      <c r="AK369" s="745"/>
      <c r="AL369" s="745"/>
      <c r="AM369" s="746" cm="1">
        <f t="array" aca="1" ref="AM369" ca="1">SUM(COUNTIF(INDIRECT({"BT179","BY179","B185","G185","L185","Q185","V185","AA185","AF185","AK185","AP185","AU185","AZ185","BE185","BJ185","BO185","BT185","BY185","B191","G191","L191","Q191","V191","AA191","AF191","AK191","AP191","AU191","AZ191","BE191","BJ191","BO191","BT191","BY191","B197","G197","L197","Q197","V197","AA197","AF197","AK197","AP197","AU197","AZ197","BE197","BJ197","BO197","BT197","BY197","B203","G203","L203","Q203","V203","AA203","AF203","AK203"}),"&gt;0"))</f>
        <v>31</v>
      </c>
      <c r="AN369" s="746"/>
      <c r="AO369" s="746"/>
      <c r="AP369" s="747">
        <f ca="1">AM369*AJ369</f>
        <v>2263</v>
      </c>
      <c r="AQ369" s="748"/>
      <c r="AR369" s="748"/>
      <c r="AS369" s="749"/>
    </row>
    <row r="370" spans="36:45" ht="18.75" customHeight="1" x14ac:dyDescent="0.3">
      <c r="AJ370" s="745"/>
      <c r="AK370" s="745"/>
      <c r="AL370" s="745"/>
      <c r="AM370" s="746"/>
      <c r="AN370" s="746"/>
      <c r="AO370" s="746"/>
      <c r="AP370" s="747"/>
      <c r="AQ370" s="748"/>
      <c r="AR370" s="748"/>
      <c r="AS370" s="749"/>
    </row>
    <row r="371" spans="36:45" ht="18.75" customHeight="1" x14ac:dyDescent="0.3">
      <c r="AJ371" s="745"/>
      <c r="AK371" s="745"/>
      <c r="AL371" s="745"/>
      <c r="AM371" s="746"/>
      <c r="AN371" s="746"/>
      <c r="AO371" s="746"/>
      <c r="AP371" s="747"/>
      <c r="AQ371" s="748"/>
      <c r="AR371" s="748"/>
      <c r="AS371" s="749"/>
    </row>
    <row r="372" spans="36:45" ht="18.75" customHeight="1" x14ac:dyDescent="0.3">
      <c r="AJ372" s="745">
        <v>74</v>
      </c>
      <c r="AK372" s="745"/>
      <c r="AL372" s="745"/>
      <c r="AM372" s="746" cm="1">
        <f t="array" aca="1" ref="AM372" ca="1">SUM(COUNTIF(INDIRECT({"AP203","AU203","AZ203","BE203","BJ203","BO203","BT203","BY203","B209","G209","L209","Q209"}),"&gt;0"))</f>
        <v>5</v>
      </c>
      <c r="AN372" s="746"/>
      <c r="AO372" s="746"/>
      <c r="AP372" s="747">
        <f ca="1">AM372*AJ372</f>
        <v>370</v>
      </c>
      <c r="AQ372" s="748"/>
      <c r="AR372" s="748"/>
      <c r="AS372" s="749"/>
    </row>
    <row r="373" spans="36:45" ht="18.75" customHeight="1" x14ac:dyDescent="0.3">
      <c r="AJ373" s="745"/>
      <c r="AK373" s="745"/>
      <c r="AL373" s="745"/>
      <c r="AM373" s="746"/>
      <c r="AN373" s="746"/>
      <c r="AO373" s="746"/>
      <c r="AP373" s="747"/>
      <c r="AQ373" s="748"/>
      <c r="AR373" s="748"/>
      <c r="AS373" s="749"/>
    </row>
    <row r="374" spans="36:45" ht="18.75" customHeight="1" x14ac:dyDescent="0.3">
      <c r="AJ374" s="745"/>
      <c r="AK374" s="745"/>
      <c r="AL374" s="745"/>
      <c r="AM374" s="746"/>
      <c r="AN374" s="746"/>
      <c r="AO374" s="746"/>
      <c r="AP374" s="747"/>
      <c r="AQ374" s="748"/>
      <c r="AR374" s="748"/>
      <c r="AS374" s="749"/>
    </row>
    <row r="375" spans="36:45" ht="18.75" customHeight="1" x14ac:dyDescent="0.3">
      <c r="AJ375" s="745">
        <v>75</v>
      </c>
      <c r="AK375" s="745"/>
      <c r="AL375" s="745"/>
      <c r="AM375" s="746" cm="1">
        <f t="array" aca="1" ref="AM375" ca="1">SUM(COUNTIF(INDIRECT({"V209"}),"&gt;0"))</f>
        <v>0</v>
      </c>
      <c r="AN375" s="746"/>
      <c r="AO375" s="746"/>
      <c r="AP375" s="747">
        <f ca="1">AM375*AJ375</f>
        <v>0</v>
      </c>
      <c r="AQ375" s="748"/>
      <c r="AR375" s="748"/>
      <c r="AS375" s="749"/>
    </row>
    <row r="376" spans="36:45" ht="18.75" customHeight="1" x14ac:dyDescent="0.3">
      <c r="AJ376" s="745"/>
      <c r="AK376" s="745"/>
      <c r="AL376" s="745"/>
      <c r="AM376" s="746"/>
      <c r="AN376" s="746"/>
      <c r="AO376" s="746"/>
      <c r="AP376" s="747"/>
      <c r="AQ376" s="748"/>
      <c r="AR376" s="748"/>
      <c r="AS376" s="749"/>
    </row>
    <row r="377" spans="36:45" ht="18.75" customHeight="1" x14ac:dyDescent="0.3">
      <c r="AJ377" s="745"/>
      <c r="AK377" s="745"/>
      <c r="AL377" s="745"/>
      <c r="AM377" s="746"/>
      <c r="AN377" s="746"/>
      <c r="AO377" s="746"/>
      <c r="AP377" s="747"/>
      <c r="AQ377" s="748"/>
      <c r="AR377" s="748"/>
      <c r="AS377" s="749"/>
    </row>
    <row r="378" spans="36:45" ht="18.75" customHeight="1" x14ac:dyDescent="0.3">
      <c r="AJ378" s="745">
        <v>76</v>
      </c>
      <c r="AK378" s="745"/>
      <c r="AL378" s="745"/>
      <c r="AM378" s="746" cm="1">
        <f t="array" aca="1" ref="AM378" ca="1">SUM(COUNTIF(INDIRECT({"AA209","AF209","AK209","AP209","AU209","AZ209","BE209","BJ209","BO209","BT209","BY209","B215","G215","L215","Q215","V215","AA215","AF215","AK215","AP215","AU215","AZ215","BE215","BJ215","BO215","BT215","BY215","B221","G221","L221","Q221","V221","AA221","AF221","AK221"}),"&gt;0"))</f>
        <v>10</v>
      </c>
      <c r="AN378" s="746"/>
      <c r="AO378" s="746"/>
      <c r="AP378" s="747">
        <f ca="1">AM378*AJ378</f>
        <v>760</v>
      </c>
      <c r="AQ378" s="748"/>
      <c r="AR378" s="748"/>
      <c r="AS378" s="749"/>
    </row>
    <row r="379" spans="36:45" ht="18.75" customHeight="1" x14ac:dyDescent="0.3">
      <c r="AJ379" s="745"/>
      <c r="AK379" s="745"/>
      <c r="AL379" s="745"/>
      <c r="AM379" s="746"/>
      <c r="AN379" s="746"/>
      <c r="AO379" s="746"/>
      <c r="AP379" s="747"/>
      <c r="AQ379" s="748"/>
      <c r="AR379" s="748"/>
      <c r="AS379" s="749"/>
    </row>
    <row r="380" spans="36:45" ht="18.75" customHeight="1" x14ac:dyDescent="0.3">
      <c r="AJ380" s="745"/>
      <c r="AK380" s="745"/>
      <c r="AL380" s="745"/>
      <c r="AM380" s="746"/>
      <c r="AN380" s="746"/>
      <c r="AO380" s="746"/>
      <c r="AP380" s="747"/>
      <c r="AQ380" s="748"/>
      <c r="AR380" s="748"/>
      <c r="AS380" s="749"/>
    </row>
    <row r="381" spans="36:45" ht="18.75" customHeight="1" x14ac:dyDescent="0.3">
      <c r="AJ381" s="745">
        <v>77</v>
      </c>
      <c r="AK381" s="745"/>
      <c r="AL381" s="745"/>
      <c r="AM381" s="746" cm="1">
        <f t="array" aca="1" ref="AM381" ca="1">SUM(COUNTIF(INDIRECT({"AP221","AU221","AZ221","BE221","BJ221","BO221","BT221","BY221","B227","G227","L227","Q227","V227","AA227","AF227","AK227","AP227","AU227","AZ227","BE227","BJ227","BO227","BT227","BY227","B233","G233","L233","Q233","V233","AA233","AF233","AK233","AP233","AU233","AZ233","BE233","BJ233","BO233","BT233"}),"&gt;0"))</f>
        <v>5</v>
      </c>
      <c r="AN381" s="746"/>
      <c r="AO381" s="746"/>
      <c r="AP381" s="747">
        <f ca="1">AM381*AJ381</f>
        <v>385</v>
      </c>
      <c r="AQ381" s="748"/>
      <c r="AR381" s="748"/>
      <c r="AS381" s="749"/>
    </row>
    <row r="382" spans="36:45" ht="18.75" customHeight="1" x14ac:dyDescent="0.3">
      <c r="AJ382" s="745"/>
      <c r="AK382" s="745"/>
      <c r="AL382" s="745"/>
      <c r="AM382" s="746"/>
      <c r="AN382" s="746"/>
      <c r="AO382" s="746"/>
      <c r="AP382" s="747"/>
      <c r="AQ382" s="748"/>
      <c r="AR382" s="748"/>
      <c r="AS382" s="749"/>
    </row>
    <row r="383" spans="36:45" ht="18.75" customHeight="1" x14ac:dyDescent="0.3">
      <c r="AJ383" s="745"/>
      <c r="AK383" s="745"/>
      <c r="AL383" s="745"/>
      <c r="AM383" s="746"/>
      <c r="AN383" s="746"/>
      <c r="AO383" s="746"/>
      <c r="AP383" s="747"/>
      <c r="AQ383" s="748"/>
      <c r="AR383" s="748"/>
      <c r="AS383" s="749"/>
    </row>
    <row r="384" spans="36:45" ht="18.75" customHeight="1" x14ac:dyDescent="0.3">
      <c r="AJ384" s="745">
        <v>78</v>
      </c>
      <c r="AK384" s="745"/>
      <c r="AL384" s="745"/>
      <c r="AM384" s="746" cm="1">
        <f t="array" aca="1" ref="AM384" ca="1">SUM(COUNTIF(INDIRECT({"BY233","B239","G239","L239","Q239","V239","AA239","AF239","AK239","AP239","AU239","AZ239","BE239","BJ239","BO239","BT239","BY239","B245","G245","L245","Q245","V245","AA245","AF245","AK245","AP245","AU245","AZ245","BE245","BJ245","BO245","BT245","BY245","B251","G251","L251","Q251","V251","AA251"}),"&gt;0"))</f>
        <v>5</v>
      </c>
      <c r="AN384" s="746"/>
      <c r="AO384" s="746"/>
      <c r="AP384" s="747">
        <f ca="1">AM384*AJ384</f>
        <v>390</v>
      </c>
      <c r="AQ384" s="748"/>
      <c r="AR384" s="748"/>
      <c r="AS384" s="749"/>
    </row>
    <row r="385" spans="36:45" ht="18.75" customHeight="1" x14ac:dyDescent="0.3">
      <c r="AJ385" s="745"/>
      <c r="AK385" s="745"/>
      <c r="AL385" s="745"/>
      <c r="AM385" s="746"/>
      <c r="AN385" s="746"/>
      <c r="AO385" s="746"/>
      <c r="AP385" s="747"/>
      <c r="AQ385" s="748"/>
      <c r="AR385" s="748"/>
      <c r="AS385" s="749"/>
    </row>
    <row r="386" spans="36:45" ht="18.75" customHeight="1" x14ac:dyDescent="0.3">
      <c r="AJ386" s="745"/>
      <c r="AK386" s="745"/>
      <c r="AL386" s="745"/>
      <c r="AM386" s="746"/>
      <c r="AN386" s="746"/>
      <c r="AO386" s="746"/>
      <c r="AP386" s="747"/>
      <c r="AQ386" s="748"/>
      <c r="AR386" s="748"/>
      <c r="AS386" s="749"/>
    </row>
    <row r="387" spans="36:45" ht="18.75" customHeight="1" x14ac:dyDescent="0.3">
      <c r="AJ387" s="745">
        <v>79</v>
      </c>
      <c r="AK387" s="745"/>
      <c r="AL387" s="745"/>
      <c r="AM387" s="746" cm="1">
        <f t="array" aca="1" ref="AM387" ca="1">SUM(COUNTIF(INDIRECT({"AF251","AK251","AP251","AU251","AZ251","BE251","BJ251","BO251","BT251","BY251","B257","G257","L257","Q257","V257","AA257","AF257","AK257","AP257","AU257","AZ257","BE257","BJ257","BO257","BT257","BY257","B263","G263","L263","Q263","V263","AA263","AF263","AK263","AP263","AU263","AZ263","BE263","BJ263","BO263","BT263","BY263","B269","G269","L269","Q269"}),"&gt;0"))</f>
        <v>6</v>
      </c>
      <c r="AN387" s="746"/>
      <c r="AO387" s="746"/>
      <c r="AP387" s="747">
        <f ca="1">AM387*AJ387</f>
        <v>474</v>
      </c>
      <c r="AQ387" s="748"/>
      <c r="AR387" s="748"/>
      <c r="AS387" s="749"/>
    </row>
    <row r="388" spans="36:45" ht="18.75" customHeight="1" x14ac:dyDescent="0.3">
      <c r="AJ388" s="745"/>
      <c r="AK388" s="745"/>
      <c r="AL388" s="745"/>
      <c r="AM388" s="746"/>
      <c r="AN388" s="746"/>
      <c r="AO388" s="746"/>
      <c r="AP388" s="747"/>
      <c r="AQ388" s="748"/>
      <c r="AR388" s="748"/>
      <c r="AS388" s="749"/>
    </row>
    <row r="389" spans="36:45" ht="18.75" customHeight="1" x14ac:dyDescent="0.3">
      <c r="AJ389" s="745"/>
      <c r="AK389" s="745"/>
      <c r="AL389" s="745"/>
      <c r="AM389" s="746"/>
      <c r="AN389" s="746"/>
      <c r="AO389" s="746"/>
      <c r="AP389" s="747"/>
      <c r="AQ389" s="748"/>
      <c r="AR389" s="748"/>
      <c r="AS389" s="749"/>
    </row>
    <row r="390" spans="36:45" ht="18.75" customHeight="1" x14ac:dyDescent="0.3">
      <c r="AN390"/>
      <c r="AP390" s="747">
        <f ca="1">SUM(AP297:AS389)</f>
        <v>6234</v>
      </c>
      <c r="AQ390" s="748"/>
      <c r="AR390" s="748"/>
      <c r="AS390" s="749"/>
    </row>
    <row r="391" spans="36:45" ht="18.75" customHeight="1" x14ac:dyDescent="0.3">
      <c r="AN391"/>
      <c r="AP391" s="747"/>
      <c r="AQ391" s="748"/>
      <c r="AR391" s="748"/>
      <c r="AS391" s="749"/>
    </row>
    <row r="392" spans="36:45" ht="18.75" customHeight="1" x14ac:dyDescent="0.3">
      <c r="AN392"/>
      <c r="AP392" s="747"/>
      <c r="AQ392" s="748"/>
      <c r="AR392" s="748"/>
      <c r="AS392" s="749"/>
    </row>
    <row r="393" spans="36:45" ht="18.75" customHeight="1" x14ac:dyDescent="0.3">
      <c r="AN393"/>
      <c r="AS393"/>
    </row>
    <row r="394" spans="36:45" ht="18.75" customHeight="1" x14ac:dyDescent="0.3">
      <c r="AN394"/>
      <c r="AS394"/>
    </row>
    <row r="395" spans="36:45" ht="18.75" customHeight="1" x14ac:dyDescent="0.3">
      <c r="AN395"/>
      <c r="AS395"/>
    </row>
    <row r="396" spans="36:45" ht="18.75" customHeight="1" x14ac:dyDescent="0.3">
      <c r="AN396"/>
      <c r="AS396"/>
    </row>
    <row r="397" spans="36:45" ht="18.75" customHeight="1" x14ac:dyDescent="0.3">
      <c r="AN397"/>
      <c r="AS397"/>
    </row>
    <row r="398" spans="36:45" ht="18.75" customHeight="1" x14ac:dyDescent="0.3">
      <c r="AN398"/>
      <c r="AS398"/>
    </row>
    <row r="399" spans="36:45" ht="18.75" customHeight="1" x14ac:dyDescent="0.3">
      <c r="AN399"/>
      <c r="AS399"/>
    </row>
    <row r="400" spans="36:45" ht="18.75" customHeight="1" x14ac:dyDescent="0.3">
      <c r="AN400"/>
      <c r="AS400"/>
    </row>
    <row r="401" spans="40:45" ht="18.75" customHeight="1" x14ac:dyDescent="0.3">
      <c r="AN401"/>
      <c r="AS401"/>
    </row>
    <row r="402" spans="40:45" ht="18.75" customHeight="1" x14ac:dyDescent="0.3">
      <c r="AN402"/>
      <c r="AS402"/>
    </row>
    <row r="403" spans="40:45" ht="18.75" customHeight="1" x14ac:dyDescent="0.3">
      <c r="AN403"/>
      <c r="AS403"/>
    </row>
    <row r="404" spans="40:45" ht="18.75" customHeight="1" x14ac:dyDescent="0.3">
      <c r="AN404"/>
      <c r="AS404"/>
    </row>
    <row r="405" spans="40:45" ht="18.75" customHeight="1" x14ac:dyDescent="0.3">
      <c r="AN405"/>
      <c r="AS405"/>
    </row>
    <row r="406" spans="40:45" ht="18.75" customHeight="1" x14ac:dyDescent="0.3">
      <c r="AN406"/>
      <c r="AS406"/>
    </row>
    <row r="407" spans="40:45" ht="18.75" customHeight="1" x14ac:dyDescent="0.3">
      <c r="AN407"/>
      <c r="AS407"/>
    </row>
    <row r="408" spans="40:45" ht="18.75" customHeight="1" x14ac:dyDescent="0.3">
      <c r="AN408"/>
      <c r="AS408"/>
    </row>
    <row r="409" spans="40:45" ht="18.75" customHeight="1" x14ac:dyDescent="0.3">
      <c r="AN409"/>
      <c r="AS409"/>
    </row>
    <row r="410" spans="40:45" ht="18.75" customHeight="1" x14ac:dyDescent="0.3">
      <c r="AN410"/>
      <c r="AS410"/>
    </row>
    <row r="411" spans="40:45" ht="18.75" customHeight="1" x14ac:dyDescent="0.3">
      <c r="AN411"/>
      <c r="AS411"/>
    </row>
    <row r="412" spans="40:45" ht="18.75" customHeight="1" x14ac:dyDescent="0.3">
      <c r="AN412"/>
      <c r="AS412"/>
    </row>
    <row r="413" spans="40:45" ht="18.75" customHeight="1" x14ac:dyDescent="0.3">
      <c r="AN413"/>
      <c r="AS413"/>
    </row>
    <row r="414" spans="40:45" ht="18.75" customHeight="1" x14ac:dyDescent="0.3">
      <c r="AN414"/>
      <c r="AS414"/>
    </row>
    <row r="415" spans="40:45" ht="18.75" customHeight="1" x14ac:dyDescent="0.3">
      <c r="AN415"/>
      <c r="AS415"/>
    </row>
    <row r="416" spans="40:45" ht="18.75" customHeight="1" x14ac:dyDescent="0.3">
      <c r="AN416"/>
      <c r="AS416"/>
    </row>
    <row r="417" spans="40:45" ht="18.75" customHeight="1" x14ac:dyDescent="0.3">
      <c r="AN417"/>
      <c r="AS417"/>
    </row>
    <row r="418" spans="40:45" ht="18.75" customHeight="1" x14ac:dyDescent="0.3">
      <c r="AN418"/>
      <c r="AS418"/>
    </row>
    <row r="419" spans="40:45" ht="18.75" customHeight="1" x14ac:dyDescent="0.3">
      <c r="AN419"/>
      <c r="AS419"/>
    </row>
    <row r="420" spans="40:45" ht="18.75" customHeight="1" x14ac:dyDescent="0.3">
      <c r="AN420"/>
      <c r="AS420"/>
    </row>
    <row r="421" spans="40:45" ht="18.75" customHeight="1" x14ac:dyDescent="0.3">
      <c r="AN421"/>
      <c r="AS421"/>
    </row>
    <row r="422" spans="40:45" ht="18.75" customHeight="1" x14ac:dyDescent="0.3">
      <c r="AN422"/>
      <c r="AS422"/>
    </row>
    <row r="423" spans="40:45" ht="18.75" customHeight="1" x14ac:dyDescent="0.3">
      <c r="AN423"/>
      <c r="AS423"/>
    </row>
    <row r="424" spans="40:45" ht="18.75" customHeight="1" x14ac:dyDescent="0.3">
      <c r="AN424"/>
      <c r="AS424"/>
    </row>
    <row r="425" spans="40:45" ht="18.75" customHeight="1" x14ac:dyDescent="0.3">
      <c r="AN425"/>
      <c r="AS425"/>
    </row>
    <row r="426" spans="40:45" ht="18.75" customHeight="1" x14ac:dyDescent="0.3">
      <c r="AN426"/>
      <c r="AS426"/>
    </row>
    <row r="427" spans="40:45" ht="18.75" customHeight="1" x14ac:dyDescent="0.3">
      <c r="AN427"/>
      <c r="AS427"/>
    </row>
    <row r="428" spans="40:45" ht="18.75" customHeight="1" x14ac:dyDescent="0.3">
      <c r="AN428"/>
      <c r="AS428"/>
    </row>
    <row r="429" spans="40:45" ht="18.75" customHeight="1" x14ac:dyDescent="0.3">
      <c r="AN429"/>
      <c r="AS429"/>
    </row>
    <row r="430" spans="40:45" ht="18.75" customHeight="1" x14ac:dyDescent="0.3">
      <c r="AN430"/>
      <c r="AS430"/>
    </row>
    <row r="431" spans="40:45" ht="18.75" customHeight="1" x14ac:dyDescent="0.3">
      <c r="AN431"/>
      <c r="AS431"/>
    </row>
  </sheetData>
  <mergeCells count="4411">
    <mergeCell ref="BP265:BT268"/>
    <mergeCell ref="BP269:BT270"/>
    <mergeCell ref="P6:P7"/>
    <mergeCell ref="Q6:T6"/>
    <mergeCell ref="U6:U7"/>
    <mergeCell ref="V6:Y6"/>
    <mergeCell ref="Z6:Z7"/>
    <mergeCell ref="AA6:AD6"/>
    <mergeCell ref="A6:A7"/>
    <mergeCell ref="B6:E6"/>
    <mergeCell ref="F6:F7"/>
    <mergeCell ref="G6:J6"/>
    <mergeCell ref="K6:K7"/>
    <mergeCell ref="L6:O6"/>
    <mergeCell ref="AT2:AU2"/>
    <mergeCell ref="AV2:AX2"/>
    <mergeCell ref="AY2:AZ2"/>
    <mergeCell ref="BA2:BC2"/>
    <mergeCell ref="AQ2:AS2"/>
    <mergeCell ref="AE3:AG5"/>
    <mergeCell ref="AH3:AI5"/>
    <mergeCell ref="AJ3:AL5"/>
    <mergeCell ref="R2:T2"/>
    <mergeCell ref="U2:V2"/>
    <mergeCell ref="W2:Y2"/>
    <mergeCell ref="Z2:AA2"/>
    <mergeCell ref="F3:H5"/>
    <mergeCell ref="I3:J5"/>
    <mergeCell ref="K3:M5"/>
    <mergeCell ref="N3:O5"/>
    <mergeCell ref="Z3:AB5"/>
    <mergeCell ref="AC3:AD5"/>
    <mergeCell ref="P12:P13"/>
    <mergeCell ref="Q12:T12"/>
    <mergeCell ref="U12:U13"/>
    <mergeCell ref="V12:Y12"/>
    <mergeCell ref="Z12:Z13"/>
    <mergeCell ref="AA12:AD12"/>
    <mergeCell ref="A12:A13"/>
    <mergeCell ref="B12:E12"/>
    <mergeCell ref="F12:F13"/>
    <mergeCell ref="G12:J12"/>
    <mergeCell ref="K12:K13"/>
    <mergeCell ref="L12:O12"/>
    <mergeCell ref="BD8:BE8"/>
    <mergeCell ref="BF8:BH8"/>
    <mergeCell ref="AT9:AV11"/>
    <mergeCell ref="AW9:AX11"/>
    <mergeCell ref="AE8:AF8"/>
    <mergeCell ref="AG8:AI8"/>
    <mergeCell ref="AJ8:AK8"/>
    <mergeCell ref="AL8:AN8"/>
    <mergeCell ref="AB8:AD8"/>
    <mergeCell ref="X9:Y11"/>
    <mergeCell ref="Z9:AB11"/>
    <mergeCell ref="AC9:AD11"/>
    <mergeCell ref="A18:A19"/>
    <mergeCell ref="B18:E18"/>
    <mergeCell ref="F18:F19"/>
    <mergeCell ref="G18:J18"/>
    <mergeCell ref="K18:K19"/>
    <mergeCell ref="L18:O18"/>
    <mergeCell ref="AT14:AU14"/>
    <mergeCell ref="AV14:AX14"/>
    <mergeCell ref="AY14:AZ14"/>
    <mergeCell ref="BA14:BC14"/>
    <mergeCell ref="AO14:AP14"/>
    <mergeCell ref="AQ14:AS14"/>
    <mergeCell ref="AE15:AG17"/>
    <mergeCell ref="AH15:AI17"/>
    <mergeCell ref="P14:Q14"/>
    <mergeCell ref="R14:T14"/>
    <mergeCell ref="U14:V14"/>
    <mergeCell ref="W14:Y14"/>
    <mergeCell ref="P15:R17"/>
    <mergeCell ref="S15:T17"/>
    <mergeCell ref="U15:W17"/>
    <mergeCell ref="X15:Y17"/>
    <mergeCell ref="Z15:AB17"/>
    <mergeCell ref="AC15:AD17"/>
    <mergeCell ref="A15:C17"/>
    <mergeCell ref="D15:E17"/>
    <mergeCell ref="F15:H17"/>
    <mergeCell ref="I15:J17"/>
    <mergeCell ref="K15:M17"/>
    <mergeCell ref="N15:O17"/>
    <mergeCell ref="AJ15:AL17"/>
    <mergeCell ref="AM15:AN17"/>
    <mergeCell ref="BN18:BN19"/>
    <mergeCell ref="BO18:BR18"/>
    <mergeCell ref="AT18:AT19"/>
    <mergeCell ref="AU18:AX18"/>
    <mergeCell ref="AY18:AY19"/>
    <mergeCell ref="AZ18:BC18"/>
    <mergeCell ref="BD18:BD19"/>
    <mergeCell ref="BE18:BH18"/>
    <mergeCell ref="AE18:AE19"/>
    <mergeCell ref="AF18:AI18"/>
    <mergeCell ref="AJ18:AJ19"/>
    <mergeCell ref="AK18:AN18"/>
    <mergeCell ref="AO18:AO19"/>
    <mergeCell ref="AP18:AS18"/>
    <mergeCell ref="P18:P19"/>
    <mergeCell ref="Q18:T18"/>
    <mergeCell ref="U18:U19"/>
    <mergeCell ref="V18:Y18"/>
    <mergeCell ref="Z18:Z19"/>
    <mergeCell ref="AA18:AD18"/>
    <mergeCell ref="BA20:BC20"/>
    <mergeCell ref="AO20:AP20"/>
    <mergeCell ref="AQ20:AS20"/>
    <mergeCell ref="AM21:AN23"/>
    <mergeCell ref="AO21:AQ23"/>
    <mergeCell ref="P20:Q20"/>
    <mergeCell ref="R20:T20"/>
    <mergeCell ref="U20:V20"/>
    <mergeCell ref="W20:Y20"/>
    <mergeCell ref="H20:J20"/>
    <mergeCell ref="K20:L20"/>
    <mergeCell ref="M20:O20"/>
    <mergeCell ref="BI18:BI19"/>
    <mergeCell ref="BJ18:BM18"/>
    <mergeCell ref="BG21:BH23"/>
    <mergeCell ref="BI21:BK23"/>
    <mergeCell ref="BL21:BM23"/>
    <mergeCell ref="AO24:AO25"/>
    <mergeCell ref="AP24:AS24"/>
    <mergeCell ref="P24:P25"/>
    <mergeCell ref="Q24:T24"/>
    <mergeCell ref="U24:U25"/>
    <mergeCell ref="V24:Y24"/>
    <mergeCell ref="Z24:Z25"/>
    <mergeCell ref="AA24:AD24"/>
    <mergeCell ref="A24:A25"/>
    <mergeCell ref="B24:E24"/>
    <mergeCell ref="F24:F25"/>
    <mergeCell ref="G24:J24"/>
    <mergeCell ref="K24:K25"/>
    <mergeCell ref="L24:O24"/>
    <mergeCell ref="AT20:AU20"/>
    <mergeCell ref="AV20:AX20"/>
    <mergeCell ref="AY20:AZ20"/>
    <mergeCell ref="A30:A31"/>
    <mergeCell ref="B30:E30"/>
    <mergeCell ref="F30:F31"/>
    <mergeCell ref="G30:J30"/>
    <mergeCell ref="K30:K31"/>
    <mergeCell ref="L30:O30"/>
    <mergeCell ref="BD26:BE26"/>
    <mergeCell ref="BF26:BH26"/>
    <mergeCell ref="AT27:AV29"/>
    <mergeCell ref="AW27:AX29"/>
    <mergeCell ref="AE26:AF26"/>
    <mergeCell ref="AG26:AI26"/>
    <mergeCell ref="AJ26:AK26"/>
    <mergeCell ref="AL26:AN26"/>
    <mergeCell ref="U26:V26"/>
    <mergeCell ref="W26:Y26"/>
    <mergeCell ref="Z26:AA26"/>
    <mergeCell ref="AB26:AD26"/>
    <mergeCell ref="AO26:AP26"/>
    <mergeCell ref="AQ26:AS26"/>
    <mergeCell ref="AT26:AU26"/>
    <mergeCell ref="AV26:AX26"/>
    <mergeCell ref="AY26:AZ26"/>
    <mergeCell ref="BA26:BC26"/>
    <mergeCell ref="A26:B26"/>
    <mergeCell ref="C26:E26"/>
    <mergeCell ref="F26:G26"/>
    <mergeCell ref="H26:J26"/>
    <mergeCell ref="K26:L26"/>
    <mergeCell ref="M26:O26"/>
    <mergeCell ref="P26:Q26"/>
    <mergeCell ref="R26:T26"/>
    <mergeCell ref="BI30:BI31"/>
    <mergeCell ref="BJ30:BM30"/>
    <mergeCell ref="BN30:BN31"/>
    <mergeCell ref="BO30:BR30"/>
    <mergeCell ref="AT30:AT31"/>
    <mergeCell ref="AU30:AX30"/>
    <mergeCell ref="AY30:AY31"/>
    <mergeCell ref="AZ30:BC30"/>
    <mergeCell ref="BD30:BD31"/>
    <mergeCell ref="BE30:BH30"/>
    <mergeCell ref="AE30:AE31"/>
    <mergeCell ref="AF30:AI30"/>
    <mergeCell ref="AJ30:AJ31"/>
    <mergeCell ref="AK30:AN30"/>
    <mergeCell ref="AO30:AO31"/>
    <mergeCell ref="AP30:AS30"/>
    <mergeCell ref="P30:P31"/>
    <mergeCell ref="Q30:T30"/>
    <mergeCell ref="U30:U31"/>
    <mergeCell ref="V30:Y30"/>
    <mergeCell ref="Z30:Z31"/>
    <mergeCell ref="AA30:AD30"/>
    <mergeCell ref="AM33:AN35"/>
    <mergeCell ref="AO33:AQ35"/>
    <mergeCell ref="P32:Q32"/>
    <mergeCell ref="R32:T32"/>
    <mergeCell ref="U32:V32"/>
    <mergeCell ref="W32:Y32"/>
    <mergeCell ref="AE33:AG35"/>
    <mergeCell ref="AH33:AI35"/>
    <mergeCell ref="AJ33:AL35"/>
    <mergeCell ref="A33:C35"/>
    <mergeCell ref="D33:E35"/>
    <mergeCell ref="F33:H35"/>
    <mergeCell ref="I33:J35"/>
    <mergeCell ref="K33:M35"/>
    <mergeCell ref="N33:O35"/>
    <mergeCell ref="P33:R35"/>
    <mergeCell ref="S33:T35"/>
    <mergeCell ref="U33:W35"/>
    <mergeCell ref="AF36:AI36"/>
    <mergeCell ref="AJ36:AJ37"/>
    <mergeCell ref="AK36:AN36"/>
    <mergeCell ref="AO36:AO37"/>
    <mergeCell ref="AP36:AS36"/>
    <mergeCell ref="P36:P37"/>
    <mergeCell ref="Q36:T36"/>
    <mergeCell ref="U36:U37"/>
    <mergeCell ref="V36:Y36"/>
    <mergeCell ref="Z36:Z37"/>
    <mergeCell ref="AA36:AD36"/>
    <mergeCell ref="A36:A37"/>
    <mergeCell ref="B36:E36"/>
    <mergeCell ref="F36:F37"/>
    <mergeCell ref="G36:J36"/>
    <mergeCell ref="K36:K37"/>
    <mergeCell ref="L36:O36"/>
    <mergeCell ref="A42:A43"/>
    <mergeCell ref="B42:E42"/>
    <mergeCell ref="F42:F43"/>
    <mergeCell ref="G42:J42"/>
    <mergeCell ref="K42:K43"/>
    <mergeCell ref="L42:O42"/>
    <mergeCell ref="BD38:BE38"/>
    <mergeCell ref="BF38:BH38"/>
    <mergeCell ref="AT39:AV41"/>
    <mergeCell ref="AW39:AX41"/>
    <mergeCell ref="AE38:AF38"/>
    <mergeCell ref="AG38:AI38"/>
    <mergeCell ref="AJ38:AK38"/>
    <mergeCell ref="AL38:AN38"/>
    <mergeCell ref="U38:V38"/>
    <mergeCell ref="W38:Y38"/>
    <mergeCell ref="Z38:AA38"/>
    <mergeCell ref="AB38:AD38"/>
    <mergeCell ref="AO38:AP38"/>
    <mergeCell ref="AQ38:AS38"/>
    <mergeCell ref="AT38:AU38"/>
    <mergeCell ref="AV38:AX38"/>
    <mergeCell ref="AY38:AZ38"/>
    <mergeCell ref="BA38:BC38"/>
    <mergeCell ref="A38:B38"/>
    <mergeCell ref="C38:E38"/>
    <mergeCell ref="F38:G38"/>
    <mergeCell ref="H38:J38"/>
    <mergeCell ref="K38:L38"/>
    <mergeCell ref="M38:O38"/>
    <mergeCell ref="P38:Q38"/>
    <mergeCell ref="R38:T38"/>
    <mergeCell ref="BI42:BI43"/>
    <mergeCell ref="BJ42:BM42"/>
    <mergeCell ref="BN42:BN43"/>
    <mergeCell ref="BO42:BR42"/>
    <mergeCell ref="AT42:AT43"/>
    <mergeCell ref="AU42:AX42"/>
    <mergeCell ref="AY42:AY43"/>
    <mergeCell ref="AZ42:BC42"/>
    <mergeCell ref="BD42:BD43"/>
    <mergeCell ref="BE42:BH42"/>
    <mergeCell ref="AE42:AE43"/>
    <mergeCell ref="AF42:AI42"/>
    <mergeCell ref="AJ42:AJ43"/>
    <mergeCell ref="AK42:AN42"/>
    <mergeCell ref="AO42:AO43"/>
    <mergeCell ref="AP42:AS42"/>
    <mergeCell ref="P42:P43"/>
    <mergeCell ref="Q42:T42"/>
    <mergeCell ref="U42:U43"/>
    <mergeCell ref="V42:Y42"/>
    <mergeCell ref="Z42:Z43"/>
    <mergeCell ref="AA42:AD42"/>
    <mergeCell ref="A48:A49"/>
    <mergeCell ref="B48:E48"/>
    <mergeCell ref="F48:F49"/>
    <mergeCell ref="G48:J48"/>
    <mergeCell ref="K48:K49"/>
    <mergeCell ref="L48:O48"/>
    <mergeCell ref="AT44:AU44"/>
    <mergeCell ref="AV44:AX44"/>
    <mergeCell ref="AY44:AZ44"/>
    <mergeCell ref="BA44:BC44"/>
    <mergeCell ref="AO44:AP44"/>
    <mergeCell ref="AQ44:AS44"/>
    <mergeCell ref="AM45:AN47"/>
    <mergeCell ref="AO45:AQ47"/>
    <mergeCell ref="P44:Q44"/>
    <mergeCell ref="R44:T44"/>
    <mergeCell ref="U44:V44"/>
    <mergeCell ref="W44:Y44"/>
    <mergeCell ref="AE45:AG47"/>
    <mergeCell ref="AH45:AI47"/>
    <mergeCell ref="AJ45:AL47"/>
    <mergeCell ref="A45:C47"/>
    <mergeCell ref="D45:E47"/>
    <mergeCell ref="F45:H47"/>
    <mergeCell ref="I45:J47"/>
    <mergeCell ref="K45:M47"/>
    <mergeCell ref="N45:O47"/>
    <mergeCell ref="P45:R47"/>
    <mergeCell ref="S45:T47"/>
    <mergeCell ref="U45:W47"/>
    <mergeCell ref="BI48:BI49"/>
    <mergeCell ref="BJ48:BM48"/>
    <mergeCell ref="BN48:BN49"/>
    <mergeCell ref="BO48:BR48"/>
    <mergeCell ref="AT48:AT49"/>
    <mergeCell ref="AU48:AX48"/>
    <mergeCell ref="AY48:AY49"/>
    <mergeCell ref="AZ48:BC48"/>
    <mergeCell ref="BD48:BD49"/>
    <mergeCell ref="BE48:BH48"/>
    <mergeCell ref="AE48:AE49"/>
    <mergeCell ref="AF48:AI48"/>
    <mergeCell ref="AJ48:AJ49"/>
    <mergeCell ref="AK48:AN48"/>
    <mergeCell ref="AO48:AO49"/>
    <mergeCell ref="AP48:AS48"/>
    <mergeCell ref="P48:P49"/>
    <mergeCell ref="Q48:T48"/>
    <mergeCell ref="U48:U49"/>
    <mergeCell ref="V48:Y48"/>
    <mergeCell ref="Z48:Z49"/>
    <mergeCell ref="AA48:AD48"/>
    <mergeCell ref="L54:O54"/>
    <mergeCell ref="P54:P55"/>
    <mergeCell ref="Q54:T54"/>
    <mergeCell ref="U54:U55"/>
    <mergeCell ref="V54:Y54"/>
    <mergeCell ref="Z54:Z55"/>
    <mergeCell ref="ER53:FA56"/>
    <mergeCell ref="FC53:FN56"/>
    <mergeCell ref="FO53:FS62"/>
    <mergeCell ref="FT53:FW56"/>
    <mergeCell ref="FX53:FZ56"/>
    <mergeCell ref="A54:A55"/>
    <mergeCell ref="B54:E54"/>
    <mergeCell ref="F54:F55"/>
    <mergeCell ref="G54:J54"/>
    <mergeCell ref="K54:K55"/>
    <mergeCell ref="EF52:EQ56"/>
    <mergeCell ref="DI53:DK53"/>
    <mergeCell ref="DL53:DM53"/>
    <mergeCell ref="DO53:DQ55"/>
    <mergeCell ref="DL56:DM56"/>
    <mergeCell ref="DO56:DQ58"/>
    <mergeCell ref="EF57:EQ62"/>
    <mergeCell ref="AT51:AV53"/>
    <mergeCell ref="AW51:AX53"/>
    <mergeCell ref="AJ57:AL59"/>
    <mergeCell ref="BD56:BE56"/>
    <mergeCell ref="BF56:BH56"/>
    <mergeCell ref="BI56:BJ56"/>
    <mergeCell ref="BK56:BM56"/>
    <mergeCell ref="AO56:AP56"/>
    <mergeCell ref="AQ56:AS56"/>
    <mergeCell ref="BE54:BH54"/>
    <mergeCell ref="BI54:BI55"/>
    <mergeCell ref="BJ54:BM54"/>
    <mergeCell ref="BN54:BN55"/>
    <mergeCell ref="BO54:BR54"/>
    <mergeCell ref="DI54:DK56"/>
    <mergeCell ref="AP54:AS54"/>
    <mergeCell ref="AT54:AT55"/>
    <mergeCell ref="AU54:AX54"/>
    <mergeCell ref="AY54:AY55"/>
    <mergeCell ref="AZ54:BC54"/>
    <mergeCell ref="BD54:BD55"/>
    <mergeCell ref="AA54:AD54"/>
    <mergeCell ref="AE54:AE55"/>
    <mergeCell ref="AF54:AI54"/>
    <mergeCell ref="AJ54:AJ55"/>
    <mergeCell ref="AK54:AN54"/>
    <mergeCell ref="AO54:AO55"/>
    <mergeCell ref="P60:P61"/>
    <mergeCell ref="Q60:T60"/>
    <mergeCell ref="U60:U61"/>
    <mergeCell ref="V60:Y60"/>
    <mergeCell ref="Z60:Z61"/>
    <mergeCell ref="AA60:AD60"/>
    <mergeCell ref="ER57:FB62"/>
    <mergeCell ref="FC57:FN62"/>
    <mergeCell ref="FT57:FZ60"/>
    <mergeCell ref="DO59:DQ62"/>
    <mergeCell ref="A60:A61"/>
    <mergeCell ref="B60:E60"/>
    <mergeCell ref="F60:F61"/>
    <mergeCell ref="G60:J60"/>
    <mergeCell ref="K60:K61"/>
    <mergeCell ref="L60:O60"/>
    <mergeCell ref="AT56:AU56"/>
    <mergeCell ref="AV56:AX56"/>
    <mergeCell ref="AY56:AZ56"/>
    <mergeCell ref="BA56:BC56"/>
    <mergeCell ref="AE56:AF56"/>
    <mergeCell ref="AG56:AI56"/>
    <mergeCell ref="AJ56:AK56"/>
    <mergeCell ref="AL56:AN56"/>
    <mergeCell ref="Z56:AA56"/>
    <mergeCell ref="AB56:AD56"/>
    <mergeCell ref="P57:R59"/>
    <mergeCell ref="S57:T59"/>
    <mergeCell ref="A56:B56"/>
    <mergeCell ref="C56:E56"/>
    <mergeCell ref="F56:G56"/>
    <mergeCell ref="H56:J56"/>
    <mergeCell ref="BI60:BI61"/>
    <mergeCell ref="BJ60:BM60"/>
    <mergeCell ref="BN60:BN61"/>
    <mergeCell ref="BO60:BR60"/>
    <mergeCell ref="FT61:FZ62"/>
    <mergeCell ref="AT60:AT61"/>
    <mergeCell ref="AU60:AX60"/>
    <mergeCell ref="AY60:AY61"/>
    <mergeCell ref="AZ60:BC60"/>
    <mergeCell ref="BD60:BD61"/>
    <mergeCell ref="BE60:BH60"/>
    <mergeCell ref="AE60:AE61"/>
    <mergeCell ref="AF60:AI60"/>
    <mergeCell ref="AJ60:AJ61"/>
    <mergeCell ref="AK60:AN60"/>
    <mergeCell ref="AO60:AO61"/>
    <mergeCell ref="AP60:AS60"/>
    <mergeCell ref="BP62:BR62"/>
    <mergeCell ref="BS62:BT62"/>
    <mergeCell ref="BU62:BW62"/>
    <mergeCell ref="BA62:BC62"/>
    <mergeCell ref="BD62:BE62"/>
    <mergeCell ref="BF62:BH62"/>
    <mergeCell ref="BI62:BJ62"/>
    <mergeCell ref="BK62:BM62"/>
    <mergeCell ref="BN62:BO62"/>
    <mergeCell ref="AG62:AI62"/>
    <mergeCell ref="AJ62:AK62"/>
    <mergeCell ref="A66:A67"/>
    <mergeCell ref="B66:E66"/>
    <mergeCell ref="F66:F67"/>
    <mergeCell ref="G66:J66"/>
    <mergeCell ref="K66:K67"/>
    <mergeCell ref="AQ62:AS62"/>
    <mergeCell ref="AT62:AU62"/>
    <mergeCell ref="AV62:AX62"/>
    <mergeCell ref="AY62:AZ62"/>
    <mergeCell ref="AL62:AN62"/>
    <mergeCell ref="AO62:AP62"/>
    <mergeCell ref="AC63:AD65"/>
    <mergeCell ref="AE63:AG65"/>
    <mergeCell ref="M62:O62"/>
    <mergeCell ref="P62:Q62"/>
    <mergeCell ref="R62:T62"/>
    <mergeCell ref="U62:V62"/>
    <mergeCell ref="A63:C65"/>
    <mergeCell ref="D63:E65"/>
    <mergeCell ref="F63:H65"/>
    <mergeCell ref="I63:J65"/>
    <mergeCell ref="K63:M65"/>
    <mergeCell ref="W62:Y62"/>
    <mergeCell ref="Z62:AA62"/>
    <mergeCell ref="AB62:AD62"/>
    <mergeCell ref="AE62:AF62"/>
    <mergeCell ref="N63:O65"/>
    <mergeCell ref="P63:R65"/>
    <mergeCell ref="S63:T65"/>
    <mergeCell ref="U63:W65"/>
    <mergeCell ref="X63:Y65"/>
    <mergeCell ref="Z63:AB65"/>
    <mergeCell ref="BJ66:BM66"/>
    <mergeCell ref="BN66:BN67"/>
    <mergeCell ref="BO66:BR66"/>
    <mergeCell ref="AP66:AS66"/>
    <mergeCell ref="AT66:AT67"/>
    <mergeCell ref="AU66:AX66"/>
    <mergeCell ref="AY66:AY67"/>
    <mergeCell ref="AZ66:BC66"/>
    <mergeCell ref="BD66:BD67"/>
    <mergeCell ref="AA66:AD66"/>
    <mergeCell ref="AE66:AE67"/>
    <mergeCell ref="AF66:AI66"/>
    <mergeCell ref="AJ66:AJ67"/>
    <mergeCell ref="AK66:AN66"/>
    <mergeCell ref="AO66:AO67"/>
    <mergeCell ref="L66:O66"/>
    <mergeCell ref="P66:P67"/>
    <mergeCell ref="Q66:T66"/>
    <mergeCell ref="U66:U67"/>
    <mergeCell ref="V66:Y66"/>
    <mergeCell ref="Z66:Z67"/>
    <mergeCell ref="U72:U73"/>
    <mergeCell ref="V72:Y72"/>
    <mergeCell ref="Z72:Z73"/>
    <mergeCell ref="A72:A73"/>
    <mergeCell ref="B72:E72"/>
    <mergeCell ref="F72:F73"/>
    <mergeCell ref="G72:J72"/>
    <mergeCell ref="K72:K73"/>
    <mergeCell ref="BA68:BC68"/>
    <mergeCell ref="AW69:AX71"/>
    <mergeCell ref="AY69:BA71"/>
    <mergeCell ref="AB68:AD68"/>
    <mergeCell ref="AE68:AF68"/>
    <mergeCell ref="AG68:AI68"/>
    <mergeCell ref="AJ68:AK68"/>
    <mergeCell ref="Z68:AA68"/>
    <mergeCell ref="K69:M71"/>
    <mergeCell ref="N69:O71"/>
    <mergeCell ref="P69:R71"/>
    <mergeCell ref="A68:B68"/>
    <mergeCell ref="C68:E68"/>
    <mergeCell ref="A69:C71"/>
    <mergeCell ref="D69:E71"/>
    <mergeCell ref="F68:G68"/>
    <mergeCell ref="H68:J68"/>
    <mergeCell ref="F69:H71"/>
    <mergeCell ref="I69:J71"/>
    <mergeCell ref="AY72:AY73"/>
    <mergeCell ref="AZ72:BC72"/>
    <mergeCell ref="L78:O78"/>
    <mergeCell ref="P78:P79"/>
    <mergeCell ref="Q78:T78"/>
    <mergeCell ref="U78:U79"/>
    <mergeCell ref="V78:Y78"/>
    <mergeCell ref="Z78:Z79"/>
    <mergeCell ref="A78:A79"/>
    <mergeCell ref="B78:E78"/>
    <mergeCell ref="F78:F79"/>
    <mergeCell ref="G78:J78"/>
    <mergeCell ref="K78:K79"/>
    <mergeCell ref="AQ74:AS74"/>
    <mergeCell ref="AT74:AU74"/>
    <mergeCell ref="AV74:AX74"/>
    <mergeCell ref="AY74:AZ74"/>
    <mergeCell ref="AL74:AN74"/>
    <mergeCell ref="AO74:AP74"/>
    <mergeCell ref="AC75:AD77"/>
    <mergeCell ref="AE75:AG77"/>
    <mergeCell ref="M74:O74"/>
    <mergeCell ref="P74:Q74"/>
    <mergeCell ref="R74:T74"/>
    <mergeCell ref="U74:V74"/>
    <mergeCell ref="A74:B74"/>
    <mergeCell ref="C74:E74"/>
    <mergeCell ref="F74:G74"/>
    <mergeCell ref="H74:J74"/>
    <mergeCell ref="K74:L74"/>
    <mergeCell ref="U80:V80"/>
    <mergeCell ref="W80:Y80"/>
    <mergeCell ref="BE78:BH78"/>
    <mergeCell ref="BI78:BI79"/>
    <mergeCell ref="BJ78:BM78"/>
    <mergeCell ref="BN78:BN79"/>
    <mergeCell ref="BO78:BR78"/>
    <mergeCell ref="AP78:AS78"/>
    <mergeCell ref="AT78:AT79"/>
    <mergeCell ref="AU78:AX78"/>
    <mergeCell ref="AY78:AY79"/>
    <mergeCell ref="AZ78:BC78"/>
    <mergeCell ref="BD78:BD79"/>
    <mergeCell ref="AA78:AD78"/>
    <mergeCell ref="AE78:AE79"/>
    <mergeCell ref="AF78:AI78"/>
    <mergeCell ref="AJ78:AJ79"/>
    <mergeCell ref="AK78:AN78"/>
    <mergeCell ref="AO78:AO79"/>
    <mergeCell ref="AA84:AD84"/>
    <mergeCell ref="AE84:AE85"/>
    <mergeCell ref="AF84:AI84"/>
    <mergeCell ref="AJ84:AJ85"/>
    <mergeCell ref="AK84:AN84"/>
    <mergeCell ref="A271:C271"/>
    <mergeCell ref="D271:E271"/>
    <mergeCell ref="G271:I273"/>
    <mergeCell ref="X271:AI274"/>
    <mergeCell ref="AJ271:AS274"/>
    <mergeCell ref="L84:O84"/>
    <mergeCell ref="P84:P85"/>
    <mergeCell ref="Q84:T84"/>
    <mergeCell ref="U84:U85"/>
    <mergeCell ref="V84:Y84"/>
    <mergeCell ref="Z84:Z85"/>
    <mergeCell ref="A84:A85"/>
    <mergeCell ref="B84:E84"/>
    <mergeCell ref="F84:F85"/>
    <mergeCell ref="G84:J84"/>
    <mergeCell ref="K84:K85"/>
    <mergeCell ref="P90:P91"/>
    <mergeCell ref="Q90:T90"/>
    <mergeCell ref="U90:U91"/>
    <mergeCell ref="V90:Y90"/>
    <mergeCell ref="Z90:Z91"/>
    <mergeCell ref="L90:O90"/>
    <mergeCell ref="AO92:AP92"/>
    <mergeCell ref="AQ92:AS92"/>
    <mergeCell ref="AJ93:AL95"/>
    <mergeCell ref="AM93:AN95"/>
    <mergeCell ref="P92:Q92"/>
    <mergeCell ref="CG294:CP296"/>
    <mergeCell ref="AU295:BD296"/>
    <mergeCell ref="G277:I280"/>
    <mergeCell ref="Z287:AD293"/>
    <mergeCell ref="AH287:AJ289"/>
    <mergeCell ref="AK287:AM289"/>
    <mergeCell ref="AN287:AO289"/>
    <mergeCell ref="AP287:AQ289"/>
    <mergeCell ref="AU287:BD289"/>
    <mergeCell ref="AH290:AJ293"/>
    <mergeCell ref="AU271:BF274"/>
    <mergeCell ref="BX271:BZ274"/>
    <mergeCell ref="A272:C274"/>
    <mergeCell ref="D274:E274"/>
    <mergeCell ref="G274:I276"/>
    <mergeCell ref="X275:AI280"/>
    <mergeCell ref="AJ275:AT280"/>
    <mergeCell ref="AU275:BF280"/>
    <mergeCell ref="AJ327:AL329"/>
    <mergeCell ref="AM327:AO329"/>
    <mergeCell ref="AP327:AS329"/>
    <mergeCell ref="AJ330:AL332"/>
    <mergeCell ref="CG311:CP315"/>
    <mergeCell ref="CG300:CP301"/>
    <mergeCell ref="AU301:BD305"/>
    <mergeCell ref="CG302:CP304"/>
    <mergeCell ref="AJ303:AL305"/>
    <mergeCell ref="AM303:AO305"/>
    <mergeCell ref="AP303:AS305"/>
    <mergeCell ref="CG305:CP306"/>
    <mergeCell ref="AM306:AO308"/>
    <mergeCell ref="AP306:AS308"/>
    <mergeCell ref="CG307:CP310"/>
    <mergeCell ref="CG297:CP299"/>
    <mergeCell ref="AJ300:AL302"/>
    <mergeCell ref="AM300:AO302"/>
    <mergeCell ref="AP300:AS302"/>
    <mergeCell ref="AJ297:AL299"/>
    <mergeCell ref="AM297:AO299"/>
    <mergeCell ref="AP297:AS299"/>
    <mergeCell ref="AU297:BD300"/>
    <mergeCell ref="BS2:BT2"/>
    <mergeCell ref="BU2:BW2"/>
    <mergeCell ref="BD84:BD85"/>
    <mergeCell ref="BE84:BH84"/>
    <mergeCell ref="BI84:BI85"/>
    <mergeCell ref="BJ84:BM84"/>
    <mergeCell ref="BN84:BN85"/>
    <mergeCell ref="BO84:BR84"/>
    <mergeCell ref="AO84:AO85"/>
    <mergeCell ref="AP84:AS84"/>
    <mergeCell ref="AT84:AT85"/>
    <mergeCell ref="AU84:AX84"/>
    <mergeCell ref="AY84:AY85"/>
    <mergeCell ref="AZ84:BC84"/>
    <mergeCell ref="BN80:BO80"/>
    <mergeCell ref="BP80:BR80"/>
    <mergeCell ref="BN81:BP83"/>
    <mergeCell ref="BQ81:BR83"/>
    <mergeCell ref="AO80:AP80"/>
    <mergeCell ref="AQ80:AS80"/>
    <mergeCell ref="AT80:AU80"/>
    <mergeCell ref="AV80:AX80"/>
    <mergeCell ref="BE72:BH72"/>
    <mergeCell ref="BI72:BI73"/>
    <mergeCell ref="BJ72:BM72"/>
    <mergeCell ref="BN72:BN73"/>
    <mergeCell ref="BO72:BR72"/>
    <mergeCell ref="AP72:AS72"/>
    <mergeCell ref="AT72:AT73"/>
    <mergeCell ref="AU72:AX72"/>
    <mergeCell ref="BE66:BH66"/>
    <mergeCell ref="BI66:BI67"/>
    <mergeCell ref="BS32:BT32"/>
    <mergeCell ref="BU32:BW32"/>
    <mergeCell ref="BV33:BW35"/>
    <mergeCell ref="BS24:BS25"/>
    <mergeCell ref="BT24:BW24"/>
    <mergeCell ref="BS20:BT20"/>
    <mergeCell ref="BU20:BW20"/>
    <mergeCell ref="BV21:BW23"/>
    <mergeCell ref="BS12:BS13"/>
    <mergeCell ref="BT12:BW12"/>
    <mergeCell ref="BS18:BS19"/>
    <mergeCell ref="BT18:BW18"/>
    <mergeCell ref="BS14:BT14"/>
    <mergeCell ref="BU14:BW14"/>
    <mergeCell ref="BU26:BW26"/>
    <mergeCell ref="BU38:BW38"/>
    <mergeCell ref="BU44:BW44"/>
    <mergeCell ref="BX12:BX13"/>
    <mergeCell ref="BY12:CB12"/>
    <mergeCell ref="BX2:BY2"/>
    <mergeCell ref="BZ2:CB2"/>
    <mergeCell ref="BX8:BY8"/>
    <mergeCell ref="BS78:BS79"/>
    <mergeCell ref="BT78:BW78"/>
    <mergeCell ref="BS84:BS85"/>
    <mergeCell ref="BT84:BW84"/>
    <mergeCell ref="BS80:BT80"/>
    <mergeCell ref="BU80:BW80"/>
    <mergeCell ref="BS81:BU83"/>
    <mergeCell ref="BV81:BW83"/>
    <mergeCell ref="BS72:BS73"/>
    <mergeCell ref="BT72:BW72"/>
    <mergeCell ref="BU68:BW68"/>
    <mergeCell ref="BS60:BS61"/>
    <mergeCell ref="BT60:BW60"/>
    <mergeCell ref="BS66:BS67"/>
    <mergeCell ref="BT66:BW66"/>
    <mergeCell ref="BS54:BS55"/>
    <mergeCell ref="BT54:BW54"/>
    <mergeCell ref="BS48:BS49"/>
    <mergeCell ref="BT48:BW48"/>
    <mergeCell ref="BS42:BS43"/>
    <mergeCell ref="BT42:BW42"/>
    <mergeCell ref="BS44:BT44"/>
    <mergeCell ref="BV45:BW47"/>
    <mergeCell ref="BS30:BS31"/>
    <mergeCell ref="BT30:BW30"/>
    <mergeCell ref="BS36:BS37"/>
    <mergeCell ref="BT36:BW36"/>
    <mergeCell ref="BX50:BY50"/>
    <mergeCell ref="BZ50:CB50"/>
    <mergeCell ref="BX42:BX43"/>
    <mergeCell ref="BY42:CB42"/>
    <mergeCell ref="BX48:BX49"/>
    <mergeCell ref="BY48:CB48"/>
    <mergeCell ref="BX38:BY38"/>
    <mergeCell ref="BZ38:CB38"/>
    <mergeCell ref="BX44:BY44"/>
    <mergeCell ref="BX30:BX31"/>
    <mergeCell ref="BY30:CB30"/>
    <mergeCell ref="BX36:BX37"/>
    <mergeCell ref="BY36:CB36"/>
    <mergeCell ref="BX26:BY26"/>
    <mergeCell ref="BZ26:CB26"/>
    <mergeCell ref="BX32:BY32"/>
    <mergeCell ref="BX18:BX19"/>
    <mergeCell ref="BY18:CB18"/>
    <mergeCell ref="BX24:BX25"/>
    <mergeCell ref="BY24:CB24"/>
    <mergeCell ref="BX21:BZ23"/>
    <mergeCell ref="CA21:CB23"/>
    <mergeCell ref="BZ32:CB32"/>
    <mergeCell ref="BX33:BZ35"/>
    <mergeCell ref="CA33:CB35"/>
    <mergeCell ref="BZ44:CB44"/>
    <mergeCell ref="BX20:BY20"/>
    <mergeCell ref="BX84:BX85"/>
    <mergeCell ref="BY84:CB84"/>
    <mergeCell ref="BX90:BX91"/>
    <mergeCell ref="BY90:CB90"/>
    <mergeCell ref="BX72:BX73"/>
    <mergeCell ref="BY72:CB72"/>
    <mergeCell ref="BX78:BX79"/>
    <mergeCell ref="BY78:CB78"/>
    <mergeCell ref="CA75:CB77"/>
    <mergeCell ref="BX66:BX67"/>
    <mergeCell ref="BY66:CB66"/>
    <mergeCell ref="CA63:CB65"/>
    <mergeCell ref="BX68:BY68"/>
    <mergeCell ref="BZ68:CB68"/>
    <mergeCell ref="BX54:BX55"/>
    <mergeCell ref="BY54:CB54"/>
    <mergeCell ref="BX60:BX61"/>
    <mergeCell ref="BY60:CB60"/>
    <mergeCell ref="BX62:BY62"/>
    <mergeCell ref="BZ62:CB62"/>
    <mergeCell ref="BX69:BZ71"/>
    <mergeCell ref="CA69:CB71"/>
    <mergeCell ref="BX86:BY86"/>
    <mergeCell ref="BZ86:CB86"/>
    <mergeCell ref="BN87:BP89"/>
    <mergeCell ref="BQ87:BR89"/>
    <mergeCell ref="AY86:AZ86"/>
    <mergeCell ref="BA86:BC86"/>
    <mergeCell ref="BD86:BE86"/>
    <mergeCell ref="BF86:BH86"/>
    <mergeCell ref="AT86:AU86"/>
    <mergeCell ref="AV86:AX86"/>
    <mergeCell ref="AT87:AV89"/>
    <mergeCell ref="AW87:AX89"/>
    <mergeCell ref="U86:V86"/>
    <mergeCell ref="W86:Y86"/>
    <mergeCell ref="Z86:AA86"/>
    <mergeCell ref="AB86:AD86"/>
    <mergeCell ref="BI90:BI91"/>
    <mergeCell ref="BJ90:BM90"/>
    <mergeCell ref="BN90:BN91"/>
    <mergeCell ref="BO90:BR90"/>
    <mergeCell ref="BS90:BS91"/>
    <mergeCell ref="BT90:BW90"/>
    <mergeCell ref="AT90:AT91"/>
    <mergeCell ref="AU90:AX90"/>
    <mergeCell ref="AY90:AY91"/>
    <mergeCell ref="AZ90:BC90"/>
    <mergeCell ref="BD90:BD91"/>
    <mergeCell ref="BE90:BH90"/>
    <mergeCell ref="AE90:AE91"/>
    <mergeCell ref="AF90:AI90"/>
    <mergeCell ref="AJ90:AJ91"/>
    <mergeCell ref="AK90:AN90"/>
    <mergeCell ref="AO90:AO91"/>
    <mergeCell ref="AP90:AS90"/>
    <mergeCell ref="A96:A97"/>
    <mergeCell ref="B96:E96"/>
    <mergeCell ref="F96:F97"/>
    <mergeCell ref="G96:J96"/>
    <mergeCell ref="K96:K97"/>
    <mergeCell ref="L96:O96"/>
    <mergeCell ref="P96:P97"/>
    <mergeCell ref="Q96:T96"/>
    <mergeCell ref="U96:U97"/>
    <mergeCell ref="AE96:AE97"/>
    <mergeCell ref="AF96:AI96"/>
    <mergeCell ref="AJ96:AJ97"/>
    <mergeCell ref="AA90:AD90"/>
    <mergeCell ref="A90:A91"/>
    <mergeCell ref="B90:E90"/>
    <mergeCell ref="F90:F91"/>
    <mergeCell ref="G90:J90"/>
    <mergeCell ref="K90:K91"/>
    <mergeCell ref="BY96:CB96"/>
    <mergeCell ref="AZ96:BC96"/>
    <mergeCell ref="BD96:BD97"/>
    <mergeCell ref="BE96:BH96"/>
    <mergeCell ref="BI96:BI97"/>
    <mergeCell ref="BJ96:BM96"/>
    <mergeCell ref="BN96:BN97"/>
    <mergeCell ref="AK96:AN96"/>
    <mergeCell ref="AO96:AO97"/>
    <mergeCell ref="AP96:AS96"/>
    <mergeCell ref="AT96:AT97"/>
    <mergeCell ref="AU96:AX96"/>
    <mergeCell ref="AY96:AY97"/>
    <mergeCell ref="V96:Y96"/>
    <mergeCell ref="Z96:Z97"/>
    <mergeCell ref="AA96:AD96"/>
    <mergeCell ref="BX92:BY92"/>
    <mergeCell ref="BZ92:CB92"/>
    <mergeCell ref="BX93:BZ95"/>
    <mergeCell ref="CA93:CB95"/>
    <mergeCell ref="BS92:BT92"/>
    <mergeCell ref="BU92:BW92"/>
    <mergeCell ref="BS93:BU95"/>
    <mergeCell ref="BV93:BW95"/>
    <mergeCell ref="BS96:BS97"/>
    <mergeCell ref="BT96:BW96"/>
    <mergeCell ref="BX96:BX97"/>
    <mergeCell ref="Q102:T102"/>
    <mergeCell ref="U102:U103"/>
    <mergeCell ref="V102:Y102"/>
    <mergeCell ref="Z102:Z103"/>
    <mergeCell ref="AA102:AD102"/>
    <mergeCell ref="AE102:AE103"/>
    <mergeCell ref="A102:A103"/>
    <mergeCell ref="B102:E102"/>
    <mergeCell ref="F102:F103"/>
    <mergeCell ref="G102:J102"/>
    <mergeCell ref="K102:K103"/>
    <mergeCell ref="L102:O102"/>
    <mergeCell ref="P102:P103"/>
    <mergeCell ref="BF98:BH98"/>
    <mergeCell ref="BI98:BJ98"/>
    <mergeCell ref="BK98:BM98"/>
    <mergeCell ref="BN98:BO98"/>
    <mergeCell ref="BA98:BC98"/>
    <mergeCell ref="BD98:BE98"/>
    <mergeCell ref="AT99:AV101"/>
    <mergeCell ref="AW99:AX101"/>
    <mergeCell ref="AB98:AD98"/>
    <mergeCell ref="AE98:AF98"/>
    <mergeCell ref="AG98:AI98"/>
    <mergeCell ref="AJ98:AK98"/>
    <mergeCell ref="U98:V98"/>
    <mergeCell ref="W98:Y98"/>
    <mergeCell ref="Z98:AA98"/>
    <mergeCell ref="N99:O101"/>
    <mergeCell ref="A98:B98"/>
    <mergeCell ref="C98:E98"/>
    <mergeCell ref="F98:G98"/>
    <mergeCell ref="BY102:CB102"/>
    <mergeCell ref="BJ102:BM102"/>
    <mergeCell ref="BN102:BN103"/>
    <mergeCell ref="BO102:BR102"/>
    <mergeCell ref="BS102:BS103"/>
    <mergeCell ref="BT102:BW102"/>
    <mergeCell ref="BX102:BX103"/>
    <mergeCell ref="AU102:AX102"/>
    <mergeCell ref="AY102:AY103"/>
    <mergeCell ref="AZ102:BC102"/>
    <mergeCell ref="BD102:BD103"/>
    <mergeCell ref="BE102:BH102"/>
    <mergeCell ref="BI102:BI103"/>
    <mergeCell ref="AF102:AI102"/>
    <mergeCell ref="AJ102:AJ103"/>
    <mergeCell ref="AK102:AN102"/>
    <mergeCell ref="AO102:AO103"/>
    <mergeCell ref="AP102:AS102"/>
    <mergeCell ref="AT102:AT103"/>
    <mergeCell ref="BK104:BM104"/>
    <mergeCell ref="BN104:BO104"/>
    <mergeCell ref="BI105:BK107"/>
    <mergeCell ref="BL105:BM107"/>
    <mergeCell ref="AL104:AN104"/>
    <mergeCell ref="AO104:AP104"/>
    <mergeCell ref="AQ104:AS104"/>
    <mergeCell ref="AT104:AU104"/>
    <mergeCell ref="AE104:AF104"/>
    <mergeCell ref="AG104:AI104"/>
    <mergeCell ref="AJ104:AK104"/>
    <mergeCell ref="AC105:AD107"/>
    <mergeCell ref="AB104:AD104"/>
    <mergeCell ref="A104:B104"/>
    <mergeCell ref="C104:E104"/>
    <mergeCell ref="F104:G104"/>
    <mergeCell ref="H104:J104"/>
    <mergeCell ref="K104:L104"/>
    <mergeCell ref="BB111:BC113"/>
    <mergeCell ref="Z111:AB113"/>
    <mergeCell ref="AC111:AD113"/>
    <mergeCell ref="AE111:AG113"/>
    <mergeCell ref="AH111:AI113"/>
    <mergeCell ref="AJ111:AL113"/>
    <mergeCell ref="AM111:AN113"/>
    <mergeCell ref="BU110:BW110"/>
    <mergeCell ref="L108:O108"/>
    <mergeCell ref="P108:P109"/>
    <mergeCell ref="Q108:T108"/>
    <mergeCell ref="U108:U109"/>
    <mergeCell ref="V108:Y108"/>
    <mergeCell ref="Z108:Z109"/>
    <mergeCell ref="A108:A109"/>
    <mergeCell ref="B108:E108"/>
    <mergeCell ref="F108:F109"/>
    <mergeCell ref="G108:J108"/>
    <mergeCell ref="K108:K109"/>
    <mergeCell ref="BT108:BW108"/>
    <mergeCell ref="BX108:BX109"/>
    <mergeCell ref="BY108:CB108"/>
    <mergeCell ref="BE108:BH108"/>
    <mergeCell ref="BI108:BI109"/>
    <mergeCell ref="BJ108:BM108"/>
    <mergeCell ref="BN108:BN109"/>
    <mergeCell ref="BO108:BR108"/>
    <mergeCell ref="BS108:BS109"/>
    <mergeCell ref="AP108:AS108"/>
    <mergeCell ref="AT108:AT109"/>
    <mergeCell ref="AU108:AX108"/>
    <mergeCell ref="AY108:AY109"/>
    <mergeCell ref="AZ108:BC108"/>
    <mergeCell ref="BD108:BD109"/>
    <mergeCell ref="AA108:AD108"/>
    <mergeCell ref="AE108:AE109"/>
    <mergeCell ref="AF108:AI108"/>
    <mergeCell ref="AJ108:AJ109"/>
    <mergeCell ref="AK108:AN108"/>
    <mergeCell ref="AO108:AO109"/>
    <mergeCell ref="V114:Y114"/>
    <mergeCell ref="Z114:Z115"/>
    <mergeCell ref="AA114:AD114"/>
    <mergeCell ref="AE114:AE115"/>
    <mergeCell ref="AF114:AI114"/>
    <mergeCell ref="AJ114:AJ115"/>
    <mergeCell ref="A114:A115"/>
    <mergeCell ref="B114:E114"/>
    <mergeCell ref="F114:F115"/>
    <mergeCell ref="G114:J114"/>
    <mergeCell ref="K114:K115"/>
    <mergeCell ref="L114:O114"/>
    <mergeCell ref="P114:P115"/>
    <mergeCell ref="Q114:T114"/>
    <mergeCell ref="U114:U115"/>
    <mergeCell ref="BK110:BM110"/>
    <mergeCell ref="BN110:BO110"/>
    <mergeCell ref="BO114:BR114"/>
    <mergeCell ref="W110:Y110"/>
    <mergeCell ref="BP110:BR110"/>
    <mergeCell ref="Z110:AA110"/>
    <mergeCell ref="AB110:AD110"/>
    <mergeCell ref="A110:B110"/>
    <mergeCell ref="C110:E110"/>
    <mergeCell ref="F110:G110"/>
    <mergeCell ref="H110:J110"/>
    <mergeCell ref="K110:L110"/>
    <mergeCell ref="M110:O110"/>
    <mergeCell ref="AO111:AQ113"/>
    <mergeCell ref="AR111:AS113"/>
    <mergeCell ref="AT111:AV113"/>
    <mergeCell ref="AW111:AX113"/>
    <mergeCell ref="BS114:BS115"/>
    <mergeCell ref="BT114:BW114"/>
    <mergeCell ref="BX114:BX115"/>
    <mergeCell ref="BY114:CB114"/>
    <mergeCell ref="AZ114:BC114"/>
    <mergeCell ref="BD114:BD115"/>
    <mergeCell ref="BE114:BH114"/>
    <mergeCell ref="BI114:BI115"/>
    <mergeCell ref="BJ114:BM114"/>
    <mergeCell ref="BN114:BN115"/>
    <mergeCell ref="AK114:AN114"/>
    <mergeCell ref="AO114:AO115"/>
    <mergeCell ref="AP114:AS114"/>
    <mergeCell ref="AT114:AT115"/>
    <mergeCell ref="AU114:AX114"/>
    <mergeCell ref="AY114:AY115"/>
    <mergeCell ref="A120:A121"/>
    <mergeCell ref="B120:E120"/>
    <mergeCell ref="F120:F121"/>
    <mergeCell ref="G120:J120"/>
    <mergeCell ref="K120:K121"/>
    <mergeCell ref="L120:O120"/>
    <mergeCell ref="P120:P121"/>
    <mergeCell ref="BF116:BH116"/>
    <mergeCell ref="BI116:BJ116"/>
    <mergeCell ref="BK116:BM116"/>
    <mergeCell ref="BN116:BO116"/>
    <mergeCell ref="BA116:BC116"/>
    <mergeCell ref="BD116:BE116"/>
    <mergeCell ref="AT117:AV119"/>
    <mergeCell ref="AW117:AX119"/>
    <mergeCell ref="AB116:AD116"/>
    <mergeCell ref="AE116:AF116"/>
    <mergeCell ref="AG116:AI116"/>
    <mergeCell ref="AJ116:AK116"/>
    <mergeCell ref="U116:V116"/>
    <mergeCell ref="W116:Y116"/>
    <mergeCell ref="Z116:AA116"/>
    <mergeCell ref="N117:O119"/>
    <mergeCell ref="BX120:BX121"/>
    <mergeCell ref="AU120:AX120"/>
    <mergeCell ref="AY120:AY121"/>
    <mergeCell ref="AZ120:BC120"/>
    <mergeCell ref="BD120:BD121"/>
    <mergeCell ref="BE120:BH120"/>
    <mergeCell ref="BI120:BI121"/>
    <mergeCell ref="AF120:AI120"/>
    <mergeCell ref="AJ120:AJ121"/>
    <mergeCell ref="AK120:AN120"/>
    <mergeCell ref="AO120:AO121"/>
    <mergeCell ref="AP120:AS120"/>
    <mergeCell ref="AT120:AT121"/>
    <mergeCell ref="Q120:T120"/>
    <mergeCell ref="U120:U121"/>
    <mergeCell ref="V120:Y120"/>
    <mergeCell ref="Z120:Z121"/>
    <mergeCell ref="AA120:AD120"/>
    <mergeCell ref="AE120:AE121"/>
    <mergeCell ref="BP116:BR116"/>
    <mergeCell ref="BS116:BT116"/>
    <mergeCell ref="BU116:BW116"/>
    <mergeCell ref="BX116:BY116"/>
    <mergeCell ref="BX117:BZ119"/>
    <mergeCell ref="BY120:CB120"/>
    <mergeCell ref="A126:A127"/>
    <mergeCell ref="B126:E126"/>
    <mergeCell ref="F126:F127"/>
    <mergeCell ref="G126:J126"/>
    <mergeCell ref="K126:K127"/>
    <mergeCell ref="BK122:BM122"/>
    <mergeCell ref="BN122:BO122"/>
    <mergeCell ref="BI123:BK125"/>
    <mergeCell ref="BL123:BM125"/>
    <mergeCell ref="AL122:AN122"/>
    <mergeCell ref="AO122:AP122"/>
    <mergeCell ref="AQ122:AS122"/>
    <mergeCell ref="AT122:AU122"/>
    <mergeCell ref="AE122:AF122"/>
    <mergeCell ref="AG122:AI122"/>
    <mergeCell ref="AJ122:AK122"/>
    <mergeCell ref="AC123:AD125"/>
    <mergeCell ref="K122:L122"/>
    <mergeCell ref="M122:O122"/>
    <mergeCell ref="AB122:AD122"/>
    <mergeCell ref="A122:B122"/>
    <mergeCell ref="C122:E122"/>
    <mergeCell ref="F122:G122"/>
    <mergeCell ref="H122:J122"/>
    <mergeCell ref="BN123:BP125"/>
    <mergeCell ref="AT126:AT127"/>
    <mergeCell ref="AU126:AX126"/>
    <mergeCell ref="AY126:AY127"/>
    <mergeCell ref="AZ126:BC126"/>
    <mergeCell ref="BD126:BD127"/>
    <mergeCell ref="AA126:AD126"/>
    <mergeCell ref="AE126:AE127"/>
    <mergeCell ref="AF126:AI126"/>
    <mergeCell ref="AJ126:AJ127"/>
    <mergeCell ref="AK126:AN126"/>
    <mergeCell ref="AO126:AO127"/>
    <mergeCell ref="L126:O126"/>
    <mergeCell ref="P126:P127"/>
    <mergeCell ref="Q126:T126"/>
    <mergeCell ref="U126:U127"/>
    <mergeCell ref="V126:Y126"/>
    <mergeCell ref="Z126:Z127"/>
    <mergeCell ref="F132:F133"/>
    <mergeCell ref="G132:J132"/>
    <mergeCell ref="K132:K133"/>
    <mergeCell ref="L132:O132"/>
    <mergeCell ref="P132:P133"/>
    <mergeCell ref="Q132:T132"/>
    <mergeCell ref="U132:U133"/>
    <mergeCell ref="H128:J128"/>
    <mergeCell ref="K128:L128"/>
    <mergeCell ref="M128:O128"/>
    <mergeCell ref="BS128:BT128"/>
    <mergeCell ref="BF128:BH128"/>
    <mergeCell ref="BI128:BJ128"/>
    <mergeCell ref="BD129:BF131"/>
    <mergeCell ref="BG129:BH131"/>
    <mergeCell ref="AG128:AI128"/>
    <mergeCell ref="AJ128:AK128"/>
    <mergeCell ref="AL128:AN128"/>
    <mergeCell ref="AO128:AP128"/>
    <mergeCell ref="AE128:AF128"/>
    <mergeCell ref="S129:T131"/>
    <mergeCell ref="U129:W131"/>
    <mergeCell ref="X129:Y131"/>
    <mergeCell ref="X134:Y134"/>
    <mergeCell ref="Z134:AB134"/>
    <mergeCell ref="BO132:BR132"/>
    <mergeCell ref="BS132:BS133"/>
    <mergeCell ref="BT132:BW132"/>
    <mergeCell ref="BX132:BX133"/>
    <mergeCell ref="BY132:CB132"/>
    <mergeCell ref="A134:C134"/>
    <mergeCell ref="D134:E134"/>
    <mergeCell ref="F134:H134"/>
    <mergeCell ref="I134:J134"/>
    <mergeCell ref="K134:M134"/>
    <mergeCell ref="AZ132:BC132"/>
    <mergeCell ref="BD132:BD133"/>
    <mergeCell ref="BE132:BH132"/>
    <mergeCell ref="BI132:BI133"/>
    <mergeCell ref="BJ132:BM132"/>
    <mergeCell ref="BN132:BN133"/>
    <mergeCell ref="AK132:AN132"/>
    <mergeCell ref="AO132:AO133"/>
    <mergeCell ref="AP132:AS132"/>
    <mergeCell ref="AT132:AT133"/>
    <mergeCell ref="AU132:AX132"/>
    <mergeCell ref="AY132:AY133"/>
    <mergeCell ref="V132:Y132"/>
    <mergeCell ref="Z132:Z133"/>
    <mergeCell ref="AA132:AD132"/>
    <mergeCell ref="AE132:AE133"/>
    <mergeCell ref="AF132:AI132"/>
    <mergeCell ref="AJ132:AJ133"/>
    <mergeCell ref="A132:A133"/>
    <mergeCell ref="B132:E132"/>
    <mergeCell ref="BV134:BW134"/>
    <mergeCell ref="BX134:BZ134"/>
    <mergeCell ref="CA134:CB134"/>
    <mergeCell ref="A135:C137"/>
    <mergeCell ref="F135:H137"/>
    <mergeCell ref="K135:M137"/>
    <mergeCell ref="P135:R137"/>
    <mergeCell ref="U135:W137"/>
    <mergeCell ref="Z135:AB137"/>
    <mergeCell ref="AE135:AG137"/>
    <mergeCell ref="BG134:BH134"/>
    <mergeCell ref="BI134:BK134"/>
    <mergeCell ref="BL134:BM134"/>
    <mergeCell ref="BN134:BP134"/>
    <mergeCell ref="BQ134:BR134"/>
    <mergeCell ref="BS134:BU134"/>
    <mergeCell ref="AR134:AS134"/>
    <mergeCell ref="AT134:AV134"/>
    <mergeCell ref="AW134:AX134"/>
    <mergeCell ref="AY134:BA134"/>
    <mergeCell ref="BB134:BC134"/>
    <mergeCell ref="BD134:BF134"/>
    <mergeCell ref="AC134:AD134"/>
    <mergeCell ref="AE134:AG134"/>
    <mergeCell ref="AH134:AI134"/>
    <mergeCell ref="AJ134:AL134"/>
    <mergeCell ref="AM134:AN134"/>
    <mergeCell ref="AO134:AQ134"/>
    <mergeCell ref="N134:O134"/>
    <mergeCell ref="P134:R134"/>
    <mergeCell ref="S134:T134"/>
    <mergeCell ref="U134:W134"/>
    <mergeCell ref="Z138:Z139"/>
    <mergeCell ref="BG137:BH137"/>
    <mergeCell ref="BL137:BM137"/>
    <mergeCell ref="BQ137:BR137"/>
    <mergeCell ref="BV137:BW137"/>
    <mergeCell ref="CA137:CB137"/>
    <mergeCell ref="A138:A139"/>
    <mergeCell ref="B138:E138"/>
    <mergeCell ref="F138:F139"/>
    <mergeCell ref="G138:J138"/>
    <mergeCell ref="K138:K139"/>
    <mergeCell ref="BN135:BP137"/>
    <mergeCell ref="BS135:BU137"/>
    <mergeCell ref="BX135:BZ137"/>
    <mergeCell ref="D137:E137"/>
    <mergeCell ref="I137:J137"/>
    <mergeCell ref="N137:O137"/>
    <mergeCell ref="S137:T137"/>
    <mergeCell ref="X137:Y137"/>
    <mergeCell ref="AC137:AD137"/>
    <mergeCell ref="AH137:AI137"/>
    <mergeCell ref="AJ135:AL137"/>
    <mergeCell ref="AO135:AQ137"/>
    <mergeCell ref="AT135:AV137"/>
    <mergeCell ref="AY135:BA137"/>
    <mergeCell ref="BD135:BF137"/>
    <mergeCell ref="BI135:BK137"/>
    <mergeCell ref="AM137:AN137"/>
    <mergeCell ref="AR137:AS137"/>
    <mergeCell ref="AW137:AX137"/>
    <mergeCell ref="BB137:BC137"/>
    <mergeCell ref="BX138:BX139"/>
    <mergeCell ref="BY138:CB138"/>
    <mergeCell ref="A140:C140"/>
    <mergeCell ref="D140:E140"/>
    <mergeCell ref="F140:H140"/>
    <mergeCell ref="I140:J140"/>
    <mergeCell ref="K140:M140"/>
    <mergeCell ref="N140:O140"/>
    <mergeCell ref="P140:R140"/>
    <mergeCell ref="BE138:BH138"/>
    <mergeCell ref="BI138:BI139"/>
    <mergeCell ref="BJ138:BM138"/>
    <mergeCell ref="BN138:BN139"/>
    <mergeCell ref="BO138:BR138"/>
    <mergeCell ref="BS138:BS139"/>
    <mergeCell ref="AP138:AS138"/>
    <mergeCell ref="AT138:AT139"/>
    <mergeCell ref="AU138:AX138"/>
    <mergeCell ref="AY138:AY139"/>
    <mergeCell ref="AZ138:BC138"/>
    <mergeCell ref="BD138:BD139"/>
    <mergeCell ref="AA138:AD138"/>
    <mergeCell ref="AE138:AE139"/>
    <mergeCell ref="AF138:AI138"/>
    <mergeCell ref="AJ138:AJ139"/>
    <mergeCell ref="AK138:AN138"/>
    <mergeCell ref="AO138:AO139"/>
    <mergeCell ref="L138:O138"/>
    <mergeCell ref="P138:P139"/>
    <mergeCell ref="Q138:T138"/>
    <mergeCell ref="U138:U139"/>
    <mergeCell ref="V138:Y138"/>
    <mergeCell ref="CA140:CB140"/>
    <mergeCell ref="A141:C143"/>
    <mergeCell ref="F141:H143"/>
    <mergeCell ref="K141:M143"/>
    <mergeCell ref="P141:R143"/>
    <mergeCell ref="U141:W143"/>
    <mergeCell ref="Z141:AB143"/>
    <mergeCell ref="AE141:AG143"/>
    <mergeCell ref="AJ141:AL143"/>
    <mergeCell ref="AO141:AQ143"/>
    <mergeCell ref="BL140:BM140"/>
    <mergeCell ref="BN140:BP140"/>
    <mergeCell ref="BQ140:BR140"/>
    <mergeCell ref="BS140:BU140"/>
    <mergeCell ref="BV140:BW140"/>
    <mergeCell ref="BX140:BZ140"/>
    <mergeCell ref="AW140:AX140"/>
    <mergeCell ref="AY140:BA140"/>
    <mergeCell ref="BB140:BC140"/>
    <mergeCell ref="BD140:BF140"/>
    <mergeCell ref="BG140:BH140"/>
    <mergeCell ref="BI140:BK140"/>
    <mergeCell ref="AH140:AI140"/>
    <mergeCell ref="AJ140:AL140"/>
    <mergeCell ref="AM140:AN140"/>
    <mergeCell ref="AO140:AQ140"/>
    <mergeCell ref="AR140:AS140"/>
    <mergeCell ref="AT140:AV140"/>
    <mergeCell ref="S140:T140"/>
    <mergeCell ref="U140:W140"/>
    <mergeCell ref="X140:Y140"/>
    <mergeCell ref="Z140:AB140"/>
    <mergeCell ref="CA143:CB143"/>
    <mergeCell ref="BX141:BZ143"/>
    <mergeCell ref="D143:E143"/>
    <mergeCell ref="I143:J143"/>
    <mergeCell ref="N143:O143"/>
    <mergeCell ref="S143:T143"/>
    <mergeCell ref="X143:Y143"/>
    <mergeCell ref="AC143:AD143"/>
    <mergeCell ref="AH143:AI143"/>
    <mergeCell ref="AM143:AN143"/>
    <mergeCell ref="AR143:AS143"/>
    <mergeCell ref="AT141:AV143"/>
    <mergeCell ref="AY141:BA143"/>
    <mergeCell ref="BD141:BF143"/>
    <mergeCell ref="BI141:BK143"/>
    <mergeCell ref="BN141:BP143"/>
    <mergeCell ref="BS141:BU143"/>
    <mergeCell ref="AW143:AX143"/>
    <mergeCell ref="BB143:BC143"/>
    <mergeCell ref="BG143:BH143"/>
    <mergeCell ref="BL143:BM143"/>
    <mergeCell ref="V148:Y148"/>
    <mergeCell ref="Z148:Z149"/>
    <mergeCell ref="ER147:FA150"/>
    <mergeCell ref="FC147:FN150"/>
    <mergeCell ref="FO147:FS156"/>
    <mergeCell ref="FT147:FW150"/>
    <mergeCell ref="FX147:FZ150"/>
    <mergeCell ref="A148:A149"/>
    <mergeCell ref="B148:E148"/>
    <mergeCell ref="F148:F149"/>
    <mergeCell ref="G148:J148"/>
    <mergeCell ref="K148:K149"/>
    <mergeCell ref="EF146:EQ150"/>
    <mergeCell ref="DI147:DK147"/>
    <mergeCell ref="DL147:DM147"/>
    <mergeCell ref="DO147:DQ149"/>
    <mergeCell ref="BT148:BW148"/>
    <mergeCell ref="AY145:BA147"/>
    <mergeCell ref="BB145:BC147"/>
    <mergeCell ref="AC145:AD147"/>
    <mergeCell ref="AE145:AG147"/>
    <mergeCell ref="AH145:AI147"/>
    <mergeCell ref="BX148:BX149"/>
    <mergeCell ref="BY148:CB148"/>
    <mergeCell ref="DI148:DK150"/>
    <mergeCell ref="BE148:BH148"/>
    <mergeCell ref="BI148:BI149"/>
    <mergeCell ref="BJ148:BM148"/>
    <mergeCell ref="BS148:BS149"/>
    <mergeCell ref="AP148:AS148"/>
    <mergeCell ref="U154:U155"/>
    <mergeCell ref="V154:Y154"/>
    <mergeCell ref="Z154:Z155"/>
    <mergeCell ref="AA154:AD154"/>
    <mergeCell ref="AE154:AE155"/>
    <mergeCell ref="AF154:AI154"/>
    <mergeCell ref="AR151:AS153"/>
    <mergeCell ref="AT151:AV153"/>
    <mergeCell ref="AW151:AX153"/>
    <mergeCell ref="AY151:BA153"/>
    <mergeCell ref="BB151:BC153"/>
    <mergeCell ref="Z151:AB153"/>
    <mergeCell ref="AC151:AD153"/>
    <mergeCell ref="AE151:AG153"/>
    <mergeCell ref="AH151:AI153"/>
    <mergeCell ref="AJ151:AL153"/>
    <mergeCell ref="AM151:AN153"/>
    <mergeCell ref="BT154:BW154"/>
    <mergeCell ref="BX154:BX155"/>
    <mergeCell ref="BV151:BW153"/>
    <mergeCell ref="AT148:AT149"/>
    <mergeCell ref="AU148:AX148"/>
    <mergeCell ref="AY148:AY149"/>
    <mergeCell ref="AZ148:BC148"/>
    <mergeCell ref="BD148:BD149"/>
    <mergeCell ref="AA148:AD148"/>
    <mergeCell ref="AE148:AE149"/>
    <mergeCell ref="AF148:AI148"/>
    <mergeCell ref="AJ148:AJ149"/>
    <mergeCell ref="AK148:AN148"/>
    <mergeCell ref="AO148:AO149"/>
    <mergeCell ref="BY154:CB154"/>
    <mergeCell ref="AY154:AY155"/>
    <mergeCell ref="AZ154:BC154"/>
    <mergeCell ref="BD154:BD155"/>
    <mergeCell ref="BE154:BH154"/>
    <mergeCell ref="BI154:BI155"/>
    <mergeCell ref="BJ154:BM154"/>
    <mergeCell ref="AJ154:AJ155"/>
    <mergeCell ref="AK154:AN154"/>
    <mergeCell ref="AO154:AO155"/>
    <mergeCell ref="AP154:AS154"/>
    <mergeCell ref="AT154:AT155"/>
    <mergeCell ref="AU154:AX154"/>
    <mergeCell ref="BU150:BW150"/>
    <mergeCell ref="BX150:BY150"/>
    <mergeCell ref="BZ150:CB150"/>
    <mergeCell ref="BI151:BK153"/>
    <mergeCell ref="BL151:BM153"/>
    <mergeCell ref="BN151:BP153"/>
    <mergeCell ref="BQ151:BR153"/>
    <mergeCell ref="BS151:BU153"/>
    <mergeCell ref="K156:L156"/>
    <mergeCell ref="M156:O156"/>
    <mergeCell ref="FT151:FZ154"/>
    <mergeCell ref="DO153:DQ156"/>
    <mergeCell ref="A154:A155"/>
    <mergeCell ref="B154:E154"/>
    <mergeCell ref="F154:F155"/>
    <mergeCell ref="G154:J154"/>
    <mergeCell ref="K154:K155"/>
    <mergeCell ref="L154:O154"/>
    <mergeCell ref="P154:P155"/>
    <mergeCell ref="Q154:T154"/>
    <mergeCell ref="DL150:DM150"/>
    <mergeCell ref="DO150:DQ152"/>
    <mergeCell ref="EF151:EQ156"/>
    <mergeCell ref="ER151:FB156"/>
    <mergeCell ref="FC151:FN156"/>
    <mergeCell ref="BX151:BZ153"/>
    <mergeCell ref="CA151:CB153"/>
    <mergeCell ref="BK150:BM150"/>
    <mergeCell ref="BN150:BO150"/>
    <mergeCell ref="BP150:BR150"/>
    <mergeCell ref="BS150:BT150"/>
    <mergeCell ref="BF150:BH150"/>
    <mergeCell ref="BI150:BJ150"/>
    <mergeCell ref="BD151:BF153"/>
    <mergeCell ref="BG151:BH153"/>
    <mergeCell ref="AG150:AI150"/>
    <mergeCell ref="FT155:FZ156"/>
    <mergeCell ref="BN154:BN155"/>
    <mergeCell ref="BO154:BR154"/>
    <mergeCell ref="BS154:BS155"/>
    <mergeCell ref="AA160:AD160"/>
    <mergeCell ref="AE160:AE161"/>
    <mergeCell ref="AF160:AI160"/>
    <mergeCell ref="AJ160:AJ161"/>
    <mergeCell ref="AK160:AN160"/>
    <mergeCell ref="AO160:AO161"/>
    <mergeCell ref="BP156:BR156"/>
    <mergeCell ref="BS156:BT156"/>
    <mergeCell ref="BU156:BW156"/>
    <mergeCell ref="BX156:BY156"/>
    <mergeCell ref="BZ156:CB156"/>
    <mergeCell ref="Z156:AA156"/>
    <mergeCell ref="AB156:AD156"/>
    <mergeCell ref="BV157:BW159"/>
    <mergeCell ref="BX157:BZ159"/>
    <mergeCell ref="CA157:CB159"/>
    <mergeCell ref="P156:Q156"/>
    <mergeCell ref="R156:T156"/>
    <mergeCell ref="U156:V156"/>
    <mergeCell ref="W156:Y156"/>
    <mergeCell ref="A160:A161"/>
    <mergeCell ref="B160:E160"/>
    <mergeCell ref="F160:F161"/>
    <mergeCell ref="G160:J160"/>
    <mergeCell ref="K160:K161"/>
    <mergeCell ref="BK156:BM156"/>
    <mergeCell ref="BN156:BO156"/>
    <mergeCell ref="BI157:BK159"/>
    <mergeCell ref="BL157:BM159"/>
    <mergeCell ref="AL156:AN156"/>
    <mergeCell ref="AO156:AP156"/>
    <mergeCell ref="AQ156:AS156"/>
    <mergeCell ref="AT156:AU156"/>
    <mergeCell ref="AE156:AF156"/>
    <mergeCell ref="AG156:AI156"/>
    <mergeCell ref="AJ156:AK156"/>
    <mergeCell ref="AC157:AD159"/>
    <mergeCell ref="A157:C159"/>
    <mergeCell ref="D157:E159"/>
    <mergeCell ref="F157:H159"/>
    <mergeCell ref="I157:J159"/>
    <mergeCell ref="K157:M159"/>
    <mergeCell ref="AV156:AX156"/>
    <mergeCell ref="AY156:AZ156"/>
    <mergeCell ref="BA156:BC156"/>
    <mergeCell ref="BD156:BE156"/>
    <mergeCell ref="BF156:BH156"/>
    <mergeCell ref="BI156:BJ156"/>
    <mergeCell ref="A156:B156"/>
    <mergeCell ref="C156:E156"/>
    <mergeCell ref="F156:G156"/>
    <mergeCell ref="H156:J156"/>
    <mergeCell ref="V166:Y166"/>
    <mergeCell ref="Z166:Z167"/>
    <mergeCell ref="AA166:AD166"/>
    <mergeCell ref="AE166:AE167"/>
    <mergeCell ref="AF166:AI166"/>
    <mergeCell ref="AJ166:AJ167"/>
    <mergeCell ref="A166:A167"/>
    <mergeCell ref="B166:E166"/>
    <mergeCell ref="F166:F167"/>
    <mergeCell ref="G166:J166"/>
    <mergeCell ref="K166:K167"/>
    <mergeCell ref="L166:O166"/>
    <mergeCell ref="P166:P167"/>
    <mergeCell ref="Q166:T166"/>
    <mergeCell ref="U166:U167"/>
    <mergeCell ref="BK162:BM162"/>
    <mergeCell ref="BN162:BO162"/>
    <mergeCell ref="BO166:BR166"/>
    <mergeCell ref="BP162:BR162"/>
    <mergeCell ref="BF162:BH162"/>
    <mergeCell ref="BI162:BJ162"/>
    <mergeCell ref="BD163:BF165"/>
    <mergeCell ref="BG163:BH165"/>
    <mergeCell ref="AG162:AI162"/>
    <mergeCell ref="AJ162:AK162"/>
    <mergeCell ref="AL162:AN162"/>
    <mergeCell ref="AO162:AP162"/>
    <mergeCell ref="AE162:AF162"/>
    <mergeCell ref="S163:T165"/>
    <mergeCell ref="U163:W165"/>
    <mergeCell ref="X163:Y165"/>
    <mergeCell ref="Z162:AA162"/>
    <mergeCell ref="BS166:BS167"/>
    <mergeCell ref="BT166:BW166"/>
    <mergeCell ref="BX166:BX167"/>
    <mergeCell ref="BY166:CB166"/>
    <mergeCell ref="AZ166:BC166"/>
    <mergeCell ref="BD166:BD167"/>
    <mergeCell ref="BE166:BH166"/>
    <mergeCell ref="BI166:BI167"/>
    <mergeCell ref="BJ166:BM166"/>
    <mergeCell ref="BN166:BN167"/>
    <mergeCell ref="AK166:AN166"/>
    <mergeCell ref="AO166:AO167"/>
    <mergeCell ref="AP166:AS166"/>
    <mergeCell ref="AT166:AT167"/>
    <mergeCell ref="AU166:AX166"/>
    <mergeCell ref="AY166:AY167"/>
    <mergeCell ref="A172:A173"/>
    <mergeCell ref="B172:E172"/>
    <mergeCell ref="F172:F173"/>
    <mergeCell ref="G172:J172"/>
    <mergeCell ref="K172:K173"/>
    <mergeCell ref="L172:O172"/>
    <mergeCell ref="P172:P173"/>
    <mergeCell ref="BF168:BH168"/>
    <mergeCell ref="BI168:BJ168"/>
    <mergeCell ref="BK168:BM168"/>
    <mergeCell ref="BN168:BO168"/>
    <mergeCell ref="BA168:BC168"/>
    <mergeCell ref="BD168:BE168"/>
    <mergeCell ref="AT169:AV171"/>
    <mergeCell ref="AW169:AX171"/>
    <mergeCell ref="AB168:AD168"/>
    <mergeCell ref="AE168:AF168"/>
    <mergeCell ref="AG168:AI168"/>
    <mergeCell ref="AJ168:AK168"/>
    <mergeCell ref="U168:V168"/>
    <mergeCell ref="W168:Y168"/>
    <mergeCell ref="Z168:AA168"/>
    <mergeCell ref="N169:O171"/>
    <mergeCell ref="BX172:BX173"/>
    <mergeCell ref="AU172:AX172"/>
    <mergeCell ref="AY172:AY173"/>
    <mergeCell ref="AZ172:BC172"/>
    <mergeCell ref="BD172:BD173"/>
    <mergeCell ref="BE172:BH172"/>
    <mergeCell ref="BI172:BI173"/>
    <mergeCell ref="AF172:AI172"/>
    <mergeCell ref="AJ172:AJ173"/>
    <mergeCell ref="AK172:AN172"/>
    <mergeCell ref="AO172:AO173"/>
    <mergeCell ref="AP172:AS172"/>
    <mergeCell ref="AT172:AT173"/>
    <mergeCell ref="Q172:T172"/>
    <mergeCell ref="U172:U173"/>
    <mergeCell ref="V172:Y172"/>
    <mergeCell ref="Z172:Z173"/>
    <mergeCell ref="AA172:AD172"/>
    <mergeCell ref="AE172:AE173"/>
    <mergeCell ref="BP168:BR168"/>
    <mergeCell ref="BS168:BT168"/>
    <mergeCell ref="BU168:BW168"/>
    <mergeCell ref="BX168:BY168"/>
    <mergeCell ref="BX169:BZ171"/>
    <mergeCell ref="BY172:CB172"/>
    <mergeCell ref="L178:O178"/>
    <mergeCell ref="P178:P179"/>
    <mergeCell ref="Q178:T178"/>
    <mergeCell ref="U178:U179"/>
    <mergeCell ref="V178:Y178"/>
    <mergeCell ref="Z178:Z179"/>
    <mergeCell ref="A178:A179"/>
    <mergeCell ref="B178:E178"/>
    <mergeCell ref="F178:F179"/>
    <mergeCell ref="G178:J178"/>
    <mergeCell ref="K178:K179"/>
    <mergeCell ref="BK174:BM174"/>
    <mergeCell ref="BN174:BO174"/>
    <mergeCell ref="BI175:BK177"/>
    <mergeCell ref="BL175:BM177"/>
    <mergeCell ref="AL174:AN174"/>
    <mergeCell ref="AO174:AP174"/>
    <mergeCell ref="AQ174:AS174"/>
    <mergeCell ref="AT174:AU174"/>
    <mergeCell ref="AE174:AF174"/>
    <mergeCell ref="AG174:AI174"/>
    <mergeCell ref="AJ174:AK174"/>
    <mergeCell ref="AC175:AD177"/>
    <mergeCell ref="K174:L174"/>
    <mergeCell ref="M174:O174"/>
    <mergeCell ref="AB174:AD174"/>
    <mergeCell ref="A174:B174"/>
    <mergeCell ref="C174:E174"/>
    <mergeCell ref="F174:G174"/>
    <mergeCell ref="H174:J174"/>
    <mergeCell ref="BN175:BP177"/>
    <mergeCell ref="BT178:BW178"/>
    <mergeCell ref="BX178:BX179"/>
    <mergeCell ref="BY178:CB178"/>
    <mergeCell ref="BE178:BH178"/>
    <mergeCell ref="BI178:BI179"/>
    <mergeCell ref="BJ178:BM178"/>
    <mergeCell ref="BN178:BN179"/>
    <mergeCell ref="BO178:BR178"/>
    <mergeCell ref="BS178:BS179"/>
    <mergeCell ref="AP178:AS178"/>
    <mergeCell ref="AT178:AT179"/>
    <mergeCell ref="AU178:AX178"/>
    <mergeCell ref="AY178:AY179"/>
    <mergeCell ref="AZ178:BC178"/>
    <mergeCell ref="BD178:BD179"/>
    <mergeCell ref="AA178:AD178"/>
    <mergeCell ref="AE178:AE179"/>
    <mergeCell ref="AF178:AI178"/>
    <mergeCell ref="AJ178:AJ179"/>
    <mergeCell ref="AK178:AN178"/>
    <mergeCell ref="AO178:AO179"/>
    <mergeCell ref="A184:A185"/>
    <mergeCell ref="B184:E184"/>
    <mergeCell ref="F184:F185"/>
    <mergeCell ref="G184:J184"/>
    <mergeCell ref="K184:K185"/>
    <mergeCell ref="L184:O184"/>
    <mergeCell ref="P184:P185"/>
    <mergeCell ref="Q184:T184"/>
    <mergeCell ref="U184:U185"/>
    <mergeCell ref="BK180:BM180"/>
    <mergeCell ref="BN180:BO180"/>
    <mergeCell ref="BP180:BR180"/>
    <mergeCell ref="BS180:BT180"/>
    <mergeCell ref="BF180:BH180"/>
    <mergeCell ref="BI180:BJ180"/>
    <mergeCell ref="BD181:BF183"/>
    <mergeCell ref="BG181:BH183"/>
    <mergeCell ref="AG180:AI180"/>
    <mergeCell ref="AJ180:AK180"/>
    <mergeCell ref="AL180:AN180"/>
    <mergeCell ref="AO180:AP180"/>
    <mergeCell ref="AE180:AF180"/>
    <mergeCell ref="S181:T183"/>
    <mergeCell ref="U181:W183"/>
    <mergeCell ref="X181:Y183"/>
    <mergeCell ref="BY184:CB184"/>
    <mergeCell ref="AZ184:BC184"/>
    <mergeCell ref="BD184:BD185"/>
    <mergeCell ref="BE184:BH184"/>
    <mergeCell ref="BI184:BI185"/>
    <mergeCell ref="BJ184:BM184"/>
    <mergeCell ref="BN184:BN185"/>
    <mergeCell ref="AK184:AN184"/>
    <mergeCell ref="AO184:AO185"/>
    <mergeCell ref="AP184:AS184"/>
    <mergeCell ref="AT184:AT185"/>
    <mergeCell ref="AU184:AX184"/>
    <mergeCell ref="AY184:AY185"/>
    <mergeCell ref="V184:Y184"/>
    <mergeCell ref="Z184:Z185"/>
    <mergeCell ref="AA184:AD184"/>
    <mergeCell ref="AE184:AE185"/>
    <mergeCell ref="AF184:AI184"/>
    <mergeCell ref="AJ184:AJ185"/>
    <mergeCell ref="BX184:BX185"/>
    <mergeCell ref="Q190:T190"/>
    <mergeCell ref="U190:U191"/>
    <mergeCell ref="V190:Y190"/>
    <mergeCell ref="Z190:Z191"/>
    <mergeCell ref="AA190:AD190"/>
    <mergeCell ref="AE190:AE191"/>
    <mergeCell ref="A190:A191"/>
    <mergeCell ref="B190:E190"/>
    <mergeCell ref="F190:F191"/>
    <mergeCell ref="G190:J190"/>
    <mergeCell ref="K190:K191"/>
    <mergeCell ref="L190:O190"/>
    <mergeCell ref="P190:P191"/>
    <mergeCell ref="BF186:BH186"/>
    <mergeCell ref="BI186:BJ186"/>
    <mergeCell ref="BK186:BM186"/>
    <mergeCell ref="BN186:BO186"/>
    <mergeCell ref="BA186:BC186"/>
    <mergeCell ref="BD186:BE186"/>
    <mergeCell ref="AT187:AV189"/>
    <mergeCell ref="AW187:AX189"/>
    <mergeCell ref="AB186:AD186"/>
    <mergeCell ref="AE186:AF186"/>
    <mergeCell ref="AG186:AI186"/>
    <mergeCell ref="AJ186:AK186"/>
    <mergeCell ref="U186:V186"/>
    <mergeCell ref="W186:Y186"/>
    <mergeCell ref="Z186:AA186"/>
    <mergeCell ref="N187:O189"/>
    <mergeCell ref="A186:B186"/>
    <mergeCell ref="C186:E186"/>
    <mergeCell ref="F186:G186"/>
    <mergeCell ref="BY190:CB190"/>
    <mergeCell ref="BJ190:BM190"/>
    <mergeCell ref="BN190:BN191"/>
    <mergeCell ref="BO190:BR190"/>
    <mergeCell ref="BS190:BS191"/>
    <mergeCell ref="BT190:BW190"/>
    <mergeCell ref="BX190:BX191"/>
    <mergeCell ref="AU190:AX190"/>
    <mergeCell ref="AY190:AY191"/>
    <mergeCell ref="AZ190:BC190"/>
    <mergeCell ref="BD190:BD191"/>
    <mergeCell ref="BE190:BH190"/>
    <mergeCell ref="BI190:BI191"/>
    <mergeCell ref="AF190:AI190"/>
    <mergeCell ref="AJ190:AJ191"/>
    <mergeCell ref="AK190:AN190"/>
    <mergeCell ref="AO190:AO191"/>
    <mergeCell ref="AP190:AS190"/>
    <mergeCell ref="AT190:AT191"/>
    <mergeCell ref="L196:O196"/>
    <mergeCell ref="P196:P197"/>
    <mergeCell ref="Q196:T196"/>
    <mergeCell ref="U196:U197"/>
    <mergeCell ref="V196:Y196"/>
    <mergeCell ref="Z196:Z197"/>
    <mergeCell ref="A196:A197"/>
    <mergeCell ref="B196:E196"/>
    <mergeCell ref="F196:F197"/>
    <mergeCell ref="G196:J196"/>
    <mergeCell ref="K196:K197"/>
    <mergeCell ref="BK192:BM192"/>
    <mergeCell ref="BN192:BO192"/>
    <mergeCell ref="BI193:BK195"/>
    <mergeCell ref="BL193:BM195"/>
    <mergeCell ref="AL192:AN192"/>
    <mergeCell ref="AO192:AP192"/>
    <mergeCell ref="AQ192:AS192"/>
    <mergeCell ref="AT192:AU192"/>
    <mergeCell ref="AE192:AF192"/>
    <mergeCell ref="AG192:AI192"/>
    <mergeCell ref="AJ192:AK192"/>
    <mergeCell ref="AC193:AD195"/>
    <mergeCell ref="F192:G192"/>
    <mergeCell ref="H192:J192"/>
    <mergeCell ref="K192:L192"/>
    <mergeCell ref="M192:O192"/>
    <mergeCell ref="BN193:BP195"/>
    <mergeCell ref="N193:O195"/>
    <mergeCell ref="P193:R195"/>
    <mergeCell ref="S193:T195"/>
    <mergeCell ref="U193:W195"/>
    <mergeCell ref="BT196:BW196"/>
    <mergeCell ref="BX196:BX197"/>
    <mergeCell ref="BY196:CB196"/>
    <mergeCell ref="BE196:BH196"/>
    <mergeCell ref="BI196:BI197"/>
    <mergeCell ref="BJ196:BM196"/>
    <mergeCell ref="BN196:BN197"/>
    <mergeCell ref="BO196:BR196"/>
    <mergeCell ref="BS196:BS197"/>
    <mergeCell ref="AP196:AS196"/>
    <mergeCell ref="AT196:AT197"/>
    <mergeCell ref="AU196:AX196"/>
    <mergeCell ref="AY196:AY197"/>
    <mergeCell ref="AZ196:BC196"/>
    <mergeCell ref="BD196:BD197"/>
    <mergeCell ref="AA196:AD196"/>
    <mergeCell ref="AE196:AE197"/>
    <mergeCell ref="AF196:AI196"/>
    <mergeCell ref="AJ196:AJ197"/>
    <mergeCell ref="AK196:AN196"/>
    <mergeCell ref="AO196:AO197"/>
    <mergeCell ref="V202:Y202"/>
    <mergeCell ref="Z202:Z203"/>
    <mergeCell ref="AA202:AD202"/>
    <mergeCell ref="AE202:AE203"/>
    <mergeCell ref="AF202:AI202"/>
    <mergeCell ref="AJ202:AJ203"/>
    <mergeCell ref="A202:A203"/>
    <mergeCell ref="B202:E202"/>
    <mergeCell ref="F202:F203"/>
    <mergeCell ref="G202:J202"/>
    <mergeCell ref="K202:K203"/>
    <mergeCell ref="L202:O202"/>
    <mergeCell ref="P202:P203"/>
    <mergeCell ref="Q202:T202"/>
    <mergeCell ref="U202:U203"/>
    <mergeCell ref="BK198:BM198"/>
    <mergeCell ref="BN198:BO198"/>
    <mergeCell ref="BO202:BR202"/>
    <mergeCell ref="Z198:AA198"/>
    <mergeCell ref="AB198:AD198"/>
    <mergeCell ref="A198:B198"/>
    <mergeCell ref="C198:E198"/>
    <mergeCell ref="F198:G198"/>
    <mergeCell ref="H198:J198"/>
    <mergeCell ref="K198:L198"/>
    <mergeCell ref="M198:O198"/>
    <mergeCell ref="BP198:BR198"/>
    <mergeCell ref="BF198:BH198"/>
    <mergeCell ref="BI198:BJ198"/>
    <mergeCell ref="BD199:BF201"/>
    <mergeCell ref="BG199:BH201"/>
    <mergeCell ref="AG198:AI198"/>
    <mergeCell ref="BS202:BS203"/>
    <mergeCell ref="BT202:BW202"/>
    <mergeCell ref="BX202:BX203"/>
    <mergeCell ref="BY202:CB202"/>
    <mergeCell ref="AZ202:BC202"/>
    <mergeCell ref="BD202:BD203"/>
    <mergeCell ref="BE202:BH202"/>
    <mergeCell ref="BI202:BI203"/>
    <mergeCell ref="BJ202:BM202"/>
    <mergeCell ref="BN202:BN203"/>
    <mergeCell ref="AK202:AN202"/>
    <mergeCell ref="AO202:AO203"/>
    <mergeCell ref="AP202:AS202"/>
    <mergeCell ref="AT202:AT203"/>
    <mergeCell ref="AU202:AX202"/>
    <mergeCell ref="AY202:AY203"/>
    <mergeCell ref="A208:A209"/>
    <mergeCell ref="B208:E208"/>
    <mergeCell ref="F208:F209"/>
    <mergeCell ref="G208:J208"/>
    <mergeCell ref="K208:K209"/>
    <mergeCell ref="L208:O208"/>
    <mergeCell ref="P208:P209"/>
    <mergeCell ref="BF204:BH204"/>
    <mergeCell ref="BI204:BJ204"/>
    <mergeCell ref="BK204:BM204"/>
    <mergeCell ref="BN204:BO204"/>
    <mergeCell ref="BA204:BC204"/>
    <mergeCell ref="BD204:BE204"/>
    <mergeCell ref="AT205:AV207"/>
    <mergeCell ref="AW205:AX207"/>
    <mergeCell ref="AB204:AD204"/>
    <mergeCell ref="AE204:AF204"/>
    <mergeCell ref="AG204:AI204"/>
    <mergeCell ref="AJ204:AK204"/>
    <mergeCell ref="U204:V204"/>
    <mergeCell ref="W204:Y204"/>
    <mergeCell ref="Z204:AA204"/>
    <mergeCell ref="N205:O207"/>
    <mergeCell ref="BX208:BX209"/>
    <mergeCell ref="AU208:AX208"/>
    <mergeCell ref="AY208:AY209"/>
    <mergeCell ref="AZ208:BC208"/>
    <mergeCell ref="BD208:BD209"/>
    <mergeCell ref="BE208:BH208"/>
    <mergeCell ref="BI208:BI209"/>
    <mergeCell ref="AF208:AI208"/>
    <mergeCell ref="AJ208:AJ209"/>
    <mergeCell ref="AK208:AN208"/>
    <mergeCell ref="AO208:AO209"/>
    <mergeCell ref="AP208:AS208"/>
    <mergeCell ref="AT208:AT209"/>
    <mergeCell ref="Q208:T208"/>
    <mergeCell ref="U208:U209"/>
    <mergeCell ref="V208:Y208"/>
    <mergeCell ref="Z208:Z209"/>
    <mergeCell ref="AA208:AD208"/>
    <mergeCell ref="AE208:AE209"/>
    <mergeCell ref="BP204:BR204"/>
    <mergeCell ref="BS204:BT204"/>
    <mergeCell ref="BU204:BW204"/>
    <mergeCell ref="BX204:BY204"/>
    <mergeCell ref="BX205:BZ207"/>
    <mergeCell ref="BY208:CB208"/>
    <mergeCell ref="L214:O214"/>
    <mergeCell ref="P214:P215"/>
    <mergeCell ref="Q214:T214"/>
    <mergeCell ref="U214:U215"/>
    <mergeCell ref="V214:Y214"/>
    <mergeCell ref="Z214:Z215"/>
    <mergeCell ref="A214:A215"/>
    <mergeCell ref="B214:E214"/>
    <mergeCell ref="F214:F215"/>
    <mergeCell ref="G214:J214"/>
    <mergeCell ref="K214:K215"/>
    <mergeCell ref="BK210:BM210"/>
    <mergeCell ref="BN210:BO210"/>
    <mergeCell ref="BI211:BK213"/>
    <mergeCell ref="BL211:BM213"/>
    <mergeCell ref="AL210:AN210"/>
    <mergeCell ref="AO210:AP210"/>
    <mergeCell ref="AQ210:AS210"/>
    <mergeCell ref="AT210:AU210"/>
    <mergeCell ref="AE210:AF210"/>
    <mergeCell ref="AG210:AI210"/>
    <mergeCell ref="AJ210:AK210"/>
    <mergeCell ref="AC211:AD213"/>
    <mergeCell ref="K210:L210"/>
    <mergeCell ref="M210:O210"/>
    <mergeCell ref="AB210:AD210"/>
    <mergeCell ref="A210:B210"/>
    <mergeCell ref="C210:E210"/>
    <mergeCell ref="F210:G210"/>
    <mergeCell ref="H210:J210"/>
    <mergeCell ref="BN211:BP213"/>
    <mergeCell ref="BT214:BW214"/>
    <mergeCell ref="BX214:BX215"/>
    <mergeCell ref="BY214:CB214"/>
    <mergeCell ref="BE214:BH214"/>
    <mergeCell ref="BI214:BI215"/>
    <mergeCell ref="BJ214:BM214"/>
    <mergeCell ref="BN214:BN215"/>
    <mergeCell ref="BO214:BR214"/>
    <mergeCell ref="BS214:BS215"/>
    <mergeCell ref="AP214:AS214"/>
    <mergeCell ref="AT214:AT215"/>
    <mergeCell ref="AU214:AX214"/>
    <mergeCell ref="AY214:AY215"/>
    <mergeCell ref="AZ214:BC214"/>
    <mergeCell ref="BD214:BD215"/>
    <mergeCell ref="AA214:AD214"/>
    <mergeCell ref="AE214:AE215"/>
    <mergeCell ref="AF214:AI214"/>
    <mergeCell ref="AJ214:AJ215"/>
    <mergeCell ref="AK214:AN214"/>
    <mergeCell ref="AO214:AO215"/>
    <mergeCell ref="A220:A221"/>
    <mergeCell ref="B220:E220"/>
    <mergeCell ref="F220:F221"/>
    <mergeCell ref="G220:J220"/>
    <mergeCell ref="K220:K221"/>
    <mergeCell ref="L220:O220"/>
    <mergeCell ref="P220:P221"/>
    <mergeCell ref="Q220:T220"/>
    <mergeCell ref="U220:U221"/>
    <mergeCell ref="BK216:BM216"/>
    <mergeCell ref="BN216:BO216"/>
    <mergeCell ref="BP216:BR216"/>
    <mergeCell ref="BS216:BT216"/>
    <mergeCell ref="BF216:BH216"/>
    <mergeCell ref="BI216:BJ216"/>
    <mergeCell ref="BD217:BF219"/>
    <mergeCell ref="BG217:BH219"/>
    <mergeCell ref="AG216:AI216"/>
    <mergeCell ref="AJ216:AK216"/>
    <mergeCell ref="AL216:AN216"/>
    <mergeCell ref="AO216:AP216"/>
    <mergeCell ref="AE216:AF216"/>
    <mergeCell ref="S217:T219"/>
    <mergeCell ref="U217:W219"/>
    <mergeCell ref="X217:Y219"/>
    <mergeCell ref="BY220:CB220"/>
    <mergeCell ref="AZ220:BC220"/>
    <mergeCell ref="BD220:BD221"/>
    <mergeCell ref="BE220:BH220"/>
    <mergeCell ref="BI220:BI221"/>
    <mergeCell ref="BJ220:BM220"/>
    <mergeCell ref="BN220:BN221"/>
    <mergeCell ref="AK220:AN220"/>
    <mergeCell ref="AO220:AO221"/>
    <mergeCell ref="AP220:AS220"/>
    <mergeCell ref="AT220:AT221"/>
    <mergeCell ref="AU220:AX220"/>
    <mergeCell ref="AY220:AY221"/>
    <mergeCell ref="V220:Y220"/>
    <mergeCell ref="Z220:Z221"/>
    <mergeCell ref="AA220:AD220"/>
    <mergeCell ref="AE220:AE221"/>
    <mergeCell ref="AF220:AI220"/>
    <mergeCell ref="AJ220:AJ221"/>
    <mergeCell ref="BX220:BX221"/>
    <mergeCell ref="Q226:T226"/>
    <mergeCell ref="U226:U227"/>
    <mergeCell ref="V226:Y226"/>
    <mergeCell ref="Z226:Z227"/>
    <mergeCell ref="AA226:AD226"/>
    <mergeCell ref="AE226:AE227"/>
    <mergeCell ref="A226:A227"/>
    <mergeCell ref="B226:E226"/>
    <mergeCell ref="F226:F227"/>
    <mergeCell ref="G226:J226"/>
    <mergeCell ref="K226:K227"/>
    <mergeCell ref="L226:O226"/>
    <mergeCell ref="P226:P227"/>
    <mergeCell ref="BF222:BH222"/>
    <mergeCell ref="BI222:BJ222"/>
    <mergeCell ref="BK222:BM222"/>
    <mergeCell ref="BN222:BO222"/>
    <mergeCell ref="BA222:BC222"/>
    <mergeCell ref="BD222:BE222"/>
    <mergeCell ref="AT223:AV225"/>
    <mergeCell ref="AW223:AX225"/>
    <mergeCell ref="AB222:AD222"/>
    <mergeCell ref="AE222:AF222"/>
    <mergeCell ref="AG222:AI222"/>
    <mergeCell ref="AJ222:AK222"/>
    <mergeCell ref="U222:V222"/>
    <mergeCell ref="W222:Y222"/>
    <mergeCell ref="Z222:AA222"/>
    <mergeCell ref="N223:O225"/>
    <mergeCell ref="A222:B222"/>
    <mergeCell ref="C222:E222"/>
    <mergeCell ref="F222:G222"/>
    <mergeCell ref="BY226:CB226"/>
    <mergeCell ref="BJ226:BM226"/>
    <mergeCell ref="BN226:BN227"/>
    <mergeCell ref="BO226:BR226"/>
    <mergeCell ref="BS226:BS227"/>
    <mergeCell ref="BT226:BW226"/>
    <mergeCell ref="BX226:BX227"/>
    <mergeCell ref="AU226:AX226"/>
    <mergeCell ref="AY226:AY227"/>
    <mergeCell ref="AZ226:BC226"/>
    <mergeCell ref="BD226:BD227"/>
    <mergeCell ref="BE226:BH226"/>
    <mergeCell ref="BI226:BI227"/>
    <mergeCell ref="AF226:AI226"/>
    <mergeCell ref="AJ226:AJ227"/>
    <mergeCell ref="AK226:AN226"/>
    <mergeCell ref="AO226:AO227"/>
    <mergeCell ref="AP226:AS226"/>
    <mergeCell ref="AT226:AT227"/>
    <mergeCell ref="A247:C249"/>
    <mergeCell ref="F247:H249"/>
    <mergeCell ref="K247:M249"/>
    <mergeCell ref="P247:R249"/>
    <mergeCell ref="U247:W249"/>
    <mergeCell ref="Z247:AB249"/>
    <mergeCell ref="AE247:AG249"/>
    <mergeCell ref="BP246:BR246"/>
    <mergeCell ref="BS246:BT246"/>
    <mergeCell ref="BU246:BW246"/>
    <mergeCell ref="BA246:BC246"/>
    <mergeCell ref="BD246:BE246"/>
    <mergeCell ref="AL246:AN246"/>
    <mergeCell ref="AO246:AP246"/>
    <mergeCell ref="BQ241:BR243"/>
    <mergeCell ref="BV241:BW243"/>
    <mergeCell ref="BD241:BF243"/>
    <mergeCell ref="BI241:BK243"/>
    <mergeCell ref="BN241:BP243"/>
    <mergeCell ref="BS241:BU243"/>
    <mergeCell ref="Z241:AB243"/>
    <mergeCell ref="AE241:AG243"/>
    <mergeCell ref="AJ241:AL243"/>
    <mergeCell ref="AO241:AQ243"/>
    <mergeCell ref="AT241:AV243"/>
    <mergeCell ref="AY241:BA243"/>
    <mergeCell ref="A241:C243"/>
    <mergeCell ref="F241:H243"/>
    <mergeCell ref="K241:M243"/>
    <mergeCell ref="P241:R243"/>
    <mergeCell ref="U241:W243"/>
    <mergeCell ref="G244:J244"/>
    <mergeCell ref="BF228:BH228"/>
    <mergeCell ref="BI228:BJ228"/>
    <mergeCell ref="BD229:BF231"/>
    <mergeCell ref="BG229:BH231"/>
    <mergeCell ref="AG228:AI228"/>
    <mergeCell ref="AJ228:AK228"/>
    <mergeCell ref="AL228:AN228"/>
    <mergeCell ref="AO228:AP228"/>
    <mergeCell ref="AE228:AF228"/>
    <mergeCell ref="S229:T231"/>
    <mergeCell ref="U229:W231"/>
    <mergeCell ref="X229:Y231"/>
    <mergeCell ref="BN247:BP249"/>
    <mergeCell ref="BS247:BU249"/>
    <mergeCell ref="BX247:BZ249"/>
    <mergeCell ref="AJ247:AL249"/>
    <mergeCell ref="AO247:AQ249"/>
    <mergeCell ref="AT247:AV249"/>
    <mergeCell ref="AY247:BA249"/>
    <mergeCell ref="BD247:BF249"/>
    <mergeCell ref="BI247:BK249"/>
    <mergeCell ref="BX241:BZ243"/>
    <mergeCell ref="BF240:BH240"/>
    <mergeCell ref="BI240:BJ240"/>
    <mergeCell ref="AQ240:AS240"/>
    <mergeCell ref="AT240:AU240"/>
    <mergeCell ref="U232:U233"/>
    <mergeCell ref="V232:Y232"/>
    <mergeCell ref="Z232:Z233"/>
    <mergeCell ref="AA232:AD232"/>
    <mergeCell ref="AF232:AI232"/>
    <mergeCell ref="AJ232:AJ233"/>
    <mergeCell ref="FC231:FN234"/>
    <mergeCell ref="FO231:FS240"/>
    <mergeCell ref="FT231:FW234"/>
    <mergeCell ref="FX231:FZ234"/>
    <mergeCell ref="A232:A233"/>
    <mergeCell ref="B232:E232"/>
    <mergeCell ref="F232:F233"/>
    <mergeCell ref="G232:J232"/>
    <mergeCell ref="K232:K233"/>
    <mergeCell ref="L232:O232"/>
    <mergeCell ref="EF230:EQ234"/>
    <mergeCell ref="DI231:DK231"/>
    <mergeCell ref="DL231:DM231"/>
    <mergeCell ref="DO231:DQ233"/>
    <mergeCell ref="ER231:FA234"/>
    <mergeCell ref="DL234:DM234"/>
    <mergeCell ref="DO234:DQ236"/>
    <mergeCell ref="EF235:EQ240"/>
    <mergeCell ref="DI232:DK234"/>
    <mergeCell ref="BI232:BI233"/>
    <mergeCell ref="BJ232:BM232"/>
    <mergeCell ref="BN232:BN233"/>
    <mergeCell ref="BO232:BR232"/>
    <mergeCell ref="BS232:BS233"/>
    <mergeCell ref="BT232:BW232"/>
    <mergeCell ref="AT232:AT233"/>
    <mergeCell ref="AU232:AX232"/>
    <mergeCell ref="AY232:AY233"/>
    <mergeCell ref="AZ232:BC232"/>
    <mergeCell ref="BD232:BD233"/>
    <mergeCell ref="BE232:BH232"/>
    <mergeCell ref="AE232:AE233"/>
    <mergeCell ref="AP232:AS232"/>
    <mergeCell ref="A238:A239"/>
    <mergeCell ref="B238:E238"/>
    <mergeCell ref="F238:F239"/>
    <mergeCell ref="G238:J238"/>
    <mergeCell ref="K238:K239"/>
    <mergeCell ref="L238:O238"/>
    <mergeCell ref="BU234:BW234"/>
    <mergeCell ref="BX234:BY234"/>
    <mergeCell ref="BI235:BK237"/>
    <mergeCell ref="BL235:BM237"/>
    <mergeCell ref="AV234:AX234"/>
    <mergeCell ref="AY234:AZ234"/>
    <mergeCell ref="BA234:BC234"/>
    <mergeCell ref="BD234:BE234"/>
    <mergeCell ref="AT234:AU234"/>
    <mergeCell ref="AM235:AN237"/>
    <mergeCell ref="AO235:AQ237"/>
    <mergeCell ref="AR235:AS237"/>
    <mergeCell ref="U234:V234"/>
    <mergeCell ref="W234:Y234"/>
    <mergeCell ref="Z234:AA234"/>
    <mergeCell ref="AB234:AD234"/>
    <mergeCell ref="FT239:FZ240"/>
    <mergeCell ref="BI238:BI239"/>
    <mergeCell ref="BJ238:BM238"/>
    <mergeCell ref="BN238:BN239"/>
    <mergeCell ref="BO238:BR238"/>
    <mergeCell ref="BS238:BS239"/>
    <mergeCell ref="BT238:BW238"/>
    <mergeCell ref="AT238:AT239"/>
    <mergeCell ref="AU238:AX238"/>
    <mergeCell ref="AY238:AY239"/>
    <mergeCell ref="AZ238:BC238"/>
    <mergeCell ref="BD238:BD239"/>
    <mergeCell ref="BE238:BH238"/>
    <mergeCell ref="AE238:AE239"/>
    <mergeCell ref="AF238:AI238"/>
    <mergeCell ref="AJ238:AJ239"/>
    <mergeCell ref="AK238:AN238"/>
    <mergeCell ref="AO238:AO239"/>
    <mergeCell ref="AP238:AS238"/>
    <mergeCell ref="ER235:FB240"/>
    <mergeCell ref="FC235:FN240"/>
    <mergeCell ref="FT235:FZ238"/>
    <mergeCell ref="DO237:DQ240"/>
    <mergeCell ref="K244:K245"/>
    <mergeCell ref="L244:O244"/>
    <mergeCell ref="P244:P245"/>
    <mergeCell ref="Q244:T244"/>
    <mergeCell ref="U244:U245"/>
    <mergeCell ref="BK240:BM240"/>
    <mergeCell ref="BN240:BO240"/>
    <mergeCell ref="BP240:BR240"/>
    <mergeCell ref="BS240:BT240"/>
    <mergeCell ref="AV240:AX240"/>
    <mergeCell ref="AY240:AZ240"/>
    <mergeCell ref="BA240:BC240"/>
    <mergeCell ref="BD240:BE240"/>
    <mergeCell ref="AG240:AI240"/>
    <mergeCell ref="AJ240:AK240"/>
    <mergeCell ref="AL240:AN240"/>
    <mergeCell ref="AO240:AP240"/>
    <mergeCell ref="AE240:AF240"/>
    <mergeCell ref="BX244:BX245"/>
    <mergeCell ref="BY244:CB244"/>
    <mergeCell ref="AZ244:BC244"/>
    <mergeCell ref="BD244:BD245"/>
    <mergeCell ref="BE244:BH244"/>
    <mergeCell ref="BI244:BI245"/>
    <mergeCell ref="BJ244:BM244"/>
    <mergeCell ref="BN244:BN245"/>
    <mergeCell ref="AK244:AN244"/>
    <mergeCell ref="AO244:AO245"/>
    <mergeCell ref="AP244:AS244"/>
    <mergeCell ref="AT244:AT245"/>
    <mergeCell ref="AU244:AX244"/>
    <mergeCell ref="AY244:AY245"/>
    <mergeCell ref="V244:Y244"/>
    <mergeCell ref="Z244:Z245"/>
    <mergeCell ref="AA244:AD244"/>
    <mergeCell ref="AE244:AE245"/>
    <mergeCell ref="AF244:AI244"/>
    <mergeCell ref="AJ244:AJ245"/>
    <mergeCell ref="BF246:BH246"/>
    <mergeCell ref="BI246:BJ246"/>
    <mergeCell ref="BK246:BM246"/>
    <mergeCell ref="BN246:BO246"/>
    <mergeCell ref="AQ246:AS246"/>
    <mergeCell ref="AT246:AU246"/>
    <mergeCell ref="AV246:AX246"/>
    <mergeCell ref="AY246:AZ246"/>
    <mergeCell ref="AB246:AD246"/>
    <mergeCell ref="AE246:AF246"/>
    <mergeCell ref="AG246:AI246"/>
    <mergeCell ref="AJ246:AK246"/>
    <mergeCell ref="W246:Y246"/>
    <mergeCell ref="Z246:AA246"/>
    <mergeCell ref="BO244:BR244"/>
    <mergeCell ref="BS244:BS245"/>
    <mergeCell ref="BT244:BW244"/>
    <mergeCell ref="BX250:BX251"/>
    <mergeCell ref="AU250:AX250"/>
    <mergeCell ref="AY250:AY251"/>
    <mergeCell ref="AZ250:BC250"/>
    <mergeCell ref="BD250:BD251"/>
    <mergeCell ref="BE250:BH250"/>
    <mergeCell ref="BI250:BI251"/>
    <mergeCell ref="AF250:AI250"/>
    <mergeCell ref="AJ250:AJ251"/>
    <mergeCell ref="AK250:AN250"/>
    <mergeCell ref="AO250:AO251"/>
    <mergeCell ref="AP250:AS250"/>
    <mergeCell ref="AT250:AT251"/>
    <mergeCell ref="Q250:T250"/>
    <mergeCell ref="U250:U251"/>
    <mergeCell ref="V250:Y250"/>
    <mergeCell ref="Z250:Z251"/>
    <mergeCell ref="AA250:AD250"/>
    <mergeCell ref="AE250:AE251"/>
    <mergeCell ref="U256:U257"/>
    <mergeCell ref="V256:Y256"/>
    <mergeCell ref="Z256:Z257"/>
    <mergeCell ref="A256:A257"/>
    <mergeCell ref="B256:E256"/>
    <mergeCell ref="F256:F257"/>
    <mergeCell ref="G256:J256"/>
    <mergeCell ref="K256:K257"/>
    <mergeCell ref="BK252:BM252"/>
    <mergeCell ref="BN252:BO252"/>
    <mergeCell ref="AY253:BA255"/>
    <mergeCell ref="BB253:BC255"/>
    <mergeCell ref="AL252:AN252"/>
    <mergeCell ref="AO252:AP252"/>
    <mergeCell ref="AQ252:AS252"/>
    <mergeCell ref="AT252:AU252"/>
    <mergeCell ref="AJ252:AK252"/>
    <mergeCell ref="AC253:AD255"/>
    <mergeCell ref="AE253:AG255"/>
    <mergeCell ref="AH253:AI255"/>
    <mergeCell ref="AJ253:AL255"/>
    <mergeCell ref="AM253:AN255"/>
    <mergeCell ref="AO253:AQ255"/>
    <mergeCell ref="AR253:AS255"/>
    <mergeCell ref="AT253:AV255"/>
    <mergeCell ref="AW253:AX255"/>
    <mergeCell ref="U253:W255"/>
    <mergeCell ref="X253:Y255"/>
    <mergeCell ref="Z253:AB255"/>
    <mergeCell ref="BY256:CB256"/>
    <mergeCell ref="BE256:BH256"/>
    <mergeCell ref="BI256:BI257"/>
    <mergeCell ref="BJ256:BM256"/>
    <mergeCell ref="BN256:BN257"/>
    <mergeCell ref="BO256:BR256"/>
    <mergeCell ref="BS256:BS257"/>
    <mergeCell ref="AP256:AS256"/>
    <mergeCell ref="AT256:AT257"/>
    <mergeCell ref="AU256:AX256"/>
    <mergeCell ref="AY256:AY257"/>
    <mergeCell ref="AZ256:BC256"/>
    <mergeCell ref="BD256:BD257"/>
    <mergeCell ref="AA256:AD256"/>
    <mergeCell ref="AE256:AE257"/>
    <mergeCell ref="AF256:AI256"/>
    <mergeCell ref="AJ256:AJ257"/>
    <mergeCell ref="AK256:AN256"/>
    <mergeCell ref="AO256:AO257"/>
    <mergeCell ref="V262:Y262"/>
    <mergeCell ref="Z262:Z263"/>
    <mergeCell ref="AA262:AD262"/>
    <mergeCell ref="AE262:AE263"/>
    <mergeCell ref="AF262:AI262"/>
    <mergeCell ref="AJ262:AJ263"/>
    <mergeCell ref="A262:A263"/>
    <mergeCell ref="B262:E262"/>
    <mergeCell ref="F262:F263"/>
    <mergeCell ref="G262:J262"/>
    <mergeCell ref="K262:K263"/>
    <mergeCell ref="L262:O262"/>
    <mergeCell ref="P262:P263"/>
    <mergeCell ref="Q262:T262"/>
    <mergeCell ref="U262:U263"/>
    <mergeCell ref="BK258:BM258"/>
    <mergeCell ref="BN258:BO258"/>
    <mergeCell ref="BF258:BH258"/>
    <mergeCell ref="BI258:BJ258"/>
    <mergeCell ref="BD259:BF261"/>
    <mergeCell ref="BG259:BH261"/>
    <mergeCell ref="AG258:AI258"/>
    <mergeCell ref="AJ258:AK258"/>
    <mergeCell ref="AL258:AN258"/>
    <mergeCell ref="AO258:AP258"/>
    <mergeCell ref="AE258:AF258"/>
    <mergeCell ref="S259:T261"/>
    <mergeCell ref="U259:W261"/>
    <mergeCell ref="X259:Y261"/>
    <mergeCell ref="BO262:BR262"/>
    <mergeCell ref="BP258:BR258"/>
    <mergeCell ref="Z258:AA258"/>
    <mergeCell ref="BS262:BS263"/>
    <mergeCell ref="BT262:BW262"/>
    <mergeCell ref="BX262:BX263"/>
    <mergeCell ref="BY262:CB262"/>
    <mergeCell ref="AZ262:BC262"/>
    <mergeCell ref="BD262:BD263"/>
    <mergeCell ref="BE262:BH262"/>
    <mergeCell ref="BI262:BI263"/>
    <mergeCell ref="BJ262:BM262"/>
    <mergeCell ref="BN262:BN263"/>
    <mergeCell ref="AK262:AN262"/>
    <mergeCell ref="AO262:AO263"/>
    <mergeCell ref="AP262:AS262"/>
    <mergeCell ref="AT262:AT263"/>
    <mergeCell ref="AU262:AX262"/>
    <mergeCell ref="AY262:AY263"/>
    <mergeCell ref="A2:B2"/>
    <mergeCell ref="C2:E2"/>
    <mergeCell ref="A3:C5"/>
    <mergeCell ref="D3:E5"/>
    <mergeCell ref="F2:G2"/>
    <mergeCell ref="H2:J2"/>
    <mergeCell ref="K2:L2"/>
    <mergeCell ref="M2:O2"/>
    <mergeCell ref="P2:Q2"/>
    <mergeCell ref="A244:A245"/>
    <mergeCell ref="B244:E244"/>
    <mergeCell ref="F244:F245"/>
    <mergeCell ref="P3:R5"/>
    <mergeCell ref="S3:T5"/>
    <mergeCell ref="U3:W5"/>
    <mergeCell ref="X3:Y5"/>
    <mergeCell ref="Q268:T268"/>
    <mergeCell ref="A268:A269"/>
    <mergeCell ref="B268:E268"/>
    <mergeCell ref="F268:F269"/>
    <mergeCell ref="G268:J268"/>
    <mergeCell ref="K268:K269"/>
    <mergeCell ref="L268:O268"/>
    <mergeCell ref="P268:P269"/>
    <mergeCell ref="P265:R267"/>
    <mergeCell ref="S265:T267"/>
    <mergeCell ref="L256:O256"/>
    <mergeCell ref="P256:P257"/>
    <mergeCell ref="Q256:T256"/>
    <mergeCell ref="A250:A251"/>
    <mergeCell ref="B250:E250"/>
    <mergeCell ref="F250:F251"/>
    <mergeCell ref="G250:J250"/>
    <mergeCell ref="K250:K251"/>
    <mergeCell ref="L250:O250"/>
    <mergeCell ref="P250:P251"/>
    <mergeCell ref="A258:B258"/>
    <mergeCell ref="C258:E258"/>
    <mergeCell ref="F258:G258"/>
    <mergeCell ref="H258:J258"/>
    <mergeCell ref="K258:L258"/>
    <mergeCell ref="M258:O258"/>
    <mergeCell ref="N253:O255"/>
    <mergeCell ref="P253:R255"/>
    <mergeCell ref="S253:T255"/>
    <mergeCell ref="BD2:BE2"/>
    <mergeCell ref="BF2:BH2"/>
    <mergeCell ref="BI2:BJ2"/>
    <mergeCell ref="BK2:BM2"/>
    <mergeCell ref="BN2:BO2"/>
    <mergeCell ref="BP2:BR2"/>
    <mergeCell ref="AB2:AD2"/>
    <mergeCell ref="AE2:AF2"/>
    <mergeCell ref="AG2:AI2"/>
    <mergeCell ref="AJ2:AK2"/>
    <mergeCell ref="AL2:AN2"/>
    <mergeCell ref="AO2:AP2"/>
    <mergeCell ref="AT8:AU8"/>
    <mergeCell ref="AV8:AX8"/>
    <mergeCell ref="AY8:AZ8"/>
    <mergeCell ref="BA8:BC8"/>
    <mergeCell ref="M8:O8"/>
    <mergeCell ref="P8:Q8"/>
    <mergeCell ref="R8:T8"/>
    <mergeCell ref="U8:V8"/>
    <mergeCell ref="W8:Y8"/>
    <mergeCell ref="Z8:AA8"/>
    <mergeCell ref="BQ3:BR5"/>
    <mergeCell ref="BI6:BI7"/>
    <mergeCell ref="BJ6:BM6"/>
    <mergeCell ref="BN6:BN7"/>
    <mergeCell ref="BO6:BR6"/>
    <mergeCell ref="AT6:AT7"/>
    <mergeCell ref="AU6:AX6"/>
    <mergeCell ref="AY6:AY7"/>
    <mergeCell ref="AZ6:BC6"/>
    <mergeCell ref="BD6:BD7"/>
    <mergeCell ref="BS3:BU5"/>
    <mergeCell ref="BV3:BW5"/>
    <mergeCell ref="BX3:BZ5"/>
    <mergeCell ref="CA3:CB5"/>
    <mergeCell ref="A8:B8"/>
    <mergeCell ref="C8:E8"/>
    <mergeCell ref="F8:G8"/>
    <mergeCell ref="H8:J8"/>
    <mergeCell ref="K8:L8"/>
    <mergeCell ref="BB3:BC5"/>
    <mergeCell ref="BD3:BF5"/>
    <mergeCell ref="BG3:BH5"/>
    <mergeCell ref="BI3:BK5"/>
    <mergeCell ref="BL3:BM5"/>
    <mergeCell ref="BN3:BP5"/>
    <mergeCell ref="AM3:AN5"/>
    <mergeCell ref="AO3:AQ5"/>
    <mergeCell ref="AR3:AS5"/>
    <mergeCell ref="AT3:AV5"/>
    <mergeCell ref="AW3:AX5"/>
    <mergeCell ref="AY3:BA5"/>
    <mergeCell ref="BX6:BX7"/>
    <mergeCell ref="BY6:CB6"/>
    <mergeCell ref="BS6:BS7"/>
    <mergeCell ref="BT6:BW6"/>
    <mergeCell ref="BE6:BH6"/>
    <mergeCell ref="AE6:AE7"/>
    <mergeCell ref="AF6:AI6"/>
    <mergeCell ref="AJ6:AJ7"/>
    <mergeCell ref="AK6:AN6"/>
    <mergeCell ref="AO6:AO7"/>
    <mergeCell ref="AP6:AS6"/>
    <mergeCell ref="BX9:BZ11"/>
    <mergeCell ref="CA9:CB11"/>
    <mergeCell ref="AY9:BA11"/>
    <mergeCell ref="BB9:BC11"/>
    <mergeCell ref="BD9:BF11"/>
    <mergeCell ref="BG9:BH11"/>
    <mergeCell ref="BI9:BK11"/>
    <mergeCell ref="BL9:BM11"/>
    <mergeCell ref="AE9:AG11"/>
    <mergeCell ref="AH9:AI11"/>
    <mergeCell ref="AJ9:AL11"/>
    <mergeCell ref="AM9:AN11"/>
    <mergeCell ref="AO9:AQ11"/>
    <mergeCell ref="AR9:AS11"/>
    <mergeCell ref="BZ8:CB8"/>
    <mergeCell ref="A9:C11"/>
    <mergeCell ref="D9:E11"/>
    <mergeCell ref="F9:H11"/>
    <mergeCell ref="I9:J11"/>
    <mergeCell ref="K9:M11"/>
    <mergeCell ref="N9:O11"/>
    <mergeCell ref="P9:R11"/>
    <mergeCell ref="S9:T11"/>
    <mergeCell ref="U9:W11"/>
    <mergeCell ref="BI8:BJ8"/>
    <mergeCell ref="BK8:BM8"/>
    <mergeCell ref="BN8:BO8"/>
    <mergeCell ref="BP8:BR8"/>
    <mergeCell ref="BS8:BT8"/>
    <mergeCell ref="BU8:BW8"/>
    <mergeCell ref="AO8:AP8"/>
    <mergeCell ref="AQ8:AS8"/>
    <mergeCell ref="Z14:AA14"/>
    <mergeCell ref="AB14:AD14"/>
    <mergeCell ref="AE14:AF14"/>
    <mergeCell ref="AG14:AI14"/>
    <mergeCell ref="AJ14:AK14"/>
    <mergeCell ref="AL14:AN14"/>
    <mergeCell ref="A14:B14"/>
    <mergeCell ref="C14:E14"/>
    <mergeCell ref="F14:G14"/>
    <mergeCell ref="H14:J14"/>
    <mergeCell ref="K14:L14"/>
    <mergeCell ref="M14:O14"/>
    <mergeCell ref="BN9:BP11"/>
    <mergeCell ref="BQ9:BR11"/>
    <mergeCell ref="BS9:BU11"/>
    <mergeCell ref="BV9:BW11"/>
    <mergeCell ref="BI12:BI13"/>
    <mergeCell ref="BJ12:BM12"/>
    <mergeCell ref="BN12:BN13"/>
    <mergeCell ref="BO12:BR12"/>
    <mergeCell ref="AT12:AT13"/>
    <mergeCell ref="AU12:AX12"/>
    <mergeCell ref="AY12:AY13"/>
    <mergeCell ref="AZ12:BC12"/>
    <mergeCell ref="BD12:BD13"/>
    <mergeCell ref="BE12:BH12"/>
    <mergeCell ref="AE12:AE13"/>
    <mergeCell ref="AF12:AI12"/>
    <mergeCell ref="AJ12:AJ13"/>
    <mergeCell ref="AK12:AN12"/>
    <mergeCell ref="AO12:AO13"/>
    <mergeCell ref="AP12:AS12"/>
    <mergeCell ref="BD14:BE14"/>
    <mergeCell ref="BF14:BH14"/>
    <mergeCell ref="BI14:BJ14"/>
    <mergeCell ref="BK14:BM14"/>
    <mergeCell ref="BN14:BO14"/>
    <mergeCell ref="BN15:BP17"/>
    <mergeCell ref="BQ15:BR17"/>
    <mergeCell ref="BS15:BU17"/>
    <mergeCell ref="BV15:BW17"/>
    <mergeCell ref="BX15:BZ17"/>
    <mergeCell ref="CA15:CB17"/>
    <mergeCell ref="AY15:BA17"/>
    <mergeCell ref="BB15:BC17"/>
    <mergeCell ref="BD15:BF17"/>
    <mergeCell ref="BG15:BH17"/>
    <mergeCell ref="BI15:BK17"/>
    <mergeCell ref="BL15:BM17"/>
    <mergeCell ref="BP14:BR14"/>
    <mergeCell ref="BX14:BY14"/>
    <mergeCell ref="BZ14:CB14"/>
    <mergeCell ref="AO15:AQ17"/>
    <mergeCell ref="AR15:AS17"/>
    <mergeCell ref="AT15:AV17"/>
    <mergeCell ref="AW15:AX17"/>
    <mergeCell ref="AE21:AG23"/>
    <mergeCell ref="AH21:AI23"/>
    <mergeCell ref="AJ21:AL23"/>
    <mergeCell ref="BZ20:CB20"/>
    <mergeCell ref="A21:C23"/>
    <mergeCell ref="D21:E23"/>
    <mergeCell ref="F21:H23"/>
    <mergeCell ref="I21:J23"/>
    <mergeCell ref="K21:M23"/>
    <mergeCell ref="N21:O23"/>
    <mergeCell ref="P21:R23"/>
    <mergeCell ref="S21:T23"/>
    <mergeCell ref="U21:W23"/>
    <mergeCell ref="BD20:BE20"/>
    <mergeCell ref="BF20:BH20"/>
    <mergeCell ref="BI20:BJ20"/>
    <mergeCell ref="BK20:BM20"/>
    <mergeCell ref="BN20:BO20"/>
    <mergeCell ref="BP20:BR20"/>
    <mergeCell ref="Z20:AA20"/>
    <mergeCell ref="AB20:AD20"/>
    <mergeCell ref="AE20:AF20"/>
    <mergeCell ref="AG20:AI20"/>
    <mergeCell ref="AJ20:AK20"/>
    <mergeCell ref="AL20:AN20"/>
    <mergeCell ref="A20:B20"/>
    <mergeCell ref="C20:E20"/>
    <mergeCell ref="F20:G20"/>
    <mergeCell ref="BN21:BP23"/>
    <mergeCell ref="BQ21:BR23"/>
    <mergeCell ref="BS21:BU23"/>
    <mergeCell ref="AR21:AS23"/>
    <mergeCell ref="AT21:AV23"/>
    <mergeCell ref="AW21:AX23"/>
    <mergeCell ref="AY21:BA23"/>
    <mergeCell ref="BB21:BC23"/>
    <mergeCell ref="BD21:BF23"/>
    <mergeCell ref="X21:Y23"/>
    <mergeCell ref="Z21:AB23"/>
    <mergeCell ref="AC21:AD23"/>
    <mergeCell ref="P27:R29"/>
    <mergeCell ref="S27:T29"/>
    <mergeCell ref="U27:W29"/>
    <mergeCell ref="X27:Y29"/>
    <mergeCell ref="Z27:AB29"/>
    <mergeCell ref="AC27:AD29"/>
    <mergeCell ref="BI24:BI25"/>
    <mergeCell ref="BJ24:BM24"/>
    <mergeCell ref="BN24:BN25"/>
    <mergeCell ref="BO24:BR24"/>
    <mergeCell ref="AT24:AT25"/>
    <mergeCell ref="AU24:AX24"/>
    <mergeCell ref="AY24:AY25"/>
    <mergeCell ref="AZ24:BC24"/>
    <mergeCell ref="BD24:BD25"/>
    <mergeCell ref="BE24:BH24"/>
    <mergeCell ref="AE24:AE25"/>
    <mergeCell ref="AF24:AI24"/>
    <mergeCell ref="AJ24:AJ25"/>
    <mergeCell ref="AK24:AN24"/>
    <mergeCell ref="A27:C29"/>
    <mergeCell ref="D27:E29"/>
    <mergeCell ref="F27:H29"/>
    <mergeCell ref="I27:J29"/>
    <mergeCell ref="K27:M29"/>
    <mergeCell ref="N27:O29"/>
    <mergeCell ref="BI26:BJ26"/>
    <mergeCell ref="BK26:BM26"/>
    <mergeCell ref="BN26:BO26"/>
    <mergeCell ref="BP26:BR26"/>
    <mergeCell ref="BS26:BT26"/>
    <mergeCell ref="BN27:BP29"/>
    <mergeCell ref="BQ27:BR29"/>
    <mergeCell ref="BS27:BU29"/>
    <mergeCell ref="BV27:BW29"/>
    <mergeCell ref="BX27:BZ29"/>
    <mergeCell ref="CA27:CB29"/>
    <mergeCell ref="AY27:BA29"/>
    <mergeCell ref="BB27:BC29"/>
    <mergeCell ref="BD27:BF29"/>
    <mergeCell ref="BG27:BH29"/>
    <mergeCell ref="BI27:BK29"/>
    <mergeCell ref="BL27:BM29"/>
    <mergeCell ref="AE27:AG29"/>
    <mergeCell ref="AH27:AI29"/>
    <mergeCell ref="AJ27:AL29"/>
    <mergeCell ref="AM27:AN29"/>
    <mergeCell ref="AO27:AQ29"/>
    <mergeCell ref="AR27:AS29"/>
    <mergeCell ref="BD32:BE32"/>
    <mergeCell ref="BF32:BH32"/>
    <mergeCell ref="BI32:BJ32"/>
    <mergeCell ref="BK32:BM32"/>
    <mergeCell ref="BN32:BO32"/>
    <mergeCell ref="BP32:BR32"/>
    <mergeCell ref="Z32:AA32"/>
    <mergeCell ref="AB32:AD32"/>
    <mergeCell ref="AE32:AF32"/>
    <mergeCell ref="AG32:AI32"/>
    <mergeCell ref="AJ32:AK32"/>
    <mergeCell ref="AL32:AN32"/>
    <mergeCell ref="A32:B32"/>
    <mergeCell ref="C32:E32"/>
    <mergeCell ref="F32:G32"/>
    <mergeCell ref="H32:J32"/>
    <mergeCell ref="K32:L32"/>
    <mergeCell ref="M32:O32"/>
    <mergeCell ref="AT32:AU32"/>
    <mergeCell ref="AV32:AX32"/>
    <mergeCell ref="AY32:AZ32"/>
    <mergeCell ref="BA32:BC32"/>
    <mergeCell ref="AO32:AP32"/>
    <mergeCell ref="AQ32:AS32"/>
    <mergeCell ref="BG33:BH35"/>
    <mergeCell ref="BI33:BK35"/>
    <mergeCell ref="BL33:BM35"/>
    <mergeCell ref="BN33:BP35"/>
    <mergeCell ref="BQ33:BR35"/>
    <mergeCell ref="BS33:BU35"/>
    <mergeCell ref="AR33:AS35"/>
    <mergeCell ref="AT33:AV35"/>
    <mergeCell ref="AW33:AX35"/>
    <mergeCell ref="AY33:BA35"/>
    <mergeCell ref="BB33:BC35"/>
    <mergeCell ref="BD33:BF35"/>
    <mergeCell ref="X33:Y35"/>
    <mergeCell ref="Z33:AB35"/>
    <mergeCell ref="AC33:AD35"/>
    <mergeCell ref="P39:R41"/>
    <mergeCell ref="S39:T41"/>
    <mergeCell ref="U39:W41"/>
    <mergeCell ref="X39:Y41"/>
    <mergeCell ref="Z39:AB41"/>
    <mergeCell ref="AC39:AD41"/>
    <mergeCell ref="BI36:BI37"/>
    <mergeCell ref="BJ36:BM36"/>
    <mergeCell ref="BN36:BN37"/>
    <mergeCell ref="BO36:BR36"/>
    <mergeCell ref="AT36:AT37"/>
    <mergeCell ref="AU36:AX36"/>
    <mergeCell ref="AY36:AY37"/>
    <mergeCell ref="AZ36:BC36"/>
    <mergeCell ref="BD36:BD37"/>
    <mergeCell ref="BE36:BH36"/>
    <mergeCell ref="AE36:AE37"/>
    <mergeCell ref="A39:C41"/>
    <mergeCell ref="D39:E41"/>
    <mergeCell ref="F39:H41"/>
    <mergeCell ref="I39:J41"/>
    <mergeCell ref="K39:M41"/>
    <mergeCell ref="N39:O41"/>
    <mergeCell ref="BI38:BJ38"/>
    <mergeCell ref="BK38:BM38"/>
    <mergeCell ref="BN38:BO38"/>
    <mergeCell ref="BP38:BR38"/>
    <mergeCell ref="BS38:BT38"/>
    <mergeCell ref="BN39:BP41"/>
    <mergeCell ref="BQ39:BR41"/>
    <mergeCell ref="BS39:BU41"/>
    <mergeCell ref="BV39:BW41"/>
    <mergeCell ref="BX39:BZ41"/>
    <mergeCell ref="CA39:CB41"/>
    <mergeCell ref="AY39:BA41"/>
    <mergeCell ref="BB39:BC41"/>
    <mergeCell ref="BD39:BF41"/>
    <mergeCell ref="BG39:BH41"/>
    <mergeCell ref="BI39:BK41"/>
    <mergeCell ref="BL39:BM41"/>
    <mergeCell ref="AE39:AG41"/>
    <mergeCell ref="AH39:AI41"/>
    <mergeCell ref="AJ39:AL41"/>
    <mergeCell ref="AM39:AN41"/>
    <mergeCell ref="AO39:AQ41"/>
    <mergeCell ref="AR39:AS41"/>
    <mergeCell ref="BD44:BE44"/>
    <mergeCell ref="BF44:BH44"/>
    <mergeCell ref="BI44:BJ44"/>
    <mergeCell ref="BK44:BM44"/>
    <mergeCell ref="BN44:BO44"/>
    <mergeCell ref="BP44:BR44"/>
    <mergeCell ref="Z44:AA44"/>
    <mergeCell ref="AB44:AD44"/>
    <mergeCell ref="AE44:AF44"/>
    <mergeCell ref="AG44:AI44"/>
    <mergeCell ref="AJ44:AK44"/>
    <mergeCell ref="AL44:AN44"/>
    <mergeCell ref="A44:B44"/>
    <mergeCell ref="C44:E44"/>
    <mergeCell ref="F44:G44"/>
    <mergeCell ref="H44:J44"/>
    <mergeCell ref="K44:L44"/>
    <mergeCell ref="M44:O44"/>
    <mergeCell ref="BU50:BW50"/>
    <mergeCell ref="AE50:AF50"/>
    <mergeCell ref="AG50:AI50"/>
    <mergeCell ref="AJ50:AK50"/>
    <mergeCell ref="AL50:AN50"/>
    <mergeCell ref="AO50:AP50"/>
    <mergeCell ref="AQ50:AS50"/>
    <mergeCell ref="BX45:BZ47"/>
    <mergeCell ref="CA45:CB47"/>
    <mergeCell ref="A50:B50"/>
    <mergeCell ref="C50:E50"/>
    <mergeCell ref="F50:G50"/>
    <mergeCell ref="H50:J50"/>
    <mergeCell ref="K50:L50"/>
    <mergeCell ref="M50:O50"/>
    <mergeCell ref="P50:Q50"/>
    <mergeCell ref="R50:T50"/>
    <mergeCell ref="BG45:BH47"/>
    <mergeCell ref="BI45:BK47"/>
    <mergeCell ref="BL45:BM47"/>
    <mergeCell ref="BN45:BP47"/>
    <mergeCell ref="BQ45:BR47"/>
    <mergeCell ref="BS45:BU47"/>
    <mergeCell ref="AR45:AS47"/>
    <mergeCell ref="AT45:AV47"/>
    <mergeCell ref="AW45:AX47"/>
    <mergeCell ref="AY45:BA47"/>
    <mergeCell ref="BB45:BC47"/>
    <mergeCell ref="BD45:BF47"/>
    <mergeCell ref="X45:Y47"/>
    <mergeCell ref="Z45:AB47"/>
    <mergeCell ref="AC45:AD47"/>
    <mergeCell ref="P51:R53"/>
    <mergeCell ref="S51:T53"/>
    <mergeCell ref="U51:W53"/>
    <mergeCell ref="X51:Y53"/>
    <mergeCell ref="Z51:AB53"/>
    <mergeCell ref="AC51:AD53"/>
    <mergeCell ref="A51:C53"/>
    <mergeCell ref="D51:E53"/>
    <mergeCell ref="F51:H53"/>
    <mergeCell ref="I51:J53"/>
    <mergeCell ref="K51:M53"/>
    <mergeCell ref="N51:O53"/>
    <mergeCell ref="BI50:BJ50"/>
    <mergeCell ref="BK50:BM50"/>
    <mergeCell ref="BN50:BO50"/>
    <mergeCell ref="BP50:BR50"/>
    <mergeCell ref="BS50:BT50"/>
    <mergeCell ref="AY50:AZ50"/>
    <mergeCell ref="BA50:BC50"/>
    <mergeCell ref="BD50:BE50"/>
    <mergeCell ref="BF50:BH50"/>
    <mergeCell ref="AT50:AU50"/>
    <mergeCell ref="AV50:AX50"/>
    <mergeCell ref="U50:V50"/>
    <mergeCell ref="W50:Y50"/>
    <mergeCell ref="Z50:AA50"/>
    <mergeCell ref="AB50:AD50"/>
    <mergeCell ref="K57:M59"/>
    <mergeCell ref="N57:O59"/>
    <mergeCell ref="BN56:BO56"/>
    <mergeCell ref="BP56:BR56"/>
    <mergeCell ref="BS56:BT56"/>
    <mergeCell ref="BU56:BW56"/>
    <mergeCell ref="BX56:BY56"/>
    <mergeCell ref="BZ56:CB56"/>
    <mergeCell ref="K56:L56"/>
    <mergeCell ref="M56:O56"/>
    <mergeCell ref="P56:Q56"/>
    <mergeCell ref="R56:T56"/>
    <mergeCell ref="U56:V56"/>
    <mergeCell ref="W56:Y56"/>
    <mergeCell ref="BN51:BP53"/>
    <mergeCell ref="BQ51:BR53"/>
    <mergeCell ref="BS51:BU53"/>
    <mergeCell ref="BV51:BW53"/>
    <mergeCell ref="BX51:BZ53"/>
    <mergeCell ref="CA51:CB53"/>
    <mergeCell ref="AY51:BA53"/>
    <mergeCell ref="BB51:BC53"/>
    <mergeCell ref="BD51:BF53"/>
    <mergeCell ref="BG51:BH53"/>
    <mergeCell ref="BI51:BK53"/>
    <mergeCell ref="BL51:BM53"/>
    <mergeCell ref="AE51:AG53"/>
    <mergeCell ref="AH51:AI53"/>
    <mergeCell ref="AJ51:AL53"/>
    <mergeCell ref="AM51:AN53"/>
    <mergeCell ref="AO51:AQ53"/>
    <mergeCell ref="AR51:AS53"/>
    <mergeCell ref="BQ57:BR59"/>
    <mergeCell ref="BS57:BU59"/>
    <mergeCell ref="BV57:BW59"/>
    <mergeCell ref="BX57:BZ59"/>
    <mergeCell ref="CA57:CB59"/>
    <mergeCell ref="A62:B62"/>
    <mergeCell ref="C62:E62"/>
    <mergeCell ref="F62:G62"/>
    <mergeCell ref="H62:J62"/>
    <mergeCell ref="K62:L62"/>
    <mergeCell ref="BB57:BC59"/>
    <mergeCell ref="BD57:BF59"/>
    <mergeCell ref="BG57:BH59"/>
    <mergeCell ref="BI57:BK59"/>
    <mergeCell ref="BL57:BM59"/>
    <mergeCell ref="BN57:BP59"/>
    <mergeCell ref="AM57:AN59"/>
    <mergeCell ref="AO57:AQ59"/>
    <mergeCell ref="AR57:AS59"/>
    <mergeCell ref="AT57:AV59"/>
    <mergeCell ref="AW57:AX59"/>
    <mergeCell ref="AY57:BA59"/>
    <mergeCell ref="U57:W59"/>
    <mergeCell ref="X57:Y59"/>
    <mergeCell ref="Z57:AB59"/>
    <mergeCell ref="AC57:AD59"/>
    <mergeCell ref="AE57:AG59"/>
    <mergeCell ref="AH57:AI59"/>
    <mergeCell ref="A57:C59"/>
    <mergeCell ref="D57:E59"/>
    <mergeCell ref="F57:H59"/>
    <mergeCell ref="I57:J59"/>
    <mergeCell ref="BL63:BM65"/>
    <mergeCell ref="BN63:BP65"/>
    <mergeCell ref="BQ63:BR65"/>
    <mergeCell ref="BS63:BU65"/>
    <mergeCell ref="BV63:BW65"/>
    <mergeCell ref="BX63:BZ65"/>
    <mergeCell ref="AW63:AX65"/>
    <mergeCell ref="AY63:BA65"/>
    <mergeCell ref="BB63:BC65"/>
    <mergeCell ref="BD63:BF65"/>
    <mergeCell ref="BG63:BH65"/>
    <mergeCell ref="BI63:BK65"/>
    <mergeCell ref="AH63:AI65"/>
    <mergeCell ref="AJ63:AL65"/>
    <mergeCell ref="AM63:AN65"/>
    <mergeCell ref="AO63:AQ65"/>
    <mergeCell ref="AR63:AS65"/>
    <mergeCell ref="AT63:AV65"/>
    <mergeCell ref="BF68:BH68"/>
    <mergeCell ref="BI68:BJ68"/>
    <mergeCell ref="BK68:BM68"/>
    <mergeCell ref="BN68:BO68"/>
    <mergeCell ref="BP68:BR68"/>
    <mergeCell ref="BS68:BT68"/>
    <mergeCell ref="AL68:AN68"/>
    <mergeCell ref="AO68:AP68"/>
    <mergeCell ref="AQ68:AS68"/>
    <mergeCell ref="AT68:AU68"/>
    <mergeCell ref="AV68:AX68"/>
    <mergeCell ref="AY68:AZ68"/>
    <mergeCell ref="K68:L68"/>
    <mergeCell ref="M68:O68"/>
    <mergeCell ref="P68:Q68"/>
    <mergeCell ref="R68:T68"/>
    <mergeCell ref="U68:V68"/>
    <mergeCell ref="W68:Y68"/>
    <mergeCell ref="BD68:BE68"/>
    <mergeCell ref="BQ69:BR71"/>
    <mergeCell ref="BS69:BU71"/>
    <mergeCell ref="BV69:BW71"/>
    <mergeCell ref="BB69:BC71"/>
    <mergeCell ref="BD69:BF71"/>
    <mergeCell ref="BG69:BH71"/>
    <mergeCell ref="BI69:BK71"/>
    <mergeCell ref="BL69:BM71"/>
    <mergeCell ref="BN69:BP71"/>
    <mergeCell ref="AH69:AI71"/>
    <mergeCell ref="AJ69:AL71"/>
    <mergeCell ref="AM69:AN71"/>
    <mergeCell ref="AO69:AQ71"/>
    <mergeCell ref="AR69:AS71"/>
    <mergeCell ref="AT69:AV71"/>
    <mergeCell ref="S69:T71"/>
    <mergeCell ref="U69:W71"/>
    <mergeCell ref="X69:Y71"/>
    <mergeCell ref="Z69:AB71"/>
    <mergeCell ref="AC69:AD71"/>
    <mergeCell ref="AE69:AG71"/>
    <mergeCell ref="BD72:BD73"/>
    <mergeCell ref="AA72:AD72"/>
    <mergeCell ref="BP74:BR74"/>
    <mergeCell ref="BS74:BT74"/>
    <mergeCell ref="BU74:BW74"/>
    <mergeCell ref="BX74:BY74"/>
    <mergeCell ref="BZ74:CB74"/>
    <mergeCell ref="A75:C77"/>
    <mergeCell ref="D75:E77"/>
    <mergeCell ref="F75:H77"/>
    <mergeCell ref="I75:J77"/>
    <mergeCell ref="K75:M77"/>
    <mergeCell ref="BA74:BC74"/>
    <mergeCell ref="BD74:BE74"/>
    <mergeCell ref="BF74:BH74"/>
    <mergeCell ref="BI74:BJ74"/>
    <mergeCell ref="BK74:BM74"/>
    <mergeCell ref="BN74:BO74"/>
    <mergeCell ref="W74:Y74"/>
    <mergeCell ref="Z74:AA74"/>
    <mergeCell ref="AB74:AD74"/>
    <mergeCell ref="AE74:AF74"/>
    <mergeCell ref="AG74:AI74"/>
    <mergeCell ref="AJ74:AK74"/>
    <mergeCell ref="AE72:AE73"/>
    <mergeCell ref="AF72:AI72"/>
    <mergeCell ref="AJ72:AJ73"/>
    <mergeCell ref="AK72:AN72"/>
    <mergeCell ref="AO72:AO73"/>
    <mergeCell ref="L72:O72"/>
    <mergeCell ref="P72:P73"/>
    <mergeCell ref="Q72:T72"/>
    <mergeCell ref="A80:B80"/>
    <mergeCell ref="C80:E80"/>
    <mergeCell ref="F80:G80"/>
    <mergeCell ref="H80:J80"/>
    <mergeCell ref="K80:L80"/>
    <mergeCell ref="M80:O80"/>
    <mergeCell ref="BL75:BM77"/>
    <mergeCell ref="BN75:BP77"/>
    <mergeCell ref="BQ75:BR77"/>
    <mergeCell ref="BS75:BU77"/>
    <mergeCell ref="BV75:BW77"/>
    <mergeCell ref="BX75:BZ77"/>
    <mergeCell ref="AW75:AX77"/>
    <mergeCell ref="AY75:BA77"/>
    <mergeCell ref="BB75:BC77"/>
    <mergeCell ref="BD75:BF77"/>
    <mergeCell ref="BG75:BH77"/>
    <mergeCell ref="BI75:BK77"/>
    <mergeCell ref="AH75:AI77"/>
    <mergeCell ref="AJ75:AL77"/>
    <mergeCell ref="AM75:AN77"/>
    <mergeCell ref="AO75:AQ77"/>
    <mergeCell ref="AR75:AS77"/>
    <mergeCell ref="AT75:AV77"/>
    <mergeCell ref="N75:O77"/>
    <mergeCell ref="P75:R77"/>
    <mergeCell ref="S75:T77"/>
    <mergeCell ref="U75:W77"/>
    <mergeCell ref="X75:Y77"/>
    <mergeCell ref="Z75:AB77"/>
    <mergeCell ref="P80:Q80"/>
    <mergeCell ref="R80:T80"/>
    <mergeCell ref="AO81:AQ83"/>
    <mergeCell ref="AR81:AS83"/>
    <mergeCell ref="AT81:AV83"/>
    <mergeCell ref="AW81:AX83"/>
    <mergeCell ref="U81:W83"/>
    <mergeCell ref="X81:Y83"/>
    <mergeCell ref="Z81:AB83"/>
    <mergeCell ref="AC81:AD83"/>
    <mergeCell ref="AE81:AG83"/>
    <mergeCell ref="AH81:AI83"/>
    <mergeCell ref="BX80:BY80"/>
    <mergeCell ref="BZ80:CB80"/>
    <mergeCell ref="A81:C83"/>
    <mergeCell ref="D81:E83"/>
    <mergeCell ref="F81:H83"/>
    <mergeCell ref="I81:J83"/>
    <mergeCell ref="K81:M83"/>
    <mergeCell ref="N81:O83"/>
    <mergeCell ref="P81:R83"/>
    <mergeCell ref="S81:T83"/>
    <mergeCell ref="AY80:AZ80"/>
    <mergeCell ref="BA80:BC80"/>
    <mergeCell ref="BD80:BE80"/>
    <mergeCell ref="BF80:BH80"/>
    <mergeCell ref="BI80:BJ80"/>
    <mergeCell ref="BK80:BM80"/>
    <mergeCell ref="Z80:AA80"/>
    <mergeCell ref="AB80:AD80"/>
    <mergeCell ref="AE80:AF80"/>
    <mergeCell ref="AG80:AI80"/>
    <mergeCell ref="AJ80:AK80"/>
    <mergeCell ref="AL80:AN80"/>
    <mergeCell ref="K87:M89"/>
    <mergeCell ref="N87:O89"/>
    <mergeCell ref="BI86:BJ86"/>
    <mergeCell ref="BK86:BM86"/>
    <mergeCell ref="BN86:BO86"/>
    <mergeCell ref="BP86:BR86"/>
    <mergeCell ref="BS86:BT86"/>
    <mergeCell ref="BU86:BW86"/>
    <mergeCell ref="AE86:AF86"/>
    <mergeCell ref="AG86:AI86"/>
    <mergeCell ref="AJ86:AK86"/>
    <mergeCell ref="AL86:AN86"/>
    <mergeCell ref="AO86:AP86"/>
    <mergeCell ref="AQ86:AS86"/>
    <mergeCell ref="BX81:BZ83"/>
    <mergeCell ref="CA81:CB83"/>
    <mergeCell ref="A86:B86"/>
    <mergeCell ref="C86:E86"/>
    <mergeCell ref="F86:G86"/>
    <mergeCell ref="H86:J86"/>
    <mergeCell ref="K86:L86"/>
    <mergeCell ref="M86:O86"/>
    <mergeCell ref="P86:Q86"/>
    <mergeCell ref="R86:T86"/>
    <mergeCell ref="AY81:BA83"/>
    <mergeCell ref="BB81:BC83"/>
    <mergeCell ref="BD81:BF83"/>
    <mergeCell ref="BG81:BH83"/>
    <mergeCell ref="BI81:BK83"/>
    <mergeCell ref="BL81:BM83"/>
    <mergeCell ref="AJ81:AL83"/>
    <mergeCell ref="AM81:AN83"/>
    <mergeCell ref="BS87:BU89"/>
    <mergeCell ref="BV87:BW89"/>
    <mergeCell ref="BX87:BZ89"/>
    <mergeCell ref="CA87:CB89"/>
    <mergeCell ref="A92:B92"/>
    <mergeCell ref="C92:E92"/>
    <mergeCell ref="F92:G92"/>
    <mergeCell ref="H92:J92"/>
    <mergeCell ref="K92:L92"/>
    <mergeCell ref="M92:O92"/>
    <mergeCell ref="AY87:BA89"/>
    <mergeCell ref="BB87:BC89"/>
    <mergeCell ref="BD87:BF89"/>
    <mergeCell ref="BG87:BH89"/>
    <mergeCell ref="BI87:BK89"/>
    <mergeCell ref="BL87:BM89"/>
    <mergeCell ref="AE87:AG89"/>
    <mergeCell ref="AH87:AI89"/>
    <mergeCell ref="AJ87:AL89"/>
    <mergeCell ref="AM87:AN89"/>
    <mergeCell ref="AO87:AQ89"/>
    <mergeCell ref="AR87:AS89"/>
    <mergeCell ref="P87:R89"/>
    <mergeCell ref="S87:T89"/>
    <mergeCell ref="U87:W89"/>
    <mergeCell ref="X87:Y89"/>
    <mergeCell ref="Z87:AB89"/>
    <mergeCell ref="AC87:AD89"/>
    <mergeCell ref="A87:C89"/>
    <mergeCell ref="D87:E89"/>
    <mergeCell ref="F87:H89"/>
    <mergeCell ref="I87:J89"/>
    <mergeCell ref="A93:C95"/>
    <mergeCell ref="D93:E95"/>
    <mergeCell ref="F93:H95"/>
    <mergeCell ref="I93:J95"/>
    <mergeCell ref="K93:M95"/>
    <mergeCell ref="N93:O95"/>
    <mergeCell ref="P93:R95"/>
    <mergeCell ref="S93:T95"/>
    <mergeCell ref="BD92:BE92"/>
    <mergeCell ref="BF92:BH92"/>
    <mergeCell ref="BI92:BJ92"/>
    <mergeCell ref="BK92:BM92"/>
    <mergeCell ref="BN92:BO92"/>
    <mergeCell ref="BP92:BR92"/>
    <mergeCell ref="Z92:AA92"/>
    <mergeCell ref="AB92:AD92"/>
    <mergeCell ref="AE92:AF92"/>
    <mergeCell ref="AG92:AI92"/>
    <mergeCell ref="AJ92:AK92"/>
    <mergeCell ref="AL92:AN92"/>
    <mergeCell ref="AT92:AU92"/>
    <mergeCell ref="AV92:AX92"/>
    <mergeCell ref="AY92:AZ92"/>
    <mergeCell ref="BA92:BC92"/>
    <mergeCell ref="R92:T92"/>
    <mergeCell ref="U92:V92"/>
    <mergeCell ref="W92:Y92"/>
    <mergeCell ref="H98:J98"/>
    <mergeCell ref="K98:L98"/>
    <mergeCell ref="M98:O98"/>
    <mergeCell ref="P98:Q98"/>
    <mergeCell ref="R98:T98"/>
    <mergeCell ref="BD93:BF95"/>
    <mergeCell ref="BG93:BH95"/>
    <mergeCell ref="BI93:BK95"/>
    <mergeCell ref="BL93:BM95"/>
    <mergeCell ref="BN93:BP95"/>
    <mergeCell ref="BQ93:BR95"/>
    <mergeCell ref="AO93:AQ95"/>
    <mergeCell ref="AR93:AS95"/>
    <mergeCell ref="AT93:AV95"/>
    <mergeCell ref="AW93:AX95"/>
    <mergeCell ref="AY93:BA95"/>
    <mergeCell ref="BB93:BC95"/>
    <mergeCell ref="U93:W95"/>
    <mergeCell ref="X93:Y95"/>
    <mergeCell ref="Z93:AB95"/>
    <mergeCell ref="AC93:AD95"/>
    <mergeCell ref="AE93:AG95"/>
    <mergeCell ref="AH93:AI95"/>
    <mergeCell ref="BO96:BR96"/>
    <mergeCell ref="P99:R101"/>
    <mergeCell ref="S99:T101"/>
    <mergeCell ref="U99:W101"/>
    <mergeCell ref="X99:Y101"/>
    <mergeCell ref="Z99:AB101"/>
    <mergeCell ref="AC99:AD101"/>
    <mergeCell ref="BP98:BR98"/>
    <mergeCell ref="BS98:BT98"/>
    <mergeCell ref="BU98:BW98"/>
    <mergeCell ref="BX98:BY98"/>
    <mergeCell ref="BZ98:CB98"/>
    <mergeCell ref="A99:C101"/>
    <mergeCell ref="D99:E101"/>
    <mergeCell ref="F99:H101"/>
    <mergeCell ref="I99:J101"/>
    <mergeCell ref="K99:M101"/>
    <mergeCell ref="AL98:AN98"/>
    <mergeCell ref="AO98:AP98"/>
    <mergeCell ref="AQ98:AS98"/>
    <mergeCell ref="AT98:AU98"/>
    <mergeCell ref="AV98:AX98"/>
    <mergeCell ref="AY98:AZ98"/>
    <mergeCell ref="BN99:BP101"/>
    <mergeCell ref="BQ99:BR101"/>
    <mergeCell ref="BS99:BU101"/>
    <mergeCell ref="BV99:BW101"/>
    <mergeCell ref="BX99:BZ101"/>
    <mergeCell ref="CA99:CB101"/>
    <mergeCell ref="AY99:BA101"/>
    <mergeCell ref="BB99:BC101"/>
    <mergeCell ref="BD99:BF101"/>
    <mergeCell ref="BG99:BH101"/>
    <mergeCell ref="BI99:BK101"/>
    <mergeCell ref="BL99:BM101"/>
    <mergeCell ref="AE99:AG101"/>
    <mergeCell ref="AH99:AI101"/>
    <mergeCell ref="AJ99:AL101"/>
    <mergeCell ref="AM99:AN101"/>
    <mergeCell ref="AO99:AQ101"/>
    <mergeCell ref="AR99:AS101"/>
    <mergeCell ref="BP104:BR104"/>
    <mergeCell ref="BS104:BT104"/>
    <mergeCell ref="BU104:BW104"/>
    <mergeCell ref="BX104:BY104"/>
    <mergeCell ref="BZ104:CB104"/>
    <mergeCell ref="A105:C107"/>
    <mergeCell ref="D105:E107"/>
    <mergeCell ref="F105:H107"/>
    <mergeCell ref="I105:J107"/>
    <mergeCell ref="K105:M107"/>
    <mergeCell ref="AV104:AX104"/>
    <mergeCell ref="AY104:AZ104"/>
    <mergeCell ref="BA104:BC104"/>
    <mergeCell ref="BD104:BE104"/>
    <mergeCell ref="BF104:BH104"/>
    <mergeCell ref="BI104:BJ104"/>
    <mergeCell ref="P104:Q104"/>
    <mergeCell ref="R104:T104"/>
    <mergeCell ref="U104:V104"/>
    <mergeCell ref="W104:Y104"/>
    <mergeCell ref="Z104:AA104"/>
    <mergeCell ref="M104:O104"/>
    <mergeCell ref="BN105:BP107"/>
    <mergeCell ref="BQ105:BR107"/>
    <mergeCell ref="BS105:BU107"/>
    <mergeCell ref="BV105:BW107"/>
    <mergeCell ref="BX105:BZ107"/>
    <mergeCell ref="CA105:CB107"/>
    <mergeCell ref="AT105:AV107"/>
    <mergeCell ref="AW105:AX107"/>
    <mergeCell ref="AY105:BA107"/>
    <mergeCell ref="BB105:BC107"/>
    <mergeCell ref="BD105:BF107"/>
    <mergeCell ref="BG105:BH107"/>
    <mergeCell ref="AE105:AG107"/>
    <mergeCell ref="AH105:AI107"/>
    <mergeCell ref="AJ105:AL107"/>
    <mergeCell ref="AM105:AN107"/>
    <mergeCell ref="AO105:AQ107"/>
    <mergeCell ref="AR105:AS107"/>
    <mergeCell ref="N105:O107"/>
    <mergeCell ref="P105:R107"/>
    <mergeCell ref="S105:T107"/>
    <mergeCell ref="U105:W107"/>
    <mergeCell ref="X105:Y107"/>
    <mergeCell ref="Z105:AB107"/>
    <mergeCell ref="BX110:BY110"/>
    <mergeCell ref="BZ110:CB110"/>
    <mergeCell ref="A111:C113"/>
    <mergeCell ref="D111:E113"/>
    <mergeCell ref="F111:H113"/>
    <mergeCell ref="I111:J113"/>
    <mergeCell ref="K111:M113"/>
    <mergeCell ref="N111:O113"/>
    <mergeCell ref="P111:R113"/>
    <mergeCell ref="AQ110:AS110"/>
    <mergeCell ref="AT110:AU110"/>
    <mergeCell ref="AV110:AX110"/>
    <mergeCell ref="AY110:AZ110"/>
    <mergeCell ref="BA110:BC110"/>
    <mergeCell ref="BD110:BE110"/>
    <mergeCell ref="P110:Q110"/>
    <mergeCell ref="R110:T110"/>
    <mergeCell ref="U110:V110"/>
    <mergeCell ref="BS110:BT110"/>
    <mergeCell ref="BF110:BH110"/>
    <mergeCell ref="BI110:BJ110"/>
    <mergeCell ref="BD111:BF113"/>
    <mergeCell ref="BG111:BH113"/>
    <mergeCell ref="AG110:AI110"/>
    <mergeCell ref="AJ110:AK110"/>
    <mergeCell ref="AL110:AN110"/>
    <mergeCell ref="AO110:AP110"/>
    <mergeCell ref="AE110:AF110"/>
    <mergeCell ref="S111:T113"/>
    <mergeCell ref="U111:W113"/>
    <mergeCell ref="X111:Y113"/>
    <mergeCell ref="AY111:BA113"/>
    <mergeCell ref="BZ116:CB116"/>
    <mergeCell ref="A117:C119"/>
    <mergeCell ref="D117:E119"/>
    <mergeCell ref="F117:H119"/>
    <mergeCell ref="I117:J119"/>
    <mergeCell ref="K117:M119"/>
    <mergeCell ref="AL116:AN116"/>
    <mergeCell ref="AO116:AP116"/>
    <mergeCell ref="AQ116:AS116"/>
    <mergeCell ref="AT116:AU116"/>
    <mergeCell ref="AV116:AX116"/>
    <mergeCell ref="AY116:AZ116"/>
    <mergeCell ref="BX111:BZ113"/>
    <mergeCell ref="CA111:CB113"/>
    <mergeCell ref="A116:B116"/>
    <mergeCell ref="C116:E116"/>
    <mergeCell ref="F116:G116"/>
    <mergeCell ref="H116:J116"/>
    <mergeCell ref="K116:L116"/>
    <mergeCell ref="M116:O116"/>
    <mergeCell ref="P116:Q116"/>
    <mergeCell ref="R116:T116"/>
    <mergeCell ref="BI111:BK113"/>
    <mergeCell ref="BL111:BM113"/>
    <mergeCell ref="BN111:BP113"/>
    <mergeCell ref="BQ111:BR113"/>
    <mergeCell ref="BS111:BU113"/>
    <mergeCell ref="BV111:BW113"/>
    <mergeCell ref="BN117:BP119"/>
    <mergeCell ref="BQ117:BR119"/>
    <mergeCell ref="BS117:BU119"/>
    <mergeCell ref="BV117:BW119"/>
    <mergeCell ref="CA117:CB119"/>
    <mergeCell ref="AY117:BA119"/>
    <mergeCell ref="BB117:BC119"/>
    <mergeCell ref="BD117:BF119"/>
    <mergeCell ref="BG117:BH119"/>
    <mergeCell ref="BI117:BK119"/>
    <mergeCell ref="BL117:BM119"/>
    <mergeCell ref="AE117:AG119"/>
    <mergeCell ref="AH117:AI119"/>
    <mergeCell ref="AJ117:AL119"/>
    <mergeCell ref="AM117:AN119"/>
    <mergeCell ref="AO117:AQ119"/>
    <mergeCell ref="AR117:AS119"/>
    <mergeCell ref="P117:R119"/>
    <mergeCell ref="S117:T119"/>
    <mergeCell ref="U117:W119"/>
    <mergeCell ref="X117:Y119"/>
    <mergeCell ref="Z117:AB119"/>
    <mergeCell ref="AC117:AD119"/>
    <mergeCell ref="BJ120:BM120"/>
    <mergeCell ref="BN120:BN121"/>
    <mergeCell ref="BO120:BR120"/>
    <mergeCell ref="BS120:BS121"/>
    <mergeCell ref="BT120:BW120"/>
    <mergeCell ref="N123:O125"/>
    <mergeCell ref="P123:R125"/>
    <mergeCell ref="S123:T125"/>
    <mergeCell ref="U123:W125"/>
    <mergeCell ref="X123:Y125"/>
    <mergeCell ref="Z123:AB125"/>
    <mergeCell ref="BP122:BR122"/>
    <mergeCell ref="BS122:BT122"/>
    <mergeCell ref="BU122:BW122"/>
    <mergeCell ref="BX122:BY122"/>
    <mergeCell ref="BZ122:CB122"/>
    <mergeCell ref="A123:C125"/>
    <mergeCell ref="D123:E125"/>
    <mergeCell ref="F123:H125"/>
    <mergeCell ref="I123:J125"/>
    <mergeCell ref="K123:M125"/>
    <mergeCell ref="AV122:AX122"/>
    <mergeCell ref="AY122:AZ122"/>
    <mergeCell ref="BA122:BC122"/>
    <mergeCell ref="BD122:BE122"/>
    <mergeCell ref="BF122:BH122"/>
    <mergeCell ref="BI122:BJ122"/>
    <mergeCell ref="P122:Q122"/>
    <mergeCell ref="R122:T122"/>
    <mergeCell ref="U122:V122"/>
    <mergeCell ref="W122:Y122"/>
    <mergeCell ref="Z122:AA122"/>
    <mergeCell ref="BX129:BZ131"/>
    <mergeCell ref="CA129:CB131"/>
    <mergeCell ref="BQ123:BR125"/>
    <mergeCell ref="BS123:BU125"/>
    <mergeCell ref="BV123:BW125"/>
    <mergeCell ref="BX123:BZ125"/>
    <mergeCell ref="CA123:CB125"/>
    <mergeCell ref="AT123:AV125"/>
    <mergeCell ref="AW123:AX125"/>
    <mergeCell ref="AY123:BA125"/>
    <mergeCell ref="BB123:BC125"/>
    <mergeCell ref="BD123:BF125"/>
    <mergeCell ref="BG123:BH125"/>
    <mergeCell ref="AE123:AG125"/>
    <mergeCell ref="AH123:AI125"/>
    <mergeCell ref="AJ123:AL125"/>
    <mergeCell ref="AM123:AN125"/>
    <mergeCell ref="AO123:AQ125"/>
    <mergeCell ref="AR123:AS125"/>
    <mergeCell ref="BT126:BW126"/>
    <mergeCell ref="BX126:BX127"/>
    <mergeCell ref="BY126:CB126"/>
    <mergeCell ref="BE126:BH126"/>
    <mergeCell ref="BI126:BI127"/>
    <mergeCell ref="BJ126:BM126"/>
    <mergeCell ref="BN126:BN127"/>
    <mergeCell ref="BO126:BR126"/>
    <mergeCell ref="BS126:BS127"/>
    <mergeCell ref="AP126:AS126"/>
    <mergeCell ref="BK128:BM128"/>
    <mergeCell ref="BN128:BO128"/>
    <mergeCell ref="BP128:BR128"/>
    <mergeCell ref="BP144:BR144"/>
    <mergeCell ref="BS144:BT144"/>
    <mergeCell ref="BQ143:BR143"/>
    <mergeCell ref="BV143:BW143"/>
    <mergeCell ref="AC140:AD140"/>
    <mergeCell ref="AE140:AG140"/>
    <mergeCell ref="BT138:BW138"/>
    <mergeCell ref="BU128:BW128"/>
    <mergeCell ref="BX128:BY128"/>
    <mergeCell ref="BZ128:CB128"/>
    <mergeCell ref="A129:C131"/>
    <mergeCell ref="D129:E131"/>
    <mergeCell ref="F129:H131"/>
    <mergeCell ref="I129:J131"/>
    <mergeCell ref="K129:M131"/>
    <mergeCell ref="N129:O131"/>
    <mergeCell ref="P129:R131"/>
    <mergeCell ref="AQ128:AS128"/>
    <mergeCell ref="AT128:AU128"/>
    <mergeCell ref="AV128:AX128"/>
    <mergeCell ref="AY128:AZ128"/>
    <mergeCell ref="BA128:BC128"/>
    <mergeCell ref="BD128:BE128"/>
    <mergeCell ref="P128:Q128"/>
    <mergeCell ref="R128:T128"/>
    <mergeCell ref="U128:V128"/>
    <mergeCell ref="W128:Y128"/>
    <mergeCell ref="Z128:AA128"/>
    <mergeCell ref="AB128:AD128"/>
    <mergeCell ref="A128:B128"/>
    <mergeCell ref="C128:E128"/>
    <mergeCell ref="F128:G128"/>
    <mergeCell ref="BX145:BZ147"/>
    <mergeCell ref="CA145:CB147"/>
    <mergeCell ref="A144:B144"/>
    <mergeCell ref="C144:E144"/>
    <mergeCell ref="F144:G144"/>
    <mergeCell ref="H144:J144"/>
    <mergeCell ref="K144:L144"/>
    <mergeCell ref="M144:O144"/>
    <mergeCell ref="P144:Q144"/>
    <mergeCell ref="R144:T144"/>
    <mergeCell ref="BI129:BK131"/>
    <mergeCell ref="BL129:BM131"/>
    <mergeCell ref="BN129:BP131"/>
    <mergeCell ref="BQ129:BR131"/>
    <mergeCell ref="BS129:BU131"/>
    <mergeCell ref="BV129:BW131"/>
    <mergeCell ref="AO129:AQ131"/>
    <mergeCell ref="AR129:AS131"/>
    <mergeCell ref="AT129:AV131"/>
    <mergeCell ref="AW129:AX131"/>
    <mergeCell ref="AY129:BA131"/>
    <mergeCell ref="BB129:BC131"/>
    <mergeCell ref="Z129:AB131"/>
    <mergeCell ref="AC129:AD131"/>
    <mergeCell ref="AE129:AG131"/>
    <mergeCell ref="AH129:AI131"/>
    <mergeCell ref="AJ129:AL131"/>
    <mergeCell ref="AM129:AN131"/>
    <mergeCell ref="BK144:BM144"/>
    <mergeCell ref="BN144:BO144"/>
    <mergeCell ref="AL144:AN144"/>
    <mergeCell ref="AO144:AP144"/>
    <mergeCell ref="AE150:AF150"/>
    <mergeCell ref="BN148:BN149"/>
    <mergeCell ref="BO148:BR148"/>
    <mergeCell ref="L148:O148"/>
    <mergeCell ref="P148:P149"/>
    <mergeCell ref="Q148:T148"/>
    <mergeCell ref="U148:U149"/>
    <mergeCell ref="BU144:BW144"/>
    <mergeCell ref="BX144:BY144"/>
    <mergeCell ref="BZ144:CB144"/>
    <mergeCell ref="A145:C147"/>
    <mergeCell ref="D145:E147"/>
    <mergeCell ref="F145:H147"/>
    <mergeCell ref="I145:J147"/>
    <mergeCell ref="K145:M147"/>
    <mergeCell ref="AV144:AX144"/>
    <mergeCell ref="AY144:AZ144"/>
    <mergeCell ref="BA144:BC144"/>
    <mergeCell ref="BD144:BE144"/>
    <mergeCell ref="BF144:BH144"/>
    <mergeCell ref="BI144:BJ144"/>
    <mergeCell ref="U144:V144"/>
    <mergeCell ref="W144:Y144"/>
    <mergeCell ref="Z144:AA144"/>
    <mergeCell ref="AB144:AD144"/>
    <mergeCell ref="AE144:AF144"/>
    <mergeCell ref="AG144:AI144"/>
    <mergeCell ref="AQ144:AS144"/>
    <mergeCell ref="AT144:AU144"/>
    <mergeCell ref="AJ144:AK144"/>
    <mergeCell ref="BS145:BU147"/>
    <mergeCell ref="BV145:BW147"/>
    <mergeCell ref="BD145:BF147"/>
    <mergeCell ref="BG145:BH147"/>
    <mergeCell ref="BI145:BK147"/>
    <mergeCell ref="BL145:BM147"/>
    <mergeCell ref="BN145:BP147"/>
    <mergeCell ref="BQ145:BR147"/>
    <mergeCell ref="AJ145:AL147"/>
    <mergeCell ref="AM145:AN147"/>
    <mergeCell ref="AO145:AQ147"/>
    <mergeCell ref="AR145:AS147"/>
    <mergeCell ref="AT145:AV147"/>
    <mergeCell ref="AW145:AX147"/>
    <mergeCell ref="N145:O147"/>
    <mergeCell ref="P145:R147"/>
    <mergeCell ref="S145:T147"/>
    <mergeCell ref="U145:W147"/>
    <mergeCell ref="X145:Y147"/>
    <mergeCell ref="Z145:AB147"/>
    <mergeCell ref="A151:C153"/>
    <mergeCell ref="D151:E153"/>
    <mergeCell ref="F151:H153"/>
    <mergeCell ref="I151:J153"/>
    <mergeCell ref="K151:M153"/>
    <mergeCell ref="N151:O153"/>
    <mergeCell ref="P151:R153"/>
    <mergeCell ref="AQ150:AS150"/>
    <mergeCell ref="AT150:AU150"/>
    <mergeCell ref="AV150:AX150"/>
    <mergeCell ref="AY150:AZ150"/>
    <mergeCell ref="BA150:BC150"/>
    <mergeCell ref="BD150:BE150"/>
    <mergeCell ref="P150:Q150"/>
    <mergeCell ref="R150:T150"/>
    <mergeCell ref="U150:V150"/>
    <mergeCell ref="W150:Y150"/>
    <mergeCell ref="Z150:AA150"/>
    <mergeCell ref="AB150:AD150"/>
    <mergeCell ref="S151:T153"/>
    <mergeCell ref="U151:W153"/>
    <mergeCell ref="X151:Y153"/>
    <mergeCell ref="AO151:AQ153"/>
    <mergeCell ref="A150:B150"/>
    <mergeCell ref="C150:E150"/>
    <mergeCell ref="F150:G150"/>
    <mergeCell ref="H150:J150"/>
    <mergeCell ref="K150:L150"/>
    <mergeCell ref="M150:O150"/>
    <mergeCell ref="AJ150:AK150"/>
    <mergeCell ref="AL150:AN150"/>
    <mergeCell ref="AO150:AP150"/>
    <mergeCell ref="F162:G162"/>
    <mergeCell ref="H162:J162"/>
    <mergeCell ref="K162:L162"/>
    <mergeCell ref="M162:O162"/>
    <mergeCell ref="BN157:BP159"/>
    <mergeCell ref="BQ157:BR159"/>
    <mergeCell ref="BS157:BU159"/>
    <mergeCell ref="AT157:AV159"/>
    <mergeCell ref="AW157:AX159"/>
    <mergeCell ref="AY157:BA159"/>
    <mergeCell ref="BB157:BC159"/>
    <mergeCell ref="BD157:BF159"/>
    <mergeCell ref="BG157:BH159"/>
    <mergeCell ref="AE157:AG159"/>
    <mergeCell ref="AH157:AI159"/>
    <mergeCell ref="AJ157:AL159"/>
    <mergeCell ref="AM157:AN159"/>
    <mergeCell ref="AO157:AQ159"/>
    <mergeCell ref="AR157:AS159"/>
    <mergeCell ref="N157:O159"/>
    <mergeCell ref="P157:R159"/>
    <mergeCell ref="S157:T159"/>
    <mergeCell ref="U157:W159"/>
    <mergeCell ref="X157:Y159"/>
    <mergeCell ref="Z157:AB159"/>
    <mergeCell ref="L160:O160"/>
    <mergeCell ref="P160:P161"/>
    <mergeCell ref="Q160:T160"/>
    <mergeCell ref="U160:U161"/>
    <mergeCell ref="V160:Y160"/>
    <mergeCell ref="Z160:Z161"/>
    <mergeCell ref="BU162:BW162"/>
    <mergeCell ref="BX162:BY162"/>
    <mergeCell ref="BS162:BT162"/>
    <mergeCell ref="BT160:BW160"/>
    <mergeCell ref="BX160:BX161"/>
    <mergeCell ref="BY160:CB160"/>
    <mergeCell ref="BE160:BH160"/>
    <mergeCell ref="BI160:BI161"/>
    <mergeCell ref="BJ160:BM160"/>
    <mergeCell ref="BN160:BN161"/>
    <mergeCell ref="BO160:BR160"/>
    <mergeCell ref="BS160:BS161"/>
    <mergeCell ref="AP160:AS160"/>
    <mergeCell ref="AT160:AT161"/>
    <mergeCell ref="AU160:AX160"/>
    <mergeCell ref="AY160:AY161"/>
    <mergeCell ref="AZ160:BC160"/>
    <mergeCell ref="BZ162:CB162"/>
    <mergeCell ref="BD160:BD161"/>
    <mergeCell ref="A163:C165"/>
    <mergeCell ref="D163:E165"/>
    <mergeCell ref="F163:H165"/>
    <mergeCell ref="I163:J165"/>
    <mergeCell ref="K163:M165"/>
    <mergeCell ref="N163:O165"/>
    <mergeCell ref="P163:R165"/>
    <mergeCell ref="AQ162:AS162"/>
    <mergeCell ref="AT162:AU162"/>
    <mergeCell ref="AV162:AX162"/>
    <mergeCell ref="AY162:AZ162"/>
    <mergeCell ref="BA162:BC162"/>
    <mergeCell ref="BD162:BE162"/>
    <mergeCell ref="P162:Q162"/>
    <mergeCell ref="R162:T162"/>
    <mergeCell ref="U162:V162"/>
    <mergeCell ref="W162:Y162"/>
    <mergeCell ref="AO163:AQ165"/>
    <mergeCell ref="AR163:AS165"/>
    <mergeCell ref="AT163:AV165"/>
    <mergeCell ref="AW163:AX165"/>
    <mergeCell ref="AY163:BA165"/>
    <mergeCell ref="BB163:BC165"/>
    <mergeCell ref="Z163:AB165"/>
    <mergeCell ref="AC163:AD165"/>
    <mergeCell ref="AE163:AG165"/>
    <mergeCell ref="AH163:AI165"/>
    <mergeCell ref="AJ163:AL165"/>
    <mergeCell ref="AM163:AN165"/>
    <mergeCell ref="AB162:AD162"/>
    <mergeCell ref="A162:B162"/>
    <mergeCell ref="C162:E162"/>
    <mergeCell ref="BZ168:CB168"/>
    <mergeCell ref="A169:C171"/>
    <mergeCell ref="D169:E171"/>
    <mergeCell ref="F169:H171"/>
    <mergeCell ref="I169:J171"/>
    <mergeCell ref="K169:M171"/>
    <mergeCell ref="AL168:AN168"/>
    <mergeCell ref="AO168:AP168"/>
    <mergeCell ref="AQ168:AS168"/>
    <mergeCell ref="AT168:AU168"/>
    <mergeCell ref="AV168:AX168"/>
    <mergeCell ref="AY168:AZ168"/>
    <mergeCell ref="BX163:BZ165"/>
    <mergeCell ref="CA163:CB165"/>
    <mergeCell ref="A168:B168"/>
    <mergeCell ref="C168:E168"/>
    <mergeCell ref="F168:G168"/>
    <mergeCell ref="H168:J168"/>
    <mergeCell ref="K168:L168"/>
    <mergeCell ref="M168:O168"/>
    <mergeCell ref="P168:Q168"/>
    <mergeCell ref="R168:T168"/>
    <mergeCell ref="BI163:BK165"/>
    <mergeCell ref="BL163:BM165"/>
    <mergeCell ref="BN163:BP165"/>
    <mergeCell ref="BQ163:BR165"/>
    <mergeCell ref="BS163:BU165"/>
    <mergeCell ref="BV163:BW165"/>
    <mergeCell ref="BN169:BP171"/>
    <mergeCell ref="BQ169:BR171"/>
    <mergeCell ref="BS169:BU171"/>
    <mergeCell ref="BV169:BW171"/>
    <mergeCell ref="CA169:CB171"/>
    <mergeCell ref="AY169:BA171"/>
    <mergeCell ref="BB169:BC171"/>
    <mergeCell ref="BD169:BF171"/>
    <mergeCell ref="BG169:BH171"/>
    <mergeCell ref="BI169:BK171"/>
    <mergeCell ref="BL169:BM171"/>
    <mergeCell ref="AE169:AG171"/>
    <mergeCell ref="AH169:AI171"/>
    <mergeCell ref="AJ169:AL171"/>
    <mergeCell ref="AM169:AN171"/>
    <mergeCell ref="AO169:AQ171"/>
    <mergeCell ref="AR169:AS171"/>
    <mergeCell ref="P169:R171"/>
    <mergeCell ref="S169:T171"/>
    <mergeCell ref="U169:W171"/>
    <mergeCell ref="X169:Y171"/>
    <mergeCell ref="Z169:AB171"/>
    <mergeCell ref="AC169:AD171"/>
    <mergeCell ref="BJ172:BM172"/>
    <mergeCell ref="BN172:BN173"/>
    <mergeCell ref="BO172:BR172"/>
    <mergeCell ref="BS172:BS173"/>
    <mergeCell ref="BT172:BW172"/>
    <mergeCell ref="N175:O177"/>
    <mergeCell ref="P175:R177"/>
    <mergeCell ref="S175:T177"/>
    <mergeCell ref="U175:W177"/>
    <mergeCell ref="X175:Y177"/>
    <mergeCell ref="Z175:AB177"/>
    <mergeCell ref="BP174:BR174"/>
    <mergeCell ref="BS174:BT174"/>
    <mergeCell ref="BU174:BW174"/>
    <mergeCell ref="BX174:BY174"/>
    <mergeCell ref="BZ174:CB174"/>
    <mergeCell ref="A175:C177"/>
    <mergeCell ref="D175:E177"/>
    <mergeCell ref="F175:H177"/>
    <mergeCell ref="I175:J177"/>
    <mergeCell ref="K175:M177"/>
    <mergeCell ref="AV174:AX174"/>
    <mergeCell ref="AY174:AZ174"/>
    <mergeCell ref="BA174:BC174"/>
    <mergeCell ref="BD174:BE174"/>
    <mergeCell ref="BF174:BH174"/>
    <mergeCell ref="BI174:BJ174"/>
    <mergeCell ref="P174:Q174"/>
    <mergeCell ref="R174:T174"/>
    <mergeCell ref="U174:V174"/>
    <mergeCell ref="W174:Y174"/>
    <mergeCell ref="Z174:AA174"/>
    <mergeCell ref="BQ175:BR177"/>
    <mergeCell ref="BS175:BU177"/>
    <mergeCell ref="BV175:BW177"/>
    <mergeCell ref="BX175:BZ177"/>
    <mergeCell ref="CA175:CB177"/>
    <mergeCell ref="AT175:AV177"/>
    <mergeCell ref="AW175:AX177"/>
    <mergeCell ref="AY175:BA177"/>
    <mergeCell ref="BB175:BC177"/>
    <mergeCell ref="BD175:BF177"/>
    <mergeCell ref="BG175:BH177"/>
    <mergeCell ref="AE175:AG177"/>
    <mergeCell ref="AH175:AI177"/>
    <mergeCell ref="AJ175:AL177"/>
    <mergeCell ref="AM175:AN177"/>
    <mergeCell ref="AO175:AQ177"/>
    <mergeCell ref="AR175:AS177"/>
    <mergeCell ref="BU180:BW180"/>
    <mergeCell ref="BX180:BY180"/>
    <mergeCell ref="BZ180:CB180"/>
    <mergeCell ref="A181:C183"/>
    <mergeCell ref="D181:E183"/>
    <mergeCell ref="F181:H183"/>
    <mergeCell ref="I181:J183"/>
    <mergeCell ref="K181:M183"/>
    <mergeCell ref="N181:O183"/>
    <mergeCell ref="P181:R183"/>
    <mergeCell ref="AQ180:AS180"/>
    <mergeCell ref="AT180:AU180"/>
    <mergeCell ref="AV180:AX180"/>
    <mergeCell ref="AY180:AZ180"/>
    <mergeCell ref="BA180:BC180"/>
    <mergeCell ref="BD180:BE180"/>
    <mergeCell ref="P180:Q180"/>
    <mergeCell ref="R180:T180"/>
    <mergeCell ref="U180:V180"/>
    <mergeCell ref="W180:Y180"/>
    <mergeCell ref="Z180:AA180"/>
    <mergeCell ref="AB180:AD180"/>
    <mergeCell ref="A180:B180"/>
    <mergeCell ref="C180:E180"/>
    <mergeCell ref="F180:G180"/>
    <mergeCell ref="H180:J180"/>
    <mergeCell ref="K180:L180"/>
    <mergeCell ref="M180:O180"/>
    <mergeCell ref="BX181:BZ183"/>
    <mergeCell ref="CA181:CB183"/>
    <mergeCell ref="H186:J186"/>
    <mergeCell ref="K186:L186"/>
    <mergeCell ref="M186:O186"/>
    <mergeCell ref="P186:Q186"/>
    <mergeCell ref="R186:T186"/>
    <mergeCell ref="BI181:BK183"/>
    <mergeCell ref="BL181:BM183"/>
    <mergeCell ref="BN181:BP183"/>
    <mergeCell ref="BQ181:BR183"/>
    <mergeCell ref="BS181:BU183"/>
    <mergeCell ref="BV181:BW183"/>
    <mergeCell ref="AO181:AQ183"/>
    <mergeCell ref="AR181:AS183"/>
    <mergeCell ref="AT181:AV183"/>
    <mergeCell ref="AW181:AX183"/>
    <mergeCell ref="AY181:BA183"/>
    <mergeCell ref="BB181:BC183"/>
    <mergeCell ref="Z181:AB183"/>
    <mergeCell ref="AC181:AD183"/>
    <mergeCell ref="AE181:AG183"/>
    <mergeCell ref="AH181:AI183"/>
    <mergeCell ref="AJ181:AL183"/>
    <mergeCell ref="AM181:AN183"/>
    <mergeCell ref="BO184:BR184"/>
    <mergeCell ref="BS184:BS185"/>
    <mergeCell ref="BT184:BW184"/>
    <mergeCell ref="P187:R189"/>
    <mergeCell ref="S187:T189"/>
    <mergeCell ref="U187:W189"/>
    <mergeCell ref="X187:Y189"/>
    <mergeCell ref="Z187:AB189"/>
    <mergeCell ref="AC187:AD189"/>
    <mergeCell ref="BP186:BR186"/>
    <mergeCell ref="BS186:BT186"/>
    <mergeCell ref="BU186:BW186"/>
    <mergeCell ref="BX186:BY186"/>
    <mergeCell ref="BZ186:CB186"/>
    <mergeCell ref="A187:C189"/>
    <mergeCell ref="D187:E189"/>
    <mergeCell ref="F187:H189"/>
    <mergeCell ref="I187:J189"/>
    <mergeCell ref="K187:M189"/>
    <mergeCell ref="AL186:AN186"/>
    <mergeCell ref="AO186:AP186"/>
    <mergeCell ref="AQ186:AS186"/>
    <mergeCell ref="AT186:AU186"/>
    <mergeCell ref="AV186:AX186"/>
    <mergeCell ref="AY186:AZ186"/>
    <mergeCell ref="BN187:BP189"/>
    <mergeCell ref="BQ187:BR189"/>
    <mergeCell ref="BS187:BU189"/>
    <mergeCell ref="BV187:BW189"/>
    <mergeCell ref="BX187:BZ189"/>
    <mergeCell ref="CA187:CB189"/>
    <mergeCell ref="AY187:BA189"/>
    <mergeCell ref="BB187:BC189"/>
    <mergeCell ref="BD187:BF189"/>
    <mergeCell ref="BG187:BH189"/>
    <mergeCell ref="BI187:BK189"/>
    <mergeCell ref="BL187:BM189"/>
    <mergeCell ref="AE187:AG189"/>
    <mergeCell ref="AH187:AI189"/>
    <mergeCell ref="AJ187:AL189"/>
    <mergeCell ref="AM187:AN189"/>
    <mergeCell ref="AO187:AQ189"/>
    <mergeCell ref="AR187:AS189"/>
    <mergeCell ref="BP192:BR192"/>
    <mergeCell ref="BS192:BT192"/>
    <mergeCell ref="BU192:BW192"/>
    <mergeCell ref="BX192:BY192"/>
    <mergeCell ref="BZ192:CB192"/>
    <mergeCell ref="A193:C195"/>
    <mergeCell ref="D193:E195"/>
    <mergeCell ref="F193:H195"/>
    <mergeCell ref="I193:J195"/>
    <mergeCell ref="K193:M195"/>
    <mergeCell ref="AV192:AX192"/>
    <mergeCell ref="AY192:AZ192"/>
    <mergeCell ref="BA192:BC192"/>
    <mergeCell ref="BD192:BE192"/>
    <mergeCell ref="BF192:BH192"/>
    <mergeCell ref="BI192:BJ192"/>
    <mergeCell ref="P192:Q192"/>
    <mergeCell ref="R192:T192"/>
    <mergeCell ref="U192:V192"/>
    <mergeCell ref="W192:Y192"/>
    <mergeCell ref="Z192:AA192"/>
    <mergeCell ref="AB192:AD192"/>
    <mergeCell ref="A192:B192"/>
    <mergeCell ref="C192:E192"/>
    <mergeCell ref="BQ193:BR195"/>
    <mergeCell ref="BS193:BU195"/>
    <mergeCell ref="BV193:BW195"/>
    <mergeCell ref="BX193:BZ195"/>
    <mergeCell ref="CA193:CB195"/>
    <mergeCell ref="AT193:AV195"/>
    <mergeCell ref="AW193:AX195"/>
    <mergeCell ref="AY193:BA195"/>
    <mergeCell ref="BB193:BC195"/>
    <mergeCell ref="BD193:BF195"/>
    <mergeCell ref="BG193:BH195"/>
    <mergeCell ref="AE193:AG195"/>
    <mergeCell ref="AH193:AI195"/>
    <mergeCell ref="AJ193:AL195"/>
    <mergeCell ref="AM193:AN195"/>
    <mergeCell ref="AO193:AQ195"/>
    <mergeCell ref="AR193:AS195"/>
    <mergeCell ref="X193:Y195"/>
    <mergeCell ref="Z193:AB195"/>
    <mergeCell ref="AO199:AQ201"/>
    <mergeCell ref="AR199:AS201"/>
    <mergeCell ref="AT199:AV201"/>
    <mergeCell ref="AW199:AX201"/>
    <mergeCell ref="AY199:BA201"/>
    <mergeCell ref="BB199:BC201"/>
    <mergeCell ref="Z199:AB201"/>
    <mergeCell ref="AC199:AD201"/>
    <mergeCell ref="AE199:AG201"/>
    <mergeCell ref="AH199:AI201"/>
    <mergeCell ref="AJ199:AL201"/>
    <mergeCell ref="AM199:AN201"/>
    <mergeCell ref="AJ198:AK198"/>
    <mergeCell ref="AL198:AN198"/>
    <mergeCell ref="AO198:AP198"/>
    <mergeCell ref="AE198:AF198"/>
    <mergeCell ref="S199:T201"/>
    <mergeCell ref="U199:W201"/>
    <mergeCell ref="X199:Y201"/>
    <mergeCell ref="BU198:BW198"/>
    <mergeCell ref="BX198:BY198"/>
    <mergeCell ref="BZ198:CB198"/>
    <mergeCell ref="A199:C201"/>
    <mergeCell ref="D199:E201"/>
    <mergeCell ref="F199:H201"/>
    <mergeCell ref="I199:J201"/>
    <mergeCell ref="K199:M201"/>
    <mergeCell ref="N199:O201"/>
    <mergeCell ref="P199:R201"/>
    <mergeCell ref="AQ198:AS198"/>
    <mergeCell ref="AT198:AU198"/>
    <mergeCell ref="AV198:AX198"/>
    <mergeCell ref="AY198:AZ198"/>
    <mergeCell ref="BA198:BC198"/>
    <mergeCell ref="BD198:BE198"/>
    <mergeCell ref="P198:Q198"/>
    <mergeCell ref="R198:T198"/>
    <mergeCell ref="U198:V198"/>
    <mergeCell ref="W198:Y198"/>
    <mergeCell ref="BS198:BT198"/>
    <mergeCell ref="BZ204:CB204"/>
    <mergeCell ref="A205:C207"/>
    <mergeCell ref="D205:E207"/>
    <mergeCell ref="F205:H207"/>
    <mergeCell ref="I205:J207"/>
    <mergeCell ref="K205:M207"/>
    <mergeCell ref="AL204:AN204"/>
    <mergeCell ref="AO204:AP204"/>
    <mergeCell ref="AQ204:AS204"/>
    <mergeCell ref="AT204:AU204"/>
    <mergeCell ref="AV204:AX204"/>
    <mergeCell ref="AY204:AZ204"/>
    <mergeCell ref="BX199:BZ201"/>
    <mergeCell ref="CA199:CB201"/>
    <mergeCell ref="A204:B204"/>
    <mergeCell ref="C204:E204"/>
    <mergeCell ref="F204:G204"/>
    <mergeCell ref="H204:J204"/>
    <mergeCell ref="K204:L204"/>
    <mergeCell ref="M204:O204"/>
    <mergeCell ref="P204:Q204"/>
    <mergeCell ref="R204:T204"/>
    <mergeCell ref="BI199:BK201"/>
    <mergeCell ref="BL199:BM201"/>
    <mergeCell ref="BN199:BP201"/>
    <mergeCell ref="BQ199:BR201"/>
    <mergeCell ref="BS199:BU201"/>
    <mergeCell ref="BV199:BW201"/>
    <mergeCell ref="BN205:BP207"/>
    <mergeCell ref="BQ205:BR207"/>
    <mergeCell ref="BS205:BU207"/>
    <mergeCell ref="BV205:BW207"/>
    <mergeCell ref="CA205:CB207"/>
    <mergeCell ref="AY205:BA207"/>
    <mergeCell ref="BB205:BC207"/>
    <mergeCell ref="BD205:BF207"/>
    <mergeCell ref="BG205:BH207"/>
    <mergeCell ref="BI205:BK207"/>
    <mergeCell ref="BL205:BM207"/>
    <mergeCell ref="AE205:AG207"/>
    <mergeCell ref="AH205:AI207"/>
    <mergeCell ref="AJ205:AL207"/>
    <mergeCell ref="AM205:AN207"/>
    <mergeCell ref="AO205:AQ207"/>
    <mergeCell ref="AR205:AS207"/>
    <mergeCell ref="P205:R207"/>
    <mergeCell ref="S205:T207"/>
    <mergeCell ref="U205:W207"/>
    <mergeCell ref="X205:Y207"/>
    <mergeCell ref="Z205:AB207"/>
    <mergeCell ref="AC205:AD207"/>
    <mergeCell ref="BJ208:BM208"/>
    <mergeCell ref="BN208:BN209"/>
    <mergeCell ref="BO208:BR208"/>
    <mergeCell ref="BS208:BS209"/>
    <mergeCell ref="BT208:BW208"/>
    <mergeCell ref="N211:O213"/>
    <mergeCell ref="P211:R213"/>
    <mergeCell ref="S211:T213"/>
    <mergeCell ref="U211:W213"/>
    <mergeCell ref="X211:Y213"/>
    <mergeCell ref="Z211:AB213"/>
    <mergeCell ref="BP210:BR210"/>
    <mergeCell ref="BS210:BT210"/>
    <mergeCell ref="BU210:BW210"/>
    <mergeCell ref="BX210:BY210"/>
    <mergeCell ref="BZ210:CB210"/>
    <mergeCell ref="A211:C213"/>
    <mergeCell ref="D211:E213"/>
    <mergeCell ref="F211:H213"/>
    <mergeCell ref="I211:J213"/>
    <mergeCell ref="K211:M213"/>
    <mergeCell ref="AV210:AX210"/>
    <mergeCell ref="AY210:AZ210"/>
    <mergeCell ref="BA210:BC210"/>
    <mergeCell ref="BD210:BE210"/>
    <mergeCell ref="BF210:BH210"/>
    <mergeCell ref="BI210:BJ210"/>
    <mergeCell ref="P210:Q210"/>
    <mergeCell ref="R210:T210"/>
    <mergeCell ref="U210:V210"/>
    <mergeCell ref="W210:Y210"/>
    <mergeCell ref="Z210:AA210"/>
    <mergeCell ref="BQ211:BR213"/>
    <mergeCell ref="BS211:BU213"/>
    <mergeCell ref="BV211:BW213"/>
    <mergeCell ref="BX211:BZ213"/>
    <mergeCell ref="CA211:CB213"/>
    <mergeCell ref="AT211:AV213"/>
    <mergeCell ref="AW211:AX213"/>
    <mergeCell ref="AY211:BA213"/>
    <mergeCell ref="BB211:BC213"/>
    <mergeCell ref="BD211:BF213"/>
    <mergeCell ref="BG211:BH213"/>
    <mergeCell ref="AE211:AG213"/>
    <mergeCell ref="AH211:AI213"/>
    <mergeCell ref="AJ211:AL213"/>
    <mergeCell ref="AM211:AN213"/>
    <mergeCell ref="AO211:AQ213"/>
    <mergeCell ref="AR211:AS213"/>
    <mergeCell ref="BU216:BW216"/>
    <mergeCell ref="BX216:BY216"/>
    <mergeCell ref="BZ216:CB216"/>
    <mergeCell ref="A217:C219"/>
    <mergeCell ref="D217:E219"/>
    <mergeCell ref="F217:H219"/>
    <mergeCell ref="I217:J219"/>
    <mergeCell ref="K217:M219"/>
    <mergeCell ref="N217:O219"/>
    <mergeCell ref="P217:R219"/>
    <mergeCell ref="AQ216:AS216"/>
    <mergeCell ref="AT216:AU216"/>
    <mergeCell ref="AV216:AX216"/>
    <mergeCell ref="AY216:AZ216"/>
    <mergeCell ref="BA216:BC216"/>
    <mergeCell ref="BD216:BE216"/>
    <mergeCell ref="P216:Q216"/>
    <mergeCell ref="R216:T216"/>
    <mergeCell ref="U216:V216"/>
    <mergeCell ref="W216:Y216"/>
    <mergeCell ref="Z216:AA216"/>
    <mergeCell ref="AB216:AD216"/>
    <mergeCell ref="A216:B216"/>
    <mergeCell ref="C216:E216"/>
    <mergeCell ref="F216:G216"/>
    <mergeCell ref="H216:J216"/>
    <mergeCell ref="K216:L216"/>
    <mergeCell ref="M216:O216"/>
    <mergeCell ref="BX217:BZ219"/>
    <mergeCell ref="CA217:CB219"/>
    <mergeCell ref="H222:J222"/>
    <mergeCell ref="K222:L222"/>
    <mergeCell ref="M222:O222"/>
    <mergeCell ref="P222:Q222"/>
    <mergeCell ref="R222:T222"/>
    <mergeCell ref="BI217:BK219"/>
    <mergeCell ref="BL217:BM219"/>
    <mergeCell ref="BN217:BP219"/>
    <mergeCell ref="BQ217:BR219"/>
    <mergeCell ref="BS217:BU219"/>
    <mergeCell ref="BV217:BW219"/>
    <mergeCell ref="AO217:AQ219"/>
    <mergeCell ref="AR217:AS219"/>
    <mergeCell ref="AT217:AV219"/>
    <mergeCell ref="AW217:AX219"/>
    <mergeCell ref="AY217:BA219"/>
    <mergeCell ref="BB217:BC219"/>
    <mergeCell ref="Z217:AB219"/>
    <mergeCell ref="AC217:AD219"/>
    <mergeCell ref="AE217:AG219"/>
    <mergeCell ref="AH217:AI219"/>
    <mergeCell ref="AJ217:AL219"/>
    <mergeCell ref="AM217:AN219"/>
    <mergeCell ref="BO220:BR220"/>
    <mergeCell ref="BS220:BS221"/>
    <mergeCell ref="BT220:BW220"/>
    <mergeCell ref="P223:R225"/>
    <mergeCell ref="S223:T225"/>
    <mergeCell ref="U223:W225"/>
    <mergeCell ref="X223:Y225"/>
    <mergeCell ref="Z223:AB225"/>
    <mergeCell ref="AC223:AD225"/>
    <mergeCell ref="BP222:BR222"/>
    <mergeCell ref="BS222:BT222"/>
    <mergeCell ref="BU222:BW222"/>
    <mergeCell ref="BX222:BY222"/>
    <mergeCell ref="BZ222:CB222"/>
    <mergeCell ref="A223:C225"/>
    <mergeCell ref="D223:E225"/>
    <mergeCell ref="F223:H225"/>
    <mergeCell ref="I223:J225"/>
    <mergeCell ref="K223:M225"/>
    <mergeCell ref="AL222:AN222"/>
    <mergeCell ref="AO222:AP222"/>
    <mergeCell ref="AQ222:AS222"/>
    <mergeCell ref="AT222:AU222"/>
    <mergeCell ref="AV222:AX222"/>
    <mergeCell ref="AY222:AZ222"/>
    <mergeCell ref="BN223:BP225"/>
    <mergeCell ref="BQ223:BR225"/>
    <mergeCell ref="BS223:BU225"/>
    <mergeCell ref="BV223:BW225"/>
    <mergeCell ref="BX223:BZ225"/>
    <mergeCell ref="CA223:CB225"/>
    <mergeCell ref="AY223:BA225"/>
    <mergeCell ref="BB223:BC225"/>
    <mergeCell ref="BD223:BF225"/>
    <mergeCell ref="BG223:BH225"/>
    <mergeCell ref="BI223:BK225"/>
    <mergeCell ref="BL223:BM225"/>
    <mergeCell ref="AE223:AG225"/>
    <mergeCell ref="AH223:AI225"/>
    <mergeCell ref="AJ223:AL225"/>
    <mergeCell ref="AM223:AN225"/>
    <mergeCell ref="AO223:AQ225"/>
    <mergeCell ref="AR223:AS225"/>
    <mergeCell ref="BU228:BW228"/>
    <mergeCell ref="BX228:BY228"/>
    <mergeCell ref="BZ228:CB228"/>
    <mergeCell ref="A229:C231"/>
    <mergeCell ref="D229:E231"/>
    <mergeCell ref="F229:H231"/>
    <mergeCell ref="I229:J231"/>
    <mergeCell ref="K229:M231"/>
    <mergeCell ref="N229:O231"/>
    <mergeCell ref="P229:R231"/>
    <mergeCell ref="AQ228:AS228"/>
    <mergeCell ref="AT228:AU228"/>
    <mergeCell ref="AV228:AX228"/>
    <mergeCell ref="AY228:AZ228"/>
    <mergeCell ref="BA228:BC228"/>
    <mergeCell ref="BD228:BE228"/>
    <mergeCell ref="P228:Q228"/>
    <mergeCell ref="R228:T228"/>
    <mergeCell ref="U228:V228"/>
    <mergeCell ref="W228:Y228"/>
    <mergeCell ref="Z228:AA228"/>
    <mergeCell ref="AB228:AD228"/>
    <mergeCell ref="A228:B228"/>
    <mergeCell ref="C228:E228"/>
    <mergeCell ref="F228:G228"/>
    <mergeCell ref="H228:J228"/>
    <mergeCell ref="K228:L228"/>
    <mergeCell ref="M228:O228"/>
    <mergeCell ref="BK228:BM228"/>
    <mergeCell ref="BN228:BO228"/>
    <mergeCell ref="BP228:BR228"/>
    <mergeCell ref="BS228:BT228"/>
    <mergeCell ref="BX229:BZ231"/>
    <mergeCell ref="CA229:CB231"/>
    <mergeCell ref="A234:B234"/>
    <mergeCell ref="C234:E234"/>
    <mergeCell ref="F234:G234"/>
    <mergeCell ref="H234:J234"/>
    <mergeCell ref="K234:L234"/>
    <mergeCell ref="M234:O234"/>
    <mergeCell ref="P234:Q234"/>
    <mergeCell ref="R234:T234"/>
    <mergeCell ref="BI229:BK231"/>
    <mergeCell ref="BL229:BM231"/>
    <mergeCell ref="BN229:BP231"/>
    <mergeCell ref="BQ229:BR231"/>
    <mergeCell ref="BS229:BU231"/>
    <mergeCell ref="BV229:BW231"/>
    <mergeCell ref="AO229:AQ231"/>
    <mergeCell ref="AR229:AS231"/>
    <mergeCell ref="AT229:AV231"/>
    <mergeCell ref="AW229:AX231"/>
    <mergeCell ref="AY229:BA231"/>
    <mergeCell ref="BB229:BC231"/>
    <mergeCell ref="Z229:AB231"/>
    <mergeCell ref="AC229:AD231"/>
    <mergeCell ref="AE229:AG231"/>
    <mergeCell ref="AH229:AI231"/>
    <mergeCell ref="AJ229:AL231"/>
    <mergeCell ref="AM229:AN231"/>
    <mergeCell ref="BX232:BX233"/>
    <mergeCell ref="BY232:CB232"/>
    <mergeCell ref="P232:P233"/>
    <mergeCell ref="Q232:T232"/>
    <mergeCell ref="BZ234:CB234"/>
    <mergeCell ref="A235:C237"/>
    <mergeCell ref="D235:E237"/>
    <mergeCell ref="F235:H237"/>
    <mergeCell ref="I235:J237"/>
    <mergeCell ref="K235:M237"/>
    <mergeCell ref="N235:O237"/>
    <mergeCell ref="P235:R237"/>
    <mergeCell ref="S235:T237"/>
    <mergeCell ref="U235:W237"/>
    <mergeCell ref="BF234:BH234"/>
    <mergeCell ref="BI234:BJ234"/>
    <mergeCell ref="BK234:BM234"/>
    <mergeCell ref="BN234:BO234"/>
    <mergeCell ref="BP234:BR234"/>
    <mergeCell ref="BS234:BT234"/>
    <mergeCell ref="AE234:AF234"/>
    <mergeCell ref="AG234:AI234"/>
    <mergeCell ref="AJ234:AK234"/>
    <mergeCell ref="AL234:AN234"/>
    <mergeCell ref="AO234:AP234"/>
    <mergeCell ref="AQ234:AS234"/>
    <mergeCell ref="AK232:AN232"/>
    <mergeCell ref="AO232:AO233"/>
    <mergeCell ref="A240:B240"/>
    <mergeCell ref="C240:E240"/>
    <mergeCell ref="F240:G240"/>
    <mergeCell ref="H240:J240"/>
    <mergeCell ref="K240:L240"/>
    <mergeCell ref="M240:O240"/>
    <mergeCell ref="BN235:BP237"/>
    <mergeCell ref="BQ235:BR237"/>
    <mergeCell ref="BS235:BU237"/>
    <mergeCell ref="BV235:BW237"/>
    <mergeCell ref="BX235:BZ237"/>
    <mergeCell ref="CA235:CB237"/>
    <mergeCell ref="AT235:AV237"/>
    <mergeCell ref="AW235:AX237"/>
    <mergeCell ref="AY235:BA237"/>
    <mergeCell ref="BB235:BC237"/>
    <mergeCell ref="BD235:BF237"/>
    <mergeCell ref="BG235:BH237"/>
    <mergeCell ref="X235:Y237"/>
    <mergeCell ref="Z235:AB237"/>
    <mergeCell ref="AC235:AD237"/>
    <mergeCell ref="AE235:AG237"/>
    <mergeCell ref="AH235:AI237"/>
    <mergeCell ref="AJ235:AL237"/>
    <mergeCell ref="BX238:BX239"/>
    <mergeCell ref="BY238:CB238"/>
    <mergeCell ref="P238:P239"/>
    <mergeCell ref="Q238:T238"/>
    <mergeCell ref="U238:U239"/>
    <mergeCell ref="V238:Y238"/>
    <mergeCell ref="Z238:Z239"/>
    <mergeCell ref="AA238:AD238"/>
    <mergeCell ref="CA241:CB243"/>
    <mergeCell ref="A246:B246"/>
    <mergeCell ref="C246:E246"/>
    <mergeCell ref="F246:G246"/>
    <mergeCell ref="H246:J246"/>
    <mergeCell ref="K246:L246"/>
    <mergeCell ref="M246:O246"/>
    <mergeCell ref="P246:Q246"/>
    <mergeCell ref="R246:T246"/>
    <mergeCell ref="U246:V246"/>
    <mergeCell ref="AM241:AN243"/>
    <mergeCell ref="AR241:AS243"/>
    <mergeCell ref="AW241:AX243"/>
    <mergeCell ref="BB241:BC243"/>
    <mergeCell ref="BG241:BH243"/>
    <mergeCell ref="BL241:BM243"/>
    <mergeCell ref="BU240:BW240"/>
    <mergeCell ref="BX240:BY240"/>
    <mergeCell ref="BZ240:CB240"/>
    <mergeCell ref="D241:E243"/>
    <mergeCell ref="I241:J243"/>
    <mergeCell ref="N241:O243"/>
    <mergeCell ref="S241:T243"/>
    <mergeCell ref="X241:Y243"/>
    <mergeCell ref="AC241:AD243"/>
    <mergeCell ref="AH241:AI243"/>
    <mergeCell ref="P240:Q240"/>
    <mergeCell ref="R240:T240"/>
    <mergeCell ref="U240:V240"/>
    <mergeCell ref="W240:Y240"/>
    <mergeCell ref="Z240:AA240"/>
    <mergeCell ref="AB240:AD240"/>
    <mergeCell ref="BV247:BW249"/>
    <mergeCell ref="CA247:CB249"/>
    <mergeCell ref="A252:B252"/>
    <mergeCell ref="C252:E252"/>
    <mergeCell ref="F252:G252"/>
    <mergeCell ref="H252:J252"/>
    <mergeCell ref="K252:L252"/>
    <mergeCell ref="M252:O252"/>
    <mergeCell ref="P252:Q252"/>
    <mergeCell ref="R252:T252"/>
    <mergeCell ref="AR247:AS249"/>
    <mergeCell ref="AW247:AX249"/>
    <mergeCell ref="BB247:BC249"/>
    <mergeCell ref="BG247:BH249"/>
    <mergeCell ref="BL247:BM249"/>
    <mergeCell ref="BQ247:BR249"/>
    <mergeCell ref="BX246:BY246"/>
    <mergeCell ref="BZ246:CB246"/>
    <mergeCell ref="D247:E249"/>
    <mergeCell ref="I247:J249"/>
    <mergeCell ref="N247:O249"/>
    <mergeCell ref="S247:T249"/>
    <mergeCell ref="X247:Y249"/>
    <mergeCell ref="AC247:AD249"/>
    <mergeCell ref="AH247:AI249"/>
    <mergeCell ref="AM247:AN249"/>
    <mergeCell ref="BY250:CB250"/>
    <mergeCell ref="BJ250:BM250"/>
    <mergeCell ref="BN250:BN251"/>
    <mergeCell ref="BO250:BR250"/>
    <mergeCell ref="BS250:BS251"/>
    <mergeCell ref="BT250:BW250"/>
    <mergeCell ref="BP252:BR252"/>
    <mergeCell ref="BS252:BT252"/>
    <mergeCell ref="BU252:BW252"/>
    <mergeCell ref="BX252:BY252"/>
    <mergeCell ref="BZ252:CB252"/>
    <mergeCell ref="A253:C255"/>
    <mergeCell ref="D253:E255"/>
    <mergeCell ref="F253:H255"/>
    <mergeCell ref="I253:J255"/>
    <mergeCell ref="K253:M255"/>
    <mergeCell ref="AV252:AX252"/>
    <mergeCell ref="AY252:AZ252"/>
    <mergeCell ref="BA252:BC252"/>
    <mergeCell ref="BD252:BE252"/>
    <mergeCell ref="BF252:BH252"/>
    <mergeCell ref="BI252:BJ252"/>
    <mergeCell ref="U252:V252"/>
    <mergeCell ref="W252:Y252"/>
    <mergeCell ref="Z252:AA252"/>
    <mergeCell ref="AB252:AD252"/>
    <mergeCell ref="AE252:AF252"/>
    <mergeCell ref="AG252:AI252"/>
    <mergeCell ref="BS253:BU255"/>
    <mergeCell ref="BV253:BW255"/>
    <mergeCell ref="BX253:BZ255"/>
    <mergeCell ref="CA253:CB255"/>
    <mergeCell ref="BD253:BF255"/>
    <mergeCell ref="BG253:BH255"/>
    <mergeCell ref="BI253:BK255"/>
    <mergeCell ref="BL253:BM255"/>
    <mergeCell ref="BN253:BP255"/>
    <mergeCell ref="BQ253:BR255"/>
    <mergeCell ref="BS258:BT258"/>
    <mergeCell ref="BT256:BW256"/>
    <mergeCell ref="BX256:BX257"/>
    <mergeCell ref="AW259:AX261"/>
    <mergeCell ref="AY259:BA261"/>
    <mergeCell ref="BB259:BC261"/>
    <mergeCell ref="Z259:AB261"/>
    <mergeCell ref="AC259:AD261"/>
    <mergeCell ref="AE259:AG261"/>
    <mergeCell ref="AH259:AI261"/>
    <mergeCell ref="AJ259:AL261"/>
    <mergeCell ref="AM259:AN261"/>
    <mergeCell ref="BU258:BW258"/>
    <mergeCell ref="BX258:BY258"/>
    <mergeCell ref="BZ258:CB258"/>
    <mergeCell ref="A259:C261"/>
    <mergeCell ref="D259:E261"/>
    <mergeCell ref="F259:H261"/>
    <mergeCell ref="I259:J261"/>
    <mergeCell ref="K259:M261"/>
    <mergeCell ref="N259:O261"/>
    <mergeCell ref="P259:R261"/>
    <mergeCell ref="AQ258:AS258"/>
    <mergeCell ref="AT258:AU258"/>
    <mergeCell ref="AV258:AX258"/>
    <mergeCell ref="AY258:AZ258"/>
    <mergeCell ref="BA258:BC258"/>
    <mergeCell ref="BD258:BE258"/>
    <mergeCell ref="P258:Q258"/>
    <mergeCell ref="R258:T258"/>
    <mergeCell ref="U258:V258"/>
    <mergeCell ref="W258:Y258"/>
    <mergeCell ref="AB258:AD258"/>
    <mergeCell ref="BQ271:BW274"/>
    <mergeCell ref="BQ275:BZ278"/>
    <mergeCell ref="BQ279:BZ280"/>
    <mergeCell ref="BG271:BP280"/>
    <mergeCell ref="AG265:AK268"/>
    <mergeCell ref="AG269:AK270"/>
    <mergeCell ref="BE268:BI268"/>
    <mergeCell ref="A265:C267"/>
    <mergeCell ref="D265:E267"/>
    <mergeCell ref="F265:H267"/>
    <mergeCell ref="I265:J267"/>
    <mergeCell ref="K265:M267"/>
    <mergeCell ref="N265:O267"/>
    <mergeCell ref="BX259:BZ261"/>
    <mergeCell ref="CA259:CB261"/>
    <mergeCell ref="A264:B264"/>
    <mergeCell ref="C264:E264"/>
    <mergeCell ref="F264:G264"/>
    <mergeCell ref="H264:J264"/>
    <mergeCell ref="K264:L264"/>
    <mergeCell ref="M264:O264"/>
    <mergeCell ref="P264:Q264"/>
    <mergeCell ref="R264:T264"/>
    <mergeCell ref="BI259:BK261"/>
    <mergeCell ref="BL259:BM261"/>
    <mergeCell ref="BN259:BP261"/>
    <mergeCell ref="BQ259:BR261"/>
    <mergeCell ref="BS259:BU261"/>
    <mergeCell ref="BV259:BW261"/>
    <mergeCell ref="AO259:AQ261"/>
    <mergeCell ref="AR259:AS261"/>
    <mergeCell ref="AT259:AV261"/>
    <mergeCell ref="AJ321:AL323"/>
    <mergeCell ref="AM321:AO323"/>
    <mergeCell ref="AP321:AS323"/>
    <mergeCell ref="AJ324:AL326"/>
    <mergeCell ref="AM324:AO326"/>
    <mergeCell ref="AP324:AS326"/>
    <mergeCell ref="AJ315:AL317"/>
    <mergeCell ref="AM315:AO317"/>
    <mergeCell ref="AP315:AS317"/>
    <mergeCell ref="AJ318:AL320"/>
    <mergeCell ref="AM318:AO320"/>
    <mergeCell ref="AP318:AS320"/>
    <mergeCell ref="AJ306:AL308"/>
    <mergeCell ref="AJ309:AL311"/>
    <mergeCell ref="AM309:AO311"/>
    <mergeCell ref="AP309:AS311"/>
    <mergeCell ref="AJ312:AL314"/>
    <mergeCell ref="AM312:AO314"/>
    <mergeCell ref="AP312:AS314"/>
    <mergeCell ref="AK290:AM293"/>
    <mergeCell ref="AN290:AO293"/>
    <mergeCell ref="AP290:AQ293"/>
    <mergeCell ref="AU290:BD291"/>
    <mergeCell ref="AU292:BD294"/>
    <mergeCell ref="AZ269:BD270"/>
    <mergeCell ref="AZ265:BD268"/>
    <mergeCell ref="AJ345:AL347"/>
    <mergeCell ref="AM345:AO347"/>
    <mergeCell ref="AP345:AS347"/>
    <mergeCell ref="AJ348:AL350"/>
    <mergeCell ref="AM348:AO350"/>
    <mergeCell ref="AP348:AS350"/>
    <mergeCell ref="AJ339:AL341"/>
    <mergeCell ref="AM339:AO341"/>
    <mergeCell ref="AP339:AS341"/>
    <mergeCell ref="AJ342:AL344"/>
    <mergeCell ref="AM342:AO344"/>
    <mergeCell ref="AP342:AS344"/>
    <mergeCell ref="AM330:AO332"/>
    <mergeCell ref="AP330:AS332"/>
    <mergeCell ref="AJ333:AL335"/>
    <mergeCell ref="AM333:AO335"/>
    <mergeCell ref="AP333:AS335"/>
    <mergeCell ref="AJ336:AL338"/>
    <mergeCell ref="AM336:AO338"/>
    <mergeCell ref="AP336:AS338"/>
    <mergeCell ref="AJ363:AL365"/>
    <mergeCell ref="AM363:AO365"/>
    <mergeCell ref="AP363:AS365"/>
    <mergeCell ref="AJ366:AL368"/>
    <mergeCell ref="AM366:AO368"/>
    <mergeCell ref="AP366:AS368"/>
    <mergeCell ref="AJ357:AL359"/>
    <mergeCell ref="AM357:AO359"/>
    <mergeCell ref="AP357:AS359"/>
    <mergeCell ref="AJ360:AL362"/>
    <mergeCell ref="AM360:AO362"/>
    <mergeCell ref="AP360:AS362"/>
    <mergeCell ref="AJ351:AL353"/>
    <mergeCell ref="AM351:AO353"/>
    <mergeCell ref="AP351:AS353"/>
    <mergeCell ref="AJ354:AL356"/>
    <mergeCell ref="AM354:AO356"/>
    <mergeCell ref="AP354:AS356"/>
    <mergeCell ref="AJ387:AL389"/>
    <mergeCell ref="AM387:AO389"/>
    <mergeCell ref="AP387:AS389"/>
    <mergeCell ref="AP390:AS392"/>
    <mergeCell ref="AJ381:AL383"/>
    <mergeCell ref="AM381:AO383"/>
    <mergeCell ref="AP381:AS383"/>
    <mergeCell ref="AJ384:AL386"/>
    <mergeCell ref="AM384:AO386"/>
    <mergeCell ref="AP384:AS386"/>
    <mergeCell ref="AJ375:AL377"/>
    <mergeCell ref="AM375:AO377"/>
    <mergeCell ref="AP375:AS377"/>
    <mergeCell ref="AJ378:AL380"/>
    <mergeCell ref="AM378:AO380"/>
    <mergeCell ref="AP378:AS380"/>
    <mergeCell ref="AJ369:AL371"/>
    <mergeCell ref="AM369:AO371"/>
    <mergeCell ref="AP369:AS371"/>
    <mergeCell ref="AJ372:AL374"/>
    <mergeCell ref="AM372:AO374"/>
    <mergeCell ref="AP372:AS374"/>
  </mergeCells>
  <pageMargins left="0.9" right="0.35" top="0.95" bottom="0" header="0.3" footer="0.3"/>
  <pageSetup paperSize="8" scale="22" fitToHeight="3" orientation="portrait" r:id="rId1"/>
  <headerFooter>
    <oddFooter>&amp;C&amp;"-,Bold Italic"&amp;16Prepared by Emir Cebecioglu&amp;RQuality Control Department</oddFooter>
  </headerFooter>
  <rowBreaks count="2" manualBreakCount="2">
    <brk id="115" max="80" man="1"/>
    <brk id="233" max="80" man="1"/>
  </rowBreaks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A1474-B0DC-4B35-92AE-659DC6332D5A}">
  <sheetPr>
    <tabColor rgb="FF92D050"/>
    <pageSetUpPr fitToPage="1"/>
  </sheetPr>
  <dimension ref="A1:FP187"/>
  <sheetViews>
    <sheetView view="pageBreakPreview" topLeftCell="A44" zoomScale="70" zoomScaleNormal="55" zoomScaleSheetLayoutView="70" zoomScalePageLayoutView="25" workbookViewId="0">
      <selection activeCell="U15" sqref="U15:Y17"/>
    </sheetView>
  </sheetViews>
  <sheetFormatPr defaultRowHeight="15" x14ac:dyDescent="0.25"/>
  <cols>
    <col min="1" max="1" width="4" customWidth="1"/>
    <col min="2" max="2" width="16" customWidth="1"/>
    <col min="3" max="3" width="4.28515625" customWidth="1"/>
    <col min="4" max="4" width="5.5703125" customWidth="1"/>
    <col min="5" max="5" width="10.28515625" customWidth="1"/>
    <col min="6" max="6" width="4.140625" customWidth="1"/>
    <col min="7" max="7" width="16" customWidth="1"/>
    <col min="8" max="8" width="4.28515625" customWidth="1"/>
    <col min="9" max="9" width="9.140625" customWidth="1"/>
    <col min="10" max="10" width="7.7109375" customWidth="1"/>
    <col min="11" max="11" width="4.140625" customWidth="1"/>
    <col min="12" max="12" width="16" customWidth="1"/>
    <col min="13" max="13" width="4.28515625" customWidth="1"/>
    <col min="14" max="14" width="5.5703125" customWidth="1"/>
    <col min="15" max="15" width="9.85546875" customWidth="1"/>
    <col min="16" max="16" width="4.140625" customWidth="1"/>
    <col min="17" max="17" width="16" customWidth="1"/>
    <col min="18" max="18" width="5" customWidth="1"/>
    <col min="19" max="19" width="8.42578125" customWidth="1"/>
    <col min="20" max="20" width="7.42578125" customWidth="1"/>
    <col min="21" max="21" width="4.140625" customWidth="1"/>
    <col min="22" max="22" width="16" customWidth="1"/>
    <col min="23" max="23" width="4.28515625" customWidth="1"/>
    <col min="24" max="24" width="5.5703125" customWidth="1"/>
    <col min="25" max="25" width="10" customWidth="1"/>
    <col min="26" max="26" width="4.140625" customWidth="1"/>
    <col min="27" max="27" width="16" customWidth="1"/>
    <col min="28" max="28" width="4.28515625" customWidth="1"/>
    <col min="29" max="29" width="9.5703125" customWidth="1"/>
    <col min="30" max="30" width="5.5703125" customWidth="1"/>
    <col min="31" max="31" width="4.140625" customWidth="1"/>
    <col min="32" max="32" width="16" customWidth="1"/>
    <col min="33" max="33" width="4.28515625" customWidth="1"/>
    <col min="34" max="34" width="9.5703125" customWidth="1"/>
    <col min="35" max="35" width="5.5703125" customWidth="1"/>
    <col min="36" max="36" width="4.140625" customWidth="1"/>
    <col min="37" max="37" width="16" customWidth="1"/>
    <col min="38" max="38" width="8.5703125" customWidth="1"/>
    <col min="39" max="40" width="5.5703125" customWidth="1"/>
    <col min="41" max="41" width="4.140625" customWidth="1"/>
    <col min="42" max="42" width="16" customWidth="1"/>
    <col min="43" max="43" width="5.7109375" customWidth="1"/>
    <col min="44" max="44" width="5.5703125" customWidth="1"/>
    <col min="45" max="45" width="8.7109375" customWidth="1"/>
    <col min="46" max="46" width="4.140625" customWidth="1"/>
    <col min="47" max="47" width="16" customWidth="1"/>
    <col min="48" max="48" width="4.28515625" customWidth="1"/>
    <col min="49" max="49" width="5.5703125" customWidth="1"/>
    <col min="50" max="50" width="9.140625" customWidth="1"/>
    <col min="51" max="51" width="4.140625" customWidth="1"/>
    <col min="52" max="52" width="16" customWidth="1"/>
    <col min="53" max="53" width="5.42578125" customWidth="1"/>
    <col min="54" max="54" width="8.140625" customWidth="1"/>
    <col min="55" max="55" width="5.5703125" customWidth="1"/>
    <col min="56" max="56" width="4.140625" customWidth="1"/>
    <col min="57" max="57" width="16" customWidth="1"/>
    <col min="58" max="58" width="4.28515625" customWidth="1"/>
    <col min="59" max="59" width="5.5703125" customWidth="1"/>
    <col min="60" max="60" width="9.85546875" customWidth="1"/>
    <col min="61" max="61" width="4.140625" customWidth="1"/>
    <col min="62" max="62" width="16" customWidth="1"/>
    <col min="63" max="63" width="4.28515625" customWidth="1"/>
    <col min="64" max="64" width="5.5703125" customWidth="1"/>
    <col min="65" max="65" width="10.28515625" customWidth="1"/>
    <col min="66" max="66" width="4.140625" customWidth="1"/>
    <col min="67" max="67" width="16" customWidth="1"/>
    <col min="68" max="68" width="4.28515625" customWidth="1"/>
    <col min="69" max="70" width="5.5703125" customWidth="1"/>
    <col min="71" max="71" width="1" customWidth="1"/>
    <col min="72" max="72" width="56.7109375" customWidth="1"/>
    <col min="73" max="73" width="13" customWidth="1"/>
    <col min="74" max="74" width="7" customWidth="1"/>
  </cols>
  <sheetData>
    <row r="1" spans="1:83" ht="94.5" customHeight="1" thickBot="1" x14ac:dyDescent="0.3">
      <c r="O1" s="512"/>
      <c r="P1" s="512"/>
      <c r="Q1" s="512"/>
      <c r="R1" s="512"/>
      <c r="S1" s="512"/>
      <c r="T1" s="512"/>
      <c r="U1" s="512"/>
      <c r="V1" s="512"/>
      <c r="W1" s="512"/>
      <c r="X1" s="512"/>
      <c r="Y1" s="512"/>
      <c r="Z1" s="512"/>
      <c r="AA1" s="512"/>
      <c r="AB1" s="512"/>
      <c r="AC1" s="512"/>
      <c r="AD1" s="512"/>
      <c r="AE1" s="512"/>
      <c r="AF1" s="512"/>
      <c r="AG1" s="512"/>
      <c r="AH1" s="512"/>
      <c r="AI1" s="512"/>
      <c r="AJ1" s="512"/>
      <c r="AK1" s="512"/>
      <c r="AL1" s="512"/>
      <c r="AM1" s="512"/>
      <c r="AN1" s="512"/>
      <c r="AO1" s="512"/>
      <c r="AP1" s="512"/>
      <c r="AQ1" s="512"/>
      <c r="AR1" s="512"/>
      <c r="AS1" s="512"/>
      <c r="AT1" s="512"/>
      <c r="AU1" s="512"/>
      <c r="AV1" s="512"/>
      <c r="AW1" s="512"/>
      <c r="AX1" s="512"/>
      <c r="AY1" s="512"/>
      <c r="AZ1" s="512"/>
      <c r="BA1" s="512"/>
      <c r="BB1" s="512"/>
    </row>
    <row r="2" spans="1:83" ht="44.25" customHeight="1" thickTop="1" x14ac:dyDescent="0.25">
      <c r="A2" s="582" t="s">
        <v>110</v>
      </c>
      <c r="B2" s="583"/>
      <c r="C2" s="584">
        <f>B7/((42*3.1415/59)*(79/3.281))</f>
        <v>0</v>
      </c>
      <c r="D2" s="584"/>
      <c r="E2" s="585"/>
      <c r="F2" s="582" t="s">
        <v>110</v>
      </c>
      <c r="G2" s="583"/>
      <c r="H2" s="584">
        <f t="shared" ref="H2" si="0">G7/((42*3.1415/59)*(79/3.281))</f>
        <v>4.1039094096731635E-2</v>
      </c>
      <c r="I2" s="584"/>
      <c r="J2" s="585"/>
      <c r="K2" s="582" t="s">
        <v>110</v>
      </c>
      <c r="L2" s="583"/>
      <c r="M2" s="584">
        <f t="shared" ref="M2" si="1">L7/((42*3.1415/59)*(79/3.281))</f>
        <v>1.8571406505897202E-8</v>
      </c>
      <c r="N2" s="584"/>
      <c r="O2" s="585"/>
      <c r="P2" s="582" t="s">
        <v>110</v>
      </c>
      <c r="Q2" s="583"/>
      <c r="R2" s="584">
        <f t="shared" ref="R2" si="2">Q7/((42*3.1415/59)*(79/3.281))</f>
        <v>2.0283690185740926E-2</v>
      </c>
      <c r="S2" s="584"/>
      <c r="T2" s="585"/>
      <c r="U2" s="582" t="s">
        <v>110</v>
      </c>
      <c r="V2" s="583"/>
      <c r="W2" s="584">
        <f t="shared" ref="W2" si="3">V7/((42*3.1415/59)*(79/3.281))</f>
        <v>1.8571406505897204E-17</v>
      </c>
      <c r="X2" s="584"/>
      <c r="Y2" s="585"/>
      <c r="Z2" s="582" t="s">
        <v>110</v>
      </c>
      <c r="AA2" s="583"/>
      <c r="AB2" s="584">
        <f t="shared" ref="AB2" si="4">AA7/((42*3.1415/59)*(79/3.281))</f>
        <v>1.8571406505897201E-9</v>
      </c>
      <c r="AC2" s="584"/>
      <c r="AD2" s="585"/>
      <c r="AE2" s="582" t="s">
        <v>110</v>
      </c>
      <c r="AF2" s="583"/>
      <c r="AG2" s="584">
        <f t="shared" ref="AG2" si="5">AF7/((42*3.1415/59)*(79/3.281))</f>
        <v>2.6887682339237971E-2</v>
      </c>
      <c r="AH2" s="584"/>
      <c r="AI2" s="585"/>
      <c r="AJ2" s="582" t="s">
        <v>110</v>
      </c>
      <c r="AK2" s="583"/>
      <c r="AL2" s="584">
        <f t="shared" ref="AL2" si="6">AK7/((42*3.1415/59)*(79/3.281))</f>
        <v>8.0191333292464126E-3</v>
      </c>
      <c r="AM2" s="584"/>
      <c r="AN2" s="585"/>
      <c r="AO2" s="582" t="s">
        <v>110</v>
      </c>
      <c r="AP2" s="583"/>
      <c r="AQ2" s="584">
        <f t="shared" ref="AQ2" si="7">AP7/((42*3.1415/59)*(79/3.281))</f>
        <v>5.7549074480474256E-2</v>
      </c>
      <c r="AR2" s="584"/>
      <c r="AS2" s="585"/>
      <c r="AT2" s="582" t="s">
        <v>110</v>
      </c>
      <c r="AU2" s="583"/>
      <c r="AV2" s="584">
        <f t="shared" ref="AV2" si="8">AU7/((42*3.1415/59)*(79/3.281))</f>
        <v>2.3585686262489448E-3</v>
      </c>
      <c r="AW2" s="584"/>
      <c r="AX2" s="585"/>
      <c r="AY2" s="600" t="s">
        <v>110</v>
      </c>
      <c r="AZ2" s="601"/>
      <c r="BA2" s="602">
        <f>AZ7/((42*3.1415/59)*(81/3.281))</f>
        <v>1.8112853258838014E-20</v>
      </c>
      <c r="BB2" s="602"/>
      <c r="BC2" s="603"/>
      <c r="BD2" s="600" t="s">
        <v>110</v>
      </c>
      <c r="BE2" s="601"/>
      <c r="BF2" s="602">
        <f t="shared" ref="BF2" si="9">BE7/((42*3.1415/59)*(81/3.281))</f>
        <v>1.8112853258838013E-14</v>
      </c>
      <c r="BG2" s="602"/>
      <c r="BH2" s="603"/>
      <c r="BI2" s="600" t="s">
        <v>110</v>
      </c>
      <c r="BJ2" s="601"/>
      <c r="BK2" s="602">
        <f t="shared" ref="BK2" si="10">BJ7/((42*3.1415/59)*(81/3.281))</f>
        <v>1.7022459492655965E-2</v>
      </c>
      <c r="BL2" s="602"/>
      <c r="BM2" s="603"/>
      <c r="BN2" s="600" t="s">
        <v>110</v>
      </c>
      <c r="BO2" s="601"/>
      <c r="BP2" s="602">
        <f t="shared" ref="BP2" si="11">BO7/((42*3.1415/59)*(81/3.281))</f>
        <v>1.8112853258838014E-19</v>
      </c>
      <c r="BQ2" s="602"/>
      <c r="BR2" s="603"/>
    </row>
    <row r="3" spans="1:83" ht="6.75" customHeight="1" x14ac:dyDescent="0.25">
      <c r="A3" s="679" t="s">
        <v>672</v>
      </c>
      <c r="B3" s="680"/>
      <c r="C3" s="680"/>
      <c r="D3" s="680"/>
      <c r="E3" s="753"/>
      <c r="F3" s="591" t="s">
        <v>672</v>
      </c>
      <c r="G3" s="592"/>
      <c r="H3" s="592"/>
      <c r="I3" s="592"/>
      <c r="J3" s="593"/>
      <c r="K3" s="591" t="s">
        <v>672</v>
      </c>
      <c r="L3" s="592"/>
      <c r="M3" s="592"/>
      <c r="N3" s="592"/>
      <c r="O3" s="593"/>
      <c r="P3" s="591" t="s">
        <v>672</v>
      </c>
      <c r="Q3" s="592"/>
      <c r="R3" s="592"/>
      <c r="S3" s="592"/>
      <c r="T3" s="593"/>
      <c r="U3" s="591" t="s">
        <v>672</v>
      </c>
      <c r="V3" s="592"/>
      <c r="W3" s="592"/>
      <c r="X3" s="592"/>
      <c r="Y3" s="593"/>
      <c r="Z3" s="591" t="s">
        <v>672</v>
      </c>
      <c r="AA3" s="592"/>
      <c r="AB3" s="592"/>
      <c r="AC3" s="592"/>
      <c r="AD3" s="593"/>
      <c r="AE3" s="591" t="s">
        <v>672</v>
      </c>
      <c r="AF3" s="592"/>
      <c r="AG3" s="592"/>
      <c r="AH3" s="592"/>
      <c r="AI3" s="593"/>
      <c r="AJ3" s="591" t="s">
        <v>672</v>
      </c>
      <c r="AK3" s="592"/>
      <c r="AL3" s="592"/>
      <c r="AM3" s="592"/>
      <c r="AN3" s="593"/>
      <c r="AO3" s="591" t="s">
        <v>672</v>
      </c>
      <c r="AP3" s="592"/>
      <c r="AQ3" s="592"/>
      <c r="AR3" s="592"/>
      <c r="AS3" s="593"/>
      <c r="AT3" s="591" t="s">
        <v>672</v>
      </c>
      <c r="AU3" s="592"/>
      <c r="AV3" s="592"/>
      <c r="AW3" s="592"/>
      <c r="AX3" s="593"/>
      <c r="AY3" s="591" t="s">
        <v>672</v>
      </c>
      <c r="AZ3" s="592"/>
      <c r="BA3" s="592"/>
      <c r="BB3" s="592"/>
      <c r="BC3" s="593"/>
      <c r="BD3" s="591" t="s">
        <v>672</v>
      </c>
      <c r="BE3" s="592"/>
      <c r="BF3" s="592"/>
      <c r="BG3" s="592"/>
      <c r="BH3" s="593"/>
      <c r="BI3" s="591" t="s">
        <v>672</v>
      </c>
      <c r="BJ3" s="592"/>
      <c r="BK3" s="592"/>
      <c r="BL3" s="592"/>
      <c r="BM3" s="593"/>
      <c r="BN3" s="591" t="s">
        <v>672</v>
      </c>
      <c r="BO3" s="592"/>
      <c r="BP3" s="592"/>
      <c r="BQ3" s="592"/>
      <c r="BR3" s="593"/>
    </row>
    <row r="4" spans="1:83" ht="18" customHeight="1" x14ac:dyDescent="0.25">
      <c r="A4" s="681"/>
      <c r="B4" s="682"/>
      <c r="C4" s="682"/>
      <c r="D4" s="682"/>
      <c r="E4" s="754"/>
      <c r="F4" s="594"/>
      <c r="G4" s="595"/>
      <c r="H4" s="595"/>
      <c r="I4" s="595"/>
      <c r="J4" s="596"/>
      <c r="K4" s="594"/>
      <c r="L4" s="595"/>
      <c r="M4" s="595"/>
      <c r="N4" s="595"/>
      <c r="O4" s="596"/>
      <c r="P4" s="594"/>
      <c r="Q4" s="595"/>
      <c r="R4" s="595"/>
      <c r="S4" s="595"/>
      <c r="T4" s="596"/>
      <c r="U4" s="594"/>
      <c r="V4" s="595"/>
      <c r="W4" s="595"/>
      <c r="X4" s="595"/>
      <c r="Y4" s="596"/>
      <c r="Z4" s="594"/>
      <c r="AA4" s="595"/>
      <c r="AB4" s="595"/>
      <c r="AC4" s="595"/>
      <c r="AD4" s="596"/>
      <c r="AE4" s="594"/>
      <c r="AF4" s="595"/>
      <c r="AG4" s="595"/>
      <c r="AH4" s="595"/>
      <c r="AI4" s="596"/>
      <c r="AJ4" s="594"/>
      <c r="AK4" s="595"/>
      <c r="AL4" s="595"/>
      <c r="AM4" s="595"/>
      <c r="AN4" s="596"/>
      <c r="AO4" s="594"/>
      <c r="AP4" s="595"/>
      <c r="AQ4" s="595"/>
      <c r="AR4" s="595"/>
      <c r="AS4" s="596"/>
      <c r="AT4" s="594"/>
      <c r="AU4" s="595"/>
      <c r="AV4" s="595"/>
      <c r="AW4" s="595"/>
      <c r="AX4" s="596"/>
      <c r="AY4" s="594"/>
      <c r="AZ4" s="595"/>
      <c r="BA4" s="595"/>
      <c r="BB4" s="595"/>
      <c r="BC4" s="596"/>
      <c r="BD4" s="594"/>
      <c r="BE4" s="595"/>
      <c r="BF4" s="595"/>
      <c r="BG4" s="595"/>
      <c r="BH4" s="596"/>
      <c r="BI4" s="594"/>
      <c r="BJ4" s="595"/>
      <c r="BK4" s="595"/>
      <c r="BL4" s="595"/>
      <c r="BM4" s="596"/>
      <c r="BN4" s="594"/>
      <c r="BO4" s="595"/>
      <c r="BP4" s="595"/>
      <c r="BQ4" s="595"/>
      <c r="BR4" s="596"/>
    </row>
    <row r="5" spans="1:83" ht="6" customHeight="1" x14ac:dyDescent="0.25">
      <c r="A5" s="683"/>
      <c r="B5" s="684"/>
      <c r="C5" s="684"/>
      <c r="D5" s="684"/>
      <c r="E5" s="755"/>
      <c r="F5" s="597"/>
      <c r="G5" s="598"/>
      <c r="H5" s="598"/>
      <c r="I5" s="598"/>
      <c r="J5" s="599"/>
      <c r="K5" s="597"/>
      <c r="L5" s="598"/>
      <c r="M5" s="598"/>
      <c r="N5" s="598"/>
      <c r="O5" s="599"/>
      <c r="P5" s="597"/>
      <c r="Q5" s="598"/>
      <c r="R5" s="598"/>
      <c r="S5" s="598"/>
      <c r="T5" s="599"/>
      <c r="U5" s="597"/>
      <c r="V5" s="598"/>
      <c r="W5" s="598"/>
      <c r="X5" s="598"/>
      <c r="Y5" s="599"/>
      <c r="Z5" s="597"/>
      <c r="AA5" s="598"/>
      <c r="AB5" s="598"/>
      <c r="AC5" s="598"/>
      <c r="AD5" s="599"/>
      <c r="AE5" s="597"/>
      <c r="AF5" s="598"/>
      <c r="AG5" s="598"/>
      <c r="AH5" s="598"/>
      <c r="AI5" s="599"/>
      <c r="AJ5" s="597"/>
      <c r="AK5" s="598"/>
      <c r="AL5" s="598"/>
      <c r="AM5" s="598"/>
      <c r="AN5" s="599"/>
      <c r="AO5" s="597"/>
      <c r="AP5" s="598"/>
      <c r="AQ5" s="598"/>
      <c r="AR5" s="598"/>
      <c r="AS5" s="599"/>
      <c r="AT5" s="597"/>
      <c r="AU5" s="598"/>
      <c r="AV5" s="598"/>
      <c r="AW5" s="598"/>
      <c r="AX5" s="599"/>
      <c r="AY5" s="597"/>
      <c r="AZ5" s="598"/>
      <c r="BA5" s="598"/>
      <c r="BB5" s="598"/>
      <c r="BC5" s="599"/>
      <c r="BD5" s="597"/>
      <c r="BE5" s="598"/>
      <c r="BF5" s="598"/>
      <c r="BG5" s="598"/>
      <c r="BH5" s="599"/>
      <c r="BI5" s="597"/>
      <c r="BJ5" s="598"/>
      <c r="BK5" s="598"/>
      <c r="BL5" s="598"/>
      <c r="BM5" s="599"/>
      <c r="BN5" s="597"/>
      <c r="BO5" s="598"/>
      <c r="BP5" s="598"/>
      <c r="BQ5" s="598"/>
      <c r="BR5" s="599"/>
    </row>
    <row r="6" spans="1:83" s="22" customFormat="1" ht="91.5" customHeight="1" x14ac:dyDescent="1.35">
      <c r="A6" s="586" t="s">
        <v>673</v>
      </c>
      <c r="B6" s="606">
        <v>1</v>
      </c>
      <c r="C6" s="607"/>
      <c r="D6" s="607"/>
      <c r="E6" s="608"/>
      <c r="F6" s="586" t="s">
        <v>673</v>
      </c>
      <c r="G6" s="588">
        <v>2</v>
      </c>
      <c r="H6" s="589"/>
      <c r="I6" s="589"/>
      <c r="J6" s="590"/>
      <c r="K6" s="586" t="s">
        <v>673</v>
      </c>
      <c r="L6" s="588">
        <v>3</v>
      </c>
      <c r="M6" s="589"/>
      <c r="N6" s="589"/>
      <c r="O6" s="590"/>
      <c r="P6" s="586" t="s">
        <v>673</v>
      </c>
      <c r="Q6" s="588">
        <v>4</v>
      </c>
      <c r="R6" s="589"/>
      <c r="S6" s="589"/>
      <c r="T6" s="590"/>
      <c r="U6" s="586" t="s">
        <v>673</v>
      </c>
      <c r="V6" s="588">
        <v>5</v>
      </c>
      <c r="W6" s="589"/>
      <c r="X6" s="589"/>
      <c r="Y6" s="590"/>
      <c r="Z6" s="586" t="s">
        <v>673</v>
      </c>
      <c r="AA6" s="588">
        <v>6</v>
      </c>
      <c r="AB6" s="589"/>
      <c r="AC6" s="589"/>
      <c r="AD6" s="590"/>
      <c r="AE6" s="586" t="s">
        <v>673</v>
      </c>
      <c r="AF6" s="588">
        <v>7</v>
      </c>
      <c r="AG6" s="589"/>
      <c r="AH6" s="589"/>
      <c r="AI6" s="590"/>
      <c r="AJ6" s="586" t="s">
        <v>673</v>
      </c>
      <c r="AK6" s="588">
        <v>8</v>
      </c>
      <c r="AL6" s="589"/>
      <c r="AM6" s="589"/>
      <c r="AN6" s="590"/>
      <c r="AO6" s="586" t="s">
        <v>673</v>
      </c>
      <c r="AP6" s="588">
        <v>41</v>
      </c>
      <c r="AQ6" s="589"/>
      <c r="AR6" s="589"/>
      <c r="AS6" s="590"/>
      <c r="AT6" s="586" t="s">
        <v>673</v>
      </c>
      <c r="AU6" s="588">
        <v>119</v>
      </c>
      <c r="AV6" s="589"/>
      <c r="AW6" s="589"/>
      <c r="AX6" s="590"/>
      <c r="AY6" s="604" t="s">
        <v>325</v>
      </c>
      <c r="AZ6" s="588">
        <v>9</v>
      </c>
      <c r="BA6" s="589"/>
      <c r="BB6" s="589"/>
      <c r="BC6" s="590"/>
      <c r="BD6" s="604" t="s">
        <v>325</v>
      </c>
      <c r="BE6" s="588">
        <v>10</v>
      </c>
      <c r="BF6" s="589"/>
      <c r="BG6" s="589"/>
      <c r="BH6" s="590"/>
      <c r="BI6" s="604" t="s">
        <v>325</v>
      </c>
      <c r="BJ6" s="588">
        <v>11</v>
      </c>
      <c r="BK6" s="589"/>
      <c r="BL6" s="589"/>
      <c r="BM6" s="590"/>
      <c r="BN6" s="604" t="s">
        <v>325</v>
      </c>
      <c r="BO6" s="588">
        <v>13</v>
      </c>
      <c r="BP6" s="589"/>
      <c r="BQ6" s="589"/>
      <c r="BR6" s="590"/>
    </row>
    <row r="7" spans="1:83" ht="50.25" customHeight="1" thickBot="1" x14ac:dyDescent="0.3">
      <c r="A7" s="587"/>
      <c r="B7" s="508"/>
      <c r="C7" s="509" t="s">
        <v>113</v>
      </c>
      <c r="D7" s="510"/>
      <c r="E7" s="511" t="s">
        <v>114</v>
      </c>
      <c r="F7" s="587"/>
      <c r="G7" s="61">
        <v>2.2098</v>
      </c>
      <c r="H7" s="62" t="s">
        <v>113</v>
      </c>
      <c r="I7" s="63">
        <v>1</v>
      </c>
      <c r="J7" s="64" t="s">
        <v>114</v>
      </c>
      <c r="K7" s="587"/>
      <c r="L7" s="61">
        <v>9.9999999999999995E-7</v>
      </c>
      <c r="M7" s="62" t="s">
        <v>113</v>
      </c>
      <c r="N7" s="63"/>
      <c r="O7" s="64" t="s">
        <v>114</v>
      </c>
      <c r="P7" s="587"/>
      <c r="Q7" s="61">
        <v>1.0922000000000001</v>
      </c>
      <c r="R7" s="62" t="s">
        <v>113</v>
      </c>
      <c r="S7" s="63">
        <v>1</v>
      </c>
      <c r="T7" s="64" t="s">
        <v>114</v>
      </c>
      <c r="U7" s="587"/>
      <c r="V7" s="61">
        <v>1.0000000000000001E-15</v>
      </c>
      <c r="W7" s="62" t="s">
        <v>113</v>
      </c>
      <c r="X7" s="63">
        <v>1</v>
      </c>
      <c r="Y7" s="64" t="s">
        <v>114</v>
      </c>
      <c r="Z7" s="587"/>
      <c r="AA7" s="61">
        <v>9.9999999999999995E-8</v>
      </c>
      <c r="AB7" s="62" t="s">
        <v>113</v>
      </c>
      <c r="AC7" s="63"/>
      <c r="AD7" s="64" t="s">
        <v>114</v>
      </c>
      <c r="AE7" s="587"/>
      <c r="AF7" s="61">
        <v>1.4478</v>
      </c>
      <c r="AG7" s="62" t="s">
        <v>113</v>
      </c>
      <c r="AH7" s="63">
        <v>1</v>
      </c>
      <c r="AI7" s="64" t="s">
        <v>114</v>
      </c>
      <c r="AJ7" s="587"/>
      <c r="AK7" s="61">
        <v>0.43180000000000002</v>
      </c>
      <c r="AL7" s="62" t="s">
        <v>113</v>
      </c>
      <c r="AM7" s="63"/>
      <c r="AN7" s="64" t="s">
        <v>114</v>
      </c>
      <c r="AO7" s="587"/>
      <c r="AP7" s="61">
        <v>3.0988000000000002</v>
      </c>
      <c r="AQ7" s="62" t="s">
        <v>113</v>
      </c>
      <c r="AR7" s="63">
        <v>1</v>
      </c>
      <c r="AS7" s="64" t="s">
        <v>114</v>
      </c>
      <c r="AT7" s="587"/>
      <c r="AU7" s="61">
        <v>0.127</v>
      </c>
      <c r="AV7" s="62" t="s">
        <v>113</v>
      </c>
      <c r="AW7" s="63">
        <v>1</v>
      </c>
      <c r="AX7" s="64" t="s">
        <v>114</v>
      </c>
      <c r="AY7" s="605"/>
      <c r="AZ7" s="61">
        <v>1.0000000000000001E-18</v>
      </c>
      <c r="BA7" s="62" t="s">
        <v>113</v>
      </c>
      <c r="BB7" s="63">
        <v>1</v>
      </c>
      <c r="BC7" s="64" t="s">
        <v>114</v>
      </c>
      <c r="BD7" s="605"/>
      <c r="BE7" s="61">
        <v>9.9999999999999998E-13</v>
      </c>
      <c r="BF7" s="62" t="s">
        <v>113</v>
      </c>
      <c r="BG7" s="63"/>
      <c r="BH7" s="64" t="s">
        <v>114</v>
      </c>
      <c r="BI7" s="605"/>
      <c r="BJ7" s="61">
        <v>0.93979999999999997</v>
      </c>
      <c r="BK7" s="62" t="s">
        <v>113</v>
      </c>
      <c r="BL7" s="63">
        <v>1</v>
      </c>
      <c r="BM7" s="64" t="s">
        <v>114</v>
      </c>
      <c r="BN7" s="605"/>
      <c r="BO7" s="61">
        <v>1.0000000000000001E-17</v>
      </c>
      <c r="BP7" s="62" t="s">
        <v>113</v>
      </c>
      <c r="BQ7" s="63">
        <v>1</v>
      </c>
      <c r="BR7" s="64" t="s">
        <v>114</v>
      </c>
      <c r="BW7" s="27"/>
      <c r="BX7" s="27"/>
      <c r="BY7" s="27"/>
      <c r="BZ7" s="27"/>
      <c r="CA7" s="27"/>
      <c r="CB7" s="27"/>
      <c r="CC7" s="27"/>
      <c r="CD7" s="27"/>
      <c r="CE7" s="27"/>
    </row>
    <row r="8" spans="1:83" ht="44.25" customHeight="1" thickTop="1" x14ac:dyDescent="0.25">
      <c r="A8" s="600" t="s">
        <v>110</v>
      </c>
      <c r="B8" s="601"/>
      <c r="C8" s="602">
        <f t="shared" ref="C8" si="12">B13/((42*3.1415/59)*(81/3.281))</f>
        <v>1.4722127128783536E-2</v>
      </c>
      <c r="D8" s="602"/>
      <c r="E8" s="603"/>
      <c r="F8" s="600" t="s">
        <v>110</v>
      </c>
      <c r="G8" s="601"/>
      <c r="H8" s="602">
        <f t="shared" ref="H8" si="13">G13/((42*3.1415/59)*(81/3.281))</f>
        <v>1.748252596543045E-2</v>
      </c>
      <c r="I8" s="602"/>
      <c r="J8" s="603"/>
      <c r="K8" s="600" t="s">
        <v>110</v>
      </c>
      <c r="L8" s="601"/>
      <c r="M8" s="602">
        <f t="shared" ref="M8" si="14">L13/((42*3.1415/59)*(81/3.281))</f>
        <v>4.7846913168546494E-2</v>
      </c>
      <c r="N8" s="602"/>
      <c r="O8" s="603"/>
      <c r="P8" s="600" t="s">
        <v>110</v>
      </c>
      <c r="Q8" s="601"/>
      <c r="R8" s="602">
        <f t="shared" ref="R8" si="15">Q13/((42*3.1415/59)*(81/3.281))</f>
        <v>3.0824453675890529E-2</v>
      </c>
      <c r="S8" s="602"/>
      <c r="T8" s="603"/>
      <c r="U8" s="600" t="s">
        <v>110</v>
      </c>
      <c r="V8" s="601"/>
      <c r="W8" s="602">
        <f t="shared" ref="W8" si="16">V13/((42*3.1415/59)*(81/3.281))</f>
        <v>1.1961728292136624E-2</v>
      </c>
      <c r="X8" s="602"/>
      <c r="Y8" s="603"/>
      <c r="Z8" s="600" t="s">
        <v>110</v>
      </c>
      <c r="AA8" s="601"/>
      <c r="AB8" s="602">
        <f t="shared" ref="AB8" si="17">AA13/((42*3.1415/59)*(81/3.281))</f>
        <v>1.8112853258838014E-15</v>
      </c>
      <c r="AC8" s="602"/>
      <c r="AD8" s="603"/>
      <c r="AE8" s="609" t="s">
        <v>110</v>
      </c>
      <c r="AF8" s="610"/>
      <c r="AG8" s="611">
        <f>AF13/((42*3.1415/59)*(83/3.281))</f>
        <v>1.9755143481545376E-2</v>
      </c>
      <c r="AH8" s="611"/>
      <c r="AI8" s="612"/>
      <c r="AJ8" s="609" t="s">
        <v>110</v>
      </c>
      <c r="AK8" s="610"/>
      <c r="AL8" s="611">
        <f t="shared" ref="AL8" si="18">AK13/((42*3.1415/59)*(83/3.281))</f>
        <v>5.0734800304877904E-2</v>
      </c>
      <c r="AM8" s="611"/>
      <c r="AN8" s="612"/>
      <c r="AO8" s="609" t="s">
        <v>110</v>
      </c>
      <c r="AP8" s="610"/>
      <c r="AQ8" s="611">
        <f t="shared" ref="AQ8" si="19">AP13/((42*3.1415/59)*(83/3.281))</f>
        <v>3.5918442693718869E-2</v>
      </c>
      <c r="AR8" s="611"/>
      <c r="AS8" s="612"/>
      <c r="AT8" s="609" t="s">
        <v>110</v>
      </c>
      <c r="AU8" s="610"/>
      <c r="AV8" s="611">
        <f t="shared" ref="AV8" si="20">AU13/((42*3.1415/59)*(83/3.281))</f>
        <v>1.6612279745844977E-2</v>
      </c>
      <c r="AW8" s="611"/>
      <c r="AX8" s="612"/>
      <c r="AY8" s="609" t="s">
        <v>110</v>
      </c>
      <c r="AZ8" s="610"/>
      <c r="BA8" s="611">
        <f t="shared" ref="BA8" si="21">AZ13/((42*3.1415/59)*(83/3.281))</f>
        <v>1.3918396543816061E-2</v>
      </c>
      <c r="BB8" s="611"/>
      <c r="BC8" s="612"/>
      <c r="BD8" s="609" t="s">
        <v>110</v>
      </c>
      <c r="BE8" s="610"/>
      <c r="BF8" s="611">
        <f t="shared" ref="BF8" si="22">BE13/((42*3.1415/59)*(83/3.281))</f>
        <v>1.7676398963444326E-14</v>
      </c>
      <c r="BG8" s="611"/>
      <c r="BH8" s="612"/>
      <c r="BI8" s="609" t="s">
        <v>110</v>
      </c>
      <c r="BJ8" s="610"/>
      <c r="BK8" s="611">
        <f t="shared" ref="BK8" si="23">BJ13/((42*3.1415/59)*(83/3.281))</f>
        <v>8.5306301397582301E-3</v>
      </c>
      <c r="BL8" s="611"/>
      <c r="BM8" s="612"/>
      <c r="BN8" s="609" t="s">
        <v>110</v>
      </c>
      <c r="BO8" s="610"/>
      <c r="BP8" s="611">
        <f t="shared" ref="BP8" si="24">BO13/((42*3.1415/59)*(83/3.281))</f>
        <v>2.2449026683574293E-3</v>
      </c>
      <c r="BQ8" s="611"/>
      <c r="BR8" s="612"/>
    </row>
    <row r="9" spans="1:83" ht="6.75" customHeight="1" x14ac:dyDescent="0.25">
      <c r="A9" s="591" t="s">
        <v>672</v>
      </c>
      <c r="B9" s="592"/>
      <c r="C9" s="592"/>
      <c r="D9" s="592"/>
      <c r="E9" s="593"/>
      <c r="F9" s="591" t="s">
        <v>672</v>
      </c>
      <c r="G9" s="592"/>
      <c r="H9" s="592"/>
      <c r="I9" s="592"/>
      <c r="J9" s="593"/>
      <c r="K9" s="591" t="s">
        <v>672</v>
      </c>
      <c r="L9" s="592"/>
      <c r="M9" s="592"/>
      <c r="N9" s="592"/>
      <c r="O9" s="593"/>
      <c r="P9" s="591" t="s">
        <v>672</v>
      </c>
      <c r="Q9" s="592"/>
      <c r="R9" s="592"/>
      <c r="S9" s="592"/>
      <c r="T9" s="593"/>
      <c r="U9" s="591" t="s">
        <v>672</v>
      </c>
      <c r="V9" s="592"/>
      <c r="W9" s="592"/>
      <c r="X9" s="592"/>
      <c r="Y9" s="593"/>
      <c r="Z9" s="591" t="s">
        <v>672</v>
      </c>
      <c r="AA9" s="592"/>
      <c r="AB9" s="592"/>
      <c r="AC9" s="592"/>
      <c r="AD9" s="593"/>
      <c r="AE9" s="591" t="s">
        <v>672</v>
      </c>
      <c r="AF9" s="592"/>
      <c r="AG9" s="592"/>
      <c r="AH9" s="592"/>
      <c r="AI9" s="593"/>
      <c r="AJ9" s="591" t="s">
        <v>672</v>
      </c>
      <c r="AK9" s="592"/>
      <c r="AL9" s="592"/>
      <c r="AM9" s="592"/>
      <c r="AN9" s="593"/>
      <c r="AO9" s="591" t="s">
        <v>672</v>
      </c>
      <c r="AP9" s="592"/>
      <c r="AQ9" s="592"/>
      <c r="AR9" s="592"/>
      <c r="AS9" s="593"/>
      <c r="AT9" s="591" t="s">
        <v>672</v>
      </c>
      <c r="AU9" s="592"/>
      <c r="AV9" s="592"/>
      <c r="AW9" s="592"/>
      <c r="AX9" s="593"/>
      <c r="AY9" s="591" t="s">
        <v>672</v>
      </c>
      <c r="AZ9" s="592"/>
      <c r="BA9" s="592"/>
      <c r="BB9" s="592"/>
      <c r="BC9" s="593"/>
      <c r="BD9" s="591" t="s">
        <v>672</v>
      </c>
      <c r="BE9" s="592"/>
      <c r="BF9" s="592"/>
      <c r="BG9" s="592"/>
      <c r="BH9" s="593"/>
      <c r="BI9" s="591" t="s">
        <v>672</v>
      </c>
      <c r="BJ9" s="592"/>
      <c r="BK9" s="592"/>
      <c r="BL9" s="592"/>
      <c r="BM9" s="593"/>
      <c r="BN9" s="591" t="s">
        <v>672</v>
      </c>
      <c r="BO9" s="592"/>
      <c r="BP9" s="592"/>
      <c r="BQ9" s="592"/>
      <c r="BR9" s="593"/>
    </row>
    <row r="10" spans="1:83" ht="15.75" customHeight="1" x14ac:dyDescent="0.25">
      <c r="A10" s="594"/>
      <c r="B10" s="595"/>
      <c r="C10" s="595"/>
      <c r="D10" s="595"/>
      <c r="E10" s="596"/>
      <c r="F10" s="594"/>
      <c r="G10" s="595"/>
      <c r="H10" s="595"/>
      <c r="I10" s="595"/>
      <c r="J10" s="596"/>
      <c r="K10" s="594"/>
      <c r="L10" s="595"/>
      <c r="M10" s="595"/>
      <c r="N10" s="595"/>
      <c r="O10" s="596"/>
      <c r="P10" s="594"/>
      <c r="Q10" s="595"/>
      <c r="R10" s="595"/>
      <c r="S10" s="595"/>
      <c r="T10" s="596"/>
      <c r="U10" s="594"/>
      <c r="V10" s="595"/>
      <c r="W10" s="595"/>
      <c r="X10" s="595"/>
      <c r="Y10" s="596"/>
      <c r="Z10" s="594"/>
      <c r="AA10" s="595"/>
      <c r="AB10" s="595"/>
      <c r="AC10" s="595"/>
      <c r="AD10" s="596"/>
      <c r="AE10" s="594"/>
      <c r="AF10" s="595"/>
      <c r="AG10" s="595"/>
      <c r="AH10" s="595"/>
      <c r="AI10" s="596"/>
      <c r="AJ10" s="594"/>
      <c r="AK10" s="595"/>
      <c r="AL10" s="595"/>
      <c r="AM10" s="595"/>
      <c r="AN10" s="596"/>
      <c r="AO10" s="594"/>
      <c r="AP10" s="595"/>
      <c r="AQ10" s="595"/>
      <c r="AR10" s="595"/>
      <c r="AS10" s="596"/>
      <c r="AT10" s="594"/>
      <c r="AU10" s="595"/>
      <c r="AV10" s="595"/>
      <c r="AW10" s="595"/>
      <c r="AX10" s="596"/>
      <c r="AY10" s="594"/>
      <c r="AZ10" s="595"/>
      <c r="BA10" s="595"/>
      <c r="BB10" s="595"/>
      <c r="BC10" s="596"/>
      <c r="BD10" s="594"/>
      <c r="BE10" s="595"/>
      <c r="BF10" s="595"/>
      <c r="BG10" s="595"/>
      <c r="BH10" s="596"/>
      <c r="BI10" s="594"/>
      <c r="BJ10" s="595"/>
      <c r="BK10" s="595"/>
      <c r="BL10" s="595"/>
      <c r="BM10" s="596"/>
      <c r="BN10" s="594"/>
      <c r="BO10" s="595"/>
      <c r="BP10" s="595"/>
      <c r="BQ10" s="595"/>
      <c r="BR10" s="596"/>
    </row>
    <row r="11" spans="1:83" ht="6" customHeight="1" x14ac:dyDescent="0.25">
      <c r="A11" s="597"/>
      <c r="B11" s="598"/>
      <c r="C11" s="598"/>
      <c r="D11" s="598"/>
      <c r="E11" s="599"/>
      <c r="F11" s="597"/>
      <c r="G11" s="598"/>
      <c r="H11" s="598"/>
      <c r="I11" s="598"/>
      <c r="J11" s="599"/>
      <c r="K11" s="597"/>
      <c r="L11" s="598"/>
      <c r="M11" s="598"/>
      <c r="N11" s="598"/>
      <c r="O11" s="599"/>
      <c r="P11" s="597"/>
      <c r="Q11" s="598"/>
      <c r="R11" s="598"/>
      <c r="S11" s="598"/>
      <c r="T11" s="599"/>
      <c r="U11" s="597"/>
      <c r="V11" s="598"/>
      <c r="W11" s="598"/>
      <c r="X11" s="598"/>
      <c r="Y11" s="599"/>
      <c r="Z11" s="597"/>
      <c r="AA11" s="598"/>
      <c r="AB11" s="598"/>
      <c r="AC11" s="598"/>
      <c r="AD11" s="599"/>
      <c r="AE11" s="597"/>
      <c r="AF11" s="598"/>
      <c r="AG11" s="598"/>
      <c r="AH11" s="598"/>
      <c r="AI11" s="599"/>
      <c r="AJ11" s="597"/>
      <c r="AK11" s="598"/>
      <c r="AL11" s="598"/>
      <c r="AM11" s="598"/>
      <c r="AN11" s="599"/>
      <c r="AO11" s="597"/>
      <c r="AP11" s="598"/>
      <c r="AQ11" s="598"/>
      <c r="AR11" s="598"/>
      <c r="AS11" s="599"/>
      <c r="AT11" s="597"/>
      <c r="AU11" s="598"/>
      <c r="AV11" s="598"/>
      <c r="AW11" s="598"/>
      <c r="AX11" s="599"/>
      <c r="AY11" s="597"/>
      <c r="AZ11" s="598"/>
      <c r="BA11" s="598"/>
      <c r="BB11" s="598"/>
      <c r="BC11" s="599"/>
      <c r="BD11" s="597"/>
      <c r="BE11" s="598"/>
      <c r="BF11" s="598"/>
      <c r="BG11" s="598"/>
      <c r="BH11" s="599"/>
      <c r="BI11" s="597"/>
      <c r="BJ11" s="598"/>
      <c r="BK11" s="598"/>
      <c r="BL11" s="598"/>
      <c r="BM11" s="599"/>
      <c r="BN11" s="597"/>
      <c r="BO11" s="598"/>
      <c r="BP11" s="598"/>
      <c r="BQ11" s="598"/>
      <c r="BR11" s="599"/>
    </row>
    <row r="12" spans="1:83" s="22" customFormat="1" ht="91.5" customHeight="1" x14ac:dyDescent="1.35">
      <c r="A12" s="604" t="s">
        <v>325</v>
      </c>
      <c r="B12" s="588">
        <v>14</v>
      </c>
      <c r="C12" s="589"/>
      <c r="D12" s="589"/>
      <c r="E12" s="590"/>
      <c r="F12" s="604" t="s">
        <v>325</v>
      </c>
      <c r="G12" s="588">
        <v>15</v>
      </c>
      <c r="H12" s="589"/>
      <c r="I12" s="589"/>
      <c r="J12" s="590"/>
      <c r="K12" s="604" t="s">
        <v>325</v>
      </c>
      <c r="L12" s="588">
        <v>16</v>
      </c>
      <c r="M12" s="589"/>
      <c r="N12" s="589"/>
      <c r="O12" s="590"/>
      <c r="P12" s="604" t="s">
        <v>325</v>
      </c>
      <c r="Q12" s="588">
        <v>19</v>
      </c>
      <c r="R12" s="589"/>
      <c r="S12" s="589"/>
      <c r="T12" s="590"/>
      <c r="U12" s="604" t="s">
        <v>325</v>
      </c>
      <c r="V12" s="588">
        <v>20</v>
      </c>
      <c r="W12" s="589"/>
      <c r="X12" s="589"/>
      <c r="Y12" s="590"/>
      <c r="Z12" s="604" t="s">
        <v>325</v>
      </c>
      <c r="AA12" s="588">
        <v>21</v>
      </c>
      <c r="AB12" s="589"/>
      <c r="AC12" s="589"/>
      <c r="AD12" s="590"/>
      <c r="AE12" s="613" t="s">
        <v>674</v>
      </c>
      <c r="AF12" s="588">
        <v>12</v>
      </c>
      <c r="AG12" s="589"/>
      <c r="AH12" s="589"/>
      <c r="AI12" s="590"/>
      <c r="AJ12" s="613" t="s">
        <v>674</v>
      </c>
      <c r="AK12" s="588">
        <v>22</v>
      </c>
      <c r="AL12" s="589"/>
      <c r="AM12" s="589"/>
      <c r="AN12" s="590"/>
      <c r="AO12" s="613" t="s">
        <v>674</v>
      </c>
      <c r="AP12" s="588">
        <v>23</v>
      </c>
      <c r="AQ12" s="589"/>
      <c r="AR12" s="589"/>
      <c r="AS12" s="590"/>
      <c r="AT12" s="613" t="s">
        <v>674</v>
      </c>
      <c r="AU12" s="588">
        <v>24</v>
      </c>
      <c r="AV12" s="589"/>
      <c r="AW12" s="589"/>
      <c r="AX12" s="590"/>
      <c r="AY12" s="613" t="s">
        <v>674</v>
      </c>
      <c r="AZ12" s="588">
        <v>25</v>
      </c>
      <c r="BA12" s="589"/>
      <c r="BB12" s="589"/>
      <c r="BC12" s="590"/>
      <c r="BD12" s="613" t="s">
        <v>674</v>
      </c>
      <c r="BE12" s="588">
        <v>26</v>
      </c>
      <c r="BF12" s="589"/>
      <c r="BG12" s="589"/>
      <c r="BH12" s="590"/>
      <c r="BI12" s="613" t="s">
        <v>674</v>
      </c>
      <c r="BJ12" s="588">
        <v>27</v>
      </c>
      <c r="BK12" s="589"/>
      <c r="BL12" s="589"/>
      <c r="BM12" s="590"/>
      <c r="BN12" s="613" t="s">
        <v>674</v>
      </c>
      <c r="BO12" s="588">
        <v>28</v>
      </c>
      <c r="BP12" s="589"/>
      <c r="BQ12" s="589"/>
      <c r="BR12" s="590"/>
    </row>
    <row r="13" spans="1:83" ht="50.25" customHeight="1" thickBot="1" x14ac:dyDescent="0.3">
      <c r="A13" s="605"/>
      <c r="B13" s="61">
        <v>0.81279999999999997</v>
      </c>
      <c r="C13" s="62" t="s">
        <v>113</v>
      </c>
      <c r="D13" s="63">
        <v>1</v>
      </c>
      <c r="E13" s="64" t="s">
        <v>114</v>
      </c>
      <c r="F13" s="605"/>
      <c r="G13" s="61">
        <v>0.96519999999999995</v>
      </c>
      <c r="H13" s="62" t="s">
        <v>113</v>
      </c>
      <c r="I13" s="63"/>
      <c r="J13" s="64" t="s">
        <v>114</v>
      </c>
      <c r="K13" s="605"/>
      <c r="L13" s="61">
        <v>2.6415999999999999</v>
      </c>
      <c r="M13" s="62" t="s">
        <v>113</v>
      </c>
      <c r="N13" s="63">
        <v>1</v>
      </c>
      <c r="O13" s="64" t="s">
        <v>114</v>
      </c>
      <c r="P13" s="605"/>
      <c r="Q13" s="61">
        <v>1.7018</v>
      </c>
      <c r="R13" s="62" t="s">
        <v>113</v>
      </c>
      <c r="S13" s="63">
        <v>1</v>
      </c>
      <c r="T13" s="64" t="s">
        <v>114</v>
      </c>
      <c r="U13" s="605"/>
      <c r="V13" s="61">
        <v>0.66039999999999999</v>
      </c>
      <c r="W13" s="62" t="s">
        <v>113</v>
      </c>
      <c r="X13" s="63"/>
      <c r="Y13" s="64" t="s">
        <v>114</v>
      </c>
      <c r="Z13" s="605"/>
      <c r="AA13" s="61">
        <v>1E-13</v>
      </c>
      <c r="AB13" s="62" t="s">
        <v>113</v>
      </c>
      <c r="AC13" s="63">
        <v>1</v>
      </c>
      <c r="AD13" s="64" t="s">
        <v>114</v>
      </c>
      <c r="AE13" s="614"/>
      <c r="AF13" s="61">
        <v>1.1175999999999999</v>
      </c>
      <c r="AG13" s="62" t="s">
        <v>113</v>
      </c>
      <c r="AH13" s="63"/>
      <c r="AI13" s="64" t="s">
        <v>114</v>
      </c>
      <c r="AJ13" s="614"/>
      <c r="AK13" s="61">
        <v>2.8702000000000001</v>
      </c>
      <c r="AL13" s="62" t="s">
        <v>113</v>
      </c>
      <c r="AM13" s="63">
        <v>1</v>
      </c>
      <c r="AN13" s="64" t="s">
        <v>114</v>
      </c>
      <c r="AO13" s="614"/>
      <c r="AP13" s="61">
        <v>2.032</v>
      </c>
      <c r="AQ13" s="62" t="s">
        <v>113</v>
      </c>
      <c r="AR13" s="63"/>
      <c r="AS13" s="64" t="s">
        <v>114</v>
      </c>
      <c r="AT13" s="614"/>
      <c r="AU13" s="61">
        <v>0.93979999999999997</v>
      </c>
      <c r="AV13" s="62" t="s">
        <v>113</v>
      </c>
      <c r="AW13" s="63">
        <v>1</v>
      </c>
      <c r="AX13" s="64" t="s">
        <v>114</v>
      </c>
      <c r="AY13" s="614"/>
      <c r="AZ13" s="61">
        <v>0.78739999999999999</v>
      </c>
      <c r="BA13" s="62" t="s">
        <v>113</v>
      </c>
      <c r="BB13" s="63">
        <v>1</v>
      </c>
      <c r="BC13" s="64" t="s">
        <v>114</v>
      </c>
      <c r="BD13" s="614"/>
      <c r="BE13" s="61">
        <v>9.9999999999999998E-13</v>
      </c>
      <c r="BF13" s="62" t="s">
        <v>113</v>
      </c>
      <c r="BG13" s="63"/>
      <c r="BH13" s="64" t="s">
        <v>114</v>
      </c>
      <c r="BI13" s="614"/>
      <c r="BJ13" s="61">
        <v>0.48259999999999997</v>
      </c>
      <c r="BK13" s="62" t="s">
        <v>113</v>
      </c>
      <c r="BL13" s="63">
        <v>1</v>
      </c>
      <c r="BM13" s="64" t="s">
        <v>114</v>
      </c>
      <c r="BN13" s="614"/>
      <c r="BO13" s="61">
        <v>0.127</v>
      </c>
      <c r="BP13" s="62" t="s">
        <v>113</v>
      </c>
      <c r="BQ13" s="63"/>
      <c r="BR13" s="64" t="s">
        <v>114</v>
      </c>
      <c r="BW13" s="27"/>
      <c r="BX13" s="27"/>
      <c r="BY13" s="27"/>
      <c r="BZ13" s="27"/>
      <c r="CA13" s="27"/>
      <c r="CB13" s="27"/>
      <c r="CC13" s="27"/>
      <c r="CD13" s="27"/>
      <c r="CE13" s="27"/>
    </row>
    <row r="14" spans="1:83" ht="42.75" customHeight="1" thickTop="1" x14ac:dyDescent="0.25">
      <c r="A14" s="609" t="s">
        <v>110</v>
      </c>
      <c r="B14" s="610"/>
      <c r="C14" s="611">
        <f t="shared" ref="C14" si="25">B19/((42*3.1415/59)*(83/3.281))</f>
        <v>1.7676398963444326E-14</v>
      </c>
      <c r="D14" s="611"/>
      <c r="E14" s="612"/>
      <c r="F14" s="609" t="s">
        <v>110</v>
      </c>
      <c r="G14" s="610"/>
      <c r="H14" s="611">
        <f t="shared" ref="H14" si="26">G19/((42*3.1415/59)*(83/3.281))</f>
        <v>9.4285912071012026E-3</v>
      </c>
      <c r="I14" s="611"/>
      <c r="J14" s="612"/>
      <c r="K14" s="609" t="s">
        <v>110</v>
      </c>
      <c r="L14" s="610"/>
      <c r="M14" s="611">
        <f t="shared" ref="M14" si="27">L19/((42*3.1415/59)*(83/3.281))</f>
        <v>7.6326690724152595E-3</v>
      </c>
      <c r="N14" s="611"/>
      <c r="O14" s="612"/>
      <c r="P14" s="609" t="s">
        <v>110</v>
      </c>
      <c r="Q14" s="610"/>
      <c r="R14" s="611">
        <f t="shared" ref="R14" si="28">Q19/((42*3.1415/59)*(83/3.281))</f>
        <v>1.7676398963444324E-13</v>
      </c>
      <c r="S14" s="611"/>
      <c r="T14" s="612"/>
      <c r="U14" s="609" t="s">
        <v>110</v>
      </c>
      <c r="V14" s="610"/>
      <c r="W14" s="611">
        <f t="shared" ref="W14" si="29">V19/((42*3.1415/59)*(83/3.281))</f>
        <v>1.7676398963444326E-11</v>
      </c>
      <c r="X14" s="611"/>
      <c r="Y14" s="612"/>
      <c r="Z14" s="609" t="s">
        <v>110</v>
      </c>
      <c r="AA14" s="610"/>
      <c r="AB14" s="611">
        <f t="shared" ref="AB14" si="30">AA19/((42*3.1415/59)*(83/3.281))</f>
        <v>4.8938878170191963E-2</v>
      </c>
      <c r="AC14" s="611"/>
      <c r="AD14" s="612"/>
      <c r="AE14" s="609" t="s">
        <v>110</v>
      </c>
      <c r="AF14" s="610"/>
      <c r="AG14" s="611">
        <f t="shared" ref="AG14" si="31">AF19/((42*3.1415/59)*(83/3.281))</f>
        <v>1.7676398963444324E-13</v>
      </c>
      <c r="AH14" s="611"/>
      <c r="AI14" s="612"/>
      <c r="AJ14" s="609" t="s">
        <v>110</v>
      </c>
      <c r="AK14" s="610"/>
      <c r="AL14" s="611">
        <f t="shared" ref="AL14" si="32">AK19/((42*3.1415/59)*(83/3.281))</f>
        <v>1.7676398963444325E-8</v>
      </c>
      <c r="AM14" s="611"/>
      <c r="AN14" s="612"/>
      <c r="AO14" s="609" t="s">
        <v>110</v>
      </c>
      <c r="AP14" s="610"/>
      <c r="AQ14" s="611">
        <f t="shared" ref="AQ14" si="33">AP19/((42*3.1415/59)*(83/3.281))</f>
        <v>4.938785870386344E-3</v>
      </c>
      <c r="AR14" s="611"/>
      <c r="AS14" s="612"/>
      <c r="AT14" s="609" t="s">
        <v>110</v>
      </c>
      <c r="AU14" s="610"/>
      <c r="AV14" s="611">
        <f t="shared" ref="AV14" si="34">AU19/((42*3.1415/59)*(83/3.281))</f>
        <v>6.2857274714008026E-3</v>
      </c>
      <c r="AW14" s="611"/>
      <c r="AX14" s="612"/>
      <c r="AY14" s="609" t="s">
        <v>110</v>
      </c>
      <c r="AZ14" s="610"/>
      <c r="BA14" s="611">
        <f t="shared" ref="BA14" si="35">AZ19/((42*3.1415/59)*(83/3.281))</f>
        <v>6.7347080050722879E-3</v>
      </c>
      <c r="BB14" s="611"/>
      <c r="BC14" s="612"/>
      <c r="BD14" s="609" t="s">
        <v>110</v>
      </c>
      <c r="BE14" s="610"/>
      <c r="BF14" s="611">
        <f t="shared" ref="BF14" si="36">BE19/((42*3.1415/59)*(83/3.281))</f>
        <v>1.7676398963444325E-12</v>
      </c>
      <c r="BG14" s="611"/>
      <c r="BH14" s="612"/>
      <c r="BI14" s="609" t="s">
        <v>110</v>
      </c>
      <c r="BJ14" s="610"/>
      <c r="BK14" s="611">
        <f t="shared" ref="BK14" si="37">BJ19/((42*3.1415/59)*(83/3.281))</f>
        <v>1.7676398963444324E-13</v>
      </c>
      <c r="BL14" s="611"/>
      <c r="BM14" s="612"/>
      <c r="BN14" s="609" t="s">
        <v>110</v>
      </c>
      <c r="BO14" s="610"/>
      <c r="BP14" s="611">
        <f t="shared" ref="BP14" si="38">BO19/((42*3.1415/59)*(83/3.281))</f>
        <v>1.7676398963444324E-13</v>
      </c>
      <c r="BQ14" s="611"/>
      <c r="BR14" s="612"/>
    </row>
    <row r="15" spans="1:83" ht="10.5" customHeight="1" x14ac:dyDescent="0.25">
      <c r="A15" s="591" t="s">
        <v>672</v>
      </c>
      <c r="B15" s="592"/>
      <c r="C15" s="592"/>
      <c r="D15" s="592"/>
      <c r="E15" s="593"/>
      <c r="F15" s="591" t="s">
        <v>672</v>
      </c>
      <c r="G15" s="592"/>
      <c r="H15" s="592"/>
      <c r="I15" s="592"/>
      <c r="J15" s="593"/>
      <c r="K15" s="756" t="s">
        <v>672</v>
      </c>
      <c r="L15" s="757"/>
      <c r="M15" s="757"/>
      <c r="N15" s="757"/>
      <c r="O15" s="758"/>
      <c r="P15" s="651" t="s">
        <v>672</v>
      </c>
      <c r="Q15" s="652"/>
      <c r="R15" s="652"/>
      <c r="S15" s="652"/>
      <c r="T15" s="653"/>
      <c r="U15" s="591" t="s">
        <v>672</v>
      </c>
      <c r="V15" s="592"/>
      <c r="W15" s="592"/>
      <c r="X15" s="592"/>
      <c r="Y15" s="593"/>
      <c r="Z15" s="591" t="s">
        <v>672</v>
      </c>
      <c r="AA15" s="592"/>
      <c r="AB15" s="592"/>
      <c r="AC15" s="592"/>
      <c r="AD15" s="593"/>
      <c r="AE15" s="591" t="s">
        <v>672</v>
      </c>
      <c r="AF15" s="592"/>
      <c r="AG15" s="592"/>
      <c r="AH15" s="592"/>
      <c r="AI15" s="593"/>
      <c r="AJ15" s="591" t="s">
        <v>672</v>
      </c>
      <c r="AK15" s="592"/>
      <c r="AL15" s="592"/>
      <c r="AM15" s="592"/>
      <c r="AN15" s="593"/>
      <c r="AO15" s="591" t="s">
        <v>672</v>
      </c>
      <c r="AP15" s="592"/>
      <c r="AQ15" s="592"/>
      <c r="AR15" s="592"/>
      <c r="AS15" s="593"/>
      <c r="AT15" s="591" t="s">
        <v>672</v>
      </c>
      <c r="AU15" s="592"/>
      <c r="AV15" s="592"/>
      <c r="AW15" s="592"/>
      <c r="AX15" s="593"/>
      <c r="AY15" s="591" t="s">
        <v>672</v>
      </c>
      <c r="AZ15" s="592"/>
      <c r="BA15" s="592"/>
      <c r="BB15" s="592"/>
      <c r="BC15" s="593"/>
      <c r="BD15" s="591" t="s">
        <v>672</v>
      </c>
      <c r="BE15" s="592"/>
      <c r="BF15" s="592"/>
      <c r="BG15" s="592"/>
      <c r="BH15" s="593"/>
      <c r="BI15" s="591" t="s">
        <v>672</v>
      </c>
      <c r="BJ15" s="592"/>
      <c r="BK15" s="592"/>
      <c r="BL15" s="592"/>
      <c r="BM15" s="593"/>
      <c r="BN15" s="591" t="s">
        <v>672</v>
      </c>
      <c r="BO15" s="592"/>
      <c r="BP15" s="592"/>
      <c r="BQ15" s="592"/>
      <c r="BR15" s="593"/>
    </row>
    <row r="16" spans="1:83" ht="12" customHeight="1" x14ac:dyDescent="0.25">
      <c r="A16" s="594"/>
      <c r="B16" s="595"/>
      <c r="C16" s="595"/>
      <c r="D16" s="595"/>
      <c r="E16" s="596"/>
      <c r="F16" s="594"/>
      <c r="G16" s="595"/>
      <c r="H16" s="595"/>
      <c r="I16" s="595"/>
      <c r="J16" s="596"/>
      <c r="K16" s="759"/>
      <c r="L16" s="760"/>
      <c r="M16" s="760"/>
      <c r="N16" s="760"/>
      <c r="O16" s="761"/>
      <c r="P16" s="654"/>
      <c r="Q16" s="655"/>
      <c r="R16" s="655"/>
      <c r="S16" s="655"/>
      <c r="T16" s="656"/>
      <c r="U16" s="594"/>
      <c r="V16" s="595"/>
      <c r="W16" s="595"/>
      <c r="X16" s="595"/>
      <c r="Y16" s="596"/>
      <c r="Z16" s="594"/>
      <c r="AA16" s="595"/>
      <c r="AB16" s="595"/>
      <c r="AC16" s="595"/>
      <c r="AD16" s="596"/>
      <c r="AE16" s="594"/>
      <c r="AF16" s="595"/>
      <c r="AG16" s="595"/>
      <c r="AH16" s="595"/>
      <c r="AI16" s="596"/>
      <c r="AJ16" s="594"/>
      <c r="AK16" s="595"/>
      <c r="AL16" s="595"/>
      <c r="AM16" s="595"/>
      <c r="AN16" s="596"/>
      <c r="AO16" s="594"/>
      <c r="AP16" s="595"/>
      <c r="AQ16" s="595"/>
      <c r="AR16" s="595"/>
      <c r="AS16" s="596"/>
      <c r="AT16" s="594"/>
      <c r="AU16" s="595"/>
      <c r="AV16" s="595"/>
      <c r="AW16" s="595"/>
      <c r="AX16" s="596"/>
      <c r="AY16" s="594"/>
      <c r="AZ16" s="595"/>
      <c r="BA16" s="595"/>
      <c r="BB16" s="595"/>
      <c r="BC16" s="596"/>
      <c r="BD16" s="594"/>
      <c r="BE16" s="595"/>
      <c r="BF16" s="595"/>
      <c r="BG16" s="595"/>
      <c r="BH16" s="596"/>
      <c r="BI16" s="594"/>
      <c r="BJ16" s="595"/>
      <c r="BK16" s="595"/>
      <c r="BL16" s="595"/>
      <c r="BM16" s="596"/>
      <c r="BN16" s="594"/>
      <c r="BO16" s="595"/>
      <c r="BP16" s="595"/>
      <c r="BQ16" s="595"/>
      <c r="BR16" s="596"/>
    </row>
    <row r="17" spans="1:138" ht="6" customHeight="1" x14ac:dyDescent="0.25">
      <c r="A17" s="597"/>
      <c r="B17" s="598"/>
      <c r="C17" s="598"/>
      <c r="D17" s="598"/>
      <c r="E17" s="599"/>
      <c r="F17" s="597"/>
      <c r="G17" s="598"/>
      <c r="H17" s="598"/>
      <c r="I17" s="598"/>
      <c r="J17" s="599"/>
      <c r="K17" s="762"/>
      <c r="L17" s="763"/>
      <c r="M17" s="763"/>
      <c r="N17" s="763"/>
      <c r="O17" s="764"/>
      <c r="P17" s="657"/>
      <c r="Q17" s="658"/>
      <c r="R17" s="658"/>
      <c r="S17" s="658"/>
      <c r="T17" s="659"/>
      <c r="U17" s="597"/>
      <c r="V17" s="598"/>
      <c r="W17" s="598"/>
      <c r="X17" s="598"/>
      <c r="Y17" s="599"/>
      <c r="Z17" s="597"/>
      <c r="AA17" s="598"/>
      <c r="AB17" s="598"/>
      <c r="AC17" s="598"/>
      <c r="AD17" s="599"/>
      <c r="AE17" s="597"/>
      <c r="AF17" s="598"/>
      <c r="AG17" s="598"/>
      <c r="AH17" s="598"/>
      <c r="AI17" s="599"/>
      <c r="AJ17" s="597"/>
      <c r="AK17" s="598"/>
      <c r="AL17" s="598"/>
      <c r="AM17" s="598"/>
      <c r="AN17" s="599"/>
      <c r="AO17" s="597"/>
      <c r="AP17" s="598"/>
      <c r="AQ17" s="598"/>
      <c r="AR17" s="598"/>
      <c r="AS17" s="599"/>
      <c r="AT17" s="597"/>
      <c r="AU17" s="598"/>
      <c r="AV17" s="598"/>
      <c r="AW17" s="598"/>
      <c r="AX17" s="599"/>
      <c r="AY17" s="597"/>
      <c r="AZ17" s="598"/>
      <c r="BA17" s="598"/>
      <c r="BB17" s="598"/>
      <c r="BC17" s="599"/>
      <c r="BD17" s="597"/>
      <c r="BE17" s="598"/>
      <c r="BF17" s="598"/>
      <c r="BG17" s="598"/>
      <c r="BH17" s="599"/>
      <c r="BI17" s="597"/>
      <c r="BJ17" s="598"/>
      <c r="BK17" s="598"/>
      <c r="BL17" s="598"/>
      <c r="BM17" s="599"/>
      <c r="BN17" s="597"/>
      <c r="BO17" s="598"/>
      <c r="BP17" s="598"/>
      <c r="BQ17" s="598"/>
      <c r="BR17" s="599"/>
    </row>
    <row r="18" spans="1:138" s="22" customFormat="1" ht="91.5" customHeight="1" x14ac:dyDescent="1.35">
      <c r="A18" s="613" t="s">
        <v>674</v>
      </c>
      <c r="B18" s="588">
        <v>29</v>
      </c>
      <c r="C18" s="589"/>
      <c r="D18" s="589"/>
      <c r="E18" s="590"/>
      <c r="F18" s="613" t="s">
        <v>674</v>
      </c>
      <c r="G18" s="588">
        <v>30</v>
      </c>
      <c r="H18" s="589"/>
      <c r="I18" s="589"/>
      <c r="J18" s="590"/>
      <c r="K18" s="613" t="s">
        <v>674</v>
      </c>
      <c r="L18" s="588">
        <v>31</v>
      </c>
      <c r="M18" s="589"/>
      <c r="N18" s="589"/>
      <c r="O18" s="590"/>
      <c r="P18" s="613" t="s">
        <v>674</v>
      </c>
      <c r="Q18" s="588">
        <v>32</v>
      </c>
      <c r="R18" s="589"/>
      <c r="S18" s="589"/>
      <c r="T18" s="590"/>
      <c r="U18" s="613" t="s">
        <v>674</v>
      </c>
      <c r="V18" s="588">
        <v>33</v>
      </c>
      <c r="W18" s="589"/>
      <c r="X18" s="589"/>
      <c r="Y18" s="590"/>
      <c r="Z18" s="613" t="s">
        <v>674</v>
      </c>
      <c r="AA18" s="588">
        <v>34</v>
      </c>
      <c r="AB18" s="589"/>
      <c r="AC18" s="589"/>
      <c r="AD18" s="590"/>
      <c r="AE18" s="613" t="s">
        <v>674</v>
      </c>
      <c r="AF18" s="588">
        <v>35</v>
      </c>
      <c r="AG18" s="589"/>
      <c r="AH18" s="589"/>
      <c r="AI18" s="590"/>
      <c r="AJ18" s="613" t="s">
        <v>674</v>
      </c>
      <c r="AK18" s="588">
        <v>37</v>
      </c>
      <c r="AL18" s="589"/>
      <c r="AM18" s="589"/>
      <c r="AN18" s="590"/>
      <c r="AO18" s="613" t="s">
        <v>674</v>
      </c>
      <c r="AP18" s="588">
        <v>38</v>
      </c>
      <c r="AQ18" s="589"/>
      <c r="AR18" s="589"/>
      <c r="AS18" s="590"/>
      <c r="AT18" s="613" t="s">
        <v>674</v>
      </c>
      <c r="AU18" s="588">
        <v>39</v>
      </c>
      <c r="AV18" s="589"/>
      <c r="AW18" s="589"/>
      <c r="AX18" s="590"/>
      <c r="AY18" s="613" t="s">
        <v>674</v>
      </c>
      <c r="AZ18" s="588">
        <v>40</v>
      </c>
      <c r="BA18" s="589"/>
      <c r="BB18" s="589"/>
      <c r="BC18" s="590"/>
      <c r="BD18" s="613" t="s">
        <v>674</v>
      </c>
      <c r="BE18" s="588">
        <v>42</v>
      </c>
      <c r="BF18" s="589"/>
      <c r="BG18" s="589"/>
      <c r="BH18" s="590"/>
      <c r="BI18" s="613" t="s">
        <v>674</v>
      </c>
      <c r="BJ18" s="588">
        <v>43</v>
      </c>
      <c r="BK18" s="589"/>
      <c r="BL18" s="589"/>
      <c r="BM18" s="590"/>
      <c r="BN18" s="613" t="s">
        <v>674</v>
      </c>
      <c r="BO18" s="588">
        <v>45</v>
      </c>
      <c r="BP18" s="589"/>
      <c r="BQ18" s="589"/>
      <c r="BR18" s="590"/>
    </row>
    <row r="19" spans="1:138" ht="50.25" customHeight="1" thickBot="1" x14ac:dyDescent="0.3">
      <c r="A19" s="614"/>
      <c r="B19" s="61">
        <v>9.9999999999999998E-13</v>
      </c>
      <c r="C19" s="62" t="s">
        <v>113</v>
      </c>
      <c r="D19" s="63">
        <v>1</v>
      </c>
      <c r="E19" s="64" t="s">
        <v>114</v>
      </c>
      <c r="F19" s="614"/>
      <c r="G19" s="61">
        <v>0.53339999999999999</v>
      </c>
      <c r="H19" s="62" t="s">
        <v>113</v>
      </c>
      <c r="I19" s="63">
        <v>1</v>
      </c>
      <c r="J19" s="64" t="s">
        <v>114</v>
      </c>
      <c r="K19" s="614"/>
      <c r="L19" s="61">
        <v>0.43180000000000002</v>
      </c>
      <c r="M19" s="62" t="s">
        <v>113</v>
      </c>
      <c r="N19" s="63"/>
      <c r="O19" s="64" t="s">
        <v>114</v>
      </c>
      <c r="P19" s="614"/>
      <c r="Q19" s="61">
        <v>9.9999999999999994E-12</v>
      </c>
      <c r="R19" s="62" t="s">
        <v>113</v>
      </c>
      <c r="S19" s="63">
        <v>1</v>
      </c>
      <c r="T19" s="64" t="s">
        <v>114</v>
      </c>
      <c r="U19" s="614"/>
      <c r="V19" s="61">
        <v>1.0000000000000001E-9</v>
      </c>
      <c r="W19" s="62" t="s">
        <v>113</v>
      </c>
      <c r="X19" s="63">
        <v>1</v>
      </c>
      <c r="Y19" s="64" t="s">
        <v>114</v>
      </c>
      <c r="Z19" s="614"/>
      <c r="AA19" s="61">
        <v>2.7686000000000002</v>
      </c>
      <c r="AB19" s="62" t="s">
        <v>113</v>
      </c>
      <c r="AC19" s="63"/>
      <c r="AD19" s="64" t="s">
        <v>114</v>
      </c>
      <c r="AE19" s="614"/>
      <c r="AF19" s="61">
        <v>9.9999999999999994E-12</v>
      </c>
      <c r="AG19" s="62" t="s">
        <v>113</v>
      </c>
      <c r="AH19" s="63">
        <v>1</v>
      </c>
      <c r="AI19" s="64" t="s">
        <v>114</v>
      </c>
      <c r="AJ19" s="614"/>
      <c r="AK19" s="61">
        <v>9.9999999999999995E-7</v>
      </c>
      <c r="AL19" s="62" t="s">
        <v>113</v>
      </c>
      <c r="AM19" s="63"/>
      <c r="AN19" s="64" t="s">
        <v>114</v>
      </c>
      <c r="AO19" s="614"/>
      <c r="AP19" s="61">
        <v>0.27939999999999998</v>
      </c>
      <c r="AQ19" s="62" t="s">
        <v>113</v>
      </c>
      <c r="AR19" s="63">
        <v>1</v>
      </c>
      <c r="AS19" s="64" t="s">
        <v>114</v>
      </c>
      <c r="AT19" s="614"/>
      <c r="AU19" s="61">
        <v>0.35560000000000003</v>
      </c>
      <c r="AV19" s="62" t="s">
        <v>113</v>
      </c>
      <c r="AW19" s="63"/>
      <c r="AX19" s="64" t="s">
        <v>114</v>
      </c>
      <c r="AY19" s="614"/>
      <c r="AZ19" s="61">
        <v>0.38100000000000001</v>
      </c>
      <c r="BA19" s="62" t="s">
        <v>113</v>
      </c>
      <c r="BB19" s="63">
        <v>1</v>
      </c>
      <c r="BC19" s="64" t="s">
        <v>114</v>
      </c>
      <c r="BD19" s="614"/>
      <c r="BE19" s="61">
        <v>1E-10</v>
      </c>
      <c r="BF19" s="62" t="s">
        <v>113</v>
      </c>
      <c r="BG19" s="63"/>
      <c r="BH19" s="64" t="s">
        <v>114</v>
      </c>
      <c r="BI19" s="614"/>
      <c r="BJ19" s="61">
        <v>9.9999999999999994E-12</v>
      </c>
      <c r="BK19" s="62" t="s">
        <v>113</v>
      </c>
      <c r="BL19" s="63">
        <v>1</v>
      </c>
      <c r="BM19" s="64" t="s">
        <v>114</v>
      </c>
      <c r="BN19" s="614"/>
      <c r="BO19" s="61">
        <v>9.9999999999999994E-12</v>
      </c>
      <c r="BP19" s="62" t="s">
        <v>113</v>
      </c>
      <c r="BQ19" s="63"/>
      <c r="BR19" s="64" t="s">
        <v>114</v>
      </c>
      <c r="BW19" s="27"/>
      <c r="BX19" s="27"/>
      <c r="BY19" s="27"/>
      <c r="BZ19" s="27"/>
      <c r="CA19" s="27"/>
      <c r="CB19" s="27"/>
      <c r="CC19" s="27"/>
      <c r="CD19" s="27"/>
      <c r="CE19" s="27"/>
    </row>
    <row r="20" spans="1:138" ht="42.75" customHeight="1" thickTop="1" x14ac:dyDescent="0.25">
      <c r="A20" s="609" t="s">
        <v>110</v>
      </c>
      <c r="B20" s="610"/>
      <c r="C20" s="611">
        <f t="shared" ref="C20" si="39">B25/((42*3.1415/59)*(83/3.281))</f>
        <v>8.0816496060867448E-3</v>
      </c>
      <c r="D20" s="611"/>
      <c r="E20" s="612"/>
      <c r="F20" s="609" t="s">
        <v>110</v>
      </c>
      <c r="G20" s="610"/>
      <c r="H20" s="611">
        <f t="shared" ref="H20" si="40">G25/((42*3.1415/59)*(83/3.281))</f>
        <v>2.6489851486617665E-2</v>
      </c>
      <c r="I20" s="611"/>
      <c r="J20" s="612"/>
      <c r="K20" s="609" t="s">
        <v>110</v>
      </c>
      <c r="L20" s="610"/>
      <c r="M20" s="611">
        <f t="shared" ref="M20" si="41">L25/((42*3.1415/59)*(83/3.281))</f>
        <v>1.7676398963444325E-12</v>
      </c>
      <c r="N20" s="611"/>
      <c r="O20" s="612"/>
      <c r="P20" s="609" t="s">
        <v>110</v>
      </c>
      <c r="Q20" s="610"/>
      <c r="R20" s="611">
        <f t="shared" ref="R20" si="42">Q25/((42*3.1415/59)*(83/3.281))</f>
        <v>8.5306301397582301E-3</v>
      </c>
      <c r="S20" s="611"/>
      <c r="T20" s="612"/>
      <c r="U20" s="609" t="s">
        <v>110</v>
      </c>
      <c r="V20" s="610"/>
      <c r="W20" s="611">
        <f t="shared" ref="W20" si="43">V25/((42*3.1415/59)*(83/3.281))</f>
        <v>1.7676398963444325E-16</v>
      </c>
      <c r="X20" s="611"/>
      <c r="Y20" s="612"/>
      <c r="Z20" s="609" t="s">
        <v>110</v>
      </c>
      <c r="AA20" s="610"/>
      <c r="AB20" s="611">
        <f t="shared" ref="AB20" si="44">AA25/((42*3.1415/59)*(83/3.281))</f>
        <v>1.7676398963444324E-13</v>
      </c>
      <c r="AC20" s="611"/>
      <c r="AD20" s="612"/>
      <c r="AE20" s="609" t="s">
        <v>110</v>
      </c>
      <c r="AF20" s="610"/>
      <c r="AG20" s="611">
        <f t="shared" ref="AG20" si="45">AF25/((42*3.1415/59)*(83/3.281))</f>
        <v>4.0408248030433724E-3</v>
      </c>
      <c r="AH20" s="611"/>
      <c r="AI20" s="612"/>
      <c r="AJ20" s="609" t="s">
        <v>110</v>
      </c>
      <c r="AK20" s="610"/>
      <c r="AL20" s="611">
        <f t="shared" ref="AL20" si="46">AK25/((42*3.1415/59)*(83/3.281))</f>
        <v>4.4000092299805608E-2</v>
      </c>
      <c r="AM20" s="611"/>
      <c r="AN20" s="612"/>
      <c r="AO20" s="617" t="s">
        <v>110</v>
      </c>
      <c r="AP20" s="618"/>
      <c r="AQ20" s="619">
        <f>AP25/((42*3.1415/59)*(84/3.281))</f>
        <v>1.0647252655638095E-2</v>
      </c>
      <c r="AR20" s="619"/>
      <c r="AS20" s="620"/>
      <c r="AT20" s="617" t="s">
        <v>110</v>
      </c>
      <c r="AU20" s="618"/>
      <c r="AV20" s="619">
        <f t="shared" ref="AV20" si="47">AU25/((42*3.1415/59)*(84/3.281))</f>
        <v>1.242179476491111E-2</v>
      </c>
      <c r="AW20" s="619"/>
      <c r="AX20" s="620"/>
      <c r="AY20" s="617" t="s">
        <v>110</v>
      </c>
      <c r="AZ20" s="618"/>
      <c r="BA20" s="619">
        <f t="shared" ref="BA20" si="48">AZ25/((42*3.1415/59)*(84/3.281))</f>
        <v>1.7465965642450942E-18</v>
      </c>
      <c r="BB20" s="619"/>
      <c r="BC20" s="620"/>
      <c r="BD20" s="617" t="s">
        <v>110</v>
      </c>
      <c r="BE20" s="618"/>
      <c r="BF20" s="619">
        <f t="shared" ref="BF20" si="49">BE25/((42*3.1415/59)*(84/3.281))</f>
        <v>3.5490842185460312E-3</v>
      </c>
      <c r="BG20" s="619"/>
      <c r="BH20" s="620"/>
      <c r="BI20" s="617" t="s">
        <v>110</v>
      </c>
      <c r="BJ20" s="618"/>
      <c r="BK20" s="619">
        <f t="shared" ref="BK20" si="50">BJ25/((42*3.1415/59)*(84/3.281))</f>
        <v>1.020012393519135E-2</v>
      </c>
      <c r="BL20" s="619"/>
      <c r="BM20" s="620"/>
      <c r="BN20" s="617" t="s">
        <v>110</v>
      </c>
      <c r="BO20" s="618"/>
      <c r="BP20" s="619">
        <f t="shared" ref="BP20" si="51">BO25/((42*3.1415/59)*(84/3.281))</f>
        <v>1.7465965642450943E-12</v>
      </c>
      <c r="BQ20" s="619"/>
      <c r="BR20" s="620"/>
    </row>
    <row r="21" spans="1:138" ht="6.75" customHeight="1" x14ac:dyDescent="0.25">
      <c r="A21" s="591" t="s">
        <v>672</v>
      </c>
      <c r="B21" s="592"/>
      <c r="C21" s="592"/>
      <c r="D21" s="592"/>
      <c r="E21" s="593"/>
      <c r="F21" s="591" t="s">
        <v>672</v>
      </c>
      <c r="G21" s="592"/>
      <c r="H21" s="592"/>
      <c r="I21" s="592"/>
      <c r="J21" s="593"/>
      <c r="K21" s="591" t="s">
        <v>672</v>
      </c>
      <c r="L21" s="592"/>
      <c r="M21" s="592"/>
      <c r="N21" s="592"/>
      <c r="O21" s="593"/>
      <c r="P21" s="591" t="s">
        <v>672</v>
      </c>
      <c r="Q21" s="592"/>
      <c r="R21" s="592"/>
      <c r="S21" s="592"/>
      <c r="T21" s="593"/>
      <c r="U21" s="591" t="s">
        <v>672</v>
      </c>
      <c r="V21" s="592"/>
      <c r="W21" s="592"/>
      <c r="X21" s="592"/>
      <c r="Y21" s="593"/>
      <c r="Z21" s="591" t="s">
        <v>672</v>
      </c>
      <c r="AA21" s="592"/>
      <c r="AB21" s="592"/>
      <c r="AC21" s="592"/>
      <c r="AD21" s="593"/>
      <c r="AE21" s="591" t="s">
        <v>672</v>
      </c>
      <c r="AF21" s="592"/>
      <c r="AG21" s="592"/>
      <c r="AH21" s="592"/>
      <c r="AI21" s="593"/>
      <c r="AJ21" s="591" t="s">
        <v>672</v>
      </c>
      <c r="AK21" s="592"/>
      <c r="AL21" s="592"/>
      <c r="AM21" s="592"/>
      <c r="AN21" s="593"/>
      <c r="AO21" s="591" t="s">
        <v>672</v>
      </c>
      <c r="AP21" s="592"/>
      <c r="AQ21" s="592"/>
      <c r="AR21" s="592"/>
      <c r="AS21" s="593"/>
      <c r="AT21" s="591" t="s">
        <v>672</v>
      </c>
      <c r="AU21" s="592"/>
      <c r="AV21" s="592"/>
      <c r="AW21" s="592"/>
      <c r="AX21" s="593"/>
      <c r="AY21" s="591" t="s">
        <v>672</v>
      </c>
      <c r="AZ21" s="592"/>
      <c r="BA21" s="592"/>
      <c r="BB21" s="592"/>
      <c r="BC21" s="593"/>
      <c r="BD21" s="591" t="s">
        <v>672</v>
      </c>
      <c r="BE21" s="592"/>
      <c r="BF21" s="592"/>
      <c r="BG21" s="592"/>
      <c r="BH21" s="593"/>
      <c r="BI21" s="591" t="s">
        <v>672</v>
      </c>
      <c r="BJ21" s="592"/>
      <c r="BK21" s="592"/>
      <c r="BL21" s="592"/>
      <c r="BM21" s="593"/>
      <c r="BN21" s="591" t="s">
        <v>672</v>
      </c>
      <c r="BO21" s="592"/>
      <c r="BP21" s="592"/>
      <c r="BQ21" s="592"/>
      <c r="BR21" s="593"/>
    </row>
    <row r="22" spans="1:138" ht="18" customHeight="1" x14ac:dyDescent="0.25">
      <c r="A22" s="594"/>
      <c r="B22" s="595"/>
      <c r="C22" s="595"/>
      <c r="D22" s="595"/>
      <c r="E22" s="596"/>
      <c r="F22" s="594"/>
      <c r="G22" s="595"/>
      <c r="H22" s="595"/>
      <c r="I22" s="595"/>
      <c r="J22" s="596"/>
      <c r="K22" s="594"/>
      <c r="L22" s="595"/>
      <c r="M22" s="595"/>
      <c r="N22" s="595"/>
      <c r="O22" s="596"/>
      <c r="P22" s="594"/>
      <c r="Q22" s="595"/>
      <c r="R22" s="595"/>
      <c r="S22" s="595"/>
      <c r="T22" s="596"/>
      <c r="U22" s="594"/>
      <c r="V22" s="595"/>
      <c r="W22" s="595"/>
      <c r="X22" s="595"/>
      <c r="Y22" s="596"/>
      <c r="Z22" s="594"/>
      <c r="AA22" s="595"/>
      <c r="AB22" s="595"/>
      <c r="AC22" s="595"/>
      <c r="AD22" s="596"/>
      <c r="AE22" s="594"/>
      <c r="AF22" s="595"/>
      <c r="AG22" s="595"/>
      <c r="AH22" s="595"/>
      <c r="AI22" s="596"/>
      <c r="AJ22" s="594"/>
      <c r="AK22" s="595"/>
      <c r="AL22" s="595"/>
      <c r="AM22" s="595"/>
      <c r="AN22" s="596"/>
      <c r="AO22" s="594"/>
      <c r="AP22" s="595"/>
      <c r="AQ22" s="595"/>
      <c r="AR22" s="595"/>
      <c r="AS22" s="596"/>
      <c r="AT22" s="594"/>
      <c r="AU22" s="595"/>
      <c r="AV22" s="595"/>
      <c r="AW22" s="595"/>
      <c r="AX22" s="596"/>
      <c r="AY22" s="594"/>
      <c r="AZ22" s="595"/>
      <c r="BA22" s="595"/>
      <c r="BB22" s="595"/>
      <c r="BC22" s="596"/>
      <c r="BD22" s="594"/>
      <c r="BE22" s="595"/>
      <c r="BF22" s="595"/>
      <c r="BG22" s="595"/>
      <c r="BH22" s="596"/>
      <c r="BI22" s="594"/>
      <c r="BJ22" s="595"/>
      <c r="BK22" s="595"/>
      <c r="BL22" s="595"/>
      <c r="BM22" s="596"/>
      <c r="BN22" s="594"/>
      <c r="BO22" s="595"/>
      <c r="BP22" s="595"/>
      <c r="BQ22" s="595"/>
      <c r="BR22" s="596"/>
    </row>
    <row r="23" spans="1:138" ht="6" customHeight="1" x14ac:dyDescent="0.25">
      <c r="A23" s="597"/>
      <c r="B23" s="598"/>
      <c r="C23" s="598"/>
      <c r="D23" s="598"/>
      <c r="E23" s="599"/>
      <c r="F23" s="597"/>
      <c r="G23" s="598"/>
      <c r="H23" s="598"/>
      <c r="I23" s="598"/>
      <c r="J23" s="599"/>
      <c r="K23" s="597"/>
      <c r="L23" s="598"/>
      <c r="M23" s="598"/>
      <c r="N23" s="598"/>
      <c r="O23" s="599"/>
      <c r="P23" s="597"/>
      <c r="Q23" s="598"/>
      <c r="R23" s="598"/>
      <c r="S23" s="598"/>
      <c r="T23" s="599"/>
      <c r="U23" s="597"/>
      <c r="V23" s="598"/>
      <c r="W23" s="598"/>
      <c r="X23" s="598"/>
      <c r="Y23" s="599"/>
      <c r="Z23" s="597"/>
      <c r="AA23" s="598"/>
      <c r="AB23" s="598"/>
      <c r="AC23" s="598"/>
      <c r="AD23" s="599"/>
      <c r="AE23" s="597"/>
      <c r="AF23" s="598"/>
      <c r="AG23" s="598"/>
      <c r="AH23" s="598"/>
      <c r="AI23" s="599"/>
      <c r="AJ23" s="597"/>
      <c r="AK23" s="598"/>
      <c r="AL23" s="598"/>
      <c r="AM23" s="598"/>
      <c r="AN23" s="599"/>
      <c r="AO23" s="597"/>
      <c r="AP23" s="598"/>
      <c r="AQ23" s="598"/>
      <c r="AR23" s="598"/>
      <c r="AS23" s="599"/>
      <c r="AT23" s="597"/>
      <c r="AU23" s="598"/>
      <c r="AV23" s="598"/>
      <c r="AW23" s="598"/>
      <c r="AX23" s="599"/>
      <c r="AY23" s="597"/>
      <c r="AZ23" s="598"/>
      <c r="BA23" s="598"/>
      <c r="BB23" s="598"/>
      <c r="BC23" s="599"/>
      <c r="BD23" s="597"/>
      <c r="BE23" s="598"/>
      <c r="BF23" s="598"/>
      <c r="BG23" s="598"/>
      <c r="BH23" s="599"/>
      <c r="BI23" s="597"/>
      <c r="BJ23" s="598"/>
      <c r="BK23" s="598"/>
      <c r="BL23" s="598"/>
      <c r="BM23" s="599"/>
      <c r="BN23" s="597"/>
      <c r="BO23" s="598"/>
      <c r="BP23" s="598"/>
      <c r="BQ23" s="598"/>
      <c r="BR23" s="599"/>
    </row>
    <row r="24" spans="1:138" s="22" customFormat="1" ht="91.5" customHeight="1" x14ac:dyDescent="1.35">
      <c r="A24" s="613" t="s">
        <v>674</v>
      </c>
      <c r="B24" s="588">
        <v>46</v>
      </c>
      <c r="C24" s="589"/>
      <c r="D24" s="589"/>
      <c r="E24" s="590"/>
      <c r="F24" s="613" t="s">
        <v>674</v>
      </c>
      <c r="G24" s="588">
        <v>47</v>
      </c>
      <c r="H24" s="589"/>
      <c r="I24" s="589"/>
      <c r="J24" s="590"/>
      <c r="K24" s="613" t="s">
        <v>674</v>
      </c>
      <c r="L24" s="588">
        <v>48</v>
      </c>
      <c r="M24" s="589"/>
      <c r="N24" s="589"/>
      <c r="O24" s="590"/>
      <c r="P24" s="613" t="s">
        <v>674</v>
      </c>
      <c r="Q24" s="588">
        <v>49</v>
      </c>
      <c r="R24" s="589"/>
      <c r="S24" s="589"/>
      <c r="T24" s="590"/>
      <c r="U24" s="613" t="s">
        <v>674</v>
      </c>
      <c r="V24" s="588">
        <v>50</v>
      </c>
      <c r="W24" s="589"/>
      <c r="X24" s="589"/>
      <c r="Y24" s="590"/>
      <c r="Z24" s="613" t="s">
        <v>674</v>
      </c>
      <c r="AA24" s="588">
        <v>51</v>
      </c>
      <c r="AB24" s="589"/>
      <c r="AC24" s="589"/>
      <c r="AD24" s="590"/>
      <c r="AE24" s="613" t="s">
        <v>674</v>
      </c>
      <c r="AF24" s="588">
        <v>61</v>
      </c>
      <c r="AG24" s="589"/>
      <c r="AH24" s="589"/>
      <c r="AI24" s="590"/>
      <c r="AJ24" s="613" t="s">
        <v>674</v>
      </c>
      <c r="AK24" s="588">
        <v>77</v>
      </c>
      <c r="AL24" s="589"/>
      <c r="AM24" s="589"/>
      <c r="AN24" s="590"/>
      <c r="AO24" s="615" t="s">
        <v>675</v>
      </c>
      <c r="AP24" s="588">
        <v>17</v>
      </c>
      <c r="AQ24" s="589"/>
      <c r="AR24" s="589"/>
      <c r="AS24" s="590"/>
      <c r="AT24" s="615" t="s">
        <v>675</v>
      </c>
      <c r="AU24" s="588">
        <v>18</v>
      </c>
      <c r="AV24" s="589"/>
      <c r="AW24" s="589"/>
      <c r="AX24" s="590"/>
      <c r="AY24" s="615" t="s">
        <v>675</v>
      </c>
      <c r="AZ24" s="588">
        <v>36</v>
      </c>
      <c r="BA24" s="589"/>
      <c r="BB24" s="589"/>
      <c r="BC24" s="590"/>
      <c r="BD24" s="615" t="s">
        <v>675</v>
      </c>
      <c r="BE24" s="588">
        <v>52</v>
      </c>
      <c r="BF24" s="589"/>
      <c r="BG24" s="589"/>
      <c r="BH24" s="590"/>
      <c r="BI24" s="615" t="s">
        <v>675</v>
      </c>
      <c r="BJ24" s="588">
        <v>53</v>
      </c>
      <c r="BK24" s="589"/>
      <c r="BL24" s="589"/>
      <c r="BM24" s="590"/>
      <c r="BN24" s="615" t="s">
        <v>675</v>
      </c>
      <c r="BO24" s="588">
        <v>54</v>
      </c>
      <c r="BP24" s="589"/>
      <c r="BQ24" s="589"/>
      <c r="BR24" s="590"/>
    </row>
    <row r="25" spans="1:138" ht="50.25" customHeight="1" thickBot="1" x14ac:dyDescent="0.3">
      <c r="A25" s="614"/>
      <c r="B25" s="61">
        <v>0.4572</v>
      </c>
      <c r="C25" s="62" t="s">
        <v>113</v>
      </c>
      <c r="D25" s="63">
        <v>1</v>
      </c>
      <c r="E25" s="64" t="s">
        <v>114</v>
      </c>
      <c r="F25" s="614"/>
      <c r="G25" s="61">
        <v>1.4985999999999999</v>
      </c>
      <c r="H25" s="62" t="s">
        <v>113</v>
      </c>
      <c r="I25" s="63"/>
      <c r="J25" s="64" t="s">
        <v>114</v>
      </c>
      <c r="K25" s="614"/>
      <c r="L25" s="61">
        <v>1E-10</v>
      </c>
      <c r="M25" s="62" t="s">
        <v>113</v>
      </c>
      <c r="N25" s="63">
        <v>1</v>
      </c>
      <c r="O25" s="64" t="s">
        <v>114</v>
      </c>
      <c r="P25" s="614"/>
      <c r="Q25" s="61">
        <v>0.48259999999999997</v>
      </c>
      <c r="R25" s="62" t="s">
        <v>113</v>
      </c>
      <c r="S25" s="63">
        <v>1</v>
      </c>
      <c r="T25" s="64" t="s">
        <v>114</v>
      </c>
      <c r="U25" s="614"/>
      <c r="V25" s="61">
        <v>1E-14</v>
      </c>
      <c r="W25" s="62" t="s">
        <v>113</v>
      </c>
      <c r="X25" s="63"/>
      <c r="Y25" s="64" t="s">
        <v>114</v>
      </c>
      <c r="Z25" s="614"/>
      <c r="AA25" s="61">
        <v>9.9999999999999994E-12</v>
      </c>
      <c r="AB25" s="62" t="s">
        <v>113</v>
      </c>
      <c r="AC25" s="63">
        <v>1</v>
      </c>
      <c r="AD25" s="64" t="s">
        <v>114</v>
      </c>
      <c r="AE25" s="614"/>
      <c r="AF25" s="61">
        <v>0.2286</v>
      </c>
      <c r="AG25" s="62" t="s">
        <v>113</v>
      </c>
      <c r="AH25" s="63"/>
      <c r="AI25" s="64" t="s">
        <v>114</v>
      </c>
      <c r="AJ25" s="614"/>
      <c r="AK25" s="61">
        <v>2.4891999999999999</v>
      </c>
      <c r="AL25" s="62" t="s">
        <v>113</v>
      </c>
      <c r="AM25" s="63">
        <v>1</v>
      </c>
      <c r="AN25" s="64" t="s">
        <v>114</v>
      </c>
      <c r="AO25" s="616"/>
      <c r="AP25" s="61">
        <v>0.60960000000000003</v>
      </c>
      <c r="AQ25" s="62" t="s">
        <v>113</v>
      </c>
      <c r="AR25" s="63"/>
      <c r="AS25" s="64" t="s">
        <v>114</v>
      </c>
      <c r="AT25" s="616"/>
      <c r="AU25" s="61">
        <v>0.71120000000000005</v>
      </c>
      <c r="AV25" s="62" t="s">
        <v>113</v>
      </c>
      <c r="AW25" s="63"/>
      <c r="AX25" s="64" t="s">
        <v>114</v>
      </c>
      <c r="AY25" s="616"/>
      <c r="AZ25" s="61">
        <v>9.9999999999999998E-17</v>
      </c>
      <c r="BA25" s="62" t="s">
        <v>113</v>
      </c>
      <c r="BB25" s="63">
        <v>1</v>
      </c>
      <c r="BC25" s="64" t="s">
        <v>114</v>
      </c>
      <c r="BD25" s="616"/>
      <c r="BE25" s="61">
        <v>0.20319999999999999</v>
      </c>
      <c r="BF25" s="62" t="s">
        <v>113</v>
      </c>
      <c r="BG25" s="63">
        <v>1</v>
      </c>
      <c r="BH25" s="64" t="s">
        <v>114</v>
      </c>
      <c r="BI25" s="616"/>
      <c r="BJ25" s="61">
        <v>0.58399999999999996</v>
      </c>
      <c r="BK25" s="62" t="s">
        <v>113</v>
      </c>
      <c r="BL25" s="63"/>
      <c r="BM25" s="64" t="s">
        <v>114</v>
      </c>
      <c r="BN25" s="616"/>
      <c r="BO25" s="61">
        <v>1E-10</v>
      </c>
      <c r="BP25" s="62" t="s">
        <v>113</v>
      </c>
      <c r="BQ25" s="63">
        <v>1</v>
      </c>
      <c r="BR25" s="64" t="s">
        <v>114</v>
      </c>
      <c r="BW25" s="27"/>
      <c r="BX25" s="27"/>
      <c r="BY25" s="27"/>
      <c r="BZ25" s="27"/>
      <c r="CA25" s="27"/>
      <c r="CB25" s="27"/>
      <c r="CC25" s="27"/>
      <c r="CD25" s="27"/>
      <c r="CE25" s="27"/>
    </row>
    <row r="26" spans="1:138" ht="42.75" customHeight="1" thickTop="1" x14ac:dyDescent="0.25">
      <c r="A26" s="617" t="s">
        <v>110</v>
      </c>
      <c r="B26" s="618"/>
      <c r="C26" s="619">
        <f t="shared" ref="C26" si="52">B31/((42*3.1415/59)*(84/3.281))</f>
        <v>0</v>
      </c>
      <c r="D26" s="619"/>
      <c r="E26" s="620"/>
      <c r="F26" s="617" t="s">
        <v>110</v>
      </c>
      <c r="G26" s="618"/>
      <c r="H26" s="619">
        <f t="shared" ref="H26" si="53">G31/((42*3.1415/59)*(84/3.281))</f>
        <v>3.1927785194400322E-2</v>
      </c>
      <c r="I26" s="619"/>
      <c r="J26" s="620"/>
      <c r="K26" s="617" t="s">
        <v>110</v>
      </c>
      <c r="L26" s="618"/>
      <c r="M26" s="619">
        <f t="shared" ref="M26" si="54">L31/((42*3.1415/59)*(84/3.281))</f>
        <v>2.1294505311276191E-2</v>
      </c>
      <c r="N26" s="619"/>
      <c r="O26" s="620"/>
      <c r="P26" s="617" t="s">
        <v>110</v>
      </c>
      <c r="Q26" s="618"/>
      <c r="R26" s="619">
        <f t="shared" ref="R26" si="55">Q31/((42*3.1415/59)*(84/3.281))</f>
        <v>1.9963598729321425E-2</v>
      </c>
      <c r="S26" s="619"/>
      <c r="T26" s="620"/>
      <c r="U26" s="630" t="s">
        <v>110</v>
      </c>
      <c r="V26" s="631"/>
      <c r="W26" s="632">
        <f>V31/((42*3.1415/59)*(85/3.281))</f>
        <v>2.4112895720121565E-2</v>
      </c>
      <c r="X26" s="632"/>
      <c r="Y26" s="633"/>
      <c r="Z26" s="630" t="s">
        <v>110</v>
      </c>
      <c r="AA26" s="631"/>
      <c r="AB26" s="632">
        <f t="shared" ref="AB26" si="56">AA31/((42*3.1415/59)*(85/3.281))</f>
        <v>6.5762442873058815E-3</v>
      </c>
      <c r="AC26" s="632"/>
      <c r="AD26" s="633"/>
      <c r="AE26" s="630" t="s">
        <v>110</v>
      </c>
      <c r="AF26" s="631"/>
      <c r="AG26" s="632">
        <f t="shared" ref="AG26" si="57">AF31/((42*3.1415/59)*(85/3.281))</f>
        <v>1.5782986289534114E-2</v>
      </c>
      <c r="AH26" s="632"/>
      <c r="AI26" s="633"/>
      <c r="AJ26" s="630" t="s">
        <v>110</v>
      </c>
      <c r="AK26" s="631"/>
      <c r="AL26" s="632">
        <f t="shared" ref="AL26" si="58">AK31/((42*3.1415/59)*(85/3.281))</f>
        <v>1.052199085968941E-2</v>
      </c>
      <c r="AM26" s="632"/>
      <c r="AN26" s="633"/>
      <c r="AO26" s="630" t="s">
        <v>110</v>
      </c>
      <c r="AP26" s="631"/>
      <c r="AQ26" s="632">
        <f t="shared" ref="AQ26" si="59">AP31/((42*3.1415/59)*(85/3.281))</f>
        <v>6.0939863729034503E-2</v>
      </c>
      <c r="AR26" s="632"/>
      <c r="AS26" s="633"/>
      <c r="AT26" s="630" t="s">
        <v>110</v>
      </c>
      <c r="AU26" s="631"/>
      <c r="AV26" s="632">
        <f t="shared" ref="AV26" si="60">AU31/((42*3.1415/59)*(85/3.281))</f>
        <v>0.10083574573869017</v>
      </c>
      <c r="AW26" s="632"/>
      <c r="AX26" s="633"/>
      <c r="AY26" s="630" t="s">
        <v>110</v>
      </c>
      <c r="AZ26" s="631"/>
      <c r="BA26" s="632">
        <f t="shared" ref="BA26" si="61">AZ31/((42*3.1415/59)*(85/3.281))</f>
        <v>1.6659818861174899E-2</v>
      </c>
      <c r="BB26" s="632"/>
      <c r="BC26" s="633"/>
      <c r="BD26" s="630" t="s">
        <v>110</v>
      </c>
      <c r="BE26" s="631"/>
      <c r="BF26" s="632">
        <f t="shared" ref="BF26" si="62">BE31/((42*3.1415/59)*(85/3.281))</f>
        <v>1.7260483693716224E-15</v>
      </c>
      <c r="BG26" s="632"/>
      <c r="BH26" s="633"/>
      <c r="BI26" s="630" t="s">
        <v>110</v>
      </c>
      <c r="BJ26" s="631"/>
      <c r="BK26" s="632">
        <f t="shared" ref="BK26" si="63">BJ31/((42*3.1415/59)*(85/3.281))</f>
        <v>9.2067420022282336E-3</v>
      </c>
      <c r="BL26" s="632"/>
      <c r="BM26" s="633"/>
      <c r="BN26" s="630" t="s">
        <v>110</v>
      </c>
      <c r="BO26" s="631"/>
      <c r="BP26" s="632">
        <f t="shared" ref="BP26" si="64">BO31/((42*3.1415/59)*(85/3.281))</f>
        <v>1.7260483693716224E-13</v>
      </c>
      <c r="BQ26" s="632"/>
      <c r="BR26" s="633"/>
    </row>
    <row r="27" spans="1:138" ht="6.75" customHeight="1" x14ac:dyDescent="0.25">
      <c r="A27" s="765" t="s">
        <v>672</v>
      </c>
      <c r="B27" s="766"/>
      <c r="C27" s="766"/>
      <c r="D27" s="766"/>
      <c r="E27" s="767"/>
      <c r="F27" s="591" t="s">
        <v>672</v>
      </c>
      <c r="G27" s="592"/>
      <c r="H27" s="592"/>
      <c r="I27" s="592"/>
      <c r="J27" s="593"/>
      <c r="K27" s="591" t="s">
        <v>672</v>
      </c>
      <c r="L27" s="592"/>
      <c r="M27" s="592"/>
      <c r="N27" s="592"/>
      <c r="O27" s="593"/>
      <c r="P27" s="591" t="s">
        <v>672</v>
      </c>
      <c r="Q27" s="592"/>
      <c r="R27" s="592"/>
      <c r="S27" s="592"/>
      <c r="T27" s="593"/>
      <c r="U27" s="591" t="s">
        <v>672</v>
      </c>
      <c r="V27" s="592"/>
      <c r="W27" s="592"/>
      <c r="X27" s="592"/>
      <c r="Y27" s="593"/>
      <c r="Z27" s="591" t="s">
        <v>672</v>
      </c>
      <c r="AA27" s="592"/>
      <c r="AB27" s="592"/>
      <c r="AC27" s="592"/>
      <c r="AD27" s="593"/>
      <c r="AE27" s="591" t="s">
        <v>672</v>
      </c>
      <c r="AF27" s="592"/>
      <c r="AG27" s="592"/>
      <c r="AH27" s="592"/>
      <c r="AI27" s="593"/>
      <c r="AJ27" s="591" t="s">
        <v>672</v>
      </c>
      <c r="AK27" s="592"/>
      <c r="AL27" s="592"/>
      <c r="AM27" s="592"/>
      <c r="AN27" s="593"/>
      <c r="AO27" s="591" t="s">
        <v>672</v>
      </c>
      <c r="AP27" s="592"/>
      <c r="AQ27" s="592"/>
      <c r="AR27" s="592"/>
      <c r="AS27" s="593"/>
      <c r="AT27" s="621" t="s">
        <v>672</v>
      </c>
      <c r="AU27" s="622"/>
      <c r="AV27" s="622"/>
      <c r="AW27" s="622"/>
      <c r="AX27" s="623"/>
      <c r="AY27" s="591" t="s">
        <v>672</v>
      </c>
      <c r="AZ27" s="592"/>
      <c r="BA27" s="592"/>
      <c r="BB27" s="592"/>
      <c r="BC27" s="593"/>
      <c r="BD27" s="591" t="s">
        <v>672</v>
      </c>
      <c r="BE27" s="592"/>
      <c r="BF27" s="592"/>
      <c r="BG27" s="592"/>
      <c r="BH27" s="593"/>
      <c r="BI27" s="591" t="s">
        <v>672</v>
      </c>
      <c r="BJ27" s="592"/>
      <c r="BK27" s="592"/>
      <c r="BL27" s="592"/>
      <c r="BM27" s="593"/>
      <c r="BN27" s="591" t="s">
        <v>672</v>
      </c>
      <c r="BO27" s="592"/>
      <c r="BP27" s="592"/>
      <c r="BQ27" s="592"/>
      <c r="BR27" s="593"/>
    </row>
    <row r="28" spans="1:138" ht="14.25" customHeight="1" x14ac:dyDescent="0.25">
      <c r="A28" s="768"/>
      <c r="B28" s="769"/>
      <c r="C28" s="769"/>
      <c r="D28" s="769"/>
      <c r="E28" s="770"/>
      <c r="F28" s="594"/>
      <c r="G28" s="595"/>
      <c r="H28" s="595"/>
      <c r="I28" s="595"/>
      <c r="J28" s="596"/>
      <c r="K28" s="594"/>
      <c r="L28" s="595"/>
      <c r="M28" s="595"/>
      <c r="N28" s="595"/>
      <c r="O28" s="596"/>
      <c r="P28" s="594"/>
      <c r="Q28" s="595"/>
      <c r="R28" s="595"/>
      <c r="S28" s="595"/>
      <c r="T28" s="596"/>
      <c r="U28" s="594"/>
      <c r="V28" s="595"/>
      <c r="W28" s="595"/>
      <c r="X28" s="595"/>
      <c r="Y28" s="596"/>
      <c r="Z28" s="594"/>
      <c r="AA28" s="595"/>
      <c r="AB28" s="595"/>
      <c r="AC28" s="595"/>
      <c r="AD28" s="596"/>
      <c r="AE28" s="594"/>
      <c r="AF28" s="595"/>
      <c r="AG28" s="595"/>
      <c r="AH28" s="595"/>
      <c r="AI28" s="596"/>
      <c r="AJ28" s="594"/>
      <c r="AK28" s="595"/>
      <c r="AL28" s="595"/>
      <c r="AM28" s="595"/>
      <c r="AN28" s="596"/>
      <c r="AO28" s="594"/>
      <c r="AP28" s="595"/>
      <c r="AQ28" s="595"/>
      <c r="AR28" s="595"/>
      <c r="AS28" s="596"/>
      <c r="AT28" s="624"/>
      <c r="AU28" s="625"/>
      <c r="AV28" s="625"/>
      <c r="AW28" s="625"/>
      <c r="AX28" s="626"/>
      <c r="AY28" s="594"/>
      <c r="AZ28" s="595"/>
      <c r="BA28" s="595"/>
      <c r="BB28" s="595"/>
      <c r="BC28" s="596"/>
      <c r="BD28" s="594"/>
      <c r="BE28" s="595"/>
      <c r="BF28" s="595"/>
      <c r="BG28" s="595"/>
      <c r="BH28" s="596"/>
      <c r="BI28" s="594"/>
      <c r="BJ28" s="595"/>
      <c r="BK28" s="595"/>
      <c r="BL28" s="595"/>
      <c r="BM28" s="596"/>
      <c r="BN28" s="594"/>
      <c r="BO28" s="595"/>
      <c r="BP28" s="595"/>
      <c r="BQ28" s="595"/>
      <c r="BR28" s="596"/>
      <c r="ED28" s="13"/>
      <c r="EE28" s="13"/>
      <c r="EF28" s="13"/>
      <c r="EG28" s="13"/>
      <c r="EH28" s="13"/>
    </row>
    <row r="29" spans="1:138" ht="6" customHeight="1" x14ac:dyDescent="0.25">
      <c r="A29" s="771"/>
      <c r="B29" s="772"/>
      <c r="C29" s="772"/>
      <c r="D29" s="772"/>
      <c r="E29" s="773"/>
      <c r="F29" s="597"/>
      <c r="G29" s="598"/>
      <c r="H29" s="598"/>
      <c r="I29" s="598"/>
      <c r="J29" s="599"/>
      <c r="K29" s="597"/>
      <c r="L29" s="598"/>
      <c r="M29" s="598"/>
      <c r="N29" s="598"/>
      <c r="O29" s="599"/>
      <c r="P29" s="597"/>
      <c r="Q29" s="598"/>
      <c r="R29" s="598"/>
      <c r="S29" s="598"/>
      <c r="T29" s="599"/>
      <c r="U29" s="597"/>
      <c r="V29" s="598"/>
      <c r="W29" s="598"/>
      <c r="X29" s="598"/>
      <c r="Y29" s="599"/>
      <c r="Z29" s="597"/>
      <c r="AA29" s="598"/>
      <c r="AB29" s="598"/>
      <c r="AC29" s="598"/>
      <c r="AD29" s="599"/>
      <c r="AE29" s="597"/>
      <c r="AF29" s="598"/>
      <c r="AG29" s="598"/>
      <c r="AH29" s="598"/>
      <c r="AI29" s="599"/>
      <c r="AJ29" s="597"/>
      <c r="AK29" s="598"/>
      <c r="AL29" s="598"/>
      <c r="AM29" s="598"/>
      <c r="AN29" s="599"/>
      <c r="AO29" s="597"/>
      <c r="AP29" s="598"/>
      <c r="AQ29" s="598"/>
      <c r="AR29" s="598"/>
      <c r="AS29" s="599"/>
      <c r="AT29" s="627"/>
      <c r="AU29" s="628"/>
      <c r="AV29" s="628"/>
      <c r="AW29" s="628"/>
      <c r="AX29" s="629"/>
      <c r="AY29" s="597"/>
      <c r="AZ29" s="598"/>
      <c r="BA29" s="598"/>
      <c r="BB29" s="598"/>
      <c r="BC29" s="599"/>
      <c r="BD29" s="597"/>
      <c r="BE29" s="598"/>
      <c r="BF29" s="598"/>
      <c r="BG29" s="598"/>
      <c r="BH29" s="599"/>
      <c r="BI29" s="597"/>
      <c r="BJ29" s="598"/>
      <c r="BK29" s="598"/>
      <c r="BL29" s="598"/>
      <c r="BM29" s="599"/>
      <c r="BN29" s="597"/>
      <c r="BO29" s="598"/>
      <c r="BP29" s="598"/>
      <c r="BQ29" s="598"/>
      <c r="BR29" s="599"/>
      <c r="ED29" s="13"/>
      <c r="EE29" s="13"/>
      <c r="EF29" s="13"/>
      <c r="EG29" s="13"/>
      <c r="EH29" s="13"/>
    </row>
    <row r="30" spans="1:138" s="22" customFormat="1" ht="91.5" customHeight="1" x14ac:dyDescent="1.35">
      <c r="A30" s="615" t="s">
        <v>675</v>
      </c>
      <c r="B30" s="606">
        <v>55</v>
      </c>
      <c r="C30" s="607"/>
      <c r="D30" s="607"/>
      <c r="E30" s="608"/>
      <c r="F30" s="615" t="s">
        <v>675</v>
      </c>
      <c r="G30" s="588">
        <v>56</v>
      </c>
      <c r="H30" s="589"/>
      <c r="I30" s="589"/>
      <c r="J30" s="590"/>
      <c r="K30" s="615" t="s">
        <v>675</v>
      </c>
      <c r="L30" s="588">
        <v>57</v>
      </c>
      <c r="M30" s="589"/>
      <c r="N30" s="589"/>
      <c r="O30" s="590"/>
      <c r="P30" s="615" t="s">
        <v>675</v>
      </c>
      <c r="Q30" s="588">
        <v>59</v>
      </c>
      <c r="R30" s="589"/>
      <c r="S30" s="589"/>
      <c r="T30" s="590"/>
      <c r="U30" s="634" t="s">
        <v>323</v>
      </c>
      <c r="V30" s="588">
        <v>60</v>
      </c>
      <c r="W30" s="589"/>
      <c r="X30" s="589"/>
      <c r="Y30" s="590"/>
      <c r="Z30" s="634" t="s">
        <v>323</v>
      </c>
      <c r="AA30" s="588">
        <v>62</v>
      </c>
      <c r="AB30" s="589"/>
      <c r="AC30" s="589"/>
      <c r="AD30" s="590"/>
      <c r="AE30" s="634" t="s">
        <v>323</v>
      </c>
      <c r="AF30" s="588">
        <v>63</v>
      </c>
      <c r="AG30" s="589"/>
      <c r="AH30" s="589"/>
      <c r="AI30" s="590"/>
      <c r="AJ30" s="634" t="s">
        <v>323</v>
      </c>
      <c r="AK30" s="588">
        <v>64</v>
      </c>
      <c r="AL30" s="589"/>
      <c r="AM30" s="589"/>
      <c r="AN30" s="590"/>
      <c r="AO30" s="634" t="s">
        <v>323</v>
      </c>
      <c r="AP30" s="588">
        <v>65</v>
      </c>
      <c r="AQ30" s="589"/>
      <c r="AR30" s="589"/>
      <c r="AS30" s="590"/>
      <c r="AT30" s="634" t="s">
        <v>323</v>
      </c>
      <c r="AU30" s="636">
        <v>66</v>
      </c>
      <c r="AV30" s="637"/>
      <c r="AW30" s="637"/>
      <c r="AX30" s="638"/>
      <c r="AY30" s="634" t="s">
        <v>323</v>
      </c>
      <c r="AZ30" s="588">
        <v>67</v>
      </c>
      <c r="BA30" s="589"/>
      <c r="BB30" s="589"/>
      <c r="BC30" s="590"/>
      <c r="BD30" s="634" t="s">
        <v>323</v>
      </c>
      <c r="BE30" s="588">
        <v>68</v>
      </c>
      <c r="BF30" s="589"/>
      <c r="BG30" s="589"/>
      <c r="BH30" s="590"/>
      <c r="BI30" s="634" t="s">
        <v>323</v>
      </c>
      <c r="BJ30" s="588">
        <v>116</v>
      </c>
      <c r="BK30" s="589"/>
      <c r="BL30" s="589"/>
      <c r="BM30" s="590"/>
      <c r="BN30" s="634" t="s">
        <v>323</v>
      </c>
      <c r="BO30" s="588">
        <v>120</v>
      </c>
      <c r="BP30" s="589"/>
      <c r="BQ30" s="589"/>
      <c r="BR30" s="590"/>
      <c r="CU30" s="378"/>
      <c r="ED30" s="317"/>
      <c r="EE30" s="317"/>
      <c r="EF30" s="317"/>
      <c r="EG30" s="317"/>
      <c r="EH30" s="317"/>
    </row>
    <row r="31" spans="1:138" ht="50.25" customHeight="1" thickBot="1" x14ac:dyDescent="0.3">
      <c r="A31" s="616"/>
      <c r="B31" s="508"/>
      <c r="C31" s="509" t="s">
        <v>113</v>
      </c>
      <c r="D31" s="510"/>
      <c r="E31" s="511" t="s">
        <v>114</v>
      </c>
      <c r="F31" s="616"/>
      <c r="G31" s="61">
        <v>1.8280000000000001</v>
      </c>
      <c r="H31" s="62" t="s">
        <v>113</v>
      </c>
      <c r="I31" s="63"/>
      <c r="J31" s="64" t="s">
        <v>114</v>
      </c>
      <c r="K31" s="616"/>
      <c r="L31" s="61">
        <v>1.2192000000000001</v>
      </c>
      <c r="M31" s="62" t="s">
        <v>113</v>
      </c>
      <c r="N31" s="63">
        <v>1</v>
      </c>
      <c r="O31" s="64" t="s">
        <v>114</v>
      </c>
      <c r="P31" s="616"/>
      <c r="Q31" s="61">
        <v>1.143</v>
      </c>
      <c r="R31" s="62" t="s">
        <v>113</v>
      </c>
      <c r="S31" s="63"/>
      <c r="T31" s="64" t="s">
        <v>114</v>
      </c>
      <c r="U31" s="635"/>
      <c r="V31" s="61">
        <v>1.397</v>
      </c>
      <c r="W31" s="62" t="s">
        <v>113</v>
      </c>
      <c r="X31" s="63">
        <v>1</v>
      </c>
      <c r="Y31" s="64" t="s">
        <v>114</v>
      </c>
      <c r="Z31" s="635"/>
      <c r="AA31" s="61">
        <v>0.38100000000000001</v>
      </c>
      <c r="AB31" s="62" t="s">
        <v>113</v>
      </c>
      <c r="AC31" s="63">
        <v>1</v>
      </c>
      <c r="AD31" s="64" t="s">
        <v>114</v>
      </c>
      <c r="AE31" s="635"/>
      <c r="AF31" s="61">
        <v>0.91439999999999999</v>
      </c>
      <c r="AG31" s="62" t="s">
        <v>113</v>
      </c>
      <c r="AH31" s="63">
        <v>1</v>
      </c>
      <c r="AI31" s="64" t="s">
        <v>114</v>
      </c>
      <c r="AJ31" s="635"/>
      <c r="AK31" s="61">
        <v>0.60960000000000003</v>
      </c>
      <c r="AL31" s="62" t="s">
        <v>113</v>
      </c>
      <c r="AM31" s="63"/>
      <c r="AN31" s="64" t="s">
        <v>114</v>
      </c>
      <c r="AO31" s="635"/>
      <c r="AP31" s="61">
        <v>3.5306000000000002</v>
      </c>
      <c r="AQ31" s="62" t="s">
        <v>113</v>
      </c>
      <c r="AR31" s="63">
        <v>1</v>
      </c>
      <c r="AS31" s="64" t="s">
        <v>114</v>
      </c>
      <c r="AT31" s="635"/>
      <c r="AU31" s="508">
        <v>5.8419999999999996</v>
      </c>
      <c r="AV31" s="579" t="s">
        <v>113</v>
      </c>
      <c r="AW31" s="510">
        <v>1</v>
      </c>
      <c r="AX31" s="580" t="s">
        <v>114</v>
      </c>
      <c r="AY31" s="635"/>
      <c r="AZ31" s="61">
        <v>0.96519999999999995</v>
      </c>
      <c r="BA31" s="62" t="s">
        <v>113</v>
      </c>
      <c r="BB31" s="63"/>
      <c r="BC31" s="64" t="s">
        <v>114</v>
      </c>
      <c r="BD31" s="635"/>
      <c r="BE31" s="61">
        <v>1E-13</v>
      </c>
      <c r="BF31" s="62" t="s">
        <v>113</v>
      </c>
      <c r="BG31" s="63">
        <v>1</v>
      </c>
      <c r="BH31" s="64" t="s">
        <v>114</v>
      </c>
      <c r="BI31" s="635"/>
      <c r="BJ31" s="61">
        <v>0.53339999999999999</v>
      </c>
      <c r="BK31" s="62" t="s">
        <v>113</v>
      </c>
      <c r="BL31" s="63"/>
      <c r="BM31" s="64" t="s">
        <v>114</v>
      </c>
      <c r="BN31" s="635"/>
      <c r="BO31" s="61">
        <v>9.9999999999999994E-12</v>
      </c>
      <c r="BP31" s="62" t="s">
        <v>113</v>
      </c>
      <c r="BQ31" s="63"/>
      <c r="BR31" s="64" t="s">
        <v>114</v>
      </c>
      <c r="BW31" s="27"/>
      <c r="BX31" s="27"/>
      <c r="BY31" s="27"/>
      <c r="BZ31" s="27"/>
      <c r="CA31" s="27"/>
      <c r="CB31" s="27"/>
      <c r="CC31" s="27"/>
      <c r="CD31" s="27"/>
      <c r="CE31" s="27"/>
      <c r="ED31" s="13"/>
      <c r="EE31" s="13"/>
      <c r="EF31" s="13"/>
      <c r="EG31" s="13"/>
      <c r="EH31" s="13"/>
    </row>
    <row r="32" spans="1:138" ht="42.75" customHeight="1" thickTop="1" x14ac:dyDescent="0.25">
      <c r="A32" s="645" t="s">
        <v>110</v>
      </c>
      <c r="B32" s="646"/>
      <c r="C32" s="647">
        <f>B37/((42*3.1415/59)*(86/3.281))</f>
        <v>2.3388958921479307E-2</v>
      </c>
      <c r="D32" s="647"/>
      <c r="E32" s="648"/>
      <c r="F32" s="645" t="s">
        <v>110</v>
      </c>
      <c r="G32" s="646"/>
      <c r="H32" s="647">
        <f t="shared" ref="H32" si="65">G37/((42*3.1415/59)*(86/3.281))</f>
        <v>1.343287108298527E-2</v>
      </c>
      <c r="I32" s="647"/>
      <c r="J32" s="648"/>
      <c r="K32" s="645" t="s">
        <v>110</v>
      </c>
      <c r="L32" s="646"/>
      <c r="M32" s="647">
        <f t="shared" ref="M32" si="66">L37/((42*3.1415/59)*(86/3.281))</f>
        <v>1.7059780394952083E-14</v>
      </c>
      <c r="N32" s="647"/>
      <c r="O32" s="648"/>
      <c r="P32" s="645" t="s">
        <v>110</v>
      </c>
      <c r="Q32" s="646"/>
      <c r="R32" s="647">
        <f t="shared" ref="R32" si="67">Q37/((42*3.1415/59)*(86/3.281))</f>
        <v>1.8199373725334884E-2</v>
      </c>
      <c r="S32" s="647"/>
      <c r="T32" s="648"/>
      <c r="U32" s="645" t="s">
        <v>110</v>
      </c>
      <c r="V32" s="646"/>
      <c r="W32" s="647">
        <f t="shared" ref="W32" si="68">V37/((42*3.1415/59)*(86/3.281))</f>
        <v>1.7059780394952085E-11</v>
      </c>
      <c r="X32" s="647"/>
      <c r="Y32" s="648"/>
      <c r="Z32" s="645" t="s">
        <v>110</v>
      </c>
      <c r="AA32" s="646"/>
      <c r="AB32" s="647">
        <f t="shared" ref="AB32" si="69">AA37/((42*3.1415/59)*(86/3.281))</f>
        <v>2.1232602679557361E-2</v>
      </c>
      <c r="AC32" s="647"/>
      <c r="AD32" s="648"/>
      <c r="AE32" s="645" t="s">
        <v>110</v>
      </c>
      <c r="AF32" s="646"/>
      <c r="AG32" s="647">
        <f t="shared" ref="AG32" si="70">AF37/((42*3.1415/59)*(86/3.281))</f>
        <v>2.5999105321906975E-2</v>
      </c>
      <c r="AH32" s="647"/>
      <c r="AI32" s="648"/>
      <c r="AJ32" s="645" t="s">
        <v>110</v>
      </c>
      <c r="AK32" s="646"/>
      <c r="AL32" s="647">
        <f t="shared" ref="AL32" si="71">AK37/((42*3.1415/59)*(86/3.281))</f>
        <v>1.7059780394952084E-15</v>
      </c>
      <c r="AM32" s="647"/>
      <c r="AN32" s="648"/>
      <c r="AO32" s="645" t="s">
        <v>110</v>
      </c>
      <c r="AP32" s="646"/>
      <c r="AQ32" s="647">
        <f t="shared" ref="AQ32" si="72">AP37/((42*3.1415/59)*(86/3.281))</f>
        <v>1.2132915816889923E-2</v>
      </c>
      <c r="AR32" s="647"/>
      <c r="AS32" s="648"/>
      <c r="AT32" s="645" t="s">
        <v>110</v>
      </c>
      <c r="AU32" s="646"/>
      <c r="AV32" s="647">
        <f t="shared" ref="AV32" si="73">AU37/((42*3.1415/59)*(86/3.281))</f>
        <v>6.4997763304767437E-3</v>
      </c>
      <c r="AW32" s="647"/>
      <c r="AX32" s="648"/>
      <c r="AY32" s="641" t="s">
        <v>110</v>
      </c>
      <c r="AZ32" s="642"/>
      <c r="BA32" s="643">
        <f>AZ37/((42*3.1415/59)*(88/3.281))</f>
        <v>2.5408216564590906E-3</v>
      </c>
      <c r="BB32" s="643"/>
      <c r="BC32" s="644"/>
      <c r="BD32" s="641" t="s">
        <v>110</v>
      </c>
      <c r="BE32" s="642"/>
      <c r="BF32" s="643">
        <f>BE37/((42*3.1415/59)*(88/3.281))</f>
        <v>1.6672058113248624E-21</v>
      </c>
      <c r="BG32" s="643"/>
      <c r="BH32" s="644"/>
      <c r="BI32" s="641" t="s">
        <v>110</v>
      </c>
      <c r="BJ32" s="642"/>
      <c r="BK32" s="643">
        <f>BJ37/((42*3.1415/59)*(88/3.281))</f>
        <v>7.1989946933007564E-3</v>
      </c>
      <c r="BL32" s="643"/>
      <c r="BM32" s="644"/>
      <c r="BN32" s="641" t="s">
        <v>110</v>
      </c>
      <c r="BO32" s="642"/>
      <c r="BP32" s="643">
        <f>BO37/((42*3.1415/59)*(88/3.281))</f>
        <v>9.7398163497598462E-3</v>
      </c>
      <c r="BQ32" s="643"/>
      <c r="BR32" s="644"/>
      <c r="ED32" s="13"/>
      <c r="EE32" s="13"/>
      <c r="EF32" s="13"/>
      <c r="EG32" s="13"/>
      <c r="EH32" s="13"/>
    </row>
    <row r="33" spans="1:138" ht="6.75" customHeight="1" x14ac:dyDescent="0.25">
      <c r="A33" s="591" t="s">
        <v>672</v>
      </c>
      <c r="B33" s="592"/>
      <c r="C33" s="592"/>
      <c r="D33" s="592"/>
      <c r="E33" s="593"/>
      <c r="F33" s="591" t="s">
        <v>672</v>
      </c>
      <c r="G33" s="592"/>
      <c r="H33" s="592"/>
      <c r="I33" s="592"/>
      <c r="J33" s="593"/>
      <c r="K33" s="591" t="s">
        <v>672</v>
      </c>
      <c r="L33" s="592"/>
      <c r="M33" s="592"/>
      <c r="N33" s="592"/>
      <c r="O33" s="593"/>
      <c r="P33" s="591" t="s">
        <v>672</v>
      </c>
      <c r="Q33" s="592"/>
      <c r="R33" s="592"/>
      <c r="S33" s="592"/>
      <c r="T33" s="593"/>
      <c r="U33" s="591" t="s">
        <v>672</v>
      </c>
      <c r="V33" s="592"/>
      <c r="W33" s="592"/>
      <c r="X33" s="592"/>
      <c r="Y33" s="593"/>
      <c r="Z33" s="591" t="s">
        <v>672</v>
      </c>
      <c r="AA33" s="592"/>
      <c r="AB33" s="592"/>
      <c r="AC33" s="592"/>
      <c r="AD33" s="593"/>
      <c r="AE33" s="591" t="s">
        <v>672</v>
      </c>
      <c r="AF33" s="592"/>
      <c r="AG33" s="592"/>
      <c r="AH33" s="592"/>
      <c r="AI33" s="593"/>
      <c r="AJ33" s="591" t="s">
        <v>672</v>
      </c>
      <c r="AK33" s="592"/>
      <c r="AL33" s="592"/>
      <c r="AM33" s="592"/>
      <c r="AN33" s="593"/>
      <c r="AO33" s="591" t="s">
        <v>672</v>
      </c>
      <c r="AP33" s="592"/>
      <c r="AQ33" s="592"/>
      <c r="AR33" s="592"/>
      <c r="AS33" s="593"/>
      <c r="AT33" s="591" t="s">
        <v>672</v>
      </c>
      <c r="AU33" s="592"/>
      <c r="AV33" s="592"/>
      <c r="AW33" s="592"/>
      <c r="AX33" s="593"/>
      <c r="AY33" s="591" t="s">
        <v>672</v>
      </c>
      <c r="AZ33" s="592"/>
      <c r="BA33" s="592"/>
      <c r="BB33" s="592"/>
      <c r="BC33" s="593"/>
      <c r="BD33" s="591" t="s">
        <v>672</v>
      </c>
      <c r="BE33" s="592"/>
      <c r="BF33" s="592"/>
      <c r="BG33" s="592"/>
      <c r="BH33" s="593"/>
      <c r="BI33" s="591" t="s">
        <v>672</v>
      </c>
      <c r="BJ33" s="592"/>
      <c r="BK33" s="592"/>
      <c r="BL33" s="592"/>
      <c r="BM33" s="593"/>
      <c r="BN33" s="591" t="s">
        <v>672</v>
      </c>
      <c r="BO33" s="592"/>
      <c r="BP33" s="592"/>
      <c r="BQ33" s="592"/>
      <c r="BR33" s="593"/>
      <c r="ED33" s="57"/>
      <c r="EE33" s="57"/>
      <c r="EF33" s="57"/>
      <c r="EG33" s="57"/>
      <c r="EH33" s="57"/>
    </row>
    <row r="34" spans="1:138" ht="18.75" customHeight="1" x14ac:dyDescent="0.25">
      <c r="A34" s="594"/>
      <c r="B34" s="595"/>
      <c r="C34" s="595"/>
      <c r="D34" s="595"/>
      <c r="E34" s="596"/>
      <c r="F34" s="594"/>
      <c r="G34" s="595"/>
      <c r="H34" s="595"/>
      <c r="I34" s="595"/>
      <c r="J34" s="596"/>
      <c r="K34" s="594"/>
      <c r="L34" s="595"/>
      <c r="M34" s="595"/>
      <c r="N34" s="595"/>
      <c r="O34" s="596"/>
      <c r="P34" s="594"/>
      <c r="Q34" s="595"/>
      <c r="R34" s="595"/>
      <c r="S34" s="595"/>
      <c r="T34" s="596"/>
      <c r="U34" s="594"/>
      <c r="V34" s="595"/>
      <c r="W34" s="595"/>
      <c r="X34" s="595"/>
      <c r="Y34" s="596"/>
      <c r="Z34" s="594"/>
      <c r="AA34" s="595"/>
      <c r="AB34" s="595"/>
      <c r="AC34" s="595"/>
      <c r="AD34" s="596"/>
      <c r="AE34" s="594"/>
      <c r="AF34" s="595"/>
      <c r="AG34" s="595"/>
      <c r="AH34" s="595"/>
      <c r="AI34" s="596"/>
      <c r="AJ34" s="594"/>
      <c r="AK34" s="595"/>
      <c r="AL34" s="595"/>
      <c r="AM34" s="595"/>
      <c r="AN34" s="596"/>
      <c r="AO34" s="594"/>
      <c r="AP34" s="595"/>
      <c r="AQ34" s="595"/>
      <c r="AR34" s="595"/>
      <c r="AS34" s="596"/>
      <c r="AT34" s="594"/>
      <c r="AU34" s="595"/>
      <c r="AV34" s="595"/>
      <c r="AW34" s="595"/>
      <c r="AX34" s="596"/>
      <c r="AY34" s="594"/>
      <c r="AZ34" s="595"/>
      <c r="BA34" s="595"/>
      <c r="BB34" s="595"/>
      <c r="BC34" s="596"/>
      <c r="BD34" s="594"/>
      <c r="BE34" s="595"/>
      <c r="BF34" s="595"/>
      <c r="BG34" s="595"/>
      <c r="BH34" s="596"/>
      <c r="BI34" s="594"/>
      <c r="BJ34" s="595"/>
      <c r="BK34" s="595"/>
      <c r="BL34" s="595"/>
      <c r="BM34" s="596"/>
      <c r="BN34" s="594"/>
      <c r="BO34" s="595"/>
      <c r="BP34" s="595"/>
      <c r="BQ34" s="595"/>
      <c r="BR34" s="596"/>
      <c r="ED34" s="57"/>
      <c r="EE34" s="57"/>
      <c r="EF34" s="57"/>
      <c r="EG34" s="57"/>
      <c r="EH34" s="57"/>
    </row>
    <row r="35" spans="1:138" ht="6" hidden="1" customHeight="1" x14ac:dyDescent="0.25">
      <c r="A35" s="597"/>
      <c r="B35" s="598"/>
      <c r="C35" s="598"/>
      <c r="D35" s="598"/>
      <c r="E35" s="599"/>
      <c r="F35" s="597"/>
      <c r="G35" s="598"/>
      <c r="H35" s="598"/>
      <c r="I35" s="598"/>
      <c r="J35" s="599"/>
      <c r="K35" s="597"/>
      <c r="L35" s="598"/>
      <c r="M35" s="598"/>
      <c r="N35" s="598"/>
      <c r="O35" s="599"/>
      <c r="P35" s="597"/>
      <c r="Q35" s="598"/>
      <c r="R35" s="598"/>
      <c r="S35" s="598"/>
      <c r="T35" s="599"/>
      <c r="U35" s="597"/>
      <c r="V35" s="598"/>
      <c r="W35" s="598"/>
      <c r="X35" s="598"/>
      <c r="Y35" s="599"/>
      <c r="Z35" s="597"/>
      <c r="AA35" s="598"/>
      <c r="AB35" s="598"/>
      <c r="AC35" s="598"/>
      <c r="AD35" s="599"/>
      <c r="AE35" s="597"/>
      <c r="AF35" s="598"/>
      <c r="AG35" s="598"/>
      <c r="AH35" s="598"/>
      <c r="AI35" s="599"/>
      <c r="AJ35" s="597"/>
      <c r="AK35" s="598"/>
      <c r="AL35" s="598"/>
      <c r="AM35" s="598"/>
      <c r="AN35" s="599"/>
      <c r="AO35" s="597"/>
      <c r="AP35" s="598"/>
      <c r="AQ35" s="598"/>
      <c r="AR35" s="598"/>
      <c r="AS35" s="599"/>
      <c r="AT35" s="597"/>
      <c r="AU35" s="598"/>
      <c r="AV35" s="598"/>
      <c r="AW35" s="598"/>
      <c r="AX35" s="599"/>
      <c r="AY35" s="597"/>
      <c r="AZ35" s="598"/>
      <c r="BA35" s="598"/>
      <c r="BB35" s="598"/>
      <c r="BC35" s="599"/>
      <c r="BD35" s="597"/>
      <c r="BE35" s="598"/>
      <c r="BF35" s="598"/>
      <c r="BG35" s="598"/>
      <c r="BH35" s="599"/>
      <c r="BI35" s="597"/>
      <c r="BJ35" s="598"/>
      <c r="BK35" s="598"/>
      <c r="BL35" s="598"/>
      <c r="BM35" s="599"/>
      <c r="BN35" s="597"/>
      <c r="BO35" s="598"/>
      <c r="BP35" s="598"/>
      <c r="BQ35" s="598"/>
      <c r="BR35" s="599"/>
      <c r="ED35" s="57"/>
      <c r="EE35" s="57"/>
      <c r="EF35" s="57"/>
      <c r="EG35" s="57"/>
      <c r="EH35" s="57"/>
    </row>
    <row r="36" spans="1:138" s="22" customFormat="1" ht="91.5" customHeight="1" x14ac:dyDescent="1.35">
      <c r="A36" s="639" t="s">
        <v>676</v>
      </c>
      <c r="B36" s="588">
        <v>44</v>
      </c>
      <c r="C36" s="589"/>
      <c r="D36" s="589"/>
      <c r="E36" s="590"/>
      <c r="F36" s="639" t="s">
        <v>676</v>
      </c>
      <c r="G36" s="588">
        <v>69</v>
      </c>
      <c r="H36" s="589"/>
      <c r="I36" s="589"/>
      <c r="J36" s="590"/>
      <c r="K36" s="639" t="s">
        <v>676</v>
      </c>
      <c r="L36" s="588">
        <v>70</v>
      </c>
      <c r="M36" s="589"/>
      <c r="N36" s="589"/>
      <c r="O36" s="590"/>
      <c r="P36" s="639" t="s">
        <v>676</v>
      </c>
      <c r="Q36" s="588">
        <v>71</v>
      </c>
      <c r="R36" s="589"/>
      <c r="S36" s="589"/>
      <c r="T36" s="590"/>
      <c r="U36" s="639" t="s">
        <v>676</v>
      </c>
      <c r="V36" s="588">
        <v>72</v>
      </c>
      <c r="W36" s="589"/>
      <c r="X36" s="589"/>
      <c r="Y36" s="590"/>
      <c r="Z36" s="639" t="s">
        <v>676</v>
      </c>
      <c r="AA36" s="588">
        <v>73</v>
      </c>
      <c r="AB36" s="589"/>
      <c r="AC36" s="589"/>
      <c r="AD36" s="590"/>
      <c r="AE36" s="639" t="s">
        <v>676</v>
      </c>
      <c r="AF36" s="588">
        <v>74</v>
      </c>
      <c r="AG36" s="589"/>
      <c r="AH36" s="589"/>
      <c r="AI36" s="590"/>
      <c r="AJ36" s="639" t="s">
        <v>676</v>
      </c>
      <c r="AK36" s="588">
        <v>75</v>
      </c>
      <c r="AL36" s="589"/>
      <c r="AM36" s="589"/>
      <c r="AN36" s="590"/>
      <c r="AO36" s="639" t="s">
        <v>676</v>
      </c>
      <c r="AP36" s="588">
        <v>76</v>
      </c>
      <c r="AQ36" s="589"/>
      <c r="AR36" s="589"/>
      <c r="AS36" s="590"/>
      <c r="AT36" s="639" t="s">
        <v>676</v>
      </c>
      <c r="AU36" s="588">
        <v>78</v>
      </c>
      <c r="AV36" s="589"/>
      <c r="AW36" s="589"/>
      <c r="AX36" s="590"/>
      <c r="AY36" s="649" t="s">
        <v>677</v>
      </c>
      <c r="AZ36" s="636">
        <v>79</v>
      </c>
      <c r="BA36" s="637"/>
      <c r="BB36" s="637"/>
      <c r="BC36" s="638"/>
      <c r="BD36" s="649" t="s">
        <v>677</v>
      </c>
      <c r="BE36" s="588">
        <v>80</v>
      </c>
      <c r="BF36" s="589"/>
      <c r="BG36" s="589"/>
      <c r="BH36" s="590"/>
      <c r="BI36" s="649" t="s">
        <v>677</v>
      </c>
      <c r="BJ36" s="588">
        <v>81</v>
      </c>
      <c r="BK36" s="589"/>
      <c r="BL36" s="589"/>
      <c r="BM36" s="590"/>
      <c r="BN36" s="649" t="s">
        <v>677</v>
      </c>
      <c r="BO36" s="588">
        <v>82</v>
      </c>
      <c r="BP36" s="589"/>
      <c r="BQ36" s="589"/>
      <c r="BR36" s="590"/>
      <c r="ED36" s="317"/>
      <c r="EE36" s="317"/>
      <c r="EF36" s="317"/>
      <c r="EG36" s="317"/>
      <c r="EH36" s="317"/>
    </row>
    <row r="37" spans="1:138" ht="50.25" customHeight="1" thickBot="1" x14ac:dyDescent="0.3">
      <c r="A37" s="640"/>
      <c r="B37" s="61">
        <v>1.371</v>
      </c>
      <c r="C37" s="62" t="s">
        <v>113</v>
      </c>
      <c r="D37" s="63">
        <v>1</v>
      </c>
      <c r="E37" s="64" t="s">
        <v>114</v>
      </c>
      <c r="F37" s="640"/>
      <c r="G37" s="61">
        <v>0.78739999999999999</v>
      </c>
      <c r="H37" s="62" t="s">
        <v>113</v>
      </c>
      <c r="I37" s="63">
        <v>1</v>
      </c>
      <c r="J37" s="64" t="s">
        <v>114</v>
      </c>
      <c r="K37" s="640"/>
      <c r="L37" s="61">
        <v>9.9999999999999998E-13</v>
      </c>
      <c r="M37" s="62" t="s">
        <v>113</v>
      </c>
      <c r="N37" s="63"/>
      <c r="O37" s="64" t="s">
        <v>114</v>
      </c>
      <c r="P37" s="640"/>
      <c r="Q37" s="61">
        <v>1.0668</v>
      </c>
      <c r="R37" s="62" t="s">
        <v>113</v>
      </c>
      <c r="S37" s="63">
        <v>1</v>
      </c>
      <c r="T37" s="64" t="s">
        <v>114</v>
      </c>
      <c r="U37" s="640"/>
      <c r="V37" s="61">
        <v>1.0000000000000001E-9</v>
      </c>
      <c r="W37" s="62" t="s">
        <v>113</v>
      </c>
      <c r="X37" s="63">
        <v>1</v>
      </c>
      <c r="Y37" s="64" t="s">
        <v>114</v>
      </c>
      <c r="Z37" s="640"/>
      <c r="AA37" s="61">
        <v>1.2445999999999999</v>
      </c>
      <c r="AB37" s="62" t="s">
        <v>113</v>
      </c>
      <c r="AC37" s="63"/>
      <c r="AD37" s="64" t="s">
        <v>114</v>
      </c>
      <c r="AE37" s="640"/>
      <c r="AF37" s="61">
        <v>1.524</v>
      </c>
      <c r="AG37" s="62" t="s">
        <v>113</v>
      </c>
      <c r="AH37" s="63">
        <v>1</v>
      </c>
      <c r="AI37" s="64" t="s">
        <v>114</v>
      </c>
      <c r="AJ37" s="640"/>
      <c r="AK37" s="61">
        <v>1E-13</v>
      </c>
      <c r="AL37" s="62" t="s">
        <v>113</v>
      </c>
      <c r="AM37" s="63"/>
      <c r="AN37" s="64" t="s">
        <v>114</v>
      </c>
      <c r="AO37" s="640"/>
      <c r="AP37" s="61">
        <v>0.71120000000000005</v>
      </c>
      <c r="AQ37" s="62" t="s">
        <v>113</v>
      </c>
      <c r="AR37" s="63">
        <v>1</v>
      </c>
      <c r="AS37" s="64" t="s">
        <v>114</v>
      </c>
      <c r="AT37" s="640"/>
      <c r="AU37" s="61">
        <v>0.38100000000000001</v>
      </c>
      <c r="AV37" s="62" t="s">
        <v>113</v>
      </c>
      <c r="AW37" s="63"/>
      <c r="AX37" s="64" t="s">
        <v>114</v>
      </c>
      <c r="AY37" s="650"/>
      <c r="AZ37" s="508">
        <v>0.15240000000000001</v>
      </c>
      <c r="BA37" s="579" t="s">
        <v>113</v>
      </c>
      <c r="BB37" s="510">
        <v>1</v>
      </c>
      <c r="BC37" s="580" t="s">
        <v>114</v>
      </c>
      <c r="BD37" s="650"/>
      <c r="BE37" s="61">
        <v>9.9999999999999998E-20</v>
      </c>
      <c r="BF37" s="62" t="s">
        <v>113</v>
      </c>
      <c r="BG37" s="63">
        <v>1</v>
      </c>
      <c r="BH37" s="64" t="s">
        <v>114</v>
      </c>
      <c r="BI37" s="650"/>
      <c r="BJ37" s="61">
        <v>0.43180000000000002</v>
      </c>
      <c r="BK37" s="62" t="s">
        <v>113</v>
      </c>
      <c r="BL37" s="63"/>
      <c r="BM37" s="64" t="s">
        <v>114</v>
      </c>
      <c r="BN37" s="650"/>
      <c r="BO37" s="61">
        <v>0.58420000000000005</v>
      </c>
      <c r="BP37" s="62" t="s">
        <v>113</v>
      </c>
      <c r="BQ37" s="63">
        <v>1</v>
      </c>
      <c r="BR37" s="64" t="s">
        <v>114</v>
      </c>
      <c r="BW37" s="27"/>
      <c r="BX37" s="27"/>
      <c r="BY37" s="27"/>
      <c r="BZ37" s="27"/>
      <c r="CA37" s="27"/>
      <c r="CB37" s="27"/>
      <c r="CC37" s="27"/>
      <c r="CD37" s="27"/>
      <c r="CE37" s="27"/>
      <c r="ED37" s="13"/>
      <c r="EE37" s="13"/>
      <c r="EF37" s="13"/>
      <c r="EG37" s="13"/>
      <c r="EH37" s="13"/>
    </row>
    <row r="38" spans="1:138" ht="36" customHeight="1" thickTop="1" x14ac:dyDescent="0.25">
      <c r="A38" s="641" t="s">
        <v>110</v>
      </c>
      <c r="B38" s="642"/>
      <c r="C38" s="643">
        <f t="shared" ref="C38" si="74">B43/((42*3.1415/59)*(88/3.281))</f>
        <v>2.9642919325356055E-2</v>
      </c>
      <c r="D38" s="643"/>
      <c r="E38" s="644"/>
      <c r="F38" s="641" t="s">
        <v>110</v>
      </c>
      <c r="G38" s="642"/>
      <c r="H38" s="643">
        <f t="shared" ref="H38" si="75">G43/((42*3.1415/59)*(88/3.281))</f>
        <v>1.6672058113248624E-11</v>
      </c>
      <c r="I38" s="643"/>
      <c r="J38" s="644"/>
      <c r="K38" s="641" t="s">
        <v>110</v>
      </c>
      <c r="L38" s="642"/>
      <c r="M38" s="643">
        <f t="shared" ref="M38" si="76">L43/((42*3.1415/59)*(88/3.281))</f>
        <v>5.0816433129181812E-3</v>
      </c>
      <c r="N38" s="643"/>
      <c r="O38" s="644"/>
      <c r="P38" s="641" t="s">
        <v>110</v>
      </c>
      <c r="Q38" s="642"/>
      <c r="R38" s="643">
        <f t="shared" ref="R38" si="77">Q43/((42*3.1415/59)*(88/3.281))</f>
        <v>1.6672058113248623E-9</v>
      </c>
      <c r="S38" s="643"/>
      <c r="T38" s="644"/>
      <c r="U38" s="641" t="s">
        <v>110</v>
      </c>
      <c r="V38" s="642"/>
      <c r="W38" s="643">
        <f t="shared" ref="W38" si="78">V43/((42*3.1415/59)*(88/3.281))</f>
        <v>1.6672058113248625E-10</v>
      </c>
      <c r="X38" s="643"/>
      <c r="Y38" s="644"/>
      <c r="Z38" s="641" t="s">
        <v>110</v>
      </c>
      <c r="AA38" s="642"/>
      <c r="AB38" s="643">
        <f t="shared" ref="AB38" si="79">AA43/((42*3.1415/59)*(88/3.281))</f>
        <v>1.6672058113248624E-16</v>
      </c>
      <c r="AC38" s="643"/>
      <c r="AD38" s="644"/>
      <c r="AE38" s="660" t="s">
        <v>110</v>
      </c>
      <c r="AF38" s="661"/>
      <c r="AG38" s="662">
        <f>AF43/((42*3.1415/59)*(94/3.281))</f>
        <v>2.3786415507276594E-2</v>
      </c>
      <c r="AH38" s="662"/>
      <c r="AI38" s="663"/>
      <c r="AJ38" s="660" t="s">
        <v>110</v>
      </c>
      <c r="AK38" s="661"/>
      <c r="AL38" s="662">
        <f t="shared" ref="AL38" si="80">AK43/((42*3.1415/59)*(94/3.281))</f>
        <v>1.5607884191126373E-14</v>
      </c>
      <c r="AM38" s="662"/>
      <c r="AN38" s="663"/>
      <c r="AO38" s="660" t="s">
        <v>110</v>
      </c>
      <c r="AP38" s="661"/>
      <c r="AQ38" s="662">
        <f t="shared" ref="AQ38" si="81">AP43/((42*3.1415/59)*(94/3.281))</f>
        <v>1.5607884191126373E-15</v>
      </c>
      <c r="AR38" s="662"/>
      <c r="AS38" s="663"/>
      <c r="AT38" s="660" t="s">
        <v>110</v>
      </c>
      <c r="AU38" s="661"/>
      <c r="AV38" s="662">
        <f t="shared" ref="AV38" si="82">AU43/((42*3.1415/59)*(94/3.281))</f>
        <v>5.7087397217463823E-2</v>
      </c>
      <c r="AW38" s="662"/>
      <c r="AX38" s="663"/>
      <c r="AY38" s="660" t="s">
        <v>110</v>
      </c>
      <c r="AZ38" s="661"/>
      <c r="BA38" s="662">
        <f t="shared" ref="BA38" si="83">AZ43/((42*3.1415/59)*(94/3.281))</f>
        <v>1.5607884191126373E-14</v>
      </c>
      <c r="BB38" s="662"/>
      <c r="BC38" s="663"/>
      <c r="BD38" s="660" t="s">
        <v>110</v>
      </c>
      <c r="BE38" s="661"/>
      <c r="BF38" s="662">
        <f t="shared" ref="BF38" si="84">BE43/((42*3.1415/59)*(94/3.281))</f>
        <v>4.5194189463825529E-2</v>
      </c>
      <c r="BG38" s="662"/>
      <c r="BH38" s="663"/>
      <c r="BI38" s="660" t="s">
        <v>110</v>
      </c>
      <c r="BJ38" s="661"/>
      <c r="BK38" s="662">
        <f t="shared" ref="BK38" si="85">BJ43/((42*3.1415/59)*(94/3.281))</f>
        <v>7.9288051690921974E-3</v>
      </c>
      <c r="BL38" s="662"/>
      <c r="BM38" s="663"/>
      <c r="BN38" s="660" t="s">
        <v>110</v>
      </c>
      <c r="BO38" s="661"/>
      <c r="BP38" s="662">
        <f t="shared" ref="BP38" si="86">BO43/((42*3.1415/59)*(94/3.281))</f>
        <v>1.5607884191126374E-9</v>
      </c>
      <c r="BQ38" s="662"/>
      <c r="BR38" s="663"/>
      <c r="ED38" s="13"/>
      <c r="EE38" s="13"/>
      <c r="EF38" s="13"/>
      <c r="EG38" s="13"/>
      <c r="EH38" s="13"/>
    </row>
    <row r="39" spans="1:138" ht="6.75" customHeight="1" x14ac:dyDescent="0.25">
      <c r="A39" s="591" t="s">
        <v>672</v>
      </c>
      <c r="B39" s="592"/>
      <c r="C39" s="592"/>
      <c r="D39" s="592"/>
      <c r="E39" s="593"/>
      <c r="F39" s="591" t="s">
        <v>672</v>
      </c>
      <c r="G39" s="592"/>
      <c r="H39" s="592"/>
      <c r="I39" s="592"/>
      <c r="J39" s="593"/>
      <c r="K39" s="591" t="s">
        <v>672</v>
      </c>
      <c r="L39" s="592"/>
      <c r="M39" s="592"/>
      <c r="N39" s="592"/>
      <c r="O39" s="593"/>
      <c r="P39" s="591" t="s">
        <v>672</v>
      </c>
      <c r="Q39" s="592"/>
      <c r="R39" s="592"/>
      <c r="S39" s="592"/>
      <c r="T39" s="593"/>
      <c r="U39" s="591" t="s">
        <v>672</v>
      </c>
      <c r="V39" s="592"/>
      <c r="W39" s="592"/>
      <c r="X39" s="592"/>
      <c r="Y39" s="593"/>
      <c r="Z39" s="591" t="s">
        <v>672</v>
      </c>
      <c r="AA39" s="592"/>
      <c r="AB39" s="592"/>
      <c r="AC39" s="592"/>
      <c r="AD39" s="593"/>
      <c r="AE39" s="591" t="s">
        <v>672</v>
      </c>
      <c r="AF39" s="592"/>
      <c r="AG39" s="592"/>
      <c r="AH39" s="592"/>
      <c r="AI39" s="593"/>
      <c r="AJ39" s="591" t="s">
        <v>672</v>
      </c>
      <c r="AK39" s="592"/>
      <c r="AL39" s="592"/>
      <c r="AM39" s="592"/>
      <c r="AN39" s="593"/>
      <c r="AO39" s="591" t="s">
        <v>672</v>
      </c>
      <c r="AP39" s="592"/>
      <c r="AQ39" s="592"/>
      <c r="AR39" s="592"/>
      <c r="AS39" s="593"/>
      <c r="AT39" s="651" t="s">
        <v>672</v>
      </c>
      <c r="AU39" s="652"/>
      <c r="AV39" s="652"/>
      <c r="AW39" s="652"/>
      <c r="AX39" s="653"/>
      <c r="AY39" s="591" t="s">
        <v>672</v>
      </c>
      <c r="AZ39" s="592"/>
      <c r="BA39" s="592"/>
      <c r="BB39" s="592"/>
      <c r="BC39" s="593"/>
      <c r="BD39" s="591" t="s">
        <v>672</v>
      </c>
      <c r="BE39" s="592"/>
      <c r="BF39" s="592"/>
      <c r="BG39" s="592"/>
      <c r="BH39" s="593"/>
      <c r="BI39" s="651" t="s">
        <v>672</v>
      </c>
      <c r="BJ39" s="652"/>
      <c r="BK39" s="652"/>
      <c r="BL39" s="652"/>
      <c r="BM39" s="653"/>
      <c r="BN39" s="591" t="s">
        <v>672</v>
      </c>
      <c r="BO39" s="592"/>
      <c r="BP39" s="592"/>
      <c r="BQ39" s="592"/>
      <c r="BR39" s="593"/>
      <c r="ED39" s="13"/>
      <c r="EE39" s="13"/>
      <c r="EF39" s="13"/>
      <c r="EG39" s="13"/>
      <c r="EH39" s="13"/>
    </row>
    <row r="40" spans="1:138" ht="15.75" customHeight="1" x14ac:dyDescent="0.25">
      <c r="A40" s="594"/>
      <c r="B40" s="595"/>
      <c r="C40" s="595"/>
      <c r="D40" s="595"/>
      <c r="E40" s="596"/>
      <c r="F40" s="594"/>
      <c r="G40" s="595"/>
      <c r="H40" s="595"/>
      <c r="I40" s="595"/>
      <c r="J40" s="596"/>
      <c r="K40" s="594"/>
      <c r="L40" s="595"/>
      <c r="M40" s="595"/>
      <c r="N40" s="595"/>
      <c r="O40" s="596"/>
      <c r="P40" s="594"/>
      <c r="Q40" s="595"/>
      <c r="R40" s="595"/>
      <c r="S40" s="595"/>
      <c r="T40" s="596"/>
      <c r="U40" s="594"/>
      <c r="V40" s="595"/>
      <c r="W40" s="595"/>
      <c r="X40" s="595"/>
      <c r="Y40" s="596"/>
      <c r="Z40" s="594"/>
      <c r="AA40" s="595"/>
      <c r="AB40" s="595"/>
      <c r="AC40" s="595"/>
      <c r="AD40" s="596"/>
      <c r="AE40" s="594"/>
      <c r="AF40" s="595"/>
      <c r="AG40" s="595"/>
      <c r="AH40" s="595"/>
      <c r="AI40" s="596"/>
      <c r="AJ40" s="594"/>
      <c r="AK40" s="595"/>
      <c r="AL40" s="595"/>
      <c r="AM40" s="595"/>
      <c r="AN40" s="596"/>
      <c r="AO40" s="594"/>
      <c r="AP40" s="595"/>
      <c r="AQ40" s="595"/>
      <c r="AR40" s="595"/>
      <c r="AS40" s="596"/>
      <c r="AT40" s="654"/>
      <c r="AU40" s="655"/>
      <c r="AV40" s="655"/>
      <c r="AW40" s="655"/>
      <c r="AX40" s="656"/>
      <c r="AY40" s="594"/>
      <c r="AZ40" s="595"/>
      <c r="BA40" s="595"/>
      <c r="BB40" s="595"/>
      <c r="BC40" s="596"/>
      <c r="BD40" s="594"/>
      <c r="BE40" s="595"/>
      <c r="BF40" s="595"/>
      <c r="BG40" s="595"/>
      <c r="BH40" s="596"/>
      <c r="BI40" s="654"/>
      <c r="BJ40" s="655"/>
      <c r="BK40" s="655"/>
      <c r="BL40" s="655"/>
      <c r="BM40" s="656"/>
      <c r="BN40" s="594"/>
      <c r="BO40" s="595"/>
      <c r="BP40" s="595"/>
      <c r="BQ40" s="595"/>
      <c r="BR40" s="596"/>
      <c r="ED40" s="13"/>
      <c r="EE40" s="13"/>
      <c r="EF40" s="13"/>
      <c r="EG40" s="13"/>
      <c r="EH40" s="13"/>
    </row>
    <row r="41" spans="1:138" ht="6" customHeight="1" x14ac:dyDescent="0.25">
      <c r="A41" s="597"/>
      <c r="B41" s="598"/>
      <c r="C41" s="598"/>
      <c r="D41" s="598"/>
      <c r="E41" s="599"/>
      <c r="F41" s="597"/>
      <c r="G41" s="598"/>
      <c r="H41" s="598"/>
      <c r="I41" s="598"/>
      <c r="J41" s="599"/>
      <c r="K41" s="597"/>
      <c r="L41" s="598"/>
      <c r="M41" s="598"/>
      <c r="N41" s="598"/>
      <c r="O41" s="599"/>
      <c r="P41" s="597"/>
      <c r="Q41" s="598"/>
      <c r="R41" s="598"/>
      <c r="S41" s="598"/>
      <c r="T41" s="599"/>
      <c r="U41" s="597"/>
      <c r="V41" s="598"/>
      <c r="W41" s="598"/>
      <c r="X41" s="598"/>
      <c r="Y41" s="599"/>
      <c r="Z41" s="597"/>
      <c r="AA41" s="598"/>
      <c r="AB41" s="598"/>
      <c r="AC41" s="598"/>
      <c r="AD41" s="599"/>
      <c r="AE41" s="597"/>
      <c r="AF41" s="598"/>
      <c r="AG41" s="598"/>
      <c r="AH41" s="598"/>
      <c r="AI41" s="599"/>
      <c r="AJ41" s="597"/>
      <c r="AK41" s="598"/>
      <c r="AL41" s="598"/>
      <c r="AM41" s="598"/>
      <c r="AN41" s="599"/>
      <c r="AO41" s="597"/>
      <c r="AP41" s="598"/>
      <c r="AQ41" s="598"/>
      <c r="AR41" s="598"/>
      <c r="AS41" s="599"/>
      <c r="AT41" s="657"/>
      <c r="AU41" s="658"/>
      <c r="AV41" s="658"/>
      <c r="AW41" s="658"/>
      <c r="AX41" s="659"/>
      <c r="AY41" s="597"/>
      <c r="AZ41" s="598"/>
      <c r="BA41" s="598"/>
      <c r="BB41" s="598"/>
      <c r="BC41" s="599"/>
      <c r="BD41" s="597"/>
      <c r="BE41" s="598"/>
      <c r="BF41" s="598"/>
      <c r="BG41" s="598"/>
      <c r="BH41" s="599"/>
      <c r="BI41" s="657"/>
      <c r="BJ41" s="658"/>
      <c r="BK41" s="658"/>
      <c r="BL41" s="658"/>
      <c r="BM41" s="659"/>
      <c r="BN41" s="597"/>
      <c r="BO41" s="598"/>
      <c r="BP41" s="598"/>
      <c r="BQ41" s="598"/>
      <c r="BR41" s="599"/>
      <c r="ED41" s="13"/>
      <c r="EE41" s="13"/>
      <c r="EF41" s="13"/>
      <c r="EG41" s="13"/>
      <c r="EH41" s="13"/>
    </row>
    <row r="42" spans="1:138" s="22" customFormat="1" ht="91.5" customHeight="1" x14ac:dyDescent="1.35">
      <c r="A42" s="649" t="s">
        <v>677</v>
      </c>
      <c r="B42" s="588">
        <v>83</v>
      </c>
      <c r="C42" s="589"/>
      <c r="D42" s="589"/>
      <c r="E42" s="590"/>
      <c r="F42" s="649" t="s">
        <v>677</v>
      </c>
      <c r="G42" s="588">
        <v>84</v>
      </c>
      <c r="H42" s="589"/>
      <c r="I42" s="589"/>
      <c r="J42" s="590"/>
      <c r="K42" s="649" t="s">
        <v>677</v>
      </c>
      <c r="L42" s="588">
        <v>85</v>
      </c>
      <c r="M42" s="589"/>
      <c r="N42" s="589"/>
      <c r="O42" s="590"/>
      <c r="P42" s="649" t="s">
        <v>677</v>
      </c>
      <c r="Q42" s="588">
        <v>86</v>
      </c>
      <c r="R42" s="589"/>
      <c r="S42" s="589"/>
      <c r="T42" s="590"/>
      <c r="U42" s="649" t="s">
        <v>677</v>
      </c>
      <c r="V42" s="588">
        <v>88</v>
      </c>
      <c r="W42" s="589"/>
      <c r="X42" s="589"/>
      <c r="Y42" s="590"/>
      <c r="Z42" s="649" t="s">
        <v>677</v>
      </c>
      <c r="AA42" s="588">
        <v>99</v>
      </c>
      <c r="AB42" s="589"/>
      <c r="AC42" s="589"/>
      <c r="AD42" s="590"/>
      <c r="AE42" s="664" t="s">
        <v>678</v>
      </c>
      <c r="AF42" s="588">
        <v>58</v>
      </c>
      <c r="AG42" s="589"/>
      <c r="AH42" s="589"/>
      <c r="AI42" s="590"/>
      <c r="AJ42" s="664" t="s">
        <v>678</v>
      </c>
      <c r="AK42" s="588">
        <v>87</v>
      </c>
      <c r="AL42" s="589"/>
      <c r="AM42" s="589"/>
      <c r="AN42" s="590"/>
      <c r="AO42" s="664" t="s">
        <v>678</v>
      </c>
      <c r="AP42" s="588">
        <v>90</v>
      </c>
      <c r="AQ42" s="589"/>
      <c r="AR42" s="589"/>
      <c r="AS42" s="590"/>
      <c r="AT42" s="664" t="s">
        <v>678</v>
      </c>
      <c r="AU42" s="588">
        <v>92</v>
      </c>
      <c r="AV42" s="589"/>
      <c r="AW42" s="589"/>
      <c r="AX42" s="590"/>
      <c r="AY42" s="664" t="s">
        <v>678</v>
      </c>
      <c r="AZ42" s="636">
        <v>93</v>
      </c>
      <c r="BA42" s="637"/>
      <c r="BB42" s="637"/>
      <c r="BC42" s="638"/>
      <c r="BD42" s="664" t="s">
        <v>678</v>
      </c>
      <c r="BE42" s="588">
        <v>94</v>
      </c>
      <c r="BF42" s="589"/>
      <c r="BG42" s="589"/>
      <c r="BH42" s="590"/>
      <c r="BI42" s="664" t="s">
        <v>678</v>
      </c>
      <c r="BJ42" s="588">
        <v>95</v>
      </c>
      <c r="BK42" s="589"/>
      <c r="BL42" s="589"/>
      <c r="BM42" s="590"/>
      <c r="BN42" s="664" t="s">
        <v>678</v>
      </c>
      <c r="BO42" s="588">
        <v>96</v>
      </c>
      <c r="BP42" s="589"/>
      <c r="BQ42" s="589"/>
      <c r="BR42" s="590"/>
      <c r="ED42" s="379"/>
      <c r="EE42" s="379"/>
      <c r="EF42" s="379"/>
      <c r="EG42" s="379"/>
      <c r="EH42" s="379"/>
    </row>
    <row r="43" spans="1:138" ht="50.25" customHeight="1" thickBot="1" x14ac:dyDescent="0.3">
      <c r="A43" s="650"/>
      <c r="B43" s="61">
        <v>1.778</v>
      </c>
      <c r="C43" s="62" t="s">
        <v>113</v>
      </c>
      <c r="D43" s="63">
        <v>1</v>
      </c>
      <c r="E43" s="64" t="s">
        <v>114</v>
      </c>
      <c r="F43" s="650"/>
      <c r="G43" s="61">
        <v>1.0000000000000001E-9</v>
      </c>
      <c r="H43" s="62" t="s">
        <v>113</v>
      </c>
      <c r="I43" s="63"/>
      <c r="J43" s="64" t="s">
        <v>114</v>
      </c>
      <c r="K43" s="650"/>
      <c r="L43" s="61">
        <v>0.30480000000000002</v>
      </c>
      <c r="M43" s="62" t="s">
        <v>113</v>
      </c>
      <c r="N43" s="63">
        <v>1</v>
      </c>
      <c r="O43" s="64" t="s">
        <v>114</v>
      </c>
      <c r="P43" s="650"/>
      <c r="Q43" s="61">
        <v>9.9999999999999995E-8</v>
      </c>
      <c r="R43" s="62" t="s">
        <v>113</v>
      </c>
      <c r="S43" s="63">
        <v>1</v>
      </c>
      <c r="T43" s="64" t="s">
        <v>114</v>
      </c>
      <c r="U43" s="650"/>
      <c r="V43" s="61">
        <v>1E-8</v>
      </c>
      <c r="W43" s="62" t="s">
        <v>113</v>
      </c>
      <c r="X43" s="63"/>
      <c r="Y43" s="64" t="s">
        <v>114</v>
      </c>
      <c r="Z43" s="650"/>
      <c r="AA43" s="61">
        <v>1E-14</v>
      </c>
      <c r="AB43" s="62" t="s">
        <v>113</v>
      </c>
      <c r="AC43" s="63"/>
      <c r="AD43" s="64" t="s">
        <v>114</v>
      </c>
      <c r="AE43" s="665"/>
      <c r="AF43" s="61">
        <v>1.524</v>
      </c>
      <c r="AG43" s="62" t="s">
        <v>113</v>
      </c>
      <c r="AH43" s="63">
        <v>1</v>
      </c>
      <c r="AI43" s="64" t="s">
        <v>114</v>
      </c>
      <c r="AJ43" s="665"/>
      <c r="AK43" s="61">
        <v>9.9999999999999998E-13</v>
      </c>
      <c r="AL43" s="62" t="s">
        <v>113</v>
      </c>
      <c r="AM43" s="63"/>
      <c r="AN43" s="64" t="s">
        <v>114</v>
      </c>
      <c r="AO43" s="665"/>
      <c r="AP43" s="61">
        <v>1E-13</v>
      </c>
      <c r="AQ43" s="62" t="s">
        <v>113</v>
      </c>
      <c r="AR43" s="63">
        <v>1</v>
      </c>
      <c r="AS43" s="64" t="s">
        <v>114</v>
      </c>
      <c r="AT43" s="665"/>
      <c r="AU43" s="61">
        <v>3.6576</v>
      </c>
      <c r="AV43" s="62" t="s">
        <v>113</v>
      </c>
      <c r="AW43" s="63"/>
      <c r="AX43" s="64" t="s">
        <v>114</v>
      </c>
      <c r="AY43" s="665"/>
      <c r="AZ43" s="508">
        <v>9.9999999999999998E-13</v>
      </c>
      <c r="BA43" s="579" t="s">
        <v>113</v>
      </c>
      <c r="BB43" s="510">
        <v>1</v>
      </c>
      <c r="BC43" s="580" t="s">
        <v>114</v>
      </c>
      <c r="BD43" s="665"/>
      <c r="BE43" s="61">
        <v>2.8956</v>
      </c>
      <c r="BF43" s="62" t="s">
        <v>113</v>
      </c>
      <c r="BG43" s="63">
        <v>1</v>
      </c>
      <c r="BH43" s="64" t="s">
        <v>114</v>
      </c>
      <c r="BI43" s="665"/>
      <c r="BJ43" s="61">
        <v>0.50800000000000001</v>
      </c>
      <c r="BK43" s="62" t="s">
        <v>113</v>
      </c>
      <c r="BL43" s="63"/>
      <c r="BM43" s="64" t="s">
        <v>114</v>
      </c>
      <c r="BN43" s="665"/>
      <c r="BO43" s="61">
        <v>9.9999999999999995E-8</v>
      </c>
      <c r="BP43" s="62" t="s">
        <v>113</v>
      </c>
      <c r="BQ43" s="63">
        <v>1</v>
      </c>
      <c r="BR43" s="64" t="s">
        <v>114</v>
      </c>
      <c r="BW43" s="27"/>
      <c r="BX43" s="27"/>
      <c r="BY43" s="27"/>
      <c r="BZ43" s="27"/>
      <c r="CA43" s="27"/>
      <c r="CB43" s="27"/>
      <c r="CC43" s="27"/>
      <c r="CD43" s="27"/>
      <c r="CE43" s="27"/>
      <c r="ED43" s="57"/>
      <c r="EE43" s="57"/>
      <c r="EF43" s="57"/>
      <c r="EG43" s="57"/>
      <c r="EH43" s="57"/>
    </row>
    <row r="44" spans="1:138" ht="36" customHeight="1" thickTop="1" x14ac:dyDescent="0.25">
      <c r="A44" s="660" t="s">
        <v>110</v>
      </c>
      <c r="B44" s="661"/>
      <c r="C44" s="662">
        <f t="shared" ref="C44" si="87">B49/((42*3.1415/59)*(94/3.281))</f>
        <v>1.6254050596639008E-2</v>
      </c>
      <c r="D44" s="662"/>
      <c r="E44" s="663"/>
      <c r="F44" s="660" t="s">
        <v>110</v>
      </c>
      <c r="G44" s="661"/>
      <c r="H44" s="662">
        <f t="shared" ref="H44" si="88">G49/((42*3.1415/59)*(94/3.281))</f>
        <v>2.1804214215003545E-2</v>
      </c>
      <c r="I44" s="662"/>
      <c r="J44" s="663"/>
      <c r="K44" s="668" t="s">
        <v>110</v>
      </c>
      <c r="L44" s="669"/>
      <c r="M44" s="670">
        <f>L49/((42*3.1415/59)*(104/3.281))</f>
        <v>2.1499260170038458E-2</v>
      </c>
      <c r="N44" s="670"/>
      <c r="O44" s="671"/>
      <c r="P44" s="668" t="s">
        <v>110</v>
      </c>
      <c r="Q44" s="669"/>
      <c r="R44" s="670">
        <f t="shared" ref="R44" si="89">Q49/((42*3.1415/59)*(104/3.281))</f>
        <v>3.9415310311737171E-3</v>
      </c>
      <c r="S44" s="670"/>
      <c r="T44" s="671"/>
      <c r="U44" s="668" t="s">
        <v>110</v>
      </c>
      <c r="V44" s="669"/>
      <c r="W44" s="670">
        <f t="shared" ref="W44" si="90">V49/((42*3.1415/59)*(104/3.281))</f>
        <v>6.4497780510115376E-3</v>
      </c>
      <c r="X44" s="670"/>
      <c r="Y44" s="671"/>
      <c r="Z44" s="668" t="s">
        <v>110</v>
      </c>
      <c r="AA44" s="669"/>
      <c r="AB44" s="670">
        <f t="shared" ref="AB44" si="91">AA49/((42*3.1415/59)*(104/3.281))</f>
        <v>1.9349334153034612E-2</v>
      </c>
      <c r="AC44" s="670"/>
      <c r="AD44" s="671"/>
      <c r="AE44" s="668" t="s">
        <v>110</v>
      </c>
      <c r="AF44" s="669"/>
      <c r="AG44" s="670">
        <f t="shared" ref="AG44" si="92">AF49/((42*3.1415/59)*(104/3.281))</f>
        <v>1.410712609582576E-12</v>
      </c>
      <c r="AH44" s="670"/>
      <c r="AI44" s="671"/>
      <c r="AJ44" s="668" t="s">
        <v>110</v>
      </c>
      <c r="AK44" s="669"/>
      <c r="AL44" s="670">
        <f t="shared" ref="AL44" si="93">AK49/((42*3.1415/59)*(104/3.281))</f>
        <v>1.4107126095825759E-13</v>
      </c>
      <c r="AM44" s="670"/>
      <c r="AN44" s="671"/>
      <c r="AO44" s="668" t="s">
        <v>110</v>
      </c>
      <c r="AP44" s="669"/>
      <c r="AQ44" s="670">
        <f t="shared" ref="AQ44" si="94">AP49/((42*3.1415/59)*(104/3.281))</f>
        <v>1.4107126095825761E-19</v>
      </c>
      <c r="AR44" s="670"/>
      <c r="AS44" s="671"/>
      <c r="AT44" s="668" t="s">
        <v>110</v>
      </c>
      <c r="AU44" s="669"/>
      <c r="AV44" s="670">
        <f t="shared" ref="AV44" si="95">AU49/((42*3.1415/59)*(104/3.281))</f>
        <v>3.9415310311737171E-3</v>
      </c>
      <c r="AW44" s="670"/>
      <c r="AX44" s="671"/>
      <c r="AY44" s="668" t="s">
        <v>110</v>
      </c>
      <c r="AZ44" s="669"/>
      <c r="BA44" s="670">
        <f t="shared" ref="BA44" si="96">AZ49/((42*3.1415/59)*(104/3.281))</f>
        <v>3.9415310311737171E-3</v>
      </c>
      <c r="BB44" s="670"/>
      <c r="BC44" s="671"/>
      <c r="BD44" s="668" t="s">
        <v>110</v>
      </c>
      <c r="BE44" s="669"/>
      <c r="BF44" s="670">
        <f t="shared" ref="BF44" si="97">BE49/((42*3.1415/59)*(104/3.281))</f>
        <v>1.0749630085019229E-2</v>
      </c>
      <c r="BG44" s="670"/>
      <c r="BH44" s="671"/>
      <c r="BI44" s="668" t="s">
        <v>110</v>
      </c>
      <c r="BJ44" s="669"/>
      <c r="BK44" s="670">
        <f t="shared" ref="BK44" si="98">BJ49/((42*3.1415/59)*(104/3.281))</f>
        <v>1.410712609582576E-12</v>
      </c>
      <c r="BL44" s="670"/>
      <c r="BM44" s="671"/>
      <c r="BN44" s="668" t="s">
        <v>110</v>
      </c>
      <c r="BO44" s="669"/>
      <c r="BP44" s="670">
        <f t="shared" ref="BP44" si="99">BO49/((42*3.1415/59)*(104/3.281))</f>
        <v>1.410712609582576E-12</v>
      </c>
      <c r="BQ44" s="670"/>
      <c r="BR44" s="671"/>
      <c r="ED44" s="57"/>
      <c r="EE44" s="57"/>
      <c r="EF44" s="57"/>
      <c r="EG44" s="57"/>
      <c r="EH44" s="57"/>
    </row>
    <row r="45" spans="1:138" ht="6.75" customHeight="1" x14ac:dyDescent="0.25">
      <c r="A45" s="591" t="s">
        <v>672</v>
      </c>
      <c r="B45" s="592"/>
      <c r="C45" s="592"/>
      <c r="D45" s="592"/>
      <c r="E45" s="593"/>
      <c r="F45" s="591" t="s">
        <v>672</v>
      </c>
      <c r="G45" s="592"/>
      <c r="H45" s="592"/>
      <c r="I45" s="592"/>
      <c r="J45" s="593"/>
      <c r="K45" s="591" t="s">
        <v>672</v>
      </c>
      <c r="L45" s="592"/>
      <c r="M45" s="592"/>
      <c r="N45" s="592"/>
      <c r="O45" s="593"/>
      <c r="P45" s="591" t="s">
        <v>672</v>
      </c>
      <c r="Q45" s="592"/>
      <c r="R45" s="592"/>
      <c r="S45" s="592"/>
      <c r="T45" s="593"/>
      <c r="U45" s="591" t="s">
        <v>672</v>
      </c>
      <c r="V45" s="592"/>
      <c r="W45" s="592"/>
      <c r="X45" s="592"/>
      <c r="Y45" s="593"/>
      <c r="Z45" s="591" t="s">
        <v>672</v>
      </c>
      <c r="AA45" s="592"/>
      <c r="AB45" s="592"/>
      <c r="AC45" s="592"/>
      <c r="AD45" s="593"/>
      <c r="AE45" s="591" t="s">
        <v>672</v>
      </c>
      <c r="AF45" s="592"/>
      <c r="AG45" s="592"/>
      <c r="AH45" s="592"/>
      <c r="AI45" s="593"/>
      <c r="AJ45" s="591" t="s">
        <v>672</v>
      </c>
      <c r="AK45" s="592"/>
      <c r="AL45" s="592"/>
      <c r="AM45" s="592"/>
      <c r="AN45" s="593"/>
      <c r="AO45" s="591" t="s">
        <v>672</v>
      </c>
      <c r="AP45" s="592"/>
      <c r="AQ45" s="592"/>
      <c r="AR45" s="592"/>
      <c r="AS45" s="593"/>
      <c r="AT45" s="591" t="s">
        <v>672</v>
      </c>
      <c r="AU45" s="592"/>
      <c r="AV45" s="592"/>
      <c r="AW45" s="592"/>
      <c r="AX45" s="593"/>
      <c r="AY45" s="591" t="s">
        <v>672</v>
      </c>
      <c r="AZ45" s="592"/>
      <c r="BA45" s="592"/>
      <c r="BB45" s="592"/>
      <c r="BC45" s="593"/>
      <c r="BD45" s="591" t="s">
        <v>672</v>
      </c>
      <c r="BE45" s="592"/>
      <c r="BF45" s="592"/>
      <c r="BG45" s="592"/>
      <c r="BH45" s="593"/>
      <c r="BI45" s="591" t="s">
        <v>672</v>
      </c>
      <c r="BJ45" s="592"/>
      <c r="BK45" s="592"/>
      <c r="BL45" s="592"/>
      <c r="BM45" s="593"/>
      <c r="BN45" s="591" t="s">
        <v>672</v>
      </c>
      <c r="BO45" s="592"/>
      <c r="BP45" s="592"/>
      <c r="BQ45" s="592"/>
      <c r="BR45" s="593"/>
      <c r="ED45" s="57"/>
      <c r="EE45" s="57"/>
      <c r="EF45" s="57"/>
      <c r="EG45" s="57"/>
      <c r="EH45" s="57"/>
    </row>
    <row r="46" spans="1:138" ht="18" customHeight="1" x14ac:dyDescent="0.25">
      <c r="A46" s="594"/>
      <c r="B46" s="595"/>
      <c r="C46" s="595"/>
      <c r="D46" s="595"/>
      <c r="E46" s="596"/>
      <c r="F46" s="594"/>
      <c r="G46" s="595"/>
      <c r="H46" s="595"/>
      <c r="I46" s="595"/>
      <c r="J46" s="596"/>
      <c r="K46" s="594"/>
      <c r="L46" s="595"/>
      <c r="M46" s="595"/>
      <c r="N46" s="595"/>
      <c r="O46" s="596"/>
      <c r="P46" s="594"/>
      <c r="Q46" s="595"/>
      <c r="R46" s="595"/>
      <c r="S46" s="595"/>
      <c r="T46" s="596"/>
      <c r="U46" s="594"/>
      <c r="V46" s="595"/>
      <c r="W46" s="595"/>
      <c r="X46" s="595"/>
      <c r="Y46" s="596"/>
      <c r="Z46" s="594"/>
      <c r="AA46" s="595"/>
      <c r="AB46" s="595"/>
      <c r="AC46" s="595"/>
      <c r="AD46" s="596"/>
      <c r="AE46" s="594"/>
      <c r="AF46" s="595"/>
      <c r="AG46" s="595"/>
      <c r="AH46" s="595"/>
      <c r="AI46" s="596"/>
      <c r="AJ46" s="594"/>
      <c r="AK46" s="595"/>
      <c r="AL46" s="595"/>
      <c r="AM46" s="595"/>
      <c r="AN46" s="596"/>
      <c r="AO46" s="594"/>
      <c r="AP46" s="595"/>
      <c r="AQ46" s="595"/>
      <c r="AR46" s="595"/>
      <c r="AS46" s="596"/>
      <c r="AT46" s="594"/>
      <c r="AU46" s="595"/>
      <c r="AV46" s="595"/>
      <c r="AW46" s="595"/>
      <c r="AX46" s="596"/>
      <c r="AY46" s="594"/>
      <c r="AZ46" s="595"/>
      <c r="BA46" s="595"/>
      <c r="BB46" s="595"/>
      <c r="BC46" s="596"/>
      <c r="BD46" s="594"/>
      <c r="BE46" s="595"/>
      <c r="BF46" s="595"/>
      <c r="BG46" s="595"/>
      <c r="BH46" s="596"/>
      <c r="BI46" s="594"/>
      <c r="BJ46" s="595"/>
      <c r="BK46" s="595"/>
      <c r="BL46" s="595"/>
      <c r="BM46" s="596"/>
      <c r="BN46" s="594"/>
      <c r="BO46" s="595"/>
      <c r="BP46" s="595"/>
      <c r="BQ46" s="595"/>
      <c r="BR46" s="596"/>
      <c r="ED46" s="57"/>
      <c r="EE46" s="57"/>
      <c r="EF46" s="57"/>
      <c r="EG46" s="57"/>
      <c r="EH46" s="57"/>
    </row>
    <row r="47" spans="1:138" ht="6" customHeight="1" x14ac:dyDescent="0.25">
      <c r="A47" s="597"/>
      <c r="B47" s="598"/>
      <c r="C47" s="598"/>
      <c r="D47" s="598"/>
      <c r="E47" s="599"/>
      <c r="F47" s="597"/>
      <c r="G47" s="598"/>
      <c r="H47" s="598"/>
      <c r="I47" s="598"/>
      <c r="J47" s="599"/>
      <c r="K47" s="597"/>
      <c r="L47" s="598"/>
      <c r="M47" s="598"/>
      <c r="N47" s="598"/>
      <c r="O47" s="599"/>
      <c r="P47" s="597"/>
      <c r="Q47" s="598"/>
      <c r="R47" s="598"/>
      <c r="S47" s="598"/>
      <c r="T47" s="599"/>
      <c r="U47" s="597"/>
      <c r="V47" s="598"/>
      <c r="W47" s="598"/>
      <c r="X47" s="598"/>
      <c r="Y47" s="599"/>
      <c r="Z47" s="597"/>
      <c r="AA47" s="598"/>
      <c r="AB47" s="598"/>
      <c r="AC47" s="598"/>
      <c r="AD47" s="599"/>
      <c r="AE47" s="597"/>
      <c r="AF47" s="598"/>
      <c r="AG47" s="598"/>
      <c r="AH47" s="598"/>
      <c r="AI47" s="599"/>
      <c r="AJ47" s="597"/>
      <c r="AK47" s="598"/>
      <c r="AL47" s="598"/>
      <c r="AM47" s="598"/>
      <c r="AN47" s="599"/>
      <c r="AO47" s="597"/>
      <c r="AP47" s="598"/>
      <c r="AQ47" s="598"/>
      <c r="AR47" s="598"/>
      <c r="AS47" s="599"/>
      <c r="AT47" s="597"/>
      <c r="AU47" s="598"/>
      <c r="AV47" s="598"/>
      <c r="AW47" s="598"/>
      <c r="AX47" s="599"/>
      <c r="AY47" s="597"/>
      <c r="AZ47" s="598"/>
      <c r="BA47" s="598"/>
      <c r="BB47" s="598"/>
      <c r="BC47" s="599"/>
      <c r="BD47" s="597"/>
      <c r="BE47" s="598"/>
      <c r="BF47" s="598"/>
      <c r="BG47" s="598"/>
      <c r="BH47" s="599"/>
      <c r="BI47" s="597"/>
      <c r="BJ47" s="598"/>
      <c r="BK47" s="598"/>
      <c r="BL47" s="598"/>
      <c r="BM47" s="599"/>
      <c r="BN47" s="597"/>
      <c r="BO47" s="598"/>
      <c r="BP47" s="598"/>
      <c r="BQ47" s="598"/>
      <c r="BR47" s="599"/>
    </row>
    <row r="48" spans="1:138" s="22" customFormat="1" ht="91.5" customHeight="1" x14ac:dyDescent="1.35">
      <c r="A48" s="664" t="s">
        <v>678</v>
      </c>
      <c r="B48" s="588">
        <v>97</v>
      </c>
      <c r="C48" s="589"/>
      <c r="D48" s="589"/>
      <c r="E48" s="590"/>
      <c r="F48" s="664" t="s">
        <v>678</v>
      </c>
      <c r="G48" s="588">
        <v>98</v>
      </c>
      <c r="H48" s="589"/>
      <c r="I48" s="589"/>
      <c r="J48" s="590"/>
      <c r="K48" s="666" t="s">
        <v>679</v>
      </c>
      <c r="L48" s="588">
        <v>89</v>
      </c>
      <c r="M48" s="589"/>
      <c r="N48" s="589"/>
      <c r="O48" s="590"/>
      <c r="P48" s="666" t="s">
        <v>679</v>
      </c>
      <c r="Q48" s="588">
        <v>91</v>
      </c>
      <c r="R48" s="589"/>
      <c r="S48" s="589"/>
      <c r="T48" s="590"/>
      <c r="U48" s="666" t="s">
        <v>679</v>
      </c>
      <c r="V48" s="636">
        <v>100</v>
      </c>
      <c r="W48" s="637"/>
      <c r="X48" s="637"/>
      <c r="Y48" s="638"/>
      <c r="Z48" s="666" t="s">
        <v>679</v>
      </c>
      <c r="AA48" s="588">
        <v>101</v>
      </c>
      <c r="AB48" s="589"/>
      <c r="AC48" s="589"/>
      <c r="AD48" s="590"/>
      <c r="AE48" s="666" t="s">
        <v>679</v>
      </c>
      <c r="AF48" s="588">
        <v>102</v>
      </c>
      <c r="AG48" s="589"/>
      <c r="AH48" s="589"/>
      <c r="AI48" s="590"/>
      <c r="AJ48" s="666" t="s">
        <v>679</v>
      </c>
      <c r="AK48" s="588">
        <v>103</v>
      </c>
      <c r="AL48" s="589"/>
      <c r="AM48" s="589"/>
      <c r="AN48" s="590"/>
      <c r="AO48" s="666" t="s">
        <v>679</v>
      </c>
      <c r="AP48" s="588">
        <v>104</v>
      </c>
      <c r="AQ48" s="589"/>
      <c r="AR48" s="589"/>
      <c r="AS48" s="590"/>
      <c r="AT48" s="666" t="s">
        <v>679</v>
      </c>
      <c r="AU48" s="588">
        <v>105</v>
      </c>
      <c r="AV48" s="589"/>
      <c r="AW48" s="589"/>
      <c r="AX48" s="590"/>
      <c r="AY48" s="666" t="s">
        <v>679</v>
      </c>
      <c r="AZ48" s="588">
        <v>106</v>
      </c>
      <c r="BA48" s="589"/>
      <c r="BB48" s="589"/>
      <c r="BC48" s="590"/>
      <c r="BD48" s="666" t="s">
        <v>679</v>
      </c>
      <c r="BE48" s="588">
        <v>107</v>
      </c>
      <c r="BF48" s="589"/>
      <c r="BG48" s="589"/>
      <c r="BH48" s="590"/>
      <c r="BI48" s="666" t="s">
        <v>679</v>
      </c>
      <c r="BJ48" s="588">
        <v>108</v>
      </c>
      <c r="BK48" s="589"/>
      <c r="BL48" s="589"/>
      <c r="BM48" s="590"/>
      <c r="BN48" s="666" t="s">
        <v>679</v>
      </c>
      <c r="BO48" s="588">
        <v>109</v>
      </c>
      <c r="BP48" s="589"/>
      <c r="BQ48" s="589"/>
      <c r="BR48" s="590"/>
    </row>
    <row r="49" spans="1:83" ht="50.25" customHeight="1" thickBot="1" x14ac:dyDescent="0.3">
      <c r="A49" s="665"/>
      <c r="B49" s="61">
        <v>1.0414000000000001</v>
      </c>
      <c r="C49" s="62" t="s">
        <v>113</v>
      </c>
      <c r="D49" s="63">
        <v>1</v>
      </c>
      <c r="E49" s="64" t="s">
        <v>114</v>
      </c>
      <c r="F49" s="665"/>
      <c r="G49" s="61">
        <v>1.397</v>
      </c>
      <c r="H49" s="62" t="s">
        <v>113</v>
      </c>
      <c r="I49" s="63">
        <v>1</v>
      </c>
      <c r="J49" s="64" t="s">
        <v>114</v>
      </c>
      <c r="K49" s="667"/>
      <c r="L49" s="61">
        <v>1.524</v>
      </c>
      <c r="M49" s="62" t="s">
        <v>113</v>
      </c>
      <c r="N49" s="63">
        <v>1</v>
      </c>
      <c r="O49" s="64" t="s">
        <v>114</v>
      </c>
      <c r="P49" s="667"/>
      <c r="Q49" s="61">
        <v>0.27939999999999998</v>
      </c>
      <c r="R49" s="62" t="s">
        <v>113</v>
      </c>
      <c r="S49" s="63">
        <v>1</v>
      </c>
      <c r="T49" s="64" t="s">
        <v>114</v>
      </c>
      <c r="U49" s="667"/>
      <c r="V49" s="508">
        <v>0.4572</v>
      </c>
      <c r="W49" s="579" t="s">
        <v>113</v>
      </c>
      <c r="X49" s="510">
        <v>1</v>
      </c>
      <c r="Y49" s="580" t="s">
        <v>114</v>
      </c>
      <c r="Z49" s="667"/>
      <c r="AA49" s="61">
        <v>1.3715999999999999</v>
      </c>
      <c r="AB49" s="62" t="s">
        <v>113</v>
      </c>
      <c r="AC49" s="63">
        <v>1</v>
      </c>
      <c r="AD49" s="64" t="s">
        <v>114</v>
      </c>
      <c r="AE49" s="667"/>
      <c r="AF49" s="61">
        <v>1E-10</v>
      </c>
      <c r="AG49" s="62" t="s">
        <v>113</v>
      </c>
      <c r="AH49" s="63">
        <v>1</v>
      </c>
      <c r="AI49" s="64" t="s">
        <v>114</v>
      </c>
      <c r="AJ49" s="667"/>
      <c r="AK49" s="61">
        <v>9.9999999999999994E-12</v>
      </c>
      <c r="AL49" s="62" t="s">
        <v>113</v>
      </c>
      <c r="AM49" s="63"/>
      <c r="AN49" s="64" t="s">
        <v>114</v>
      </c>
      <c r="AO49" s="667"/>
      <c r="AP49" s="61">
        <v>1.0000000000000001E-17</v>
      </c>
      <c r="AQ49" s="62" t="s">
        <v>113</v>
      </c>
      <c r="AR49" s="63">
        <v>1</v>
      </c>
      <c r="AS49" s="64" t="s">
        <v>114</v>
      </c>
      <c r="AT49" s="667"/>
      <c r="AU49" s="61">
        <v>0.27939999999999998</v>
      </c>
      <c r="AV49" s="62" t="s">
        <v>113</v>
      </c>
      <c r="AW49" s="63">
        <v>1</v>
      </c>
      <c r="AX49" s="64" t="s">
        <v>114</v>
      </c>
      <c r="AY49" s="667"/>
      <c r="AZ49" s="61">
        <v>0.27939999999999998</v>
      </c>
      <c r="BA49" s="62" t="s">
        <v>113</v>
      </c>
      <c r="BB49" s="63">
        <v>1</v>
      </c>
      <c r="BC49" s="64" t="s">
        <v>114</v>
      </c>
      <c r="BD49" s="667"/>
      <c r="BE49" s="61">
        <v>0.76200000000000001</v>
      </c>
      <c r="BF49" s="62" t="s">
        <v>113</v>
      </c>
      <c r="BG49" s="63"/>
      <c r="BH49" s="64" t="s">
        <v>114</v>
      </c>
      <c r="BI49" s="667"/>
      <c r="BJ49" s="61">
        <v>1E-10</v>
      </c>
      <c r="BK49" s="62" t="s">
        <v>113</v>
      </c>
      <c r="BL49" s="63"/>
      <c r="BM49" s="64" t="s">
        <v>114</v>
      </c>
      <c r="BN49" s="667"/>
      <c r="BO49" s="61">
        <v>1E-10</v>
      </c>
      <c r="BP49" s="62" t="s">
        <v>113</v>
      </c>
      <c r="BQ49" s="63">
        <v>1</v>
      </c>
      <c r="BR49" s="64" t="s">
        <v>114</v>
      </c>
      <c r="BW49" s="27"/>
      <c r="BX49" s="27"/>
      <c r="BY49" s="27"/>
      <c r="BZ49" s="27"/>
      <c r="CA49" s="27"/>
      <c r="CB49" s="27"/>
      <c r="CC49" s="27"/>
      <c r="CD49" s="27"/>
      <c r="CE49" s="27"/>
    </row>
    <row r="50" spans="1:83" ht="26.1" hidden="1" customHeight="1" thickTop="1" x14ac:dyDescent="0.25">
      <c r="A50" s="672"/>
      <c r="B50" s="672"/>
      <c r="C50" s="672"/>
      <c r="D50" s="673"/>
      <c r="E50" s="673"/>
      <c r="F50" s="672"/>
      <c r="G50" s="672"/>
      <c r="H50" s="672"/>
      <c r="I50" s="673"/>
      <c r="J50" s="673"/>
      <c r="K50" s="672"/>
      <c r="L50" s="672"/>
      <c r="M50" s="672"/>
      <c r="N50" s="673"/>
      <c r="O50" s="673"/>
      <c r="P50" s="672"/>
      <c r="Q50" s="672"/>
      <c r="R50" s="672"/>
      <c r="S50" s="673"/>
      <c r="T50" s="673"/>
      <c r="U50" s="674"/>
      <c r="V50" s="674"/>
      <c r="W50" s="674"/>
      <c r="X50" s="675"/>
      <c r="Y50" s="675"/>
      <c r="Z50" s="674"/>
      <c r="AA50" s="674"/>
      <c r="AB50" s="674"/>
      <c r="AC50" s="675"/>
      <c r="AD50" s="675"/>
      <c r="AE50" s="674"/>
      <c r="AF50" s="674"/>
      <c r="AG50" s="674"/>
      <c r="AH50" s="675"/>
      <c r="AI50" s="675"/>
      <c r="AJ50" s="674"/>
      <c r="AK50" s="674"/>
      <c r="AL50" s="674"/>
      <c r="AM50" s="675"/>
      <c r="AN50" s="675"/>
      <c r="AO50" s="674"/>
      <c r="AP50" s="674"/>
      <c r="AQ50" s="674"/>
      <c r="AR50" s="675"/>
      <c r="AS50" s="675"/>
      <c r="AT50" s="674"/>
      <c r="AU50" s="674"/>
      <c r="AV50" s="674"/>
      <c r="AW50" s="675"/>
      <c r="AX50" s="675"/>
      <c r="AY50" s="674"/>
      <c r="AZ50" s="674"/>
      <c r="BA50" s="674"/>
      <c r="BB50" s="675"/>
      <c r="BC50" s="675"/>
      <c r="BD50" s="674"/>
      <c r="BE50" s="674"/>
      <c r="BF50" s="674"/>
      <c r="BG50" s="675"/>
      <c r="BH50" s="675"/>
      <c r="BI50" s="674"/>
      <c r="BJ50" s="674"/>
      <c r="BK50" s="674"/>
      <c r="BL50" s="675"/>
      <c r="BM50" s="675"/>
      <c r="BN50" s="674"/>
      <c r="BO50" s="674"/>
      <c r="BP50" s="674"/>
      <c r="BQ50" s="675"/>
      <c r="BR50" s="675"/>
    </row>
    <row r="51" spans="1:83" ht="6.75" hidden="1" customHeight="1" x14ac:dyDescent="0.25">
      <c r="A51" s="676"/>
      <c r="B51" s="676"/>
      <c r="C51" s="676"/>
      <c r="D51" s="29"/>
      <c r="E51" s="29"/>
      <c r="F51" s="676"/>
      <c r="G51" s="676"/>
      <c r="H51" s="676"/>
      <c r="I51" s="29"/>
      <c r="J51" s="29"/>
      <c r="K51" s="676"/>
      <c r="L51" s="676"/>
      <c r="M51" s="676"/>
      <c r="N51" s="29"/>
      <c r="O51" s="29"/>
      <c r="P51" s="676"/>
      <c r="Q51" s="676"/>
      <c r="R51" s="676"/>
      <c r="S51" s="29"/>
      <c r="T51" s="29"/>
      <c r="U51" s="676"/>
      <c r="V51" s="676"/>
      <c r="W51" s="676"/>
      <c r="X51" s="29"/>
      <c r="Y51" s="29"/>
      <c r="Z51" s="676"/>
      <c r="AA51" s="676"/>
      <c r="AB51" s="676"/>
      <c r="AC51" s="29"/>
      <c r="AD51" s="29"/>
      <c r="AE51" s="676"/>
      <c r="AF51" s="676"/>
      <c r="AG51" s="676"/>
      <c r="AH51" s="29"/>
      <c r="AI51" s="29"/>
      <c r="AJ51" s="676"/>
      <c r="AK51" s="676"/>
      <c r="AL51" s="676"/>
      <c r="AM51" s="29"/>
      <c r="AN51" s="29"/>
      <c r="AO51" s="676"/>
      <c r="AP51" s="676"/>
      <c r="AQ51" s="676"/>
      <c r="AR51" s="29"/>
      <c r="AS51" s="29"/>
      <c r="AT51" s="676"/>
      <c r="AU51" s="676"/>
      <c r="AV51" s="676"/>
      <c r="AW51" s="29"/>
      <c r="AX51" s="29"/>
      <c r="AY51" s="676"/>
      <c r="AZ51" s="676"/>
      <c r="BA51" s="676"/>
      <c r="BB51" s="29"/>
      <c r="BC51" s="29"/>
      <c r="BD51" s="676"/>
      <c r="BE51" s="676"/>
      <c r="BF51" s="676"/>
      <c r="BG51" s="29"/>
      <c r="BH51" s="29"/>
      <c r="BI51" s="676"/>
      <c r="BJ51" s="676"/>
      <c r="BK51" s="676"/>
      <c r="BL51" s="29"/>
      <c r="BM51" s="29"/>
      <c r="BN51" s="676"/>
      <c r="BO51" s="676"/>
      <c r="BP51" s="676"/>
      <c r="BQ51" s="29"/>
      <c r="BR51" s="29"/>
    </row>
    <row r="52" spans="1:83" ht="21.95" hidden="1" customHeight="1" x14ac:dyDescent="0.25">
      <c r="A52" s="676"/>
      <c r="B52" s="676"/>
      <c r="C52" s="676"/>
      <c r="D52" s="30"/>
      <c r="E52" s="29"/>
      <c r="F52" s="676"/>
      <c r="G52" s="676"/>
      <c r="H52" s="676"/>
      <c r="I52" s="30"/>
      <c r="J52" s="29"/>
      <c r="K52" s="676"/>
      <c r="L52" s="676"/>
      <c r="M52" s="676"/>
      <c r="N52" s="30"/>
      <c r="O52" s="29"/>
      <c r="P52" s="676"/>
      <c r="Q52" s="676"/>
      <c r="R52" s="676"/>
      <c r="S52" s="30"/>
      <c r="T52" s="29"/>
      <c r="U52" s="676"/>
      <c r="V52" s="676"/>
      <c r="W52" s="676"/>
      <c r="X52" s="30"/>
      <c r="Y52" s="29"/>
      <c r="Z52" s="676"/>
      <c r="AA52" s="676"/>
      <c r="AB52" s="676"/>
      <c r="AC52" s="30"/>
      <c r="AD52" s="29"/>
      <c r="AE52" s="676"/>
      <c r="AF52" s="676"/>
      <c r="AG52" s="676"/>
      <c r="AH52" s="30"/>
      <c r="AI52" s="29"/>
      <c r="AJ52" s="676"/>
      <c r="AK52" s="676"/>
      <c r="AL52" s="676"/>
      <c r="AM52" s="30"/>
      <c r="AN52" s="29"/>
      <c r="AO52" s="676"/>
      <c r="AP52" s="676"/>
      <c r="AQ52" s="676"/>
      <c r="AR52" s="30"/>
      <c r="AS52" s="29"/>
      <c r="AT52" s="676"/>
      <c r="AU52" s="676"/>
      <c r="AV52" s="676"/>
      <c r="AW52" s="30"/>
      <c r="AX52" s="29"/>
      <c r="AY52" s="676"/>
      <c r="AZ52" s="676"/>
      <c r="BA52" s="676"/>
      <c r="BB52" s="30"/>
      <c r="BC52" s="29"/>
      <c r="BD52" s="676"/>
      <c r="BE52" s="676"/>
      <c r="BF52" s="676"/>
      <c r="BG52" s="30"/>
      <c r="BH52" s="29"/>
      <c r="BI52" s="676"/>
      <c r="BJ52" s="676"/>
      <c r="BK52" s="676"/>
      <c r="BL52" s="30"/>
      <c r="BM52" s="29"/>
      <c r="BN52" s="676"/>
      <c r="BO52" s="676"/>
      <c r="BP52" s="676"/>
      <c r="BQ52" s="30"/>
      <c r="BR52" s="29"/>
    </row>
    <row r="53" spans="1:83" ht="6" hidden="1" customHeight="1" x14ac:dyDescent="0.25">
      <c r="A53" s="676"/>
      <c r="B53" s="676"/>
      <c r="C53" s="676"/>
      <c r="D53" s="675"/>
      <c r="E53" s="675"/>
      <c r="F53" s="676"/>
      <c r="G53" s="676"/>
      <c r="H53" s="676"/>
      <c r="I53" s="675"/>
      <c r="J53" s="675"/>
      <c r="K53" s="676"/>
      <c r="L53" s="676"/>
      <c r="M53" s="676"/>
      <c r="N53" s="675"/>
      <c r="O53" s="675"/>
      <c r="P53" s="676"/>
      <c r="Q53" s="676"/>
      <c r="R53" s="676"/>
      <c r="S53" s="675"/>
      <c r="T53" s="675"/>
      <c r="U53" s="676"/>
      <c r="V53" s="676"/>
      <c r="W53" s="676"/>
      <c r="X53" s="675"/>
      <c r="Y53" s="675"/>
      <c r="Z53" s="676"/>
      <c r="AA53" s="676"/>
      <c r="AB53" s="676"/>
      <c r="AC53" s="675"/>
      <c r="AD53" s="675"/>
      <c r="AE53" s="676"/>
      <c r="AF53" s="676"/>
      <c r="AG53" s="676"/>
      <c r="AH53" s="675"/>
      <c r="AI53" s="675"/>
      <c r="AJ53" s="676"/>
      <c r="AK53" s="676"/>
      <c r="AL53" s="676"/>
      <c r="AM53" s="675"/>
      <c r="AN53" s="675"/>
      <c r="AO53" s="676"/>
      <c r="AP53" s="676"/>
      <c r="AQ53" s="676"/>
      <c r="AR53" s="675"/>
      <c r="AS53" s="675"/>
      <c r="AT53" s="676"/>
      <c r="AU53" s="676"/>
      <c r="AV53" s="676"/>
      <c r="AW53" s="675"/>
      <c r="AX53" s="675"/>
      <c r="AY53" s="676"/>
      <c r="AZ53" s="676"/>
      <c r="BA53" s="676"/>
      <c r="BB53" s="675"/>
      <c r="BC53" s="675"/>
      <c r="BD53" s="676"/>
      <c r="BE53" s="676"/>
      <c r="BF53" s="676"/>
      <c r="BG53" s="675"/>
      <c r="BH53" s="675"/>
      <c r="BI53" s="676"/>
      <c r="BJ53" s="676"/>
      <c r="BK53" s="676"/>
      <c r="BL53" s="675"/>
      <c r="BM53" s="675"/>
      <c r="BN53" s="676"/>
      <c r="BO53" s="676"/>
      <c r="BP53" s="676"/>
      <c r="BQ53" s="675"/>
      <c r="BR53" s="675"/>
    </row>
    <row r="54" spans="1:83" ht="60" hidden="1" thickTop="1" thickBot="1" x14ac:dyDescent="0.3">
      <c r="A54" s="677"/>
      <c r="B54" s="678"/>
      <c r="C54" s="678"/>
      <c r="D54" s="678"/>
      <c r="E54" s="678"/>
      <c r="F54" s="677"/>
      <c r="G54" s="678"/>
      <c r="H54" s="678"/>
      <c r="I54" s="678"/>
      <c r="J54" s="678"/>
      <c r="K54" s="677"/>
      <c r="L54" s="678"/>
      <c r="M54" s="678"/>
      <c r="N54" s="678"/>
      <c r="O54" s="678"/>
      <c r="P54" s="677"/>
      <c r="Q54" s="678"/>
      <c r="R54" s="678"/>
      <c r="S54" s="678"/>
      <c r="T54" s="678"/>
      <c r="U54" s="677"/>
      <c r="V54" s="678"/>
      <c r="W54" s="678"/>
      <c r="X54" s="678"/>
      <c r="Y54" s="678"/>
      <c r="Z54" s="677"/>
      <c r="AA54" s="678"/>
      <c r="AB54" s="678"/>
      <c r="AC54" s="678"/>
      <c r="AD54" s="678"/>
      <c r="AE54" s="677"/>
      <c r="AF54" s="678"/>
      <c r="AG54" s="678"/>
      <c r="AH54" s="678"/>
      <c r="AI54" s="678"/>
      <c r="AJ54" s="677"/>
      <c r="AK54" s="678"/>
      <c r="AL54" s="678"/>
      <c r="AM54" s="678"/>
      <c r="AN54" s="678"/>
      <c r="AO54" s="677"/>
      <c r="AP54" s="678"/>
      <c r="AQ54" s="678"/>
      <c r="AR54" s="678"/>
      <c r="AS54" s="678"/>
      <c r="AT54" s="677"/>
      <c r="AU54" s="678"/>
      <c r="AV54" s="678"/>
      <c r="AW54" s="678"/>
      <c r="AX54" s="678"/>
      <c r="AY54" s="677"/>
      <c r="AZ54" s="678"/>
      <c r="BA54" s="678"/>
      <c r="BB54" s="678"/>
      <c r="BC54" s="678"/>
      <c r="BD54" s="677"/>
      <c r="BE54" s="678"/>
      <c r="BF54" s="678"/>
      <c r="BG54" s="678"/>
      <c r="BH54" s="678"/>
      <c r="BI54" s="677"/>
      <c r="BJ54" s="678"/>
      <c r="BK54" s="678"/>
      <c r="BL54" s="678"/>
      <c r="BM54" s="678"/>
      <c r="BN54" s="677"/>
      <c r="BO54" s="678"/>
      <c r="BP54" s="678"/>
      <c r="BQ54" s="678"/>
      <c r="BR54" s="678"/>
    </row>
    <row r="55" spans="1:83" ht="27.75" hidden="1" thickTop="1" thickBot="1" x14ac:dyDescent="0.3">
      <c r="A55" s="677"/>
      <c r="B55" s="32"/>
      <c r="C55" s="33"/>
      <c r="D55" s="34"/>
      <c r="E55" s="35"/>
      <c r="F55" s="677"/>
      <c r="G55" s="32"/>
      <c r="H55" s="33"/>
      <c r="I55" s="34"/>
      <c r="J55" s="35"/>
      <c r="K55" s="677"/>
      <c r="L55" s="32"/>
      <c r="M55" s="33"/>
      <c r="N55" s="34"/>
      <c r="O55" s="35"/>
      <c r="P55" s="677"/>
      <c r="Q55" s="32"/>
      <c r="R55" s="33"/>
      <c r="S55" s="34"/>
      <c r="T55" s="35"/>
      <c r="U55" s="677"/>
      <c r="V55" s="32"/>
      <c r="W55" s="33"/>
      <c r="X55" s="34"/>
      <c r="Y55" s="35"/>
      <c r="Z55" s="677"/>
      <c r="AA55" s="32"/>
      <c r="AB55" s="33"/>
      <c r="AC55" s="34"/>
      <c r="AD55" s="35"/>
      <c r="AE55" s="677"/>
      <c r="AF55" s="32"/>
      <c r="AG55" s="33"/>
      <c r="AH55" s="34"/>
      <c r="AI55" s="35"/>
      <c r="AJ55" s="677"/>
      <c r="AK55" s="32"/>
      <c r="AL55" s="33"/>
      <c r="AM55" s="34"/>
      <c r="AN55" s="35"/>
      <c r="AO55" s="677"/>
      <c r="AP55" s="32"/>
      <c r="AQ55" s="33"/>
      <c r="AR55" s="34"/>
      <c r="AS55" s="35"/>
      <c r="AT55" s="677"/>
      <c r="AU55" s="32"/>
      <c r="AV55" s="33"/>
      <c r="AW55" s="34"/>
      <c r="AX55" s="35"/>
      <c r="AY55" s="677"/>
      <c r="AZ55" s="32"/>
      <c r="BA55" s="33"/>
      <c r="BB55" s="34"/>
      <c r="BC55" s="35"/>
      <c r="BD55" s="677"/>
      <c r="BE55" s="32"/>
      <c r="BF55" s="33"/>
      <c r="BG55" s="34"/>
      <c r="BH55" s="35"/>
      <c r="BI55" s="677"/>
      <c r="BJ55" s="32"/>
      <c r="BK55" s="33"/>
      <c r="BL55" s="34"/>
      <c r="BM55" s="35"/>
      <c r="BN55" s="677"/>
      <c r="BO55" s="32"/>
      <c r="BP55" s="33"/>
      <c r="BQ55" s="34"/>
      <c r="BR55" s="35"/>
      <c r="BW55" s="27"/>
      <c r="BX55" s="27"/>
      <c r="BY55" s="27"/>
      <c r="BZ55" s="27"/>
      <c r="CA55" s="27"/>
      <c r="CB55" s="27"/>
      <c r="CC55" s="27"/>
      <c r="CD55" s="27"/>
      <c r="CE55" s="27"/>
    </row>
    <row r="56" spans="1:83" ht="26.1" hidden="1" customHeight="1" x14ac:dyDescent="0.25">
      <c r="A56" s="674"/>
      <c r="B56" s="674"/>
      <c r="C56" s="674"/>
      <c r="D56" s="675"/>
      <c r="E56" s="675"/>
      <c r="F56" s="674"/>
      <c r="G56" s="674"/>
      <c r="H56" s="674"/>
      <c r="I56" s="675"/>
      <c r="J56" s="675"/>
      <c r="K56" s="674"/>
      <c r="L56" s="674"/>
      <c r="M56" s="674"/>
      <c r="N56" s="675"/>
      <c r="O56" s="675"/>
      <c r="P56" s="674"/>
      <c r="Q56" s="674"/>
      <c r="R56" s="674"/>
      <c r="S56" s="675"/>
      <c r="T56" s="675"/>
      <c r="U56" s="674"/>
      <c r="V56" s="674"/>
      <c r="W56" s="674"/>
      <c r="X56" s="675"/>
      <c r="Y56" s="675"/>
      <c r="Z56" s="674"/>
      <c r="AA56" s="674"/>
      <c r="AB56" s="674"/>
      <c r="AC56" s="675"/>
      <c r="AD56" s="675"/>
      <c r="AE56" s="674"/>
      <c r="AF56" s="674"/>
      <c r="AG56" s="674"/>
      <c r="AH56" s="675"/>
      <c r="AI56" s="675"/>
      <c r="AJ56" s="674"/>
      <c r="AK56" s="674"/>
      <c r="AL56" s="674"/>
      <c r="AM56" s="675"/>
      <c r="AN56" s="675"/>
      <c r="AO56" s="674"/>
      <c r="AP56" s="674"/>
      <c r="AQ56" s="674"/>
      <c r="AR56" s="675"/>
      <c r="AS56" s="675"/>
      <c r="AT56" s="674"/>
      <c r="AU56" s="674"/>
      <c r="AV56" s="674"/>
      <c r="AW56" s="675"/>
      <c r="AX56" s="675"/>
      <c r="AY56" s="674"/>
      <c r="AZ56" s="674"/>
      <c r="BA56" s="674"/>
      <c r="BB56" s="675"/>
      <c r="BC56" s="675"/>
      <c r="BD56" s="674"/>
      <c r="BE56" s="674"/>
      <c r="BF56" s="674"/>
      <c r="BG56" s="675"/>
      <c r="BH56" s="675"/>
      <c r="BI56" s="674"/>
      <c r="BJ56" s="674"/>
      <c r="BK56" s="674"/>
      <c r="BL56" s="675"/>
      <c r="BM56" s="675"/>
      <c r="BN56" s="674"/>
      <c r="BO56" s="674"/>
      <c r="BP56" s="674"/>
      <c r="BQ56" s="675"/>
      <c r="BR56" s="675"/>
    </row>
    <row r="57" spans="1:83" ht="6.75" hidden="1" customHeight="1" x14ac:dyDescent="0.25">
      <c r="A57" s="676"/>
      <c r="B57" s="676"/>
      <c r="C57" s="676"/>
      <c r="D57" s="29"/>
      <c r="E57" s="29"/>
      <c r="F57" s="676"/>
      <c r="G57" s="676"/>
      <c r="H57" s="676"/>
      <c r="I57" s="29"/>
      <c r="J57" s="29"/>
      <c r="K57" s="676"/>
      <c r="L57" s="676"/>
      <c r="M57" s="676"/>
      <c r="N57" s="29"/>
      <c r="O57" s="29"/>
      <c r="P57" s="676"/>
      <c r="Q57" s="676"/>
      <c r="R57" s="676"/>
      <c r="S57" s="29"/>
      <c r="T57" s="29"/>
      <c r="U57" s="676"/>
      <c r="V57" s="676"/>
      <c r="W57" s="676"/>
      <c r="X57" s="29"/>
      <c r="Y57" s="29"/>
      <c r="Z57" s="676"/>
      <c r="AA57" s="676"/>
      <c r="AB57" s="676"/>
      <c r="AC57" s="29"/>
      <c r="AD57" s="29"/>
      <c r="AE57" s="676"/>
      <c r="AF57" s="676"/>
      <c r="AG57" s="676"/>
      <c r="AH57" s="29"/>
      <c r="AI57" s="29"/>
      <c r="AJ57" s="676"/>
      <c r="AK57" s="676"/>
      <c r="AL57" s="676"/>
      <c r="AM57" s="29"/>
      <c r="AN57" s="29"/>
      <c r="AO57" s="676"/>
      <c r="AP57" s="676"/>
      <c r="AQ57" s="676"/>
      <c r="AR57" s="29"/>
      <c r="AS57" s="29"/>
      <c r="AT57" s="676"/>
      <c r="AU57" s="676"/>
      <c r="AV57" s="676"/>
      <c r="AW57" s="29"/>
      <c r="AX57" s="29"/>
      <c r="AY57" s="676"/>
      <c r="AZ57" s="676"/>
      <c r="BA57" s="676"/>
      <c r="BB57" s="29"/>
      <c r="BC57" s="29"/>
      <c r="BD57" s="676"/>
      <c r="BE57" s="676"/>
      <c r="BF57" s="676"/>
      <c r="BG57" s="29"/>
      <c r="BH57" s="29"/>
      <c r="BI57" s="676"/>
      <c r="BJ57" s="676"/>
      <c r="BK57" s="676"/>
      <c r="BL57" s="29"/>
      <c r="BM57" s="29"/>
      <c r="BN57" s="676"/>
      <c r="BO57" s="676"/>
      <c r="BP57" s="676"/>
      <c r="BQ57" s="29"/>
      <c r="BR57" s="29"/>
    </row>
    <row r="58" spans="1:83" ht="21.95" hidden="1" customHeight="1" x14ac:dyDescent="0.25">
      <c r="A58" s="676"/>
      <c r="B58" s="676"/>
      <c r="C58" s="676"/>
      <c r="D58" s="30"/>
      <c r="E58" s="29"/>
      <c r="F58" s="676"/>
      <c r="G58" s="676"/>
      <c r="H58" s="676"/>
      <c r="I58" s="30"/>
      <c r="J58" s="29"/>
      <c r="K58" s="676"/>
      <c r="L58" s="676"/>
      <c r="M58" s="676"/>
      <c r="N58" s="30"/>
      <c r="O58" s="29"/>
      <c r="P58" s="676"/>
      <c r="Q58" s="676"/>
      <c r="R58" s="676"/>
      <c r="S58" s="30"/>
      <c r="T58" s="29"/>
      <c r="U58" s="676"/>
      <c r="V58" s="676"/>
      <c r="W58" s="676"/>
      <c r="X58" s="30"/>
      <c r="Y58" s="29"/>
      <c r="Z58" s="676"/>
      <c r="AA58" s="676"/>
      <c r="AB58" s="676"/>
      <c r="AC58" s="30"/>
      <c r="AD58" s="29"/>
      <c r="AE58" s="676"/>
      <c r="AF58" s="676"/>
      <c r="AG58" s="676"/>
      <c r="AH58" s="30"/>
      <c r="AI58" s="29"/>
      <c r="AJ58" s="676"/>
      <c r="AK58" s="676"/>
      <c r="AL58" s="676"/>
      <c r="AM58" s="30"/>
      <c r="AN58" s="29"/>
      <c r="AO58" s="676"/>
      <c r="AP58" s="676"/>
      <c r="AQ58" s="676"/>
      <c r="AR58" s="30"/>
      <c r="AS58" s="29"/>
      <c r="AT58" s="676"/>
      <c r="AU58" s="676"/>
      <c r="AV58" s="676"/>
      <c r="AW58" s="30"/>
      <c r="AX58" s="29"/>
      <c r="AY58" s="676"/>
      <c r="AZ58" s="676"/>
      <c r="BA58" s="676"/>
      <c r="BB58" s="30"/>
      <c r="BC58" s="29"/>
      <c r="BD58" s="676"/>
      <c r="BE58" s="676"/>
      <c r="BF58" s="676"/>
      <c r="BG58" s="30"/>
      <c r="BH58" s="29"/>
      <c r="BI58" s="676"/>
      <c r="BJ58" s="676"/>
      <c r="BK58" s="676"/>
      <c r="BL58" s="30"/>
      <c r="BM58" s="29"/>
      <c r="BN58" s="676"/>
      <c r="BO58" s="676"/>
      <c r="BP58" s="676"/>
      <c r="BQ58" s="30"/>
      <c r="BR58" s="29"/>
    </row>
    <row r="59" spans="1:83" ht="6" hidden="1" customHeight="1" x14ac:dyDescent="0.25">
      <c r="A59" s="676"/>
      <c r="B59" s="676"/>
      <c r="C59" s="676"/>
      <c r="D59" s="675"/>
      <c r="E59" s="675"/>
      <c r="F59" s="676"/>
      <c r="G59" s="676"/>
      <c r="H59" s="676"/>
      <c r="I59" s="675"/>
      <c r="J59" s="675"/>
      <c r="K59" s="676"/>
      <c r="L59" s="676"/>
      <c r="M59" s="676"/>
      <c r="N59" s="675"/>
      <c r="O59" s="675"/>
      <c r="P59" s="676"/>
      <c r="Q59" s="676"/>
      <c r="R59" s="676"/>
      <c r="S59" s="675"/>
      <c r="T59" s="675"/>
      <c r="U59" s="676"/>
      <c r="V59" s="676"/>
      <c r="W59" s="676"/>
      <c r="X59" s="675"/>
      <c r="Y59" s="675"/>
      <c r="Z59" s="676"/>
      <c r="AA59" s="676"/>
      <c r="AB59" s="676"/>
      <c r="AC59" s="675"/>
      <c r="AD59" s="675"/>
      <c r="AE59" s="676"/>
      <c r="AF59" s="676"/>
      <c r="AG59" s="676"/>
      <c r="AH59" s="675"/>
      <c r="AI59" s="675"/>
      <c r="AJ59" s="676"/>
      <c r="AK59" s="676"/>
      <c r="AL59" s="676"/>
      <c r="AM59" s="675"/>
      <c r="AN59" s="675"/>
      <c r="AO59" s="676"/>
      <c r="AP59" s="676"/>
      <c r="AQ59" s="676"/>
      <c r="AR59" s="675"/>
      <c r="AS59" s="675"/>
      <c r="AT59" s="676"/>
      <c r="AU59" s="676"/>
      <c r="AV59" s="676"/>
      <c r="AW59" s="675"/>
      <c r="AX59" s="675"/>
      <c r="AY59" s="676"/>
      <c r="AZ59" s="676"/>
      <c r="BA59" s="676"/>
      <c r="BB59" s="675"/>
      <c r="BC59" s="675"/>
      <c r="BD59" s="676"/>
      <c r="BE59" s="676"/>
      <c r="BF59" s="676"/>
      <c r="BG59" s="675"/>
      <c r="BH59" s="675"/>
      <c r="BI59" s="676"/>
      <c r="BJ59" s="676"/>
      <c r="BK59" s="676"/>
      <c r="BL59" s="675"/>
      <c r="BM59" s="675"/>
      <c r="BN59" s="676"/>
      <c r="BO59" s="676"/>
      <c r="BP59" s="676"/>
      <c r="BQ59" s="675"/>
      <c r="BR59" s="675"/>
    </row>
    <row r="60" spans="1:83" ht="60" hidden="1" thickTop="1" thickBot="1" x14ac:dyDescent="0.3">
      <c r="A60" s="677"/>
      <c r="B60" s="678"/>
      <c r="C60" s="678"/>
      <c r="D60" s="678"/>
      <c r="E60" s="678"/>
      <c r="F60" s="677"/>
      <c r="G60" s="678"/>
      <c r="H60" s="678"/>
      <c r="I60" s="678"/>
      <c r="J60" s="678"/>
      <c r="K60" s="677"/>
      <c r="L60" s="678"/>
      <c r="M60" s="678"/>
      <c r="N60" s="678"/>
      <c r="O60" s="678"/>
      <c r="P60" s="677"/>
      <c r="Q60" s="678"/>
      <c r="R60" s="678"/>
      <c r="S60" s="678"/>
      <c r="T60" s="678"/>
      <c r="U60" s="677"/>
      <c r="V60" s="678"/>
      <c r="W60" s="678"/>
      <c r="X60" s="678"/>
      <c r="Y60" s="678"/>
      <c r="Z60" s="677"/>
      <c r="AA60" s="678"/>
      <c r="AB60" s="678"/>
      <c r="AC60" s="678"/>
      <c r="AD60" s="678"/>
      <c r="AE60" s="677"/>
      <c r="AF60" s="678"/>
      <c r="AG60" s="678"/>
      <c r="AH60" s="678"/>
      <c r="AI60" s="678"/>
      <c r="AJ60" s="677"/>
      <c r="AK60" s="678"/>
      <c r="AL60" s="678"/>
      <c r="AM60" s="678"/>
      <c r="AN60" s="678"/>
      <c r="AO60" s="677"/>
      <c r="AP60" s="678"/>
      <c r="AQ60" s="678"/>
      <c r="AR60" s="678"/>
      <c r="AS60" s="678"/>
      <c r="AT60" s="677"/>
      <c r="AU60" s="678"/>
      <c r="AV60" s="678"/>
      <c r="AW60" s="678"/>
      <c r="AX60" s="678"/>
      <c r="AY60" s="677"/>
      <c r="AZ60" s="678"/>
      <c r="BA60" s="678"/>
      <c r="BB60" s="678"/>
      <c r="BC60" s="678"/>
      <c r="BD60" s="677"/>
      <c r="BE60" s="678"/>
      <c r="BF60" s="678"/>
      <c r="BG60" s="678"/>
      <c r="BH60" s="678"/>
      <c r="BI60" s="677"/>
      <c r="BJ60" s="678"/>
      <c r="BK60" s="678"/>
      <c r="BL60" s="678"/>
      <c r="BM60" s="678"/>
      <c r="BN60" s="677"/>
      <c r="BO60" s="678"/>
      <c r="BP60" s="678"/>
      <c r="BQ60" s="678"/>
      <c r="BR60" s="678"/>
    </row>
    <row r="61" spans="1:83" ht="27.75" hidden="1" thickTop="1" thickBot="1" x14ac:dyDescent="0.3">
      <c r="A61" s="677"/>
      <c r="B61" s="32"/>
      <c r="C61" s="33"/>
      <c r="D61" s="34"/>
      <c r="E61" s="35"/>
      <c r="F61" s="677"/>
      <c r="G61" s="32"/>
      <c r="H61" s="33"/>
      <c r="I61" s="34"/>
      <c r="J61" s="35"/>
      <c r="K61" s="677"/>
      <c r="L61" s="32"/>
      <c r="M61" s="33"/>
      <c r="N61" s="34"/>
      <c r="O61" s="35"/>
      <c r="P61" s="677"/>
      <c r="Q61" s="32"/>
      <c r="R61" s="33"/>
      <c r="S61" s="34"/>
      <c r="T61" s="35"/>
      <c r="U61" s="677"/>
      <c r="V61" s="32"/>
      <c r="W61" s="33"/>
      <c r="X61" s="34"/>
      <c r="Y61" s="35"/>
      <c r="Z61" s="677"/>
      <c r="AA61" s="32"/>
      <c r="AB61" s="33"/>
      <c r="AC61" s="34"/>
      <c r="AD61" s="35"/>
      <c r="AE61" s="677"/>
      <c r="AF61" s="32"/>
      <c r="AG61" s="33"/>
      <c r="AH61" s="34"/>
      <c r="AI61" s="35"/>
      <c r="AJ61" s="677"/>
      <c r="AK61" s="32"/>
      <c r="AL61" s="33"/>
      <c r="AM61" s="34"/>
      <c r="AN61" s="35"/>
      <c r="AO61" s="677"/>
      <c r="AP61" s="32"/>
      <c r="AQ61" s="33"/>
      <c r="AR61" s="34"/>
      <c r="AS61" s="35"/>
      <c r="AT61" s="677"/>
      <c r="AU61" s="32"/>
      <c r="AV61" s="33"/>
      <c r="AW61" s="34"/>
      <c r="AX61" s="35"/>
      <c r="AY61" s="677"/>
      <c r="AZ61" s="32"/>
      <c r="BA61" s="33"/>
      <c r="BB61" s="34"/>
      <c r="BC61" s="35"/>
      <c r="BD61" s="677"/>
      <c r="BE61" s="32"/>
      <c r="BF61" s="33"/>
      <c r="BG61" s="34"/>
      <c r="BH61" s="35"/>
      <c r="BI61" s="677"/>
      <c r="BJ61" s="32"/>
      <c r="BK61" s="33"/>
      <c r="BL61" s="34"/>
      <c r="BM61" s="35"/>
      <c r="BN61" s="677"/>
      <c r="BO61" s="32"/>
      <c r="BP61" s="33"/>
      <c r="BQ61" s="34"/>
      <c r="BR61" s="35"/>
      <c r="BW61" s="27"/>
      <c r="BX61" s="27"/>
      <c r="BY61" s="27"/>
      <c r="BZ61" s="27"/>
      <c r="CA61" s="27"/>
      <c r="CB61" s="27"/>
      <c r="CC61" s="27"/>
      <c r="CD61" s="27"/>
      <c r="CE61" s="27"/>
    </row>
    <row r="62" spans="1:83" s="42" customFormat="1" ht="3" hidden="1" customHeight="1" thickTop="1" thickBo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W62" s="43"/>
      <c r="BX62" s="43"/>
      <c r="BY62" s="43"/>
      <c r="BZ62" s="43"/>
      <c r="CA62" s="43"/>
      <c r="CB62" s="43"/>
      <c r="CC62" s="43"/>
      <c r="CD62" s="43"/>
      <c r="CE62" s="43"/>
    </row>
    <row r="63" spans="1:83" ht="36" hidden="1" customHeight="1" thickTop="1" x14ac:dyDescent="0.25">
      <c r="A63" s="582" t="s">
        <v>110</v>
      </c>
      <c r="B63" s="583"/>
      <c r="C63" s="584">
        <f t="shared" ref="C63" si="100">B68/((72*3.1415/59)*(129.67/3.281))</f>
        <v>0</v>
      </c>
      <c r="D63" s="584"/>
      <c r="E63" s="585"/>
      <c r="F63" s="582" t="s">
        <v>110</v>
      </c>
      <c r="G63" s="583"/>
      <c r="H63" s="584">
        <f t="shared" ref="H63" si="101">G68/((72*3.1415/59)*(129.67/3.281))</f>
        <v>0</v>
      </c>
      <c r="I63" s="584"/>
      <c r="J63" s="585"/>
      <c r="K63" s="582" t="s">
        <v>110</v>
      </c>
      <c r="L63" s="583"/>
      <c r="M63" s="584">
        <f t="shared" ref="M63" si="102">L68/((72*3.1415/59)*(129.67/3.281))</f>
        <v>0</v>
      </c>
      <c r="N63" s="584"/>
      <c r="O63" s="585"/>
      <c r="P63" s="582" t="s">
        <v>110</v>
      </c>
      <c r="Q63" s="583"/>
      <c r="R63" s="584">
        <f t="shared" ref="R63" si="103">Q68/((72*3.1415/59)*(129.67/3.281))</f>
        <v>0</v>
      </c>
      <c r="S63" s="584"/>
      <c r="T63" s="585"/>
      <c r="U63" s="582" t="s">
        <v>110</v>
      </c>
      <c r="V63" s="583"/>
      <c r="W63" s="584">
        <f t="shared" ref="W63" si="104">V68/((72*3.1415/59)*(129.67/3.281))</f>
        <v>0</v>
      </c>
      <c r="X63" s="584"/>
      <c r="Y63" s="585"/>
      <c r="Z63" s="582" t="s">
        <v>110</v>
      </c>
      <c r="AA63" s="583"/>
      <c r="AB63" s="584">
        <f t="shared" ref="AB63" si="105">AA68/((72*3.1415/59)*(129.67/3.281))</f>
        <v>0</v>
      </c>
      <c r="AC63" s="584"/>
      <c r="AD63" s="585"/>
      <c r="AE63" s="582" t="s">
        <v>110</v>
      </c>
      <c r="AF63" s="583"/>
      <c r="AG63" s="584">
        <f t="shared" ref="AG63" si="106">AF68/((72*3.1415/59)*(129.67/3.281))</f>
        <v>0</v>
      </c>
      <c r="AH63" s="584"/>
      <c r="AI63" s="585"/>
      <c r="AJ63" s="582" t="s">
        <v>110</v>
      </c>
      <c r="AK63" s="583"/>
      <c r="AL63" s="584">
        <f t="shared" ref="AL63" si="107">AK68/((72*3.1415/59)*(129.67/3.281))</f>
        <v>0</v>
      </c>
      <c r="AM63" s="584"/>
      <c r="AN63" s="585"/>
      <c r="AO63" s="582" t="s">
        <v>110</v>
      </c>
      <c r="AP63" s="583"/>
      <c r="AQ63" s="584">
        <f t="shared" ref="AQ63" si="108">AP68/((72*3.1415/59)*(129.67/3.281))</f>
        <v>0</v>
      </c>
      <c r="AR63" s="584"/>
      <c r="AS63" s="585"/>
      <c r="AT63" s="582" t="s">
        <v>110</v>
      </c>
      <c r="AU63" s="583"/>
      <c r="AV63" s="584">
        <f t="shared" ref="AV63" si="109">AU68/((72*3.1415/59)*(129.67/3.281))</f>
        <v>0</v>
      </c>
      <c r="AW63" s="584"/>
      <c r="AX63" s="585"/>
      <c r="AY63" s="582" t="s">
        <v>110</v>
      </c>
      <c r="AZ63" s="583"/>
      <c r="BA63" s="584">
        <f t="shared" ref="BA63" si="110">AZ68/((72*3.1415/59)*(129.67/3.281))</f>
        <v>0</v>
      </c>
      <c r="BB63" s="584"/>
      <c r="BC63" s="585"/>
      <c r="BD63" s="582" t="s">
        <v>110</v>
      </c>
      <c r="BE63" s="583"/>
      <c r="BF63" s="584">
        <f t="shared" ref="BF63" si="111">BE68/((72*3.1415/59)*(129.67/3.281))</f>
        <v>0</v>
      </c>
      <c r="BG63" s="584"/>
      <c r="BH63" s="585"/>
      <c r="BI63" s="582" t="s">
        <v>110</v>
      </c>
      <c r="BJ63" s="583"/>
      <c r="BK63" s="584">
        <f t="shared" ref="BK63" si="112">BJ68/((72*3.1415/59)*(129.67/3.281))</f>
        <v>0</v>
      </c>
      <c r="BL63" s="584"/>
      <c r="BM63" s="585"/>
      <c r="BN63" s="582" t="s">
        <v>110</v>
      </c>
      <c r="BO63" s="583"/>
      <c r="BP63" s="584">
        <f t="shared" ref="BP63" si="113">BO68/((72*3.1415/59)*(129.67/3.281))</f>
        <v>0</v>
      </c>
      <c r="BQ63" s="584"/>
      <c r="BR63" s="585"/>
    </row>
    <row r="64" spans="1:83" ht="6.75" hidden="1" customHeight="1" x14ac:dyDescent="0.25">
      <c r="A64" s="679" t="s">
        <v>489</v>
      </c>
      <c r="B64" s="680"/>
      <c r="C64" s="685" t="s">
        <v>504</v>
      </c>
      <c r="D64" s="686"/>
      <c r="E64" s="687"/>
      <c r="F64" s="679" t="s">
        <v>489</v>
      </c>
      <c r="G64" s="680"/>
      <c r="H64" s="685" t="s">
        <v>504</v>
      </c>
      <c r="I64" s="686"/>
      <c r="J64" s="687"/>
      <c r="K64" s="679" t="s">
        <v>489</v>
      </c>
      <c r="L64" s="680"/>
      <c r="M64" s="685" t="s">
        <v>504</v>
      </c>
      <c r="N64" s="686"/>
      <c r="O64" s="687"/>
      <c r="P64" s="679" t="s">
        <v>489</v>
      </c>
      <c r="Q64" s="680"/>
      <c r="R64" s="685" t="s">
        <v>504</v>
      </c>
      <c r="S64" s="686"/>
      <c r="T64" s="687"/>
      <c r="U64" s="679" t="s">
        <v>489</v>
      </c>
      <c r="V64" s="680"/>
      <c r="W64" s="685" t="s">
        <v>504</v>
      </c>
      <c r="X64" s="686"/>
      <c r="Y64" s="687"/>
      <c r="Z64" s="679" t="s">
        <v>489</v>
      </c>
      <c r="AA64" s="680"/>
      <c r="AB64" s="685" t="s">
        <v>504</v>
      </c>
      <c r="AC64" s="686"/>
      <c r="AD64" s="687"/>
      <c r="AE64" s="679" t="s">
        <v>489</v>
      </c>
      <c r="AF64" s="680"/>
      <c r="AG64" s="685" t="s">
        <v>504</v>
      </c>
      <c r="AH64" s="686"/>
      <c r="AI64" s="687"/>
      <c r="AJ64" s="679" t="s">
        <v>489</v>
      </c>
      <c r="AK64" s="680"/>
      <c r="AL64" s="685" t="s">
        <v>504</v>
      </c>
      <c r="AM64" s="686"/>
      <c r="AN64" s="687"/>
      <c r="AO64" s="679" t="s">
        <v>489</v>
      </c>
      <c r="AP64" s="680"/>
      <c r="AQ64" s="685" t="s">
        <v>504</v>
      </c>
      <c r="AR64" s="686"/>
      <c r="AS64" s="687"/>
      <c r="AT64" s="679" t="s">
        <v>489</v>
      </c>
      <c r="AU64" s="680"/>
      <c r="AV64" s="685" t="s">
        <v>504</v>
      </c>
      <c r="AW64" s="686"/>
      <c r="AX64" s="687"/>
      <c r="AY64" s="679" t="s">
        <v>489</v>
      </c>
      <c r="AZ64" s="680"/>
      <c r="BA64" s="685" t="s">
        <v>504</v>
      </c>
      <c r="BB64" s="686"/>
      <c r="BC64" s="687"/>
      <c r="BD64" s="679" t="s">
        <v>489</v>
      </c>
      <c r="BE64" s="680"/>
      <c r="BF64" s="685" t="s">
        <v>504</v>
      </c>
      <c r="BG64" s="686"/>
      <c r="BH64" s="687"/>
      <c r="BI64" s="679" t="s">
        <v>489</v>
      </c>
      <c r="BJ64" s="680"/>
      <c r="BK64" s="685" t="s">
        <v>504</v>
      </c>
      <c r="BL64" s="686"/>
      <c r="BM64" s="687"/>
      <c r="BN64" s="679" t="s">
        <v>489</v>
      </c>
      <c r="BO64" s="680"/>
      <c r="BP64" s="685" t="s">
        <v>504</v>
      </c>
      <c r="BQ64" s="686"/>
      <c r="BR64" s="687"/>
    </row>
    <row r="65" spans="1:172" ht="9.75" hidden="1" customHeight="1" x14ac:dyDescent="0.25">
      <c r="A65" s="681"/>
      <c r="B65" s="682"/>
      <c r="C65" s="688"/>
      <c r="D65" s="689"/>
      <c r="E65" s="690"/>
      <c r="F65" s="681"/>
      <c r="G65" s="682"/>
      <c r="H65" s="688"/>
      <c r="I65" s="689"/>
      <c r="J65" s="690"/>
      <c r="K65" s="681"/>
      <c r="L65" s="682"/>
      <c r="M65" s="688"/>
      <c r="N65" s="689"/>
      <c r="O65" s="690"/>
      <c r="P65" s="681"/>
      <c r="Q65" s="682"/>
      <c r="R65" s="688"/>
      <c r="S65" s="689"/>
      <c r="T65" s="690"/>
      <c r="U65" s="681"/>
      <c r="V65" s="682"/>
      <c r="W65" s="688"/>
      <c r="X65" s="689"/>
      <c r="Y65" s="690"/>
      <c r="Z65" s="681"/>
      <c r="AA65" s="682"/>
      <c r="AB65" s="688"/>
      <c r="AC65" s="689"/>
      <c r="AD65" s="690"/>
      <c r="AE65" s="681"/>
      <c r="AF65" s="682"/>
      <c r="AG65" s="688"/>
      <c r="AH65" s="689"/>
      <c r="AI65" s="690"/>
      <c r="AJ65" s="681"/>
      <c r="AK65" s="682"/>
      <c r="AL65" s="688"/>
      <c r="AM65" s="689"/>
      <c r="AN65" s="690"/>
      <c r="AO65" s="681"/>
      <c r="AP65" s="682"/>
      <c r="AQ65" s="688"/>
      <c r="AR65" s="689"/>
      <c r="AS65" s="690"/>
      <c r="AT65" s="681"/>
      <c r="AU65" s="682"/>
      <c r="AV65" s="688"/>
      <c r="AW65" s="689"/>
      <c r="AX65" s="690"/>
      <c r="AY65" s="681"/>
      <c r="AZ65" s="682"/>
      <c r="BA65" s="688"/>
      <c r="BB65" s="689"/>
      <c r="BC65" s="690"/>
      <c r="BD65" s="681"/>
      <c r="BE65" s="682"/>
      <c r="BF65" s="688"/>
      <c r="BG65" s="689"/>
      <c r="BH65" s="690"/>
      <c r="BI65" s="681"/>
      <c r="BJ65" s="682"/>
      <c r="BK65" s="688"/>
      <c r="BL65" s="689"/>
      <c r="BM65" s="690"/>
      <c r="BN65" s="681"/>
      <c r="BO65" s="682"/>
      <c r="BP65" s="688"/>
      <c r="BQ65" s="689"/>
      <c r="BR65" s="690"/>
      <c r="CY65" s="37"/>
      <c r="CZ65" s="38"/>
      <c r="DA65" s="39"/>
      <c r="DB65" s="40"/>
      <c r="DC65" s="41"/>
      <c r="DD65" s="37"/>
      <c r="DE65" s="38"/>
      <c r="DF65" s="39"/>
      <c r="DG65" s="40"/>
      <c r="DH65" s="41"/>
      <c r="DI65" s="37"/>
      <c r="DJ65" s="38"/>
      <c r="DK65" s="39"/>
      <c r="DL65" s="40"/>
      <c r="DM65" s="41"/>
      <c r="DN65" s="37"/>
      <c r="DO65" s="38"/>
      <c r="DP65" s="39"/>
      <c r="DQ65" s="40"/>
      <c r="DR65" s="41"/>
      <c r="DS65" s="37"/>
      <c r="DT65" s="38"/>
      <c r="DU65" s="39"/>
      <c r="DV65" s="697"/>
      <c r="DW65" s="697"/>
      <c r="DX65" s="697"/>
      <c r="DY65" s="697"/>
      <c r="DZ65" s="697"/>
      <c r="EA65" s="697"/>
      <c r="EB65" s="697"/>
      <c r="EC65" s="697"/>
      <c r="ED65" s="697"/>
      <c r="EE65" s="697"/>
      <c r="EF65" s="697"/>
      <c r="EG65" s="697"/>
      <c r="EH65" s="37"/>
      <c r="EI65" s="38"/>
      <c r="EJ65" s="39"/>
      <c r="EK65" s="40"/>
      <c r="EL65" s="41"/>
      <c r="EM65" s="37"/>
      <c r="EN65" s="38"/>
      <c r="EO65" s="39"/>
      <c r="EP65" s="40"/>
      <c r="EQ65" s="41"/>
      <c r="ER65" s="37"/>
      <c r="ES65" s="38"/>
      <c r="ET65" s="39"/>
      <c r="EU65" s="40"/>
      <c r="EV65" s="41"/>
      <c r="EW65" s="37"/>
      <c r="EX65" s="38"/>
      <c r="EY65" s="39"/>
      <c r="EZ65" s="40"/>
      <c r="FA65" s="41"/>
      <c r="FB65" s="37"/>
      <c r="FC65" s="38"/>
      <c r="FD65" s="39"/>
      <c r="FE65" s="40"/>
      <c r="FF65" s="41"/>
      <c r="FG65" s="37"/>
      <c r="FH65" s="38"/>
      <c r="FI65" s="39"/>
      <c r="FJ65" s="40"/>
      <c r="FK65" s="41"/>
      <c r="FL65" s="37"/>
      <c r="FM65" s="38"/>
      <c r="FN65" s="39"/>
      <c r="FO65" s="40"/>
      <c r="FP65" s="41"/>
    </row>
    <row r="66" spans="1:172" ht="6" hidden="1" customHeight="1" x14ac:dyDescent="0.25">
      <c r="A66" s="683"/>
      <c r="B66" s="684"/>
      <c r="C66" s="691"/>
      <c r="D66" s="692"/>
      <c r="E66" s="693"/>
      <c r="F66" s="683"/>
      <c r="G66" s="684"/>
      <c r="H66" s="691"/>
      <c r="I66" s="692"/>
      <c r="J66" s="693"/>
      <c r="K66" s="683"/>
      <c r="L66" s="684"/>
      <c r="M66" s="691"/>
      <c r="N66" s="692"/>
      <c r="O66" s="693"/>
      <c r="P66" s="683"/>
      <c r="Q66" s="684"/>
      <c r="R66" s="691"/>
      <c r="S66" s="692"/>
      <c r="T66" s="693"/>
      <c r="U66" s="683"/>
      <c r="V66" s="684"/>
      <c r="W66" s="691"/>
      <c r="X66" s="692"/>
      <c r="Y66" s="693"/>
      <c r="Z66" s="683"/>
      <c r="AA66" s="684"/>
      <c r="AB66" s="691"/>
      <c r="AC66" s="692"/>
      <c r="AD66" s="693"/>
      <c r="AE66" s="683"/>
      <c r="AF66" s="684"/>
      <c r="AG66" s="691"/>
      <c r="AH66" s="692"/>
      <c r="AI66" s="693"/>
      <c r="AJ66" s="683"/>
      <c r="AK66" s="684"/>
      <c r="AL66" s="691"/>
      <c r="AM66" s="692"/>
      <c r="AN66" s="693"/>
      <c r="AO66" s="683"/>
      <c r="AP66" s="684"/>
      <c r="AQ66" s="691"/>
      <c r="AR66" s="692"/>
      <c r="AS66" s="693"/>
      <c r="AT66" s="683"/>
      <c r="AU66" s="684"/>
      <c r="AV66" s="691"/>
      <c r="AW66" s="692"/>
      <c r="AX66" s="693"/>
      <c r="AY66" s="683"/>
      <c r="AZ66" s="684"/>
      <c r="BA66" s="691"/>
      <c r="BB66" s="692"/>
      <c r="BC66" s="693"/>
      <c r="BD66" s="683"/>
      <c r="BE66" s="684"/>
      <c r="BF66" s="691"/>
      <c r="BG66" s="692"/>
      <c r="BH66" s="693"/>
      <c r="BI66" s="683"/>
      <c r="BJ66" s="684"/>
      <c r="BK66" s="691"/>
      <c r="BL66" s="692"/>
      <c r="BM66" s="693"/>
      <c r="BN66" s="683"/>
      <c r="BO66" s="684"/>
      <c r="BP66" s="691"/>
      <c r="BQ66" s="692"/>
      <c r="BR66" s="693"/>
      <c r="CY66" s="674"/>
      <c r="CZ66" s="674"/>
      <c r="DA66" s="674"/>
      <c r="DB66" s="675"/>
      <c r="DC66" s="675"/>
      <c r="DD66" s="44"/>
      <c r="DE66" s="702"/>
      <c r="DF66" s="702"/>
      <c r="DG66" s="702"/>
      <c r="DI66" s="45"/>
      <c r="DJ66" s="45"/>
      <c r="DK66" s="45"/>
      <c r="DL66" s="45"/>
      <c r="DM66" s="45"/>
      <c r="DN66" s="45"/>
      <c r="DO66" s="45"/>
      <c r="DP66" s="45"/>
      <c r="DQ66" s="45"/>
      <c r="DR66" s="45"/>
      <c r="DS66" s="45"/>
      <c r="DT66" s="45"/>
      <c r="DU66" s="45"/>
      <c r="DV66" s="697"/>
      <c r="DW66" s="697"/>
      <c r="DX66" s="697"/>
      <c r="DY66" s="697"/>
      <c r="DZ66" s="697"/>
      <c r="EA66" s="697"/>
      <c r="EB66" s="697"/>
      <c r="EC66" s="697"/>
      <c r="ED66" s="697"/>
      <c r="EE66" s="697"/>
      <c r="EF66" s="697"/>
      <c r="EG66" s="697"/>
      <c r="EH66" s="697"/>
      <c r="EI66" s="697"/>
      <c r="EJ66" s="697"/>
      <c r="EK66" s="697"/>
      <c r="EL66" s="697"/>
      <c r="EM66" s="697"/>
      <c r="EN66" s="697"/>
      <c r="EO66" s="697"/>
      <c r="EP66" s="697"/>
      <c r="EQ66" s="697"/>
      <c r="ER66" s="46"/>
      <c r="ES66" s="698"/>
      <c r="ET66" s="698"/>
      <c r="EU66" s="698"/>
      <c r="EV66" s="698"/>
      <c r="EW66" s="698"/>
      <c r="EX66" s="698"/>
      <c r="EY66" s="698"/>
      <c r="EZ66" s="698"/>
      <c r="FA66" s="698"/>
      <c r="FB66" s="698"/>
      <c r="FC66" s="698"/>
      <c r="FD66" s="698"/>
      <c r="FE66" s="699"/>
      <c r="FF66" s="699"/>
      <c r="FG66" s="699"/>
      <c r="FH66" s="699"/>
      <c r="FI66" s="699"/>
      <c r="FJ66" s="700"/>
      <c r="FK66" s="700"/>
      <c r="FL66" s="700"/>
      <c r="FM66" s="700"/>
      <c r="FN66" s="701"/>
      <c r="FO66" s="701"/>
      <c r="FP66" s="701"/>
    </row>
    <row r="67" spans="1:172" s="22" customFormat="1" ht="111.75" hidden="1" customHeight="1" x14ac:dyDescent="1.35">
      <c r="A67" s="586" t="s">
        <v>500</v>
      </c>
      <c r="B67" s="694"/>
      <c r="C67" s="695"/>
      <c r="D67" s="695"/>
      <c r="E67" s="696"/>
      <c r="F67" s="586" t="s">
        <v>500</v>
      </c>
      <c r="G67" s="694"/>
      <c r="H67" s="695"/>
      <c r="I67" s="695"/>
      <c r="J67" s="696"/>
      <c r="K67" s="586" t="s">
        <v>500</v>
      </c>
      <c r="L67" s="694"/>
      <c r="M67" s="695"/>
      <c r="N67" s="695"/>
      <c r="O67" s="696"/>
      <c r="P67" s="586" t="s">
        <v>500</v>
      </c>
      <c r="Q67" s="694"/>
      <c r="R67" s="695"/>
      <c r="S67" s="695"/>
      <c r="T67" s="696"/>
      <c r="U67" s="586" t="s">
        <v>500</v>
      </c>
      <c r="V67" s="694"/>
      <c r="W67" s="695"/>
      <c r="X67" s="695"/>
      <c r="Y67" s="696"/>
      <c r="Z67" s="586" t="s">
        <v>500</v>
      </c>
      <c r="AA67" s="694"/>
      <c r="AB67" s="695"/>
      <c r="AC67" s="695"/>
      <c r="AD67" s="696"/>
      <c r="AE67" s="586" t="s">
        <v>500</v>
      </c>
      <c r="AF67" s="694"/>
      <c r="AG67" s="695"/>
      <c r="AH67" s="695"/>
      <c r="AI67" s="696"/>
      <c r="AJ67" s="586" t="s">
        <v>500</v>
      </c>
      <c r="AK67" s="694"/>
      <c r="AL67" s="695"/>
      <c r="AM67" s="695"/>
      <c r="AN67" s="696"/>
      <c r="AO67" s="586" t="s">
        <v>500</v>
      </c>
      <c r="AP67" s="694"/>
      <c r="AQ67" s="695"/>
      <c r="AR67" s="695"/>
      <c r="AS67" s="696"/>
      <c r="AT67" s="586" t="s">
        <v>500</v>
      </c>
      <c r="AU67" s="694"/>
      <c r="AV67" s="695"/>
      <c r="AW67" s="695"/>
      <c r="AX67" s="696"/>
      <c r="AY67" s="586" t="s">
        <v>500</v>
      </c>
      <c r="AZ67" s="694"/>
      <c r="BA67" s="695"/>
      <c r="BB67" s="695"/>
      <c r="BC67" s="696"/>
      <c r="BD67" s="586" t="s">
        <v>500</v>
      </c>
      <c r="BE67" s="694"/>
      <c r="BF67" s="695"/>
      <c r="BG67" s="695"/>
      <c r="BH67" s="696"/>
      <c r="BI67" s="586" t="s">
        <v>500</v>
      </c>
      <c r="BJ67" s="694"/>
      <c r="BK67" s="695"/>
      <c r="BL67" s="695"/>
      <c r="BM67" s="696"/>
      <c r="BN67" s="586" t="s">
        <v>500</v>
      </c>
      <c r="BO67" s="694"/>
      <c r="BP67" s="695"/>
      <c r="BQ67" s="695"/>
      <c r="BR67" s="696"/>
      <c r="BS67" s="367"/>
      <c r="BT67" s="367"/>
      <c r="BW67" s="368"/>
      <c r="BX67" s="368"/>
      <c r="BY67" s="368"/>
      <c r="BZ67" s="368"/>
      <c r="CA67" s="368"/>
      <c r="CB67" s="368"/>
      <c r="CC67" s="369"/>
      <c r="CD67" s="369"/>
      <c r="CE67" s="369"/>
      <c r="CG67" s="369"/>
      <c r="CH67" s="369"/>
      <c r="CI67" s="369"/>
      <c r="CJ67" s="369"/>
      <c r="CK67" s="369"/>
      <c r="CL67" s="369"/>
      <c r="CY67" s="676"/>
      <c r="CZ67" s="676"/>
      <c r="DA67" s="676"/>
      <c r="DB67" s="370"/>
      <c r="DC67" s="370"/>
      <c r="DD67" s="371"/>
      <c r="DE67" s="702"/>
      <c r="DF67" s="702"/>
      <c r="DG67" s="702"/>
      <c r="DH67" s="372"/>
      <c r="DI67" s="373"/>
      <c r="DJ67" s="373"/>
      <c r="DK67" s="373"/>
      <c r="DL67" s="373"/>
      <c r="DM67" s="373"/>
      <c r="DN67" s="373"/>
      <c r="DO67" s="373"/>
      <c r="DP67" s="373"/>
      <c r="DQ67" s="373"/>
      <c r="DR67" s="373"/>
      <c r="DS67" s="373"/>
      <c r="DT67" s="373"/>
      <c r="DU67" s="373"/>
      <c r="DV67" s="697"/>
      <c r="DW67" s="697"/>
      <c r="DX67" s="697"/>
      <c r="DY67" s="697"/>
      <c r="DZ67" s="697"/>
      <c r="EA67" s="697"/>
      <c r="EB67" s="697"/>
      <c r="EC67" s="697"/>
      <c r="ED67" s="697"/>
      <c r="EE67" s="697"/>
      <c r="EF67" s="697"/>
      <c r="EG67" s="697"/>
      <c r="EH67" s="697"/>
      <c r="EI67" s="697"/>
      <c r="EJ67" s="697"/>
      <c r="EK67" s="697"/>
      <c r="EL67" s="697"/>
      <c r="EM67" s="697"/>
      <c r="EN67" s="697"/>
      <c r="EO67" s="697"/>
      <c r="EP67" s="697"/>
      <c r="EQ67" s="697"/>
      <c r="ER67" s="374"/>
      <c r="ES67" s="698"/>
      <c r="ET67" s="698"/>
      <c r="EU67" s="698"/>
      <c r="EV67" s="698"/>
      <c r="EW67" s="698"/>
      <c r="EX67" s="698"/>
      <c r="EY67" s="698"/>
      <c r="EZ67" s="698"/>
      <c r="FA67" s="698"/>
      <c r="FB67" s="698"/>
      <c r="FC67" s="698"/>
      <c r="FD67" s="698"/>
      <c r="FE67" s="699"/>
      <c r="FF67" s="699"/>
      <c r="FG67" s="699"/>
      <c r="FH67" s="699"/>
      <c r="FI67" s="699"/>
      <c r="FJ67" s="700"/>
      <c r="FK67" s="700"/>
      <c r="FL67" s="700"/>
      <c r="FM67" s="700"/>
      <c r="FN67" s="701"/>
      <c r="FO67" s="701"/>
      <c r="FP67" s="701"/>
    </row>
    <row r="68" spans="1:172" ht="50.25" hidden="1" customHeight="1" thickBot="1" x14ac:dyDescent="0.3">
      <c r="A68" s="587"/>
      <c r="B68" s="334"/>
      <c r="C68" s="335" t="s">
        <v>113</v>
      </c>
      <c r="D68" s="336"/>
      <c r="E68" s="337" t="s">
        <v>114</v>
      </c>
      <c r="F68" s="587"/>
      <c r="G68" s="334"/>
      <c r="H68" s="335" t="s">
        <v>113</v>
      </c>
      <c r="I68" s="336"/>
      <c r="J68" s="337" t="s">
        <v>114</v>
      </c>
      <c r="K68" s="587"/>
      <c r="L68" s="334"/>
      <c r="M68" s="335" t="s">
        <v>113</v>
      </c>
      <c r="N68" s="336"/>
      <c r="O68" s="337" t="s">
        <v>114</v>
      </c>
      <c r="P68" s="587"/>
      <c r="Q68" s="334"/>
      <c r="R68" s="335" t="s">
        <v>113</v>
      </c>
      <c r="S68" s="336"/>
      <c r="T68" s="337" t="s">
        <v>114</v>
      </c>
      <c r="U68" s="587"/>
      <c r="V68" s="334"/>
      <c r="W68" s="335" t="s">
        <v>113</v>
      </c>
      <c r="X68" s="336"/>
      <c r="Y68" s="337" t="s">
        <v>114</v>
      </c>
      <c r="Z68" s="587"/>
      <c r="AA68" s="334"/>
      <c r="AB68" s="335" t="s">
        <v>113</v>
      </c>
      <c r="AC68" s="336"/>
      <c r="AD68" s="337" t="s">
        <v>114</v>
      </c>
      <c r="AE68" s="587"/>
      <c r="AF68" s="334"/>
      <c r="AG68" s="335" t="s">
        <v>113</v>
      </c>
      <c r="AH68" s="336"/>
      <c r="AI68" s="337" t="s">
        <v>114</v>
      </c>
      <c r="AJ68" s="587"/>
      <c r="AK68" s="334"/>
      <c r="AL68" s="335" t="s">
        <v>113</v>
      </c>
      <c r="AM68" s="336"/>
      <c r="AN68" s="337" t="s">
        <v>114</v>
      </c>
      <c r="AO68" s="587"/>
      <c r="AP68" s="334"/>
      <c r="AQ68" s="335" t="s">
        <v>113</v>
      </c>
      <c r="AR68" s="336"/>
      <c r="AS68" s="337" t="s">
        <v>114</v>
      </c>
      <c r="AT68" s="587"/>
      <c r="AU68" s="334"/>
      <c r="AV68" s="335" t="s">
        <v>113</v>
      </c>
      <c r="AW68" s="336"/>
      <c r="AX68" s="337" t="s">
        <v>114</v>
      </c>
      <c r="AY68" s="587"/>
      <c r="AZ68" s="334"/>
      <c r="BA68" s="335" t="s">
        <v>113</v>
      </c>
      <c r="BB68" s="336"/>
      <c r="BC68" s="337" t="s">
        <v>114</v>
      </c>
      <c r="BD68" s="587"/>
      <c r="BE68" s="334"/>
      <c r="BF68" s="335" t="s">
        <v>113</v>
      </c>
      <c r="BG68" s="336"/>
      <c r="BH68" s="337" t="s">
        <v>114</v>
      </c>
      <c r="BI68" s="587"/>
      <c r="BJ68" s="334"/>
      <c r="BK68" s="335" t="s">
        <v>113</v>
      </c>
      <c r="BL68" s="336"/>
      <c r="BM68" s="337" t="s">
        <v>114</v>
      </c>
      <c r="BN68" s="587"/>
      <c r="BO68" s="334"/>
      <c r="BP68" s="335" t="s">
        <v>113</v>
      </c>
      <c r="BQ68" s="336"/>
      <c r="BR68" s="337" t="s">
        <v>114</v>
      </c>
      <c r="BS68" s="50"/>
      <c r="BT68" s="50"/>
      <c r="BW68" s="27"/>
      <c r="BX68" s="27"/>
      <c r="BY68" s="27"/>
      <c r="BZ68" s="27"/>
      <c r="CA68" s="27"/>
      <c r="CB68" s="27"/>
      <c r="CC68" s="27"/>
      <c r="CD68" s="27"/>
      <c r="CE68" s="27"/>
      <c r="CG68" s="27"/>
      <c r="CH68" s="27"/>
      <c r="CI68" s="27"/>
      <c r="CJ68" s="27"/>
      <c r="CK68" s="27"/>
      <c r="CL68" s="27"/>
      <c r="CY68" s="676"/>
      <c r="CZ68" s="676"/>
      <c r="DA68" s="676"/>
      <c r="DB68" s="29"/>
      <c r="DC68" s="29"/>
      <c r="DD68" s="47"/>
      <c r="DE68" s="702"/>
      <c r="DF68" s="702"/>
      <c r="DG68" s="702"/>
      <c r="DH68" s="48"/>
      <c r="DI68" s="45"/>
      <c r="DJ68" s="45"/>
      <c r="DK68" s="45"/>
      <c r="DL68" s="45"/>
      <c r="DM68" s="45"/>
      <c r="DN68" s="45"/>
      <c r="DO68" s="45"/>
      <c r="DP68" s="45"/>
      <c r="DQ68" s="45"/>
      <c r="DR68" s="45"/>
      <c r="DS68" s="45"/>
      <c r="DT68" s="45"/>
      <c r="DU68" s="45"/>
      <c r="DV68" s="697"/>
      <c r="DW68" s="697"/>
      <c r="DX68" s="697"/>
      <c r="DY68" s="697"/>
      <c r="DZ68" s="697"/>
      <c r="EA68" s="697"/>
      <c r="EB68" s="697"/>
      <c r="EC68" s="697"/>
      <c r="ED68" s="697"/>
      <c r="EE68" s="697"/>
      <c r="EF68" s="697"/>
      <c r="EG68" s="697"/>
      <c r="EH68" s="697"/>
      <c r="EI68" s="697"/>
      <c r="EJ68" s="697"/>
      <c r="EK68" s="697"/>
      <c r="EL68" s="697"/>
      <c r="EM68" s="697"/>
      <c r="EN68" s="697"/>
      <c r="EO68" s="697"/>
      <c r="EP68" s="697"/>
      <c r="EQ68" s="697"/>
      <c r="ER68" s="46"/>
      <c r="ES68" s="698"/>
      <c r="ET68" s="698"/>
      <c r="EU68" s="698"/>
      <c r="EV68" s="698"/>
      <c r="EW68" s="698"/>
      <c r="EX68" s="698"/>
      <c r="EY68" s="698"/>
      <c r="EZ68" s="698"/>
      <c r="FA68" s="698"/>
      <c r="FB68" s="698"/>
      <c r="FC68" s="698"/>
      <c r="FD68" s="698"/>
      <c r="FE68" s="699"/>
      <c r="FF68" s="699"/>
      <c r="FG68" s="699"/>
      <c r="FH68" s="699"/>
      <c r="FI68" s="699"/>
      <c r="FJ68" s="700"/>
      <c r="FK68" s="700"/>
      <c r="FL68" s="700"/>
      <c r="FM68" s="700"/>
      <c r="FN68" s="701"/>
      <c r="FO68" s="701"/>
      <c r="FP68" s="701"/>
    </row>
    <row r="69" spans="1:172" ht="53.25" hidden="1" customHeight="1" thickTop="1" x14ac:dyDescent="0.25">
      <c r="A69" s="582" t="s">
        <v>110</v>
      </c>
      <c r="B69" s="583"/>
      <c r="C69" s="584">
        <f t="shared" ref="C69" si="114">B74/((72*3.1415/59)*(129.67/3.281))</f>
        <v>0</v>
      </c>
      <c r="D69" s="584"/>
      <c r="E69" s="585"/>
      <c r="F69" s="582" t="s">
        <v>110</v>
      </c>
      <c r="G69" s="583"/>
      <c r="H69" s="584">
        <f t="shared" ref="H69" si="115">G74/((72*3.1415/59)*(129.67/3.281))</f>
        <v>0</v>
      </c>
      <c r="I69" s="584"/>
      <c r="J69" s="585"/>
      <c r="K69" s="582" t="s">
        <v>110</v>
      </c>
      <c r="L69" s="583"/>
      <c r="M69" s="584">
        <f t="shared" ref="M69" si="116">L74/((72*3.1415/59)*(129.67/3.281))</f>
        <v>0</v>
      </c>
      <c r="N69" s="584"/>
      <c r="O69" s="585"/>
      <c r="P69" s="582" t="s">
        <v>110</v>
      </c>
      <c r="Q69" s="583"/>
      <c r="R69" s="584">
        <f t="shared" ref="R69" si="117">Q74/((72*3.1415/59)*(129.67/3.281))</f>
        <v>0</v>
      </c>
      <c r="S69" s="584"/>
      <c r="T69" s="585"/>
      <c r="U69" s="582" t="s">
        <v>110</v>
      </c>
      <c r="V69" s="583"/>
      <c r="W69" s="584">
        <f t="shared" ref="W69" si="118">V74/((72*3.1415/59)*(129.67/3.281))</f>
        <v>0</v>
      </c>
      <c r="X69" s="584"/>
      <c r="Y69" s="585"/>
      <c r="Z69" s="582" t="s">
        <v>110</v>
      </c>
      <c r="AA69" s="583"/>
      <c r="AB69" s="584">
        <f t="shared" ref="AB69" si="119">AA74/((72*3.1415/59)*(129.67/3.281))</f>
        <v>0</v>
      </c>
      <c r="AC69" s="584"/>
      <c r="AD69" s="585"/>
      <c r="AE69" s="582" t="s">
        <v>110</v>
      </c>
      <c r="AF69" s="583"/>
      <c r="AG69" s="584">
        <f t="shared" ref="AG69" si="120">AF74/((72*3.1415/59)*(129.67/3.281))</f>
        <v>0</v>
      </c>
      <c r="AH69" s="584"/>
      <c r="AI69" s="585"/>
      <c r="AJ69" s="582" t="s">
        <v>110</v>
      </c>
      <c r="AK69" s="583"/>
      <c r="AL69" s="584">
        <f t="shared" ref="AL69" si="121">AK74/((72*3.1415/59)*(129.67/3.281))</f>
        <v>0</v>
      </c>
      <c r="AM69" s="584"/>
      <c r="AN69" s="585"/>
      <c r="AO69" s="582" t="s">
        <v>110</v>
      </c>
      <c r="AP69" s="583"/>
      <c r="AQ69" s="584">
        <f t="shared" ref="AQ69" si="122">AP74/((72*3.1415/59)*(129.67/3.281))</f>
        <v>0</v>
      </c>
      <c r="AR69" s="584"/>
      <c r="AS69" s="585"/>
      <c r="AT69" s="582" t="s">
        <v>110</v>
      </c>
      <c r="AU69" s="583"/>
      <c r="AV69" s="584">
        <f t="shared" ref="AV69" si="123">AU74/((72*3.1415/59)*(129.67/3.281))</f>
        <v>0</v>
      </c>
      <c r="AW69" s="584"/>
      <c r="AX69" s="585"/>
      <c r="AY69" s="582" t="s">
        <v>110</v>
      </c>
      <c r="AZ69" s="583"/>
      <c r="BA69" s="584">
        <f t="shared" ref="BA69" si="124">AZ74/((72*3.1415/59)*(129.67/3.281))</f>
        <v>0</v>
      </c>
      <c r="BB69" s="584"/>
      <c r="BC69" s="585"/>
      <c r="BD69" s="582" t="s">
        <v>110</v>
      </c>
      <c r="BE69" s="583"/>
      <c r="BF69" s="584">
        <f t="shared" ref="BF69" si="125">BE74/((72*3.1415/59)*(129.67/3.281))</f>
        <v>0</v>
      </c>
      <c r="BG69" s="584"/>
      <c r="BH69" s="585"/>
      <c r="BI69" s="582" t="s">
        <v>110</v>
      </c>
      <c r="BJ69" s="583"/>
      <c r="BK69" s="584">
        <f t="shared" ref="BK69" si="126">BJ74/((72*3.1415/59)*(129.67/3.281))</f>
        <v>0</v>
      </c>
      <c r="BL69" s="584"/>
      <c r="BM69" s="585"/>
      <c r="BN69" s="582" t="s">
        <v>110</v>
      </c>
      <c r="BO69" s="583"/>
      <c r="BP69" s="584">
        <f t="shared" ref="BP69" si="127">BO74/((72*3.1415/59)*(129.67/3.281))</f>
        <v>0</v>
      </c>
      <c r="BQ69" s="584"/>
      <c r="BR69" s="585"/>
      <c r="BS69" s="50"/>
      <c r="BT69" s="50"/>
      <c r="BW69" s="27"/>
      <c r="BX69" s="27"/>
      <c r="BY69" s="27"/>
      <c r="BZ69" s="27"/>
      <c r="CA69" s="27"/>
      <c r="CB69" s="27"/>
      <c r="CC69" s="27"/>
      <c r="CD69" s="27"/>
      <c r="CE69" s="27"/>
      <c r="CG69" s="27"/>
      <c r="CH69" s="27"/>
      <c r="CI69" s="27"/>
      <c r="CJ69" s="27"/>
      <c r="CK69" s="27"/>
      <c r="CL69" s="27"/>
      <c r="CY69" s="676"/>
      <c r="CZ69" s="676"/>
      <c r="DA69" s="676"/>
      <c r="DB69" s="675"/>
      <c r="DC69" s="675"/>
      <c r="DD69" s="47"/>
      <c r="DE69" s="703"/>
      <c r="DF69" s="703"/>
      <c r="DG69" s="703"/>
      <c r="DH69" s="48"/>
      <c r="DI69" s="45"/>
      <c r="DJ69" s="45"/>
      <c r="DK69" s="45"/>
      <c r="DL69" s="45"/>
      <c r="DM69" s="45"/>
      <c r="DN69" s="45"/>
      <c r="DO69" s="45"/>
      <c r="DP69" s="45"/>
      <c r="DQ69" s="45"/>
      <c r="DR69" s="45"/>
      <c r="DS69" s="45"/>
      <c r="DT69" s="45"/>
      <c r="DU69" s="45"/>
      <c r="DV69" s="697"/>
      <c r="DW69" s="697"/>
      <c r="DX69" s="697"/>
      <c r="DY69" s="697"/>
      <c r="DZ69" s="697"/>
      <c r="EA69" s="697"/>
      <c r="EB69" s="697"/>
      <c r="EC69" s="697"/>
      <c r="ED69" s="697"/>
      <c r="EE69" s="697"/>
      <c r="EF69" s="697"/>
      <c r="EG69" s="697"/>
      <c r="EH69" s="697"/>
      <c r="EI69" s="697"/>
      <c r="EJ69" s="697"/>
      <c r="EK69" s="697"/>
      <c r="EL69" s="697"/>
      <c r="EM69" s="697"/>
      <c r="EN69" s="697"/>
      <c r="EO69" s="697"/>
      <c r="EP69" s="697"/>
      <c r="EQ69" s="697"/>
      <c r="ER69" s="46"/>
      <c r="ES69" s="698"/>
      <c r="ET69" s="698"/>
      <c r="EU69" s="698"/>
      <c r="EV69" s="698"/>
      <c r="EW69" s="698"/>
      <c r="EX69" s="698"/>
      <c r="EY69" s="698"/>
      <c r="EZ69" s="698"/>
      <c r="FA69" s="698"/>
      <c r="FB69" s="698"/>
      <c r="FC69" s="698"/>
      <c r="FD69" s="698"/>
      <c r="FE69" s="699"/>
      <c r="FF69" s="699"/>
      <c r="FG69" s="699"/>
      <c r="FH69" s="699"/>
      <c r="FI69" s="699"/>
      <c r="FJ69" s="700"/>
      <c r="FK69" s="700"/>
      <c r="FL69" s="700"/>
      <c r="FM69" s="700"/>
      <c r="FN69" s="701"/>
      <c r="FO69" s="701"/>
      <c r="FP69" s="701"/>
    </row>
    <row r="70" spans="1:172" ht="15" hidden="1" customHeight="1" x14ac:dyDescent="0.25">
      <c r="A70" s="679" t="s">
        <v>489</v>
      </c>
      <c r="B70" s="680"/>
      <c r="C70" s="685" t="s">
        <v>504</v>
      </c>
      <c r="D70" s="686"/>
      <c r="E70" s="687"/>
      <c r="F70" s="679" t="s">
        <v>489</v>
      </c>
      <c r="G70" s="680"/>
      <c r="H70" s="685" t="s">
        <v>504</v>
      </c>
      <c r="I70" s="686"/>
      <c r="J70" s="687"/>
      <c r="K70" s="679" t="s">
        <v>489</v>
      </c>
      <c r="L70" s="680"/>
      <c r="M70" s="685" t="s">
        <v>504</v>
      </c>
      <c r="N70" s="686"/>
      <c r="O70" s="687"/>
      <c r="P70" s="679" t="s">
        <v>489</v>
      </c>
      <c r="Q70" s="680"/>
      <c r="R70" s="685" t="s">
        <v>504</v>
      </c>
      <c r="S70" s="686"/>
      <c r="T70" s="687"/>
      <c r="U70" s="679" t="s">
        <v>489</v>
      </c>
      <c r="V70" s="680"/>
      <c r="W70" s="685" t="s">
        <v>504</v>
      </c>
      <c r="X70" s="686"/>
      <c r="Y70" s="687"/>
      <c r="Z70" s="679" t="s">
        <v>489</v>
      </c>
      <c r="AA70" s="680"/>
      <c r="AB70" s="685" t="s">
        <v>504</v>
      </c>
      <c r="AC70" s="686"/>
      <c r="AD70" s="687"/>
      <c r="AE70" s="679" t="s">
        <v>489</v>
      </c>
      <c r="AF70" s="680"/>
      <c r="AG70" s="685" t="s">
        <v>504</v>
      </c>
      <c r="AH70" s="686"/>
      <c r="AI70" s="687"/>
      <c r="AJ70" s="679" t="s">
        <v>489</v>
      </c>
      <c r="AK70" s="680"/>
      <c r="AL70" s="685" t="s">
        <v>504</v>
      </c>
      <c r="AM70" s="686"/>
      <c r="AN70" s="687"/>
      <c r="AO70" s="679" t="s">
        <v>489</v>
      </c>
      <c r="AP70" s="680"/>
      <c r="AQ70" s="685" t="s">
        <v>504</v>
      </c>
      <c r="AR70" s="686"/>
      <c r="AS70" s="687"/>
      <c r="AT70" s="679" t="s">
        <v>489</v>
      </c>
      <c r="AU70" s="680"/>
      <c r="AV70" s="685" t="s">
        <v>504</v>
      </c>
      <c r="AW70" s="686"/>
      <c r="AX70" s="687"/>
      <c r="AY70" s="679" t="s">
        <v>489</v>
      </c>
      <c r="AZ70" s="680"/>
      <c r="BA70" s="685" t="s">
        <v>504</v>
      </c>
      <c r="BB70" s="686"/>
      <c r="BC70" s="687"/>
      <c r="BD70" s="679" t="s">
        <v>489</v>
      </c>
      <c r="BE70" s="680"/>
      <c r="BF70" s="685" t="s">
        <v>504</v>
      </c>
      <c r="BG70" s="686"/>
      <c r="BH70" s="687"/>
      <c r="BI70" s="679" t="s">
        <v>489</v>
      </c>
      <c r="BJ70" s="680"/>
      <c r="BK70" s="685" t="s">
        <v>504</v>
      </c>
      <c r="BL70" s="686"/>
      <c r="BM70" s="687"/>
      <c r="BN70" s="679" t="s">
        <v>489</v>
      </c>
      <c r="BO70" s="680"/>
      <c r="BP70" s="685" t="s">
        <v>504</v>
      </c>
      <c r="BQ70" s="686"/>
      <c r="BR70" s="687"/>
      <c r="BS70" s="50"/>
      <c r="BT70" s="50"/>
      <c r="BW70" s="27"/>
      <c r="BX70" s="27"/>
      <c r="BY70" s="27"/>
      <c r="BZ70" s="27"/>
      <c r="CA70" s="27"/>
      <c r="CB70" s="27"/>
      <c r="CC70" s="27"/>
      <c r="CD70" s="27"/>
      <c r="CE70" s="27"/>
      <c r="CG70" s="27"/>
      <c r="CH70" s="27"/>
      <c r="CI70" s="27"/>
      <c r="CJ70" s="27"/>
      <c r="CK70" s="27"/>
      <c r="CL70" s="27"/>
      <c r="CZ70" s="17"/>
      <c r="DE70" s="703"/>
      <c r="DF70" s="703"/>
      <c r="DG70" s="703"/>
      <c r="DH70" s="48"/>
      <c r="DI70" s="49"/>
      <c r="DJ70" s="49"/>
      <c r="DK70" s="49"/>
      <c r="DL70" s="49"/>
      <c r="DM70" s="49"/>
      <c r="DN70" s="49"/>
      <c r="DO70" s="49"/>
      <c r="DP70" s="49"/>
      <c r="DQ70" s="49"/>
      <c r="DR70" s="49"/>
      <c r="DS70" s="49"/>
      <c r="DT70" s="49"/>
      <c r="DU70" s="49"/>
      <c r="DV70" s="704"/>
      <c r="DW70" s="705"/>
      <c r="DX70" s="705"/>
      <c r="DY70" s="705"/>
      <c r="DZ70" s="705"/>
      <c r="EA70" s="705"/>
      <c r="EB70" s="705"/>
      <c r="EC70" s="705"/>
      <c r="ED70" s="705"/>
      <c r="EE70" s="705"/>
      <c r="EF70" s="705"/>
      <c r="EG70" s="705"/>
      <c r="EH70" s="706"/>
      <c r="EI70" s="706"/>
      <c r="EJ70" s="706"/>
      <c r="EK70" s="706"/>
      <c r="EL70" s="706"/>
      <c r="EM70" s="706"/>
      <c r="EN70" s="706"/>
      <c r="EO70" s="706"/>
      <c r="EP70" s="706"/>
      <c r="EQ70" s="706"/>
      <c r="ER70" s="706"/>
      <c r="ES70" s="707"/>
      <c r="ET70" s="707"/>
      <c r="EU70" s="707"/>
      <c r="EV70" s="707"/>
      <c r="EW70" s="707"/>
      <c r="EX70" s="707"/>
      <c r="EY70" s="707"/>
      <c r="EZ70" s="707"/>
      <c r="FA70" s="707"/>
      <c r="FB70" s="707"/>
      <c r="FC70" s="707"/>
      <c r="FD70" s="707"/>
      <c r="FE70" s="699"/>
      <c r="FF70" s="699"/>
      <c r="FG70" s="699"/>
      <c r="FH70" s="699"/>
      <c r="FI70" s="699"/>
      <c r="FJ70" s="708"/>
      <c r="FK70" s="708"/>
      <c r="FL70" s="708"/>
      <c r="FM70" s="708"/>
      <c r="FN70" s="708"/>
      <c r="FO70" s="708"/>
      <c r="FP70" s="708"/>
    </row>
    <row r="71" spans="1:172" ht="9" hidden="1" customHeight="1" x14ac:dyDescent="0.25">
      <c r="A71" s="681"/>
      <c r="B71" s="682"/>
      <c r="C71" s="688"/>
      <c r="D71" s="689"/>
      <c r="E71" s="690"/>
      <c r="F71" s="681"/>
      <c r="G71" s="682"/>
      <c r="H71" s="688"/>
      <c r="I71" s="689"/>
      <c r="J71" s="690"/>
      <c r="K71" s="681"/>
      <c r="L71" s="682"/>
      <c r="M71" s="688"/>
      <c r="N71" s="689"/>
      <c r="O71" s="690"/>
      <c r="P71" s="681"/>
      <c r="Q71" s="682"/>
      <c r="R71" s="688"/>
      <c r="S71" s="689"/>
      <c r="T71" s="690"/>
      <c r="U71" s="681"/>
      <c r="V71" s="682"/>
      <c r="W71" s="688"/>
      <c r="X71" s="689"/>
      <c r="Y71" s="690"/>
      <c r="Z71" s="681"/>
      <c r="AA71" s="682"/>
      <c r="AB71" s="688"/>
      <c r="AC71" s="689"/>
      <c r="AD71" s="690"/>
      <c r="AE71" s="681"/>
      <c r="AF71" s="682"/>
      <c r="AG71" s="688"/>
      <c r="AH71" s="689"/>
      <c r="AI71" s="690"/>
      <c r="AJ71" s="681"/>
      <c r="AK71" s="682"/>
      <c r="AL71" s="688"/>
      <c r="AM71" s="689"/>
      <c r="AN71" s="690"/>
      <c r="AO71" s="681"/>
      <c r="AP71" s="682"/>
      <c r="AQ71" s="688"/>
      <c r="AR71" s="689"/>
      <c r="AS71" s="690"/>
      <c r="AT71" s="681"/>
      <c r="AU71" s="682"/>
      <c r="AV71" s="688"/>
      <c r="AW71" s="689"/>
      <c r="AX71" s="690"/>
      <c r="AY71" s="681"/>
      <c r="AZ71" s="682"/>
      <c r="BA71" s="688"/>
      <c r="BB71" s="689"/>
      <c r="BC71" s="690"/>
      <c r="BD71" s="681"/>
      <c r="BE71" s="682"/>
      <c r="BF71" s="688"/>
      <c r="BG71" s="689"/>
      <c r="BH71" s="690"/>
      <c r="BI71" s="681"/>
      <c r="BJ71" s="682"/>
      <c r="BK71" s="688"/>
      <c r="BL71" s="689"/>
      <c r="BM71" s="690"/>
      <c r="BN71" s="681"/>
      <c r="BO71" s="682"/>
      <c r="BP71" s="688"/>
      <c r="BQ71" s="689"/>
      <c r="BR71" s="690"/>
      <c r="BS71" s="53"/>
      <c r="BT71" s="53"/>
      <c r="DE71" s="703"/>
      <c r="DF71" s="703"/>
      <c r="DG71" s="703"/>
      <c r="DH71" s="52"/>
      <c r="DI71" s="45"/>
      <c r="DJ71" s="45"/>
      <c r="DK71" s="45"/>
      <c r="DL71" s="45"/>
      <c r="DM71" s="45"/>
      <c r="DN71" s="45"/>
      <c r="DO71" s="45"/>
      <c r="DP71" s="45"/>
      <c r="DQ71" s="45"/>
      <c r="DR71" s="45"/>
      <c r="DS71" s="45"/>
      <c r="DT71" s="45"/>
      <c r="DU71" s="45"/>
      <c r="DV71" s="705"/>
      <c r="DW71" s="705"/>
      <c r="DX71" s="705"/>
      <c r="DY71" s="705"/>
      <c r="DZ71" s="705"/>
      <c r="EA71" s="705"/>
      <c r="EB71" s="705"/>
      <c r="EC71" s="705"/>
      <c r="ED71" s="705"/>
      <c r="EE71" s="705"/>
      <c r="EF71" s="705"/>
      <c r="EG71" s="705"/>
      <c r="EH71" s="706"/>
      <c r="EI71" s="706"/>
      <c r="EJ71" s="706"/>
      <c r="EK71" s="706"/>
      <c r="EL71" s="706"/>
      <c r="EM71" s="706"/>
      <c r="EN71" s="706"/>
      <c r="EO71" s="706"/>
      <c r="EP71" s="706"/>
      <c r="EQ71" s="706"/>
      <c r="ER71" s="706"/>
      <c r="ES71" s="707"/>
      <c r="ET71" s="707"/>
      <c r="EU71" s="707"/>
      <c r="EV71" s="707"/>
      <c r="EW71" s="707"/>
      <c r="EX71" s="707"/>
      <c r="EY71" s="707"/>
      <c r="EZ71" s="707"/>
      <c r="FA71" s="707"/>
      <c r="FB71" s="707"/>
      <c r="FC71" s="707"/>
      <c r="FD71" s="707"/>
      <c r="FE71" s="699"/>
      <c r="FF71" s="699"/>
      <c r="FG71" s="699"/>
      <c r="FH71" s="699"/>
      <c r="FI71" s="699"/>
      <c r="FJ71" s="708"/>
      <c r="FK71" s="708"/>
      <c r="FL71" s="708"/>
      <c r="FM71" s="708"/>
      <c r="FN71" s="708"/>
      <c r="FO71" s="708"/>
      <c r="FP71" s="708"/>
    </row>
    <row r="72" spans="1:172" ht="3.75" hidden="1" customHeight="1" x14ac:dyDescent="0.25">
      <c r="A72" s="683"/>
      <c r="B72" s="684"/>
      <c r="C72" s="691"/>
      <c r="D72" s="692"/>
      <c r="E72" s="693"/>
      <c r="F72" s="683"/>
      <c r="G72" s="684"/>
      <c r="H72" s="691"/>
      <c r="I72" s="692"/>
      <c r="J72" s="693"/>
      <c r="K72" s="683"/>
      <c r="L72" s="684"/>
      <c r="M72" s="691"/>
      <c r="N72" s="692"/>
      <c r="O72" s="693"/>
      <c r="P72" s="683"/>
      <c r="Q72" s="684"/>
      <c r="R72" s="691"/>
      <c r="S72" s="692"/>
      <c r="T72" s="693"/>
      <c r="U72" s="683"/>
      <c r="V72" s="684"/>
      <c r="W72" s="691"/>
      <c r="X72" s="692"/>
      <c r="Y72" s="693"/>
      <c r="Z72" s="683"/>
      <c r="AA72" s="684"/>
      <c r="AB72" s="691"/>
      <c r="AC72" s="692"/>
      <c r="AD72" s="693"/>
      <c r="AE72" s="683"/>
      <c r="AF72" s="684"/>
      <c r="AG72" s="691"/>
      <c r="AH72" s="692"/>
      <c r="AI72" s="693"/>
      <c r="AJ72" s="683"/>
      <c r="AK72" s="684"/>
      <c r="AL72" s="691"/>
      <c r="AM72" s="692"/>
      <c r="AN72" s="693"/>
      <c r="AO72" s="683"/>
      <c r="AP72" s="684"/>
      <c r="AQ72" s="691"/>
      <c r="AR72" s="692"/>
      <c r="AS72" s="693"/>
      <c r="AT72" s="683"/>
      <c r="AU72" s="684"/>
      <c r="AV72" s="691"/>
      <c r="AW72" s="692"/>
      <c r="AX72" s="693"/>
      <c r="AY72" s="683"/>
      <c r="AZ72" s="684"/>
      <c r="BA72" s="691"/>
      <c r="BB72" s="692"/>
      <c r="BC72" s="693"/>
      <c r="BD72" s="683"/>
      <c r="BE72" s="684"/>
      <c r="BF72" s="691"/>
      <c r="BG72" s="692"/>
      <c r="BH72" s="693"/>
      <c r="BI72" s="683"/>
      <c r="BJ72" s="684"/>
      <c r="BK72" s="691"/>
      <c r="BL72" s="692"/>
      <c r="BM72" s="693"/>
      <c r="BN72" s="683"/>
      <c r="BO72" s="684"/>
      <c r="BP72" s="691"/>
      <c r="BQ72" s="692"/>
      <c r="BR72" s="693"/>
      <c r="BS72" s="53"/>
      <c r="BT72" s="53"/>
      <c r="DE72" s="709"/>
      <c r="DF72" s="709"/>
      <c r="DG72" s="709"/>
      <c r="DH72" s="52"/>
      <c r="DI72" s="45"/>
      <c r="DJ72" s="45"/>
      <c r="DK72" s="45"/>
      <c r="DL72" s="45"/>
      <c r="DM72" s="45"/>
      <c r="DN72" s="45"/>
      <c r="DO72" s="45"/>
      <c r="DP72" s="45"/>
      <c r="DQ72" s="45"/>
      <c r="DR72" s="45"/>
      <c r="DS72" s="45"/>
      <c r="DT72" s="45"/>
      <c r="DU72" s="45"/>
      <c r="DV72" s="705"/>
      <c r="DW72" s="705"/>
      <c r="DX72" s="705"/>
      <c r="DY72" s="705"/>
      <c r="DZ72" s="705"/>
      <c r="EA72" s="705"/>
      <c r="EB72" s="705"/>
      <c r="EC72" s="705"/>
      <c r="ED72" s="705"/>
      <c r="EE72" s="705"/>
      <c r="EF72" s="705"/>
      <c r="EG72" s="705"/>
      <c r="EH72" s="706"/>
      <c r="EI72" s="706"/>
      <c r="EJ72" s="706"/>
      <c r="EK72" s="706"/>
      <c r="EL72" s="706"/>
      <c r="EM72" s="706"/>
      <c r="EN72" s="706"/>
      <c r="EO72" s="706"/>
      <c r="EP72" s="706"/>
      <c r="EQ72" s="706"/>
      <c r="ER72" s="706"/>
      <c r="ES72" s="707"/>
      <c r="ET72" s="707"/>
      <c r="EU72" s="707"/>
      <c r="EV72" s="707"/>
      <c r="EW72" s="707"/>
      <c r="EX72" s="707"/>
      <c r="EY72" s="707"/>
      <c r="EZ72" s="707"/>
      <c r="FA72" s="707"/>
      <c r="FB72" s="707"/>
      <c r="FC72" s="707"/>
      <c r="FD72" s="707"/>
      <c r="FE72" s="699"/>
      <c r="FF72" s="699"/>
      <c r="FG72" s="699"/>
      <c r="FH72" s="699"/>
      <c r="FI72" s="699"/>
      <c r="FJ72" s="708"/>
      <c r="FK72" s="708"/>
      <c r="FL72" s="708"/>
      <c r="FM72" s="708"/>
      <c r="FN72" s="708"/>
      <c r="FO72" s="708"/>
      <c r="FP72" s="708"/>
    </row>
    <row r="73" spans="1:172" s="22" customFormat="1" ht="111.75" hidden="1" customHeight="1" x14ac:dyDescent="1.35">
      <c r="A73" s="586" t="s">
        <v>500</v>
      </c>
      <c r="B73" s="694"/>
      <c r="C73" s="695"/>
      <c r="D73" s="695"/>
      <c r="E73" s="696"/>
      <c r="F73" s="586" t="s">
        <v>500</v>
      </c>
      <c r="G73" s="694"/>
      <c r="H73" s="695"/>
      <c r="I73" s="695"/>
      <c r="J73" s="696"/>
      <c r="K73" s="586" t="s">
        <v>500</v>
      </c>
      <c r="L73" s="694"/>
      <c r="M73" s="695"/>
      <c r="N73" s="695"/>
      <c r="O73" s="696"/>
      <c r="P73" s="586" t="s">
        <v>500</v>
      </c>
      <c r="Q73" s="694"/>
      <c r="R73" s="695"/>
      <c r="S73" s="695"/>
      <c r="T73" s="696"/>
      <c r="U73" s="586" t="s">
        <v>500</v>
      </c>
      <c r="V73" s="694"/>
      <c r="W73" s="695"/>
      <c r="X73" s="695"/>
      <c r="Y73" s="696"/>
      <c r="Z73" s="586" t="s">
        <v>500</v>
      </c>
      <c r="AA73" s="694"/>
      <c r="AB73" s="695"/>
      <c r="AC73" s="695"/>
      <c r="AD73" s="696"/>
      <c r="AE73" s="586" t="s">
        <v>500</v>
      </c>
      <c r="AF73" s="694"/>
      <c r="AG73" s="695"/>
      <c r="AH73" s="695"/>
      <c r="AI73" s="696"/>
      <c r="AJ73" s="586" t="s">
        <v>500</v>
      </c>
      <c r="AK73" s="694"/>
      <c r="AL73" s="695"/>
      <c r="AM73" s="695"/>
      <c r="AN73" s="696"/>
      <c r="AO73" s="586" t="s">
        <v>500</v>
      </c>
      <c r="AP73" s="694"/>
      <c r="AQ73" s="695"/>
      <c r="AR73" s="695"/>
      <c r="AS73" s="696"/>
      <c r="AT73" s="586" t="s">
        <v>500</v>
      </c>
      <c r="AU73" s="694"/>
      <c r="AV73" s="695"/>
      <c r="AW73" s="695"/>
      <c r="AX73" s="696"/>
      <c r="AY73" s="586" t="s">
        <v>500</v>
      </c>
      <c r="AZ73" s="694"/>
      <c r="BA73" s="695"/>
      <c r="BB73" s="695"/>
      <c r="BC73" s="696"/>
      <c r="BD73" s="586" t="s">
        <v>500</v>
      </c>
      <c r="BE73" s="694"/>
      <c r="BF73" s="695"/>
      <c r="BG73" s="695"/>
      <c r="BH73" s="696"/>
      <c r="BI73" s="586" t="s">
        <v>500</v>
      </c>
      <c r="BJ73" s="694"/>
      <c r="BK73" s="695"/>
      <c r="BL73" s="695"/>
      <c r="BM73" s="696"/>
      <c r="BN73" s="586" t="s">
        <v>500</v>
      </c>
      <c r="BO73" s="694"/>
      <c r="BP73" s="695"/>
      <c r="BQ73" s="695"/>
      <c r="BR73" s="696"/>
      <c r="DE73" s="709"/>
      <c r="DF73" s="709"/>
      <c r="DG73" s="709"/>
      <c r="DH73" s="375"/>
      <c r="DI73" s="373"/>
      <c r="DJ73" s="373"/>
      <c r="DK73" s="373"/>
      <c r="DL73" s="373"/>
      <c r="DM73" s="373"/>
      <c r="DN73" s="373"/>
      <c r="DO73" s="373"/>
      <c r="DP73" s="373"/>
      <c r="DQ73" s="373"/>
      <c r="DR73" s="373"/>
      <c r="DS73" s="373"/>
      <c r="DT73" s="373"/>
      <c r="DU73" s="373"/>
      <c r="DV73" s="705"/>
      <c r="DW73" s="705"/>
      <c r="DX73" s="705"/>
      <c r="DY73" s="705"/>
      <c r="DZ73" s="705"/>
      <c r="EA73" s="705"/>
      <c r="EB73" s="705"/>
      <c r="EC73" s="705"/>
      <c r="ED73" s="705"/>
      <c r="EE73" s="705"/>
      <c r="EF73" s="705"/>
      <c r="EG73" s="705"/>
      <c r="EH73" s="706"/>
      <c r="EI73" s="706"/>
      <c r="EJ73" s="706"/>
      <c r="EK73" s="706"/>
      <c r="EL73" s="706"/>
      <c r="EM73" s="706"/>
      <c r="EN73" s="706"/>
      <c r="EO73" s="706"/>
      <c r="EP73" s="706"/>
      <c r="EQ73" s="706"/>
      <c r="ER73" s="706"/>
      <c r="ES73" s="707"/>
      <c r="ET73" s="707"/>
      <c r="EU73" s="707"/>
      <c r="EV73" s="707"/>
      <c r="EW73" s="707"/>
      <c r="EX73" s="707"/>
      <c r="EY73" s="707"/>
      <c r="EZ73" s="707"/>
      <c r="FA73" s="707"/>
      <c r="FB73" s="707"/>
      <c r="FC73" s="707"/>
      <c r="FD73" s="707"/>
      <c r="FE73" s="699"/>
      <c r="FF73" s="699"/>
      <c r="FG73" s="699"/>
      <c r="FH73" s="699"/>
      <c r="FI73" s="699"/>
      <c r="FJ73" s="708"/>
      <c r="FK73" s="708"/>
      <c r="FL73" s="708"/>
      <c r="FM73" s="708"/>
      <c r="FN73" s="708"/>
      <c r="FO73" s="708"/>
      <c r="FP73" s="708"/>
    </row>
    <row r="74" spans="1:172" ht="50.25" hidden="1" customHeight="1" thickBot="1" x14ac:dyDescent="0.3">
      <c r="A74" s="587"/>
      <c r="B74" s="334"/>
      <c r="C74" s="335" t="s">
        <v>113</v>
      </c>
      <c r="D74" s="336"/>
      <c r="E74" s="337" t="s">
        <v>114</v>
      </c>
      <c r="F74" s="587"/>
      <c r="G74" s="334"/>
      <c r="H74" s="335" t="s">
        <v>113</v>
      </c>
      <c r="I74" s="336"/>
      <c r="J74" s="337" t="s">
        <v>114</v>
      </c>
      <c r="K74" s="587"/>
      <c r="L74" s="334"/>
      <c r="M74" s="335" t="s">
        <v>113</v>
      </c>
      <c r="N74" s="336"/>
      <c r="O74" s="337" t="s">
        <v>114</v>
      </c>
      <c r="P74" s="587"/>
      <c r="Q74" s="334"/>
      <c r="R74" s="335" t="s">
        <v>113</v>
      </c>
      <c r="S74" s="336"/>
      <c r="T74" s="337" t="s">
        <v>114</v>
      </c>
      <c r="U74" s="587"/>
      <c r="V74" s="334"/>
      <c r="W74" s="335" t="s">
        <v>113</v>
      </c>
      <c r="X74" s="336"/>
      <c r="Y74" s="337" t="s">
        <v>114</v>
      </c>
      <c r="Z74" s="587"/>
      <c r="AA74" s="334"/>
      <c r="AB74" s="335" t="s">
        <v>113</v>
      </c>
      <c r="AC74" s="336"/>
      <c r="AD74" s="337" t="s">
        <v>114</v>
      </c>
      <c r="AE74" s="587"/>
      <c r="AF74" s="334"/>
      <c r="AG74" s="335" t="s">
        <v>113</v>
      </c>
      <c r="AH74" s="336"/>
      <c r="AI74" s="337" t="s">
        <v>114</v>
      </c>
      <c r="AJ74" s="587"/>
      <c r="AK74" s="334"/>
      <c r="AL74" s="335" t="s">
        <v>113</v>
      </c>
      <c r="AM74" s="336"/>
      <c r="AN74" s="337" t="s">
        <v>114</v>
      </c>
      <c r="AO74" s="587"/>
      <c r="AP74" s="334"/>
      <c r="AQ74" s="335" t="s">
        <v>113</v>
      </c>
      <c r="AR74" s="336"/>
      <c r="AS74" s="337" t="s">
        <v>114</v>
      </c>
      <c r="AT74" s="587"/>
      <c r="AU74" s="334"/>
      <c r="AV74" s="335" t="s">
        <v>113</v>
      </c>
      <c r="AW74" s="336"/>
      <c r="AX74" s="337" t="s">
        <v>114</v>
      </c>
      <c r="AY74" s="587"/>
      <c r="AZ74" s="334"/>
      <c r="BA74" s="335" t="s">
        <v>113</v>
      </c>
      <c r="BB74" s="336"/>
      <c r="BC74" s="337" t="s">
        <v>114</v>
      </c>
      <c r="BD74" s="587"/>
      <c r="BE74" s="334"/>
      <c r="BF74" s="335" t="s">
        <v>113</v>
      </c>
      <c r="BG74" s="336"/>
      <c r="BH74" s="337" t="s">
        <v>114</v>
      </c>
      <c r="BI74" s="587"/>
      <c r="BJ74" s="334"/>
      <c r="BK74" s="335" t="s">
        <v>113</v>
      </c>
      <c r="BL74" s="336"/>
      <c r="BM74" s="337" t="s">
        <v>114</v>
      </c>
      <c r="BN74" s="587"/>
      <c r="BO74" s="334"/>
      <c r="BP74" s="335" t="s">
        <v>113</v>
      </c>
      <c r="BQ74" s="336"/>
      <c r="BR74" s="337" t="s">
        <v>114</v>
      </c>
      <c r="DE74" s="709"/>
      <c r="DF74" s="709"/>
      <c r="DG74" s="709"/>
      <c r="DH74" s="52"/>
      <c r="DI74" s="45"/>
      <c r="DJ74" s="45"/>
      <c r="DK74" s="45"/>
      <c r="DL74" s="45"/>
      <c r="DM74" s="45"/>
      <c r="DN74" s="45"/>
      <c r="DO74" s="45"/>
      <c r="DP74" s="45"/>
      <c r="DQ74" s="45"/>
      <c r="DR74" s="45"/>
      <c r="DS74" s="45"/>
      <c r="DT74" s="45"/>
      <c r="DU74" s="45"/>
      <c r="DV74" s="705"/>
      <c r="DW74" s="705"/>
      <c r="DX74" s="705"/>
      <c r="DY74" s="705"/>
      <c r="DZ74" s="705"/>
      <c r="EA74" s="705"/>
      <c r="EB74" s="705"/>
      <c r="EC74" s="705"/>
      <c r="ED74" s="705"/>
      <c r="EE74" s="705"/>
      <c r="EF74" s="705"/>
      <c r="EG74" s="705"/>
      <c r="EH74" s="706"/>
      <c r="EI74" s="706"/>
      <c r="EJ74" s="706"/>
      <c r="EK74" s="706"/>
      <c r="EL74" s="706"/>
      <c r="EM74" s="706"/>
      <c r="EN74" s="706"/>
      <c r="EO74" s="706"/>
      <c r="EP74" s="706"/>
      <c r="EQ74" s="706"/>
      <c r="ER74" s="706"/>
      <c r="ES74" s="707"/>
      <c r="ET74" s="707"/>
      <c r="EU74" s="707"/>
      <c r="EV74" s="707"/>
      <c r="EW74" s="707"/>
      <c r="EX74" s="707"/>
      <c r="EY74" s="707"/>
      <c r="EZ74" s="707"/>
      <c r="FA74" s="707"/>
      <c r="FB74" s="707"/>
      <c r="FC74" s="707"/>
      <c r="FD74" s="707"/>
      <c r="FE74" s="699"/>
      <c r="FF74" s="699"/>
      <c r="FG74" s="699"/>
      <c r="FH74" s="699"/>
      <c r="FI74" s="699"/>
      <c r="FJ74" s="699"/>
      <c r="FK74" s="699"/>
      <c r="FL74" s="699"/>
      <c r="FM74" s="699"/>
      <c r="FN74" s="699"/>
      <c r="FO74" s="699"/>
      <c r="FP74" s="699"/>
    </row>
    <row r="75" spans="1:172" ht="45.75" hidden="1" customHeight="1" thickTop="1" x14ac:dyDescent="0.25">
      <c r="A75" s="582" t="s">
        <v>110</v>
      </c>
      <c r="B75" s="583"/>
      <c r="C75" s="584">
        <f>B80/((72*3.1415/59)*(129.67/3.281))</f>
        <v>0</v>
      </c>
      <c r="D75" s="584"/>
      <c r="E75" s="585"/>
      <c r="F75" s="582" t="s">
        <v>110</v>
      </c>
      <c r="G75" s="583"/>
      <c r="H75" s="584">
        <f t="shared" ref="H75" si="128">G80/((72*3.1415/59)*(129.67/3.281))</f>
        <v>0</v>
      </c>
      <c r="I75" s="584"/>
      <c r="J75" s="585"/>
      <c r="K75" s="582" t="s">
        <v>110</v>
      </c>
      <c r="L75" s="583"/>
      <c r="M75" s="584">
        <f t="shared" ref="M75" si="129">L80/((72*3.1415/59)*(129.67/3.281))</f>
        <v>0</v>
      </c>
      <c r="N75" s="584"/>
      <c r="O75" s="585"/>
      <c r="P75" s="582" t="s">
        <v>110</v>
      </c>
      <c r="Q75" s="583"/>
      <c r="R75" s="584">
        <f t="shared" ref="R75" si="130">Q80/((72*3.1415/59)*(129.67/3.281))</f>
        <v>0</v>
      </c>
      <c r="S75" s="584"/>
      <c r="T75" s="585"/>
      <c r="U75" s="582" t="s">
        <v>110</v>
      </c>
      <c r="V75" s="583"/>
      <c r="W75" s="584">
        <f t="shared" ref="W75" si="131">V80/((72*3.1415/59)*(129.67/3.281))</f>
        <v>0</v>
      </c>
      <c r="X75" s="584"/>
      <c r="Y75" s="585"/>
      <c r="Z75" s="582" t="s">
        <v>110</v>
      </c>
      <c r="AA75" s="583"/>
      <c r="AB75" s="584">
        <f t="shared" ref="AB75" si="132">AA80/((72*3.1415/59)*(129.67/3.281))</f>
        <v>0</v>
      </c>
      <c r="AC75" s="584"/>
      <c r="AD75" s="585"/>
      <c r="AE75" s="582" t="s">
        <v>110</v>
      </c>
      <c r="AF75" s="583"/>
      <c r="AG75" s="584">
        <f t="shared" ref="AG75" si="133">AF80/((72*3.1415/59)*(129.67/3.281))</f>
        <v>0</v>
      </c>
      <c r="AH75" s="584"/>
      <c r="AI75" s="585"/>
      <c r="AJ75" s="582" t="s">
        <v>110</v>
      </c>
      <c r="AK75" s="583"/>
      <c r="AL75" s="584">
        <f t="shared" ref="AL75" si="134">AK80/((72*3.1415/59)*(129.67/3.281))</f>
        <v>0</v>
      </c>
      <c r="AM75" s="584"/>
      <c r="AN75" s="585"/>
      <c r="AO75" s="582" t="s">
        <v>110</v>
      </c>
      <c r="AP75" s="583"/>
      <c r="AQ75" s="584">
        <f t="shared" ref="AQ75" si="135">AP80/((72*3.1415/59)*(129.67/3.281))</f>
        <v>0</v>
      </c>
      <c r="AR75" s="584"/>
      <c r="AS75" s="585"/>
      <c r="AT75" s="582" t="s">
        <v>110</v>
      </c>
      <c r="AU75" s="583"/>
      <c r="AV75" s="584">
        <f t="shared" ref="AV75" si="136">AU80/((72*3.1415/59)*(129.67/3.281))</f>
        <v>0</v>
      </c>
      <c r="AW75" s="584"/>
      <c r="AX75" s="585"/>
      <c r="AY75" s="582" t="s">
        <v>110</v>
      </c>
      <c r="AZ75" s="583"/>
      <c r="BA75" s="584">
        <f t="shared" ref="BA75" si="137">AZ80/((72*3.1415/59)*(129.67/3.281))</f>
        <v>0</v>
      </c>
      <c r="BB75" s="584"/>
      <c r="BC75" s="585"/>
      <c r="BD75" s="582" t="s">
        <v>110</v>
      </c>
      <c r="BE75" s="583"/>
      <c r="BF75" s="584">
        <f t="shared" ref="BF75" si="138">BE80/((72*3.1415/59)*(129.67/3.281))</f>
        <v>0</v>
      </c>
      <c r="BG75" s="584"/>
      <c r="BH75" s="585"/>
      <c r="BI75" s="582" t="s">
        <v>110</v>
      </c>
      <c r="BJ75" s="583"/>
      <c r="BK75" s="584">
        <f t="shared" ref="BK75" si="139">BJ80/((72*3.1415/59)*(129.67/3.281))</f>
        <v>0</v>
      </c>
      <c r="BL75" s="584"/>
      <c r="BM75" s="585"/>
      <c r="BN75" s="582" t="s">
        <v>110</v>
      </c>
      <c r="BO75" s="583"/>
      <c r="BP75" s="584">
        <f t="shared" ref="BP75" si="140">BO80/((72*3.1415/59)*(129.67/3.281))</f>
        <v>0</v>
      </c>
      <c r="BQ75" s="584"/>
      <c r="BR75" s="585"/>
      <c r="DE75" s="709"/>
      <c r="DF75" s="709"/>
      <c r="DG75" s="709"/>
      <c r="DH75" s="52"/>
      <c r="DI75" s="49"/>
      <c r="DJ75" s="49"/>
      <c r="DK75" s="49"/>
      <c r="DL75" s="49"/>
      <c r="DM75" s="49"/>
      <c r="DN75" s="49"/>
      <c r="DO75" s="49"/>
      <c r="DP75" s="49"/>
      <c r="DQ75" s="49"/>
      <c r="DR75" s="49"/>
      <c r="DS75" s="49"/>
      <c r="DT75" s="49"/>
      <c r="DU75" s="49"/>
      <c r="DV75" s="705"/>
      <c r="DW75" s="705"/>
      <c r="DX75" s="705"/>
      <c r="DY75" s="705"/>
      <c r="DZ75" s="705"/>
      <c r="EA75" s="705"/>
      <c r="EB75" s="705"/>
      <c r="EC75" s="705"/>
      <c r="ED75" s="705"/>
      <c r="EE75" s="705"/>
      <c r="EF75" s="705"/>
      <c r="EG75" s="705"/>
      <c r="EH75" s="706"/>
      <c r="EI75" s="706"/>
      <c r="EJ75" s="706"/>
      <c r="EK75" s="706"/>
      <c r="EL75" s="706"/>
      <c r="EM75" s="706"/>
      <c r="EN75" s="706"/>
      <c r="EO75" s="706"/>
      <c r="EP75" s="706"/>
      <c r="EQ75" s="706"/>
      <c r="ER75" s="706"/>
      <c r="ES75" s="707"/>
      <c r="ET75" s="707"/>
      <c r="EU75" s="707"/>
      <c r="EV75" s="707"/>
      <c r="EW75" s="707"/>
      <c r="EX75" s="707"/>
      <c r="EY75" s="707"/>
      <c r="EZ75" s="707"/>
      <c r="FA75" s="707"/>
      <c r="FB75" s="707"/>
      <c r="FC75" s="707"/>
      <c r="FD75" s="707"/>
      <c r="FE75" s="699"/>
      <c r="FF75" s="699"/>
      <c r="FG75" s="699"/>
      <c r="FH75" s="699"/>
      <c r="FI75" s="699"/>
      <c r="FJ75" s="699"/>
      <c r="FK75" s="699"/>
      <c r="FL75" s="699"/>
      <c r="FM75" s="699"/>
      <c r="FN75" s="699"/>
      <c r="FO75" s="699"/>
      <c r="FP75" s="699"/>
    </row>
    <row r="76" spans="1:172" ht="9.75" hidden="1" customHeight="1" x14ac:dyDescent="0.25">
      <c r="A76" s="679" t="s">
        <v>489</v>
      </c>
      <c r="B76" s="680"/>
      <c r="C76" s="685" t="s">
        <v>504</v>
      </c>
      <c r="D76" s="686"/>
      <c r="E76" s="687"/>
      <c r="F76" s="679" t="s">
        <v>489</v>
      </c>
      <c r="G76" s="680"/>
      <c r="H76" s="685" t="s">
        <v>504</v>
      </c>
      <c r="I76" s="686"/>
      <c r="J76" s="687"/>
      <c r="K76" s="679" t="s">
        <v>489</v>
      </c>
      <c r="L76" s="680"/>
      <c r="M76" s="685" t="s">
        <v>504</v>
      </c>
      <c r="N76" s="686"/>
      <c r="O76" s="687"/>
      <c r="P76" s="679" t="s">
        <v>489</v>
      </c>
      <c r="Q76" s="680"/>
      <c r="R76" s="685" t="s">
        <v>504</v>
      </c>
      <c r="S76" s="686"/>
      <c r="T76" s="687"/>
      <c r="U76" s="679" t="s">
        <v>489</v>
      </c>
      <c r="V76" s="680"/>
      <c r="W76" s="685" t="s">
        <v>504</v>
      </c>
      <c r="X76" s="686"/>
      <c r="Y76" s="687"/>
      <c r="Z76" s="679" t="s">
        <v>489</v>
      </c>
      <c r="AA76" s="680"/>
      <c r="AB76" s="685" t="s">
        <v>504</v>
      </c>
      <c r="AC76" s="686"/>
      <c r="AD76" s="687"/>
      <c r="AE76" s="679" t="s">
        <v>489</v>
      </c>
      <c r="AF76" s="680"/>
      <c r="AG76" s="685" t="s">
        <v>504</v>
      </c>
      <c r="AH76" s="686"/>
      <c r="AI76" s="687"/>
      <c r="AJ76" s="679" t="s">
        <v>489</v>
      </c>
      <c r="AK76" s="680"/>
      <c r="AL76" s="685" t="s">
        <v>504</v>
      </c>
      <c r="AM76" s="686"/>
      <c r="AN76" s="687"/>
      <c r="AO76" s="679" t="s">
        <v>489</v>
      </c>
      <c r="AP76" s="680"/>
      <c r="AQ76" s="685" t="s">
        <v>504</v>
      </c>
      <c r="AR76" s="686"/>
      <c r="AS76" s="687"/>
      <c r="AT76" s="679" t="s">
        <v>489</v>
      </c>
      <c r="AU76" s="680"/>
      <c r="AV76" s="685" t="s">
        <v>504</v>
      </c>
      <c r="AW76" s="686"/>
      <c r="AX76" s="687"/>
      <c r="AY76" s="679" t="s">
        <v>489</v>
      </c>
      <c r="AZ76" s="680"/>
      <c r="BA76" s="685" t="s">
        <v>504</v>
      </c>
      <c r="BB76" s="686"/>
      <c r="BC76" s="687"/>
      <c r="BD76" s="679" t="s">
        <v>489</v>
      </c>
      <c r="BE76" s="680"/>
      <c r="BF76" s="685" t="s">
        <v>504</v>
      </c>
      <c r="BG76" s="686"/>
      <c r="BH76" s="687"/>
      <c r="BI76" s="679" t="s">
        <v>489</v>
      </c>
      <c r="BJ76" s="680"/>
      <c r="BK76" s="685" t="s">
        <v>504</v>
      </c>
      <c r="BL76" s="686"/>
      <c r="BM76" s="687"/>
      <c r="BN76" s="679" t="s">
        <v>489</v>
      </c>
      <c r="BO76" s="680"/>
      <c r="BP76" s="685" t="s">
        <v>504</v>
      </c>
      <c r="BQ76" s="686"/>
      <c r="BR76" s="687"/>
    </row>
    <row r="77" spans="1:172" ht="9.75" hidden="1" customHeight="1" x14ac:dyDescent="0.25">
      <c r="A77" s="681"/>
      <c r="B77" s="682"/>
      <c r="C77" s="688"/>
      <c r="D77" s="689"/>
      <c r="E77" s="690"/>
      <c r="F77" s="681"/>
      <c r="G77" s="682"/>
      <c r="H77" s="688"/>
      <c r="I77" s="689"/>
      <c r="J77" s="690"/>
      <c r="K77" s="681"/>
      <c r="L77" s="682"/>
      <c r="M77" s="688"/>
      <c r="N77" s="689"/>
      <c r="O77" s="690"/>
      <c r="P77" s="681"/>
      <c r="Q77" s="682"/>
      <c r="R77" s="688"/>
      <c r="S77" s="689"/>
      <c r="T77" s="690"/>
      <c r="U77" s="681"/>
      <c r="V77" s="682"/>
      <c r="W77" s="688"/>
      <c r="X77" s="689"/>
      <c r="Y77" s="690"/>
      <c r="Z77" s="681"/>
      <c r="AA77" s="682"/>
      <c r="AB77" s="688"/>
      <c r="AC77" s="689"/>
      <c r="AD77" s="690"/>
      <c r="AE77" s="681"/>
      <c r="AF77" s="682"/>
      <c r="AG77" s="688"/>
      <c r="AH77" s="689"/>
      <c r="AI77" s="690"/>
      <c r="AJ77" s="681"/>
      <c r="AK77" s="682"/>
      <c r="AL77" s="688"/>
      <c r="AM77" s="689"/>
      <c r="AN77" s="690"/>
      <c r="AO77" s="681"/>
      <c r="AP77" s="682"/>
      <c r="AQ77" s="688"/>
      <c r="AR77" s="689"/>
      <c r="AS77" s="690"/>
      <c r="AT77" s="681"/>
      <c r="AU77" s="682"/>
      <c r="AV77" s="688"/>
      <c r="AW77" s="689"/>
      <c r="AX77" s="690"/>
      <c r="AY77" s="681"/>
      <c r="AZ77" s="682"/>
      <c r="BA77" s="688"/>
      <c r="BB77" s="689"/>
      <c r="BC77" s="690"/>
      <c r="BD77" s="681"/>
      <c r="BE77" s="682"/>
      <c r="BF77" s="688"/>
      <c r="BG77" s="689"/>
      <c r="BH77" s="690"/>
      <c r="BI77" s="681"/>
      <c r="BJ77" s="682"/>
      <c r="BK77" s="688"/>
      <c r="BL77" s="689"/>
      <c r="BM77" s="690"/>
      <c r="BN77" s="681"/>
      <c r="BO77" s="682"/>
      <c r="BP77" s="688"/>
      <c r="BQ77" s="689"/>
      <c r="BR77" s="690"/>
    </row>
    <row r="78" spans="1:172" ht="9.75" hidden="1" customHeight="1" x14ac:dyDescent="0.25">
      <c r="A78" s="683"/>
      <c r="B78" s="684"/>
      <c r="C78" s="691"/>
      <c r="D78" s="692"/>
      <c r="E78" s="693"/>
      <c r="F78" s="683"/>
      <c r="G78" s="684"/>
      <c r="H78" s="691"/>
      <c r="I78" s="692"/>
      <c r="J78" s="693"/>
      <c r="K78" s="683"/>
      <c r="L78" s="684"/>
      <c r="M78" s="691"/>
      <c r="N78" s="692"/>
      <c r="O78" s="693"/>
      <c r="P78" s="683"/>
      <c r="Q78" s="684"/>
      <c r="R78" s="691"/>
      <c r="S78" s="692"/>
      <c r="T78" s="693"/>
      <c r="U78" s="683"/>
      <c r="V78" s="684"/>
      <c r="W78" s="691"/>
      <c r="X78" s="692"/>
      <c r="Y78" s="693"/>
      <c r="Z78" s="683"/>
      <c r="AA78" s="684"/>
      <c r="AB78" s="691"/>
      <c r="AC78" s="692"/>
      <c r="AD78" s="693"/>
      <c r="AE78" s="683"/>
      <c r="AF78" s="684"/>
      <c r="AG78" s="691"/>
      <c r="AH78" s="692"/>
      <c r="AI78" s="693"/>
      <c r="AJ78" s="683"/>
      <c r="AK78" s="684"/>
      <c r="AL78" s="691"/>
      <c r="AM78" s="692"/>
      <c r="AN78" s="693"/>
      <c r="AO78" s="683"/>
      <c r="AP78" s="684"/>
      <c r="AQ78" s="691"/>
      <c r="AR78" s="692"/>
      <c r="AS78" s="693"/>
      <c r="AT78" s="683"/>
      <c r="AU78" s="684"/>
      <c r="AV78" s="691"/>
      <c r="AW78" s="692"/>
      <c r="AX78" s="693"/>
      <c r="AY78" s="683"/>
      <c r="AZ78" s="684"/>
      <c r="BA78" s="691"/>
      <c r="BB78" s="692"/>
      <c r="BC78" s="693"/>
      <c r="BD78" s="683"/>
      <c r="BE78" s="684"/>
      <c r="BF78" s="691"/>
      <c r="BG78" s="692"/>
      <c r="BH78" s="693"/>
      <c r="BI78" s="683"/>
      <c r="BJ78" s="684"/>
      <c r="BK78" s="691"/>
      <c r="BL78" s="692"/>
      <c r="BM78" s="693"/>
      <c r="BN78" s="683"/>
      <c r="BO78" s="684"/>
      <c r="BP78" s="691"/>
      <c r="BQ78" s="692"/>
      <c r="BR78" s="693"/>
    </row>
    <row r="79" spans="1:172" s="22" customFormat="1" ht="111.75" hidden="1" customHeight="1" x14ac:dyDescent="1.35">
      <c r="A79" s="586" t="s">
        <v>500</v>
      </c>
      <c r="B79" s="694"/>
      <c r="C79" s="695"/>
      <c r="D79" s="695"/>
      <c r="E79" s="696"/>
      <c r="F79" s="586" t="s">
        <v>500</v>
      </c>
      <c r="G79" s="694"/>
      <c r="H79" s="695"/>
      <c r="I79" s="695"/>
      <c r="J79" s="696"/>
      <c r="K79" s="586" t="s">
        <v>500</v>
      </c>
      <c r="L79" s="694"/>
      <c r="M79" s="695"/>
      <c r="N79" s="695"/>
      <c r="O79" s="696"/>
      <c r="P79" s="586" t="s">
        <v>500</v>
      </c>
      <c r="Q79" s="694"/>
      <c r="R79" s="695"/>
      <c r="S79" s="695"/>
      <c r="T79" s="696"/>
      <c r="U79" s="586" t="s">
        <v>500</v>
      </c>
      <c r="V79" s="694"/>
      <c r="W79" s="695"/>
      <c r="X79" s="695"/>
      <c r="Y79" s="696"/>
      <c r="Z79" s="586" t="s">
        <v>500</v>
      </c>
      <c r="AA79" s="694"/>
      <c r="AB79" s="695"/>
      <c r="AC79" s="695"/>
      <c r="AD79" s="696"/>
      <c r="AE79" s="586" t="s">
        <v>500</v>
      </c>
      <c r="AF79" s="694"/>
      <c r="AG79" s="695"/>
      <c r="AH79" s="695"/>
      <c r="AI79" s="696"/>
      <c r="AJ79" s="586" t="s">
        <v>500</v>
      </c>
      <c r="AK79" s="694"/>
      <c r="AL79" s="695"/>
      <c r="AM79" s="695"/>
      <c r="AN79" s="696"/>
      <c r="AO79" s="586" t="s">
        <v>500</v>
      </c>
      <c r="AP79" s="694"/>
      <c r="AQ79" s="695"/>
      <c r="AR79" s="695"/>
      <c r="AS79" s="696"/>
      <c r="AT79" s="586" t="s">
        <v>500</v>
      </c>
      <c r="AU79" s="694"/>
      <c r="AV79" s="695"/>
      <c r="AW79" s="695"/>
      <c r="AX79" s="696"/>
      <c r="AY79" s="586" t="s">
        <v>500</v>
      </c>
      <c r="AZ79" s="694"/>
      <c r="BA79" s="695"/>
      <c r="BB79" s="695"/>
      <c r="BC79" s="696"/>
      <c r="BD79" s="586" t="s">
        <v>500</v>
      </c>
      <c r="BE79" s="694"/>
      <c r="BF79" s="695"/>
      <c r="BG79" s="695"/>
      <c r="BH79" s="696"/>
      <c r="BI79" s="586" t="s">
        <v>500</v>
      </c>
      <c r="BJ79" s="694"/>
      <c r="BK79" s="695"/>
      <c r="BL79" s="695"/>
      <c r="BM79" s="696"/>
      <c r="BN79" s="586" t="s">
        <v>500</v>
      </c>
      <c r="BO79" s="694"/>
      <c r="BP79" s="695"/>
      <c r="BQ79" s="695"/>
      <c r="BR79" s="696"/>
    </row>
    <row r="80" spans="1:172" ht="50.25" hidden="1" customHeight="1" thickBot="1" x14ac:dyDescent="0.3">
      <c r="A80" s="587"/>
      <c r="B80" s="334"/>
      <c r="C80" s="335" t="s">
        <v>113</v>
      </c>
      <c r="D80" s="336"/>
      <c r="E80" s="337" t="s">
        <v>114</v>
      </c>
      <c r="F80" s="587"/>
      <c r="G80" s="334"/>
      <c r="H80" s="335" t="s">
        <v>113</v>
      </c>
      <c r="I80" s="336"/>
      <c r="J80" s="337" t="s">
        <v>114</v>
      </c>
      <c r="K80" s="587"/>
      <c r="L80" s="334"/>
      <c r="M80" s="335" t="s">
        <v>113</v>
      </c>
      <c r="N80" s="336"/>
      <c r="O80" s="337" t="s">
        <v>114</v>
      </c>
      <c r="P80" s="587"/>
      <c r="Q80" s="334"/>
      <c r="R80" s="335" t="s">
        <v>113</v>
      </c>
      <c r="S80" s="336"/>
      <c r="T80" s="337" t="s">
        <v>114</v>
      </c>
      <c r="U80" s="587"/>
      <c r="V80" s="334"/>
      <c r="W80" s="335" t="s">
        <v>113</v>
      </c>
      <c r="X80" s="336"/>
      <c r="Y80" s="337" t="s">
        <v>114</v>
      </c>
      <c r="Z80" s="587"/>
      <c r="AA80" s="334"/>
      <c r="AB80" s="335" t="s">
        <v>113</v>
      </c>
      <c r="AC80" s="336"/>
      <c r="AD80" s="337" t="s">
        <v>114</v>
      </c>
      <c r="AE80" s="587"/>
      <c r="AF80" s="334"/>
      <c r="AG80" s="335" t="s">
        <v>113</v>
      </c>
      <c r="AH80" s="336"/>
      <c r="AI80" s="337" t="s">
        <v>114</v>
      </c>
      <c r="AJ80" s="587"/>
      <c r="AK80" s="334"/>
      <c r="AL80" s="335" t="s">
        <v>113</v>
      </c>
      <c r="AM80" s="336"/>
      <c r="AN80" s="337" t="s">
        <v>114</v>
      </c>
      <c r="AO80" s="587"/>
      <c r="AP80" s="334"/>
      <c r="AQ80" s="335" t="s">
        <v>113</v>
      </c>
      <c r="AR80" s="336"/>
      <c r="AS80" s="337" t="s">
        <v>114</v>
      </c>
      <c r="AT80" s="587"/>
      <c r="AU80" s="334"/>
      <c r="AV80" s="335" t="s">
        <v>113</v>
      </c>
      <c r="AW80" s="336"/>
      <c r="AX80" s="337" t="s">
        <v>114</v>
      </c>
      <c r="AY80" s="587"/>
      <c r="AZ80" s="334"/>
      <c r="BA80" s="335" t="s">
        <v>113</v>
      </c>
      <c r="BB80" s="336"/>
      <c r="BC80" s="337" t="s">
        <v>114</v>
      </c>
      <c r="BD80" s="587"/>
      <c r="BE80" s="334"/>
      <c r="BF80" s="335" t="s">
        <v>113</v>
      </c>
      <c r="BG80" s="336"/>
      <c r="BH80" s="337" t="s">
        <v>114</v>
      </c>
      <c r="BI80" s="587"/>
      <c r="BJ80" s="334"/>
      <c r="BK80" s="335" t="s">
        <v>113</v>
      </c>
      <c r="BL80" s="336"/>
      <c r="BM80" s="337" t="s">
        <v>114</v>
      </c>
      <c r="BN80" s="587"/>
      <c r="BO80" s="334"/>
      <c r="BP80" s="335" t="s">
        <v>113</v>
      </c>
      <c r="BQ80" s="336"/>
      <c r="BR80" s="337" t="s">
        <v>114</v>
      </c>
    </row>
    <row r="81" spans="1:70" ht="53.25" hidden="1" customHeight="1" thickTop="1" x14ac:dyDescent="0.25">
      <c r="A81" s="582" t="s">
        <v>110</v>
      </c>
      <c r="B81" s="583"/>
      <c r="C81" s="584">
        <f t="shared" ref="C81" si="141">B86/((72*3.1415/59)*(129.67/3.281))</f>
        <v>0</v>
      </c>
      <c r="D81" s="584"/>
      <c r="E81" s="585"/>
      <c r="F81" s="582" t="s">
        <v>110</v>
      </c>
      <c r="G81" s="583"/>
      <c r="H81" s="584">
        <f t="shared" ref="H81" si="142">G86/((72*3.1415/59)*(129.67/3.281))</f>
        <v>0</v>
      </c>
      <c r="I81" s="584"/>
      <c r="J81" s="585"/>
      <c r="K81" s="582" t="s">
        <v>110</v>
      </c>
      <c r="L81" s="583"/>
      <c r="M81" s="584">
        <f t="shared" ref="M81" si="143">L86/((72*3.1415/59)*(129.67/3.281))</f>
        <v>0</v>
      </c>
      <c r="N81" s="584"/>
      <c r="O81" s="585"/>
      <c r="P81" s="582" t="s">
        <v>110</v>
      </c>
      <c r="Q81" s="583"/>
      <c r="R81" s="584">
        <f t="shared" ref="R81" si="144">Q86/((72*3.1415/59)*(129.67/3.281))</f>
        <v>0</v>
      </c>
      <c r="S81" s="584"/>
      <c r="T81" s="585"/>
      <c r="U81" s="582" t="s">
        <v>110</v>
      </c>
      <c r="V81" s="583"/>
      <c r="W81" s="584">
        <f t="shared" ref="W81" si="145">V86/((72*3.1415/59)*(129.67/3.281))</f>
        <v>0</v>
      </c>
      <c r="X81" s="584"/>
      <c r="Y81" s="585"/>
      <c r="Z81" s="582" t="s">
        <v>110</v>
      </c>
      <c r="AA81" s="583"/>
      <c r="AB81" s="584">
        <f t="shared" ref="AB81" si="146">AA86/((72*3.1415/59)*(129.67/3.281))</f>
        <v>0</v>
      </c>
      <c r="AC81" s="584"/>
      <c r="AD81" s="585"/>
      <c r="AE81" s="582" t="s">
        <v>110</v>
      </c>
      <c r="AF81" s="583"/>
      <c r="AG81" s="584">
        <f t="shared" ref="AG81" si="147">AF86/((72*3.1415/59)*(129.67/3.281))</f>
        <v>0</v>
      </c>
      <c r="AH81" s="584"/>
      <c r="AI81" s="585"/>
      <c r="AJ81" s="582" t="s">
        <v>110</v>
      </c>
      <c r="AK81" s="583"/>
      <c r="AL81" s="584">
        <f t="shared" ref="AL81" si="148">AK86/((72*3.1415/59)*(129.67/3.281))</f>
        <v>0</v>
      </c>
      <c r="AM81" s="584"/>
      <c r="AN81" s="585"/>
      <c r="AO81" s="582" t="s">
        <v>110</v>
      </c>
      <c r="AP81" s="583"/>
      <c r="AQ81" s="584">
        <f t="shared" ref="AQ81" si="149">AP86/((72*3.1415/59)*(129.67/3.281))</f>
        <v>0</v>
      </c>
      <c r="AR81" s="584"/>
      <c r="AS81" s="585"/>
      <c r="AT81" s="582" t="s">
        <v>110</v>
      </c>
      <c r="AU81" s="583"/>
      <c r="AV81" s="584">
        <f t="shared" ref="AV81" si="150">AU86/((72*3.1415/59)*(129.67/3.281))</f>
        <v>0</v>
      </c>
      <c r="AW81" s="584"/>
      <c r="AX81" s="585"/>
      <c r="AY81" s="582" t="s">
        <v>110</v>
      </c>
      <c r="AZ81" s="583"/>
      <c r="BA81" s="584">
        <f t="shared" ref="BA81" si="151">AZ86/((72*3.1415/59)*(129.67/3.281))</f>
        <v>0</v>
      </c>
      <c r="BB81" s="584"/>
      <c r="BC81" s="585"/>
      <c r="BD81" s="582" t="s">
        <v>110</v>
      </c>
      <c r="BE81" s="583"/>
      <c r="BF81" s="584">
        <f t="shared" ref="BF81" si="152">BE86/((72*3.1415/59)*(129.67/3.281))</f>
        <v>0</v>
      </c>
      <c r="BG81" s="584"/>
      <c r="BH81" s="585"/>
      <c r="BI81" s="582" t="s">
        <v>110</v>
      </c>
      <c r="BJ81" s="583"/>
      <c r="BK81" s="584">
        <f t="shared" ref="BK81" si="153">BJ86/((72*3.1415/59)*(129.67/3.281))</f>
        <v>0</v>
      </c>
      <c r="BL81" s="584"/>
      <c r="BM81" s="585"/>
      <c r="BN81" s="582" t="s">
        <v>110</v>
      </c>
      <c r="BO81" s="583"/>
      <c r="BP81" s="584">
        <f t="shared" ref="BP81" si="154">BO86/((72*3.1415/59)*(129.67/3.281))</f>
        <v>0</v>
      </c>
      <c r="BQ81" s="584"/>
      <c r="BR81" s="585"/>
    </row>
    <row r="82" spans="1:70" ht="15.75" hidden="1" customHeight="1" x14ac:dyDescent="0.25">
      <c r="A82" s="679" t="s">
        <v>489</v>
      </c>
      <c r="B82" s="680"/>
      <c r="C82" s="685" t="s">
        <v>504</v>
      </c>
      <c r="D82" s="686"/>
      <c r="E82" s="687"/>
      <c r="F82" s="679" t="s">
        <v>489</v>
      </c>
      <c r="G82" s="680"/>
      <c r="H82" s="685" t="s">
        <v>504</v>
      </c>
      <c r="I82" s="686"/>
      <c r="J82" s="687"/>
      <c r="K82" s="679" t="s">
        <v>489</v>
      </c>
      <c r="L82" s="680"/>
      <c r="M82" s="685" t="s">
        <v>504</v>
      </c>
      <c r="N82" s="686"/>
      <c r="O82" s="687"/>
      <c r="P82" s="679" t="s">
        <v>489</v>
      </c>
      <c r="Q82" s="680"/>
      <c r="R82" s="685" t="s">
        <v>504</v>
      </c>
      <c r="S82" s="686"/>
      <c r="T82" s="687"/>
      <c r="U82" s="679" t="s">
        <v>489</v>
      </c>
      <c r="V82" s="680"/>
      <c r="W82" s="685" t="s">
        <v>504</v>
      </c>
      <c r="X82" s="686"/>
      <c r="Y82" s="687"/>
      <c r="Z82" s="679" t="s">
        <v>489</v>
      </c>
      <c r="AA82" s="680"/>
      <c r="AB82" s="685" t="s">
        <v>504</v>
      </c>
      <c r="AC82" s="686"/>
      <c r="AD82" s="687"/>
      <c r="AE82" s="679" t="s">
        <v>489</v>
      </c>
      <c r="AF82" s="680"/>
      <c r="AG82" s="685" t="s">
        <v>504</v>
      </c>
      <c r="AH82" s="686"/>
      <c r="AI82" s="687"/>
      <c r="AJ82" s="679" t="s">
        <v>489</v>
      </c>
      <c r="AK82" s="680"/>
      <c r="AL82" s="685" t="s">
        <v>504</v>
      </c>
      <c r="AM82" s="686"/>
      <c r="AN82" s="687"/>
      <c r="AO82" s="679" t="s">
        <v>489</v>
      </c>
      <c r="AP82" s="680"/>
      <c r="AQ82" s="685" t="s">
        <v>504</v>
      </c>
      <c r="AR82" s="686"/>
      <c r="AS82" s="687"/>
      <c r="AT82" s="679" t="s">
        <v>489</v>
      </c>
      <c r="AU82" s="680"/>
      <c r="AV82" s="685" t="s">
        <v>504</v>
      </c>
      <c r="AW82" s="686"/>
      <c r="AX82" s="687"/>
      <c r="AY82" s="679" t="s">
        <v>489</v>
      </c>
      <c r="AZ82" s="680"/>
      <c r="BA82" s="685" t="s">
        <v>504</v>
      </c>
      <c r="BB82" s="686"/>
      <c r="BC82" s="687"/>
      <c r="BD82" s="679" t="s">
        <v>489</v>
      </c>
      <c r="BE82" s="680"/>
      <c r="BF82" s="685" t="s">
        <v>504</v>
      </c>
      <c r="BG82" s="686"/>
      <c r="BH82" s="687"/>
      <c r="BI82" s="679" t="s">
        <v>489</v>
      </c>
      <c r="BJ82" s="680"/>
      <c r="BK82" s="685" t="s">
        <v>504</v>
      </c>
      <c r="BL82" s="686"/>
      <c r="BM82" s="687"/>
      <c r="BN82" s="679" t="s">
        <v>489</v>
      </c>
      <c r="BO82" s="680"/>
      <c r="BP82" s="685" t="s">
        <v>504</v>
      </c>
      <c r="BQ82" s="686"/>
      <c r="BR82" s="687"/>
    </row>
    <row r="83" spans="1:70" ht="12" hidden="1" customHeight="1" x14ac:dyDescent="0.25">
      <c r="A83" s="681"/>
      <c r="B83" s="682"/>
      <c r="C83" s="688"/>
      <c r="D83" s="689"/>
      <c r="E83" s="690"/>
      <c r="F83" s="681"/>
      <c r="G83" s="682"/>
      <c r="H83" s="688"/>
      <c r="I83" s="689"/>
      <c r="J83" s="690"/>
      <c r="K83" s="681"/>
      <c r="L83" s="682"/>
      <c r="M83" s="688"/>
      <c r="N83" s="689"/>
      <c r="O83" s="690"/>
      <c r="P83" s="681"/>
      <c r="Q83" s="682"/>
      <c r="R83" s="688"/>
      <c r="S83" s="689"/>
      <c r="T83" s="690"/>
      <c r="U83" s="681"/>
      <c r="V83" s="682"/>
      <c r="W83" s="688"/>
      <c r="X83" s="689"/>
      <c r="Y83" s="690"/>
      <c r="Z83" s="681"/>
      <c r="AA83" s="682"/>
      <c r="AB83" s="688"/>
      <c r="AC83" s="689"/>
      <c r="AD83" s="690"/>
      <c r="AE83" s="681"/>
      <c r="AF83" s="682"/>
      <c r="AG83" s="688"/>
      <c r="AH83" s="689"/>
      <c r="AI83" s="690"/>
      <c r="AJ83" s="681"/>
      <c r="AK83" s="682"/>
      <c r="AL83" s="688"/>
      <c r="AM83" s="689"/>
      <c r="AN83" s="690"/>
      <c r="AO83" s="681"/>
      <c r="AP83" s="682"/>
      <c r="AQ83" s="688"/>
      <c r="AR83" s="689"/>
      <c r="AS83" s="690"/>
      <c r="AT83" s="681"/>
      <c r="AU83" s="682"/>
      <c r="AV83" s="688"/>
      <c r="AW83" s="689"/>
      <c r="AX83" s="690"/>
      <c r="AY83" s="681"/>
      <c r="AZ83" s="682"/>
      <c r="BA83" s="688"/>
      <c r="BB83" s="689"/>
      <c r="BC83" s="690"/>
      <c r="BD83" s="681"/>
      <c r="BE83" s="682"/>
      <c r="BF83" s="688"/>
      <c r="BG83" s="689"/>
      <c r="BH83" s="690"/>
      <c r="BI83" s="681"/>
      <c r="BJ83" s="682"/>
      <c r="BK83" s="688"/>
      <c r="BL83" s="689"/>
      <c r="BM83" s="690"/>
      <c r="BN83" s="681"/>
      <c r="BO83" s="682"/>
      <c r="BP83" s="688"/>
      <c r="BQ83" s="689"/>
      <c r="BR83" s="690"/>
    </row>
    <row r="84" spans="1:70" ht="15" hidden="1" customHeight="1" x14ac:dyDescent="0.25">
      <c r="A84" s="683"/>
      <c r="B84" s="684"/>
      <c r="C84" s="691"/>
      <c r="D84" s="692"/>
      <c r="E84" s="693"/>
      <c r="F84" s="683"/>
      <c r="G84" s="684"/>
      <c r="H84" s="691"/>
      <c r="I84" s="692"/>
      <c r="J84" s="693"/>
      <c r="K84" s="683"/>
      <c r="L84" s="684"/>
      <c r="M84" s="691"/>
      <c r="N84" s="692"/>
      <c r="O84" s="693"/>
      <c r="P84" s="683"/>
      <c r="Q84" s="684"/>
      <c r="R84" s="691"/>
      <c r="S84" s="692"/>
      <c r="T84" s="693"/>
      <c r="U84" s="683"/>
      <c r="V84" s="684"/>
      <c r="W84" s="691"/>
      <c r="X84" s="692"/>
      <c r="Y84" s="693"/>
      <c r="Z84" s="683"/>
      <c r="AA84" s="684"/>
      <c r="AB84" s="691"/>
      <c r="AC84" s="692"/>
      <c r="AD84" s="693"/>
      <c r="AE84" s="683"/>
      <c r="AF84" s="684"/>
      <c r="AG84" s="691"/>
      <c r="AH84" s="692"/>
      <c r="AI84" s="693"/>
      <c r="AJ84" s="683"/>
      <c r="AK84" s="684"/>
      <c r="AL84" s="691"/>
      <c r="AM84" s="692"/>
      <c r="AN84" s="693"/>
      <c r="AO84" s="683"/>
      <c r="AP84" s="684"/>
      <c r="AQ84" s="691"/>
      <c r="AR84" s="692"/>
      <c r="AS84" s="693"/>
      <c r="AT84" s="683"/>
      <c r="AU84" s="684"/>
      <c r="AV84" s="691"/>
      <c r="AW84" s="692"/>
      <c r="AX84" s="693"/>
      <c r="AY84" s="683"/>
      <c r="AZ84" s="684"/>
      <c r="BA84" s="691"/>
      <c r="BB84" s="692"/>
      <c r="BC84" s="693"/>
      <c r="BD84" s="683"/>
      <c r="BE84" s="684"/>
      <c r="BF84" s="691"/>
      <c r="BG84" s="692"/>
      <c r="BH84" s="693"/>
      <c r="BI84" s="683"/>
      <c r="BJ84" s="684"/>
      <c r="BK84" s="691"/>
      <c r="BL84" s="692"/>
      <c r="BM84" s="693"/>
      <c r="BN84" s="683"/>
      <c r="BO84" s="684"/>
      <c r="BP84" s="691"/>
      <c r="BQ84" s="692"/>
      <c r="BR84" s="693"/>
    </row>
    <row r="85" spans="1:70" s="22" customFormat="1" ht="111.75" hidden="1" customHeight="1" x14ac:dyDescent="1.35">
      <c r="A85" s="586" t="s">
        <v>500</v>
      </c>
      <c r="B85" s="694"/>
      <c r="C85" s="695"/>
      <c r="D85" s="695"/>
      <c r="E85" s="696"/>
      <c r="F85" s="586" t="s">
        <v>500</v>
      </c>
      <c r="G85" s="694"/>
      <c r="H85" s="695"/>
      <c r="I85" s="695"/>
      <c r="J85" s="696"/>
      <c r="K85" s="586" t="s">
        <v>500</v>
      </c>
      <c r="L85" s="694"/>
      <c r="M85" s="695"/>
      <c r="N85" s="695"/>
      <c r="O85" s="696"/>
      <c r="P85" s="586" t="s">
        <v>500</v>
      </c>
      <c r="Q85" s="694"/>
      <c r="R85" s="695"/>
      <c r="S85" s="695"/>
      <c r="T85" s="696"/>
      <c r="U85" s="586" t="s">
        <v>500</v>
      </c>
      <c r="V85" s="694"/>
      <c r="W85" s="695"/>
      <c r="X85" s="695"/>
      <c r="Y85" s="696"/>
      <c r="Z85" s="586" t="s">
        <v>500</v>
      </c>
      <c r="AA85" s="694"/>
      <c r="AB85" s="695"/>
      <c r="AC85" s="695"/>
      <c r="AD85" s="696"/>
      <c r="AE85" s="586" t="s">
        <v>500</v>
      </c>
      <c r="AF85" s="694"/>
      <c r="AG85" s="695"/>
      <c r="AH85" s="695"/>
      <c r="AI85" s="696"/>
      <c r="AJ85" s="586" t="s">
        <v>500</v>
      </c>
      <c r="AK85" s="694"/>
      <c r="AL85" s="695"/>
      <c r="AM85" s="695"/>
      <c r="AN85" s="696"/>
      <c r="AO85" s="586" t="s">
        <v>500</v>
      </c>
      <c r="AP85" s="694"/>
      <c r="AQ85" s="695"/>
      <c r="AR85" s="695"/>
      <c r="AS85" s="696"/>
      <c r="AT85" s="586" t="s">
        <v>500</v>
      </c>
      <c r="AU85" s="694"/>
      <c r="AV85" s="695"/>
      <c r="AW85" s="695"/>
      <c r="AX85" s="696"/>
      <c r="AY85" s="586" t="s">
        <v>500</v>
      </c>
      <c r="AZ85" s="694"/>
      <c r="BA85" s="695"/>
      <c r="BB85" s="695"/>
      <c r="BC85" s="696"/>
      <c r="BD85" s="586" t="s">
        <v>500</v>
      </c>
      <c r="BE85" s="694"/>
      <c r="BF85" s="695"/>
      <c r="BG85" s="695"/>
      <c r="BH85" s="696"/>
      <c r="BI85" s="586" t="s">
        <v>500</v>
      </c>
      <c r="BJ85" s="694"/>
      <c r="BK85" s="695"/>
      <c r="BL85" s="695"/>
      <c r="BM85" s="696"/>
      <c r="BN85" s="586" t="s">
        <v>500</v>
      </c>
      <c r="BO85" s="694"/>
      <c r="BP85" s="695"/>
      <c r="BQ85" s="695"/>
      <c r="BR85" s="696"/>
    </row>
    <row r="86" spans="1:70" ht="50.25" hidden="1" customHeight="1" thickBot="1" x14ac:dyDescent="0.3">
      <c r="A86" s="587"/>
      <c r="B86" s="334"/>
      <c r="C86" s="335" t="s">
        <v>113</v>
      </c>
      <c r="D86" s="336"/>
      <c r="E86" s="337" t="s">
        <v>114</v>
      </c>
      <c r="F86" s="587"/>
      <c r="G86" s="334"/>
      <c r="H86" s="335" t="s">
        <v>113</v>
      </c>
      <c r="I86" s="336"/>
      <c r="J86" s="337" t="s">
        <v>114</v>
      </c>
      <c r="K86" s="587"/>
      <c r="L86" s="334"/>
      <c r="M86" s="335" t="s">
        <v>113</v>
      </c>
      <c r="N86" s="336"/>
      <c r="O86" s="337" t="s">
        <v>114</v>
      </c>
      <c r="P86" s="587"/>
      <c r="Q86" s="334"/>
      <c r="R86" s="335" t="s">
        <v>113</v>
      </c>
      <c r="S86" s="336"/>
      <c r="T86" s="337" t="s">
        <v>114</v>
      </c>
      <c r="U86" s="587"/>
      <c r="V86" s="334"/>
      <c r="W86" s="335" t="s">
        <v>113</v>
      </c>
      <c r="X86" s="336"/>
      <c r="Y86" s="337" t="s">
        <v>114</v>
      </c>
      <c r="Z86" s="587"/>
      <c r="AA86" s="334"/>
      <c r="AB86" s="335" t="s">
        <v>113</v>
      </c>
      <c r="AC86" s="336"/>
      <c r="AD86" s="337" t="s">
        <v>114</v>
      </c>
      <c r="AE86" s="587"/>
      <c r="AF86" s="334"/>
      <c r="AG86" s="335" t="s">
        <v>113</v>
      </c>
      <c r="AH86" s="336"/>
      <c r="AI86" s="337" t="s">
        <v>114</v>
      </c>
      <c r="AJ86" s="587"/>
      <c r="AK86" s="334"/>
      <c r="AL86" s="335" t="s">
        <v>113</v>
      </c>
      <c r="AM86" s="336"/>
      <c r="AN86" s="337" t="s">
        <v>114</v>
      </c>
      <c r="AO86" s="587"/>
      <c r="AP86" s="334"/>
      <c r="AQ86" s="335" t="s">
        <v>113</v>
      </c>
      <c r="AR86" s="336"/>
      <c r="AS86" s="337" t="s">
        <v>114</v>
      </c>
      <c r="AT86" s="587"/>
      <c r="AU86" s="334"/>
      <c r="AV86" s="335" t="s">
        <v>113</v>
      </c>
      <c r="AW86" s="336"/>
      <c r="AX86" s="337" t="s">
        <v>114</v>
      </c>
      <c r="AY86" s="587"/>
      <c r="AZ86" s="334"/>
      <c r="BA86" s="335" t="s">
        <v>113</v>
      </c>
      <c r="BB86" s="336"/>
      <c r="BC86" s="337" t="s">
        <v>114</v>
      </c>
      <c r="BD86" s="587"/>
      <c r="BE86" s="334"/>
      <c r="BF86" s="335" t="s">
        <v>113</v>
      </c>
      <c r="BG86" s="336"/>
      <c r="BH86" s="337" t="s">
        <v>114</v>
      </c>
      <c r="BI86" s="587"/>
      <c r="BJ86" s="334"/>
      <c r="BK86" s="335" t="s">
        <v>113</v>
      </c>
      <c r="BL86" s="336"/>
      <c r="BM86" s="337" t="s">
        <v>114</v>
      </c>
      <c r="BN86" s="587"/>
      <c r="BO86" s="334"/>
      <c r="BP86" s="335" t="s">
        <v>113</v>
      </c>
      <c r="BQ86" s="336"/>
      <c r="BR86" s="337" t="s">
        <v>114</v>
      </c>
    </row>
    <row r="87" spans="1:70" ht="53.25" hidden="1" customHeight="1" thickTop="1" x14ac:dyDescent="0.25">
      <c r="A87" s="582" t="s">
        <v>110</v>
      </c>
      <c r="B87" s="583"/>
      <c r="C87" s="584">
        <f t="shared" ref="C87" si="155">B92/((72*3.1415/59)*(129.67/3.281))</f>
        <v>0</v>
      </c>
      <c r="D87" s="584"/>
      <c r="E87" s="585"/>
      <c r="F87" s="582" t="s">
        <v>110</v>
      </c>
      <c r="G87" s="583"/>
      <c r="H87" s="584">
        <f t="shared" ref="H87" si="156">G92/((72*3.1415/59)*(129.67/3.281))</f>
        <v>0</v>
      </c>
      <c r="I87" s="584"/>
      <c r="J87" s="585"/>
      <c r="K87" s="582" t="s">
        <v>110</v>
      </c>
      <c r="L87" s="583"/>
      <c r="M87" s="584">
        <f t="shared" ref="M87" si="157">L92/((72*3.1415/59)*(129.67/3.281))</f>
        <v>0</v>
      </c>
      <c r="N87" s="584"/>
      <c r="O87" s="585"/>
      <c r="P87" s="582" t="s">
        <v>110</v>
      </c>
      <c r="Q87" s="583"/>
      <c r="R87" s="584">
        <f t="shared" ref="R87" si="158">Q92/((72*3.1415/59)*(129.67/3.281))</f>
        <v>0</v>
      </c>
      <c r="S87" s="584"/>
      <c r="T87" s="585"/>
      <c r="U87" s="582" t="s">
        <v>110</v>
      </c>
      <c r="V87" s="583"/>
      <c r="W87" s="584">
        <f t="shared" ref="W87" si="159">V92/((72*3.1415/59)*(129.67/3.281))</f>
        <v>0</v>
      </c>
      <c r="X87" s="584"/>
      <c r="Y87" s="585"/>
      <c r="Z87" s="582" t="s">
        <v>110</v>
      </c>
      <c r="AA87" s="583"/>
      <c r="AB87" s="584">
        <f t="shared" ref="AB87" si="160">AA92/((72*3.1415/59)*(129.67/3.281))</f>
        <v>0</v>
      </c>
      <c r="AC87" s="584"/>
      <c r="AD87" s="585"/>
      <c r="AE87" s="582" t="s">
        <v>110</v>
      </c>
      <c r="AF87" s="583"/>
      <c r="AG87" s="584">
        <f t="shared" ref="AG87" si="161">AF92/((72*3.1415/59)*(129.67/3.281))</f>
        <v>0</v>
      </c>
      <c r="AH87" s="584"/>
      <c r="AI87" s="585"/>
      <c r="AJ87" s="582" t="s">
        <v>110</v>
      </c>
      <c r="AK87" s="583"/>
      <c r="AL87" s="584">
        <f t="shared" ref="AL87" si="162">AK92/((72*3.1415/59)*(129.67/3.281))</f>
        <v>0</v>
      </c>
      <c r="AM87" s="584"/>
      <c r="AN87" s="585"/>
      <c r="AO87" s="582" t="s">
        <v>110</v>
      </c>
      <c r="AP87" s="583"/>
      <c r="AQ87" s="584">
        <f t="shared" ref="AQ87" si="163">AP92/((72*3.1415/59)*(129.67/3.281))</f>
        <v>0</v>
      </c>
      <c r="AR87" s="584"/>
      <c r="AS87" s="585"/>
      <c r="AT87" s="582" t="s">
        <v>110</v>
      </c>
      <c r="AU87" s="583"/>
      <c r="AV87" s="584">
        <f t="shared" ref="AV87" si="164">AU92/((72*3.1415/59)*(129.67/3.281))</f>
        <v>0</v>
      </c>
      <c r="AW87" s="584"/>
      <c r="AX87" s="585"/>
      <c r="AY87" s="582" t="s">
        <v>110</v>
      </c>
      <c r="AZ87" s="583"/>
      <c r="BA87" s="584">
        <f t="shared" ref="BA87" si="165">AZ92/((72*3.1415/59)*(129.67/3.281))</f>
        <v>0</v>
      </c>
      <c r="BB87" s="584"/>
      <c r="BC87" s="585"/>
      <c r="BD87" s="582" t="s">
        <v>110</v>
      </c>
      <c r="BE87" s="583"/>
      <c r="BF87" s="584">
        <f t="shared" ref="BF87" si="166">BE92/((72*3.1415/59)*(129.67/3.281))</f>
        <v>0</v>
      </c>
      <c r="BG87" s="584"/>
      <c r="BH87" s="585"/>
      <c r="BI87" s="582" t="s">
        <v>110</v>
      </c>
      <c r="BJ87" s="583"/>
      <c r="BK87" s="584">
        <f t="shared" ref="BK87" si="167">BJ92/((72*3.1415/59)*(129.67/3.281))</f>
        <v>0</v>
      </c>
      <c r="BL87" s="584"/>
      <c r="BM87" s="585"/>
      <c r="BN87" s="582" t="s">
        <v>110</v>
      </c>
      <c r="BO87" s="583"/>
      <c r="BP87" s="584">
        <f t="shared" ref="BP87" si="168">BO92/((72*3.1415/59)*(129.67/3.281))</f>
        <v>0</v>
      </c>
      <c r="BQ87" s="584"/>
      <c r="BR87" s="585"/>
    </row>
    <row r="88" spans="1:70" ht="15" hidden="1" customHeight="1" x14ac:dyDescent="0.25">
      <c r="A88" s="679" t="s">
        <v>489</v>
      </c>
      <c r="B88" s="680"/>
      <c r="C88" s="685" t="s">
        <v>504</v>
      </c>
      <c r="D88" s="686"/>
      <c r="E88" s="687"/>
      <c r="F88" s="679" t="s">
        <v>489</v>
      </c>
      <c r="G88" s="680"/>
      <c r="H88" s="685" t="s">
        <v>504</v>
      </c>
      <c r="I88" s="686"/>
      <c r="J88" s="687"/>
      <c r="K88" s="679" t="s">
        <v>489</v>
      </c>
      <c r="L88" s="680"/>
      <c r="M88" s="685" t="s">
        <v>504</v>
      </c>
      <c r="N88" s="686"/>
      <c r="O88" s="687"/>
      <c r="P88" s="679" t="s">
        <v>489</v>
      </c>
      <c r="Q88" s="680"/>
      <c r="R88" s="685" t="s">
        <v>504</v>
      </c>
      <c r="S88" s="686"/>
      <c r="T88" s="687"/>
      <c r="U88" s="679" t="s">
        <v>489</v>
      </c>
      <c r="V88" s="680"/>
      <c r="W88" s="685" t="s">
        <v>504</v>
      </c>
      <c r="X88" s="686"/>
      <c r="Y88" s="687"/>
      <c r="Z88" s="679" t="s">
        <v>489</v>
      </c>
      <c r="AA88" s="680"/>
      <c r="AB88" s="685" t="s">
        <v>504</v>
      </c>
      <c r="AC88" s="686"/>
      <c r="AD88" s="687"/>
      <c r="AE88" s="679" t="s">
        <v>489</v>
      </c>
      <c r="AF88" s="680"/>
      <c r="AG88" s="685" t="s">
        <v>504</v>
      </c>
      <c r="AH88" s="686"/>
      <c r="AI88" s="687"/>
      <c r="AJ88" s="679" t="s">
        <v>489</v>
      </c>
      <c r="AK88" s="680"/>
      <c r="AL88" s="685" t="s">
        <v>504</v>
      </c>
      <c r="AM88" s="686"/>
      <c r="AN88" s="687"/>
      <c r="AO88" s="679" t="s">
        <v>489</v>
      </c>
      <c r="AP88" s="680"/>
      <c r="AQ88" s="685" t="s">
        <v>504</v>
      </c>
      <c r="AR88" s="686"/>
      <c r="AS88" s="687"/>
      <c r="AT88" s="679" t="s">
        <v>489</v>
      </c>
      <c r="AU88" s="680"/>
      <c r="AV88" s="685" t="s">
        <v>504</v>
      </c>
      <c r="AW88" s="686"/>
      <c r="AX88" s="687"/>
      <c r="AY88" s="679" t="s">
        <v>489</v>
      </c>
      <c r="AZ88" s="680"/>
      <c r="BA88" s="685" t="s">
        <v>504</v>
      </c>
      <c r="BB88" s="686"/>
      <c r="BC88" s="687"/>
      <c r="BD88" s="679" t="s">
        <v>489</v>
      </c>
      <c r="BE88" s="680"/>
      <c r="BF88" s="685" t="s">
        <v>504</v>
      </c>
      <c r="BG88" s="686"/>
      <c r="BH88" s="687"/>
      <c r="BI88" s="679" t="s">
        <v>489</v>
      </c>
      <c r="BJ88" s="680"/>
      <c r="BK88" s="685" t="s">
        <v>504</v>
      </c>
      <c r="BL88" s="686"/>
      <c r="BM88" s="687"/>
      <c r="BN88" s="679" t="s">
        <v>489</v>
      </c>
      <c r="BO88" s="680"/>
      <c r="BP88" s="685" t="s">
        <v>504</v>
      </c>
      <c r="BQ88" s="686"/>
      <c r="BR88" s="687"/>
    </row>
    <row r="89" spans="1:70" ht="6" hidden="1" customHeight="1" x14ac:dyDescent="0.25">
      <c r="A89" s="681"/>
      <c r="B89" s="682"/>
      <c r="C89" s="688"/>
      <c r="D89" s="689"/>
      <c r="E89" s="690"/>
      <c r="F89" s="681"/>
      <c r="G89" s="682"/>
      <c r="H89" s="688"/>
      <c r="I89" s="689"/>
      <c r="J89" s="690"/>
      <c r="K89" s="681"/>
      <c r="L89" s="682"/>
      <c r="M89" s="688"/>
      <c r="N89" s="689"/>
      <c r="O89" s="690"/>
      <c r="P89" s="681"/>
      <c r="Q89" s="682"/>
      <c r="R89" s="688"/>
      <c r="S89" s="689"/>
      <c r="T89" s="690"/>
      <c r="U89" s="681"/>
      <c r="V89" s="682"/>
      <c r="W89" s="688"/>
      <c r="X89" s="689"/>
      <c r="Y89" s="690"/>
      <c r="Z89" s="681"/>
      <c r="AA89" s="682"/>
      <c r="AB89" s="688"/>
      <c r="AC89" s="689"/>
      <c r="AD89" s="690"/>
      <c r="AE89" s="681"/>
      <c r="AF89" s="682"/>
      <c r="AG89" s="688"/>
      <c r="AH89" s="689"/>
      <c r="AI89" s="690"/>
      <c r="AJ89" s="681"/>
      <c r="AK89" s="682"/>
      <c r="AL89" s="688"/>
      <c r="AM89" s="689"/>
      <c r="AN89" s="690"/>
      <c r="AO89" s="681"/>
      <c r="AP89" s="682"/>
      <c r="AQ89" s="688"/>
      <c r="AR89" s="689"/>
      <c r="AS89" s="690"/>
      <c r="AT89" s="681"/>
      <c r="AU89" s="682"/>
      <c r="AV89" s="688"/>
      <c r="AW89" s="689"/>
      <c r="AX89" s="690"/>
      <c r="AY89" s="681"/>
      <c r="AZ89" s="682"/>
      <c r="BA89" s="688"/>
      <c r="BB89" s="689"/>
      <c r="BC89" s="690"/>
      <c r="BD89" s="681"/>
      <c r="BE89" s="682"/>
      <c r="BF89" s="688"/>
      <c r="BG89" s="689"/>
      <c r="BH89" s="690"/>
      <c r="BI89" s="681"/>
      <c r="BJ89" s="682"/>
      <c r="BK89" s="688"/>
      <c r="BL89" s="689"/>
      <c r="BM89" s="690"/>
      <c r="BN89" s="681"/>
      <c r="BO89" s="682"/>
      <c r="BP89" s="688"/>
      <c r="BQ89" s="689"/>
      <c r="BR89" s="690"/>
    </row>
    <row r="90" spans="1:70" ht="15" hidden="1" customHeight="1" x14ac:dyDescent="0.25">
      <c r="A90" s="683"/>
      <c r="B90" s="684"/>
      <c r="C90" s="691"/>
      <c r="D90" s="692"/>
      <c r="E90" s="693"/>
      <c r="F90" s="683"/>
      <c r="G90" s="684"/>
      <c r="H90" s="691"/>
      <c r="I90" s="692"/>
      <c r="J90" s="693"/>
      <c r="K90" s="683"/>
      <c r="L90" s="684"/>
      <c r="M90" s="691"/>
      <c r="N90" s="692"/>
      <c r="O90" s="693"/>
      <c r="P90" s="683"/>
      <c r="Q90" s="684"/>
      <c r="R90" s="691"/>
      <c r="S90" s="692"/>
      <c r="T90" s="693"/>
      <c r="U90" s="683"/>
      <c r="V90" s="684"/>
      <c r="W90" s="691"/>
      <c r="X90" s="692"/>
      <c r="Y90" s="693"/>
      <c r="Z90" s="683"/>
      <c r="AA90" s="684"/>
      <c r="AB90" s="691"/>
      <c r="AC90" s="692"/>
      <c r="AD90" s="693"/>
      <c r="AE90" s="683"/>
      <c r="AF90" s="684"/>
      <c r="AG90" s="691"/>
      <c r="AH90" s="692"/>
      <c r="AI90" s="693"/>
      <c r="AJ90" s="683"/>
      <c r="AK90" s="684"/>
      <c r="AL90" s="691"/>
      <c r="AM90" s="692"/>
      <c r="AN90" s="693"/>
      <c r="AO90" s="683"/>
      <c r="AP90" s="684"/>
      <c r="AQ90" s="691"/>
      <c r="AR90" s="692"/>
      <c r="AS90" s="693"/>
      <c r="AT90" s="683"/>
      <c r="AU90" s="684"/>
      <c r="AV90" s="691"/>
      <c r="AW90" s="692"/>
      <c r="AX90" s="693"/>
      <c r="AY90" s="683"/>
      <c r="AZ90" s="684"/>
      <c r="BA90" s="691"/>
      <c r="BB90" s="692"/>
      <c r="BC90" s="693"/>
      <c r="BD90" s="683"/>
      <c r="BE90" s="684"/>
      <c r="BF90" s="691"/>
      <c r="BG90" s="692"/>
      <c r="BH90" s="693"/>
      <c r="BI90" s="683"/>
      <c r="BJ90" s="684"/>
      <c r="BK90" s="691"/>
      <c r="BL90" s="692"/>
      <c r="BM90" s="693"/>
      <c r="BN90" s="683"/>
      <c r="BO90" s="684"/>
      <c r="BP90" s="691"/>
      <c r="BQ90" s="692"/>
      <c r="BR90" s="693"/>
    </row>
    <row r="91" spans="1:70" s="22" customFormat="1" ht="111.75" hidden="1" customHeight="1" x14ac:dyDescent="1.35">
      <c r="A91" s="586" t="s">
        <v>500</v>
      </c>
      <c r="B91" s="694"/>
      <c r="C91" s="695"/>
      <c r="D91" s="695"/>
      <c r="E91" s="696"/>
      <c r="F91" s="586" t="s">
        <v>500</v>
      </c>
      <c r="G91" s="694"/>
      <c r="H91" s="695"/>
      <c r="I91" s="695"/>
      <c r="J91" s="696"/>
      <c r="K91" s="586" t="s">
        <v>500</v>
      </c>
      <c r="L91" s="694"/>
      <c r="M91" s="695"/>
      <c r="N91" s="695"/>
      <c r="O91" s="696"/>
      <c r="P91" s="586" t="s">
        <v>500</v>
      </c>
      <c r="Q91" s="694"/>
      <c r="R91" s="695"/>
      <c r="S91" s="695"/>
      <c r="T91" s="696"/>
      <c r="U91" s="586" t="s">
        <v>500</v>
      </c>
      <c r="V91" s="694"/>
      <c r="W91" s="695"/>
      <c r="X91" s="695"/>
      <c r="Y91" s="696"/>
      <c r="Z91" s="586" t="s">
        <v>500</v>
      </c>
      <c r="AA91" s="694"/>
      <c r="AB91" s="695"/>
      <c r="AC91" s="695"/>
      <c r="AD91" s="696"/>
      <c r="AE91" s="586" t="s">
        <v>500</v>
      </c>
      <c r="AF91" s="694"/>
      <c r="AG91" s="695"/>
      <c r="AH91" s="695"/>
      <c r="AI91" s="696"/>
      <c r="AJ91" s="586" t="s">
        <v>500</v>
      </c>
      <c r="AK91" s="694"/>
      <c r="AL91" s="695"/>
      <c r="AM91" s="695"/>
      <c r="AN91" s="696"/>
      <c r="AO91" s="586" t="s">
        <v>500</v>
      </c>
      <c r="AP91" s="694"/>
      <c r="AQ91" s="695"/>
      <c r="AR91" s="695"/>
      <c r="AS91" s="696"/>
      <c r="AT91" s="586" t="s">
        <v>500</v>
      </c>
      <c r="AU91" s="694"/>
      <c r="AV91" s="695"/>
      <c r="AW91" s="695"/>
      <c r="AX91" s="696"/>
      <c r="AY91" s="586" t="s">
        <v>500</v>
      </c>
      <c r="AZ91" s="694"/>
      <c r="BA91" s="695"/>
      <c r="BB91" s="695"/>
      <c r="BC91" s="696"/>
      <c r="BD91" s="586" t="s">
        <v>500</v>
      </c>
      <c r="BE91" s="694"/>
      <c r="BF91" s="695"/>
      <c r="BG91" s="695"/>
      <c r="BH91" s="696"/>
      <c r="BI91" s="586" t="s">
        <v>500</v>
      </c>
      <c r="BJ91" s="694"/>
      <c r="BK91" s="695"/>
      <c r="BL91" s="695"/>
      <c r="BM91" s="696"/>
      <c r="BN91" s="586" t="s">
        <v>500</v>
      </c>
      <c r="BO91" s="694"/>
      <c r="BP91" s="695"/>
      <c r="BQ91" s="695"/>
      <c r="BR91" s="696"/>
    </row>
    <row r="92" spans="1:70" ht="50.25" hidden="1" customHeight="1" thickBot="1" x14ac:dyDescent="0.3">
      <c r="A92" s="587"/>
      <c r="B92" s="334"/>
      <c r="C92" s="335" t="s">
        <v>113</v>
      </c>
      <c r="D92" s="336"/>
      <c r="E92" s="337" t="s">
        <v>114</v>
      </c>
      <c r="F92" s="587"/>
      <c r="G92" s="334"/>
      <c r="H92" s="335" t="s">
        <v>113</v>
      </c>
      <c r="I92" s="336"/>
      <c r="J92" s="337" t="s">
        <v>114</v>
      </c>
      <c r="K92" s="587"/>
      <c r="L92" s="334"/>
      <c r="M92" s="335" t="s">
        <v>113</v>
      </c>
      <c r="N92" s="336"/>
      <c r="O92" s="337" t="s">
        <v>114</v>
      </c>
      <c r="P92" s="587"/>
      <c r="Q92" s="334"/>
      <c r="R92" s="335" t="s">
        <v>113</v>
      </c>
      <c r="S92" s="336"/>
      <c r="T92" s="337" t="s">
        <v>114</v>
      </c>
      <c r="U92" s="587"/>
      <c r="V92" s="334"/>
      <c r="W92" s="335" t="s">
        <v>113</v>
      </c>
      <c r="X92" s="336"/>
      <c r="Y92" s="337" t="s">
        <v>114</v>
      </c>
      <c r="Z92" s="587"/>
      <c r="AA92" s="334"/>
      <c r="AB92" s="335" t="s">
        <v>113</v>
      </c>
      <c r="AC92" s="336"/>
      <c r="AD92" s="337" t="s">
        <v>114</v>
      </c>
      <c r="AE92" s="587"/>
      <c r="AF92" s="334"/>
      <c r="AG92" s="335" t="s">
        <v>113</v>
      </c>
      <c r="AH92" s="336"/>
      <c r="AI92" s="337" t="s">
        <v>114</v>
      </c>
      <c r="AJ92" s="587"/>
      <c r="AK92" s="334"/>
      <c r="AL92" s="335" t="s">
        <v>113</v>
      </c>
      <c r="AM92" s="336"/>
      <c r="AN92" s="337" t="s">
        <v>114</v>
      </c>
      <c r="AO92" s="587"/>
      <c r="AP92" s="334"/>
      <c r="AQ92" s="335" t="s">
        <v>113</v>
      </c>
      <c r="AR92" s="336"/>
      <c r="AS92" s="337" t="s">
        <v>114</v>
      </c>
      <c r="AT92" s="587"/>
      <c r="AU92" s="334"/>
      <c r="AV92" s="335" t="s">
        <v>113</v>
      </c>
      <c r="AW92" s="336"/>
      <c r="AX92" s="337" t="s">
        <v>114</v>
      </c>
      <c r="AY92" s="587"/>
      <c r="AZ92" s="334"/>
      <c r="BA92" s="335" t="s">
        <v>113</v>
      </c>
      <c r="BB92" s="336"/>
      <c r="BC92" s="337" t="s">
        <v>114</v>
      </c>
      <c r="BD92" s="587"/>
      <c r="BE92" s="334"/>
      <c r="BF92" s="335" t="s">
        <v>113</v>
      </c>
      <c r="BG92" s="336"/>
      <c r="BH92" s="337" t="s">
        <v>114</v>
      </c>
      <c r="BI92" s="587"/>
      <c r="BJ92" s="334"/>
      <c r="BK92" s="335" t="s">
        <v>113</v>
      </c>
      <c r="BL92" s="336"/>
      <c r="BM92" s="337" t="s">
        <v>114</v>
      </c>
      <c r="BN92" s="587"/>
      <c r="BO92" s="334"/>
      <c r="BP92" s="335" t="s">
        <v>113</v>
      </c>
      <c r="BQ92" s="336"/>
      <c r="BR92" s="337" t="s">
        <v>114</v>
      </c>
    </row>
    <row r="93" spans="1:70" ht="47.25" hidden="1" customHeight="1" thickTop="1" x14ac:dyDescent="0.25">
      <c r="A93" s="582" t="s">
        <v>110</v>
      </c>
      <c r="B93" s="583"/>
      <c r="C93" s="584">
        <f t="shared" ref="C93" si="169">B98/((72*3.1415/59)*(129.67/3.281))</f>
        <v>0</v>
      </c>
      <c r="D93" s="584"/>
      <c r="E93" s="585"/>
      <c r="F93" s="582" t="s">
        <v>110</v>
      </c>
      <c r="G93" s="583"/>
      <c r="H93" s="584">
        <f t="shared" ref="H93" si="170">G98/((72*3.1415/59)*(129.67/3.281))</f>
        <v>0</v>
      </c>
      <c r="I93" s="584"/>
      <c r="J93" s="585"/>
      <c r="K93" s="582" t="s">
        <v>110</v>
      </c>
      <c r="L93" s="583"/>
      <c r="M93" s="584">
        <f t="shared" ref="M93" si="171">L98/((72*3.1415/59)*(129.67/3.281))</f>
        <v>0</v>
      </c>
      <c r="N93" s="584"/>
      <c r="O93" s="585"/>
      <c r="P93" s="582" t="s">
        <v>110</v>
      </c>
      <c r="Q93" s="583"/>
      <c r="R93" s="584">
        <f t="shared" ref="R93" si="172">Q98/((72*3.1415/59)*(129.67/3.281))</f>
        <v>0</v>
      </c>
      <c r="S93" s="584"/>
      <c r="T93" s="585"/>
      <c r="U93" s="582" t="s">
        <v>110</v>
      </c>
      <c r="V93" s="583"/>
      <c r="W93" s="584">
        <f t="shared" ref="W93" si="173">V98/((72*3.1415/59)*(129.67/3.281))</f>
        <v>0</v>
      </c>
      <c r="X93" s="584"/>
      <c r="Y93" s="585"/>
      <c r="Z93" s="582" t="s">
        <v>110</v>
      </c>
      <c r="AA93" s="583"/>
      <c r="AB93" s="584">
        <f t="shared" ref="AB93" si="174">AA98/((72*3.1415/59)*(129.67/3.281))</f>
        <v>0</v>
      </c>
      <c r="AC93" s="584"/>
      <c r="AD93" s="585"/>
      <c r="AE93" s="582" t="s">
        <v>110</v>
      </c>
      <c r="AF93" s="583"/>
      <c r="AG93" s="584">
        <f t="shared" ref="AG93" si="175">AF98/((72*3.1415/59)*(129.67/3.281))</f>
        <v>0</v>
      </c>
      <c r="AH93" s="584"/>
      <c r="AI93" s="585"/>
      <c r="AJ93" s="582" t="s">
        <v>110</v>
      </c>
      <c r="AK93" s="583"/>
      <c r="AL93" s="584">
        <f t="shared" ref="AL93" si="176">AK98/((72*3.1415/59)*(129.67/3.281))</f>
        <v>0</v>
      </c>
      <c r="AM93" s="584"/>
      <c r="AN93" s="585"/>
      <c r="AO93" s="582" t="s">
        <v>110</v>
      </c>
      <c r="AP93" s="583"/>
      <c r="AQ93" s="584">
        <f t="shared" ref="AQ93" si="177">AP98/((72*3.1415/59)*(129.67/3.281))</f>
        <v>0</v>
      </c>
      <c r="AR93" s="584"/>
      <c r="AS93" s="585"/>
      <c r="AT93" s="582" t="s">
        <v>110</v>
      </c>
      <c r="AU93" s="583"/>
      <c r="AV93" s="584">
        <f t="shared" ref="AV93" si="178">AU98/((72*3.1415/59)*(129.67/3.281))</f>
        <v>0</v>
      </c>
      <c r="AW93" s="584"/>
      <c r="AX93" s="585"/>
      <c r="AY93" s="582" t="s">
        <v>110</v>
      </c>
      <c r="AZ93" s="583"/>
      <c r="BA93" s="584">
        <f t="shared" ref="BA93" si="179">AZ98/((72*3.1415/59)*(129.67/3.281))</f>
        <v>0</v>
      </c>
      <c r="BB93" s="584"/>
      <c r="BC93" s="585"/>
      <c r="BD93" s="582" t="s">
        <v>110</v>
      </c>
      <c r="BE93" s="583"/>
      <c r="BF93" s="584">
        <f t="shared" ref="BF93" si="180">BE98/((72*3.1415/59)*(129.67/3.281))</f>
        <v>0</v>
      </c>
      <c r="BG93" s="584"/>
      <c r="BH93" s="585"/>
      <c r="BI93" s="582" t="s">
        <v>110</v>
      </c>
      <c r="BJ93" s="583"/>
      <c r="BK93" s="584">
        <f t="shared" ref="BK93" si="181">BJ98/((72*3.1415/59)*(129.67/3.281))</f>
        <v>0</v>
      </c>
      <c r="BL93" s="584"/>
      <c r="BM93" s="585"/>
      <c r="BN93" s="582" t="s">
        <v>110</v>
      </c>
      <c r="BO93" s="583"/>
      <c r="BP93" s="584">
        <f t="shared" ref="BP93" si="182">BO98/((72*3.1415/59)*(129.67/3.281))</f>
        <v>0</v>
      </c>
      <c r="BQ93" s="584"/>
      <c r="BR93" s="585"/>
    </row>
    <row r="94" spans="1:70" ht="20.25" hidden="1" customHeight="1" x14ac:dyDescent="0.25">
      <c r="A94" s="679" t="s">
        <v>489</v>
      </c>
      <c r="B94" s="680"/>
      <c r="C94" s="685" t="s">
        <v>504</v>
      </c>
      <c r="D94" s="686"/>
      <c r="E94" s="687"/>
      <c r="F94" s="679" t="s">
        <v>489</v>
      </c>
      <c r="G94" s="680"/>
      <c r="H94" s="685" t="s">
        <v>504</v>
      </c>
      <c r="I94" s="686"/>
      <c r="J94" s="687"/>
      <c r="K94" s="679" t="s">
        <v>489</v>
      </c>
      <c r="L94" s="680"/>
      <c r="M94" s="685" t="s">
        <v>504</v>
      </c>
      <c r="N94" s="686"/>
      <c r="O94" s="687"/>
      <c r="P94" s="679" t="s">
        <v>489</v>
      </c>
      <c r="Q94" s="680"/>
      <c r="R94" s="685" t="s">
        <v>504</v>
      </c>
      <c r="S94" s="686"/>
      <c r="T94" s="687"/>
      <c r="U94" s="679" t="s">
        <v>489</v>
      </c>
      <c r="V94" s="680"/>
      <c r="W94" s="685" t="s">
        <v>504</v>
      </c>
      <c r="X94" s="686"/>
      <c r="Y94" s="687"/>
      <c r="Z94" s="679" t="s">
        <v>489</v>
      </c>
      <c r="AA94" s="680"/>
      <c r="AB94" s="685" t="s">
        <v>504</v>
      </c>
      <c r="AC94" s="686"/>
      <c r="AD94" s="687"/>
      <c r="AE94" s="679" t="s">
        <v>489</v>
      </c>
      <c r="AF94" s="680"/>
      <c r="AG94" s="685" t="s">
        <v>504</v>
      </c>
      <c r="AH94" s="686"/>
      <c r="AI94" s="687"/>
      <c r="AJ94" s="679" t="s">
        <v>489</v>
      </c>
      <c r="AK94" s="680"/>
      <c r="AL94" s="685" t="s">
        <v>504</v>
      </c>
      <c r="AM94" s="686"/>
      <c r="AN94" s="687"/>
      <c r="AO94" s="679" t="s">
        <v>489</v>
      </c>
      <c r="AP94" s="680"/>
      <c r="AQ94" s="685" t="s">
        <v>504</v>
      </c>
      <c r="AR94" s="686"/>
      <c r="AS94" s="687"/>
      <c r="AT94" s="679" t="s">
        <v>489</v>
      </c>
      <c r="AU94" s="680"/>
      <c r="AV94" s="685" t="s">
        <v>504</v>
      </c>
      <c r="AW94" s="686"/>
      <c r="AX94" s="687"/>
      <c r="AY94" s="679" t="s">
        <v>489</v>
      </c>
      <c r="AZ94" s="680"/>
      <c r="BA94" s="685" t="s">
        <v>504</v>
      </c>
      <c r="BB94" s="686"/>
      <c r="BC94" s="687"/>
      <c r="BD94" s="679" t="s">
        <v>489</v>
      </c>
      <c r="BE94" s="680"/>
      <c r="BF94" s="685" t="s">
        <v>504</v>
      </c>
      <c r="BG94" s="686"/>
      <c r="BH94" s="687"/>
      <c r="BI94" s="679" t="s">
        <v>489</v>
      </c>
      <c r="BJ94" s="680"/>
      <c r="BK94" s="685" t="s">
        <v>504</v>
      </c>
      <c r="BL94" s="686"/>
      <c r="BM94" s="687"/>
      <c r="BN94" s="679" t="s">
        <v>489</v>
      </c>
      <c r="BO94" s="680"/>
      <c r="BP94" s="685" t="s">
        <v>504</v>
      </c>
      <c r="BQ94" s="686"/>
      <c r="BR94" s="687"/>
    </row>
    <row r="95" spans="1:70" ht="3.75" hidden="1" customHeight="1" x14ac:dyDescent="0.25">
      <c r="A95" s="681"/>
      <c r="B95" s="682"/>
      <c r="C95" s="688"/>
      <c r="D95" s="689"/>
      <c r="E95" s="690"/>
      <c r="F95" s="681"/>
      <c r="G95" s="682"/>
      <c r="H95" s="688"/>
      <c r="I95" s="689"/>
      <c r="J95" s="690"/>
      <c r="K95" s="681"/>
      <c r="L95" s="682"/>
      <c r="M95" s="688"/>
      <c r="N95" s="689"/>
      <c r="O95" s="690"/>
      <c r="P95" s="681"/>
      <c r="Q95" s="682"/>
      <c r="R95" s="688"/>
      <c r="S95" s="689"/>
      <c r="T95" s="690"/>
      <c r="U95" s="681"/>
      <c r="V95" s="682"/>
      <c r="W95" s="688"/>
      <c r="X95" s="689"/>
      <c r="Y95" s="690"/>
      <c r="Z95" s="681"/>
      <c r="AA95" s="682"/>
      <c r="AB95" s="688"/>
      <c r="AC95" s="689"/>
      <c r="AD95" s="690"/>
      <c r="AE95" s="681"/>
      <c r="AF95" s="682"/>
      <c r="AG95" s="688"/>
      <c r="AH95" s="689"/>
      <c r="AI95" s="690"/>
      <c r="AJ95" s="681"/>
      <c r="AK95" s="682"/>
      <c r="AL95" s="688"/>
      <c r="AM95" s="689"/>
      <c r="AN95" s="690"/>
      <c r="AO95" s="681"/>
      <c r="AP95" s="682"/>
      <c r="AQ95" s="688"/>
      <c r="AR95" s="689"/>
      <c r="AS95" s="690"/>
      <c r="AT95" s="681"/>
      <c r="AU95" s="682"/>
      <c r="AV95" s="688"/>
      <c r="AW95" s="689"/>
      <c r="AX95" s="690"/>
      <c r="AY95" s="681"/>
      <c r="AZ95" s="682"/>
      <c r="BA95" s="688"/>
      <c r="BB95" s="689"/>
      <c r="BC95" s="690"/>
      <c r="BD95" s="681"/>
      <c r="BE95" s="682"/>
      <c r="BF95" s="688"/>
      <c r="BG95" s="689"/>
      <c r="BH95" s="690"/>
      <c r="BI95" s="681"/>
      <c r="BJ95" s="682"/>
      <c r="BK95" s="688"/>
      <c r="BL95" s="689"/>
      <c r="BM95" s="690"/>
      <c r="BN95" s="681"/>
      <c r="BO95" s="682"/>
      <c r="BP95" s="688"/>
      <c r="BQ95" s="689"/>
      <c r="BR95" s="690"/>
    </row>
    <row r="96" spans="1:70" ht="15" hidden="1" customHeight="1" x14ac:dyDescent="0.25">
      <c r="A96" s="683"/>
      <c r="B96" s="684"/>
      <c r="C96" s="691"/>
      <c r="D96" s="692"/>
      <c r="E96" s="693"/>
      <c r="F96" s="683"/>
      <c r="G96" s="684"/>
      <c r="H96" s="691"/>
      <c r="I96" s="692"/>
      <c r="J96" s="693"/>
      <c r="K96" s="683"/>
      <c r="L96" s="684"/>
      <c r="M96" s="691"/>
      <c r="N96" s="692"/>
      <c r="O96" s="693"/>
      <c r="P96" s="683"/>
      <c r="Q96" s="684"/>
      <c r="R96" s="691"/>
      <c r="S96" s="692"/>
      <c r="T96" s="693"/>
      <c r="U96" s="683"/>
      <c r="V96" s="684"/>
      <c r="W96" s="691"/>
      <c r="X96" s="692"/>
      <c r="Y96" s="693"/>
      <c r="Z96" s="683"/>
      <c r="AA96" s="684"/>
      <c r="AB96" s="691"/>
      <c r="AC96" s="692"/>
      <c r="AD96" s="693"/>
      <c r="AE96" s="683"/>
      <c r="AF96" s="684"/>
      <c r="AG96" s="691"/>
      <c r="AH96" s="692"/>
      <c r="AI96" s="693"/>
      <c r="AJ96" s="683"/>
      <c r="AK96" s="684"/>
      <c r="AL96" s="691"/>
      <c r="AM96" s="692"/>
      <c r="AN96" s="693"/>
      <c r="AO96" s="683"/>
      <c r="AP96" s="684"/>
      <c r="AQ96" s="691"/>
      <c r="AR96" s="692"/>
      <c r="AS96" s="693"/>
      <c r="AT96" s="683"/>
      <c r="AU96" s="684"/>
      <c r="AV96" s="691"/>
      <c r="AW96" s="692"/>
      <c r="AX96" s="693"/>
      <c r="AY96" s="683"/>
      <c r="AZ96" s="684"/>
      <c r="BA96" s="691"/>
      <c r="BB96" s="692"/>
      <c r="BC96" s="693"/>
      <c r="BD96" s="683"/>
      <c r="BE96" s="684"/>
      <c r="BF96" s="691"/>
      <c r="BG96" s="692"/>
      <c r="BH96" s="693"/>
      <c r="BI96" s="683"/>
      <c r="BJ96" s="684"/>
      <c r="BK96" s="691"/>
      <c r="BL96" s="692"/>
      <c r="BM96" s="693"/>
      <c r="BN96" s="683"/>
      <c r="BO96" s="684"/>
      <c r="BP96" s="691"/>
      <c r="BQ96" s="692"/>
      <c r="BR96" s="693"/>
    </row>
    <row r="97" spans="1:72" s="22" customFormat="1" ht="111.75" hidden="1" customHeight="1" x14ac:dyDescent="1.35">
      <c r="A97" s="586" t="s">
        <v>500</v>
      </c>
      <c r="B97" s="694"/>
      <c r="C97" s="695"/>
      <c r="D97" s="695"/>
      <c r="E97" s="696"/>
      <c r="F97" s="586" t="s">
        <v>500</v>
      </c>
      <c r="G97" s="694"/>
      <c r="H97" s="695"/>
      <c r="I97" s="695"/>
      <c r="J97" s="696"/>
      <c r="K97" s="586" t="s">
        <v>500</v>
      </c>
      <c r="L97" s="694"/>
      <c r="M97" s="695"/>
      <c r="N97" s="695"/>
      <c r="O97" s="696"/>
      <c r="P97" s="586" t="s">
        <v>500</v>
      </c>
      <c r="Q97" s="694"/>
      <c r="R97" s="695"/>
      <c r="S97" s="695"/>
      <c r="T97" s="696"/>
      <c r="U97" s="586" t="s">
        <v>500</v>
      </c>
      <c r="V97" s="694"/>
      <c r="W97" s="695"/>
      <c r="X97" s="695"/>
      <c r="Y97" s="696"/>
      <c r="Z97" s="586" t="s">
        <v>500</v>
      </c>
      <c r="AA97" s="694"/>
      <c r="AB97" s="695"/>
      <c r="AC97" s="695"/>
      <c r="AD97" s="696"/>
      <c r="AE97" s="586" t="s">
        <v>500</v>
      </c>
      <c r="AF97" s="694"/>
      <c r="AG97" s="695"/>
      <c r="AH97" s="695"/>
      <c r="AI97" s="696"/>
      <c r="AJ97" s="586" t="s">
        <v>500</v>
      </c>
      <c r="AK97" s="694"/>
      <c r="AL97" s="695"/>
      <c r="AM97" s="695"/>
      <c r="AN97" s="696"/>
      <c r="AO97" s="586" t="s">
        <v>500</v>
      </c>
      <c r="AP97" s="694"/>
      <c r="AQ97" s="695"/>
      <c r="AR97" s="695"/>
      <c r="AS97" s="696"/>
      <c r="AT97" s="586" t="s">
        <v>500</v>
      </c>
      <c r="AU97" s="694"/>
      <c r="AV97" s="695"/>
      <c r="AW97" s="695"/>
      <c r="AX97" s="696"/>
      <c r="AY97" s="586" t="s">
        <v>500</v>
      </c>
      <c r="AZ97" s="694"/>
      <c r="BA97" s="695"/>
      <c r="BB97" s="695"/>
      <c r="BC97" s="696"/>
      <c r="BD97" s="586" t="s">
        <v>500</v>
      </c>
      <c r="BE97" s="694"/>
      <c r="BF97" s="695"/>
      <c r="BG97" s="695"/>
      <c r="BH97" s="696"/>
      <c r="BI97" s="586" t="s">
        <v>500</v>
      </c>
      <c r="BJ97" s="694"/>
      <c r="BK97" s="695"/>
      <c r="BL97" s="695"/>
      <c r="BM97" s="696"/>
      <c r="BN97" s="586" t="s">
        <v>500</v>
      </c>
      <c r="BO97" s="694"/>
      <c r="BP97" s="695"/>
      <c r="BQ97" s="695"/>
      <c r="BR97" s="696"/>
    </row>
    <row r="98" spans="1:72" ht="50.25" hidden="1" customHeight="1" thickBot="1" x14ac:dyDescent="0.3">
      <c r="A98" s="587"/>
      <c r="B98" s="334"/>
      <c r="C98" s="335" t="s">
        <v>113</v>
      </c>
      <c r="D98" s="336"/>
      <c r="E98" s="337" t="s">
        <v>114</v>
      </c>
      <c r="F98" s="587"/>
      <c r="G98" s="334"/>
      <c r="H98" s="335" t="s">
        <v>113</v>
      </c>
      <c r="I98" s="336"/>
      <c r="J98" s="337" t="s">
        <v>114</v>
      </c>
      <c r="K98" s="587"/>
      <c r="L98" s="334"/>
      <c r="M98" s="335" t="s">
        <v>113</v>
      </c>
      <c r="N98" s="336"/>
      <c r="O98" s="337" t="s">
        <v>114</v>
      </c>
      <c r="P98" s="587"/>
      <c r="Q98" s="334"/>
      <c r="R98" s="335" t="s">
        <v>113</v>
      </c>
      <c r="S98" s="336"/>
      <c r="T98" s="337" t="s">
        <v>114</v>
      </c>
      <c r="U98" s="587"/>
      <c r="V98" s="334"/>
      <c r="W98" s="335" t="s">
        <v>113</v>
      </c>
      <c r="X98" s="336"/>
      <c r="Y98" s="337" t="s">
        <v>114</v>
      </c>
      <c r="Z98" s="587"/>
      <c r="AA98" s="334"/>
      <c r="AB98" s="335" t="s">
        <v>113</v>
      </c>
      <c r="AC98" s="336"/>
      <c r="AD98" s="337" t="s">
        <v>114</v>
      </c>
      <c r="AE98" s="587"/>
      <c r="AF98" s="334"/>
      <c r="AG98" s="335" t="s">
        <v>113</v>
      </c>
      <c r="AH98" s="336"/>
      <c r="AI98" s="337" t="s">
        <v>114</v>
      </c>
      <c r="AJ98" s="587"/>
      <c r="AK98" s="334"/>
      <c r="AL98" s="335" t="s">
        <v>113</v>
      </c>
      <c r="AM98" s="336"/>
      <c r="AN98" s="337" t="s">
        <v>114</v>
      </c>
      <c r="AO98" s="587"/>
      <c r="AP98" s="334"/>
      <c r="AQ98" s="335" t="s">
        <v>113</v>
      </c>
      <c r="AR98" s="336"/>
      <c r="AS98" s="337" t="s">
        <v>114</v>
      </c>
      <c r="AT98" s="587"/>
      <c r="AU98" s="334"/>
      <c r="AV98" s="335" t="s">
        <v>113</v>
      </c>
      <c r="AW98" s="336"/>
      <c r="AX98" s="337" t="s">
        <v>114</v>
      </c>
      <c r="AY98" s="587"/>
      <c r="AZ98" s="334"/>
      <c r="BA98" s="335" t="s">
        <v>113</v>
      </c>
      <c r="BB98" s="336"/>
      <c r="BC98" s="337" t="s">
        <v>114</v>
      </c>
      <c r="BD98" s="587"/>
      <c r="BE98" s="334"/>
      <c r="BF98" s="335" t="s">
        <v>113</v>
      </c>
      <c r="BG98" s="336"/>
      <c r="BH98" s="337" t="s">
        <v>114</v>
      </c>
      <c r="BI98" s="587"/>
      <c r="BJ98" s="334"/>
      <c r="BK98" s="335" t="s">
        <v>113</v>
      </c>
      <c r="BL98" s="336"/>
      <c r="BM98" s="337" t="s">
        <v>114</v>
      </c>
      <c r="BN98" s="587"/>
      <c r="BO98" s="334"/>
      <c r="BP98" s="335" t="s">
        <v>113</v>
      </c>
      <c r="BQ98" s="336"/>
      <c r="BR98" s="337" t="s">
        <v>114</v>
      </c>
    </row>
    <row r="99" spans="1:72" ht="53.25" hidden="1" customHeight="1" thickTop="1" x14ac:dyDescent="0.25">
      <c r="A99" s="582" t="s">
        <v>110</v>
      </c>
      <c r="B99" s="583"/>
      <c r="C99" s="584">
        <f t="shared" ref="C99" si="183">B104/((72*3.1415/59)*(129.67/3.281))</f>
        <v>0</v>
      </c>
      <c r="D99" s="584"/>
      <c r="E99" s="585"/>
      <c r="F99" s="582" t="s">
        <v>110</v>
      </c>
      <c r="G99" s="583"/>
      <c r="H99" s="584">
        <f t="shared" ref="H99" si="184">G104/((72*3.1415/59)*(129.67/3.281))</f>
        <v>0</v>
      </c>
      <c r="I99" s="584"/>
      <c r="J99" s="585"/>
      <c r="K99" s="582" t="s">
        <v>110</v>
      </c>
      <c r="L99" s="583"/>
      <c r="M99" s="584">
        <f t="shared" ref="M99" si="185">L104/((72*3.1415/59)*(129.67/3.281))</f>
        <v>0</v>
      </c>
      <c r="N99" s="584"/>
      <c r="O99" s="585"/>
      <c r="P99" s="582" t="s">
        <v>110</v>
      </c>
      <c r="Q99" s="583"/>
      <c r="R99" s="584">
        <f t="shared" ref="R99" si="186">Q104/((72*3.1415/59)*(129.67/3.281))</f>
        <v>0</v>
      </c>
      <c r="S99" s="584"/>
      <c r="T99" s="585"/>
      <c r="U99" s="582" t="s">
        <v>110</v>
      </c>
      <c r="V99" s="583"/>
      <c r="W99" s="584">
        <f t="shared" ref="W99" si="187">V104/((72*3.1415/59)*(129.67/3.281))</f>
        <v>0</v>
      </c>
      <c r="X99" s="584"/>
      <c r="Y99" s="585"/>
      <c r="Z99" s="582" t="s">
        <v>110</v>
      </c>
      <c r="AA99" s="583"/>
      <c r="AB99" s="584">
        <f t="shared" ref="AB99" si="188">AA104/((72*3.1415/59)*(129.67/3.281))</f>
        <v>0</v>
      </c>
      <c r="AC99" s="584"/>
      <c r="AD99" s="585"/>
      <c r="AE99" s="582" t="s">
        <v>110</v>
      </c>
      <c r="AF99" s="583"/>
      <c r="AG99" s="584">
        <f t="shared" ref="AG99" si="189">AF104/((72*3.1415/59)*(129.67/3.281))</f>
        <v>0</v>
      </c>
      <c r="AH99" s="584"/>
      <c r="AI99" s="585"/>
      <c r="AJ99" s="582" t="s">
        <v>110</v>
      </c>
      <c r="AK99" s="583"/>
      <c r="AL99" s="584">
        <f t="shared" ref="AL99" si="190">AK104/((72*3.1415/59)*(129.67/3.281))</f>
        <v>0</v>
      </c>
      <c r="AM99" s="584"/>
      <c r="AN99" s="585"/>
      <c r="AO99" s="582" t="s">
        <v>110</v>
      </c>
      <c r="AP99" s="583"/>
      <c r="AQ99" s="584">
        <f t="shared" ref="AQ99" si="191">AP104/((72*3.1415/59)*(129.67/3.281))</f>
        <v>0</v>
      </c>
      <c r="AR99" s="584"/>
      <c r="AS99" s="585"/>
      <c r="AT99" s="582" t="s">
        <v>110</v>
      </c>
      <c r="AU99" s="583"/>
      <c r="AV99" s="584">
        <f t="shared" ref="AV99" si="192">AU104/((72*3.1415/59)*(129.67/3.281))</f>
        <v>0</v>
      </c>
      <c r="AW99" s="584"/>
      <c r="AX99" s="585"/>
      <c r="AY99" s="582" t="s">
        <v>110</v>
      </c>
      <c r="AZ99" s="583"/>
      <c r="BA99" s="584">
        <f t="shared" ref="BA99" si="193">AZ104/((72*3.1415/59)*(129.67/3.281))</f>
        <v>0</v>
      </c>
      <c r="BB99" s="584"/>
      <c r="BC99" s="585"/>
      <c r="BD99" s="582" t="s">
        <v>110</v>
      </c>
      <c r="BE99" s="583"/>
      <c r="BF99" s="584">
        <f t="shared" ref="BF99" si="194">BE104/((72*3.1415/59)*(129.67/3.281))</f>
        <v>0</v>
      </c>
      <c r="BG99" s="584"/>
      <c r="BH99" s="585"/>
      <c r="BI99" s="582" t="s">
        <v>110</v>
      </c>
      <c r="BJ99" s="583"/>
      <c r="BK99" s="584">
        <f t="shared" ref="BK99" si="195">BJ104/((72*3.1415/59)*(129.67/3.281))</f>
        <v>0</v>
      </c>
      <c r="BL99" s="584"/>
      <c r="BM99" s="585"/>
      <c r="BN99" s="582" t="s">
        <v>110</v>
      </c>
      <c r="BO99" s="583"/>
      <c r="BP99" s="584">
        <f t="shared" ref="BP99" si="196">BO104/((72*3.1415/59)*(129.67/3.281))</f>
        <v>0</v>
      </c>
      <c r="BQ99" s="584"/>
      <c r="BR99" s="585"/>
    </row>
    <row r="100" spans="1:72" ht="15" hidden="1" customHeight="1" x14ac:dyDescent="0.25">
      <c r="A100" s="679" t="s">
        <v>489</v>
      </c>
      <c r="B100" s="680"/>
      <c r="C100" s="685" t="s">
        <v>504</v>
      </c>
      <c r="D100" s="686"/>
      <c r="E100" s="687"/>
      <c r="F100" s="679" t="s">
        <v>489</v>
      </c>
      <c r="G100" s="680"/>
      <c r="H100" s="685" t="s">
        <v>504</v>
      </c>
      <c r="I100" s="686"/>
      <c r="J100" s="687"/>
      <c r="K100" s="679" t="s">
        <v>489</v>
      </c>
      <c r="L100" s="680"/>
      <c r="M100" s="685" t="s">
        <v>504</v>
      </c>
      <c r="N100" s="686"/>
      <c r="O100" s="687"/>
      <c r="P100" s="679" t="s">
        <v>489</v>
      </c>
      <c r="Q100" s="680"/>
      <c r="R100" s="685" t="s">
        <v>504</v>
      </c>
      <c r="S100" s="686"/>
      <c r="T100" s="687"/>
      <c r="U100" s="679" t="s">
        <v>489</v>
      </c>
      <c r="V100" s="680"/>
      <c r="W100" s="685" t="s">
        <v>504</v>
      </c>
      <c r="X100" s="686"/>
      <c r="Y100" s="687"/>
      <c r="Z100" s="679" t="s">
        <v>489</v>
      </c>
      <c r="AA100" s="680"/>
      <c r="AB100" s="685" t="s">
        <v>504</v>
      </c>
      <c r="AC100" s="686"/>
      <c r="AD100" s="687"/>
      <c r="AE100" s="679" t="s">
        <v>489</v>
      </c>
      <c r="AF100" s="680"/>
      <c r="AG100" s="685" t="s">
        <v>504</v>
      </c>
      <c r="AH100" s="686"/>
      <c r="AI100" s="687"/>
      <c r="AJ100" s="679" t="s">
        <v>489</v>
      </c>
      <c r="AK100" s="680"/>
      <c r="AL100" s="685" t="s">
        <v>504</v>
      </c>
      <c r="AM100" s="686"/>
      <c r="AN100" s="687"/>
      <c r="AO100" s="679" t="s">
        <v>489</v>
      </c>
      <c r="AP100" s="680"/>
      <c r="AQ100" s="685" t="s">
        <v>504</v>
      </c>
      <c r="AR100" s="686"/>
      <c r="AS100" s="687"/>
      <c r="AT100" s="679" t="s">
        <v>489</v>
      </c>
      <c r="AU100" s="680"/>
      <c r="AV100" s="685" t="s">
        <v>504</v>
      </c>
      <c r="AW100" s="686"/>
      <c r="AX100" s="687"/>
      <c r="AY100" s="679" t="s">
        <v>489</v>
      </c>
      <c r="AZ100" s="680"/>
      <c r="BA100" s="685" t="s">
        <v>504</v>
      </c>
      <c r="BB100" s="686"/>
      <c r="BC100" s="687"/>
      <c r="BD100" s="679" t="s">
        <v>489</v>
      </c>
      <c r="BE100" s="680"/>
      <c r="BF100" s="685" t="s">
        <v>504</v>
      </c>
      <c r="BG100" s="686"/>
      <c r="BH100" s="687"/>
      <c r="BI100" s="679" t="s">
        <v>489</v>
      </c>
      <c r="BJ100" s="680"/>
      <c r="BK100" s="685" t="s">
        <v>504</v>
      </c>
      <c r="BL100" s="686"/>
      <c r="BM100" s="687"/>
      <c r="BN100" s="679" t="s">
        <v>489</v>
      </c>
      <c r="BO100" s="680"/>
      <c r="BP100" s="685" t="s">
        <v>504</v>
      </c>
      <c r="BQ100" s="686"/>
      <c r="BR100" s="687"/>
    </row>
    <row r="101" spans="1:72" ht="6" hidden="1" customHeight="1" x14ac:dyDescent="0.25">
      <c r="A101" s="681"/>
      <c r="B101" s="682"/>
      <c r="C101" s="688"/>
      <c r="D101" s="689"/>
      <c r="E101" s="690"/>
      <c r="F101" s="681"/>
      <c r="G101" s="682"/>
      <c r="H101" s="688"/>
      <c r="I101" s="689"/>
      <c r="J101" s="690"/>
      <c r="K101" s="681"/>
      <c r="L101" s="682"/>
      <c r="M101" s="688"/>
      <c r="N101" s="689"/>
      <c r="O101" s="690"/>
      <c r="P101" s="681"/>
      <c r="Q101" s="682"/>
      <c r="R101" s="688"/>
      <c r="S101" s="689"/>
      <c r="T101" s="690"/>
      <c r="U101" s="681"/>
      <c r="V101" s="682"/>
      <c r="W101" s="688"/>
      <c r="X101" s="689"/>
      <c r="Y101" s="690"/>
      <c r="Z101" s="681"/>
      <c r="AA101" s="682"/>
      <c r="AB101" s="688"/>
      <c r="AC101" s="689"/>
      <c r="AD101" s="690"/>
      <c r="AE101" s="681"/>
      <c r="AF101" s="682"/>
      <c r="AG101" s="688"/>
      <c r="AH101" s="689"/>
      <c r="AI101" s="690"/>
      <c r="AJ101" s="681"/>
      <c r="AK101" s="682"/>
      <c r="AL101" s="688"/>
      <c r="AM101" s="689"/>
      <c r="AN101" s="690"/>
      <c r="AO101" s="681"/>
      <c r="AP101" s="682"/>
      <c r="AQ101" s="688"/>
      <c r="AR101" s="689"/>
      <c r="AS101" s="690"/>
      <c r="AT101" s="681"/>
      <c r="AU101" s="682"/>
      <c r="AV101" s="688"/>
      <c r="AW101" s="689"/>
      <c r="AX101" s="690"/>
      <c r="AY101" s="681"/>
      <c r="AZ101" s="682"/>
      <c r="BA101" s="688"/>
      <c r="BB101" s="689"/>
      <c r="BC101" s="690"/>
      <c r="BD101" s="681"/>
      <c r="BE101" s="682"/>
      <c r="BF101" s="688"/>
      <c r="BG101" s="689"/>
      <c r="BH101" s="690"/>
      <c r="BI101" s="681"/>
      <c r="BJ101" s="682"/>
      <c r="BK101" s="688"/>
      <c r="BL101" s="689"/>
      <c r="BM101" s="690"/>
      <c r="BN101" s="681"/>
      <c r="BO101" s="682"/>
      <c r="BP101" s="688"/>
      <c r="BQ101" s="689"/>
      <c r="BR101" s="690"/>
    </row>
    <row r="102" spans="1:72" ht="15" hidden="1" customHeight="1" x14ac:dyDescent="0.25">
      <c r="A102" s="683"/>
      <c r="B102" s="684"/>
      <c r="C102" s="691"/>
      <c r="D102" s="692"/>
      <c r="E102" s="693"/>
      <c r="F102" s="683"/>
      <c r="G102" s="684"/>
      <c r="H102" s="691"/>
      <c r="I102" s="692"/>
      <c r="J102" s="693"/>
      <c r="K102" s="683"/>
      <c r="L102" s="684"/>
      <c r="M102" s="691"/>
      <c r="N102" s="692"/>
      <c r="O102" s="693"/>
      <c r="P102" s="683"/>
      <c r="Q102" s="684"/>
      <c r="R102" s="691"/>
      <c r="S102" s="692"/>
      <c r="T102" s="693"/>
      <c r="U102" s="683"/>
      <c r="V102" s="684"/>
      <c r="W102" s="691"/>
      <c r="X102" s="692"/>
      <c r="Y102" s="693"/>
      <c r="Z102" s="683"/>
      <c r="AA102" s="684"/>
      <c r="AB102" s="691"/>
      <c r="AC102" s="692"/>
      <c r="AD102" s="693"/>
      <c r="AE102" s="683"/>
      <c r="AF102" s="684"/>
      <c r="AG102" s="691"/>
      <c r="AH102" s="692"/>
      <c r="AI102" s="693"/>
      <c r="AJ102" s="683"/>
      <c r="AK102" s="684"/>
      <c r="AL102" s="691"/>
      <c r="AM102" s="692"/>
      <c r="AN102" s="693"/>
      <c r="AO102" s="683"/>
      <c r="AP102" s="684"/>
      <c r="AQ102" s="691"/>
      <c r="AR102" s="692"/>
      <c r="AS102" s="693"/>
      <c r="AT102" s="683"/>
      <c r="AU102" s="684"/>
      <c r="AV102" s="691"/>
      <c r="AW102" s="692"/>
      <c r="AX102" s="693"/>
      <c r="AY102" s="683"/>
      <c r="AZ102" s="684"/>
      <c r="BA102" s="691"/>
      <c r="BB102" s="692"/>
      <c r="BC102" s="693"/>
      <c r="BD102" s="683"/>
      <c r="BE102" s="684"/>
      <c r="BF102" s="691"/>
      <c r="BG102" s="692"/>
      <c r="BH102" s="693"/>
      <c r="BI102" s="683"/>
      <c r="BJ102" s="684"/>
      <c r="BK102" s="691"/>
      <c r="BL102" s="692"/>
      <c r="BM102" s="693"/>
      <c r="BN102" s="683"/>
      <c r="BO102" s="684"/>
      <c r="BP102" s="691"/>
      <c r="BQ102" s="692"/>
      <c r="BR102" s="693"/>
    </row>
    <row r="103" spans="1:72" ht="111.75" hidden="1" customHeight="1" x14ac:dyDescent="0.25">
      <c r="A103" s="586" t="s">
        <v>500</v>
      </c>
      <c r="B103" s="694"/>
      <c r="C103" s="695"/>
      <c r="D103" s="695"/>
      <c r="E103" s="696"/>
      <c r="F103" s="586" t="s">
        <v>500</v>
      </c>
      <c r="G103" s="694"/>
      <c r="H103" s="695"/>
      <c r="I103" s="695"/>
      <c r="J103" s="696"/>
      <c r="K103" s="586" t="s">
        <v>500</v>
      </c>
      <c r="L103" s="694"/>
      <c r="M103" s="695"/>
      <c r="N103" s="695"/>
      <c r="O103" s="696"/>
      <c r="P103" s="586" t="s">
        <v>500</v>
      </c>
      <c r="Q103" s="694"/>
      <c r="R103" s="695"/>
      <c r="S103" s="695"/>
      <c r="T103" s="696"/>
      <c r="U103" s="586" t="s">
        <v>500</v>
      </c>
      <c r="V103" s="694"/>
      <c r="W103" s="695"/>
      <c r="X103" s="695"/>
      <c r="Y103" s="696"/>
      <c r="Z103" s="586" t="s">
        <v>500</v>
      </c>
      <c r="AA103" s="694"/>
      <c r="AB103" s="695"/>
      <c r="AC103" s="695"/>
      <c r="AD103" s="696"/>
      <c r="AE103" s="586" t="s">
        <v>500</v>
      </c>
      <c r="AF103" s="694"/>
      <c r="AG103" s="695"/>
      <c r="AH103" s="695"/>
      <c r="AI103" s="696"/>
      <c r="AJ103" s="586" t="s">
        <v>500</v>
      </c>
      <c r="AK103" s="694"/>
      <c r="AL103" s="695"/>
      <c r="AM103" s="695"/>
      <c r="AN103" s="696"/>
      <c r="AO103" s="586" t="s">
        <v>500</v>
      </c>
      <c r="AP103" s="694"/>
      <c r="AQ103" s="695"/>
      <c r="AR103" s="695"/>
      <c r="AS103" s="696"/>
      <c r="AT103" s="586" t="s">
        <v>500</v>
      </c>
      <c r="AU103" s="694"/>
      <c r="AV103" s="695"/>
      <c r="AW103" s="695"/>
      <c r="AX103" s="696"/>
      <c r="AY103" s="586" t="s">
        <v>500</v>
      </c>
      <c r="AZ103" s="694"/>
      <c r="BA103" s="695"/>
      <c r="BB103" s="695"/>
      <c r="BC103" s="696"/>
      <c r="BD103" s="586" t="s">
        <v>500</v>
      </c>
      <c r="BE103" s="694"/>
      <c r="BF103" s="695"/>
      <c r="BG103" s="695"/>
      <c r="BH103" s="696"/>
      <c r="BI103" s="586" t="s">
        <v>500</v>
      </c>
      <c r="BJ103" s="694"/>
      <c r="BK103" s="695"/>
      <c r="BL103" s="695"/>
      <c r="BM103" s="696"/>
      <c r="BN103" s="586" t="s">
        <v>500</v>
      </c>
      <c r="BO103" s="694"/>
      <c r="BP103" s="695"/>
      <c r="BQ103" s="695"/>
      <c r="BR103" s="696"/>
    </row>
    <row r="104" spans="1:72" ht="13.5" hidden="1" customHeight="1" thickTop="1" thickBot="1" x14ac:dyDescent="0.3">
      <c r="A104" s="587"/>
      <c r="B104" s="334"/>
      <c r="C104" s="335" t="s">
        <v>113</v>
      </c>
      <c r="D104" s="336"/>
      <c r="E104" s="337" t="s">
        <v>114</v>
      </c>
      <c r="F104" s="587"/>
      <c r="G104" s="334"/>
      <c r="H104" s="335" t="s">
        <v>113</v>
      </c>
      <c r="I104" s="336"/>
      <c r="J104" s="337" t="s">
        <v>114</v>
      </c>
      <c r="K104" s="587"/>
      <c r="L104" s="334"/>
      <c r="M104" s="335" t="s">
        <v>113</v>
      </c>
      <c r="N104" s="336"/>
      <c r="O104" s="337" t="s">
        <v>114</v>
      </c>
      <c r="P104" s="587"/>
      <c r="Q104" s="334"/>
      <c r="R104" s="335" t="s">
        <v>113</v>
      </c>
      <c r="S104" s="336"/>
      <c r="T104" s="337" t="s">
        <v>114</v>
      </c>
      <c r="U104" s="587"/>
      <c r="V104" s="334"/>
      <c r="W104" s="335" t="s">
        <v>113</v>
      </c>
      <c r="X104" s="336"/>
      <c r="Y104" s="337" t="s">
        <v>114</v>
      </c>
      <c r="Z104" s="587"/>
      <c r="AA104" s="334"/>
      <c r="AB104" s="335" t="s">
        <v>113</v>
      </c>
      <c r="AC104" s="336"/>
      <c r="AD104" s="337" t="s">
        <v>114</v>
      </c>
      <c r="AE104" s="587"/>
      <c r="AF104" s="334"/>
      <c r="AG104" s="335" t="s">
        <v>113</v>
      </c>
      <c r="AH104" s="336"/>
      <c r="AI104" s="337" t="s">
        <v>114</v>
      </c>
      <c r="AJ104" s="587"/>
      <c r="AK104" s="334"/>
      <c r="AL104" s="335" t="s">
        <v>113</v>
      </c>
      <c r="AM104" s="336"/>
      <c r="AN104" s="337" t="s">
        <v>114</v>
      </c>
      <c r="AO104" s="587"/>
      <c r="AP104" s="334"/>
      <c r="AQ104" s="335" t="s">
        <v>113</v>
      </c>
      <c r="AR104" s="336"/>
      <c r="AS104" s="337" t="s">
        <v>114</v>
      </c>
      <c r="AT104" s="587"/>
      <c r="AU104" s="334"/>
      <c r="AV104" s="335" t="s">
        <v>113</v>
      </c>
      <c r="AW104" s="336"/>
      <c r="AX104" s="337" t="s">
        <v>114</v>
      </c>
      <c r="AY104" s="587"/>
      <c r="AZ104" s="334"/>
      <c r="BA104" s="335" t="s">
        <v>113</v>
      </c>
      <c r="BB104" s="336"/>
      <c r="BC104" s="337" t="s">
        <v>114</v>
      </c>
      <c r="BD104" s="587"/>
      <c r="BE104" s="334"/>
      <c r="BF104" s="335" t="s">
        <v>113</v>
      </c>
      <c r="BG104" s="336"/>
      <c r="BH104" s="337" t="s">
        <v>114</v>
      </c>
      <c r="BI104" s="587"/>
      <c r="BJ104" s="334"/>
      <c r="BK104" s="335" t="s">
        <v>113</v>
      </c>
      <c r="BL104" s="336"/>
      <c r="BM104" s="337" t="s">
        <v>114</v>
      </c>
      <c r="BN104" s="587"/>
      <c r="BO104" s="334"/>
      <c r="BP104" s="335" t="s">
        <v>113</v>
      </c>
      <c r="BQ104" s="336"/>
      <c r="BR104" s="337" t="s">
        <v>114</v>
      </c>
    </row>
    <row r="105" spans="1:72" ht="38.25" customHeight="1" thickTop="1" x14ac:dyDescent="0.25">
      <c r="A105" s="668" t="s">
        <v>110</v>
      </c>
      <c r="B105" s="669"/>
      <c r="C105" s="670">
        <f t="shared" ref="C105" si="197">B110/((42*3.1415/59)*(104/3.281))</f>
        <v>3.2248890255057686E-2</v>
      </c>
      <c r="D105" s="670"/>
      <c r="E105" s="671"/>
      <c r="F105" s="668" t="s">
        <v>110</v>
      </c>
      <c r="G105" s="669"/>
      <c r="H105" s="670">
        <f t="shared" ref="H105" si="198">G110/((42*3.1415/59)*(104/3.281))</f>
        <v>4.5506767359914733E-2</v>
      </c>
      <c r="I105" s="670"/>
      <c r="J105" s="671"/>
      <c r="K105" s="668" t="s">
        <v>110</v>
      </c>
      <c r="L105" s="669"/>
      <c r="M105" s="670">
        <f t="shared" ref="M105" si="199">L110/((42*3.1415/59)*(104/3.281))</f>
        <v>5.7331360453435889E-3</v>
      </c>
      <c r="N105" s="670"/>
      <c r="O105" s="671"/>
      <c r="P105" s="668" t="s">
        <v>110</v>
      </c>
      <c r="Q105" s="669"/>
      <c r="R105" s="670">
        <f t="shared" ref="R105" si="200">Q110/((42*3.1415/59)*(104/3.281))</f>
        <v>1.410712609582576E-20</v>
      </c>
      <c r="S105" s="670"/>
      <c r="T105" s="671"/>
      <c r="U105" s="668" t="s">
        <v>110</v>
      </c>
      <c r="V105" s="669"/>
      <c r="W105" s="670">
        <f t="shared" ref="W105" si="201">V110/((42*3.1415/59)*(104/3.281))</f>
        <v>2.4007507189876279E-2</v>
      </c>
      <c r="X105" s="670"/>
      <c r="Y105" s="671"/>
      <c r="Z105" s="668" t="s">
        <v>110</v>
      </c>
      <c r="AA105" s="669"/>
      <c r="AB105" s="670">
        <f t="shared" ref="AB105" si="202">AA110/((42*3.1415/59)*(104/3.281))</f>
        <v>3.2164247498482736E-3</v>
      </c>
      <c r="AC105" s="670"/>
      <c r="AD105" s="671"/>
      <c r="AE105" s="668" t="s">
        <v>110</v>
      </c>
      <c r="AF105" s="669"/>
      <c r="AG105" s="670">
        <f t="shared" ref="AG105" si="203">AF110/((42*3.1415/59)*(104/3.281))</f>
        <v>1.410712609582576E-20</v>
      </c>
      <c r="AH105" s="670"/>
      <c r="AI105" s="671"/>
      <c r="AJ105" s="668" t="s">
        <v>110</v>
      </c>
      <c r="AK105" s="669"/>
      <c r="AL105" s="670">
        <f t="shared" ref="AL105" si="204">AK110/((42*3.1415/59)*(104/3.281))</f>
        <v>1.1466272090687178E-2</v>
      </c>
      <c r="AM105" s="670"/>
      <c r="AN105" s="671"/>
      <c r="AO105" s="712"/>
      <c r="AP105" s="710"/>
      <c r="AQ105" s="711"/>
      <c r="AR105" s="711"/>
      <c r="AS105" s="711"/>
      <c r="AT105" s="710"/>
      <c r="AU105" s="710"/>
      <c r="AV105" s="711"/>
      <c r="AW105" s="711"/>
      <c r="AX105" s="711"/>
      <c r="AY105" s="710"/>
      <c r="AZ105" s="710"/>
      <c r="BA105" s="711"/>
      <c r="BB105" s="711"/>
      <c r="BC105" s="711"/>
      <c r="BD105" s="710"/>
      <c r="BE105" s="710"/>
      <c r="BF105" s="711"/>
      <c r="BG105" s="711"/>
      <c r="BH105" s="711"/>
      <c r="BI105" s="710"/>
      <c r="BJ105" s="710"/>
      <c r="BK105" s="711"/>
      <c r="BL105" s="711"/>
      <c r="BM105" s="711"/>
      <c r="BN105" s="710"/>
      <c r="BO105" s="710"/>
      <c r="BP105" s="711"/>
      <c r="BQ105" s="711"/>
      <c r="BR105" s="711"/>
    </row>
    <row r="106" spans="1:72" ht="15" customHeight="1" x14ac:dyDescent="0.25">
      <c r="A106" s="591" t="s">
        <v>672</v>
      </c>
      <c r="B106" s="592"/>
      <c r="C106" s="592"/>
      <c r="D106" s="592"/>
      <c r="E106" s="593"/>
      <c r="F106" s="591" t="s">
        <v>672</v>
      </c>
      <c r="G106" s="592"/>
      <c r="H106" s="592"/>
      <c r="I106" s="592"/>
      <c r="J106" s="593"/>
      <c r="K106" s="591" t="s">
        <v>672</v>
      </c>
      <c r="L106" s="592"/>
      <c r="M106" s="592"/>
      <c r="N106" s="592"/>
      <c r="O106" s="593"/>
      <c r="P106" s="591" t="s">
        <v>672</v>
      </c>
      <c r="Q106" s="592"/>
      <c r="R106" s="592"/>
      <c r="S106" s="592"/>
      <c r="T106" s="593"/>
      <c r="U106" s="591" t="s">
        <v>672</v>
      </c>
      <c r="V106" s="592"/>
      <c r="W106" s="592"/>
      <c r="X106" s="592"/>
      <c r="Y106" s="593"/>
      <c r="Z106" s="591" t="s">
        <v>672</v>
      </c>
      <c r="AA106" s="592"/>
      <c r="AB106" s="592"/>
      <c r="AC106" s="592"/>
      <c r="AD106" s="593"/>
      <c r="AE106" s="591" t="s">
        <v>672</v>
      </c>
      <c r="AF106" s="592"/>
      <c r="AG106" s="592"/>
      <c r="AH106" s="592"/>
      <c r="AI106" s="593"/>
      <c r="AJ106" s="591" t="s">
        <v>672</v>
      </c>
      <c r="AK106" s="592"/>
      <c r="AL106" s="592"/>
      <c r="AM106" s="592"/>
      <c r="AN106" s="593"/>
      <c r="AO106" s="715"/>
      <c r="AP106" s="713"/>
      <c r="AQ106" s="714"/>
      <c r="AR106" s="714"/>
      <c r="AS106" s="714"/>
      <c r="AT106" s="713"/>
      <c r="AU106" s="713"/>
      <c r="AV106" s="714"/>
      <c r="AW106" s="714"/>
      <c r="AX106" s="714"/>
      <c r="AY106" s="713"/>
      <c r="AZ106" s="713"/>
      <c r="BA106" s="714"/>
      <c r="BB106" s="714"/>
      <c r="BC106" s="714"/>
      <c r="BD106" s="713"/>
      <c r="BE106" s="713"/>
      <c r="BF106" s="714"/>
      <c r="BG106" s="714"/>
      <c r="BH106" s="714"/>
      <c r="BI106" s="713"/>
      <c r="BJ106" s="713"/>
      <c r="BK106" s="714"/>
      <c r="BL106" s="714"/>
      <c r="BM106" s="714"/>
      <c r="BN106" s="713"/>
      <c r="BO106" s="713"/>
      <c r="BP106" s="714"/>
      <c r="BQ106" s="714"/>
      <c r="BR106" s="714"/>
    </row>
    <row r="107" spans="1:72" ht="15" customHeight="1" x14ac:dyDescent="0.25">
      <c r="A107" s="594"/>
      <c r="B107" s="595"/>
      <c r="C107" s="595"/>
      <c r="D107" s="595"/>
      <c r="E107" s="596"/>
      <c r="F107" s="594"/>
      <c r="G107" s="595"/>
      <c r="H107" s="595"/>
      <c r="I107" s="595"/>
      <c r="J107" s="596"/>
      <c r="K107" s="594"/>
      <c r="L107" s="595"/>
      <c r="M107" s="595"/>
      <c r="N107" s="595"/>
      <c r="O107" s="596"/>
      <c r="P107" s="594"/>
      <c r="Q107" s="595"/>
      <c r="R107" s="595"/>
      <c r="S107" s="595"/>
      <c r="T107" s="596"/>
      <c r="U107" s="594"/>
      <c r="V107" s="595"/>
      <c r="W107" s="595"/>
      <c r="X107" s="595"/>
      <c r="Y107" s="596"/>
      <c r="Z107" s="594"/>
      <c r="AA107" s="595"/>
      <c r="AB107" s="595"/>
      <c r="AC107" s="595"/>
      <c r="AD107" s="596"/>
      <c r="AE107" s="594"/>
      <c r="AF107" s="595"/>
      <c r="AG107" s="595"/>
      <c r="AH107" s="595"/>
      <c r="AI107" s="596"/>
      <c r="AJ107" s="594"/>
      <c r="AK107" s="595"/>
      <c r="AL107" s="595"/>
      <c r="AM107" s="595"/>
      <c r="AN107" s="596"/>
      <c r="AO107" s="715"/>
      <c r="AP107" s="713"/>
      <c r="AQ107" s="714"/>
      <c r="AR107" s="714"/>
      <c r="AS107" s="714"/>
      <c r="AT107" s="713"/>
      <c r="AU107" s="713"/>
      <c r="AV107" s="714"/>
      <c r="AW107" s="714"/>
      <c r="AX107" s="714"/>
      <c r="AY107" s="713"/>
      <c r="AZ107" s="713"/>
      <c r="BA107" s="714"/>
      <c r="BB107" s="714"/>
      <c r="BC107" s="714"/>
      <c r="BD107" s="713"/>
      <c r="BE107" s="713"/>
      <c r="BF107" s="714"/>
      <c r="BG107" s="714"/>
      <c r="BH107" s="714"/>
      <c r="BI107" s="713"/>
      <c r="BJ107" s="713"/>
      <c r="BK107" s="714"/>
      <c r="BL107" s="714"/>
      <c r="BM107" s="714"/>
      <c r="BN107" s="713"/>
      <c r="BO107" s="713"/>
      <c r="BP107" s="714"/>
      <c r="BQ107" s="714"/>
      <c r="BR107" s="714"/>
    </row>
    <row r="108" spans="1:72" ht="15" customHeight="1" x14ac:dyDescent="0.25">
      <c r="A108" s="597"/>
      <c r="B108" s="598"/>
      <c r="C108" s="598"/>
      <c r="D108" s="598"/>
      <c r="E108" s="599"/>
      <c r="F108" s="597"/>
      <c r="G108" s="598"/>
      <c r="H108" s="598"/>
      <c r="I108" s="598"/>
      <c r="J108" s="599"/>
      <c r="K108" s="597"/>
      <c r="L108" s="598"/>
      <c r="M108" s="598"/>
      <c r="N108" s="598"/>
      <c r="O108" s="599"/>
      <c r="P108" s="597"/>
      <c r="Q108" s="598"/>
      <c r="R108" s="598"/>
      <c r="S108" s="598"/>
      <c r="T108" s="599"/>
      <c r="U108" s="597"/>
      <c r="V108" s="598"/>
      <c r="W108" s="598"/>
      <c r="X108" s="598"/>
      <c r="Y108" s="599"/>
      <c r="Z108" s="597"/>
      <c r="AA108" s="598"/>
      <c r="AB108" s="598"/>
      <c r="AC108" s="598"/>
      <c r="AD108" s="599"/>
      <c r="AE108" s="597"/>
      <c r="AF108" s="598"/>
      <c r="AG108" s="598"/>
      <c r="AH108" s="598"/>
      <c r="AI108" s="599"/>
      <c r="AJ108" s="597"/>
      <c r="AK108" s="598"/>
      <c r="AL108" s="598"/>
      <c r="AM108" s="598"/>
      <c r="AN108" s="599"/>
      <c r="AO108" s="715"/>
      <c r="AP108" s="713"/>
      <c r="AQ108" s="714"/>
      <c r="AR108" s="714"/>
      <c r="AS108" s="714"/>
      <c r="AT108" s="713"/>
      <c r="AU108" s="713"/>
      <c r="AV108" s="714"/>
      <c r="AW108" s="714"/>
      <c r="AX108" s="714"/>
      <c r="AY108" s="713"/>
      <c r="AZ108" s="713"/>
      <c r="BA108" s="714"/>
      <c r="BB108" s="714"/>
      <c r="BC108" s="714"/>
      <c r="BD108" s="713"/>
      <c r="BE108" s="713"/>
      <c r="BF108" s="714"/>
      <c r="BG108" s="714"/>
      <c r="BH108" s="714"/>
      <c r="BI108" s="713"/>
      <c r="BJ108" s="713"/>
      <c r="BK108" s="714"/>
      <c r="BL108" s="714"/>
      <c r="BM108" s="714"/>
      <c r="BN108" s="713"/>
      <c r="BO108" s="713"/>
      <c r="BP108" s="714"/>
      <c r="BQ108" s="714"/>
      <c r="BR108" s="714"/>
      <c r="BT108" s="570"/>
    </row>
    <row r="109" spans="1:72" s="22" customFormat="1" ht="91.5" customHeight="1" x14ac:dyDescent="1.35">
      <c r="A109" s="666" t="s">
        <v>679</v>
      </c>
      <c r="B109" s="588">
        <v>110</v>
      </c>
      <c r="C109" s="589"/>
      <c r="D109" s="589"/>
      <c r="E109" s="590"/>
      <c r="F109" s="666" t="s">
        <v>679</v>
      </c>
      <c r="G109" s="588">
        <v>111</v>
      </c>
      <c r="H109" s="589"/>
      <c r="I109" s="589"/>
      <c r="J109" s="590"/>
      <c r="K109" s="666" t="s">
        <v>679</v>
      </c>
      <c r="L109" s="588">
        <v>112</v>
      </c>
      <c r="M109" s="589"/>
      <c r="N109" s="589"/>
      <c r="O109" s="590"/>
      <c r="P109" s="666" t="s">
        <v>679</v>
      </c>
      <c r="Q109" s="588">
        <v>113</v>
      </c>
      <c r="R109" s="589"/>
      <c r="S109" s="589"/>
      <c r="T109" s="590"/>
      <c r="U109" s="666" t="s">
        <v>679</v>
      </c>
      <c r="V109" s="588">
        <v>114</v>
      </c>
      <c r="W109" s="589"/>
      <c r="X109" s="589"/>
      <c r="Y109" s="590"/>
      <c r="Z109" s="666" t="s">
        <v>679</v>
      </c>
      <c r="AA109" s="588">
        <v>115</v>
      </c>
      <c r="AB109" s="589"/>
      <c r="AC109" s="589"/>
      <c r="AD109" s="590"/>
      <c r="AE109" s="666" t="s">
        <v>679</v>
      </c>
      <c r="AF109" s="588">
        <v>117</v>
      </c>
      <c r="AG109" s="589"/>
      <c r="AH109" s="589"/>
      <c r="AI109" s="590"/>
      <c r="AJ109" s="666" t="s">
        <v>679</v>
      </c>
      <c r="AK109" s="588">
        <v>118</v>
      </c>
      <c r="AL109" s="589"/>
      <c r="AM109" s="589"/>
      <c r="AN109" s="590"/>
      <c r="AO109" s="718"/>
      <c r="AP109" s="717"/>
      <c r="AQ109" s="717"/>
      <c r="AR109" s="717"/>
      <c r="AS109" s="717"/>
      <c r="AT109" s="716"/>
      <c r="AU109" s="717"/>
      <c r="AV109" s="717"/>
      <c r="AW109" s="717"/>
      <c r="AX109" s="717"/>
      <c r="AY109" s="716"/>
      <c r="AZ109" s="717"/>
      <c r="BA109" s="717"/>
      <c r="BB109" s="717"/>
      <c r="BC109" s="717"/>
      <c r="BD109" s="716"/>
      <c r="BE109" s="717"/>
      <c r="BF109" s="717"/>
      <c r="BG109" s="717"/>
      <c r="BH109" s="717"/>
      <c r="BI109" s="716"/>
      <c r="BJ109" s="717"/>
      <c r="BK109" s="717"/>
      <c r="BL109" s="717"/>
      <c r="BM109" s="717"/>
      <c r="BN109" s="716"/>
      <c r="BO109" s="717"/>
      <c r="BP109" s="717"/>
      <c r="BQ109" s="717"/>
      <c r="BR109" s="717"/>
    </row>
    <row r="110" spans="1:72" ht="46.5" customHeight="1" thickBot="1" x14ac:dyDescent="0.3">
      <c r="A110" s="667"/>
      <c r="B110" s="61">
        <v>2.286</v>
      </c>
      <c r="C110" s="62" t="s">
        <v>113</v>
      </c>
      <c r="D110" s="63">
        <v>1</v>
      </c>
      <c r="E110" s="64" t="s">
        <v>114</v>
      </c>
      <c r="F110" s="667"/>
      <c r="G110" s="61">
        <v>3.2258</v>
      </c>
      <c r="H110" s="62" t="s">
        <v>113</v>
      </c>
      <c r="I110" s="63">
        <v>1</v>
      </c>
      <c r="J110" s="64" t="s">
        <v>114</v>
      </c>
      <c r="K110" s="667"/>
      <c r="L110" s="61">
        <v>0.40639999999999998</v>
      </c>
      <c r="M110" s="62" t="s">
        <v>113</v>
      </c>
      <c r="N110" s="63"/>
      <c r="O110" s="64" t="s">
        <v>114</v>
      </c>
      <c r="P110" s="667"/>
      <c r="Q110" s="61">
        <v>1.0000000000000001E-18</v>
      </c>
      <c r="R110" s="62" t="s">
        <v>113</v>
      </c>
      <c r="S110" s="63">
        <v>1</v>
      </c>
      <c r="T110" s="64" t="s">
        <v>114</v>
      </c>
      <c r="U110" s="667"/>
      <c r="V110" s="61">
        <v>1.7018</v>
      </c>
      <c r="W110" s="62" t="s">
        <v>113</v>
      </c>
      <c r="X110" s="63">
        <v>1</v>
      </c>
      <c r="Y110" s="64" t="s">
        <v>114</v>
      </c>
      <c r="Z110" s="667"/>
      <c r="AA110" s="61">
        <v>0.22800000000000001</v>
      </c>
      <c r="AB110" s="62" t="s">
        <v>113</v>
      </c>
      <c r="AC110" s="63">
        <v>1</v>
      </c>
      <c r="AD110" s="64" t="s">
        <v>114</v>
      </c>
      <c r="AE110" s="667"/>
      <c r="AF110" s="61">
        <v>1.0000000000000001E-18</v>
      </c>
      <c r="AG110" s="62" t="s">
        <v>113</v>
      </c>
      <c r="AH110" s="63">
        <v>1</v>
      </c>
      <c r="AI110" s="64" t="s">
        <v>114</v>
      </c>
      <c r="AJ110" s="667"/>
      <c r="AK110" s="61">
        <v>0.81279999999999997</v>
      </c>
      <c r="AL110" s="62" t="s">
        <v>113</v>
      </c>
      <c r="AM110" s="63">
        <v>1</v>
      </c>
      <c r="AN110" s="64" t="s">
        <v>114</v>
      </c>
      <c r="AO110" s="718"/>
      <c r="AP110" s="32"/>
      <c r="AQ110" s="33"/>
      <c r="AR110" s="34"/>
      <c r="AS110" s="35"/>
      <c r="AT110" s="716"/>
      <c r="AU110" s="32"/>
      <c r="AV110" s="33"/>
      <c r="AW110" s="34"/>
      <c r="AX110" s="35"/>
      <c r="AY110" s="716"/>
      <c r="AZ110" s="32"/>
      <c r="BA110" s="33"/>
      <c r="BB110" s="34"/>
      <c r="BC110" s="35"/>
      <c r="BD110" s="716"/>
      <c r="BE110" s="32"/>
      <c r="BF110" s="33"/>
      <c r="BG110" s="34"/>
      <c r="BH110" s="35"/>
      <c r="BI110" s="716"/>
      <c r="BJ110" s="32"/>
      <c r="BK110" s="33"/>
      <c r="BL110" s="34"/>
      <c r="BM110" s="35"/>
      <c r="BN110" s="716"/>
      <c r="BO110" s="32"/>
      <c r="BP110" s="33"/>
      <c r="BQ110" s="34"/>
      <c r="BR110" s="35"/>
    </row>
    <row r="111" spans="1:72" ht="27" hidden="1" thickTop="1" x14ac:dyDescent="0.25">
      <c r="A111" s="582" t="s">
        <v>110</v>
      </c>
      <c r="B111" s="583"/>
      <c r="C111" s="584">
        <f t="shared" ref="C111" si="205">B116/((72*3.1415/59)*(129.67/3.281))</f>
        <v>0</v>
      </c>
      <c r="D111" s="584"/>
      <c r="E111" s="585"/>
      <c r="F111" s="582" t="s">
        <v>110</v>
      </c>
      <c r="G111" s="583"/>
      <c r="H111" s="584">
        <f t="shared" ref="H111" si="206">G116/((72*3.1415/59)*(129.67/3.281))</f>
        <v>0</v>
      </c>
      <c r="I111" s="584"/>
      <c r="J111" s="585"/>
      <c r="K111" s="712"/>
      <c r="L111" s="710"/>
      <c r="M111" s="711"/>
      <c r="N111" s="711"/>
      <c r="O111" s="711"/>
      <c r="P111" s="710"/>
      <c r="Q111" s="710"/>
      <c r="R111" s="711"/>
      <c r="S111" s="711"/>
      <c r="T111" s="711"/>
      <c r="U111" s="710"/>
      <c r="V111" s="710"/>
      <c r="W111" s="711"/>
      <c r="X111" s="711"/>
      <c r="Y111" s="711"/>
      <c r="Z111" s="710"/>
      <c r="AA111" s="710"/>
      <c r="AB111" s="711"/>
      <c r="AC111" s="711"/>
      <c r="AD111" s="711"/>
      <c r="AE111" s="710"/>
      <c r="AF111" s="710"/>
      <c r="AG111" s="711"/>
      <c r="AH111" s="711"/>
      <c r="AI111" s="711"/>
      <c r="AJ111" s="710"/>
      <c r="AK111" s="710"/>
      <c r="AL111" s="711"/>
      <c r="AM111" s="711"/>
      <c r="AN111" s="711"/>
      <c r="AO111" s="719"/>
      <c r="AP111" s="719"/>
      <c r="AQ111" s="720"/>
      <c r="AR111" s="720"/>
      <c r="AS111" s="720"/>
      <c r="AT111" s="719"/>
      <c r="AU111" s="719"/>
      <c r="AV111" s="720"/>
      <c r="AW111" s="720"/>
      <c r="AX111" s="720"/>
      <c r="AY111" s="719"/>
      <c r="AZ111" s="719"/>
      <c r="BA111" s="720"/>
      <c r="BB111" s="720"/>
      <c r="BC111" s="720"/>
      <c r="BD111" s="719"/>
      <c r="BE111" s="719"/>
      <c r="BF111" s="720"/>
      <c r="BG111" s="720"/>
      <c r="BH111" s="720"/>
      <c r="BI111" s="719"/>
      <c r="BJ111" s="719"/>
      <c r="BK111" s="720"/>
      <c r="BL111" s="720"/>
      <c r="BM111" s="720"/>
      <c r="BN111" s="719"/>
      <c r="BO111" s="719"/>
      <c r="BP111" s="720"/>
      <c r="BQ111" s="720"/>
      <c r="BR111" s="720"/>
    </row>
    <row r="112" spans="1:72" hidden="1" x14ac:dyDescent="0.25">
      <c r="A112" s="679" t="s">
        <v>489</v>
      </c>
      <c r="B112" s="680"/>
      <c r="C112" s="685" t="s">
        <v>504</v>
      </c>
      <c r="D112" s="686"/>
      <c r="E112" s="687"/>
      <c r="F112" s="679" t="s">
        <v>489</v>
      </c>
      <c r="G112" s="680"/>
      <c r="H112" s="685" t="s">
        <v>504</v>
      </c>
      <c r="I112" s="686"/>
      <c r="J112" s="687"/>
      <c r="K112" s="721"/>
      <c r="L112" s="714"/>
      <c r="M112" s="714"/>
      <c r="N112" s="714"/>
      <c r="O112" s="714"/>
      <c r="P112" s="714"/>
      <c r="Q112" s="714"/>
      <c r="R112" s="714"/>
      <c r="S112" s="714"/>
      <c r="T112" s="714"/>
      <c r="U112" s="714"/>
      <c r="V112" s="714"/>
      <c r="W112" s="714"/>
      <c r="X112" s="714"/>
      <c r="Y112" s="714"/>
      <c r="Z112" s="714"/>
      <c r="AA112" s="714"/>
      <c r="AB112" s="714"/>
      <c r="AC112" s="714"/>
      <c r="AD112" s="714"/>
      <c r="AE112" s="714"/>
      <c r="AF112" s="714"/>
      <c r="AG112" s="714"/>
      <c r="AH112" s="714"/>
      <c r="AI112" s="714"/>
      <c r="AJ112" s="714"/>
      <c r="AK112" s="714"/>
      <c r="AL112" s="714"/>
      <c r="AM112" s="714"/>
      <c r="AN112" s="714"/>
      <c r="AO112" s="714"/>
      <c r="AP112" s="714"/>
      <c r="AQ112" s="714"/>
      <c r="AR112" s="714"/>
      <c r="AS112" s="714"/>
      <c r="AT112" s="714"/>
      <c r="AU112" s="714"/>
      <c r="AV112" s="714"/>
      <c r="AW112" s="714"/>
      <c r="AX112" s="714"/>
      <c r="AY112" s="714"/>
      <c r="AZ112" s="714"/>
      <c r="BA112" s="714"/>
      <c r="BB112" s="714"/>
      <c r="BC112" s="714"/>
      <c r="BD112" s="714"/>
      <c r="BE112" s="714"/>
      <c r="BF112" s="714"/>
      <c r="BG112" s="714"/>
      <c r="BH112" s="714"/>
      <c r="BI112" s="714"/>
      <c r="BJ112" s="714"/>
      <c r="BK112" s="714"/>
      <c r="BL112" s="714"/>
      <c r="BM112" s="714"/>
      <c r="BN112" s="714"/>
      <c r="BO112" s="714"/>
      <c r="BP112" s="714"/>
      <c r="BQ112" s="714"/>
      <c r="BR112" s="714"/>
    </row>
    <row r="113" spans="1:70" hidden="1" x14ac:dyDescent="0.25">
      <c r="A113" s="681"/>
      <c r="B113" s="682"/>
      <c r="C113" s="688"/>
      <c r="D113" s="689"/>
      <c r="E113" s="690"/>
      <c r="F113" s="681"/>
      <c r="G113" s="682"/>
      <c r="H113" s="688"/>
      <c r="I113" s="689"/>
      <c r="J113" s="690"/>
      <c r="K113" s="721"/>
      <c r="L113" s="714"/>
      <c r="M113" s="714"/>
      <c r="N113" s="714"/>
      <c r="O113" s="714"/>
      <c r="P113" s="714"/>
      <c r="Q113" s="714"/>
      <c r="R113" s="714"/>
      <c r="S113" s="714"/>
      <c r="T113" s="714"/>
      <c r="U113" s="714"/>
      <c r="V113" s="714"/>
      <c r="W113" s="714"/>
      <c r="X113" s="714"/>
      <c r="Y113" s="714"/>
      <c r="Z113" s="714"/>
      <c r="AA113" s="714"/>
      <c r="AB113" s="714"/>
      <c r="AC113" s="714"/>
      <c r="AD113" s="714"/>
      <c r="AE113" s="714"/>
      <c r="AF113" s="714"/>
      <c r="AG113" s="714"/>
      <c r="AH113" s="714"/>
      <c r="AI113" s="714"/>
      <c r="AJ113" s="714"/>
      <c r="AK113" s="714"/>
      <c r="AL113" s="714"/>
      <c r="AM113" s="714"/>
      <c r="AN113" s="714"/>
      <c r="AO113" s="714"/>
      <c r="AP113" s="714"/>
      <c r="AQ113" s="714"/>
      <c r="AR113" s="714"/>
      <c r="AS113" s="714"/>
      <c r="AT113" s="714"/>
      <c r="AU113" s="714"/>
      <c r="AV113" s="714"/>
      <c r="AW113" s="714"/>
      <c r="AX113" s="714"/>
      <c r="AY113" s="714"/>
      <c r="AZ113" s="714"/>
      <c r="BA113" s="714"/>
      <c r="BB113" s="714"/>
      <c r="BC113" s="714"/>
      <c r="BD113" s="714"/>
      <c r="BE113" s="714"/>
      <c r="BF113" s="714"/>
      <c r="BG113" s="714"/>
      <c r="BH113" s="714"/>
      <c r="BI113" s="714"/>
      <c r="BJ113" s="714"/>
      <c r="BK113" s="714"/>
      <c r="BL113" s="714"/>
      <c r="BM113" s="714"/>
      <c r="BN113" s="714"/>
      <c r="BO113" s="714"/>
      <c r="BP113" s="714"/>
      <c r="BQ113" s="714"/>
      <c r="BR113" s="714"/>
    </row>
    <row r="114" spans="1:70" hidden="1" x14ac:dyDescent="0.25">
      <c r="A114" s="683"/>
      <c r="B114" s="684"/>
      <c r="C114" s="691"/>
      <c r="D114" s="692"/>
      <c r="E114" s="693"/>
      <c r="F114" s="683"/>
      <c r="G114" s="684"/>
      <c r="H114" s="691"/>
      <c r="I114" s="692"/>
      <c r="J114" s="693"/>
      <c r="K114" s="721"/>
      <c r="L114" s="714"/>
      <c r="M114" s="714"/>
      <c r="N114" s="714"/>
      <c r="O114" s="714"/>
      <c r="P114" s="714"/>
      <c r="Q114" s="714"/>
      <c r="R114" s="714"/>
      <c r="S114" s="714"/>
      <c r="T114" s="714"/>
      <c r="U114" s="714"/>
      <c r="V114" s="714"/>
      <c r="W114" s="714"/>
      <c r="X114" s="714"/>
      <c r="Y114" s="714"/>
      <c r="Z114" s="714"/>
      <c r="AA114" s="714"/>
      <c r="AB114" s="714"/>
      <c r="AC114" s="714"/>
      <c r="AD114" s="714"/>
      <c r="AE114" s="714"/>
      <c r="AF114" s="714"/>
      <c r="AG114" s="714"/>
      <c r="AH114" s="714"/>
      <c r="AI114" s="714"/>
      <c r="AJ114" s="714"/>
      <c r="AK114" s="714"/>
      <c r="AL114" s="714"/>
      <c r="AM114" s="714"/>
      <c r="AN114" s="714"/>
      <c r="AO114" s="714"/>
      <c r="AP114" s="714"/>
      <c r="AQ114" s="714"/>
      <c r="AR114" s="714"/>
      <c r="AS114" s="714"/>
      <c r="AT114" s="714"/>
      <c r="AU114" s="714"/>
      <c r="AV114" s="714"/>
      <c r="AW114" s="714"/>
      <c r="AX114" s="714"/>
      <c r="AY114" s="714"/>
      <c r="AZ114" s="714"/>
      <c r="BA114" s="714"/>
      <c r="BB114" s="714"/>
      <c r="BC114" s="714"/>
      <c r="BD114" s="714"/>
      <c r="BE114" s="714"/>
      <c r="BF114" s="714"/>
      <c r="BG114" s="714"/>
      <c r="BH114" s="714"/>
      <c r="BI114" s="714"/>
      <c r="BJ114" s="714"/>
      <c r="BK114" s="714"/>
      <c r="BL114" s="714"/>
      <c r="BM114" s="714"/>
      <c r="BN114" s="714"/>
      <c r="BO114" s="714"/>
      <c r="BP114" s="714"/>
      <c r="BQ114" s="714"/>
      <c r="BR114" s="714"/>
    </row>
    <row r="115" spans="1:70" ht="87" hidden="1" x14ac:dyDescent="0.25">
      <c r="A115" s="586" t="s">
        <v>500</v>
      </c>
      <c r="B115" s="694"/>
      <c r="C115" s="695"/>
      <c r="D115" s="695"/>
      <c r="E115" s="696"/>
      <c r="F115" s="586" t="s">
        <v>500</v>
      </c>
      <c r="G115" s="694"/>
      <c r="H115" s="695"/>
      <c r="I115" s="695"/>
      <c r="J115" s="696"/>
      <c r="K115" s="718"/>
      <c r="L115" s="717"/>
      <c r="M115" s="717"/>
      <c r="N115" s="717"/>
      <c r="O115" s="717"/>
      <c r="P115" s="716"/>
      <c r="Q115" s="717"/>
      <c r="R115" s="717"/>
      <c r="S115" s="717"/>
      <c r="T115" s="717"/>
      <c r="U115" s="716"/>
      <c r="V115" s="717"/>
      <c r="W115" s="717"/>
      <c r="X115" s="717"/>
      <c r="Y115" s="717"/>
      <c r="Z115" s="716"/>
      <c r="AA115" s="717"/>
      <c r="AB115" s="717"/>
      <c r="AC115" s="717"/>
      <c r="AD115" s="717"/>
      <c r="AE115" s="716"/>
      <c r="AF115" s="717"/>
      <c r="AG115" s="717"/>
      <c r="AH115" s="717"/>
      <c r="AI115" s="717"/>
      <c r="AJ115" s="716"/>
      <c r="AK115" s="717"/>
      <c r="AL115" s="717"/>
      <c r="AM115" s="717"/>
      <c r="AN115" s="717"/>
      <c r="AO115" s="716"/>
      <c r="AP115" s="717"/>
      <c r="AQ115" s="717"/>
      <c r="AR115" s="717"/>
      <c r="AS115" s="717"/>
      <c r="AT115" s="716"/>
      <c r="AU115" s="717"/>
      <c r="AV115" s="717"/>
      <c r="AW115" s="717"/>
      <c r="AX115" s="717"/>
      <c r="AY115" s="716"/>
      <c r="AZ115" s="717"/>
      <c r="BA115" s="717"/>
      <c r="BB115" s="717"/>
      <c r="BC115" s="717"/>
      <c r="BD115" s="716"/>
      <c r="BE115" s="717"/>
      <c r="BF115" s="717"/>
      <c r="BG115" s="717"/>
      <c r="BH115" s="717"/>
      <c r="BI115" s="716"/>
      <c r="BJ115" s="717"/>
      <c r="BK115" s="717"/>
      <c r="BL115" s="717"/>
      <c r="BM115" s="717"/>
      <c r="BN115" s="716"/>
      <c r="BO115" s="717"/>
      <c r="BP115" s="717"/>
      <c r="BQ115" s="717"/>
      <c r="BR115" s="717"/>
    </row>
    <row r="116" spans="1:70" ht="27" hidden="1" thickBot="1" x14ac:dyDescent="0.3">
      <c r="A116" s="587"/>
      <c r="B116" s="334"/>
      <c r="C116" s="335" t="s">
        <v>113</v>
      </c>
      <c r="D116" s="336"/>
      <c r="E116" s="337" t="s">
        <v>114</v>
      </c>
      <c r="F116" s="587"/>
      <c r="G116" s="334"/>
      <c r="H116" s="335" t="s">
        <v>113</v>
      </c>
      <c r="I116" s="336"/>
      <c r="J116" s="337" t="s">
        <v>114</v>
      </c>
      <c r="K116" s="718"/>
      <c r="L116" s="32"/>
      <c r="M116" s="33"/>
      <c r="N116" s="34"/>
      <c r="O116" s="35"/>
      <c r="P116" s="716"/>
      <c r="Q116" s="32"/>
      <c r="R116" s="33"/>
      <c r="S116" s="34"/>
      <c r="T116" s="35"/>
      <c r="U116" s="716"/>
      <c r="V116" s="32"/>
      <c r="W116" s="33"/>
      <c r="X116" s="34"/>
      <c r="Y116" s="35"/>
      <c r="Z116" s="716"/>
      <c r="AA116" s="32"/>
      <c r="AB116" s="33"/>
      <c r="AC116" s="34"/>
      <c r="AD116" s="35"/>
      <c r="AE116" s="716"/>
      <c r="AF116" s="32"/>
      <c r="AG116" s="33"/>
      <c r="AH116" s="34"/>
      <c r="AI116" s="35"/>
      <c r="AJ116" s="716"/>
      <c r="AK116" s="32"/>
      <c r="AL116" s="33"/>
      <c r="AM116" s="34"/>
      <c r="AN116" s="35"/>
      <c r="AO116" s="716"/>
      <c r="AP116" s="32"/>
      <c r="AQ116" s="33"/>
      <c r="AR116" s="34"/>
      <c r="AS116" s="35"/>
      <c r="AT116" s="716"/>
      <c r="AU116" s="32"/>
      <c r="AV116" s="33"/>
      <c r="AW116" s="34"/>
      <c r="AX116" s="35"/>
      <c r="AY116" s="716"/>
      <c r="AZ116" s="32"/>
      <c r="BA116" s="33"/>
      <c r="BB116" s="34"/>
      <c r="BC116" s="35"/>
      <c r="BD116" s="716"/>
      <c r="BE116" s="32"/>
      <c r="BF116" s="33"/>
      <c r="BG116" s="34"/>
      <c r="BH116" s="35"/>
      <c r="BI116" s="716"/>
      <c r="BJ116" s="32"/>
      <c r="BK116" s="33"/>
      <c r="BL116" s="34"/>
      <c r="BM116" s="35"/>
      <c r="BN116" s="716"/>
      <c r="BO116" s="32"/>
      <c r="BP116" s="33"/>
      <c r="BQ116" s="34"/>
      <c r="BR116" s="35"/>
    </row>
    <row r="117" spans="1:70" ht="15" customHeight="1" thickTop="1" x14ac:dyDescent="0.25"/>
    <row r="118" spans="1:70" ht="20.25" customHeight="1" x14ac:dyDescent="0.25"/>
    <row r="119" spans="1:70" ht="3.75" customHeight="1" x14ac:dyDescent="0.25"/>
    <row r="120" spans="1:70" ht="15" hidden="1" customHeight="1" x14ac:dyDescent="0.25"/>
    <row r="121" spans="1:70" ht="111.75" hidden="1" customHeight="1" x14ac:dyDescent="0.25"/>
    <row r="122" spans="1:70" ht="50.25" hidden="1" customHeight="1" x14ac:dyDescent="0.25"/>
    <row r="123" spans="1:70" ht="123" hidden="1" customHeight="1" x14ac:dyDescent="0.25">
      <c r="A123" s="37"/>
      <c r="B123" s="38"/>
      <c r="C123" s="39"/>
      <c r="D123" s="40"/>
      <c r="E123" s="41"/>
      <c r="F123" s="37"/>
      <c r="G123" s="38"/>
      <c r="H123" s="39"/>
      <c r="I123" s="40"/>
      <c r="J123" s="41"/>
      <c r="K123" s="37"/>
      <c r="L123" s="38"/>
      <c r="M123" s="39"/>
      <c r="N123" s="40"/>
      <c r="O123" s="41"/>
      <c r="P123" s="37"/>
      <c r="Q123" s="38"/>
      <c r="R123" s="39"/>
      <c r="S123" s="40"/>
      <c r="T123" s="41"/>
      <c r="U123" s="37"/>
      <c r="V123" s="38"/>
      <c r="W123" s="39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37"/>
      <c r="AK123" s="38"/>
      <c r="AL123" s="39"/>
      <c r="AM123" s="40"/>
      <c r="AN123" s="41"/>
      <c r="AO123" s="37"/>
      <c r="AP123" s="38"/>
      <c r="AQ123" s="39"/>
      <c r="AR123" s="40"/>
      <c r="AS123" s="41"/>
      <c r="AT123" s="37"/>
      <c r="AU123" s="38"/>
      <c r="AV123" s="39"/>
      <c r="AW123" s="40"/>
      <c r="AX123" s="41"/>
      <c r="AY123" s="37"/>
      <c r="AZ123" s="38"/>
      <c r="BA123" s="39"/>
      <c r="BB123" s="40"/>
      <c r="BC123" s="41"/>
      <c r="BD123" s="37"/>
      <c r="BE123" s="38"/>
      <c r="BF123" s="39"/>
      <c r="BG123" s="40"/>
      <c r="BH123" s="41"/>
      <c r="BI123" s="37"/>
      <c r="BJ123" s="38"/>
      <c r="BK123" s="39"/>
      <c r="BL123" s="40"/>
      <c r="BM123" s="41"/>
      <c r="BN123" s="37"/>
      <c r="BO123" s="38"/>
      <c r="BP123" s="39"/>
      <c r="BQ123" s="40"/>
      <c r="BR123" s="41"/>
    </row>
    <row r="124" spans="1:70" ht="33.75" x14ac:dyDescent="0.25">
      <c r="A124" s="674"/>
      <c r="B124" s="674"/>
      <c r="C124" s="674"/>
      <c r="D124" s="675"/>
      <c r="E124" s="675"/>
      <c r="F124" s="44"/>
      <c r="G124" s="702" cm="1">
        <f t="array" aca="1" ref="G124" ca="1">SUM(COUNTIF(INDIRECT({"B6","G6","L6","Q6","V6","AA6","AF6","AK6","AP6","AU6","AZ6","BE6","BJ6","BO6","B12","G12","L12","Q12","V12","AA12","AF12","AK12","AP12","AU12","AZ12","BE12","BJ12","BO12","B18","G18","L18","Q18","V18","AA18","AF18","AK18","AP18","AU18","AZ18","BE18","BJ18","BO18","B24","G24","L24","Q24","V24","AA24","AF24","AK24","AP24","AU24","AZ24","BE24","BJ24","BO24","B30","G30","L30","Q30","V30","AA30","AF30","AK30","AP30","AU30","AZ30","BE30","BJ30","BO30","B36","G36","L36","Q36","V36","AA36","AF36","AK36","AP36","AU36","AZ36","BE36","BJ36","BO36","B42","G42","L42","Q42","V42","AA42","AF42","AK42","AP42","AU42","AZ42","BE42","BJ42","BO42","B48","G48","L48","Q48","V48","AA48","AF48","AK48","AP48","AU48","AZ48","BE48","BJ48","BO48","B67","G67","L67","Q67","V67","AA67","AF67","AK67","AP67","AU67","AZ67","BE67","BJ67","BO67","B73","G73","L73","Q73","V73","AA73","AF73","AK73","AP73","AU73","AZ73","BE73","BJ73","BO73","B79","G79","L79","Q79","V79","AA79","AF79","AK79","AP79","AU79","AZ79","BE79","BJ79","BO79","B85","G85","L85","Q85","V85","AA85","AF85","AK85","AP85","AU85","AZ85","BE85","BJ85","BO85","B109","G109","L109","Q109","V109","AA109","AF109","AK109","AP91","AU91","AZ91","BE91","BJ91","BO91","B97","G97","L97","Q97","V97","AA97","AF97","AK97","AP97","AU97","AZ97","BE97","BJ97","BO97","B103","G103","L103","Q103","V103","AA103"}),"&gt;0"))</f>
        <v>120</v>
      </c>
      <c r="H124" s="702"/>
      <c r="I124" s="702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724" t="s">
        <v>515</v>
      </c>
      <c r="Y124" s="724"/>
      <c r="Z124" s="724"/>
      <c r="AA124" s="724"/>
      <c r="AB124" s="724"/>
      <c r="AC124" s="724"/>
      <c r="AD124" s="724"/>
      <c r="AE124" s="724"/>
      <c r="AF124" s="724"/>
      <c r="AG124" s="724"/>
      <c r="AH124" s="724"/>
      <c r="AI124" s="724"/>
      <c r="AJ124" s="724" t="s">
        <v>117</v>
      </c>
      <c r="AK124" s="724"/>
      <c r="AL124" s="724"/>
      <c r="AM124" s="724"/>
      <c r="AN124" s="724"/>
      <c r="AO124" s="724"/>
      <c r="AP124" s="724"/>
      <c r="AQ124" s="724"/>
      <c r="AR124" s="724"/>
      <c r="AS124" s="724"/>
      <c r="AT124" s="46"/>
      <c r="AU124" s="725" t="s">
        <v>118</v>
      </c>
      <c r="AV124" s="725"/>
      <c r="AW124" s="725"/>
      <c r="AX124" s="725"/>
      <c r="AY124" s="725"/>
      <c r="AZ124" s="725"/>
      <c r="BA124" s="725"/>
      <c r="BB124" s="725"/>
      <c r="BC124" s="725"/>
      <c r="BD124" s="725"/>
      <c r="BE124" s="725"/>
      <c r="BF124" s="725"/>
      <c r="BG124" s="724" t="s">
        <v>119</v>
      </c>
      <c r="BH124" s="724"/>
      <c r="BI124" s="724"/>
      <c r="BJ124" s="724"/>
      <c r="BK124" s="724"/>
      <c r="BL124" s="700">
        <f>D7+I7+N7+S7+X7+AH7+AM7+AR7+AW7+BB7+BG7+BL7+BQ7+D13+I13+N13+S13+X13+AC13+AH13+AM13+AR13+AW13+BB13+BG13+BL13+BQ13+D19+I19+N19+S19+X19+AC19+AH19+AM19+AR19+AW19+BB19+BG19+BL19+BQ19+D25+I25+N25+S25+X25+AC25+AH25+AM25+AR25+AW25+BB25+BG25+BL25+D31+I31+BQ25+N31+S31+X31+AC31+AH31+AM31+AR31+AW31+BB31+BG31+BL31+BQ31+BQ37+BL37+BG37+BB37+AW37+AR37+AM37+AH37+AC37+X37+S37+N37+I37+D37+D43+I43+N43+S43+X43+AC43+AH43+AM43+AR43+AW43+BB43+BG43+BL43+BQ43+BQ49+BL49+BG49+BB49+AW49+AR49+AM49+AH49+AC49+X49+S49+N49+I49+D49+D110+I110+N110+S110+X110+AC110+AH110+AM110</f>
        <v>75</v>
      </c>
      <c r="BM124" s="700"/>
      <c r="BN124" s="700"/>
      <c r="BO124" s="700"/>
      <c r="BP124" s="701" t="s">
        <v>120</v>
      </c>
      <c r="BQ124" s="701"/>
      <c r="BR124" s="701"/>
    </row>
    <row r="125" spans="1:70" ht="25.5" customHeight="1" x14ac:dyDescent="0.25">
      <c r="A125" s="676"/>
      <c r="B125" s="676"/>
      <c r="C125" s="676"/>
      <c r="D125" s="29"/>
      <c r="E125" s="29"/>
      <c r="F125" s="47"/>
      <c r="G125" s="702"/>
      <c r="H125" s="702"/>
      <c r="I125" s="702"/>
      <c r="J125" s="48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724"/>
      <c r="Y125" s="724"/>
      <c r="Z125" s="724"/>
      <c r="AA125" s="724"/>
      <c r="AB125" s="724"/>
      <c r="AC125" s="724"/>
      <c r="AD125" s="724"/>
      <c r="AE125" s="724"/>
      <c r="AF125" s="724"/>
      <c r="AG125" s="724"/>
      <c r="AH125" s="724"/>
      <c r="AI125" s="724"/>
      <c r="AJ125" s="724"/>
      <c r="AK125" s="724"/>
      <c r="AL125" s="724"/>
      <c r="AM125" s="724"/>
      <c r="AN125" s="724"/>
      <c r="AO125" s="724"/>
      <c r="AP125" s="724"/>
      <c r="AQ125" s="724"/>
      <c r="AR125" s="724"/>
      <c r="AS125" s="724"/>
      <c r="AT125" s="46"/>
      <c r="AU125" s="725"/>
      <c r="AV125" s="725"/>
      <c r="AW125" s="725"/>
      <c r="AX125" s="725"/>
      <c r="AY125" s="725"/>
      <c r="AZ125" s="725"/>
      <c r="BA125" s="725"/>
      <c r="BB125" s="725"/>
      <c r="BC125" s="725"/>
      <c r="BD125" s="725"/>
      <c r="BE125" s="725"/>
      <c r="BF125" s="725"/>
      <c r="BG125" s="724"/>
      <c r="BH125" s="724"/>
      <c r="BI125" s="724"/>
      <c r="BJ125" s="724"/>
      <c r="BK125" s="724"/>
      <c r="BL125" s="700"/>
      <c r="BM125" s="700"/>
      <c r="BN125" s="700"/>
      <c r="BO125" s="700"/>
      <c r="BP125" s="701"/>
      <c r="BQ125" s="701"/>
      <c r="BR125" s="701"/>
    </row>
    <row r="126" spans="1:70" ht="24" customHeight="1" x14ac:dyDescent="0.25">
      <c r="A126" s="676"/>
      <c r="B126" s="676"/>
      <c r="C126" s="676"/>
      <c r="D126" s="29"/>
      <c r="E126" s="29"/>
      <c r="F126" s="47"/>
      <c r="G126" s="702"/>
      <c r="H126" s="702"/>
      <c r="I126" s="702"/>
      <c r="J126" s="48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724"/>
      <c r="Y126" s="724"/>
      <c r="Z126" s="724"/>
      <c r="AA126" s="724"/>
      <c r="AB126" s="724"/>
      <c r="AC126" s="724"/>
      <c r="AD126" s="724"/>
      <c r="AE126" s="724"/>
      <c r="AF126" s="724"/>
      <c r="AG126" s="724"/>
      <c r="AH126" s="724"/>
      <c r="AI126" s="724"/>
      <c r="AJ126" s="724"/>
      <c r="AK126" s="724"/>
      <c r="AL126" s="724"/>
      <c r="AM126" s="724"/>
      <c r="AN126" s="724"/>
      <c r="AO126" s="724"/>
      <c r="AP126" s="724"/>
      <c r="AQ126" s="724"/>
      <c r="AR126" s="724"/>
      <c r="AS126" s="724"/>
      <c r="AT126" s="46"/>
      <c r="AU126" s="725"/>
      <c r="AV126" s="725"/>
      <c r="AW126" s="725"/>
      <c r="AX126" s="725"/>
      <c r="AY126" s="725"/>
      <c r="AZ126" s="725"/>
      <c r="BA126" s="725"/>
      <c r="BB126" s="725"/>
      <c r="BC126" s="725"/>
      <c r="BD126" s="725"/>
      <c r="BE126" s="725"/>
      <c r="BF126" s="725"/>
      <c r="BG126" s="724"/>
      <c r="BH126" s="724"/>
      <c r="BI126" s="724"/>
      <c r="BJ126" s="724"/>
      <c r="BK126" s="724"/>
      <c r="BL126" s="700"/>
      <c r="BM126" s="700"/>
      <c r="BN126" s="700"/>
      <c r="BO126" s="700"/>
      <c r="BP126" s="701"/>
      <c r="BQ126" s="701"/>
      <c r="BR126" s="701"/>
    </row>
    <row r="127" spans="1:70" ht="21.75" customHeight="1" x14ac:dyDescent="0.25">
      <c r="A127" s="676"/>
      <c r="B127" s="676"/>
      <c r="C127" s="676"/>
      <c r="D127" s="675"/>
      <c r="E127" s="675"/>
      <c r="F127" s="47"/>
      <c r="G127" s="703" cm="1">
        <f t="array" aca="1" ref="G127" ca="1">SUM(COUNTIF(INDIRECT({"B7","G7","L7","Q7","V7","AA7","AF7","AK7","AP7","AU7","AZ7","BE7","BJ7","BO7","B13","G13","L13","Q13","V13","AA13","AF13","AK13","AP13","AU13","AZ13","BE13","BJ13","BO13","B19","G19","L19","Q19","V19","AA19","AF19","AK19","AP19","AU19","AZ19","BE19","BJ19","BO19","B25","G25","L25","Q25","V25","AA25","AF25","AK25","AP25","AU25","AZ25","BE25","BJ25","BO25","B31","G31","L31","Q31","V31","AA31","AF31","AK31","AP31","AU31","AZ31","BE31","BJ31","BO31","B37","G37","L37","Q37","V37","AA37","AF37","AK37","AP37","AU37","AZ37","BE37","BJ37","BO37","B43","G43","L43","Q43","V43","AA43","AF43","AK43","AP43","AU43","AZ43","BE43","BJ43","BO43","B49","G49","L49","Q49","V49","AA49","AF49","AK49","AP49","AU49","AZ49","BE49","BJ49","BO49","B68","G68","L68","Q68","V68","AA68","AF68","AK68","AP68","AU68","AZ68","BE68","BJ68","BO68","B74","G74","L74","Q74","V74","AA74","AF74","AK74","AP74","AU74","AZ74","BE74","BJ74","BO74","B80","G80","L80","Q80","V80","AA80","AF80","AK80","AP80","AU80","AZ80","BE80","BJ80","BO80","B86","G86","L86","Q86","V86","AA86","AF86","AK86","AP86","AU86","AZ86","BE86","BJ86","BO86","B110","G110","L110","Q110","V110","AA110","AF110","AK110"}),"&gt;0"))</f>
        <v>118</v>
      </c>
      <c r="H127" s="703"/>
      <c r="I127" s="703"/>
      <c r="J127" s="48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724"/>
      <c r="Y127" s="724"/>
      <c r="Z127" s="724"/>
      <c r="AA127" s="724"/>
      <c r="AB127" s="724"/>
      <c r="AC127" s="724"/>
      <c r="AD127" s="724"/>
      <c r="AE127" s="724"/>
      <c r="AF127" s="724"/>
      <c r="AG127" s="724"/>
      <c r="AH127" s="724"/>
      <c r="AI127" s="724"/>
      <c r="AJ127" s="724"/>
      <c r="AK127" s="724"/>
      <c r="AL127" s="724"/>
      <c r="AM127" s="724"/>
      <c r="AN127" s="724"/>
      <c r="AO127" s="724"/>
      <c r="AP127" s="724"/>
      <c r="AQ127" s="724"/>
      <c r="AR127" s="724"/>
      <c r="AS127" s="724"/>
      <c r="AT127" s="46"/>
      <c r="AU127" s="725"/>
      <c r="AV127" s="725"/>
      <c r="AW127" s="725"/>
      <c r="AX127" s="725"/>
      <c r="AY127" s="725"/>
      <c r="AZ127" s="725"/>
      <c r="BA127" s="725"/>
      <c r="BB127" s="725"/>
      <c r="BC127" s="725"/>
      <c r="BD127" s="725"/>
      <c r="BE127" s="725"/>
      <c r="BF127" s="725"/>
      <c r="BG127" s="724"/>
      <c r="BH127" s="724"/>
      <c r="BI127" s="724"/>
      <c r="BJ127" s="724"/>
      <c r="BK127" s="724"/>
      <c r="BL127" s="700"/>
      <c r="BM127" s="700"/>
      <c r="BN127" s="700"/>
      <c r="BO127" s="700"/>
      <c r="BP127" s="701"/>
      <c r="BQ127" s="701"/>
      <c r="BR127" s="701"/>
    </row>
    <row r="128" spans="1:70" ht="21.75" customHeight="1" x14ac:dyDescent="0.25">
      <c r="B128" s="17"/>
      <c r="G128" s="703"/>
      <c r="H128" s="703"/>
      <c r="I128" s="703"/>
      <c r="J128" s="48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722" t="s">
        <v>829</v>
      </c>
      <c r="Y128" s="722"/>
      <c r="Z128" s="722"/>
      <c r="AA128" s="722"/>
      <c r="AB128" s="722"/>
      <c r="AC128" s="722"/>
      <c r="AD128" s="722"/>
      <c r="AE128" s="722"/>
      <c r="AF128" s="722"/>
      <c r="AG128" s="722"/>
      <c r="AH128" s="722"/>
      <c r="AI128" s="722"/>
      <c r="AJ128" s="723">
        <f>AU128-Z140</f>
        <v>6.4516000000009939</v>
      </c>
      <c r="AK128" s="723"/>
      <c r="AL128" s="723"/>
      <c r="AM128" s="723"/>
      <c r="AN128" s="723"/>
      <c r="AO128" s="723"/>
      <c r="AP128" s="723"/>
      <c r="AQ128" s="723"/>
      <c r="AR128" s="723"/>
      <c r="AS128" s="723"/>
      <c r="AT128" s="723"/>
      <c r="AU128" s="707">
        <f>B7+G7+L7+Q7+V7+AA7+AF7+AK7+AP7+AU7+AZ7+BE7+BJ7+BO7+BO13+BJ13+BE13+AZ13+AU13+AP13+AK13+AF13+AA13+V13+Q13+L13+G13+B13+B19+G19+L19+Q19+V19+AA19+AF19+AK19+AP19+AU19+AZ19+BE19+BJ19+BO19+BO25+BJ25+BE25+AZ25+AU25+AP25+AK25+AF25+AA25+V25+Q25+L25+G25+B31+B25+G31+L31+Q31+V31+AA31+AF31+AK31+AP31+AU31+AZ31+BE31+BJ31+BO31+BO37+BJ37+BE37+AZ37+AU37+AP37+AK37+AF37+AA37+V37+Q37+L37+G37+B37+B43+G43+L43+Q43+V43+AA43+AF43+AK43+AP43+AU43+AZ43+BE43+BJ43+BO43+BO49+BJ49+BE49+AZ49+AU49+AP49+AK49+AF49+AA49+V49+Q49+L49+G49+B49+B110+G110+L110+Q110+V110+AA110+AF110+AK110</f>
        <v>89.837602313676399</v>
      </c>
      <c r="AV128" s="707"/>
      <c r="AW128" s="707"/>
      <c r="AX128" s="707"/>
      <c r="AY128" s="707"/>
      <c r="AZ128" s="707"/>
      <c r="BA128" s="707"/>
      <c r="BB128" s="707"/>
      <c r="BC128" s="707"/>
      <c r="BD128" s="707"/>
      <c r="BE128" s="707"/>
      <c r="BF128" s="707"/>
      <c r="BG128" s="724"/>
      <c r="BH128" s="724"/>
      <c r="BI128" s="724"/>
      <c r="BJ128" s="724"/>
      <c r="BK128" s="724"/>
      <c r="BL128" s="708">
        <f>BL124*1.5</f>
        <v>112.5</v>
      </c>
      <c r="BM128" s="708"/>
      <c r="BN128" s="708"/>
      <c r="BO128" s="708"/>
      <c r="BP128" s="708"/>
      <c r="BQ128" s="708"/>
      <c r="BR128" s="708"/>
    </row>
    <row r="129" spans="5:70" ht="21.75" customHeight="1" x14ac:dyDescent="0.25">
      <c r="G129" s="703"/>
      <c r="H129" s="703"/>
      <c r="I129" s="703"/>
      <c r="J129" s="52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722"/>
      <c r="Y129" s="722"/>
      <c r="Z129" s="722"/>
      <c r="AA129" s="722"/>
      <c r="AB129" s="722"/>
      <c r="AC129" s="722"/>
      <c r="AD129" s="722"/>
      <c r="AE129" s="722"/>
      <c r="AF129" s="722"/>
      <c r="AG129" s="722"/>
      <c r="AH129" s="722"/>
      <c r="AI129" s="722"/>
      <c r="AJ129" s="723"/>
      <c r="AK129" s="723"/>
      <c r="AL129" s="723"/>
      <c r="AM129" s="723"/>
      <c r="AN129" s="723"/>
      <c r="AO129" s="723"/>
      <c r="AP129" s="723"/>
      <c r="AQ129" s="723"/>
      <c r="AR129" s="723"/>
      <c r="AS129" s="723"/>
      <c r="AT129" s="723"/>
      <c r="AU129" s="707"/>
      <c r="AV129" s="707"/>
      <c r="AW129" s="707"/>
      <c r="AX129" s="707"/>
      <c r="AY129" s="707"/>
      <c r="AZ129" s="707"/>
      <c r="BA129" s="707"/>
      <c r="BB129" s="707"/>
      <c r="BC129" s="707"/>
      <c r="BD129" s="707"/>
      <c r="BE129" s="707"/>
      <c r="BF129" s="707"/>
      <c r="BG129" s="724"/>
      <c r="BH129" s="724"/>
      <c r="BI129" s="724"/>
      <c r="BJ129" s="724"/>
      <c r="BK129" s="724"/>
      <c r="BL129" s="708"/>
      <c r="BM129" s="708"/>
      <c r="BN129" s="708"/>
      <c r="BO129" s="708"/>
      <c r="BP129" s="708"/>
      <c r="BQ129" s="708"/>
      <c r="BR129" s="708"/>
    </row>
    <row r="130" spans="5:70" ht="25.5" customHeight="1" x14ac:dyDescent="0.25">
      <c r="G130" s="702">
        <v>117</v>
      </c>
      <c r="H130" s="702"/>
      <c r="I130" s="702"/>
      <c r="J130" s="52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722"/>
      <c r="Y130" s="722"/>
      <c r="Z130" s="722"/>
      <c r="AA130" s="722"/>
      <c r="AB130" s="722"/>
      <c r="AC130" s="722"/>
      <c r="AD130" s="722"/>
      <c r="AE130" s="722"/>
      <c r="AF130" s="722"/>
      <c r="AG130" s="722"/>
      <c r="AH130" s="722"/>
      <c r="AI130" s="722"/>
      <c r="AJ130" s="723"/>
      <c r="AK130" s="723"/>
      <c r="AL130" s="723"/>
      <c r="AM130" s="723"/>
      <c r="AN130" s="723"/>
      <c r="AO130" s="723"/>
      <c r="AP130" s="723"/>
      <c r="AQ130" s="723"/>
      <c r="AR130" s="723"/>
      <c r="AS130" s="723"/>
      <c r="AT130" s="723"/>
      <c r="AU130" s="707"/>
      <c r="AV130" s="707"/>
      <c r="AW130" s="707"/>
      <c r="AX130" s="707"/>
      <c r="AY130" s="707"/>
      <c r="AZ130" s="707"/>
      <c r="BA130" s="707"/>
      <c r="BB130" s="707"/>
      <c r="BC130" s="707"/>
      <c r="BD130" s="707"/>
      <c r="BE130" s="707"/>
      <c r="BF130" s="707"/>
      <c r="BG130" s="724"/>
      <c r="BH130" s="724"/>
      <c r="BI130" s="724"/>
      <c r="BJ130" s="724"/>
      <c r="BK130" s="724"/>
      <c r="BL130" s="708"/>
      <c r="BM130" s="708"/>
      <c r="BN130" s="708"/>
      <c r="BO130" s="708"/>
      <c r="BP130" s="708"/>
      <c r="BQ130" s="708"/>
      <c r="BR130" s="708"/>
    </row>
    <row r="131" spans="5:70" ht="26.25" customHeight="1" x14ac:dyDescent="0.25">
      <c r="G131" s="702"/>
      <c r="H131" s="702"/>
      <c r="I131" s="702"/>
      <c r="J131" s="52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722"/>
      <c r="Y131" s="722"/>
      <c r="Z131" s="722"/>
      <c r="AA131" s="722"/>
      <c r="AB131" s="722"/>
      <c r="AC131" s="722"/>
      <c r="AD131" s="722"/>
      <c r="AE131" s="722"/>
      <c r="AF131" s="722"/>
      <c r="AG131" s="722"/>
      <c r="AH131" s="722"/>
      <c r="AI131" s="722"/>
      <c r="AJ131" s="723"/>
      <c r="AK131" s="723"/>
      <c r="AL131" s="723"/>
      <c r="AM131" s="723"/>
      <c r="AN131" s="723"/>
      <c r="AO131" s="723"/>
      <c r="AP131" s="723"/>
      <c r="AQ131" s="723"/>
      <c r="AR131" s="723"/>
      <c r="AS131" s="723"/>
      <c r="AT131" s="723"/>
      <c r="AU131" s="707"/>
      <c r="AV131" s="707"/>
      <c r="AW131" s="707"/>
      <c r="AX131" s="707"/>
      <c r="AY131" s="707"/>
      <c r="AZ131" s="707"/>
      <c r="BA131" s="707"/>
      <c r="BB131" s="707"/>
      <c r="BC131" s="707"/>
      <c r="BD131" s="707"/>
      <c r="BE131" s="707"/>
      <c r="BF131" s="707"/>
      <c r="BG131" s="724"/>
      <c r="BH131" s="724"/>
      <c r="BI131" s="724"/>
      <c r="BJ131" s="724"/>
      <c r="BK131" s="724"/>
      <c r="BL131" s="708"/>
      <c r="BM131" s="708"/>
      <c r="BN131" s="708"/>
      <c r="BO131" s="708"/>
      <c r="BP131" s="708"/>
      <c r="BQ131" s="708"/>
      <c r="BR131" s="708"/>
    </row>
    <row r="132" spans="5:70" ht="52.5" customHeight="1" x14ac:dyDescent="0.25">
      <c r="G132" s="678">
        <v>117</v>
      </c>
      <c r="H132" s="678"/>
      <c r="I132" s="678"/>
      <c r="J132" s="52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722"/>
      <c r="Y132" s="722"/>
      <c r="Z132" s="722"/>
      <c r="AA132" s="722"/>
      <c r="AB132" s="722"/>
      <c r="AC132" s="722"/>
      <c r="AD132" s="722"/>
      <c r="AE132" s="722"/>
      <c r="AF132" s="722"/>
      <c r="AG132" s="722"/>
      <c r="AH132" s="722"/>
      <c r="AI132" s="722"/>
      <c r="AJ132" s="723"/>
      <c r="AK132" s="723"/>
      <c r="AL132" s="723"/>
      <c r="AM132" s="723"/>
      <c r="AN132" s="723"/>
      <c r="AO132" s="723"/>
      <c r="AP132" s="723"/>
      <c r="AQ132" s="723"/>
      <c r="AR132" s="723"/>
      <c r="AS132" s="723"/>
      <c r="AT132" s="723"/>
      <c r="AU132" s="707"/>
      <c r="AV132" s="707"/>
      <c r="AW132" s="707"/>
      <c r="AX132" s="707"/>
      <c r="AY132" s="707"/>
      <c r="AZ132" s="707"/>
      <c r="BA132" s="707"/>
      <c r="BB132" s="707"/>
      <c r="BC132" s="707"/>
      <c r="BD132" s="707"/>
      <c r="BE132" s="707"/>
      <c r="BF132" s="707"/>
      <c r="BG132" s="724"/>
      <c r="BH132" s="724"/>
      <c r="BI132" s="724"/>
      <c r="BJ132" s="724"/>
      <c r="BK132" s="724"/>
      <c r="BL132" s="699" t="s">
        <v>121</v>
      </c>
      <c r="BM132" s="699"/>
      <c r="BN132" s="699"/>
      <c r="BO132" s="699"/>
      <c r="BP132" s="699"/>
      <c r="BQ132" s="699"/>
      <c r="BR132" s="699"/>
    </row>
    <row r="133" spans="5:70" ht="17.25" customHeight="1" x14ac:dyDescent="0.25">
      <c r="G133" s="678"/>
      <c r="H133" s="678"/>
      <c r="I133" s="678"/>
      <c r="J133" s="52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722"/>
      <c r="Y133" s="722"/>
      <c r="Z133" s="722"/>
      <c r="AA133" s="722"/>
      <c r="AB133" s="722"/>
      <c r="AC133" s="722"/>
      <c r="AD133" s="722"/>
      <c r="AE133" s="722"/>
      <c r="AF133" s="722"/>
      <c r="AG133" s="722"/>
      <c r="AH133" s="722"/>
      <c r="AI133" s="722"/>
      <c r="AJ133" s="723"/>
      <c r="AK133" s="723"/>
      <c r="AL133" s="723"/>
      <c r="AM133" s="723"/>
      <c r="AN133" s="723"/>
      <c r="AO133" s="723"/>
      <c r="AP133" s="723"/>
      <c r="AQ133" s="723"/>
      <c r="AR133" s="723"/>
      <c r="AS133" s="723"/>
      <c r="AT133" s="723"/>
      <c r="AU133" s="707"/>
      <c r="AV133" s="707"/>
      <c r="AW133" s="707"/>
      <c r="AX133" s="707"/>
      <c r="AY133" s="707"/>
      <c r="AZ133" s="707"/>
      <c r="BA133" s="707"/>
      <c r="BB133" s="707"/>
      <c r="BC133" s="707"/>
      <c r="BD133" s="707"/>
      <c r="BE133" s="707"/>
      <c r="BF133" s="707"/>
      <c r="BG133" s="724"/>
      <c r="BH133" s="724"/>
      <c r="BI133" s="724"/>
      <c r="BJ133" s="724"/>
      <c r="BK133" s="724"/>
      <c r="BL133" s="699"/>
      <c r="BM133" s="699"/>
      <c r="BN133" s="699"/>
      <c r="BO133" s="699"/>
      <c r="BP133" s="699"/>
      <c r="BQ133" s="699"/>
      <c r="BR133" s="699"/>
    </row>
    <row r="138" spans="5:70" x14ac:dyDescent="0.25">
      <c r="AJ138" s="745">
        <v>79</v>
      </c>
      <c r="AK138" s="745"/>
      <c r="AL138" s="745"/>
      <c r="AM138" s="746" cm="1">
        <f t="array" aca="1" ref="AM138" ca="1">SUM(COUNTIF(INDIRECT({"B7","G7","L7","Q7","V7","AA7","AF7","AK7","AP7","AU7"}),"&gt;0"))</f>
        <v>9</v>
      </c>
      <c r="AN138" s="746"/>
      <c r="AO138" s="746"/>
      <c r="AP138" s="747">
        <f ca="1">AM138*AJ138</f>
        <v>711</v>
      </c>
      <c r="AQ138" s="748"/>
      <c r="AR138" s="748"/>
      <c r="AS138" s="749"/>
    </row>
    <row r="139" spans="5:70" ht="15.75" thickBot="1" x14ac:dyDescent="0.3">
      <c r="AJ139" s="745"/>
      <c r="AK139" s="745"/>
      <c r="AL139" s="745"/>
      <c r="AM139" s="746"/>
      <c r="AN139" s="746"/>
      <c r="AO139" s="746"/>
      <c r="AP139" s="747"/>
      <c r="AQ139" s="748"/>
      <c r="AR139" s="748"/>
      <c r="AS139" s="749"/>
    </row>
    <row r="140" spans="5:70" ht="15.75" thickTop="1" x14ac:dyDescent="0.25">
      <c r="Z140" s="775">
        <v>83.386002313675405</v>
      </c>
      <c r="AA140" s="776"/>
      <c r="AB140" s="776"/>
      <c r="AC140" s="776"/>
      <c r="AD140" s="777"/>
      <c r="AH140" s="348"/>
      <c r="AI140" s="348"/>
      <c r="AJ140" s="745"/>
      <c r="AK140" s="745"/>
      <c r="AL140" s="745"/>
      <c r="AM140" s="746"/>
      <c r="AN140" s="746"/>
      <c r="AO140" s="746"/>
      <c r="AP140" s="747"/>
      <c r="AQ140" s="748"/>
      <c r="AR140" s="748"/>
      <c r="AS140" s="749"/>
      <c r="AU140" s="739"/>
      <c r="AV140" s="740"/>
      <c r="AW140" s="740"/>
      <c r="AX140" s="740"/>
      <c r="AY140" s="740"/>
      <c r="AZ140" s="740"/>
      <c r="BA140" s="740"/>
      <c r="BB140" s="740"/>
      <c r="BC140" s="740"/>
      <c r="BD140" s="741"/>
      <c r="BE140" s="13"/>
    </row>
    <row r="141" spans="5:70" ht="15" customHeight="1" x14ac:dyDescent="0.25">
      <c r="Z141" s="778"/>
      <c r="AA141" s="779"/>
      <c r="AB141" s="779"/>
      <c r="AC141" s="779"/>
      <c r="AD141" s="780"/>
      <c r="AH141" s="348"/>
      <c r="AI141" s="348"/>
      <c r="AJ141" s="745">
        <v>81</v>
      </c>
      <c r="AK141" s="745"/>
      <c r="AL141" s="745"/>
      <c r="AM141" s="746" cm="1">
        <f t="array" aca="1" ref="AM141" ca="1">SUM(COUNTIF(INDIRECT({"AZ7","BE7","BJ7","BO7","B13","G13","L13","Q13","V13","AA13"}),"&gt;0"))</f>
        <v>10</v>
      </c>
      <c r="AN141" s="746"/>
      <c r="AO141" s="746"/>
      <c r="AP141" s="747">
        <f t="shared" ref="AP141" ca="1" si="207">AM141*AJ141</f>
        <v>810</v>
      </c>
      <c r="AQ141" s="748"/>
      <c r="AR141" s="748"/>
      <c r="AS141" s="749"/>
      <c r="AU141" s="750"/>
      <c r="AV141" s="751"/>
      <c r="AW141" s="751"/>
      <c r="AX141" s="751"/>
      <c r="AY141" s="751"/>
      <c r="AZ141" s="751"/>
      <c r="BA141" s="751"/>
      <c r="BB141" s="751"/>
      <c r="BC141" s="751"/>
      <c r="BD141" s="752"/>
      <c r="BE141" s="13"/>
    </row>
    <row r="142" spans="5:70" ht="15" customHeight="1" x14ac:dyDescent="0.25">
      <c r="Z142" s="778"/>
      <c r="AA142" s="779"/>
      <c r="AB142" s="779"/>
      <c r="AC142" s="779"/>
      <c r="AD142" s="780"/>
      <c r="AH142" s="348"/>
      <c r="AI142" s="348"/>
      <c r="AJ142" s="745"/>
      <c r="AK142" s="745"/>
      <c r="AL142" s="745"/>
      <c r="AM142" s="746"/>
      <c r="AN142" s="746"/>
      <c r="AO142" s="746"/>
      <c r="AP142" s="747"/>
      <c r="AQ142" s="748"/>
      <c r="AR142" s="748"/>
      <c r="AS142" s="749"/>
      <c r="AU142" s="742"/>
      <c r="AV142" s="743"/>
      <c r="AW142" s="743"/>
      <c r="AX142" s="743"/>
      <c r="AY142" s="743"/>
      <c r="AZ142" s="743"/>
      <c r="BA142" s="743"/>
      <c r="BB142" s="743"/>
      <c r="BC142" s="743"/>
      <c r="BD142" s="744"/>
      <c r="BE142" s="13"/>
    </row>
    <row r="143" spans="5:70" ht="15" customHeight="1" x14ac:dyDescent="0.25">
      <c r="E143" s="581" t="s">
        <v>680</v>
      </c>
      <c r="F143" s="581"/>
      <c r="G143" s="581"/>
      <c r="H143" s="581"/>
      <c r="I143" s="581"/>
      <c r="J143" s="581"/>
      <c r="K143" s="581"/>
      <c r="L143" s="581"/>
      <c r="M143" s="581"/>
      <c r="N143" s="581"/>
      <c r="O143" s="581"/>
      <c r="Z143" s="778"/>
      <c r="AA143" s="779"/>
      <c r="AB143" s="779"/>
      <c r="AC143" s="779"/>
      <c r="AD143" s="780"/>
      <c r="AH143" s="338"/>
      <c r="AI143" s="338"/>
      <c r="AJ143" s="745"/>
      <c r="AK143" s="745"/>
      <c r="AL143" s="745"/>
      <c r="AM143" s="746"/>
      <c r="AN143" s="746"/>
      <c r="AO143" s="746"/>
      <c r="AP143" s="747"/>
      <c r="AQ143" s="748"/>
      <c r="AR143" s="748"/>
      <c r="AS143" s="749"/>
      <c r="AU143" s="727"/>
      <c r="AV143" s="727"/>
      <c r="AW143" s="727"/>
      <c r="AX143" s="727"/>
      <c r="AY143" s="727"/>
      <c r="AZ143" s="727"/>
      <c r="BA143" s="727"/>
      <c r="BB143" s="727"/>
      <c r="BC143" s="727"/>
      <c r="BD143" s="727"/>
      <c r="BE143" s="13"/>
    </row>
    <row r="144" spans="5:70" ht="15" customHeight="1" x14ac:dyDescent="0.25">
      <c r="E144" s="581"/>
      <c r="F144" s="581"/>
      <c r="G144" s="581"/>
      <c r="H144" s="581"/>
      <c r="I144" s="581"/>
      <c r="J144" s="581"/>
      <c r="K144" s="581"/>
      <c r="L144" s="581"/>
      <c r="M144" s="581"/>
      <c r="N144" s="581"/>
      <c r="O144" s="581"/>
      <c r="Z144" s="778"/>
      <c r="AA144" s="779"/>
      <c r="AB144" s="779"/>
      <c r="AC144" s="779"/>
      <c r="AD144" s="780"/>
      <c r="AH144" s="338"/>
      <c r="AI144" s="338"/>
      <c r="AJ144" s="745">
        <v>83</v>
      </c>
      <c r="AK144" s="745"/>
      <c r="AL144" s="745"/>
      <c r="AM144" s="746" cm="1">
        <f t="array" aca="1" ref="AM144" ca="1">SUM(COUNTIF(INDIRECT({"AF13","AK13","AP13","AU13","AZ13","BE13","BJ13","BO13","B19","G19","L19","Q19","V19","AA19","AF19","AK19","AP19","AU19","AZ19","BE19","BJ19","BO19","B25","G25","L25","Q25","V25","AA25","AF25","AK25"}),"&gt;0"))</f>
        <v>30</v>
      </c>
      <c r="AN144" s="746"/>
      <c r="AO144" s="746"/>
      <c r="AP144" s="747">
        <f t="shared" ref="AP144" ca="1" si="208">AM144*AJ144</f>
        <v>2490</v>
      </c>
      <c r="AQ144" s="748"/>
      <c r="AR144" s="748"/>
      <c r="AS144" s="749"/>
      <c r="AU144" s="727"/>
      <c r="AV144" s="727"/>
      <c r="AW144" s="727"/>
      <c r="AX144" s="727"/>
      <c r="AY144" s="727"/>
      <c r="AZ144" s="727"/>
      <c r="BA144" s="727"/>
      <c r="BB144" s="727"/>
      <c r="BC144" s="727"/>
      <c r="BD144" s="727"/>
      <c r="BE144" s="13"/>
    </row>
    <row r="145" spans="5:84" ht="26.25" x14ac:dyDescent="0.25">
      <c r="E145" s="581"/>
      <c r="F145" s="581"/>
      <c r="G145" s="581"/>
      <c r="H145" s="581"/>
      <c r="I145" s="581"/>
      <c r="J145" s="581"/>
      <c r="K145" s="581"/>
      <c r="L145" s="581"/>
      <c r="M145" s="581"/>
      <c r="N145" s="581"/>
      <c r="O145" s="581"/>
      <c r="Z145" s="778"/>
      <c r="AA145" s="779"/>
      <c r="AB145" s="779"/>
      <c r="AC145" s="779"/>
      <c r="AD145" s="780"/>
      <c r="AH145" s="338"/>
      <c r="AI145" s="338"/>
      <c r="AJ145" s="745"/>
      <c r="AK145" s="745"/>
      <c r="AL145" s="745"/>
      <c r="AM145" s="746"/>
      <c r="AN145" s="746"/>
      <c r="AO145" s="746"/>
      <c r="AP145" s="747"/>
      <c r="AQ145" s="748"/>
      <c r="AR145" s="748"/>
      <c r="AS145" s="749"/>
      <c r="AU145" s="728"/>
      <c r="AV145" s="729"/>
      <c r="AW145" s="729"/>
      <c r="AX145" s="729"/>
      <c r="AY145" s="729"/>
      <c r="AZ145" s="729"/>
      <c r="BA145" s="729"/>
      <c r="BB145" s="729"/>
      <c r="BC145" s="729"/>
      <c r="BD145" s="730"/>
      <c r="BE145" s="57"/>
    </row>
    <row r="146" spans="5:84" ht="27" thickBot="1" x14ac:dyDescent="0.3">
      <c r="E146" s="581"/>
      <c r="F146" s="581"/>
      <c r="G146" s="581"/>
      <c r="H146" s="581"/>
      <c r="I146" s="581"/>
      <c r="J146" s="581"/>
      <c r="K146" s="581"/>
      <c r="L146" s="581"/>
      <c r="M146" s="581"/>
      <c r="N146" s="581"/>
      <c r="O146" s="581"/>
      <c r="Z146" s="781"/>
      <c r="AA146" s="782"/>
      <c r="AB146" s="782"/>
      <c r="AC146" s="782"/>
      <c r="AD146" s="783"/>
      <c r="AH146" s="338"/>
      <c r="AI146" s="338"/>
      <c r="AJ146" s="745"/>
      <c r="AK146" s="745"/>
      <c r="AL146" s="745"/>
      <c r="AM146" s="746"/>
      <c r="AN146" s="746"/>
      <c r="AO146" s="746"/>
      <c r="AP146" s="747"/>
      <c r="AQ146" s="748"/>
      <c r="AR146" s="748"/>
      <c r="AS146" s="749"/>
      <c r="AU146" s="731"/>
      <c r="AV146" s="732"/>
      <c r="AW146" s="732"/>
      <c r="AX146" s="732"/>
      <c r="AY146" s="732"/>
      <c r="AZ146" s="732"/>
      <c r="BA146" s="732"/>
      <c r="BB146" s="732"/>
      <c r="BC146" s="732"/>
      <c r="BD146" s="733"/>
      <c r="BE146" s="57"/>
    </row>
    <row r="147" spans="5:84" ht="27" thickTop="1" x14ac:dyDescent="0.25">
      <c r="E147" s="581"/>
      <c r="F147" s="581"/>
      <c r="G147" s="581"/>
      <c r="H147" s="581"/>
      <c r="I147" s="581"/>
      <c r="J147" s="581"/>
      <c r="K147" s="581"/>
      <c r="L147" s="581"/>
      <c r="M147" s="581"/>
      <c r="N147" s="581"/>
      <c r="O147" s="581"/>
      <c r="AJ147" s="745">
        <v>84</v>
      </c>
      <c r="AK147" s="745"/>
      <c r="AL147" s="745"/>
      <c r="AM147" s="746" cm="1">
        <f t="array" aca="1" ref="AM147" ca="1">SUM(COUNTIF(INDIRECT({"AP25","AU25","AZ25","BE25","BJ25","BO25","B31","G31","L31","Q31"}),"&gt;0"))</f>
        <v>9</v>
      </c>
      <c r="AN147" s="746"/>
      <c r="AO147" s="746"/>
      <c r="AP147" s="747">
        <f t="shared" ref="AP147" ca="1" si="209">AM147*AJ147</f>
        <v>756</v>
      </c>
      <c r="AQ147" s="748"/>
      <c r="AR147" s="748"/>
      <c r="AS147" s="749"/>
      <c r="AU147" s="734"/>
      <c r="AV147" s="735"/>
      <c r="AW147" s="735"/>
      <c r="AX147" s="735"/>
      <c r="AY147" s="735"/>
      <c r="AZ147" s="735"/>
      <c r="BA147" s="735"/>
      <c r="BB147" s="735"/>
      <c r="BC147" s="735"/>
      <c r="BD147" s="736"/>
      <c r="BE147" s="57"/>
      <c r="BW147" s="737" t="s">
        <v>135</v>
      </c>
      <c r="BX147" s="737"/>
      <c r="BY147" s="737"/>
      <c r="BZ147" s="737"/>
      <c r="CA147" s="737"/>
      <c r="CB147" s="737"/>
      <c r="CC147" s="737"/>
      <c r="CD147" s="737"/>
      <c r="CE147" s="737"/>
      <c r="CF147" s="737"/>
    </row>
    <row r="148" spans="5:84" ht="15" customHeight="1" x14ac:dyDescent="0.25">
      <c r="E148" s="581"/>
      <c r="F148" s="581"/>
      <c r="G148" s="581"/>
      <c r="H148" s="581"/>
      <c r="I148" s="581"/>
      <c r="J148" s="581"/>
      <c r="K148" s="581"/>
      <c r="L148" s="581"/>
      <c r="M148" s="581"/>
      <c r="N148" s="581"/>
      <c r="O148" s="581"/>
      <c r="AJ148" s="745"/>
      <c r="AK148" s="745"/>
      <c r="AL148" s="745"/>
      <c r="AM148" s="746"/>
      <c r="AN148" s="746"/>
      <c r="AO148" s="746"/>
      <c r="AP148" s="747"/>
      <c r="AQ148" s="748"/>
      <c r="AR148" s="748"/>
      <c r="AS148" s="749"/>
      <c r="AU148" s="739"/>
      <c r="AV148" s="740"/>
      <c r="AW148" s="740"/>
      <c r="AX148" s="740"/>
      <c r="AY148" s="740"/>
      <c r="AZ148" s="740"/>
      <c r="BA148" s="740"/>
      <c r="BB148" s="740"/>
      <c r="BC148" s="740"/>
      <c r="BD148" s="741"/>
      <c r="BE148" s="13"/>
      <c r="BW148" s="737"/>
      <c r="BX148" s="737"/>
      <c r="BY148" s="737"/>
      <c r="BZ148" s="737"/>
      <c r="CA148" s="737"/>
      <c r="CB148" s="737"/>
      <c r="CC148" s="737"/>
      <c r="CD148" s="737"/>
      <c r="CE148" s="737"/>
      <c r="CF148" s="737"/>
    </row>
    <row r="149" spans="5:84" ht="15" customHeight="1" x14ac:dyDescent="0.25">
      <c r="E149" s="581"/>
      <c r="F149" s="581"/>
      <c r="G149" s="581"/>
      <c r="H149" s="581"/>
      <c r="I149" s="581"/>
      <c r="J149" s="581"/>
      <c r="K149" s="581"/>
      <c r="L149" s="581"/>
      <c r="M149" s="581"/>
      <c r="N149" s="581"/>
      <c r="O149" s="581"/>
      <c r="AJ149" s="745"/>
      <c r="AK149" s="745"/>
      <c r="AL149" s="745"/>
      <c r="AM149" s="746"/>
      <c r="AN149" s="746"/>
      <c r="AO149" s="746"/>
      <c r="AP149" s="747"/>
      <c r="AQ149" s="748"/>
      <c r="AR149" s="748"/>
      <c r="AS149" s="749"/>
      <c r="AU149" s="742"/>
      <c r="AV149" s="743"/>
      <c r="AW149" s="743"/>
      <c r="AX149" s="743"/>
      <c r="AY149" s="743"/>
      <c r="AZ149" s="743"/>
      <c r="BA149" s="743"/>
      <c r="BB149" s="743"/>
      <c r="BC149" s="743"/>
      <c r="BD149" s="744"/>
      <c r="BE149" s="13"/>
      <c r="BW149" s="738"/>
      <c r="BX149" s="738"/>
      <c r="BY149" s="738"/>
      <c r="BZ149" s="738"/>
      <c r="CA149" s="738"/>
      <c r="CB149" s="738"/>
      <c r="CC149" s="738"/>
      <c r="CD149" s="738"/>
      <c r="CE149" s="738"/>
      <c r="CF149" s="738"/>
    </row>
    <row r="150" spans="5:84" ht="15" customHeight="1" x14ac:dyDescent="0.25">
      <c r="E150" s="581"/>
      <c r="F150" s="581"/>
      <c r="G150" s="581"/>
      <c r="H150" s="581"/>
      <c r="I150" s="581"/>
      <c r="J150" s="581"/>
      <c r="K150" s="581"/>
      <c r="L150" s="581"/>
      <c r="M150" s="581"/>
      <c r="N150" s="581"/>
      <c r="O150" s="581"/>
      <c r="AJ150" s="745">
        <v>85</v>
      </c>
      <c r="AK150" s="745"/>
      <c r="AL150" s="745"/>
      <c r="AM150" s="746" cm="1">
        <f t="array" aca="1" ref="AM150" ca="1">SUM(COUNTIF(INDIRECT({"V31","AA31","AF31","AK31","AP31","AU31","AZ31","BE31","BJ31","BO31"}),"&gt;0"))</f>
        <v>10</v>
      </c>
      <c r="AN150" s="746"/>
      <c r="AO150" s="746"/>
      <c r="AP150" s="747">
        <f t="shared" ref="AP150" ca="1" si="210">AM150*AJ150</f>
        <v>850</v>
      </c>
      <c r="AQ150" s="748"/>
      <c r="AR150" s="748"/>
      <c r="AS150" s="749"/>
      <c r="AU150" s="739"/>
      <c r="AV150" s="740"/>
      <c r="AW150" s="740"/>
      <c r="AX150" s="740"/>
      <c r="AY150" s="740"/>
      <c r="AZ150" s="740"/>
      <c r="BA150" s="740"/>
      <c r="BB150" s="740"/>
      <c r="BC150" s="740"/>
      <c r="BD150" s="741"/>
      <c r="BE150" s="13"/>
      <c r="BK150" s="727" t="s">
        <v>122</v>
      </c>
      <c r="BL150" s="727"/>
      <c r="BM150" s="727"/>
      <c r="BN150" s="727" t="s">
        <v>123</v>
      </c>
      <c r="BO150" s="727"/>
      <c r="BP150" s="727"/>
      <c r="BQ150" s="727" t="s">
        <v>124</v>
      </c>
      <c r="BR150" s="727"/>
      <c r="BS150" s="727" t="s">
        <v>125</v>
      </c>
      <c r="BT150" s="727"/>
      <c r="BW150" s="739" t="s">
        <v>126</v>
      </c>
      <c r="BX150" s="740"/>
      <c r="BY150" s="740"/>
      <c r="BZ150" s="740"/>
      <c r="CA150" s="740"/>
      <c r="CB150" s="740"/>
      <c r="CC150" s="740"/>
      <c r="CD150" s="740"/>
      <c r="CE150" s="740"/>
      <c r="CF150" s="741"/>
    </row>
    <row r="151" spans="5:84" ht="15" customHeight="1" x14ac:dyDescent="0.25">
      <c r="E151" s="581"/>
      <c r="F151" s="581"/>
      <c r="G151" s="581"/>
      <c r="H151" s="581"/>
      <c r="I151" s="581"/>
      <c r="J151" s="581"/>
      <c r="K151" s="581"/>
      <c r="L151" s="581"/>
      <c r="M151" s="581"/>
      <c r="N151" s="581"/>
      <c r="O151" s="581"/>
      <c r="AJ151" s="745"/>
      <c r="AK151" s="745"/>
      <c r="AL151" s="745"/>
      <c r="AM151" s="746"/>
      <c r="AN151" s="746"/>
      <c r="AO151" s="746"/>
      <c r="AP151" s="747"/>
      <c r="AQ151" s="748"/>
      <c r="AR151" s="748"/>
      <c r="AS151" s="749"/>
      <c r="AU151" s="750"/>
      <c r="AV151" s="751"/>
      <c r="AW151" s="751"/>
      <c r="AX151" s="751"/>
      <c r="AY151" s="751"/>
      <c r="AZ151" s="751"/>
      <c r="BA151" s="751"/>
      <c r="BB151" s="751"/>
      <c r="BC151" s="751"/>
      <c r="BD151" s="752"/>
      <c r="BE151" s="13"/>
      <c r="BK151" s="727"/>
      <c r="BL151" s="727"/>
      <c r="BM151" s="727"/>
      <c r="BN151" s="727"/>
      <c r="BO151" s="727"/>
      <c r="BP151" s="727"/>
      <c r="BQ151" s="727"/>
      <c r="BR151" s="727"/>
      <c r="BS151" s="727"/>
      <c r="BT151" s="727"/>
      <c r="BW151" s="750"/>
      <c r="BX151" s="751"/>
      <c r="BY151" s="751"/>
      <c r="BZ151" s="751"/>
      <c r="CA151" s="751"/>
      <c r="CB151" s="751"/>
      <c r="CC151" s="751"/>
      <c r="CD151" s="751"/>
      <c r="CE151" s="751"/>
      <c r="CF151" s="752"/>
    </row>
    <row r="152" spans="5:84" ht="15" customHeight="1" x14ac:dyDescent="0.25">
      <c r="E152" s="581"/>
      <c r="F152" s="581"/>
      <c r="G152" s="581"/>
      <c r="H152" s="581"/>
      <c r="I152" s="581"/>
      <c r="J152" s="581"/>
      <c r="K152" s="581"/>
      <c r="L152" s="581"/>
      <c r="M152" s="581"/>
      <c r="N152" s="581"/>
      <c r="O152" s="581"/>
      <c r="AJ152" s="745"/>
      <c r="AK152" s="745"/>
      <c r="AL152" s="745"/>
      <c r="AM152" s="746"/>
      <c r="AN152" s="746"/>
      <c r="AO152" s="746"/>
      <c r="AP152" s="747"/>
      <c r="AQ152" s="748"/>
      <c r="AR152" s="748"/>
      <c r="AS152" s="749"/>
      <c r="AU152" s="750"/>
      <c r="AV152" s="751"/>
      <c r="AW152" s="751"/>
      <c r="AX152" s="751"/>
      <c r="AY152" s="751"/>
      <c r="AZ152" s="751"/>
      <c r="BA152" s="751"/>
      <c r="BB152" s="751"/>
      <c r="BC152" s="751"/>
      <c r="BD152" s="752"/>
      <c r="BE152" s="13"/>
      <c r="BK152" s="727"/>
      <c r="BL152" s="727"/>
      <c r="BM152" s="727"/>
      <c r="BN152" s="727"/>
      <c r="BO152" s="727"/>
      <c r="BP152" s="727"/>
      <c r="BQ152" s="727"/>
      <c r="BR152" s="727"/>
      <c r="BS152" s="727"/>
      <c r="BT152" s="727"/>
      <c r="BW152" s="742"/>
      <c r="BX152" s="743"/>
      <c r="BY152" s="743"/>
      <c r="BZ152" s="743"/>
      <c r="CA152" s="743"/>
      <c r="CB152" s="743"/>
      <c r="CC152" s="743"/>
      <c r="CD152" s="743"/>
      <c r="CE152" s="743"/>
      <c r="CF152" s="744"/>
    </row>
    <row r="153" spans="5:84" ht="15" customHeight="1" x14ac:dyDescent="0.25">
      <c r="E153" s="581"/>
      <c r="F153" s="581"/>
      <c r="G153" s="581"/>
      <c r="H153" s="581"/>
      <c r="I153" s="581"/>
      <c r="J153" s="581"/>
      <c r="K153" s="581"/>
      <c r="L153" s="581"/>
      <c r="M153" s="581"/>
      <c r="N153" s="581"/>
      <c r="O153" s="581"/>
      <c r="AJ153" s="745">
        <v>86</v>
      </c>
      <c r="AK153" s="745"/>
      <c r="AL153" s="745"/>
      <c r="AM153" s="746" cm="1">
        <f t="array" aca="1" ref="AM153" ca="1">SUM(COUNTIF(INDIRECT({"B37","G37","L37","Q37","V37","AA37","AF37","AK37","AP37","AU37"}),"&gt;0"))</f>
        <v>10</v>
      </c>
      <c r="AN153" s="746"/>
      <c r="AO153" s="746"/>
      <c r="AP153" s="747">
        <f t="shared" ref="AP153" ca="1" si="211">AM153*AJ153</f>
        <v>860</v>
      </c>
      <c r="AQ153" s="748"/>
      <c r="AR153" s="748"/>
      <c r="AS153" s="749"/>
      <c r="AU153" s="742"/>
      <c r="AV153" s="743"/>
      <c r="AW153" s="743"/>
      <c r="AX153" s="743"/>
      <c r="AY153" s="743"/>
      <c r="AZ153" s="743"/>
      <c r="BA153" s="743"/>
      <c r="BB153" s="743"/>
      <c r="BC153" s="743"/>
      <c r="BD153" s="744"/>
      <c r="BE153" s="13"/>
      <c r="BK153" s="774">
        <v>10540</v>
      </c>
      <c r="BL153" s="774"/>
      <c r="BM153" s="774"/>
      <c r="BN153" s="774">
        <f ca="1">AP165</f>
        <v>10377</v>
      </c>
      <c r="BO153" s="774"/>
      <c r="BP153" s="774"/>
      <c r="BQ153" s="726">
        <f>AU128</f>
        <v>89.837602313676399</v>
      </c>
      <c r="BR153" s="726"/>
      <c r="BS153" s="726">
        <f>BL128+BQ153</f>
        <v>202.3376023136764</v>
      </c>
      <c r="BT153" s="726"/>
      <c r="BW153" s="727" t="s">
        <v>128</v>
      </c>
      <c r="BX153" s="727"/>
      <c r="BY153" s="727"/>
      <c r="BZ153" s="727"/>
      <c r="CA153" s="727"/>
      <c r="CB153" s="727"/>
      <c r="CC153" s="727"/>
      <c r="CD153" s="727"/>
      <c r="CE153" s="727"/>
      <c r="CF153" s="727"/>
    </row>
    <row r="154" spans="5:84" ht="26.25" x14ac:dyDescent="0.25">
      <c r="E154" s="581"/>
      <c r="F154" s="581"/>
      <c r="G154" s="581"/>
      <c r="H154" s="581"/>
      <c r="I154" s="581"/>
      <c r="J154" s="581"/>
      <c r="K154" s="581"/>
      <c r="L154" s="581"/>
      <c r="M154" s="581"/>
      <c r="N154" s="581"/>
      <c r="O154" s="581"/>
      <c r="AJ154" s="745"/>
      <c r="AK154" s="745"/>
      <c r="AL154" s="745"/>
      <c r="AM154" s="746"/>
      <c r="AN154" s="746"/>
      <c r="AO154" s="746"/>
      <c r="AP154" s="747"/>
      <c r="AQ154" s="748"/>
      <c r="AR154" s="748"/>
      <c r="AS154" s="749"/>
      <c r="AU154" s="728"/>
      <c r="AV154" s="729"/>
      <c r="AW154" s="729"/>
      <c r="AX154" s="729"/>
      <c r="AY154" s="729"/>
      <c r="AZ154" s="729"/>
      <c r="BA154" s="729"/>
      <c r="BB154" s="729"/>
      <c r="BC154" s="729"/>
      <c r="BD154" s="730"/>
      <c r="BE154" s="57"/>
      <c r="BK154" s="774"/>
      <c r="BL154" s="774"/>
      <c r="BM154" s="774"/>
      <c r="BN154" s="774"/>
      <c r="BO154" s="774"/>
      <c r="BP154" s="774"/>
      <c r="BQ154" s="726"/>
      <c r="BR154" s="726"/>
      <c r="BS154" s="726"/>
      <c r="BT154" s="726"/>
      <c r="BW154" s="727"/>
      <c r="BX154" s="727"/>
      <c r="BY154" s="727"/>
      <c r="BZ154" s="727"/>
      <c r="CA154" s="727"/>
      <c r="CB154" s="727"/>
      <c r="CC154" s="727"/>
      <c r="CD154" s="727"/>
      <c r="CE154" s="727"/>
      <c r="CF154" s="727"/>
    </row>
    <row r="155" spans="5:84" ht="26.25" x14ac:dyDescent="0.25">
      <c r="E155" s="581"/>
      <c r="F155" s="581"/>
      <c r="G155" s="581"/>
      <c r="H155" s="581"/>
      <c r="I155" s="581"/>
      <c r="J155" s="581"/>
      <c r="K155" s="581"/>
      <c r="L155" s="581"/>
      <c r="M155" s="581"/>
      <c r="N155" s="581"/>
      <c r="O155" s="581"/>
      <c r="AJ155" s="745"/>
      <c r="AK155" s="745"/>
      <c r="AL155" s="745"/>
      <c r="AM155" s="746"/>
      <c r="AN155" s="746"/>
      <c r="AO155" s="746"/>
      <c r="AP155" s="747"/>
      <c r="AQ155" s="748"/>
      <c r="AR155" s="748"/>
      <c r="AS155" s="749"/>
      <c r="AU155" s="731"/>
      <c r="AV155" s="732"/>
      <c r="AW155" s="732"/>
      <c r="AX155" s="732"/>
      <c r="AY155" s="732"/>
      <c r="AZ155" s="732"/>
      <c r="BA155" s="732"/>
      <c r="BB155" s="732"/>
      <c r="BC155" s="732"/>
      <c r="BD155" s="733"/>
      <c r="BE155" s="57"/>
      <c r="BK155" s="774"/>
      <c r="BL155" s="774"/>
      <c r="BM155" s="774"/>
      <c r="BN155" s="774"/>
      <c r="BO155" s="774"/>
      <c r="BP155" s="774"/>
      <c r="BQ155" s="726"/>
      <c r="BR155" s="726"/>
      <c r="BS155" s="726"/>
      <c r="BT155" s="726"/>
      <c r="BW155" s="728">
        <f ca="1">BQ153/((42*3.1415/59)*(BN153/3.281))</f>
        <v>1.2701593903296796E-2</v>
      </c>
      <c r="BX155" s="729"/>
      <c r="BY155" s="729"/>
      <c r="BZ155" s="729"/>
      <c r="CA155" s="729"/>
      <c r="CB155" s="729"/>
      <c r="CC155" s="729"/>
      <c r="CD155" s="729"/>
      <c r="CE155" s="729"/>
      <c r="CF155" s="730"/>
    </row>
    <row r="156" spans="5:84" ht="26.25" x14ac:dyDescent="0.25">
      <c r="E156" s="581"/>
      <c r="F156" s="581"/>
      <c r="G156" s="581"/>
      <c r="H156" s="581"/>
      <c r="I156" s="581"/>
      <c r="J156" s="581"/>
      <c r="K156" s="581"/>
      <c r="L156" s="581"/>
      <c r="M156" s="581"/>
      <c r="N156" s="581"/>
      <c r="O156" s="581"/>
      <c r="AJ156" s="745">
        <v>88</v>
      </c>
      <c r="AK156" s="745"/>
      <c r="AL156" s="745"/>
      <c r="AM156" s="746" cm="1">
        <f t="array" aca="1" ref="AM156" ca="1">SUM(COUNTIF(INDIRECT({"AZ37","BE37","BJ37","BO37","B43","G43","L43","Q43","V43","AA43"}),"&gt;0"))</f>
        <v>10</v>
      </c>
      <c r="AN156" s="746"/>
      <c r="AO156" s="746"/>
      <c r="AP156" s="747">
        <f t="shared" ref="AP156" ca="1" si="212">AM156*AJ156</f>
        <v>880</v>
      </c>
      <c r="AQ156" s="748"/>
      <c r="AR156" s="748"/>
      <c r="AS156" s="749"/>
      <c r="AU156" s="731"/>
      <c r="AV156" s="732"/>
      <c r="AW156" s="732"/>
      <c r="AX156" s="732"/>
      <c r="AY156" s="732"/>
      <c r="AZ156" s="732"/>
      <c r="BA156" s="732"/>
      <c r="BB156" s="732"/>
      <c r="BC156" s="732"/>
      <c r="BD156" s="733"/>
      <c r="BE156" s="57"/>
      <c r="BK156" s="774"/>
      <c r="BL156" s="774"/>
      <c r="BM156" s="774"/>
      <c r="BN156" s="774"/>
      <c r="BO156" s="774"/>
      <c r="BP156" s="774"/>
      <c r="BQ156" s="726"/>
      <c r="BR156" s="726"/>
      <c r="BS156" s="726"/>
      <c r="BT156" s="726"/>
      <c r="BW156" s="731"/>
      <c r="BX156" s="732"/>
      <c r="BY156" s="732"/>
      <c r="BZ156" s="732"/>
      <c r="CA156" s="732"/>
      <c r="CB156" s="732"/>
      <c r="CC156" s="732"/>
      <c r="CD156" s="732"/>
      <c r="CE156" s="732"/>
      <c r="CF156" s="733"/>
    </row>
    <row r="157" spans="5:84" ht="26.25" x14ac:dyDescent="0.25">
      <c r="AJ157" s="745"/>
      <c r="AK157" s="745"/>
      <c r="AL157" s="745"/>
      <c r="AM157" s="746"/>
      <c r="AN157" s="746"/>
      <c r="AO157" s="746"/>
      <c r="AP157" s="747"/>
      <c r="AQ157" s="748"/>
      <c r="AR157" s="748"/>
      <c r="AS157" s="749"/>
      <c r="AU157" s="731"/>
      <c r="AV157" s="732"/>
      <c r="AW157" s="732"/>
      <c r="AX157" s="732"/>
      <c r="AY157" s="732"/>
      <c r="AZ157" s="732"/>
      <c r="BA157" s="732"/>
      <c r="BB157" s="732"/>
      <c r="BC157" s="732"/>
      <c r="BD157" s="733"/>
      <c r="BE157" s="57"/>
      <c r="BW157" s="734"/>
      <c r="BX157" s="735"/>
      <c r="BY157" s="735"/>
      <c r="BZ157" s="735"/>
      <c r="CA157" s="735"/>
      <c r="CB157" s="735"/>
      <c r="CC157" s="735"/>
      <c r="CD157" s="735"/>
      <c r="CE157" s="735"/>
      <c r="CF157" s="736"/>
    </row>
    <row r="158" spans="5:84" ht="26.25" x14ac:dyDescent="0.25">
      <c r="AJ158" s="745"/>
      <c r="AK158" s="745"/>
      <c r="AL158" s="745"/>
      <c r="AM158" s="746"/>
      <c r="AN158" s="746"/>
      <c r="AO158" s="746"/>
      <c r="AP158" s="747"/>
      <c r="AQ158" s="748"/>
      <c r="AR158" s="748"/>
      <c r="AS158" s="749"/>
      <c r="AU158" s="734"/>
      <c r="AV158" s="735"/>
      <c r="AW158" s="735"/>
      <c r="AX158" s="735"/>
      <c r="AY158" s="735"/>
      <c r="AZ158" s="735"/>
      <c r="BA158" s="735"/>
      <c r="BB158" s="735"/>
      <c r="BC158" s="735"/>
      <c r="BD158" s="736"/>
      <c r="BE158" s="57"/>
      <c r="BW158" s="739" t="s">
        <v>129</v>
      </c>
      <c r="BX158" s="740"/>
      <c r="BY158" s="740"/>
      <c r="BZ158" s="740"/>
      <c r="CA158" s="740"/>
      <c r="CB158" s="740"/>
      <c r="CC158" s="740"/>
      <c r="CD158" s="740"/>
      <c r="CE158" s="740"/>
      <c r="CF158" s="741"/>
    </row>
    <row r="159" spans="5:84" ht="15" customHeight="1" x14ac:dyDescent="0.25">
      <c r="AJ159" s="745">
        <v>94</v>
      </c>
      <c r="AK159" s="745"/>
      <c r="AL159" s="745"/>
      <c r="AM159" s="746" cm="1">
        <f t="array" aca="1" ref="AM159" ca="1">SUM(COUNTIF(INDIRECT({"AF43","AK43","AP43","AU43","AZ43","BE43","BJ43","BO43","B49","G49"}),"&gt;0"))</f>
        <v>10</v>
      </c>
      <c r="AN159" s="746"/>
      <c r="AO159" s="746"/>
      <c r="AP159" s="747">
        <f t="shared" ref="AP159" ca="1" si="213">AM159*AJ159</f>
        <v>940</v>
      </c>
      <c r="AQ159" s="748"/>
      <c r="AR159" s="748"/>
      <c r="AS159" s="749"/>
      <c r="BW159" s="742"/>
      <c r="BX159" s="743"/>
      <c r="BY159" s="743"/>
      <c r="BZ159" s="743"/>
      <c r="CA159" s="743"/>
      <c r="CB159" s="743"/>
      <c r="CC159" s="743"/>
      <c r="CD159" s="743"/>
      <c r="CE159" s="743"/>
      <c r="CF159" s="744"/>
    </row>
    <row r="160" spans="5:84" ht="15" customHeight="1" x14ac:dyDescent="0.25">
      <c r="AJ160" s="745"/>
      <c r="AK160" s="745"/>
      <c r="AL160" s="745"/>
      <c r="AM160" s="746"/>
      <c r="AN160" s="746"/>
      <c r="AO160" s="746"/>
      <c r="AP160" s="747"/>
      <c r="AQ160" s="748"/>
      <c r="AR160" s="748"/>
      <c r="AS160" s="749"/>
      <c r="BW160" s="739" t="s">
        <v>130</v>
      </c>
      <c r="BX160" s="740"/>
      <c r="BY160" s="740"/>
      <c r="BZ160" s="740"/>
      <c r="CA160" s="740"/>
      <c r="CB160" s="740"/>
      <c r="CC160" s="740"/>
      <c r="CD160" s="740"/>
      <c r="CE160" s="740"/>
      <c r="CF160" s="741"/>
    </row>
    <row r="161" spans="26:84" ht="15" customHeight="1" x14ac:dyDescent="0.25">
      <c r="AJ161" s="745"/>
      <c r="AK161" s="745"/>
      <c r="AL161" s="745"/>
      <c r="AM161" s="746"/>
      <c r="AN161" s="746"/>
      <c r="AO161" s="746"/>
      <c r="AP161" s="747"/>
      <c r="AQ161" s="748"/>
      <c r="AR161" s="748"/>
      <c r="AS161" s="749"/>
      <c r="BW161" s="750"/>
      <c r="BX161" s="751"/>
      <c r="BY161" s="751"/>
      <c r="BZ161" s="751"/>
      <c r="CA161" s="751"/>
      <c r="CB161" s="751"/>
      <c r="CC161" s="751"/>
      <c r="CD161" s="751"/>
      <c r="CE161" s="751"/>
      <c r="CF161" s="752"/>
    </row>
    <row r="162" spans="26:84" ht="15.75" customHeight="1" thickBot="1" x14ac:dyDescent="0.3">
      <c r="AJ162" s="745">
        <v>104</v>
      </c>
      <c r="AK162" s="745"/>
      <c r="AL162" s="745"/>
      <c r="AM162" s="746" cm="1">
        <f t="array" aca="1" ref="AM162" ca="1">SUM(COUNTIF(INDIRECT({"L49","Q49","V49","AA49","AF49","AK49","AP49","AU49","AZ49","BE49","BJ49","BO49","B110","G110","L110","Q110","V110","AA110","AF110","AK110"}),"&gt;0"))</f>
        <v>20</v>
      </c>
      <c r="AN162" s="746"/>
      <c r="AO162" s="746"/>
      <c r="AP162" s="747">
        <f t="shared" ref="AP162" ca="1" si="214">AM162*AJ162</f>
        <v>2080</v>
      </c>
      <c r="AQ162" s="748"/>
      <c r="AR162" s="748"/>
      <c r="AS162" s="749"/>
      <c r="BW162" s="750"/>
      <c r="BX162" s="751"/>
      <c r="BY162" s="751"/>
      <c r="BZ162" s="751"/>
      <c r="CA162" s="751"/>
      <c r="CB162" s="751"/>
      <c r="CC162" s="751"/>
      <c r="CD162" s="751"/>
      <c r="CE162" s="751"/>
      <c r="CF162" s="752"/>
    </row>
    <row r="163" spans="26:84" ht="15.75" customHeight="1" thickBot="1" x14ac:dyDescent="0.3">
      <c r="Z163" s="81"/>
      <c r="AA163" s="82"/>
      <c r="AB163" s="82"/>
      <c r="AC163" s="82"/>
      <c r="AD163" s="82"/>
      <c r="AE163" s="82"/>
      <c r="AF163" s="82"/>
      <c r="AG163" s="82"/>
      <c r="AH163" s="82"/>
      <c r="AI163" s="82"/>
      <c r="AJ163" s="745"/>
      <c r="AK163" s="745"/>
      <c r="AL163" s="745"/>
      <c r="AM163" s="746"/>
      <c r="AN163" s="746"/>
      <c r="AO163" s="746"/>
      <c r="AP163" s="747"/>
      <c r="AQ163" s="748"/>
      <c r="AR163" s="748"/>
      <c r="AS163" s="749"/>
      <c r="AT163" s="82"/>
      <c r="AU163" s="82"/>
      <c r="AV163" s="82"/>
      <c r="AW163" s="82"/>
      <c r="AX163" s="82"/>
      <c r="AY163" s="82"/>
      <c r="AZ163" s="82"/>
      <c r="BA163" s="82"/>
      <c r="BB163" s="82"/>
      <c r="BC163" s="82"/>
      <c r="BD163" s="82"/>
      <c r="BE163" s="82"/>
      <c r="BF163" s="82"/>
      <c r="BG163" s="82"/>
      <c r="BH163" s="83"/>
      <c r="BW163" s="742"/>
      <c r="BX163" s="743"/>
      <c r="BY163" s="743"/>
      <c r="BZ163" s="743"/>
      <c r="CA163" s="743"/>
      <c r="CB163" s="743"/>
      <c r="CC163" s="743"/>
      <c r="CD163" s="743"/>
      <c r="CE163" s="743"/>
      <c r="CF163" s="744"/>
    </row>
    <row r="164" spans="26:84" ht="15.75" customHeight="1" thickTop="1" x14ac:dyDescent="0.25">
      <c r="Z164" s="84"/>
      <c r="AA164" s="73"/>
      <c r="AB164" s="74"/>
      <c r="AC164" s="74"/>
      <c r="AD164" s="74"/>
      <c r="AE164" s="75"/>
      <c r="AI164" s="348"/>
      <c r="AJ164" s="745"/>
      <c r="AK164" s="745"/>
      <c r="AL164" s="745"/>
      <c r="AM164" s="746"/>
      <c r="AN164" s="746"/>
      <c r="AO164" s="746"/>
      <c r="AP164" s="747"/>
      <c r="AQ164" s="748"/>
      <c r="AR164" s="748"/>
      <c r="AS164" s="749"/>
      <c r="AV164" s="354"/>
      <c r="AW164" s="355"/>
      <c r="AX164" s="355"/>
      <c r="AY164" s="355"/>
      <c r="AZ164" s="355"/>
      <c r="BA164" s="355"/>
      <c r="BB164" s="355"/>
      <c r="BC164" s="355"/>
      <c r="BD164" s="355"/>
      <c r="BE164" s="356"/>
      <c r="BF164" s="13"/>
      <c r="BG164" s="13"/>
      <c r="BH164" s="85"/>
      <c r="BW164" s="728">
        <f ca="1">BS153/((42*3.1415/59)*(BN153/3.281))</f>
        <v>2.8607286812727402E-2</v>
      </c>
      <c r="BX164" s="729"/>
      <c r="BY164" s="729"/>
      <c r="BZ164" s="729"/>
      <c r="CA164" s="729"/>
      <c r="CB164" s="729"/>
      <c r="CC164" s="729"/>
      <c r="CD164" s="729"/>
      <c r="CE164" s="729"/>
      <c r="CF164" s="730"/>
    </row>
    <row r="165" spans="26:84" ht="15" customHeight="1" x14ac:dyDescent="0.25">
      <c r="Z165" s="84"/>
      <c r="AA165" s="76"/>
      <c r="AB165" s="86"/>
      <c r="AC165" s="86"/>
      <c r="AD165" s="86"/>
      <c r="AE165" s="77"/>
      <c r="AI165" s="348"/>
      <c r="AJ165" s="745"/>
      <c r="AK165" s="745"/>
      <c r="AL165" s="745"/>
      <c r="AM165" s="746">
        <f ca="1">SUM(AM138:AO164)</f>
        <v>118</v>
      </c>
      <c r="AN165" s="746"/>
      <c r="AO165" s="746"/>
      <c r="AP165" s="747">
        <f ca="1">SUM(AP138:AS164)</f>
        <v>10377</v>
      </c>
      <c r="AQ165" s="748"/>
      <c r="AR165" s="748"/>
      <c r="AS165" s="749"/>
      <c r="AV165" s="361"/>
      <c r="AW165" s="27"/>
      <c r="AX165" s="27"/>
      <c r="AY165" s="27"/>
      <c r="AZ165" s="27"/>
      <c r="BA165" s="27"/>
      <c r="BB165" s="27"/>
      <c r="BC165" s="27"/>
      <c r="BD165" s="27"/>
      <c r="BE165" s="362"/>
      <c r="BF165" s="13"/>
      <c r="BG165" s="13"/>
      <c r="BH165" s="85"/>
      <c r="BW165" s="731"/>
      <c r="BX165" s="732"/>
      <c r="BY165" s="732"/>
      <c r="BZ165" s="732"/>
      <c r="CA165" s="732"/>
      <c r="CB165" s="732"/>
      <c r="CC165" s="732"/>
      <c r="CD165" s="732"/>
      <c r="CE165" s="732"/>
      <c r="CF165" s="733"/>
    </row>
    <row r="166" spans="26:84" ht="15" customHeight="1" x14ac:dyDescent="0.25">
      <c r="Z166" s="84"/>
      <c r="AA166" s="76"/>
      <c r="AB166" s="86"/>
      <c r="AC166" s="86"/>
      <c r="AD166" s="86"/>
      <c r="AE166" s="77"/>
      <c r="AI166" s="348"/>
      <c r="AJ166" s="745"/>
      <c r="AK166" s="745"/>
      <c r="AL166" s="745"/>
      <c r="AM166" s="746"/>
      <c r="AN166" s="746"/>
      <c r="AO166" s="746"/>
      <c r="AP166" s="747"/>
      <c r="AQ166" s="748"/>
      <c r="AR166" s="748"/>
      <c r="AS166" s="749"/>
      <c r="AV166" s="357"/>
      <c r="AW166" s="358"/>
      <c r="AX166" s="358"/>
      <c r="AY166" s="358"/>
      <c r="AZ166" s="358"/>
      <c r="BA166" s="358"/>
      <c r="BB166" s="358"/>
      <c r="BC166" s="358"/>
      <c r="BD166" s="358"/>
      <c r="BE166" s="359"/>
      <c r="BF166" s="13"/>
      <c r="BG166" s="13"/>
      <c r="BH166" s="85"/>
      <c r="BW166" s="731"/>
      <c r="BX166" s="732"/>
      <c r="BY166" s="732"/>
      <c r="BZ166" s="732"/>
      <c r="CA166" s="732"/>
      <c r="CB166" s="732"/>
      <c r="CC166" s="732"/>
      <c r="CD166" s="732"/>
      <c r="CE166" s="732"/>
      <c r="CF166" s="733"/>
    </row>
    <row r="167" spans="26:84" ht="15" customHeight="1" x14ac:dyDescent="0.25">
      <c r="Z167" s="84"/>
      <c r="AA167" s="76"/>
      <c r="AB167" s="86"/>
      <c r="AC167" s="86"/>
      <c r="AD167" s="86"/>
      <c r="AE167" s="77"/>
      <c r="AI167" s="338"/>
      <c r="AJ167" s="745"/>
      <c r="AK167" s="745"/>
      <c r="AL167" s="745"/>
      <c r="AM167" s="746"/>
      <c r="AN167" s="746"/>
      <c r="AO167" s="746"/>
      <c r="AP167" s="747"/>
      <c r="AQ167" s="748"/>
      <c r="AR167" s="748"/>
      <c r="AS167" s="749"/>
      <c r="AV167" s="348"/>
      <c r="AW167" s="348"/>
      <c r="AX167" s="348"/>
      <c r="AY167" s="348"/>
      <c r="AZ167" s="348"/>
      <c r="BA167" s="348"/>
      <c r="BB167" s="348"/>
      <c r="BC167" s="348"/>
      <c r="BD167" s="348"/>
      <c r="BE167" s="348"/>
      <c r="BF167" s="13"/>
      <c r="BG167" s="13"/>
      <c r="BH167" s="85"/>
      <c r="BW167" s="731"/>
      <c r="BX167" s="732"/>
      <c r="BY167" s="732"/>
      <c r="BZ167" s="732"/>
      <c r="CA167" s="732"/>
      <c r="CB167" s="732"/>
      <c r="CC167" s="732"/>
      <c r="CD167" s="732"/>
      <c r="CE167" s="732"/>
      <c r="CF167" s="733"/>
    </row>
    <row r="168" spans="26:84" ht="15" customHeight="1" x14ac:dyDescent="0.25">
      <c r="Z168" s="84"/>
      <c r="AA168" s="76"/>
      <c r="AB168" s="86"/>
      <c r="AC168" s="86"/>
      <c r="AD168" s="86"/>
      <c r="AE168" s="77"/>
      <c r="AI168" s="338"/>
      <c r="AJ168" s="745"/>
      <c r="AK168" s="745"/>
      <c r="AL168" s="745"/>
      <c r="AM168" s="746"/>
      <c r="AN168" s="746"/>
      <c r="AO168" s="746"/>
      <c r="AP168" s="747"/>
      <c r="AQ168" s="748"/>
      <c r="AR168" s="748"/>
      <c r="AS168" s="749"/>
      <c r="AV168" s="348"/>
      <c r="AW168" s="348"/>
      <c r="AX168" s="348"/>
      <c r="AY168" s="348"/>
      <c r="AZ168" s="348"/>
      <c r="BA168" s="348"/>
      <c r="BB168" s="348"/>
      <c r="BC168" s="348"/>
      <c r="BD168" s="348"/>
      <c r="BE168" s="348"/>
      <c r="BF168" s="13"/>
      <c r="BG168" s="13"/>
      <c r="BH168" s="85"/>
      <c r="BW168" s="734"/>
      <c r="BX168" s="735"/>
      <c r="BY168" s="735"/>
      <c r="BZ168" s="735"/>
      <c r="CA168" s="735"/>
      <c r="CB168" s="735"/>
      <c r="CC168" s="735"/>
      <c r="CD168" s="735"/>
      <c r="CE168" s="735"/>
      <c r="CF168" s="736"/>
    </row>
    <row r="169" spans="26:84" ht="26.25" customHeight="1" x14ac:dyDescent="0.25">
      <c r="Z169" s="84"/>
      <c r="AA169" s="76"/>
      <c r="AB169" s="86"/>
      <c r="AC169" s="86"/>
      <c r="AD169" s="86"/>
      <c r="AE169" s="77"/>
      <c r="AI169" s="338"/>
      <c r="AJ169" s="745"/>
      <c r="AK169" s="745"/>
      <c r="AL169" s="745"/>
      <c r="AM169" s="746"/>
      <c r="AN169" s="746"/>
      <c r="AO169" s="746"/>
      <c r="AP169" s="747"/>
      <c r="AQ169" s="748"/>
      <c r="AR169" s="748"/>
      <c r="AS169" s="749"/>
      <c r="AV169" s="340"/>
      <c r="AW169" s="341"/>
      <c r="AX169" s="341"/>
      <c r="AY169" s="341"/>
      <c r="AZ169" s="341"/>
      <c r="BA169" s="341"/>
      <c r="BB169" s="341"/>
      <c r="BC169" s="341"/>
      <c r="BD169" s="341"/>
      <c r="BE169" s="342"/>
      <c r="BF169" s="57"/>
      <c r="BG169" s="57"/>
      <c r="BH169" s="85"/>
    </row>
    <row r="170" spans="26:84" ht="27" customHeight="1" thickBot="1" x14ac:dyDescent="0.3">
      <c r="Z170" s="84"/>
      <c r="AA170" s="78"/>
      <c r="AB170" s="79"/>
      <c r="AC170" s="79"/>
      <c r="AD170" s="79"/>
      <c r="AE170" s="80"/>
      <c r="AI170" s="338"/>
      <c r="AJ170" s="745"/>
      <c r="AK170" s="745"/>
      <c r="AL170" s="745"/>
      <c r="AM170" s="746"/>
      <c r="AN170" s="746"/>
      <c r="AO170" s="746"/>
      <c r="AP170" s="747"/>
      <c r="AQ170" s="748"/>
      <c r="AR170" s="748"/>
      <c r="AS170" s="749"/>
      <c r="AV170" s="343"/>
      <c r="AW170" s="51"/>
      <c r="AX170" s="51"/>
      <c r="AY170" s="51"/>
      <c r="AZ170" s="51"/>
      <c r="BA170" s="51"/>
      <c r="BB170" s="51"/>
      <c r="BC170" s="51"/>
      <c r="BD170" s="51"/>
      <c r="BE170" s="344"/>
      <c r="BF170" s="57"/>
      <c r="BG170" s="57"/>
      <c r="BH170" s="85"/>
    </row>
    <row r="171" spans="26:84" ht="27" thickTop="1" x14ac:dyDescent="0.25">
      <c r="Z171" s="84"/>
      <c r="AV171" s="345"/>
      <c r="AW171" s="346"/>
      <c r="AX171" s="346"/>
      <c r="AY171" s="346"/>
      <c r="AZ171" s="346"/>
      <c r="BA171" s="346"/>
      <c r="BB171" s="346"/>
      <c r="BC171" s="346"/>
      <c r="BD171" s="346"/>
      <c r="BE171" s="347"/>
      <c r="BF171" s="57"/>
      <c r="BG171" s="57"/>
      <c r="BH171" s="85"/>
    </row>
    <row r="172" spans="26:84" x14ac:dyDescent="0.25">
      <c r="Z172" s="84"/>
      <c r="AV172" s="354"/>
      <c r="AW172" s="355"/>
      <c r="AX172" s="355"/>
      <c r="AY172" s="355"/>
      <c r="AZ172" s="355"/>
      <c r="BA172" s="355"/>
      <c r="BB172" s="355"/>
      <c r="BC172" s="355"/>
      <c r="BD172" s="355"/>
      <c r="BE172" s="356"/>
      <c r="BF172" s="13"/>
      <c r="BG172" s="13"/>
      <c r="BH172" s="85"/>
    </row>
    <row r="173" spans="26:84" x14ac:dyDescent="0.25">
      <c r="Z173" s="84"/>
      <c r="AV173" s="357"/>
      <c r="AW173" s="358"/>
      <c r="AX173" s="358"/>
      <c r="AY173" s="358"/>
      <c r="AZ173" s="358"/>
      <c r="BA173" s="358"/>
      <c r="BB173" s="358"/>
      <c r="BC173" s="358"/>
      <c r="BD173" s="358"/>
      <c r="BE173" s="359"/>
      <c r="BF173" s="13"/>
      <c r="BG173" s="13"/>
      <c r="BH173" s="85"/>
    </row>
    <row r="174" spans="26:84" ht="15" customHeight="1" x14ac:dyDescent="0.25">
      <c r="Z174" s="84"/>
      <c r="AK174" s="360"/>
      <c r="AL174" s="360"/>
      <c r="AM174" s="360"/>
      <c r="AN174" s="349"/>
      <c r="AO174" s="349"/>
      <c r="AP174" s="349"/>
      <c r="AQ174" s="350"/>
      <c r="AR174" s="351"/>
      <c r="AS174" s="351"/>
      <c r="AT174" s="352"/>
      <c r="AV174" s="354"/>
      <c r="AW174" s="355"/>
      <c r="AX174" s="355"/>
      <c r="AY174" s="355"/>
      <c r="AZ174" s="355"/>
      <c r="BA174" s="355"/>
      <c r="BB174" s="355"/>
      <c r="BC174" s="355"/>
      <c r="BD174" s="355"/>
      <c r="BE174" s="356"/>
      <c r="BF174" s="13"/>
      <c r="BG174" s="13"/>
      <c r="BH174" s="85"/>
    </row>
    <row r="175" spans="26:84" ht="15" customHeight="1" x14ac:dyDescent="0.25">
      <c r="Z175" s="84"/>
      <c r="AK175" s="360"/>
      <c r="AL175" s="360"/>
      <c r="AM175" s="360"/>
      <c r="AN175" s="349"/>
      <c r="AO175" s="349"/>
      <c r="AP175" s="349"/>
      <c r="AQ175" s="350"/>
      <c r="AR175" s="351"/>
      <c r="AS175" s="351"/>
      <c r="AT175" s="352"/>
      <c r="AV175" s="361"/>
      <c r="AW175" s="27"/>
      <c r="AX175" s="27"/>
      <c r="AY175" s="27"/>
      <c r="AZ175" s="27"/>
      <c r="BA175" s="27"/>
      <c r="BB175" s="27"/>
      <c r="BC175" s="27"/>
      <c r="BD175" s="27"/>
      <c r="BE175" s="362"/>
      <c r="BF175" s="13"/>
      <c r="BG175" s="13"/>
      <c r="BH175" s="85"/>
    </row>
    <row r="176" spans="26:84" ht="15" customHeight="1" x14ac:dyDescent="0.25">
      <c r="Z176" s="84"/>
      <c r="AK176" s="360"/>
      <c r="AL176" s="360"/>
      <c r="AM176" s="360"/>
      <c r="AN176" s="349"/>
      <c r="AO176" s="349"/>
      <c r="AP176" s="349"/>
      <c r="AQ176" s="350"/>
      <c r="AR176" s="351"/>
      <c r="AS176" s="351"/>
      <c r="AT176" s="352"/>
      <c r="AV176" s="361"/>
      <c r="AW176" s="27"/>
      <c r="AX176" s="27"/>
      <c r="AY176" s="27"/>
      <c r="AZ176" s="27"/>
      <c r="BA176" s="27"/>
      <c r="BB176" s="27"/>
      <c r="BC176" s="27"/>
      <c r="BD176" s="27"/>
      <c r="BE176" s="362"/>
      <c r="BF176" s="13"/>
      <c r="BG176" s="13"/>
      <c r="BH176" s="85"/>
    </row>
    <row r="177" spans="26:60" ht="15" customHeight="1" x14ac:dyDescent="0.25">
      <c r="Z177" s="84"/>
      <c r="AK177" s="348"/>
      <c r="AL177" s="348"/>
      <c r="AM177" s="348"/>
      <c r="AN177" s="349"/>
      <c r="AO177" s="349"/>
      <c r="AP177" s="349"/>
      <c r="AQ177" s="350"/>
      <c r="AR177" s="351"/>
      <c r="AS177" s="351"/>
      <c r="AT177" s="352"/>
      <c r="AV177" s="357"/>
      <c r="AW177" s="358"/>
      <c r="AX177" s="358"/>
      <c r="AY177" s="358"/>
      <c r="AZ177" s="358"/>
      <c r="BA177" s="358"/>
      <c r="BB177" s="358"/>
      <c r="BC177" s="358"/>
      <c r="BD177" s="358"/>
      <c r="BE177" s="359"/>
      <c r="BF177" s="13"/>
      <c r="BG177" s="13"/>
      <c r="BH177" s="85"/>
    </row>
    <row r="178" spans="26:60" ht="26.25" x14ac:dyDescent="0.25">
      <c r="Z178" s="84"/>
      <c r="AK178" s="348"/>
      <c r="AL178" s="348"/>
      <c r="AM178" s="348"/>
      <c r="AN178" s="349"/>
      <c r="AO178" s="349"/>
      <c r="AP178" s="349"/>
      <c r="AQ178" s="350"/>
      <c r="AR178" s="351"/>
      <c r="AS178" s="351"/>
      <c r="AT178" s="352"/>
      <c r="AV178" s="340"/>
      <c r="AW178" s="341"/>
      <c r="AX178" s="341"/>
      <c r="AY178" s="341"/>
      <c r="AZ178" s="341"/>
      <c r="BA178" s="341"/>
      <c r="BB178" s="341"/>
      <c r="BC178" s="341"/>
      <c r="BD178" s="341"/>
      <c r="BE178" s="342"/>
      <c r="BF178" s="57"/>
      <c r="BG178" s="57"/>
      <c r="BH178" s="85"/>
    </row>
    <row r="179" spans="26:60" ht="26.25" x14ac:dyDescent="0.25">
      <c r="Z179" s="84"/>
      <c r="AK179" s="348"/>
      <c r="AL179" s="348"/>
      <c r="AM179" s="348"/>
      <c r="AN179" s="349"/>
      <c r="AO179" s="349"/>
      <c r="AP179" s="349"/>
      <c r="AQ179" s="350"/>
      <c r="AR179" s="351"/>
      <c r="AS179" s="351"/>
      <c r="AT179" s="352"/>
      <c r="AV179" s="343"/>
      <c r="AW179" s="51"/>
      <c r="AX179" s="51"/>
      <c r="AY179" s="51"/>
      <c r="AZ179" s="51"/>
      <c r="BA179" s="51"/>
      <c r="BB179" s="51"/>
      <c r="BC179" s="51"/>
      <c r="BD179" s="51"/>
      <c r="BE179" s="344"/>
      <c r="BF179" s="57"/>
      <c r="BG179" s="57"/>
      <c r="BH179" s="85"/>
    </row>
    <row r="180" spans="26:60" ht="26.25" x14ac:dyDescent="0.25">
      <c r="Z180" s="84"/>
      <c r="AK180" s="348"/>
      <c r="AL180" s="348"/>
      <c r="AM180" s="348"/>
      <c r="AN180" s="349"/>
      <c r="AO180" s="349"/>
      <c r="AP180" s="349"/>
      <c r="AQ180" s="350"/>
      <c r="AR180" s="351"/>
      <c r="AS180" s="351"/>
      <c r="AT180" s="352"/>
      <c r="AV180" s="343"/>
      <c r="AW180" s="51"/>
      <c r="AX180" s="51"/>
      <c r="AY180" s="51"/>
      <c r="AZ180" s="51"/>
      <c r="BA180" s="51"/>
      <c r="BB180" s="51"/>
      <c r="BC180" s="51"/>
      <c r="BD180" s="51"/>
      <c r="BE180" s="344"/>
      <c r="BF180" s="57"/>
      <c r="BG180" s="57"/>
      <c r="BH180" s="85"/>
    </row>
    <row r="181" spans="26:60" ht="26.25" x14ac:dyDescent="0.25">
      <c r="Z181" s="84"/>
      <c r="AK181" s="348"/>
      <c r="AL181" s="348"/>
      <c r="AM181" s="348"/>
      <c r="AN181" s="349"/>
      <c r="AO181" s="349"/>
      <c r="AP181" s="349"/>
      <c r="AQ181" s="350"/>
      <c r="AR181" s="351"/>
      <c r="AS181" s="351"/>
      <c r="AT181" s="352"/>
      <c r="AV181" s="343"/>
      <c r="AW181" s="51"/>
      <c r="AX181" s="51"/>
      <c r="AY181" s="51"/>
      <c r="AZ181" s="51"/>
      <c r="BA181" s="51"/>
      <c r="BB181" s="51"/>
      <c r="BC181" s="51"/>
      <c r="BD181" s="51"/>
      <c r="BE181" s="344"/>
      <c r="BF181" s="57"/>
      <c r="BG181" s="57"/>
      <c r="BH181" s="85"/>
    </row>
    <row r="182" spans="26:60" ht="26.25" x14ac:dyDescent="0.25">
      <c r="Z182" s="84"/>
      <c r="AK182" s="348"/>
      <c r="AL182" s="348"/>
      <c r="AM182" s="348"/>
      <c r="AN182" s="349"/>
      <c r="AO182" s="349"/>
      <c r="AP182" s="349"/>
      <c r="AQ182" s="350"/>
      <c r="AR182" s="351"/>
      <c r="AS182" s="351"/>
      <c r="AT182" s="352"/>
      <c r="AV182" s="345"/>
      <c r="AW182" s="346"/>
      <c r="AX182" s="346"/>
      <c r="AY182" s="346"/>
      <c r="AZ182" s="346"/>
      <c r="BA182" s="346"/>
      <c r="BB182" s="346"/>
      <c r="BC182" s="346"/>
      <c r="BD182" s="346"/>
      <c r="BE182" s="347"/>
      <c r="BF182" s="57"/>
      <c r="BG182" s="57"/>
      <c r="BH182" s="85"/>
    </row>
    <row r="183" spans="26:60" ht="15" customHeight="1" x14ac:dyDescent="0.25">
      <c r="Z183" s="84"/>
      <c r="AN183" s="353"/>
      <c r="AO183" s="353"/>
      <c r="AP183" s="353"/>
      <c r="AQ183" s="350"/>
      <c r="AR183" s="351"/>
      <c r="AS183" s="351"/>
      <c r="AT183" s="352"/>
      <c r="BH183" s="85"/>
    </row>
    <row r="184" spans="26:60" ht="15" customHeight="1" x14ac:dyDescent="0.25">
      <c r="Z184" s="84"/>
      <c r="AN184" s="353"/>
      <c r="AO184" s="353"/>
      <c r="AP184" s="353"/>
      <c r="AQ184" s="350"/>
      <c r="AR184" s="351"/>
      <c r="AS184" s="351"/>
      <c r="AT184" s="352"/>
      <c r="BH184" s="85"/>
    </row>
    <row r="185" spans="26:60" ht="15" customHeight="1" x14ac:dyDescent="0.25">
      <c r="Z185" s="84"/>
      <c r="AN185" s="353"/>
      <c r="AO185" s="353"/>
      <c r="AP185" s="353"/>
      <c r="AQ185" s="350"/>
      <c r="AR185" s="351"/>
      <c r="AS185" s="351"/>
      <c r="AT185" s="352"/>
      <c r="BH185" s="85"/>
    </row>
    <row r="186" spans="26:60" x14ac:dyDescent="0.25">
      <c r="Z186" s="84"/>
      <c r="BH186" s="85"/>
    </row>
    <row r="187" spans="26:60" ht="15.75" thickBot="1" x14ac:dyDescent="0.3">
      <c r="Z187" s="87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  <c r="AQ187" s="88"/>
      <c r="AR187" s="88"/>
      <c r="AS187" s="88"/>
      <c r="AT187" s="88"/>
      <c r="AU187" s="88"/>
      <c r="AV187" s="88"/>
      <c r="AW187" s="88"/>
      <c r="AX187" s="88"/>
      <c r="AY187" s="88"/>
      <c r="AZ187" s="88"/>
      <c r="BA187" s="88"/>
      <c r="BB187" s="88"/>
      <c r="BC187" s="88"/>
      <c r="BD187" s="88"/>
      <c r="BE187" s="88"/>
      <c r="BF187" s="88"/>
      <c r="BG187" s="88"/>
      <c r="BH187" s="89"/>
    </row>
  </sheetData>
  <mergeCells count="1558">
    <mergeCell ref="AJ165:AL167"/>
    <mergeCell ref="AM165:AO167"/>
    <mergeCell ref="AP165:AS167"/>
    <mergeCell ref="AJ168:AL170"/>
    <mergeCell ref="AM168:AO170"/>
    <mergeCell ref="AP168:AS170"/>
    <mergeCell ref="AJ162:AL164"/>
    <mergeCell ref="AM162:AO164"/>
    <mergeCell ref="AP162:AS164"/>
    <mergeCell ref="BI45:BM47"/>
    <mergeCell ref="BN45:BR47"/>
    <mergeCell ref="A106:E108"/>
    <mergeCell ref="F106:J108"/>
    <mergeCell ref="K106:O108"/>
    <mergeCell ref="P106:T108"/>
    <mergeCell ref="U106:Y108"/>
    <mergeCell ref="Z106:AD108"/>
    <mergeCell ref="AE106:AI108"/>
    <mergeCell ref="AJ106:AN108"/>
    <mergeCell ref="AP153:AS155"/>
    <mergeCell ref="BK153:BM156"/>
    <mergeCell ref="BN153:BP156"/>
    <mergeCell ref="BQ153:BR156"/>
    <mergeCell ref="G130:I131"/>
    <mergeCell ref="G132:I132"/>
    <mergeCell ref="BL132:BR133"/>
    <mergeCell ref="G133:I133"/>
    <mergeCell ref="AJ138:AL140"/>
    <mergeCell ref="AM138:AO140"/>
    <mergeCell ref="AP138:AS140"/>
    <mergeCell ref="Z140:AD146"/>
    <mergeCell ref="BG124:BK133"/>
    <mergeCell ref="A45:E47"/>
    <mergeCell ref="F45:J47"/>
    <mergeCell ref="K45:O47"/>
    <mergeCell ref="P45:T47"/>
    <mergeCell ref="U45:Y47"/>
    <mergeCell ref="Z45:AD47"/>
    <mergeCell ref="AE45:AI47"/>
    <mergeCell ref="AJ45:AN47"/>
    <mergeCell ref="BI33:BM35"/>
    <mergeCell ref="BN33:BR35"/>
    <mergeCell ref="A39:E41"/>
    <mergeCell ref="F39:J41"/>
    <mergeCell ref="K39:O41"/>
    <mergeCell ref="P39:T41"/>
    <mergeCell ref="U39:Y41"/>
    <mergeCell ref="Z39:AD41"/>
    <mergeCell ref="AE39:AI41"/>
    <mergeCell ref="AJ39:AN41"/>
    <mergeCell ref="BI42:BI43"/>
    <mergeCell ref="BJ42:BM42"/>
    <mergeCell ref="BN42:BN43"/>
    <mergeCell ref="BO42:BR42"/>
    <mergeCell ref="A44:B44"/>
    <mergeCell ref="C44:E44"/>
    <mergeCell ref="F44:G44"/>
    <mergeCell ref="H44:J44"/>
    <mergeCell ref="AT42:AT43"/>
    <mergeCell ref="AU42:AX42"/>
    <mergeCell ref="AY42:AY43"/>
    <mergeCell ref="AZ42:BC42"/>
    <mergeCell ref="BD42:BD43"/>
    <mergeCell ref="BE42:BH42"/>
    <mergeCell ref="K33:O35"/>
    <mergeCell ref="P33:T35"/>
    <mergeCell ref="U33:Y35"/>
    <mergeCell ref="Z33:AD35"/>
    <mergeCell ref="AE33:AI35"/>
    <mergeCell ref="AJ33:AN35"/>
    <mergeCell ref="BI21:BM23"/>
    <mergeCell ref="BN21:BR23"/>
    <mergeCell ref="A27:E29"/>
    <mergeCell ref="F27:J29"/>
    <mergeCell ref="K27:O29"/>
    <mergeCell ref="P27:T29"/>
    <mergeCell ref="U27:Y29"/>
    <mergeCell ref="Z27:AD29"/>
    <mergeCell ref="AE27:AI29"/>
    <mergeCell ref="AJ27:AN29"/>
    <mergeCell ref="Z32:AA32"/>
    <mergeCell ref="AB32:AD32"/>
    <mergeCell ref="BI30:BI31"/>
    <mergeCell ref="BJ30:BM30"/>
    <mergeCell ref="BN30:BN31"/>
    <mergeCell ref="BO30:BR30"/>
    <mergeCell ref="A32:B32"/>
    <mergeCell ref="C32:E32"/>
    <mergeCell ref="F32:G32"/>
    <mergeCell ref="H32:J32"/>
    <mergeCell ref="K32:L32"/>
    <mergeCell ref="M32:O32"/>
    <mergeCell ref="A21:E23"/>
    <mergeCell ref="F21:J23"/>
    <mergeCell ref="K21:O23"/>
    <mergeCell ref="P21:T23"/>
    <mergeCell ref="U21:Y23"/>
    <mergeCell ref="Z21:AD23"/>
    <mergeCell ref="AE21:AI23"/>
    <mergeCell ref="AJ21:AN23"/>
    <mergeCell ref="BI9:BM11"/>
    <mergeCell ref="BN9:BR11"/>
    <mergeCell ref="A15:E17"/>
    <mergeCell ref="F15:J17"/>
    <mergeCell ref="K15:O17"/>
    <mergeCell ref="P15:T17"/>
    <mergeCell ref="U15:Y17"/>
    <mergeCell ref="Z15:AD17"/>
    <mergeCell ref="AE15:AI17"/>
    <mergeCell ref="AJ15:AN17"/>
    <mergeCell ref="BI18:BI19"/>
    <mergeCell ref="BJ18:BM18"/>
    <mergeCell ref="BN18:BN19"/>
    <mergeCell ref="BO18:BR18"/>
    <mergeCell ref="A20:B20"/>
    <mergeCell ref="C20:E20"/>
    <mergeCell ref="F20:G20"/>
    <mergeCell ref="H20:J20"/>
    <mergeCell ref="AT18:AT19"/>
    <mergeCell ref="AU18:AX18"/>
    <mergeCell ref="AY18:AY19"/>
    <mergeCell ref="AZ18:BC18"/>
    <mergeCell ref="AT21:AX23"/>
    <mergeCell ref="AY21:BC23"/>
    <mergeCell ref="BN20:BO20"/>
    <mergeCell ref="BP20:BR20"/>
    <mergeCell ref="AT20:AU20"/>
    <mergeCell ref="AV20:AX20"/>
    <mergeCell ref="BI3:BM5"/>
    <mergeCell ref="BN3:BR5"/>
    <mergeCell ref="A9:E11"/>
    <mergeCell ref="F9:J11"/>
    <mergeCell ref="K9:O11"/>
    <mergeCell ref="P9:T11"/>
    <mergeCell ref="U9:Y11"/>
    <mergeCell ref="Z9:AD11"/>
    <mergeCell ref="AE9:AI11"/>
    <mergeCell ref="AJ9:AN11"/>
    <mergeCell ref="BW164:CF168"/>
    <mergeCell ref="A3:E5"/>
    <mergeCell ref="F3:J5"/>
    <mergeCell ref="K3:O5"/>
    <mergeCell ref="P3:T5"/>
    <mergeCell ref="U3:Y5"/>
    <mergeCell ref="Z3:AD5"/>
    <mergeCell ref="AE3:AI5"/>
    <mergeCell ref="AJ3:AN5"/>
    <mergeCell ref="AO3:AS5"/>
    <mergeCell ref="BW155:CF157"/>
    <mergeCell ref="AJ156:AL158"/>
    <mergeCell ref="AM156:AO158"/>
    <mergeCell ref="AP156:AS158"/>
    <mergeCell ref="BW158:CF159"/>
    <mergeCell ref="AJ159:AL161"/>
    <mergeCell ref="AM159:AO161"/>
    <mergeCell ref="AP159:AS161"/>
    <mergeCell ref="BW160:CF163"/>
    <mergeCell ref="BW150:CF152"/>
    <mergeCell ref="AJ153:AL155"/>
    <mergeCell ref="AM153:AO155"/>
    <mergeCell ref="BS153:BT156"/>
    <mergeCell ref="BW153:CF154"/>
    <mergeCell ref="AU154:BD158"/>
    <mergeCell ref="BW147:CF149"/>
    <mergeCell ref="AU148:BD149"/>
    <mergeCell ref="AJ150:AL152"/>
    <mergeCell ref="AM150:AO152"/>
    <mergeCell ref="AP150:AS152"/>
    <mergeCell ref="AU150:BD153"/>
    <mergeCell ref="BK150:BM152"/>
    <mergeCell ref="BN150:BP152"/>
    <mergeCell ref="BQ150:BR152"/>
    <mergeCell ref="BS150:BT152"/>
    <mergeCell ref="AM141:AO143"/>
    <mergeCell ref="AP141:AS143"/>
    <mergeCell ref="AU143:BD144"/>
    <mergeCell ref="AJ144:AL146"/>
    <mergeCell ref="AM144:AO146"/>
    <mergeCell ref="AP144:AS146"/>
    <mergeCell ref="AU145:BD147"/>
    <mergeCell ref="AJ147:AL149"/>
    <mergeCell ref="AM147:AO149"/>
    <mergeCell ref="AP147:AS149"/>
    <mergeCell ref="AU140:BD142"/>
    <mergeCell ref="AJ141:AL143"/>
    <mergeCell ref="BL124:BO127"/>
    <mergeCell ref="BP124:BR127"/>
    <mergeCell ref="A125:C127"/>
    <mergeCell ref="D127:E127"/>
    <mergeCell ref="G127:I129"/>
    <mergeCell ref="X128:AI133"/>
    <mergeCell ref="AJ128:AT133"/>
    <mergeCell ref="AU128:BF133"/>
    <mergeCell ref="BL128:BR131"/>
    <mergeCell ref="BI115:BI116"/>
    <mergeCell ref="BJ115:BM115"/>
    <mergeCell ref="BN115:BN116"/>
    <mergeCell ref="BO115:BR115"/>
    <mergeCell ref="A124:C124"/>
    <mergeCell ref="D124:E124"/>
    <mergeCell ref="G124:I126"/>
    <mergeCell ref="X124:AI127"/>
    <mergeCell ref="AJ124:AS127"/>
    <mergeCell ref="AU124:BF127"/>
    <mergeCell ref="AT115:AT116"/>
    <mergeCell ref="AU115:AX115"/>
    <mergeCell ref="AY115:AY116"/>
    <mergeCell ref="AZ115:BC115"/>
    <mergeCell ref="BD115:BD116"/>
    <mergeCell ref="BE115:BH115"/>
    <mergeCell ref="AE115:AE116"/>
    <mergeCell ref="AF115:AI115"/>
    <mergeCell ref="AJ115:AJ116"/>
    <mergeCell ref="AK115:AN115"/>
    <mergeCell ref="AO115:AO116"/>
    <mergeCell ref="AP115:AS115"/>
    <mergeCell ref="P115:P116"/>
    <mergeCell ref="Q115:T115"/>
    <mergeCell ref="U115:U116"/>
    <mergeCell ref="V115:Y115"/>
    <mergeCell ref="Z115:Z116"/>
    <mergeCell ref="AA115:AD115"/>
    <mergeCell ref="AY112:BC114"/>
    <mergeCell ref="BD112:BH114"/>
    <mergeCell ref="BI112:BM114"/>
    <mergeCell ref="BN112:BR114"/>
    <mergeCell ref="A115:A116"/>
    <mergeCell ref="B115:E115"/>
    <mergeCell ref="F115:F116"/>
    <mergeCell ref="G115:J115"/>
    <mergeCell ref="K115:K116"/>
    <mergeCell ref="L115:O115"/>
    <mergeCell ref="U112:Y114"/>
    <mergeCell ref="Z112:AD114"/>
    <mergeCell ref="AE112:AI114"/>
    <mergeCell ref="AJ112:AN114"/>
    <mergeCell ref="AO112:AS114"/>
    <mergeCell ref="AT112:AX114"/>
    <mergeCell ref="BI111:BJ111"/>
    <mergeCell ref="BK111:BM111"/>
    <mergeCell ref="BN111:BO111"/>
    <mergeCell ref="BP111:BR111"/>
    <mergeCell ref="A112:B114"/>
    <mergeCell ref="C112:E114"/>
    <mergeCell ref="F112:G114"/>
    <mergeCell ref="H112:J114"/>
    <mergeCell ref="K112:O114"/>
    <mergeCell ref="P112:T114"/>
    <mergeCell ref="AT111:AU111"/>
    <mergeCell ref="AV111:AX111"/>
    <mergeCell ref="AY111:AZ111"/>
    <mergeCell ref="BA111:BC111"/>
    <mergeCell ref="BD111:BE111"/>
    <mergeCell ref="BF111:BH111"/>
    <mergeCell ref="AE111:AF111"/>
    <mergeCell ref="AG111:AI111"/>
    <mergeCell ref="AJ111:AK111"/>
    <mergeCell ref="AL111:AN111"/>
    <mergeCell ref="AO111:AP111"/>
    <mergeCell ref="AQ111:AS111"/>
    <mergeCell ref="P111:Q111"/>
    <mergeCell ref="R111:T111"/>
    <mergeCell ref="U111:V111"/>
    <mergeCell ref="W111:Y111"/>
    <mergeCell ref="Z111:AA111"/>
    <mergeCell ref="AB111:AD111"/>
    <mergeCell ref="A111:B111"/>
    <mergeCell ref="C111:E111"/>
    <mergeCell ref="F111:G111"/>
    <mergeCell ref="H111:J111"/>
    <mergeCell ref="K111:L111"/>
    <mergeCell ref="M111:O111"/>
    <mergeCell ref="AT109:AT110"/>
    <mergeCell ref="AU109:AX109"/>
    <mergeCell ref="AY109:AY110"/>
    <mergeCell ref="AZ109:BC109"/>
    <mergeCell ref="BD109:BD110"/>
    <mergeCell ref="BE109:BH109"/>
    <mergeCell ref="AE109:AE110"/>
    <mergeCell ref="AF109:AI109"/>
    <mergeCell ref="AJ109:AJ110"/>
    <mergeCell ref="AK109:AN109"/>
    <mergeCell ref="AO109:AO110"/>
    <mergeCell ref="AP109:AS109"/>
    <mergeCell ref="P109:P110"/>
    <mergeCell ref="Q109:T109"/>
    <mergeCell ref="U109:U110"/>
    <mergeCell ref="V109:Y109"/>
    <mergeCell ref="Z109:Z110"/>
    <mergeCell ref="AA109:AD109"/>
    <mergeCell ref="BI106:BJ108"/>
    <mergeCell ref="BK106:BM108"/>
    <mergeCell ref="BN106:BO108"/>
    <mergeCell ref="BP106:BR108"/>
    <mergeCell ref="A109:A110"/>
    <mergeCell ref="B109:E109"/>
    <mergeCell ref="F109:F110"/>
    <mergeCell ref="G109:J109"/>
    <mergeCell ref="K109:K110"/>
    <mergeCell ref="L109:O109"/>
    <mergeCell ref="AT106:AU108"/>
    <mergeCell ref="AV106:AX108"/>
    <mergeCell ref="AY106:AZ108"/>
    <mergeCell ref="BA106:BC108"/>
    <mergeCell ref="BD106:BE108"/>
    <mergeCell ref="BF106:BH108"/>
    <mergeCell ref="AO106:AP108"/>
    <mergeCell ref="AQ106:AS108"/>
    <mergeCell ref="BI109:BI110"/>
    <mergeCell ref="BJ109:BM109"/>
    <mergeCell ref="BN109:BN110"/>
    <mergeCell ref="BO109:BR109"/>
    <mergeCell ref="AT105:AU105"/>
    <mergeCell ref="AV105:AX105"/>
    <mergeCell ref="AY105:AZ105"/>
    <mergeCell ref="BA105:BC105"/>
    <mergeCell ref="BD105:BE105"/>
    <mergeCell ref="BF105:BH105"/>
    <mergeCell ref="AE105:AF105"/>
    <mergeCell ref="AG105:AI105"/>
    <mergeCell ref="AJ105:AK105"/>
    <mergeCell ref="AL105:AN105"/>
    <mergeCell ref="AO105:AP105"/>
    <mergeCell ref="AQ105:AS105"/>
    <mergeCell ref="P105:Q105"/>
    <mergeCell ref="R105:T105"/>
    <mergeCell ref="U105:V105"/>
    <mergeCell ref="W105:Y105"/>
    <mergeCell ref="Z105:AA105"/>
    <mergeCell ref="AB105:AD105"/>
    <mergeCell ref="BI103:BI104"/>
    <mergeCell ref="BJ103:BM103"/>
    <mergeCell ref="BN103:BN104"/>
    <mergeCell ref="BO103:BR103"/>
    <mergeCell ref="A105:B105"/>
    <mergeCell ref="C105:E105"/>
    <mergeCell ref="F105:G105"/>
    <mergeCell ref="H105:J105"/>
    <mergeCell ref="K105:L105"/>
    <mergeCell ref="M105:O105"/>
    <mergeCell ref="AT103:AT104"/>
    <mergeCell ref="AU103:AX103"/>
    <mergeCell ref="AY103:AY104"/>
    <mergeCell ref="AZ103:BC103"/>
    <mergeCell ref="BD103:BD104"/>
    <mergeCell ref="BE103:BH103"/>
    <mergeCell ref="AE103:AE104"/>
    <mergeCell ref="AF103:AI103"/>
    <mergeCell ref="AJ103:AJ104"/>
    <mergeCell ref="AK103:AN103"/>
    <mergeCell ref="AO103:AO104"/>
    <mergeCell ref="AP103:AS103"/>
    <mergeCell ref="P103:P104"/>
    <mergeCell ref="Q103:T103"/>
    <mergeCell ref="U103:U104"/>
    <mergeCell ref="V103:Y103"/>
    <mergeCell ref="Z103:Z104"/>
    <mergeCell ref="AA103:AD103"/>
    <mergeCell ref="BI105:BJ105"/>
    <mergeCell ref="BK105:BM105"/>
    <mergeCell ref="BN105:BO105"/>
    <mergeCell ref="BP105:BR105"/>
    <mergeCell ref="A103:A104"/>
    <mergeCell ref="B103:E103"/>
    <mergeCell ref="F103:F104"/>
    <mergeCell ref="G103:J103"/>
    <mergeCell ref="K103:K104"/>
    <mergeCell ref="L103:O103"/>
    <mergeCell ref="AT100:AU102"/>
    <mergeCell ref="AV100:AX102"/>
    <mergeCell ref="AY100:AZ102"/>
    <mergeCell ref="BA100:BC102"/>
    <mergeCell ref="BD100:BE102"/>
    <mergeCell ref="BF100:BH102"/>
    <mergeCell ref="AE100:AF102"/>
    <mergeCell ref="AG100:AI102"/>
    <mergeCell ref="AJ100:AK102"/>
    <mergeCell ref="AL100:AN102"/>
    <mergeCell ref="AO100:AP102"/>
    <mergeCell ref="AQ100:AS102"/>
    <mergeCell ref="P100:Q102"/>
    <mergeCell ref="R100:T102"/>
    <mergeCell ref="U100:V102"/>
    <mergeCell ref="W100:Y102"/>
    <mergeCell ref="Z100:AA102"/>
    <mergeCell ref="AB100:AD102"/>
    <mergeCell ref="BI99:BJ99"/>
    <mergeCell ref="BK99:BM99"/>
    <mergeCell ref="BN99:BO99"/>
    <mergeCell ref="BP99:BR99"/>
    <mergeCell ref="A100:B102"/>
    <mergeCell ref="C100:E102"/>
    <mergeCell ref="F100:G102"/>
    <mergeCell ref="H100:J102"/>
    <mergeCell ref="K100:L102"/>
    <mergeCell ref="M100:O102"/>
    <mergeCell ref="AT99:AU99"/>
    <mergeCell ref="AV99:AX99"/>
    <mergeCell ref="AY99:AZ99"/>
    <mergeCell ref="BA99:BC99"/>
    <mergeCell ref="BD99:BE99"/>
    <mergeCell ref="BF99:BH99"/>
    <mergeCell ref="AE99:AF99"/>
    <mergeCell ref="AG99:AI99"/>
    <mergeCell ref="AJ99:AK99"/>
    <mergeCell ref="AL99:AN99"/>
    <mergeCell ref="AO99:AP99"/>
    <mergeCell ref="AQ99:AS99"/>
    <mergeCell ref="P99:Q99"/>
    <mergeCell ref="R99:T99"/>
    <mergeCell ref="U99:V99"/>
    <mergeCell ref="W99:Y99"/>
    <mergeCell ref="Z99:AA99"/>
    <mergeCell ref="AB99:AD99"/>
    <mergeCell ref="BI100:BJ102"/>
    <mergeCell ref="BK100:BM102"/>
    <mergeCell ref="BN100:BO102"/>
    <mergeCell ref="BP100:BR102"/>
    <mergeCell ref="A99:B99"/>
    <mergeCell ref="C99:E99"/>
    <mergeCell ref="F99:G99"/>
    <mergeCell ref="H99:J99"/>
    <mergeCell ref="K99:L99"/>
    <mergeCell ref="M99:O99"/>
    <mergeCell ref="AT97:AT98"/>
    <mergeCell ref="AU97:AX97"/>
    <mergeCell ref="AY97:AY98"/>
    <mergeCell ref="AZ97:BC97"/>
    <mergeCell ref="BD97:BD98"/>
    <mergeCell ref="BE97:BH97"/>
    <mergeCell ref="AE97:AE98"/>
    <mergeCell ref="AF97:AI97"/>
    <mergeCell ref="AJ97:AJ98"/>
    <mergeCell ref="AK97:AN97"/>
    <mergeCell ref="AO97:AO98"/>
    <mergeCell ref="AP97:AS97"/>
    <mergeCell ref="P97:P98"/>
    <mergeCell ref="Q97:T97"/>
    <mergeCell ref="U97:U98"/>
    <mergeCell ref="V97:Y97"/>
    <mergeCell ref="Z97:Z98"/>
    <mergeCell ref="AA97:AD97"/>
    <mergeCell ref="BI94:BJ96"/>
    <mergeCell ref="BK94:BM96"/>
    <mergeCell ref="BN94:BO96"/>
    <mergeCell ref="BP94:BR96"/>
    <mergeCell ref="A97:A98"/>
    <mergeCell ref="B97:E97"/>
    <mergeCell ref="F97:F98"/>
    <mergeCell ref="G97:J97"/>
    <mergeCell ref="K97:K98"/>
    <mergeCell ref="L97:O97"/>
    <mergeCell ref="AT94:AU96"/>
    <mergeCell ref="AV94:AX96"/>
    <mergeCell ref="AY94:AZ96"/>
    <mergeCell ref="BA94:BC96"/>
    <mergeCell ref="BD94:BE96"/>
    <mergeCell ref="BF94:BH96"/>
    <mergeCell ref="AE94:AF96"/>
    <mergeCell ref="AG94:AI96"/>
    <mergeCell ref="AJ94:AK96"/>
    <mergeCell ref="AL94:AN96"/>
    <mergeCell ref="AO94:AP96"/>
    <mergeCell ref="AQ94:AS96"/>
    <mergeCell ref="P94:Q96"/>
    <mergeCell ref="R94:T96"/>
    <mergeCell ref="U94:V96"/>
    <mergeCell ref="W94:Y96"/>
    <mergeCell ref="Z94:AA96"/>
    <mergeCell ref="AB94:AD96"/>
    <mergeCell ref="BI97:BI98"/>
    <mergeCell ref="BJ97:BM97"/>
    <mergeCell ref="BN97:BN98"/>
    <mergeCell ref="BO97:BR97"/>
    <mergeCell ref="A94:B96"/>
    <mergeCell ref="C94:E96"/>
    <mergeCell ref="F94:G96"/>
    <mergeCell ref="H94:J96"/>
    <mergeCell ref="K94:L96"/>
    <mergeCell ref="M94:O96"/>
    <mergeCell ref="AT93:AU93"/>
    <mergeCell ref="AV93:AX93"/>
    <mergeCell ref="AY93:AZ93"/>
    <mergeCell ref="BA93:BC93"/>
    <mergeCell ref="BD93:BE93"/>
    <mergeCell ref="BF93:BH93"/>
    <mergeCell ref="AE93:AF93"/>
    <mergeCell ref="AG93:AI93"/>
    <mergeCell ref="AJ93:AK93"/>
    <mergeCell ref="AL93:AN93"/>
    <mergeCell ref="AO93:AP93"/>
    <mergeCell ref="AQ93:AS93"/>
    <mergeCell ref="P93:Q93"/>
    <mergeCell ref="R93:T93"/>
    <mergeCell ref="U93:V93"/>
    <mergeCell ref="W93:Y93"/>
    <mergeCell ref="Z93:AA93"/>
    <mergeCell ref="AB93:AD93"/>
    <mergeCell ref="BI91:BI92"/>
    <mergeCell ref="BJ91:BM91"/>
    <mergeCell ref="BN91:BN92"/>
    <mergeCell ref="BO91:BR91"/>
    <mergeCell ref="A93:B93"/>
    <mergeCell ref="C93:E93"/>
    <mergeCell ref="F93:G93"/>
    <mergeCell ref="H93:J93"/>
    <mergeCell ref="K93:L93"/>
    <mergeCell ref="M93:O93"/>
    <mergeCell ref="AT91:AT92"/>
    <mergeCell ref="AU91:AX91"/>
    <mergeCell ref="AY91:AY92"/>
    <mergeCell ref="AZ91:BC91"/>
    <mergeCell ref="BD91:BD92"/>
    <mergeCell ref="BE91:BH91"/>
    <mergeCell ref="AE91:AE92"/>
    <mergeCell ref="AF91:AI91"/>
    <mergeCell ref="AJ91:AJ92"/>
    <mergeCell ref="AK91:AN91"/>
    <mergeCell ref="AO91:AO92"/>
    <mergeCell ref="AP91:AS91"/>
    <mergeCell ref="P91:P92"/>
    <mergeCell ref="Q91:T91"/>
    <mergeCell ref="U91:U92"/>
    <mergeCell ref="V91:Y91"/>
    <mergeCell ref="Z91:Z92"/>
    <mergeCell ref="AA91:AD91"/>
    <mergeCell ref="BI93:BJ93"/>
    <mergeCell ref="BK93:BM93"/>
    <mergeCell ref="BN93:BO93"/>
    <mergeCell ref="BP93:BR93"/>
    <mergeCell ref="A91:A92"/>
    <mergeCell ref="B91:E91"/>
    <mergeCell ref="F91:F92"/>
    <mergeCell ref="G91:J91"/>
    <mergeCell ref="K91:K92"/>
    <mergeCell ref="L91:O91"/>
    <mergeCell ref="AT88:AU90"/>
    <mergeCell ref="AV88:AX90"/>
    <mergeCell ref="AY88:AZ90"/>
    <mergeCell ref="BA88:BC90"/>
    <mergeCell ref="BD88:BE90"/>
    <mergeCell ref="BF88:BH90"/>
    <mergeCell ref="AE88:AF90"/>
    <mergeCell ref="AG88:AI90"/>
    <mergeCell ref="AJ88:AK90"/>
    <mergeCell ref="AL88:AN90"/>
    <mergeCell ref="AO88:AP90"/>
    <mergeCell ref="AQ88:AS90"/>
    <mergeCell ref="P88:Q90"/>
    <mergeCell ref="R88:T90"/>
    <mergeCell ref="U88:V90"/>
    <mergeCell ref="W88:Y90"/>
    <mergeCell ref="Z88:AA90"/>
    <mergeCell ref="AB88:AD90"/>
    <mergeCell ref="BI87:BJ87"/>
    <mergeCell ref="BK87:BM87"/>
    <mergeCell ref="BN87:BO87"/>
    <mergeCell ref="BP87:BR87"/>
    <mergeCell ref="A88:B90"/>
    <mergeCell ref="C88:E90"/>
    <mergeCell ref="F88:G90"/>
    <mergeCell ref="H88:J90"/>
    <mergeCell ref="K88:L90"/>
    <mergeCell ref="M88:O90"/>
    <mergeCell ref="AT87:AU87"/>
    <mergeCell ref="AV87:AX87"/>
    <mergeCell ref="AY87:AZ87"/>
    <mergeCell ref="BA87:BC87"/>
    <mergeCell ref="BD87:BE87"/>
    <mergeCell ref="BF87:BH87"/>
    <mergeCell ref="AE87:AF87"/>
    <mergeCell ref="AG87:AI87"/>
    <mergeCell ref="AJ87:AK87"/>
    <mergeCell ref="AL87:AN87"/>
    <mergeCell ref="AO87:AP87"/>
    <mergeCell ref="AQ87:AS87"/>
    <mergeCell ref="P87:Q87"/>
    <mergeCell ref="R87:T87"/>
    <mergeCell ref="U87:V87"/>
    <mergeCell ref="W87:Y87"/>
    <mergeCell ref="Z87:AA87"/>
    <mergeCell ref="AB87:AD87"/>
    <mergeCell ref="BI88:BJ90"/>
    <mergeCell ref="BK88:BM90"/>
    <mergeCell ref="BN88:BO90"/>
    <mergeCell ref="BP88:BR90"/>
    <mergeCell ref="A87:B87"/>
    <mergeCell ref="C87:E87"/>
    <mergeCell ref="F87:G87"/>
    <mergeCell ref="H87:J87"/>
    <mergeCell ref="K87:L87"/>
    <mergeCell ref="M87:O87"/>
    <mergeCell ref="AT85:AT86"/>
    <mergeCell ref="AU85:AX85"/>
    <mergeCell ref="AY85:AY86"/>
    <mergeCell ref="AZ85:BC85"/>
    <mergeCell ref="BD85:BD86"/>
    <mergeCell ref="BE85:BH85"/>
    <mergeCell ref="AE85:AE86"/>
    <mergeCell ref="AF85:AI85"/>
    <mergeCell ref="AJ85:AJ86"/>
    <mergeCell ref="AK85:AN85"/>
    <mergeCell ref="AO85:AO86"/>
    <mergeCell ref="AP85:AS85"/>
    <mergeCell ref="P85:P86"/>
    <mergeCell ref="Q85:T85"/>
    <mergeCell ref="U85:U86"/>
    <mergeCell ref="V85:Y85"/>
    <mergeCell ref="Z85:Z86"/>
    <mergeCell ref="AA85:AD85"/>
    <mergeCell ref="BI82:BJ84"/>
    <mergeCell ref="BK82:BM84"/>
    <mergeCell ref="BN82:BO84"/>
    <mergeCell ref="BP82:BR84"/>
    <mergeCell ref="A85:A86"/>
    <mergeCell ref="B85:E85"/>
    <mergeCell ref="F85:F86"/>
    <mergeCell ref="G85:J85"/>
    <mergeCell ref="K85:K86"/>
    <mergeCell ref="L85:O85"/>
    <mergeCell ref="AT82:AU84"/>
    <mergeCell ref="AV82:AX84"/>
    <mergeCell ref="AY82:AZ84"/>
    <mergeCell ref="BA82:BC84"/>
    <mergeCell ref="BD82:BE84"/>
    <mergeCell ref="BF82:BH84"/>
    <mergeCell ref="AE82:AF84"/>
    <mergeCell ref="AG82:AI84"/>
    <mergeCell ref="AJ82:AK84"/>
    <mergeCell ref="AL82:AN84"/>
    <mergeCell ref="AO82:AP84"/>
    <mergeCell ref="AQ82:AS84"/>
    <mergeCell ref="P82:Q84"/>
    <mergeCell ref="R82:T84"/>
    <mergeCell ref="U82:V84"/>
    <mergeCell ref="W82:Y84"/>
    <mergeCell ref="Z82:AA84"/>
    <mergeCell ref="AB82:AD84"/>
    <mergeCell ref="BI85:BI86"/>
    <mergeCell ref="BJ85:BM85"/>
    <mergeCell ref="BN85:BN86"/>
    <mergeCell ref="BO85:BR85"/>
    <mergeCell ref="A82:B84"/>
    <mergeCell ref="C82:E84"/>
    <mergeCell ref="F82:G84"/>
    <mergeCell ref="H82:J84"/>
    <mergeCell ref="K82:L84"/>
    <mergeCell ref="M82:O84"/>
    <mergeCell ref="AT81:AU81"/>
    <mergeCell ref="AV81:AX81"/>
    <mergeCell ref="AY81:AZ81"/>
    <mergeCell ref="BA81:BC81"/>
    <mergeCell ref="BD81:BE81"/>
    <mergeCell ref="BF81:BH81"/>
    <mergeCell ref="AE81:AF81"/>
    <mergeCell ref="AG81:AI81"/>
    <mergeCell ref="AJ81:AK81"/>
    <mergeCell ref="AL81:AN81"/>
    <mergeCell ref="AO81:AP81"/>
    <mergeCell ref="AQ81:AS81"/>
    <mergeCell ref="P81:Q81"/>
    <mergeCell ref="R81:T81"/>
    <mergeCell ref="U81:V81"/>
    <mergeCell ref="W81:Y81"/>
    <mergeCell ref="Z81:AA81"/>
    <mergeCell ref="AB81:AD81"/>
    <mergeCell ref="BO79:BR79"/>
    <mergeCell ref="A81:B81"/>
    <mergeCell ref="C81:E81"/>
    <mergeCell ref="F81:G81"/>
    <mergeCell ref="H81:J81"/>
    <mergeCell ref="K81:L81"/>
    <mergeCell ref="M81:O81"/>
    <mergeCell ref="AT79:AT80"/>
    <mergeCell ref="AU79:AX79"/>
    <mergeCell ref="AY79:AY80"/>
    <mergeCell ref="AZ79:BC79"/>
    <mergeCell ref="BD79:BD80"/>
    <mergeCell ref="BE79:BH79"/>
    <mergeCell ref="AE79:AE80"/>
    <mergeCell ref="AF79:AI79"/>
    <mergeCell ref="AJ79:AJ80"/>
    <mergeCell ref="AK79:AN79"/>
    <mergeCell ref="AO79:AO80"/>
    <mergeCell ref="AP79:AS79"/>
    <mergeCell ref="P79:P80"/>
    <mergeCell ref="Q79:T79"/>
    <mergeCell ref="U79:U80"/>
    <mergeCell ref="V79:Y79"/>
    <mergeCell ref="Z79:Z80"/>
    <mergeCell ref="AA79:AD79"/>
    <mergeCell ref="BI81:BJ81"/>
    <mergeCell ref="BK81:BM81"/>
    <mergeCell ref="BN81:BO81"/>
    <mergeCell ref="BP81:BR81"/>
    <mergeCell ref="BP76:BR78"/>
    <mergeCell ref="A79:A80"/>
    <mergeCell ref="B79:E79"/>
    <mergeCell ref="F79:F80"/>
    <mergeCell ref="G79:J79"/>
    <mergeCell ref="K79:K80"/>
    <mergeCell ref="L79:O79"/>
    <mergeCell ref="AT76:AU78"/>
    <mergeCell ref="AV76:AX78"/>
    <mergeCell ref="AY76:AZ78"/>
    <mergeCell ref="BA76:BC78"/>
    <mergeCell ref="BD76:BE78"/>
    <mergeCell ref="BF76:BH78"/>
    <mergeCell ref="AE76:AF78"/>
    <mergeCell ref="AG76:AI78"/>
    <mergeCell ref="AJ76:AK78"/>
    <mergeCell ref="AL76:AN78"/>
    <mergeCell ref="AO76:AP78"/>
    <mergeCell ref="AQ76:AS78"/>
    <mergeCell ref="P76:Q78"/>
    <mergeCell ref="R76:T78"/>
    <mergeCell ref="U76:V78"/>
    <mergeCell ref="W76:Y78"/>
    <mergeCell ref="Z76:AA78"/>
    <mergeCell ref="AB76:AD78"/>
    <mergeCell ref="A76:B78"/>
    <mergeCell ref="C76:E78"/>
    <mergeCell ref="F76:G78"/>
    <mergeCell ref="H76:J78"/>
    <mergeCell ref="BI79:BI80"/>
    <mergeCell ref="BJ79:BM79"/>
    <mergeCell ref="BN79:BN80"/>
    <mergeCell ref="K76:L78"/>
    <mergeCell ref="M76:O78"/>
    <mergeCell ref="BA75:BC75"/>
    <mergeCell ref="BD75:BE75"/>
    <mergeCell ref="BF75:BH75"/>
    <mergeCell ref="BI75:BJ75"/>
    <mergeCell ref="BK75:BM75"/>
    <mergeCell ref="BN75:BO75"/>
    <mergeCell ref="AL75:AN75"/>
    <mergeCell ref="AO75:AP75"/>
    <mergeCell ref="AQ75:AS75"/>
    <mergeCell ref="AT75:AU75"/>
    <mergeCell ref="AV75:AX75"/>
    <mergeCell ref="AY75:AZ75"/>
    <mergeCell ref="W75:Y75"/>
    <mergeCell ref="Z75:AA75"/>
    <mergeCell ref="AB75:AD75"/>
    <mergeCell ref="AE75:AF75"/>
    <mergeCell ref="AG75:AI75"/>
    <mergeCell ref="AJ75:AK75"/>
    <mergeCell ref="BI76:BJ78"/>
    <mergeCell ref="BK76:BM78"/>
    <mergeCell ref="BN76:BO78"/>
    <mergeCell ref="FJ74:FP75"/>
    <mergeCell ref="A75:B75"/>
    <mergeCell ref="C75:E75"/>
    <mergeCell ref="F75:G75"/>
    <mergeCell ref="H75:J75"/>
    <mergeCell ref="K75:L75"/>
    <mergeCell ref="M75:O75"/>
    <mergeCell ref="P75:Q75"/>
    <mergeCell ref="R75:T75"/>
    <mergeCell ref="U75:V75"/>
    <mergeCell ref="AU73:AX73"/>
    <mergeCell ref="AY73:AY74"/>
    <mergeCell ref="AZ73:BC73"/>
    <mergeCell ref="BD73:BD74"/>
    <mergeCell ref="BE73:BH73"/>
    <mergeCell ref="BI73:BI74"/>
    <mergeCell ref="AF73:AI73"/>
    <mergeCell ref="AJ73:AJ74"/>
    <mergeCell ref="AK73:AN73"/>
    <mergeCell ref="AO73:AO74"/>
    <mergeCell ref="AP73:AS73"/>
    <mergeCell ref="AT73:AT74"/>
    <mergeCell ref="Q73:T73"/>
    <mergeCell ref="U73:U74"/>
    <mergeCell ref="V73:Y73"/>
    <mergeCell ref="Z73:Z74"/>
    <mergeCell ref="AA73:AD73"/>
    <mergeCell ref="AE73:AE74"/>
    <mergeCell ref="ES70:FD75"/>
    <mergeCell ref="FJ70:FP73"/>
    <mergeCell ref="DE72:DG75"/>
    <mergeCell ref="A73:A74"/>
    <mergeCell ref="B73:E73"/>
    <mergeCell ref="F73:F74"/>
    <mergeCell ref="G73:J73"/>
    <mergeCell ref="K73:K74"/>
    <mergeCell ref="L73:O73"/>
    <mergeCell ref="P73:P74"/>
    <mergeCell ref="BI70:BJ72"/>
    <mergeCell ref="BK70:BM72"/>
    <mergeCell ref="BN70:BO72"/>
    <mergeCell ref="BP70:BR72"/>
    <mergeCell ref="DV70:EG75"/>
    <mergeCell ref="EH70:ER75"/>
    <mergeCell ref="BJ73:BM73"/>
    <mergeCell ref="BN73:BN74"/>
    <mergeCell ref="BO73:BR73"/>
    <mergeCell ref="BP75:BR75"/>
    <mergeCell ref="AT70:AU72"/>
    <mergeCell ref="AV70:AX72"/>
    <mergeCell ref="AY70:AZ72"/>
    <mergeCell ref="BA70:BC72"/>
    <mergeCell ref="BD70:BE72"/>
    <mergeCell ref="BF70:BH72"/>
    <mergeCell ref="AE70:AF72"/>
    <mergeCell ref="AG70:AI72"/>
    <mergeCell ref="AJ70:AK72"/>
    <mergeCell ref="AL70:AN72"/>
    <mergeCell ref="AO70:AP72"/>
    <mergeCell ref="AQ70:AS72"/>
    <mergeCell ref="P70:Q72"/>
    <mergeCell ref="R70:T72"/>
    <mergeCell ref="U70:V72"/>
    <mergeCell ref="W70:Y72"/>
    <mergeCell ref="Z70:AA72"/>
    <mergeCell ref="AB70:AD72"/>
    <mergeCell ref="A70:B72"/>
    <mergeCell ref="C70:E72"/>
    <mergeCell ref="F70:G72"/>
    <mergeCell ref="H70:J72"/>
    <mergeCell ref="K70:L72"/>
    <mergeCell ref="M70:O72"/>
    <mergeCell ref="AT69:AU69"/>
    <mergeCell ref="AV69:AX69"/>
    <mergeCell ref="AY69:AZ69"/>
    <mergeCell ref="BA69:BC69"/>
    <mergeCell ref="BD69:BE69"/>
    <mergeCell ref="BF69:BH69"/>
    <mergeCell ref="AE69:AF69"/>
    <mergeCell ref="AG69:AI69"/>
    <mergeCell ref="AJ69:AK69"/>
    <mergeCell ref="AL69:AN69"/>
    <mergeCell ref="AO69:AP69"/>
    <mergeCell ref="AQ69:AS69"/>
    <mergeCell ref="P69:Q69"/>
    <mergeCell ref="R69:T69"/>
    <mergeCell ref="U69:V69"/>
    <mergeCell ref="W69:Y69"/>
    <mergeCell ref="Z69:AA69"/>
    <mergeCell ref="AB69:AD69"/>
    <mergeCell ref="A69:B69"/>
    <mergeCell ref="C69:E69"/>
    <mergeCell ref="F69:G69"/>
    <mergeCell ref="H69:J69"/>
    <mergeCell ref="K69:L69"/>
    <mergeCell ref="M69:O69"/>
    <mergeCell ref="BE67:BH67"/>
    <mergeCell ref="BI67:BI68"/>
    <mergeCell ref="BJ67:BM67"/>
    <mergeCell ref="BN67:BN68"/>
    <mergeCell ref="BO67:BR67"/>
    <mergeCell ref="CY67:DA69"/>
    <mergeCell ref="BI69:BJ69"/>
    <mergeCell ref="BK69:BM69"/>
    <mergeCell ref="BN69:BO69"/>
    <mergeCell ref="BP69:BR69"/>
    <mergeCell ref="AP67:AS67"/>
    <mergeCell ref="AT67:AT68"/>
    <mergeCell ref="AU67:AX67"/>
    <mergeCell ref="AY67:AY68"/>
    <mergeCell ref="AZ67:BC67"/>
    <mergeCell ref="BD67:BD68"/>
    <mergeCell ref="AA67:AD67"/>
    <mergeCell ref="AE67:AE68"/>
    <mergeCell ref="AF67:AI67"/>
    <mergeCell ref="AJ67:AJ68"/>
    <mergeCell ref="AK67:AN67"/>
    <mergeCell ref="AO67:AO68"/>
    <mergeCell ref="L67:O67"/>
    <mergeCell ref="P67:P68"/>
    <mergeCell ref="Q67:T67"/>
    <mergeCell ref="U67:U68"/>
    <mergeCell ref="V67:Y67"/>
    <mergeCell ref="Z67:Z68"/>
    <mergeCell ref="EH66:EQ69"/>
    <mergeCell ref="ES66:FD69"/>
    <mergeCell ref="FE66:FI75"/>
    <mergeCell ref="FJ66:FM69"/>
    <mergeCell ref="FN66:FP69"/>
    <mergeCell ref="A67:A68"/>
    <mergeCell ref="B67:E67"/>
    <mergeCell ref="F67:F68"/>
    <mergeCell ref="G67:J67"/>
    <mergeCell ref="K67:K68"/>
    <mergeCell ref="BN64:BO66"/>
    <mergeCell ref="BP64:BR66"/>
    <mergeCell ref="DV65:EG69"/>
    <mergeCell ref="CY66:DA66"/>
    <mergeCell ref="DB66:DC66"/>
    <mergeCell ref="DE66:DG68"/>
    <mergeCell ref="DB69:DC69"/>
    <mergeCell ref="DE69:DG71"/>
    <mergeCell ref="AY64:AZ66"/>
    <mergeCell ref="BA64:BC66"/>
    <mergeCell ref="BD64:BE66"/>
    <mergeCell ref="BF64:BH66"/>
    <mergeCell ref="BI64:BJ66"/>
    <mergeCell ref="BK64:BM66"/>
    <mergeCell ref="AJ64:AK66"/>
    <mergeCell ref="AL64:AN66"/>
    <mergeCell ref="AO64:AP66"/>
    <mergeCell ref="AQ64:AS66"/>
    <mergeCell ref="AT64:AU66"/>
    <mergeCell ref="AV64:AX66"/>
    <mergeCell ref="U64:V66"/>
    <mergeCell ref="W64:Y66"/>
    <mergeCell ref="Z64:AA66"/>
    <mergeCell ref="AB64:AD66"/>
    <mergeCell ref="AE64:AF66"/>
    <mergeCell ref="AG64:AI66"/>
    <mergeCell ref="BN63:BO63"/>
    <mergeCell ref="BP63:BR63"/>
    <mergeCell ref="A64:B66"/>
    <mergeCell ref="C64:E66"/>
    <mergeCell ref="F64:G66"/>
    <mergeCell ref="H64:J66"/>
    <mergeCell ref="K64:L66"/>
    <mergeCell ref="M64:O66"/>
    <mergeCell ref="P64:Q66"/>
    <mergeCell ref="R64:T66"/>
    <mergeCell ref="AY63:AZ63"/>
    <mergeCell ref="BA63:BC63"/>
    <mergeCell ref="BD63:BE63"/>
    <mergeCell ref="BF63:BH63"/>
    <mergeCell ref="BI63:BJ63"/>
    <mergeCell ref="BK63:BM63"/>
    <mergeCell ref="AJ63:AK63"/>
    <mergeCell ref="AL63:AN63"/>
    <mergeCell ref="AO63:AP63"/>
    <mergeCell ref="AQ63:AS63"/>
    <mergeCell ref="AT63:AU63"/>
    <mergeCell ref="AV63:AX63"/>
    <mergeCell ref="U63:V63"/>
    <mergeCell ref="W63:Y63"/>
    <mergeCell ref="Z63:AA63"/>
    <mergeCell ref="AB63:AD63"/>
    <mergeCell ref="AE63:AF63"/>
    <mergeCell ref="AG63:AI63"/>
    <mergeCell ref="BN60:BN61"/>
    <mergeCell ref="BO60:BR60"/>
    <mergeCell ref="A63:B63"/>
    <mergeCell ref="C63:E63"/>
    <mergeCell ref="F63:G63"/>
    <mergeCell ref="H63:J63"/>
    <mergeCell ref="K63:L63"/>
    <mergeCell ref="M63:O63"/>
    <mergeCell ref="P63:Q63"/>
    <mergeCell ref="R63:T63"/>
    <mergeCell ref="AY60:AY61"/>
    <mergeCell ref="AZ60:BC60"/>
    <mergeCell ref="BD60:BD61"/>
    <mergeCell ref="BE60:BH60"/>
    <mergeCell ref="BI60:BI61"/>
    <mergeCell ref="BJ60:BM60"/>
    <mergeCell ref="AJ60:AJ61"/>
    <mergeCell ref="AK60:AN60"/>
    <mergeCell ref="AO60:AO61"/>
    <mergeCell ref="AP60:AS60"/>
    <mergeCell ref="AT60:AT61"/>
    <mergeCell ref="AU60:AX60"/>
    <mergeCell ref="U60:U61"/>
    <mergeCell ref="V60:Y60"/>
    <mergeCell ref="Z60:Z61"/>
    <mergeCell ref="AA60:AD60"/>
    <mergeCell ref="AE60:AE61"/>
    <mergeCell ref="AF60:AI60"/>
    <mergeCell ref="BL59:BM59"/>
    <mergeCell ref="BQ59:BR59"/>
    <mergeCell ref="A60:A61"/>
    <mergeCell ref="B60:E60"/>
    <mergeCell ref="F60:F61"/>
    <mergeCell ref="G60:J60"/>
    <mergeCell ref="K60:K61"/>
    <mergeCell ref="L60:O60"/>
    <mergeCell ref="P60:P61"/>
    <mergeCell ref="Q60:T60"/>
    <mergeCell ref="BN57:BP59"/>
    <mergeCell ref="D59:E59"/>
    <mergeCell ref="I59:J59"/>
    <mergeCell ref="N59:O59"/>
    <mergeCell ref="S59:T59"/>
    <mergeCell ref="X59:Y59"/>
    <mergeCell ref="AC59:AD59"/>
    <mergeCell ref="AH59:AI59"/>
    <mergeCell ref="AM59:AN59"/>
    <mergeCell ref="AR59:AS59"/>
    <mergeCell ref="AJ57:AL59"/>
    <mergeCell ref="AO57:AQ59"/>
    <mergeCell ref="AT57:AV59"/>
    <mergeCell ref="AY57:BA59"/>
    <mergeCell ref="BD57:BF59"/>
    <mergeCell ref="BI57:BK59"/>
    <mergeCell ref="AW59:AX59"/>
    <mergeCell ref="BB59:BC59"/>
    <mergeCell ref="BG59:BH59"/>
    <mergeCell ref="BL56:BM56"/>
    <mergeCell ref="BN56:BP56"/>
    <mergeCell ref="BQ56:BR56"/>
    <mergeCell ref="A57:C59"/>
    <mergeCell ref="F57:H59"/>
    <mergeCell ref="K57:M59"/>
    <mergeCell ref="P57:R59"/>
    <mergeCell ref="U57:W59"/>
    <mergeCell ref="Z57:AB59"/>
    <mergeCell ref="AE57:AG59"/>
    <mergeCell ref="AW56:AX56"/>
    <mergeCell ref="AY56:BA56"/>
    <mergeCell ref="BB56:BC56"/>
    <mergeCell ref="BD56:BF56"/>
    <mergeCell ref="BG56:BH56"/>
    <mergeCell ref="BI56:BK56"/>
    <mergeCell ref="AH56:AI56"/>
    <mergeCell ref="AJ56:AL56"/>
    <mergeCell ref="AM56:AN56"/>
    <mergeCell ref="AO56:AQ56"/>
    <mergeCell ref="AR56:AS56"/>
    <mergeCell ref="AT56:AV56"/>
    <mergeCell ref="S56:T56"/>
    <mergeCell ref="U56:W56"/>
    <mergeCell ref="X56:Y56"/>
    <mergeCell ref="Z56:AB56"/>
    <mergeCell ref="AC56:AD56"/>
    <mergeCell ref="AE56:AG56"/>
    <mergeCell ref="A56:C56"/>
    <mergeCell ref="D56:E56"/>
    <mergeCell ref="F56:H56"/>
    <mergeCell ref="I56:J56"/>
    <mergeCell ref="K56:M56"/>
    <mergeCell ref="N56:O56"/>
    <mergeCell ref="P56:R56"/>
    <mergeCell ref="AU54:AX54"/>
    <mergeCell ref="AY54:AY55"/>
    <mergeCell ref="AZ54:BC54"/>
    <mergeCell ref="BD54:BD55"/>
    <mergeCell ref="BE54:BH54"/>
    <mergeCell ref="BI54:BI55"/>
    <mergeCell ref="AF54:AI54"/>
    <mergeCell ref="AJ54:AJ55"/>
    <mergeCell ref="AK54:AN54"/>
    <mergeCell ref="AO54:AO55"/>
    <mergeCell ref="AP54:AS54"/>
    <mergeCell ref="AT54:AT55"/>
    <mergeCell ref="Q54:T54"/>
    <mergeCell ref="U54:U55"/>
    <mergeCell ref="V54:Y54"/>
    <mergeCell ref="Z54:Z55"/>
    <mergeCell ref="AA54:AD54"/>
    <mergeCell ref="AE54:AE55"/>
    <mergeCell ref="A54:A55"/>
    <mergeCell ref="B54:E54"/>
    <mergeCell ref="F54:F55"/>
    <mergeCell ref="G54:J54"/>
    <mergeCell ref="K54:K55"/>
    <mergeCell ref="L54:O54"/>
    <mergeCell ref="P54:P55"/>
    <mergeCell ref="BI51:BK53"/>
    <mergeCell ref="BN51:BP53"/>
    <mergeCell ref="D53:E53"/>
    <mergeCell ref="I53:J53"/>
    <mergeCell ref="N53:O53"/>
    <mergeCell ref="S53:T53"/>
    <mergeCell ref="X53:Y53"/>
    <mergeCell ref="AC53:AD53"/>
    <mergeCell ref="AH53:AI53"/>
    <mergeCell ref="AM53:AN53"/>
    <mergeCell ref="AE51:AG53"/>
    <mergeCell ref="AJ51:AL53"/>
    <mergeCell ref="AO51:AQ53"/>
    <mergeCell ref="AT51:AV53"/>
    <mergeCell ref="AY51:BA53"/>
    <mergeCell ref="BD51:BF53"/>
    <mergeCell ref="AR53:AS53"/>
    <mergeCell ref="AW53:AX53"/>
    <mergeCell ref="BB53:BC53"/>
    <mergeCell ref="BJ54:BM54"/>
    <mergeCell ref="BN54:BN55"/>
    <mergeCell ref="BO54:BR54"/>
    <mergeCell ref="BN50:BP50"/>
    <mergeCell ref="BQ50:BR50"/>
    <mergeCell ref="A51:C53"/>
    <mergeCell ref="F51:H53"/>
    <mergeCell ref="K51:M53"/>
    <mergeCell ref="P51:R53"/>
    <mergeCell ref="U51:W53"/>
    <mergeCell ref="Z51:AB53"/>
    <mergeCell ref="AT50:AV50"/>
    <mergeCell ref="AW50:AX50"/>
    <mergeCell ref="AY50:BA50"/>
    <mergeCell ref="BB50:BC50"/>
    <mergeCell ref="BD50:BF50"/>
    <mergeCell ref="BG50:BH50"/>
    <mergeCell ref="AE50:AG50"/>
    <mergeCell ref="AH50:AI50"/>
    <mergeCell ref="AJ50:AL50"/>
    <mergeCell ref="AM50:AN50"/>
    <mergeCell ref="AO50:AQ50"/>
    <mergeCell ref="AR50:AS50"/>
    <mergeCell ref="P50:R50"/>
    <mergeCell ref="S50:T50"/>
    <mergeCell ref="U50:W50"/>
    <mergeCell ref="X50:Y50"/>
    <mergeCell ref="Z50:AB50"/>
    <mergeCell ref="AC50:AD50"/>
    <mergeCell ref="BG53:BH53"/>
    <mergeCell ref="BL53:BM53"/>
    <mergeCell ref="BQ53:BR53"/>
    <mergeCell ref="BN48:BN49"/>
    <mergeCell ref="BO48:BR48"/>
    <mergeCell ref="A50:C50"/>
    <mergeCell ref="D50:E50"/>
    <mergeCell ref="F50:H50"/>
    <mergeCell ref="I50:J50"/>
    <mergeCell ref="K50:M50"/>
    <mergeCell ref="N50:O50"/>
    <mergeCell ref="AT48:AT49"/>
    <mergeCell ref="AU48:AX48"/>
    <mergeCell ref="AY48:AY49"/>
    <mergeCell ref="AZ48:BC48"/>
    <mergeCell ref="BD48:BD49"/>
    <mergeCell ref="BE48:BH48"/>
    <mergeCell ref="AE48:AE49"/>
    <mergeCell ref="AF48:AI48"/>
    <mergeCell ref="AJ48:AJ49"/>
    <mergeCell ref="AK48:AN48"/>
    <mergeCell ref="AO48:AO49"/>
    <mergeCell ref="AP48:AS48"/>
    <mergeCell ref="P48:P49"/>
    <mergeCell ref="Q48:T48"/>
    <mergeCell ref="U48:U49"/>
    <mergeCell ref="V48:Y48"/>
    <mergeCell ref="Z48:Z49"/>
    <mergeCell ref="AA48:AD48"/>
    <mergeCell ref="A48:A49"/>
    <mergeCell ref="B48:E48"/>
    <mergeCell ref="F48:F49"/>
    <mergeCell ref="G48:J48"/>
    <mergeCell ref="BI50:BK50"/>
    <mergeCell ref="BL50:BM50"/>
    <mergeCell ref="K48:K49"/>
    <mergeCell ref="L48:O48"/>
    <mergeCell ref="AT45:AX47"/>
    <mergeCell ref="AY45:BC47"/>
    <mergeCell ref="BD45:BH47"/>
    <mergeCell ref="AO45:AS47"/>
    <mergeCell ref="BI44:BJ44"/>
    <mergeCell ref="BK44:BM44"/>
    <mergeCell ref="BN44:BO44"/>
    <mergeCell ref="BP44:BR44"/>
    <mergeCell ref="AT44:AU44"/>
    <mergeCell ref="AV44:AX44"/>
    <mergeCell ref="AY44:AZ44"/>
    <mergeCell ref="BA44:BC44"/>
    <mergeCell ref="BD44:BE44"/>
    <mergeCell ref="BF44:BH44"/>
    <mergeCell ref="AE44:AF44"/>
    <mergeCell ref="AG44:AI44"/>
    <mergeCell ref="AJ44:AK44"/>
    <mergeCell ref="AL44:AN44"/>
    <mergeCell ref="AO44:AP44"/>
    <mergeCell ref="AQ44:AS44"/>
    <mergeCell ref="P44:Q44"/>
    <mergeCell ref="R44:T44"/>
    <mergeCell ref="U44:V44"/>
    <mergeCell ref="W44:Y44"/>
    <mergeCell ref="Z44:AA44"/>
    <mergeCell ref="AB44:AD44"/>
    <mergeCell ref="K44:L44"/>
    <mergeCell ref="M44:O44"/>
    <mergeCell ref="BI48:BI49"/>
    <mergeCell ref="BJ48:BM48"/>
    <mergeCell ref="AE42:AE43"/>
    <mergeCell ref="AF42:AI42"/>
    <mergeCell ref="AJ42:AJ43"/>
    <mergeCell ref="AK42:AN42"/>
    <mergeCell ref="AO42:AO43"/>
    <mergeCell ref="AP42:AS42"/>
    <mergeCell ref="P42:P43"/>
    <mergeCell ref="Q42:T42"/>
    <mergeCell ref="U42:U43"/>
    <mergeCell ref="V42:Y42"/>
    <mergeCell ref="Z42:Z43"/>
    <mergeCell ref="AA42:AD42"/>
    <mergeCell ref="A42:A43"/>
    <mergeCell ref="B42:E42"/>
    <mergeCell ref="F42:F43"/>
    <mergeCell ref="G42:J42"/>
    <mergeCell ref="K42:K43"/>
    <mergeCell ref="L42:O42"/>
    <mergeCell ref="AT39:AX41"/>
    <mergeCell ref="AY39:BC41"/>
    <mergeCell ref="BD39:BH41"/>
    <mergeCell ref="AO39:AS41"/>
    <mergeCell ref="BI38:BJ38"/>
    <mergeCell ref="BK38:BM38"/>
    <mergeCell ref="BN38:BO38"/>
    <mergeCell ref="BP38:BR38"/>
    <mergeCell ref="AT38:AU38"/>
    <mergeCell ref="AV38:AX38"/>
    <mergeCell ref="AY38:AZ38"/>
    <mergeCell ref="BA38:BC38"/>
    <mergeCell ref="BD38:BE38"/>
    <mergeCell ref="BF38:BH38"/>
    <mergeCell ref="AE38:AF38"/>
    <mergeCell ref="AG38:AI38"/>
    <mergeCell ref="AJ38:AK38"/>
    <mergeCell ref="AL38:AN38"/>
    <mergeCell ref="AO38:AP38"/>
    <mergeCell ref="AQ38:AS38"/>
    <mergeCell ref="BI39:BM41"/>
    <mergeCell ref="BN39:BR41"/>
    <mergeCell ref="P38:Q38"/>
    <mergeCell ref="R38:T38"/>
    <mergeCell ref="U38:V38"/>
    <mergeCell ref="W38:Y38"/>
    <mergeCell ref="Z38:AA38"/>
    <mergeCell ref="AB38:AD38"/>
    <mergeCell ref="BI36:BI37"/>
    <mergeCell ref="BJ36:BM36"/>
    <mergeCell ref="BN36:BN37"/>
    <mergeCell ref="BO36:BR36"/>
    <mergeCell ref="A38:B38"/>
    <mergeCell ref="C38:E38"/>
    <mergeCell ref="F38:G38"/>
    <mergeCell ref="H38:J38"/>
    <mergeCell ref="K38:L38"/>
    <mergeCell ref="M38:O38"/>
    <mergeCell ref="AT36:AT37"/>
    <mergeCell ref="AU36:AX36"/>
    <mergeCell ref="AY36:AY37"/>
    <mergeCell ref="AZ36:BC36"/>
    <mergeCell ref="BD36:BD37"/>
    <mergeCell ref="BE36:BH36"/>
    <mergeCell ref="AE36:AE37"/>
    <mergeCell ref="AF36:AI36"/>
    <mergeCell ref="AJ36:AJ37"/>
    <mergeCell ref="AK36:AN36"/>
    <mergeCell ref="AO36:AO37"/>
    <mergeCell ref="AP36:AS36"/>
    <mergeCell ref="P36:P37"/>
    <mergeCell ref="Q36:T36"/>
    <mergeCell ref="U36:U37"/>
    <mergeCell ref="V36:Y36"/>
    <mergeCell ref="A36:A37"/>
    <mergeCell ref="B36:E36"/>
    <mergeCell ref="F36:F37"/>
    <mergeCell ref="G36:J36"/>
    <mergeCell ref="K36:K37"/>
    <mergeCell ref="L36:O36"/>
    <mergeCell ref="AT33:AX35"/>
    <mergeCell ref="AY33:BC35"/>
    <mergeCell ref="BD33:BH35"/>
    <mergeCell ref="AO33:AS35"/>
    <mergeCell ref="BI32:BJ32"/>
    <mergeCell ref="BK32:BM32"/>
    <mergeCell ref="BN32:BO32"/>
    <mergeCell ref="BP32:BR32"/>
    <mergeCell ref="AT32:AU32"/>
    <mergeCell ref="AV32:AX32"/>
    <mergeCell ref="AY32:AZ32"/>
    <mergeCell ref="BA32:BC32"/>
    <mergeCell ref="BD32:BE32"/>
    <mergeCell ref="BF32:BH32"/>
    <mergeCell ref="AE32:AF32"/>
    <mergeCell ref="AG32:AI32"/>
    <mergeCell ref="AJ32:AK32"/>
    <mergeCell ref="AL32:AN32"/>
    <mergeCell ref="AO32:AP32"/>
    <mergeCell ref="AQ32:AS32"/>
    <mergeCell ref="P32:Q32"/>
    <mergeCell ref="R32:T32"/>
    <mergeCell ref="U32:V32"/>
    <mergeCell ref="W32:Y32"/>
    <mergeCell ref="A33:E35"/>
    <mergeCell ref="F33:J35"/>
    <mergeCell ref="AY30:AY31"/>
    <mergeCell ref="AZ30:BC30"/>
    <mergeCell ref="BD30:BD31"/>
    <mergeCell ref="BE30:BH30"/>
    <mergeCell ref="AE30:AE31"/>
    <mergeCell ref="AF30:AI30"/>
    <mergeCell ref="AJ30:AJ31"/>
    <mergeCell ref="AK30:AN30"/>
    <mergeCell ref="AO30:AO31"/>
    <mergeCell ref="AP30:AS30"/>
    <mergeCell ref="P30:P31"/>
    <mergeCell ref="Q30:T30"/>
    <mergeCell ref="U30:U31"/>
    <mergeCell ref="V30:Y30"/>
    <mergeCell ref="Z30:Z31"/>
    <mergeCell ref="AA30:AD30"/>
    <mergeCell ref="Z36:Z37"/>
    <mergeCell ref="AA36:AD36"/>
    <mergeCell ref="AY27:BC29"/>
    <mergeCell ref="BD27:BH29"/>
    <mergeCell ref="AO27:AS29"/>
    <mergeCell ref="BI26:BJ26"/>
    <mergeCell ref="BK26:BM26"/>
    <mergeCell ref="BN26:BO26"/>
    <mergeCell ref="BP26:BR26"/>
    <mergeCell ref="AT26:AU26"/>
    <mergeCell ref="AV26:AX26"/>
    <mergeCell ref="AY26:AZ26"/>
    <mergeCell ref="BA26:BC26"/>
    <mergeCell ref="BD26:BE26"/>
    <mergeCell ref="BF26:BH26"/>
    <mergeCell ref="AE26:AF26"/>
    <mergeCell ref="AG26:AI26"/>
    <mergeCell ref="AJ26:AK26"/>
    <mergeCell ref="AL26:AN26"/>
    <mergeCell ref="AO26:AP26"/>
    <mergeCell ref="AQ26:AS26"/>
    <mergeCell ref="BI27:BM29"/>
    <mergeCell ref="BN27:BR29"/>
    <mergeCell ref="A24:A25"/>
    <mergeCell ref="B24:E24"/>
    <mergeCell ref="F24:F25"/>
    <mergeCell ref="G24:J24"/>
    <mergeCell ref="K24:K25"/>
    <mergeCell ref="L24:O24"/>
    <mergeCell ref="A30:A31"/>
    <mergeCell ref="B30:E30"/>
    <mergeCell ref="F30:F31"/>
    <mergeCell ref="G30:J30"/>
    <mergeCell ref="K30:K31"/>
    <mergeCell ref="L30:O30"/>
    <mergeCell ref="AT27:AX29"/>
    <mergeCell ref="P26:Q26"/>
    <mergeCell ref="R26:T26"/>
    <mergeCell ref="U26:V26"/>
    <mergeCell ref="W26:Y26"/>
    <mergeCell ref="Z26:AA26"/>
    <mergeCell ref="AB26:AD26"/>
    <mergeCell ref="AT30:AT31"/>
    <mergeCell ref="AU30:AX30"/>
    <mergeCell ref="AE20:AF20"/>
    <mergeCell ref="AG20:AI20"/>
    <mergeCell ref="AJ20:AK20"/>
    <mergeCell ref="AL20:AN20"/>
    <mergeCell ref="AO20:AP20"/>
    <mergeCell ref="AQ20:AS20"/>
    <mergeCell ref="BN24:BN25"/>
    <mergeCell ref="BO24:BR24"/>
    <mergeCell ref="A26:B26"/>
    <mergeCell ref="C26:E26"/>
    <mergeCell ref="F26:G26"/>
    <mergeCell ref="H26:J26"/>
    <mergeCell ref="K26:L26"/>
    <mergeCell ref="M26:O26"/>
    <mergeCell ref="AT24:AT25"/>
    <mergeCell ref="AU24:AX24"/>
    <mergeCell ref="AY24:AY25"/>
    <mergeCell ref="AZ24:BC24"/>
    <mergeCell ref="BD24:BD25"/>
    <mergeCell ref="BE24:BH24"/>
    <mergeCell ref="AE24:AE25"/>
    <mergeCell ref="AF24:AI24"/>
    <mergeCell ref="AJ24:AJ25"/>
    <mergeCell ref="AK24:AN24"/>
    <mergeCell ref="P20:Q20"/>
    <mergeCell ref="R20:T20"/>
    <mergeCell ref="U20:V20"/>
    <mergeCell ref="W20:Y20"/>
    <mergeCell ref="U24:U25"/>
    <mergeCell ref="V24:Y24"/>
    <mergeCell ref="Z24:Z25"/>
    <mergeCell ref="AA24:AD24"/>
    <mergeCell ref="Z20:AA20"/>
    <mergeCell ref="AB20:AD20"/>
    <mergeCell ref="K20:L20"/>
    <mergeCell ref="M20:O20"/>
    <mergeCell ref="BI24:BI25"/>
    <mergeCell ref="BJ24:BM24"/>
    <mergeCell ref="BD18:BD19"/>
    <mergeCell ref="BE18:BH18"/>
    <mergeCell ref="AE18:AE19"/>
    <mergeCell ref="AF18:AI18"/>
    <mergeCell ref="AJ18:AJ19"/>
    <mergeCell ref="AK18:AN18"/>
    <mergeCell ref="AO18:AO19"/>
    <mergeCell ref="AP18:AS18"/>
    <mergeCell ref="P18:P19"/>
    <mergeCell ref="Q18:T18"/>
    <mergeCell ref="U18:U19"/>
    <mergeCell ref="V18:Y18"/>
    <mergeCell ref="Z18:Z19"/>
    <mergeCell ref="AA18:AD18"/>
    <mergeCell ref="BD21:BH23"/>
    <mergeCell ref="AO21:AS23"/>
    <mergeCell ref="BI20:BJ20"/>
    <mergeCell ref="BK20:BM20"/>
    <mergeCell ref="AO24:AO25"/>
    <mergeCell ref="AP24:AS24"/>
    <mergeCell ref="P24:P25"/>
    <mergeCell ref="Q24:T24"/>
    <mergeCell ref="AY20:AZ20"/>
    <mergeCell ref="BA20:BC20"/>
    <mergeCell ref="BD20:BE20"/>
    <mergeCell ref="BF20:BH20"/>
    <mergeCell ref="A18:A19"/>
    <mergeCell ref="B18:E18"/>
    <mergeCell ref="F18:F19"/>
    <mergeCell ref="G18:J18"/>
    <mergeCell ref="K18:K19"/>
    <mergeCell ref="L18:O18"/>
    <mergeCell ref="AT15:AX17"/>
    <mergeCell ref="AY15:BC17"/>
    <mergeCell ref="BD15:BH17"/>
    <mergeCell ref="AO15:AS17"/>
    <mergeCell ref="BI14:BJ14"/>
    <mergeCell ref="BK14:BM14"/>
    <mergeCell ref="BN14:BO14"/>
    <mergeCell ref="BP14:BR14"/>
    <mergeCell ref="AT14:AU14"/>
    <mergeCell ref="AV14:AX14"/>
    <mergeCell ref="AY14:AZ14"/>
    <mergeCell ref="BA14:BC14"/>
    <mergeCell ref="BD14:BE14"/>
    <mergeCell ref="BF14:BH14"/>
    <mergeCell ref="AE14:AF14"/>
    <mergeCell ref="AG14:AI14"/>
    <mergeCell ref="AJ14:AK14"/>
    <mergeCell ref="AL14:AN14"/>
    <mergeCell ref="AO14:AP14"/>
    <mergeCell ref="AQ14:AS14"/>
    <mergeCell ref="BI15:BM17"/>
    <mergeCell ref="BN15:BR17"/>
    <mergeCell ref="P14:Q14"/>
    <mergeCell ref="R14:T14"/>
    <mergeCell ref="U14:V14"/>
    <mergeCell ref="W14:Y14"/>
    <mergeCell ref="Z14:AA14"/>
    <mergeCell ref="AB14:AD14"/>
    <mergeCell ref="BI12:BI13"/>
    <mergeCell ref="BJ12:BM12"/>
    <mergeCell ref="BN12:BN13"/>
    <mergeCell ref="BO12:BR12"/>
    <mergeCell ref="A14:B14"/>
    <mergeCell ref="C14:E14"/>
    <mergeCell ref="F14:G14"/>
    <mergeCell ref="H14:J14"/>
    <mergeCell ref="K14:L14"/>
    <mergeCell ref="M14:O14"/>
    <mergeCell ref="AT12:AT13"/>
    <mergeCell ref="AU12:AX12"/>
    <mergeCell ref="AY12:AY13"/>
    <mergeCell ref="AZ12:BC12"/>
    <mergeCell ref="BD12:BD13"/>
    <mergeCell ref="BE12:BH12"/>
    <mergeCell ref="AE12:AE13"/>
    <mergeCell ref="AF12:AI12"/>
    <mergeCell ref="AJ12:AJ13"/>
    <mergeCell ref="AK12:AN12"/>
    <mergeCell ref="AO12:AO13"/>
    <mergeCell ref="AP12:AS12"/>
    <mergeCell ref="P12:P13"/>
    <mergeCell ref="Q12:T12"/>
    <mergeCell ref="U12:U13"/>
    <mergeCell ref="V12:Y12"/>
    <mergeCell ref="Z12:Z13"/>
    <mergeCell ref="AA12:AD12"/>
    <mergeCell ref="A12:A13"/>
    <mergeCell ref="B12:E12"/>
    <mergeCell ref="F12:F13"/>
    <mergeCell ref="G12:J12"/>
    <mergeCell ref="K12:K13"/>
    <mergeCell ref="L12:O12"/>
    <mergeCell ref="AT9:AX11"/>
    <mergeCell ref="AY9:BC11"/>
    <mergeCell ref="BD9:BH11"/>
    <mergeCell ref="AO9:AS11"/>
    <mergeCell ref="BI8:BJ8"/>
    <mergeCell ref="BK8:BM8"/>
    <mergeCell ref="BN8:BO8"/>
    <mergeCell ref="BP8:BR8"/>
    <mergeCell ref="AT8:AU8"/>
    <mergeCell ref="AV8:AX8"/>
    <mergeCell ref="AY8:AZ8"/>
    <mergeCell ref="BA8:BC8"/>
    <mergeCell ref="BD8:BE8"/>
    <mergeCell ref="BF8:BH8"/>
    <mergeCell ref="AE8:AF8"/>
    <mergeCell ref="AG8:AI8"/>
    <mergeCell ref="AJ8:AK8"/>
    <mergeCell ref="AL8:AN8"/>
    <mergeCell ref="AO8:AP8"/>
    <mergeCell ref="AQ8:AS8"/>
    <mergeCell ref="P8:Q8"/>
    <mergeCell ref="R8:T8"/>
    <mergeCell ref="U8:V8"/>
    <mergeCell ref="W8:Y8"/>
    <mergeCell ref="AZ6:BC6"/>
    <mergeCell ref="BD6:BD7"/>
    <mergeCell ref="BE6:BH6"/>
    <mergeCell ref="AE6:AE7"/>
    <mergeCell ref="AF6:AI6"/>
    <mergeCell ref="AJ6:AJ7"/>
    <mergeCell ref="AK6:AN6"/>
    <mergeCell ref="AO6:AO7"/>
    <mergeCell ref="AP6:AS6"/>
    <mergeCell ref="P6:P7"/>
    <mergeCell ref="Q6:T6"/>
    <mergeCell ref="U6:U7"/>
    <mergeCell ref="V6:Y6"/>
    <mergeCell ref="Z6:Z7"/>
    <mergeCell ref="AA6:AD6"/>
    <mergeCell ref="A6:A7"/>
    <mergeCell ref="B6:E6"/>
    <mergeCell ref="BP2:BR2"/>
    <mergeCell ref="AT2:AU2"/>
    <mergeCell ref="AV2:AX2"/>
    <mergeCell ref="AY2:AZ2"/>
    <mergeCell ref="BA2:BC2"/>
    <mergeCell ref="BD2:BE2"/>
    <mergeCell ref="BF2:BH2"/>
    <mergeCell ref="AE2:AF2"/>
    <mergeCell ref="AG2:AI2"/>
    <mergeCell ref="AJ2:AK2"/>
    <mergeCell ref="AL2:AN2"/>
    <mergeCell ref="AO2:AP2"/>
    <mergeCell ref="AQ2:AS2"/>
    <mergeCell ref="P2:Q2"/>
    <mergeCell ref="R2:T2"/>
    <mergeCell ref="U2:V2"/>
    <mergeCell ref="W2:Y2"/>
    <mergeCell ref="Z2:AA2"/>
    <mergeCell ref="AB2:AD2"/>
    <mergeCell ref="E143:O156"/>
    <mergeCell ref="A2:B2"/>
    <mergeCell ref="C2:E2"/>
    <mergeCell ref="F2:G2"/>
    <mergeCell ref="H2:J2"/>
    <mergeCell ref="K2:L2"/>
    <mergeCell ref="M2:O2"/>
    <mergeCell ref="F6:F7"/>
    <mergeCell ref="G6:J6"/>
    <mergeCell ref="K6:K7"/>
    <mergeCell ref="L6:O6"/>
    <mergeCell ref="AT3:AX5"/>
    <mergeCell ref="AY3:BC5"/>
    <mergeCell ref="BD3:BH5"/>
    <mergeCell ref="BI2:BJ2"/>
    <mergeCell ref="BK2:BM2"/>
    <mergeCell ref="BN2:BO2"/>
    <mergeCell ref="Z8:AA8"/>
    <mergeCell ref="AB8:AD8"/>
    <mergeCell ref="BI6:BI7"/>
    <mergeCell ref="BJ6:BM6"/>
    <mergeCell ref="BN6:BN7"/>
    <mergeCell ref="BO6:BR6"/>
    <mergeCell ref="A8:B8"/>
    <mergeCell ref="C8:E8"/>
    <mergeCell ref="F8:G8"/>
    <mergeCell ref="H8:J8"/>
    <mergeCell ref="K8:L8"/>
    <mergeCell ref="M8:O8"/>
    <mergeCell ref="AT6:AT7"/>
    <mergeCell ref="AU6:AX6"/>
    <mergeCell ref="AY6:AY7"/>
  </mergeCells>
  <pageMargins left="0.85" right="0" top="0.7" bottom="0" header="0.3" footer="0.3"/>
  <pageSetup paperSize="8" scale="34" orientation="landscape" r:id="rId1"/>
  <headerFooter>
    <oddFooter>&amp;C&amp;"-,Bold Italic"&amp;16Prepared by Emir Cebecioglu&amp;RQuality Control Department</oddFooter>
  </headerFooter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3A334-CD99-47D4-B5BC-FF0C50EF5A45}">
  <sheetPr>
    <pageSetUpPr fitToPage="1"/>
  </sheetPr>
  <dimension ref="A1:CB77"/>
  <sheetViews>
    <sheetView view="pageBreakPreview" topLeftCell="E1" zoomScale="70" zoomScaleNormal="70" zoomScaleSheetLayoutView="70" zoomScalePageLayoutView="55" workbookViewId="0">
      <selection activeCell="O31" sqref="O31:R31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9.140625" customWidth="1"/>
    <col min="47" max="47" width="6.570312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1" customWidth="1"/>
    <col min="62" max="62" width="56.7109375" customWidth="1"/>
    <col min="63" max="63" width="13" customWidth="1"/>
    <col min="64" max="64" width="7" customWidth="1"/>
  </cols>
  <sheetData>
    <row r="1" spans="1:80" ht="283.5" customHeight="1" thickBot="1" x14ac:dyDescent="0.3"/>
    <row r="2" spans="1:80" ht="36" customHeight="1" thickTop="1" x14ac:dyDescent="0.25">
      <c r="A2" s="1371"/>
      <c r="B2" s="1371"/>
      <c r="C2" s="1371"/>
      <c r="D2" s="1371"/>
      <c r="E2" s="1370"/>
      <c r="F2" s="1744" t="s">
        <v>250</v>
      </c>
      <c r="G2" s="1745"/>
      <c r="H2" s="1745"/>
      <c r="I2" s="1742">
        <f>G7/((72*3.1415/59)*(65/3.281))</f>
        <v>1.3377317439135041E-3</v>
      </c>
      <c r="J2" s="1743"/>
      <c r="K2" s="1736" t="s">
        <v>250</v>
      </c>
      <c r="L2" s="1737"/>
      <c r="M2" s="1737"/>
      <c r="N2" s="1738">
        <f>L7/((72*3.1415/44)*(60/3.281))</f>
        <v>3.4848331476470901E-2</v>
      </c>
      <c r="O2" s="1739"/>
      <c r="P2" s="1736" t="s">
        <v>250</v>
      </c>
      <c r="Q2" s="1737"/>
      <c r="R2" s="1737"/>
      <c r="S2" s="1738">
        <f>Q7/((72*3.1415/44)*(60/3.281))</f>
        <v>1.1077854822831745E-2</v>
      </c>
      <c r="T2" s="1739"/>
      <c r="U2" s="2309" t="s">
        <v>250</v>
      </c>
      <c r="V2" s="2310"/>
      <c r="W2" s="2310"/>
      <c r="X2" s="2311">
        <f>V7/((72*3.1415/44)*(55/3.281))</f>
        <v>1.4436005446796468E-2</v>
      </c>
      <c r="Y2" s="2312"/>
      <c r="Z2" s="2309" t="s">
        <v>250</v>
      </c>
      <c r="AA2" s="2310"/>
      <c r="AB2" s="2310"/>
      <c r="AC2" s="2311">
        <f>AA7/((72*3.1415/44)*(55/3.281))</f>
        <v>5.8950890409747636E-3</v>
      </c>
      <c r="AD2" s="2312"/>
      <c r="AE2" s="3083" t="s">
        <v>250</v>
      </c>
      <c r="AF2" s="3084"/>
      <c r="AG2" s="3084"/>
      <c r="AH2" s="3085">
        <f>AF7/((72*3.1415/44)*(50/3.281))</f>
        <v>6.8088278423258522E-3</v>
      </c>
      <c r="AI2" s="3086"/>
      <c r="AJ2" s="3083" t="s">
        <v>250</v>
      </c>
      <c r="AK2" s="3084"/>
      <c r="AL2" s="3084"/>
      <c r="AM2" s="3085">
        <f>AK7/((72*3.1415/44)*(40/3.281))</f>
        <v>3.2422989725361196E-3</v>
      </c>
      <c r="AN2" s="3086"/>
      <c r="AO2" s="1371"/>
      <c r="AP2" s="1371"/>
      <c r="AQ2" s="1371"/>
      <c r="AR2" s="1371"/>
      <c r="AS2" s="3091" t="s">
        <v>250</v>
      </c>
      <c r="AT2" s="3092"/>
      <c r="AU2" s="3092"/>
      <c r="AV2" s="3093">
        <f>AT7/((72*3.1415/59)*(55/3.281))</f>
        <v>6.3238227894092912E-3</v>
      </c>
      <c r="AW2" s="3094"/>
      <c r="AX2" s="1370"/>
      <c r="AY2" s="674"/>
      <c r="AZ2" s="674"/>
      <c r="BA2" s="674"/>
      <c r="BB2" s="1300"/>
      <c r="BC2" s="1300"/>
      <c r="BD2" s="674"/>
      <c r="BE2" s="674"/>
      <c r="BF2" s="674"/>
      <c r="BG2" s="1300"/>
      <c r="BH2" s="1300"/>
      <c r="BM2" s="27"/>
      <c r="BN2" s="27"/>
      <c r="BO2" s="27"/>
      <c r="BP2" s="27"/>
      <c r="BQ2" s="27"/>
      <c r="BR2" s="27"/>
      <c r="BW2" s="27"/>
      <c r="BX2" s="27"/>
      <c r="BY2" s="27"/>
      <c r="BZ2" s="27"/>
      <c r="CA2" s="27"/>
      <c r="CB2" s="27"/>
    </row>
    <row r="3" spans="1:80" ht="9.9499999999999993" hidden="1" customHeight="1" x14ac:dyDescent="0.25">
      <c r="A3" s="32"/>
      <c r="B3" s="33"/>
      <c r="C3" s="34"/>
      <c r="D3" s="35"/>
      <c r="E3" s="1370"/>
      <c r="F3" s="1680" t="s">
        <v>111</v>
      </c>
      <c r="G3" s="1681"/>
      <c r="H3" s="1681"/>
      <c r="I3" s="1681"/>
      <c r="J3" s="1682"/>
      <c r="K3" s="1680" t="s">
        <v>111</v>
      </c>
      <c r="L3" s="1681"/>
      <c r="M3" s="1681"/>
      <c r="N3" s="1681"/>
      <c r="O3" s="1682"/>
      <c r="P3" s="1680" t="s">
        <v>111</v>
      </c>
      <c r="Q3" s="1681"/>
      <c r="R3" s="1681"/>
      <c r="S3" s="1681"/>
      <c r="T3" s="1682"/>
      <c r="U3" s="1680" t="s">
        <v>111</v>
      </c>
      <c r="V3" s="1681"/>
      <c r="W3" s="1681"/>
      <c r="X3" s="1681"/>
      <c r="Y3" s="1682"/>
      <c r="Z3" s="1680" t="s">
        <v>111</v>
      </c>
      <c r="AA3" s="1681"/>
      <c r="AB3" s="1681"/>
      <c r="AC3" s="1681"/>
      <c r="AD3" s="1682"/>
      <c r="AE3" s="1680" t="s">
        <v>111</v>
      </c>
      <c r="AF3" s="1681"/>
      <c r="AG3" s="1681"/>
      <c r="AH3" s="1681"/>
      <c r="AI3" s="1682"/>
      <c r="AJ3" s="1680" t="s">
        <v>111</v>
      </c>
      <c r="AK3" s="1681"/>
      <c r="AL3" s="1681"/>
      <c r="AM3" s="1681"/>
      <c r="AN3" s="1682"/>
      <c r="AO3" s="32"/>
      <c r="AP3" s="33"/>
      <c r="AQ3" s="34"/>
      <c r="AR3" s="35"/>
      <c r="AS3" s="1680" t="s">
        <v>111</v>
      </c>
      <c r="AT3" s="1681"/>
      <c r="AU3" s="1681"/>
      <c r="AV3" s="1681"/>
      <c r="AW3" s="1682"/>
      <c r="AX3" s="1370"/>
      <c r="AY3" s="676"/>
      <c r="AZ3" s="676"/>
      <c r="BA3" s="676"/>
      <c r="BB3" s="36"/>
      <c r="BC3" s="36"/>
      <c r="BD3" s="676"/>
      <c r="BE3" s="676"/>
      <c r="BF3" s="676"/>
      <c r="BG3" s="36"/>
      <c r="BH3" s="36"/>
    </row>
    <row r="4" spans="1:80" ht="24.95" hidden="1" customHeight="1" x14ac:dyDescent="0.25">
      <c r="A4" s="1371"/>
      <c r="B4" s="1371"/>
      <c r="C4" s="1371"/>
      <c r="D4" s="1371"/>
      <c r="E4" s="1370"/>
      <c r="F4" s="1683"/>
      <c r="G4" s="1684"/>
      <c r="H4" s="1684"/>
      <c r="I4" s="1684"/>
      <c r="J4" s="1685"/>
      <c r="K4" s="1683"/>
      <c r="L4" s="1684"/>
      <c r="M4" s="1684"/>
      <c r="N4" s="1684"/>
      <c r="O4" s="1685"/>
      <c r="P4" s="1683"/>
      <c r="Q4" s="1684"/>
      <c r="R4" s="1684"/>
      <c r="S4" s="1684"/>
      <c r="T4" s="1685"/>
      <c r="U4" s="1683"/>
      <c r="V4" s="1684"/>
      <c r="W4" s="1684"/>
      <c r="X4" s="1684"/>
      <c r="Y4" s="1685"/>
      <c r="Z4" s="1683"/>
      <c r="AA4" s="1684"/>
      <c r="AB4" s="1684"/>
      <c r="AC4" s="1684"/>
      <c r="AD4" s="1685"/>
      <c r="AE4" s="1683"/>
      <c r="AF4" s="1684"/>
      <c r="AG4" s="1684"/>
      <c r="AH4" s="1684"/>
      <c r="AI4" s="1685"/>
      <c r="AJ4" s="1683"/>
      <c r="AK4" s="1684"/>
      <c r="AL4" s="1684"/>
      <c r="AM4" s="1684"/>
      <c r="AN4" s="1685"/>
      <c r="AO4" s="1371"/>
      <c r="AP4" s="1371"/>
      <c r="AQ4" s="1371"/>
      <c r="AR4" s="1371"/>
      <c r="AS4" s="1683"/>
      <c r="AT4" s="1684"/>
      <c r="AU4" s="1684"/>
      <c r="AV4" s="1684"/>
      <c r="AW4" s="1685"/>
      <c r="AX4" s="1370"/>
      <c r="AY4" s="676"/>
      <c r="AZ4" s="676"/>
      <c r="BA4" s="676"/>
      <c r="BB4" s="36"/>
      <c r="BC4" s="36"/>
      <c r="BD4" s="676"/>
      <c r="BE4" s="676"/>
      <c r="BF4" s="676"/>
      <c r="BG4" s="36"/>
      <c r="BH4" s="36"/>
    </row>
    <row r="5" spans="1:80" ht="25.5" customHeight="1" x14ac:dyDescent="0.25">
      <c r="A5" s="32"/>
      <c r="B5" s="33"/>
      <c r="C5" s="34"/>
      <c r="D5" s="35"/>
      <c r="E5" s="1370"/>
      <c r="F5" s="1686"/>
      <c r="G5" s="1687"/>
      <c r="H5" s="1687"/>
      <c r="I5" s="1687"/>
      <c r="J5" s="1688"/>
      <c r="K5" s="1686"/>
      <c r="L5" s="1687"/>
      <c r="M5" s="1687"/>
      <c r="N5" s="1687"/>
      <c r="O5" s="1688"/>
      <c r="P5" s="1686"/>
      <c r="Q5" s="1687"/>
      <c r="R5" s="1687"/>
      <c r="S5" s="1687"/>
      <c r="T5" s="1688"/>
      <c r="U5" s="1686"/>
      <c r="V5" s="1687"/>
      <c r="W5" s="1687"/>
      <c r="X5" s="1687"/>
      <c r="Y5" s="1688"/>
      <c r="Z5" s="1686"/>
      <c r="AA5" s="1687"/>
      <c r="AB5" s="1687"/>
      <c r="AC5" s="1687"/>
      <c r="AD5" s="1688"/>
      <c r="AE5" s="1686"/>
      <c r="AF5" s="1687"/>
      <c r="AG5" s="1687"/>
      <c r="AH5" s="1687"/>
      <c r="AI5" s="1688"/>
      <c r="AJ5" s="1686"/>
      <c r="AK5" s="1687"/>
      <c r="AL5" s="1687"/>
      <c r="AM5" s="1687"/>
      <c r="AN5" s="1688"/>
      <c r="AO5" s="32"/>
      <c r="AP5" s="33"/>
      <c r="AQ5" s="34"/>
      <c r="AR5" s="35"/>
      <c r="AS5" s="1686"/>
      <c r="AT5" s="1687"/>
      <c r="AU5" s="1687"/>
      <c r="AV5" s="1687"/>
      <c r="AW5" s="1688"/>
      <c r="AX5" s="1370"/>
      <c r="AY5" s="676"/>
      <c r="AZ5" s="676"/>
      <c r="BA5" s="676"/>
      <c r="BB5" s="36"/>
      <c r="BC5" s="36"/>
      <c r="BD5" s="676"/>
      <c r="BE5" s="676"/>
      <c r="BF5" s="676"/>
      <c r="BG5" s="36"/>
      <c r="BH5" s="36"/>
    </row>
    <row r="6" spans="1:80" ht="72" customHeight="1" x14ac:dyDescent="0.25">
      <c r="A6" s="1371"/>
      <c r="B6" s="1371"/>
      <c r="C6" s="1371"/>
      <c r="D6" s="1371"/>
      <c r="E6" s="1370"/>
      <c r="F6" s="1721" t="s">
        <v>476</v>
      </c>
      <c r="G6" s="1714">
        <v>3</v>
      </c>
      <c r="H6" s="1715"/>
      <c r="I6" s="1715"/>
      <c r="J6" s="1716"/>
      <c r="K6" s="1719" t="s">
        <v>474</v>
      </c>
      <c r="L6" s="1714">
        <v>1</v>
      </c>
      <c r="M6" s="1715"/>
      <c r="N6" s="1715"/>
      <c r="O6" s="1716"/>
      <c r="P6" s="1719" t="s">
        <v>474</v>
      </c>
      <c r="Q6" s="1714">
        <v>4</v>
      </c>
      <c r="R6" s="1715"/>
      <c r="S6" s="1715"/>
      <c r="T6" s="1716"/>
      <c r="U6" s="2303" t="s">
        <v>475</v>
      </c>
      <c r="V6" s="1714">
        <v>2</v>
      </c>
      <c r="W6" s="1715"/>
      <c r="X6" s="1715"/>
      <c r="Y6" s="1716"/>
      <c r="Z6" s="2303" t="s">
        <v>475</v>
      </c>
      <c r="AA6" s="1714">
        <v>5</v>
      </c>
      <c r="AB6" s="1715"/>
      <c r="AC6" s="1715"/>
      <c r="AD6" s="1716"/>
      <c r="AE6" s="3087" t="s">
        <v>477</v>
      </c>
      <c r="AF6" s="1714">
        <v>7</v>
      </c>
      <c r="AG6" s="1715"/>
      <c r="AH6" s="1715"/>
      <c r="AI6" s="1716"/>
      <c r="AJ6" s="3087" t="s">
        <v>478</v>
      </c>
      <c r="AK6" s="1714">
        <v>6</v>
      </c>
      <c r="AL6" s="1715"/>
      <c r="AM6" s="1715"/>
      <c r="AN6" s="1716"/>
      <c r="AO6" s="1371"/>
      <c r="AP6" s="1371"/>
      <c r="AQ6" s="1371"/>
      <c r="AR6" s="1371"/>
      <c r="AS6" s="3089" t="s">
        <v>475</v>
      </c>
      <c r="AT6" s="1714">
        <v>1</v>
      </c>
      <c r="AU6" s="1715"/>
      <c r="AV6" s="1715"/>
      <c r="AW6" s="1716"/>
      <c r="AX6" s="1370"/>
      <c r="AY6" s="677"/>
      <c r="AZ6" s="1332"/>
      <c r="BA6" s="1332"/>
      <c r="BB6" s="1332"/>
      <c r="BC6" s="1332"/>
      <c r="BD6" s="677"/>
      <c r="BE6" s="1332"/>
      <c r="BF6" s="1332"/>
      <c r="BG6" s="1332"/>
      <c r="BH6" s="1332"/>
      <c r="BM6" s="27"/>
      <c r="BN6" s="27"/>
      <c r="BO6" s="27"/>
      <c r="BP6" s="27"/>
      <c r="BQ6" s="27"/>
      <c r="BR6" s="27"/>
      <c r="BW6" s="27"/>
      <c r="BX6" s="27"/>
      <c r="BY6" s="27"/>
      <c r="BZ6" s="27"/>
      <c r="CA6" s="27"/>
      <c r="CB6" s="27"/>
    </row>
    <row r="7" spans="1:80" ht="35.1" customHeight="1" thickBot="1" x14ac:dyDescent="0.3">
      <c r="A7" s="32"/>
      <c r="B7" s="33"/>
      <c r="C7" s="34"/>
      <c r="D7" s="35"/>
      <c r="E7" s="1370"/>
      <c r="F7" s="1722"/>
      <c r="G7" s="241">
        <v>0.1016</v>
      </c>
      <c r="H7" s="242" t="s">
        <v>113</v>
      </c>
      <c r="I7" s="243"/>
      <c r="J7" s="244" t="s">
        <v>114</v>
      </c>
      <c r="K7" s="1720"/>
      <c r="L7" s="241">
        <v>3.2759999999999998</v>
      </c>
      <c r="M7" s="242" t="s">
        <v>113</v>
      </c>
      <c r="N7" s="243"/>
      <c r="O7" s="244" t="s">
        <v>114</v>
      </c>
      <c r="P7" s="1720"/>
      <c r="Q7" s="241">
        <v>1.0414000000000001</v>
      </c>
      <c r="R7" s="242" t="s">
        <v>113</v>
      </c>
      <c r="S7" s="243"/>
      <c r="T7" s="244" t="s">
        <v>114</v>
      </c>
      <c r="U7" s="2304"/>
      <c r="V7" s="241">
        <v>1.244</v>
      </c>
      <c r="W7" s="242" t="s">
        <v>113</v>
      </c>
      <c r="X7" s="243">
        <v>1</v>
      </c>
      <c r="Y7" s="244" t="s">
        <v>114</v>
      </c>
      <c r="Z7" s="2304"/>
      <c r="AA7" s="241">
        <v>0.50800000000000001</v>
      </c>
      <c r="AB7" s="242" t="s">
        <v>113</v>
      </c>
      <c r="AC7" s="243">
        <v>1</v>
      </c>
      <c r="AD7" s="244" t="s">
        <v>114</v>
      </c>
      <c r="AE7" s="3088"/>
      <c r="AF7" s="241">
        <v>0.53339999999999999</v>
      </c>
      <c r="AG7" s="242" t="s">
        <v>113</v>
      </c>
      <c r="AH7" s="243"/>
      <c r="AI7" s="244" t="s">
        <v>114</v>
      </c>
      <c r="AJ7" s="3088"/>
      <c r="AK7" s="241">
        <v>0.20319999999999999</v>
      </c>
      <c r="AL7" s="242" t="s">
        <v>113</v>
      </c>
      <c r="AM7" s="243"/>
      <c r="AN7" s="244" t="s">
        <v>114</v>
      </c>
      <c r="AO7" s="32"/>
      <c r="AP7" s="33"/>
      <c r="AQ7" s="34"/>
      <c r="AR7" s="35"/>
      <c r="AS7" s="3090"/>
      <c r="AT7" s="241">
        <v>0.40639999999999998</v>
      </c>
      <c r="AU7" s="242" t="s">
        <v>113</v>
      </c>
      <c r="AV7" s="243"/>
      <c r="AW7" s="244" t="s">
        <v>114</v>
      </c>
      <c r="AX7" s="1370"/>
      <c r="AY7" s="677"/>
      <c r="AZ7" s="137"/>
      <c r="BA7" s="33"/>
      <c r="BB7" s="138"/>
      <c r="BC7" s="35"/>
      <c r="BD7" s="677"/>
      <c r="BE7" s="137"/>
      <c r="BF7" s="33"/>
      <c r="BG7" s="138"/>
      <c r="BH7" s="35"/>
      <c r="BM7" s="27"/>
      <c r="BN7" s="27"/>
      <c r="BO7" s="27"/>
      <c r="BP7" s="27"/>
      <c r="BQ7" s="27"/>
      <c r="BR7" s="27"/>
      <c r="BW7" s="27"/>
      <c r="BX7" s="27"/>
      <c r="BY7" s="27"/>
      <c r="BZ7" s="27"/>
      <c r="CA7" s="27"/>
      <c r="CB7" s="27"/>
    </row>
    <row r="8" spans="1:80" ht="30" customHeight="1" thickTop="1" x14ac:dyDescent="0.25">
      <c r="A8" s="1371"/>
      <c r="B8" s="1371"/>
      <c r="C8" s="1371"/>
      <c r="D8" s="1371"/>
      <c r="E8" s="1370"/>
      <c r="F8" s="1371"/>
      <c r="G8" s="1371"/>
      <c r="H8" s="1371"/>
      <c r="I8" s="1371"/>
      <c r="J8" s="1370"/>
      <c r="K8" s="1371"/>
      <c r="L8" s="1371"/>
      <c r="M8" s="1371"/>
      <c r="N8" s="1371"/>
      <c r="O8" s="1370"/>
      <c r="P8" s="1371"/>
      <c r="Q8" s="1371"/>
      <c r="R8" s="1371"/>
      <c r="S8" s="1371"/>
      <c r="T8" s="1370"/>
      <c r="U8" s="1371"/>
      <c r="V8" s="1371"/>
      <c r="W8" s="1371"/>
      <c r="X8" s="1371"/>
      <c r="Y8" s="1370"/>
      <c r="Z8" s="1371"/>
      <c r="AA8" s="1371"/>
      <c r="AB8" s="1371"/>
      <c r="AC8" s="1371"/>
      <c r="AD8" s="1370"/>
      <c r="AE8" s="1371"/>
      <c r="AF8" s="1371"/>
      <c r="AG8" s="1371"/>
      <c r="AH8" s="1371"/>
      <c r="AI8" s="1370"/>
      <c r="AJ8" s="1371"/>
      <c r="AK8" s="1371"/>
      <c r="AL8" s="1371"/>
      <c r="AM8" s="1371"/>
      <c r="AN8" s="1370"/>
      <c r="AO8" s="165"/>
      <c r="AP8" s="1997"/>
      <c r="AQ8" s="1998"/>
      <c r="AR8" s="1998"/>
      <c r="AS8" s="1998"/>
      <c r="AT8" s="1998"/>
      <c r="AU8" s="1998"/>
      <c r="AV8" s="1998"/>
      <c r="AW8" s="1998"/>
      <c r="AX8" s="165"/>
      <c r="AY8" s="674"/>
      <c r="AZ8" s="674"/>
      <c r="BA8" s="674"/>
      <c r="BB8" s="1300"/>
      <c r="BC8" s="1300"/>
      <c r="BD8" s="674"/>
      <c r="BE8" s="674"/>
      <c r="BF8" s="674"/>
      <c r="BG8" s="1300"/>
      <c r="BH8" s="1300"/>
      <c r="BM8" s="27"/>
      <c r="BN8" s="27"/>
      <c r="BO8" s="27"/>
      <c r="BP8" s="27"/>
      <c r="BQ8" s="27"/>
      <c r="BR8" s="27"/>
      <c r="BW8" s="27"/>
      <c r="BX8" s="27"/>
      <c r="BY8" s="27"/>
      <c r="BZ8" s="27"/>
      <c r="CA8" s="27"/>
      <c r="CB8" s="27"/>
    </row>
    <row r="9" spans="1:80" ht="30" customHeight="1" x14ac:dyDescent="0.25">
      <c r="A9" s="32"/>
      <c r="B9" s="33"/>
      <c r="C9" s="34"/>
      <c r="D9" s="35"/>
      <c r="E9" s="1370"/>
      <c r="F9" s="32"/>
      <c r="G9" s="33"/>
      <c r="H9" s="34"/>
      <c r="I9" s="35"/>
      <c r="J9" s="1370"/>
      <c r="K9" s="32"/>
      <c r="L9" s="33"/>
      <c r="M9" s="34"/>
      <c r="N9" s="35"/>
      <c r="O9" s="1370"/>
      <c r="P9" s="32"/>
      <c r="Q9" s="33"/>
      <c r="R9" s="34"/>
      <c r="S9" s="35"/>
      <c r="T9" s="1370"/>
      <c r="U9" s="32"/>
      <c r="V9" s="33"/>
      <c r="W9" s="34"/>
      <c r="X9" s="35"/>
      <c r="Y9" s="1370"/>
      <c r="Z9" s="32"/>
      <c r="AA9" s="33"/>
      <c r="AB9" s="34"/>
      <c r="AC9" s="35"/>
      <c r="AD9" s="1370"/>
      <c r="AE9" s="32"/>
      <c r="AF9" s="33"/>
      <c r="AG9" s="34"/>
      <c r="AH9" s="35"/>
      <c r="AI9" s="1370"/>
      <c r="AJ9" s="32"/>
      <c r="AK9" s="33"/>
      <c r="AL9" s="34"/>
      <c r="AM9" s="35"/>
      <c r="AN9" s="1370"/>
      <c r="AO9" s="165"/>
      <c r="AP9" s="1998"/>
      <c r="AQ9" s="1998"/>
      <c r="AR9" s="1998"/>
      <c r="AS9" s="1998"/>
      <c r="AT9" s="1998"/>
      <c r="AU9" s="1998"/>
      <c r="AV9" s="1998"/>
      <c r="AW9" s="1998"/>
      <c r="AX9" s="165"/>
      <c r="AY9" s="676"/>
      <c r="AZ9" s="676"/>
      <c r="BA9" s="676"/>
      <c r="BB9" s="36"/>
      <c r="BC9" s="36"/>
      <c r="BD9" s="676"/>
      <c r="BE9" s="676"/>
      <c r="BF9" s="676"/>
      <c r="BG9" s="36"/>
      <c r="BH9" s="36"/>
    </row>
    <row r="10" spans="1:80" ht="30" customHeight="1" x14ac:dyDescent="0.25">
      <c r="A10" s="1371"/>
      <c r="B10" s="1371"/>
      <c r="C10" s="1371"/>
      <c r="D10" s="1371"/>
      <c r="E10" s="1370"/>
      <c r="F10" s="1371"/>
      <c r="G10" s="1371"/>
      <c r="H10" s="1371"/>
      <c r="I10" s="1371"/>
      <c r="J10" s="1370"/>
      <c r="K10" s="1371"/>
      <c r="L10" s="1371"/>
      <c r="M10" s="1371"/>
      <c r="N10" s="1371"/>
      <c r="O10" s="1370"/>
      <c r="P10" s="1371"/>
      <c r="Q10" s="1371"/>
      <c r="R10" s="1371"/>
      <c r="S10" s="1371"/>
      <c r="T10" s="1370"/>
      <c r="U10" s="1371"/>
      <c r="V10" s="1371"/>
      <c r="W10" s="1371"/>
      <c r="X10" s="1371"/>
      <c r="Y10" s="1370"/>
      <c r="Z10" s="1371"/>
      <c r="AA10" s="1371"/>
      <c r="AB10" s="1371"/>
      <c r="AC10" s="1371"/>
      <c r="AD10" s="1370"/>
      <c r="AE10" s="1371"/>
      <c r="AF10" s="1371"/>
      <c r="AG10" s="1371"/>
      <c r="AH10" s="1371"/>
      <c r="AI10" s="1370"/>
      <c r="AJ10" s="1371"/>
      <c r="AK10" s="1371"/>
      <c r="AL10" s="1371"/>
      <c r="AM10" s="1371"/>
      <c r="AN10" s="1370"/>
      <c r="AO10" s="165"/>
      <c r="AP10" s="1998"/>
      <c r="AQ10" s="1998"/>
      <c r="AR10" s="1998"/>
      <c r="AS10" s="1998"/>
      <c r="AT10" s="1998"/>
      <c r="AU10" s="1998"/>
      <c r="AV10" s="1998"/>
      <c r="AW10" s="1998"/>
      <c r="AX10" s="165"/>
      <c r="AY10" s="676"/>
      <c r="AZ10" s="676"/>
      <c r="BA10" s="676"/>
      <c r="BB10" s="36"/>
      <c r="BC10" s="36"/>
      <c r="BD10" s="676"/>
      <c r="BE10" s="676"/>
      <c r="BF10" s="676"/>
      <c r="BG10" s="36"/>
      <c r="BH10" s="36"/>
    </row>
    <row r="11" spans="1:80" ht="30" customHeight="1" x14ac:dyDescent="0.25">
      <c r="A11" s="32"/>
      <c r="B11" s="33"/>
      <c r="C11" s="34"/>
      <c r="D11" s="35"/>
      <c r="E11" s="1370"/>
      <c r="F11" s="32"/>
      <c r="G11" s="33"/>
      <c r="H11" s="34"/>
      <c r="I11" s="35"/>
      <c r="J11" s="1370"/>
      <c r="K11" s="32"/>
      <c r="L11" s="33"/>
      <c r="M11" s="34"/>
      <c r="N11" s="35"/>
      <c r="O11" s="1370"/>
      <c r="P11" s="32"/>
      <c r="Q11" s="33"/>
      <c r="R11" s="34"/>
      <c r="S11" s="35"/>
      <c r="T11" s="1370"/>
      <c r="U11" s="32"/>
      <c r="V11" s="33"/>
      <c r="W11" s="34"/>
      <c r="X11" s="35"/>
      <c r="Y11" s="1370"/>
      <c r="Z11" s="32"/>
      <c r="AA11" s="33"/>
      <c r="AB11" s="34"/>
      <c r="AC11" s="35"/>
      <c r="AD11" s="1370"/>
      <c r="AE11" s="32"/>
      <c r="AF11" s="33"/>
      <c r="AG11" s="34"/>
      <c r="AH11" s="35"/>
      <c r="AI11" s="1370"/>
      <c r="AJ11" s="32"/>
      <c r="AK11" s="33"/>
      <c r="AL11" s="34"/>
      <c r="AM11" s="35"/>
      <c r="AN11" s="1370"/>
      <c r="AO11" s="165"/>
      <c r="AP11" s="1998"/>
      <c r="AQ11" s="1998"/>
      <c r="AR11" s="1998"/>
      <c r="AS11" s="1998"/>
      <c r="AT11" s="1998"/>
      <c r="AU11" s="1998"/>
      <c r="AV11" s="1998"/>
      <c r="AW11" s="1998"/>
      <c r="AX11" s="165"/>
      <c r="AY11" s="676"/>
      <c r="AZ11" s="676"/>
      <c r="BA11" s="676"/>
      <c r="BB11" s="36"/>
      <c r="BC11" s="36"/>
      <c r="BD11" s="676"/>
      <c r="BE11" s="676"/>
      <c r="BF11" s="676"/>
      <c r="BG11" s="36"/>
      <c r="BH11" s="36"/>
    </row>
    <row r="12" spans="1:80" ht="30" customHeight="1" x14ac:dyDescent="0.25">
      <c r="A12" s="1371"/>
      <c r="B12" s="1371"/>
      <c r="C12" s="1371"/>
      <c r="D12" s="1371"/>
      <c r="E12" s="1370"/>
      <c r="F12" s="1371"/>
      <c r="G12" s="1371"/>
      <c r="H12" s="1371"/>
      <c r="I12" s="1371"/>
      <c r="J12" s="1370"/>
      <c r="K12" s="1371"/>
      <c r="L12" s="1371"/>
      <c r="M12" s="1371"/>
      <c r="N12" s="1371"/>
      <c r="O12" s="1370"/>
      <c r="P12" s="1371"/>
      <c r="Q12" s="1371"/>
      <c r="R12" s="1371"/>
      <c r="S12" s="1371"/>
      <c r="T12" s="1370"/>
      <c r="U12" s="1371"/>
      <c r="V12" s="1371"/>
      <c r="W12" s="1371"/>
      <c r="X12" s="1371"/>
      <c r="Y12" s="1370"/>
      <c r="Z12" s="1371"/>
      <c r="AA12" s="1371"/>
      <c r="AB12" s="1371"/>
      <c r="AC12" s="1371"/>
      <c r="AD12" s="1370"/>
      <c r="AE12" s="1371"/>
      <c r="AF12" s="1371"/>
      <c r="AG12" s="1371"/>
      <c r="AH12" s="1371"/>
      <c r="AI12" s="1370"/>
      <c r="AJ12" s="1371"/>
      <c r="AK12" s="1371"/>
      <c r="AL12" s="1371"/>
      <c r="AM12" s="1371"/>
      <c r="AN12" s="1370"/>
      <c r="AO12" s="165"/>
      <c r="AP12" s="165"/>
      <c r="AQ12" s="165"/>
      <c r="AR12" s="165"/>
      <c r="AS12" s="165"/>
      <c r="AT12" s="165"/>
      <c r="AU12" s="165"/>
      <c r="AV12" s="165"/>
      <c r="AW12" s="165"/>
      <c r="AX12" s="165"/>
      <c r="AY12" s="677"/>
      <c r="AZ12" s="1332"/>
      <c r="BA12" s="1332"/>
      <c r="BB12" s="1332"/>
      <c r="BC12" s="1332"/>
      <c r="BD12" s="677"/>
      <c r="BE12" s="1332"/>
      <c r="BF12" s="1332"/>
      <c r="BG12" s="1332"/>
      <c r="BH12" s="1332"/>
      <c r="BM12" s="51"/>
      <c r="BN12" s="51"/>
      <c r="BO12" s="51"/>
      <c r="BP12" s="51"/>
      <c r="BQ12" s="51"/>
      <c r="BR12" s="51"/>
      <c r="BW12" s="27"/>
      <c r="BX12" s="27"/>
      <c r="BY12" s="27"/>
      <c r="BZ12" s="27"/>
      <c r="CA12" s="27"/>
      <c r="CB12" s="27"/>
    </row>
    <row r="13" spans="1:80" ht="30" customHeight="1" x14ac:dyDescent="0.25">
      <c r="A13" s="32"/>
      <c r="B13" s="33"/>
      <c r="C13" s="34"/>
      <c r="D13" s="35"/>
      <c r="E13" s="1370"/>
      <c r="F13" s="32"/>
      <c r="G13" s="33"/>
      <c r="H13" s="34"/>
      <c r="I13" s="35"/>
      <c r="J13" s="1370"/>
      <c r="K13" s="32"/>
      <c r="L13" s="33"/>
      <c r="M13" s="34"/>
      <c r="N13" s="35"/>
      <c r="O13" s="1370"/>
      <c r="P13" s="32"/>
      <c r="Q13" s="33"/>
      <c r="R13" s="34"/>
      <c r="S13" s="35"/>
      <c r="T13" s="1370"/>
      <c r="U13" s="32"/>
      <c r="V13" s="33"/>
      <c r="W13" s="34"/>
      <c r="X13" s="35"/>
      <c r="Y13" s="1370"/>
      <c r="Z13" s="32"/>
      <c r="AA13" s="33"/>
      <c r="AB13" s="34"/>
      <c r="AC13" s="35"/>
      <c r="AD13" s="1370"/>
      <c r="AE13" s="32"/>
      <c r="AF13" s="33"/>
      <c r="AG13" s="34"/>
      <c r="AH13" s="35"/>
      <c r="AI13" s="1370"/>
      <c r="AJ13" s="32"/>
      <c r="AK13" s="33"/>
      <c r="AL13" s="34"/>
      <c r="AM13" s="35"/>
      <c r="AN13" s="1370"/>
      <c r="AO13" s="165"/>
      <c r="AP13" s="165"/>
      <c r="AQ13" s="165"/>
      <c r="AR13" s="165"/>
      <c r="AS13" s="165"/>
      <c r="AT13" s="165"/>
      <c r="AU13" s="165"/>
      <c r="AV13" s="165"/>
      <c r="AW13" s="165"/>
      <c r="AX13" s="165"/>
      <c r="AY13" s="677"/>
      <c r="AZ13" s="137"/>
      <c r="BA13" s="33"/>
      <c r="BB13" s="138"/>
      <c r="BC13" s="35"/>
      <c r="BD13" s="677"/>
      <c r="BE13" s="137"/>
      <c r="BF13" s="33"/>
      <c r="BG13" s="138"/>
      <c r="BH13" s="35"/>
      <c r="BM13" s="51"/>
      <c r="BN13" s="51"/>
      <c r="BO13" s="51"/>
      <c r="BP13" s="51"/>
      <c r="BQ13" s="51"/>
      <c r="BR13" s="51"/>
      <c r="BW13" s="27"/>
      <c r="BX13" s="27"/>
      <c r="BY13" s="27"/>
      <c r="BZ13" s="27"/>
      <c r="CA13" s="27"/>
      <c r="CB13" s="27"/>
    </row>
    <row r="14" spans="1:80" ht="39.950000000000003" hidden="1" customHeight="1" thickTop="1" x14ac:dyDescent="0.25">
      <c r="A14" s="1695" t="s">
        <v>250</v>
      </c>
      <c r="B14" s="1696"/>
      <c r="C14" s="1696"/>
      <c r="D14" s="1697">
        <f>B19/((42*3.1415/59)*(30/3.281))</f>
        <v>0</v>
      </c>
      <c r="E14" s="1698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Z14" s="44"/>
      <c r="AA14" s="44"/>
      <c r="AB14" s="44"/>
      <c r="AC14" s="44"/>
      <c r="AD14" s="44"/>
      <c r="AE14" s="44"/>
      <c r="AF14" s="44"/>
      <c r="AG14" s="44"/>
      <c r="AH14" s="69"/>
      <c r="AI14" s="69"/>
      <c r="AJ14" s="44"/>
      <c r="AK14" s="44"/>
      <c r="AL14" s="44"/>
      <c r="AM14" s="69"/>
      <c r="AN14" s="69"/>
      <c r="AO14" s="674"/>
      <c r="AP14" s="674"/>
      <c r="AQ14" s="674"/>
      <c r="AR14" s="1300"/>
      <c r="AS14" s="1300"/>
      <c r="AT14" s="1389"/>
      <c r="AU14" s="1389"/>
      <c r="AV14" s="1389"/>
      <c r="AW14" s="1390"/>
      <c r="AX14" s="1390"/>
      <c r="AY14" s="674"/>
      <c r="AZ14" s="674"/>
      <c r="BA14" s="674"/>
      <c r="BB14" s="1300"/>
      <c r="BC14" s="1300"/>
      <c r="BD14" s="674"/>
      <c r="BE14" s="674"/>
      <c r="BF14" s="674"/>
      <c r="BG14" s="1300"/>
      <c r="BH14" s="1300"/>
      <c r="BM14" s="51"/>
      <c r="BN14" s="51"/>
      <c r="BO14" s="51"/>
      <c r="BP14" s="51"/>
      <c r="BQ14" s="51"/>
      <c r="BR14" s="51"/>
      <c r="BW14" s="27"/>
      <c r="BX14" s="27"/>
      <c r="BY14" s="27"/>
      <c r="BZ14" s="27"/>
      <c r="CA14" s="27"/>
      <c r="CB14" s="27"/>
    </row>
    <row r="15" spans="1:80" ht="9.9499999999999993" hidden="1" customHeight="1" x14ac:dyDescent="0.25">
      <c r="A15" s="1379" t="s">
        <v>252</v>
      </c>
      <c r="B15" s="1380"/>
      <c r="C15" s="1380"/>
      <c r="D15" s="1380"/>
      <c r="E15" s="1381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Z15" s="47"/>
      <c r="AA15" s="47"/>
      <c r="AB15" s="47"/>
      <c r="AC15" s="47"/>
      <c r="AD15" s="47"/>
      <c r="AE15" s="47"/>
      <c r="AF15" s="47"/>
      <c r="AG15" s="47"/>
      <c r="AH15" s="36"/>
      <c r="AI15" s="36"/>
      <c r="AJ15" s="47"/>
      <c r="AK15" s="47"/>
      <c r="AL15" s="47"/>
      <c r="AM15" s="36"/>
      <c r="AN15" s="36"/>
      <c r="AO15" s="676"/>
      <c r="AP15" s="676"/>
      <c r="AQ15" s="676"/>
      <c r="AR15" s="36"/>
      <c r="AS15" s="36"/>
      <c r="AT15" s="1388"/>
      <c r="AU15" s="1388"/>
      <c r="AV15" s="1388"/>
      <c r="AW15" s="139"/>
      <c r="AX15" s="139"/>
      <c r="AY15" s="676"/>
      <c r="AZ15" s="676"/>
      <c r="BA15" s="676"/>
      <c r="BB15" s="36"/>
      <c r="BC15" s="36"/>
      <c r="BD15" s="676"/>
      <c r="BE15" s="676"/>
      <c r="BF15" s="676"/>
      <c r="BG15" s="36"/>
      <c r="BH15" s="36"/>
    </row>
    <row r="16" spans="1:80" ht="24.95" hidden="1" customHeight="1" x14ac:dyDescent="0.25">
      <c r="A16" s="1382"/>
      <c r="B16" s="1383"/>
      <c r="C16" s="1383"/>
      <c r="D16" s="1383"/>
      <c r="E16" s="1384"/>
      <c r="F16" s="47"/>
      <c r="G16" s="47"/>
      <c r="H16" s="47"/>
      <c r="I16" s="47"/>
      <c r="J16" s="47"/>
      <c r="K16" s="47"/>
      <c r="L16" s="47"/>
      <c r="M16" s="285"/>
      <c r="N16" s="285"/>
      <c r="O16" s="285"/>
      <c r="P16" s="285"/>
      <c r="Q16" s="285"/>
      <c r="R16" s="47"/>
      <c r="S16" s="47"/>
      <c r="T16" s="47"/>
      <c r="Z16" s="47"/>
      <c r="AA16" s="47"/>
      <c r="AB16" s="47"/>
      <c r="AC16" s="47"/>
      <c r="AD16" s="47"/>
      <c r="AE16" s="47"/>
      <c r="AF16" s="47"/>
      <c r="AG16" s="47"/>
      <c r="AH16" s="140"/>
      <c r="AI16" s="36"/>
      <c r="AJ16" s="47"/>
      <c r="AK16" s="47"/>
      <c r="AL16" s="47"/>
      <c r="AM16" s="140"/>
      <c r="AN16" s="36"/>
      <c r="AO16" s="676"/>
      <c r="AP16" s="676"/>
      <c r="AQ16" s="676"/>
      <c r="AR16" s="140"/>
      <c r="AS16" s="36"/>
      <c r="AT16" s="1388"/>
      <c r="AU16" s="1388"/>
      <c r="AV16" s="1388"/>
      <c r="AW16" s="141"/>
      <c r="AX16" s="139"/>
      <c r="AY16" s="676"/>
      <c r="AZ16" s="676"/>
      <c r="BA16" s="676"/>
      <c r="BB16" s="36"/>
      <c r="BC16" s="36"/>
      <c r="BD16" s="676"/>
      <c r="BE16" s="676"/>
      <c r="BF16" s="676"/>
      <c r="BG16" s="36"/>
      <c r="BH16" s="36"/>
    </row>
    <row r="17" spans="1:80" ht="9.9499999999999993" hidden="1" customHeight="1" x14ac:dyDescent="0.25">
      <c r="A17" s="1385"/>
      <c r="B17" s="1386"/>
      <c r="C17" s="1386"/>
      <c r="D17" s="1386"/>
      <c r="E17" s="138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Z17" s="47"/>
      <c r="AA17" s="47"/>
      <c r="AB17" s="47"/>
      <c r="AC17" s="47"/>
      <c r="AD17" s="47"/>
      <c r="AE17" s="47"/>
      <c r="AF17" s="47"/>
      <c r="AG17" s="47"/>
      <c r="AH17" s="36"/>
      <c r="AI17" s="36"/>
      <c r="AJ17" s="47"/>
      <c r="AK17" s="47"/>
      <c r="AL17" s="47"/>
      <c r="AM17" s="36"/>
      <c r="AN17" s="36"/>
      <c r="AO17" s="676"/>
      <c r="AP17" s="676"/>
      <c r="AQ17" s="676"/>
      <c r="AR17" s="36"/>
      <c r="AS17" s="36"/>
      <c r="AT17" s="1388"/>
      <c r="AU17" s="1388"/>
      <c r="AV17" s="1388"/>
      <c r="AW17" s="139"/>
      <c r="AX17" s="139"/>
      <c r="AY17" s="676"/>
      <c r="AZ17" s="676"/>
      <c r="BA17" s="676"/>
      <c r="BB17" s="36"/>
      <c r="BC17" s="36"/>
      <c r="BD17" s="676"/>
      <c r="BE17" s="676"/>
      <c r="BF17" s="676"/>
      <c r="BG17" s="36"/>
      <c r="BH17" s="36"/>
    </row>
    <row r="18" spans="1:80" ht="72" hidden="1" customHeight="1" x14ac:dyDescent="0.25">
      <c r="A18" s="1374" t="s">
        <v>253</v>
      </c>
      <c r="B18" s="1376"/>
      <c r="C18" s="1377"/>
      <c r="D18" s="1377"/>
      <c r="E18" s="1378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3"/>
      <c r="AU18" s="143"/>
      <c r="AV18" s="143"/>
      <c r="AW18" s="143"/>
      <c r="AX18" s="143"/>
      <c r="AY18" s="677"/>
      <c r="AZ18" s="1332"/>
      <c r="BA18" s="1332"/>
      <c r="BB18" s="1332"/>
      <c r="BC18" s="1332"/>
      <c r="BD18" s="677"/>
      <c r="BE18" s="1332" t="s">
        <v>16</v>
      </c>
      <c r="BF18" s="1332"/>
      <c r="BG18" s="1332"/>
      <c r="BH18" s="1332"/>
      <c r="BM18" s="51"/>
      <c r="BN18" s="51"/>
      <c r="BO18" s="51"/>
      <c r="BP18" s="51"/>
      <c r="BQ18" s="51"/>
      <c r="BR18" s="51"/>
      <c r="BW18" s="27"/>
      <c r="BX18" s="27"/>
      <c r="BY18" s="27"/>
      <c r="BZ18" s="27"/>
      <c r="CA18" s="27"/>
      <c r="CB18" s="27"/>
    </row>
    <row r="19" spans="1:80" ht="35.1" hidden="1" customHeight="1" thickBot="1" x14ac:dyDescent="0.3">
      <c r="A19" s="1375"/>
      <c r="B19" s="144"/>
      <c r="C19" s="145" t="s">
        <v>113</v>
      </c>
      <c r="D19" s="146"/>
      <c r="E19" s="147" t="s">
        <v>114</v>
      </c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148"/>
      <c r="AU19" s="148"/>
      <c r="AV19" s="148"/>
      <c r="AW19" s="148"/>
      <c r="AX19" s="148"/>
      <c r="AY19" s="677"/>
      <c r="AZ19" s="137"/>
      <c r="BA19" s="33"/>
      <c r="BB19" s="138"/>
      <c r="BC19" s="35"/>
      <c r="BD19" s="677"/>
      <c r="BE19" s="137"/>
      <c r="BF19" s="33"/>
      <c r="BG19" s="138"/>
      <c r="BH19" s="35"/>
      <c r="BM19" s="51"/>
      <c r="BN19" s="51"/>
      <c r="BO19" s="51"/>
      <c r="BP19" s="51"/>
      <c r="BQ19" s="51"/>
      <c r="BR19" s="51"/>
      <c r="BW19" s="27"/>
      <c r="BX19" s="27"/>
      <c r="BY19" s="27"/>
      <c r="BZ19" s="27"/>
      <c r="CA19" s="27"/>
      <c r="CB19" s="27"/>
    </row>
    <row r="20" spans="1:80" ht="26.25" hidden="1" customHeight="1" x14ac:dyDescent="0.25">
      <c r="A20" s="1396"/>
      <c r="B20" s="1396"/>
      <c r="C20" s="1396"/>
      <c r="D20" s="1397"/>
      <c r="E20" s="1397"/>
      <c r="F20" s="674"/>
      <c r="G20" s="674"/>
      <c r="H20" s="674"/>
      <c r="I20" s="1300"/>
      <c r="J20" s="1300"/>
      <c r="K20" s="44"/>
      <c r="L20" s="44"/>
      <c r="M20" s="44"/>
      <c r="N20" s="69"/>
      <c r="O20" s="69"/>
      <c r="P20" s="44"/>
      <c r="Q20" s="44"/>
      <c r="R20" s="44"/>
      <c r="S20" s="69"/>
      <c r="T20" s="69"/>
      <c r="U20" s="44"/>
      <c r="V20" s="44"/>
      <c r="W20" s="44"/>
      <c r="X20" s="69"/>
      <c r="Y20" s="69"/>
      <c r="Z20" s="44"/>
      <c r="AA20" s="44"/>
      <c r="AB20" s="44"/>
      <c r="AC20" s="69"/>
      <c r="AD20" s="69"/>
      <c r="AE20" s="44"/>
      <c r="AF20" s="44"/>
      <c r="AG20" s="44"/>
      <c r="AH20" s="69"/>
      <c r="AI20" s="69"/>
      <c r="AJ20" s="44"/>
      <c r="AK20" s="44"/>
      <c r="AL20" s="44"/>
      <c r="AM20" s="69"/>
      <c r="AN20" s="69"/>
      <c r="AO20" s="674"/>
      <c r="AP20" s="674"/>
      <c r="AQ20" s="674"/>
      <c r="AR20" s="1300"/>
      <c r="AS20" s="1300"/>
      <c r="AT20" s="1389"/>
      <c r="AU20" s="1389"/>
      <c r="AV20" s="1389"/>
      <c r="AW20" s="1390"/>
      <c r="AX20" s="1390"/>
      <c r="AY20" s="674"/>
      <c r="AZ20" s="674"/>
      <c r="BA20" s="674"/>
      <c r="BB20" s="1300"/>
      <c r="BC20" s="1300"/>
      <c r="BD20" s="674"/>
      <c r="BE20" s="674"/>
      <c r="BF20" s="674"/>
      <c r="BG20" s="1300"/>
      <c r="BH20" s="1300"/>
      <c r="BM20" s="51"/>
      <c r="BN20" s="51"/>
      <c r="BO20" s="51"/>
      <c r="BP20" s="51"/>
      <c r="BQ20" s="51"/>
      <c r="BR20" s="51"/>
      <c r="BW20" s="27"/>
      <c r="BX20" s="27"/>
      <c r="BY20" s="27"/>
      <c r="BZ20" s="27"/>
      <c r="CA20" s="27"/>
      <c r="CB20" s="27"/>
    </row>
    <row r="21" spans="1:80" ht="18.75" hidden="1" customHeight="1" x14ac:dyDescent="0.25">
      <c r="A21" s="1395"/>
      <c r="B21" s="1395"/>
      <c r="C21" s="1395"/>
      <c r="D21" s="149"/>
      <c r="E21" s="149"/>
      <c r="F21" s="676"/>
      <c r="G21" s="676"/>
      <c r="H21" s="676"/>
      <c r="I21" s="36"/>
      <c r="J21" s="36"/>
      <c r="K21" s="47"/>
      <c r="L21" s="47"/>
      <c r="M21" s="47"/>
      <c r="N21" s="36"/>
      <c r="O21" s="36"/>
      <c r="P21" s="47"/>
      <c r="Q21" s="47"/>
      <c r="R21" s="47"/>
      <c r="S21" s="36"/>
      <c r="T21" s="36"/>
      <c r="U21" s="47"/>
      <c r="V21" s="47"/>
      <c r="W21" s="47"/>
      <c r="X21" s="36"/>
      <c r="Y21" s="36"/>
      <c r="Z21" s="47"/>
      <c r="AA21" s="47"/>
      <c r="AB21" s="47"/>
      <c r="AC21" s="36"/>
      <c r="AD21" s="36"/>
      <c r="AE21" s="47"/>
      <c r="AF21" s="47"/>
      <c r="AG21" s="47"/>
      <c r="AH21" s="36"/>
      <c r="AI21" s="36"/>
      <c r="AJ21" s="47"/>
      <c r="AK21" s="47"/>
      <c r="AL21" s="47"/>
      <c r="AM21" s="36"/>
      <c r="AN21" s="36"/>
      <c r="AO21" s="676"/>
      <c r="AP21" s="676"/>
      <c r="AQ21" s="676"/>
      <c r="AR21" s="36"/>
      <c r="AS21" s="36"/>
      <c r="AT21" s="1388"/>
      <c r="AU21" s="1388"/>
      <c r="AV21" s="1388"/>
      <c r="AW21" s="139"/>
      <c r="AX21" s="139"/>
      <c r="AY21" s="676"/>
      <c r="AZ21" s="676"/>
      <c r="BA21" s="676"/>
      <c r="BB21" s="36"/>
      <c r="BC21" s="36"/>
      <c r="BD21" s="676"/>
      <c r="BE21" s="676"/>
      <c r="BF21" s="676"/>
      <c r="BG21" s="36"/>
      <c r="BH21" s="36"/>
    </row>
    <row r="22" spans="1:80" ht="36" hidden="1" customHeight="1" x14ac:dyDescent="0.25">
      <c r="A22" s="1395"/>
      <c r="B22" s="1395"/>
      <c r="C22" s="1395"/>
      <c r="D22" s="150"/>
      <c r="E22" s="149"/>
      <c r="F22" s="676"/>
      <c r="G22" s="676"/>
      <c r="H22" s="676"/>
      <c r="I22" s="140"/>
      <c r="J22" s="36"/>
      <c r="K22" s="47"/>
      <c r="L22" s="47"/>
      <c r="M22" s="47"/>
      <c r="N22" s="140"/>
      <c r="O22" s="36"/>
      <c r="P22" s="47"/>
      <c r="Q22" s="47"/>
      <c r="R22" s="47"/>
      <c r="S22" s="140"/>
      <c r="T22" s="36"/>
      <c r="U22" s="47"/>
      <c r="V22" s="47"/>
      <c r="W22" s="47"/>
      <c r="X22" s="140"/>
      <c r="Y22" s="36"/>
      <c r="Z22" s="47"/>
      <c r="AA22" s="47"/>
      <c r="AB22" s="47"/>
      <c r="AC22" s="140"/>
      <c r="AD22" s="36"/>
      <c r="AE22" s="47"/>
      <c r="AF22" s="47"/>
      <c r="AG22" s="47"/>
      <c r="AH22" s="140"/>
      <c r="AI22" s="36"/>
      <c r="AJ22" s="47"/>
      <c r="AK22" s="47"/>
      <c r="AL22" s="47"/>
      <c r="AM22" s="140"/>
      <c r="AN22" s="36"/>
      <c r="AO22" s="676"/>
      <c r="AP22" s="676"/>
      <c r="AQ22" s="676"/>
      <c r="AR22" s="140"/>
      <c r="AS22" s="36"/>
      <c r="AT22" s="1388"/>
      <c r="AU22" s="1388"/>
      <c r="AV22" s="1388"/>
      <c r="AW22" s="141"/>
      <c r="AX22" s="139"/>
      <c r="AY22" s="676"/>
      <c r="AZ22" s="676"/>
      <c r="BA22" s="676"/>
      <c r="BB22" s="36"/>
      <c r="BC22" s="36"/>
      <c r="BD22" s="676"/>
      <c r="BE22" s="676"/>
      <c r="BF22" s="676"/>
      <c r="BG22" s="36"/>
      <c r="BH22" s="36"/>
    </row>
    <row r="23" spans="1:80" ht="18.75" hidden="1" customHeight="1" x14ac:dyDescent="0.25">
      <c r="A23" s="1395"/>
      <c r="B23" s="1395"/>
      <c r="C23" s="1395"/>
      <c r="D23" s="149"/>
      <c r="E23" s="149"/>
      <c r="F23" s="676"/>
      <c r="G23" s="676"/>
      <c r="H23" s="676"/>
      <c r="I23" s="36"/>
      <c r="J23" s="36"/>
      <c r="K23" s="47"/>
      <c r="L23" s="47"/>
      <c r="M23" s="47"/>
      <c r="N23" s="36"/>
      <c r="O23" s="36"/>
      <c r="P23" s="47"/>
      <c r="Q23" s="47"/>
      <c r="R23" s="47"/>
      <c r="S23" s="36"/>
      <c r="T23" s="36"/>
      <c r="U23" s="47"/>
      <c r="V23" s="47"/>
      <c r="W23" s="47"/>
      <c r="X23" s="36"/>
      <c r="Y23" s="36"/>
      <c r="Z23" s="47"/>
      <c r="AA23" s="47"/>
      <c r="AB23" s="47"/>
      <c r="AC23" s="36"/>
      <c r="AD23" s="36"/>
      <c r="AE23" s="47"/>
      <c r="AF23" s="47"/>
      <c r="AG23" s="47"/>
      <c r="AH23" s="36"/>
      <c r="AI23" s="36"/>
      <c r="AJ23" s="47"/>
      <c r="AK23" s="47"/>
      <c r="AL23" s="47"/>
      <c r="AM23" s="36"/>
      <c r="AN23" s="36"/>
      <c r="AO23" s="676"/>
      <c r="AP23" s="676"/>
      <c r="AQ23" s="676"/>
      <c r="AR23" s="36"/>
      <c r="AS23" s="36"/>
      <c r="AT23" s="1388"/>
      <c r="AU23" s="1388"/>
      <c r="AV23" s="1388"/>
      <c r="AW23" s="139"/>
      <c r="AX23" s="139"/>
      <c r="AY23" s="676"/>
      <c r="AZ23" s="676"/>
      <c r="BA23" s="676"/>
      <c r="BB23" s="36"/>
      <c r="BC23" s="36"/>
      <c r="BD23" s="676"/>
      <c r="BE23" s="676"/>
      <c r="BF23" s="676"/>
      <c r="BG23" s="36"/>
      <c r="BH23" s="36"/>
    </row>
    <row r="24" spans="1:80" ht="77.25" hidden="1" customHeight="1" x14ac:dyDescent="0.25">
      <c r="A24" s="1398"/>
      <c r="B24" s="1399"/>
      <c r="C24" s="1399"/>
      <c r="D24" s="1399"/>
      <c r="E24" s="1399"/>
      <c r="F24" s="1370"/>
      <c r="G24" s="1371"/>
      <c r="H24" s="1371"/>
      <c r="I24" s="1371"/>
      <c r="J24" s="1371"/>
      <c r="K24" s="230"/>
      <c r="L24" s="142"/>
      <c r="M24" s="142"/>
      <c r="N24" s="142"/>
      <c r="O24" s="142"/>
      <c r="P24" s="230"/>
      <c r="Q24" s="142"/>
      <c r="R24" s="142"/>
      <c r="S24" s="142"/>
      <c r="T24" s="142"/>
      <c r="U24" s="230"/>
      <c r="V24" s="142"/>
      <c r="W24" s="142"/>
      <c r="X24" s="142"/>
      <c r="Y24" s="142"/>
      <c r="Z24" s="230"/>
      <c r="AA24" s="142"/>
      <c r="AB24" s="142"/>
      <c r="AC24" s="142"/>
      <c r="AD24" s="142"/>
      <c r="AE24" s="230"/>
      <c r="AF24" s="142"/>
      <c r="AG24" s="142"/>
      <c r="AH24" s="142"/>
      <c r="AI24" s="142"/>
      <c r="AJ24" s="230"/>
      <c r="AK24" s="142"/>
      <c r="AL24" s="142"/>
      <c r="AM24" s="142"/>
      <c r="AN24" s="142"/>
      <c r="AO24" s="1370"/>
      <c r="AP24" s="1371"/>
      <c r="AQ24" s="1371"/>
      <c r="AR24" s="1371"/>
      <c r="AS24" s="1371"/>
      <c r="AT24" s="1439"/>
      <c r="AU24" s="1440"/>
      <c r="AV24" s="1440"/>
      <c r="AW24" s="1440"/>
      <c r="AX24" s="1440"/>
      <c r="AY24" s="677"/>
      <c r="AZ24" s="1332"/>
      <c r="BA24" s="1332"/>
      <c r="BB24" s="1332"/>
      <c r="BC24" s="1332"/>
      <c r="BD24" s="677"/>
      <c r="BE24" s="1332"/>
      <c r="BF24" s="1332"/>
      <c r="BG24" s="1332"/>
      <c r="BH24" s="1332"/>
      <c r="BM24" s="51"/>
      <c r="BN24" s="51"/>
      <c r="BO24" s="51"/>
      <c r="BP24" s="51"/>
      <c r="BQ24" s="51"/>
      <c r="BR24" s="51"/>
      <c r="BW24" s="27"/>
      <c r="BX24" s="27"/>
      <c r="BY24" s="27"/>
      <c r="BZ24" s="27"/>
      <c r="CA24" s="27"/>
      <c r="CB24" s="27"/>
    </row>
    <row r="25" spans="1:80" ht="26.25" hidden="1" customHeight="1" x14ac:dyDescent="0.25">
      <c r="A25" s="1398"/>
      <c r="B25" s="151"/>
      <c r="C25" s="152"/>
      <c r="D25" s="153"/>
      <c r="E25" s="154"/>
      <c r="F25" s="1370"/>
      <c r="G25" s="32"/>
      <c r="H25" s="33"/>
      <c r="I25" s="34"/>
      <c r="J25" s="35"/>
      <c r="K25" s="230"/>
      <c r="L25" s="32"/>
      <c r="M25" s="33"/>
      <c r="N25" s="34"/>
      <c r="O25" s="35"/>
      <c r="P25" s="230"/>
      <c r="Q25" s="32"/>
      <c r="R25" s="33"/>
      <c r="S25" s="34"/>
      <c r="T25" s="35"/>
      <c r="U25" s="230"/>
      <c r="V25" s="32"/>
      <c r="W25" s="33"/>
      <c r="X25" s="34"/>
      <c r="Y25" s="35"/>
      <c r="Z25" s="230"/>
      <c r="AA25" s="32"/>
      <c r="AB25" s="33"/>
      <c r="AC25" s="34"/>
      <c r="AD25" s="35"/>
      <c r="AE25" s="230"/>
      <c r="AF25" s="32"/>
      <c r="AG25" s="33"/>
      <c r="AH25" s="34"/>
      <c r="AI25" s="35"/>
      <c r="AJ25" s="230"/>
      <c r="AK25" s="32"/>
      <c r="AL25" s="33"/>
      <c r="AM25" s="34"/>
      <c r="AN25" s="35"/>
      <c r="AO25" s="1370"/>
      <c r="AP25" s="32"/>
      <c r="AQ25" s="33"/>
      <c r="AR25" s="34"/>
      <c r="AS25" s="35"/>
      <c r="AT25" s="1439"/>
      <c r="AU25" s="155"/>
      <c r="AV25" s="148"/>
      <c r="AW25" s="156"/>
      <c r="AX25" s="157"/>
      <c r="AY25" s="677"/>
      <c r="AZ25" s="137"/>
      <c r="BA25" s="33"/>
      <c r="BB25" s="138"/>
      <c r="BC25" s="35"/>
      <c r="BD25" s="677"/>
      <c r="BE25" s="137"/>
      <c r="BF25" s="33"/>
      <c r="BG25" s="138"/>
      <c r="BH25" s="35"/>
      <c r="BM25" s="51"/>
      <c r="BN25" s="51"/>
      <c r="BO25" s="51"/>
      <c r="BP25" s="51"/>
      <c r="BQ25" s="51"/>
      <c r="BR25" s="51"/>
      <c r="BW25" s="27"/>
      <c r="BX25" s="27"/>
      <c r="BY25" s="27"/>
      <c r="BZ25" s="27"/>
      <c r="CA25" s="27"/>
      <c r="CB25" s="27"/>
    </row>
    <row r="26" spans="1:80" ht="26.25" hidden="1" customHeight="1" x14ac:dyDescent="0.25">
      <c r="A26" s="1396"/>
      <c r="B26" s="1396"/>
      <c r="C26" s="1396"/>
      <c r="D26" s="1397"/>
      <c r="E26" s="1397"/>
      <c r="F26" s="674"/>
      <c r="G26" s="674"/>
      <c r="H26" s="674"/>
      <c r="I26" s="1300"/>
      <c r="J26" s="1300"/>
      <c r="K26" s="44"/>
      <c r="L26" s="44"/>
      <c r="M26" s="44"/>
      <c r="N26" s="69"/>
      <c r="O26" s="69"/>
      <c r="P26" s="44"/>
      <c r="Q26" s="44"/>
      <c r="R26" s="44"/>
      <c r="S26" s="69"/>
      <c r="T26" s="69"/>
      <c r="U26" s="44"/>
      <c r="V26" s="44"/>
      <c r="W26" s="44"/>
      <c r="X26" s="69"/>
      <c r="Y26" s="69"/>
      <c r="Z26" s="44"/>
      <c r="AA26" s="44"/>
      <c r="AB26" s="44"/>
      <c r="AC26" s="69"/>
      <c r="AD26" s="69"/>
      <c r="AE26" s="44"/>
      <c r="AF26" s="44"/>
      <c r="AG26" s="44"/>
      <c r="AH26" s="69"/>
      <c r="AI26" s="69"/>
      <c r="AJ26" s="44"/>
      <c r="AK26" s="44"/>
      <c r="AP26" s="44"/>
      <c r="AQ26" s="44"/>
      <c r="AT26" s="1389"/>
      <c r="AU26" s="1389"/>
      <c r="AV26" s="1389"/>
      <c r="AW26" s="1390"/>
      <c r="AX26" s="1390"/>
      <c r="AY26" s="674"/>
      <c r="AZ26" s="674"/>
      <c r="BA26" s="674"/>
      <c r="BB26" s="1300"/>
      <c r="BC26" s="1300"/>
      <c r="BD26" s="674"/>
      <c r="BE26" s="674"/>
      <c r="BF26" s="674"/>
      <c r="BG26" s="1300"/>
      <c r="BH26" s="1300"/>
      <c r="BM26" s="51"/>
      <c r="BN26" s="51"/>
      <c r="BO26" s="51"/>
      <c r="BP26" s="51"/>
      <c r="BQ26" s="51"/>
      <c r="BR26" s="51"/>
      <c r="BW26" s="27"/>
      <c r="BX26" s="27"/>
      <c r="BY26" s="27"/>
      <c r="BZ26" s="27"/>
      <c r="CA26" s="27"/>
      <c r="CB26" s="27"/>
    </row>
    <row r="27" spans="1:80" ht="21" hidden="1" customHeight="1" x14ac:dyDescent="0.25">
      <c r="A27" s="1395"/>
      <c r="B27" s="1395"/>
      <c r="C27" s="1395"/>
      <c r="D27" s="149"/>
      <c r="E27" s="149"/>
      <c r="F27" s="676"/>
      <c r="G27" s="676"/>
      <c r="H27" s="676"/>
      <c r="I27" s="36"/>
      <c r="J27" s="36"/>
      <c r="K27" s="47"/>
      <c r="L27" s="47"/>
      <c r="M27" s="47"/>
      <c r="N27" s="36"/>
      <c r="O27" s="36"/>
      <c r="P27" s="47"/>
      <c r="Q27" s="47"/>
      <c r="R27" s="47"/>
      <c r="S27" s="36"/>
      <c r="T27" s="36"/>
      <c r="U27" s="47"/>
      <c r="V27" s="47"/>
      <c r="W27" s="47"/>
      <c r="X27" s="36"/>
      <c r="Y27" s="36"/>
      <c r="Z27" s="47"/>
      <c r="AA27" s="47"/>
      <c r="AB27" s="47"/>
      <c r="AC27" s="36"/>
      <c r="AD27" s="36"/>
      <c r="AE27" s="47"/>
      <c r="AF27" s="47"/>
      <c r="AG27" s="47"/>
      <c r="AH27" s="36"/>
      <c r="AI27" s="36"/>
      <c r="AJ27" s="47"/>
      <c r="AK27" s="47"/>
      <c r="AP27" s="47"/>
      <c r="AQ27" s="47"/>
      <c r="AT27" s="1388"/>
      <c r="AU27" s="1388"/>
      <c r="AV27" s="1388"/>
      <c r="AW27" s="139"/>
      <c r="AX27" s="139"/>
      <c r="AY27" s="676"/>
      <c r="AZ27" s="676"/>
      <c r="BA27" s="676"/>
      <c r="BB27" s="36"/>
      <c r="BC27" s="36"/>
      <c r="BD27" s="676"/>
      <c r="BE27" s="676"/>
      <c r="BF27" s="676"/>
      <c r="BG27" s="36"/>
      <c r="BH27" s="36"/>
    </row>
    <row r="28" spans="1:80" ht="36" hidden="1" customHeight="1" x14ac:dyDescent="0.25">
      <c r="A28" s="1395"/>
      <c r="B28" s="1395"/>
      <c r="C28" s="1395"/>
      <c r="D28" s="150"/>
      <c r="E28" s="149"/>
      <c r="F28" s="676"/>
      <c r="G28" s="676"/>
      <c r="H28" s="676"/>
      <c r="I28" s="140"/>
      <c r="J28" s="36"/>
      <c r="K28" s="47"/>
      <c r="L28" s="47"/>
      <c r="M28" s="47"/>
      <c r="N28" s="140"/>
      <c r="O28" s="36"/>
      <c r="P28" s="47"/>
      <c r="Q28" s="47"/>
      <c r="R28" s="47"/>
      <c r="S28" s="140"/>
      <c r="T28" s="36"/>
      <c r="U28" s="47"/>
      <c r="V28" s="47"/>
      <c r="W28" s="47"/>
      <c r="X28" s="140"/>
      <c r="Y28" s="36"/>
      <c r="Z28" s="47"/>
      <c r="AA28" s="47"/>
      <c r="AB28" s="47"/>
      <c r="AC28" s="140"/>
      <c r="AD28" s="36"/>
      <c r="AE28" s="47"/>
      <c r="AF28" s="47"/>
      <c r="AG28" s="47"/>
      <c r="AH28" s="36"/>
      <c r="AI28" s="36"/>
      <c r="AJ28" s="47"/>
      <c r="AK28" s="47"/>
      <c r="AP28" s="47"/>
      <c r="AQ28" s="47"/>
      <c r="AT28" s="1388"/>
      <c r="AU28" s="1388"/>
      <c r="AV28" s="1388"/>
      <c r="AW28" s="139"/>
      <c r="AX28" s="139"/>
      <c r="AY28" s="676"/>
      <c r="AZ28" s="676"/>
      <c r="BA28" s="676"/>
      <c r="BB28" s="36"/>
      <c r="BC28" s="36"/>
      <c r="BD28" s="676"/>
      <c r="BE28" s="676"/>
      <c r="BF28" s="676"/>
      <c r="BG28" s="36"/>
      <c r="BH28" s="36"/>
    </row>
    <row r="29" spans="1:80" ht="21" hidden="1" customHeight="1" x14ac:dyDescent="0.25">
      <c r="A29" s="1395"/>
      <c r="B29" s="1395"/>
      <c r="C29" s="1395"/>
      <c r="D29" s="149"/>
      <c r="E29" s="149"/>
      <c r="F29" s="676"/>
      <c r="G29" s="676"/>
      <c r="H29" s="676"/>
      <c r="I29" s="36"/>
      <c r="J29" s="36"/>
      <c r="K29" s="47"/>
      <c r="L29" s="47"/>
      <c r="M29" s="47"/>
      <c r="N29" s="36"/>
      <c r="O29" s="36"/>
      <c r="P29" s="47"/>
      <c r="Q29" s="47"/>
      <c r="R29" s="47"/>
      <c r="S29" s="36"/>
      <c r="T29" s="36"/>
      <c r="U29" s="47"/>
      <c r="V29" s="47"/>
      <c r="W29" s="47"/>
      <c r="X29" s="36"/>
      <c r="Y29" s="36"/>
      <c r="Z29" s="47"/>
      <c r="AA29" s="47"/>
      <c r="AB29" s="47"/>
      <c r="AC29" s="36"/>
      <c r="AD29" s="36"/>
      <c r="AE29" s="47"/>
      <c r="AF29" s="47"/>
      <c r="AG29" s="47"/>
      <c r="AH29" s="36"/>
      <c r="AI29" s="36"/>
      <c r="AJ29" s="47"/>
      <c r="AK29" s="47"/>
      <c r="AP29" s="47"/>
      <c r="AQ29" s="47"/>
      <c r="AR29" s="36"/>
      <c r="AS29" s="36"/>
      <c r="AT29" s="1388"/>
      <c r="AU29" s="1388"/>
      <c r="AV29" s="1388"/>
      <c r="AW29" s="139"/>
      <c r="AX29" s="139"/>
      <c r="AY29" s="676"/>
      <c r="AZ29" s="676"/>
      <c r="BA29" s="676"/>
      <c r="BB29" s="36"/>
      <c r="BC29" s="36"/>
      <c r="BD29" s="676"/>
      <c r="BE29" s="676"/>
      <c r="BF29" s="676"/>
      <c r="BG29" s="36"/>
      <c r="BH29" s="36"/>
    </row>
    <row r="30" spans="1:80" ht="60.75" customHeight="1" x14ac:dyDescent="0.25">
      <c r="A30" s="1400"/>
      <c r="B30" s="1401"/>
      <c r="C30" s="1401"/>
      <c r="D30" s="1401"/>
      <c r="E30" s="1401"/>
      <c r="F30" s="1370"/>
      <c r="G30" s="1371"/>
      <c r="H30" s="1371"/>
      <c r="I30" s="1371"/>
      <c r="J30" s="1371"/>
      <c r="K30" s="230"/>
      <c r="L30" s="142"/>
      <c r="M30" s="142"/>
      <c r="N30" s="142"/>
      <c r="O30" s="142"/>
      <c r="P30" s="230"/>
      <c r="Q30" s="142"/>
      <c r="R30" s="142"/>
      <c r="S30" s="142"/>
      <c r="T30" s="142"/>
      <c r="U30" s="230"/>
      <c r="V30" s="142"/>
      <c r="W30" s="142"/>
      <c r="X30" s="142"/>
      <c r="Y30" s="142"/>
      <c r="Z30" s="230"/>
      <c r="AA30" s="142"/>
      <c r="AB30" s="142"/>
      <c r="AC30" s="142"/>
      <c r="AD30" s="142"/>
      <c r="AE30" s="70"/>
      <c r="AF30" s="231"/>
      <c r="AG30" s="231"/>
      <c r="AH30" s="231"/>
      <c r="AI30" s="231"/>
      <c r="AJ30" s="70"/>
      <c r="AR30" s="132"/>
      <c r="AS30" s="132"/>
      <c r="AT30" s="677"/>
      <c r="AU30" s="1332"/>
      <c r="AV30" s="1332"/>
      <c r="AW30" s="1332"/>
      <c r="AX30" s="1332"/>
      <c r="AY30" s="677"/>
      <c r="AZ30" s="1332"/>
      <c r="BA30" s="1332"/>
      <c r="BB30" s="1332"/>
      <c r="BC30" s="1332"/>
      <c r="BD30" s="677" t="s">
        <v>254</v>
      </c>
      <c r="BE30" s="1332"/>
      <c r="BF30" s="1332"/>
      <c r="BG30" s="1332"/>
      <c r="BH30" s="1332"/>
      <c r="BM30" s="51"/>
      <c r="BN30" s="51"/>
      <c r="BO30" s="51"/>
      <c r="BP30" s="51"/>
      <c r="BQ30" s="51"/>
      <c r="BR30" s="51"/>
      <c r="BW30" s="27"/>
      <c r="BX30" s="27"/>
      <c r="BY30" s="27"/>
      <c r="BZ30" s="27"/>
      <c r="CA30" s="27"/>
      <c r="CB30" s="27"/>
    </row>
    <row r="31" spans="1:80" ht="54.75" customHeight="1" x14ac:dyDescent="0.25">
      <c r="A31" s="1400"/>
      <c r="B31" s="158"/>
      <c r="C31" s="159"/>
      <c r="D31" s="160"/>
      <c r="E31" s="161"/>
      <c r="F31" s="1370"/>
      <c r="G31" s="32"/>
      <c r="H31" s="33"/>
      <c r="I31" s="34"/>
      <c r="J31" s="35"/>
      <c r="K31" s="230"/>
      <c r="L31" s="32"/>
      <c r="M31" s="33"/>
      <c r="N31" s="34"/>
      <c r="O31" s="35"/>
      <c r="P31" s="230"/>
      <c r="Q31" s="32"/>
      <c r="R31" s="33"/>
      <c r="S31" s="34"/>
      <c r="T31" s="35"/>
      <c r="U31" s="230"/>
      <c r="V31" s="32"/>
      <c r="W31" s="33"/>
      <c r="X31" s="34"/>
      <c r="Y31" s="35"/>
      <c r="Z31" s="230"/>
      <c r="AA31" s="32"/>
      <c r="AB31" s="33"/>
      <c r="AC31" s="34"/>
      <c r="AD31" s="35"/>
      <c r="AE31" s="70"/>
      <c r="AF31" s="137"/>
      <c r="AG31" s="33"/>
      <c r="AH31" s="138"/>
      <c r="AI31" s="35"/>
      <c r="AJ31" s="70"/>
      <c r="AK31" s="137"/>
      <c r="AL31" s="33"/>
      <c r="AM31" s="138"/>
      <c r="AN31" s="35"/>
      <c r="AO31" s="70"/>
      <c r="AP31" s="137"/>
      <c r="AQ31" s="33"/>
      <c r="AR31" s="138"/>
      <c r="AS31" s="35"/>
      <c r="AT31" s="677"/>
      <c r="AU31" s="137"/>
      <c r="AV31" s="33"/>
      <c r="AW31" s="138"/>
      <c r="AX31" s="35"/>
      <c r="AY31" s="677"/>
      <c r="AZ31" s="137" t="s">
        <v>16</v>
      </c>
      <c r="BA31" s="33"/>
      <c r="BB31" s="138"/>
      <c r="BC31" s="35"/>
      <c r="BD31" s="677"/>
      <c r="BE31" s="137" t="s">
        <v>15</v>
      </c>
      <c r="BF31" s="33"/>
      <c r="BG31" s="138"/>
      <c r="BH31" s="35"/>
      <c r="BM31" s="51"/>
      <c r="BN31" s="51"/>
      <c r="BO31" s="51"/>
      <c r="BP31" s="51"/>
      <c r="BQ31" s="51"/>
      <c r="BR31" s="51"/>
      <c r="BW31" s="27"/>
      <c r="BX31" s="27"/>
      <c r="BY31" s="27"/>
      <c r="BZ31" s="27"/>
      <c r="CA31" s="27"/>
      <c r="CB31" s="27"/>
    </row>
    <row r="32" spans="1:80" ht="59.25" customHeight="1" x14ac:dyDescent="0.25">
      <c r="A32" s="31"/>
      <c r="B32" s="162"/>
      <c r="C32" s="162"/>
      <c r="D32" s="162"/>
      <c r="F32" s="163"/>
      <c r="G32" s="163"/>
      <c r="H32" s="1413" cm="1">
        <f t="array" aca="1" ref="H32" ca="1">SUM(COUNTIF(INDIRECT({"L6","Q6","V6","AA6","AF6","AK6","g6","AT6"}),"&gt;0"))</f>
        <v>8</v>
      </c>
      <c r="I32" s="1413"/>
      <c r="J32" s="1413"/>
      <c r="K32" s="164"/>
      <c r="L32" s="160"/>
      <c r="M32" s="160"/>
      <c r="N32" s="160"/>
      <c r="O32" s="160"/>
      <c r="P32" s="160"/>
      <c r="Q32" s="1414" t="s">
        <v>255</v>
      </c>
      <c r="R32" s="1414"/>
      <c r="S32" s="1414"/>
      <c r="T32" s="1414"/>
      <c r="U32" s="1414"/>
      <c r="V32" s="1414"/>
      <c r="W32" s="165"/>
      <c r="X32" s="1690" t="s">
        <v>256</v>
      </c>
      <c r="Y32" s="1690"/>
      <c r="Z32" s="1690"/>
      <c r="AA32" s="1690"/>
      <c r="AB32" s="1690"/>
      <c r="AC32" s="1691">
        <f>L7+Q7+V7+AA7+AF7+AK7+AT7</f>
        <v>7.2123999999999997</v>
      </c>
      <c r="AD32" s="1691"/>
      <c r="AE32" s="1691"/>
      <c r="AF32" s="1691"/>
      <c r="AG32" s="1691"/>
      <c r="AH32" s="1691"/>
      <c r="AI32" s="166"/>
      <c r="AJ32" s="1416" t="s">
        <v>119</v>
      </c>
      <c r="AK32" s="1416"/>
      <c r="AL32" s="1416"/>
      <c r="AM32" s="1416"/>
      <c r="AN32" s="1416"/>
      <c r="AO32" s="1417">
        <f>N7+S7+X7+AC7+AH7+AM7</f>
        <v>2</v>
      </c>
      <c r="AP32" s="1417"/>
      <c r="AQ32" s="1417"/>
      <c r="AR32" s="1417"/>
      <c r="AS32" s="1417"/>
      <c r="AT32" s="1402" t="s">
        <v>120</v>
      </c>
      <c r="AU32" s="1402"/>
      <c r="AV32" s="1402"/>
      <c r="AW32" s="1402"/>
      <c r="AX32" s="127"/>
      <c r="AY32" s="72"/>
      <c r="AZ32" s="72"/>
      <c r="BA32" s="72"/>
      <c r="BB32" s="72"/>
      <c r="BC32" s="72"/>
      <c r="BD32" s="72"/>
      <c r="BE32" t="s">
        <v>16</v>
      </c>
      <c r="BF32" s="167"/>
      <c r="BG32" s="167"/>
      <c r="BH32" s="167"/>
      <c r="BM32" s="51"/>
      <c r="BN32" s="51"/>
      <c r="BO32" s="51"/>
      <c r="BP32" s="51"/>
      <c r="BQ32" s="51"/>
      <c r="BR32" s="51"/>
      <c r="BW32" s="27"/>
      <c r="BX32" s="27"/>
      <c r="BY32" s="27"/>
      <c r="BZ32" s="27"/>
      <c r="CA32" s="27"/>
      <c r="CB32" s="27"/>
    </row>
    <row r="33" spans="1:80" ht="19.5" customHeight="1" x14ac:dyDescent="0.25">
      <c r="B33" s="162"/>
      <c r="C33" s="162"/>
      <c r="D33" s="162"/>
      <c r="E33" s="163"/>
      <c r="F33" s="163"/>
      <c r="G33" s="163"/>
      <c r="H33" s="1413"/>
      <c r="I33" s="1413"/>
      <c r="J33" s="1413"/>
      <c r="K33" s="168"/>
      <c r="L33" s="160"/>
      <c r="M33" s="160"/>
      <c r="N33" s="160"/>
      <c r="O33" s="160"/>
      <c r="P33" s="160"/>
      <c r="Q33" s="1414"/>
      <c r="R33" s="1414"/>
      <c r="S33" s="1414"/>
      <c r="T33" s="1414"/>
      <c r="U33" s="1414"/>
      <c r="V33" s="1414"/>
      <c r="W33" s="169"/>
      <c r="X33" s="1690"/>
      <c r="Y33" s="1690"/>
      <c r="Z33" s="1690"/>
      <c r="AA33" s="1690"/>
      <c r="AB33" s="1690"/>
      <c r="AC33" s="1691"/>
      <c r="AD33" s="1691"/>
      <c r="AE33" s="1691"/>
      <c r="AF33" s="1691"/>
      <c r="AG33" s="1691"/>
      <c r="AH33" s="1691"/>
      <c r="AI33" s="166"/>
      <c r="AJ33" s="1416"/>
      <c r="AK33" s="1416"/>
      <c r="AL33" s="1416"/>
      <c r="AM33" s="1416"/>
      <c r="AN33" s="1416"/>
      <c r="AO33" s="1417"/>
      <c r="AP33" s="1417"/>
      <c r="AQ33" s="1417"/>
      <c r="AR33" s="1417"/>
      <c r="AS33" s="1417"/>
      <c r="AT33" s="1402"/>
      <c r="AU33" s="1402"/>
      <c r="AV33" s="1402"/>
      <c r="AW33" s="1402"/>
      <c r="BI33" s="50"/>
      <c r="BJ33" s="50"/>
      <c r="BM33" s="51"/>
      <c r="BN33" s="51"/>
      <c r="BO33" s="51"/>
      <c r="BP33" s="51"/>
      <c r="BQ33" s="51"/>
      <c r="BR33" s="51"/>
      <c r="BS33" s="27"/>
      <c r="BT33" s="27"/>
      <c r="BU33" s="27"/>
      <c r="BW33" s="27"/>
      <c r="BX33" s="27"/>
      <c r="BY33" s="27"/>
      <c r="BZ33" s="27"/>
      <c r="CA33" s="27"/>
      <c r="CB33" s="27"/>
    </row>
    <row r="34" spans="1:80" ht="2.25" hidden="1" customHeight="1" x14ac:dyDescent="0.25">
      <c r="B34" s="162"/>
      <c r="C34" s="162"/>
      <c r="D34" s="162"/>
      <c r="E34" s="163"/>
      <c r="F34" s="163"/>
      <c r="G34" s="163"/>
      <c r="H34" s="168"/>
      <c r="I34" s="168"/>
      <c r="J34" s="168"/>
      <c r="K34" s="168"/>
      <c r="L34" s="160"/>
      <c r="M34" s="160"/>
      <c r="N34" s="160"/>
      <c r="O34" s="160"/>
      <c r="P34" s="160"/>
      <c r="Q34" s="1414"/>
      <c r="R34" s="1414"/>
      <c r="S34" s="1414"/>
      <c r="T34" s="1414"/>
      <c r="U34" s="1414"/>
      <c r="V34" s="1414"/>
      <c r="W34" s="169"/>
      <c r="X34" s="1690"/>
      <c r="Y34" s="1690"/>
      <c r="Z34" s="1690"/>
      <c r="AA34" s="1690"/>
      <c r="AB34" s="1690"/>
      <c r="AC34" s="1691"/>
      <c r="AD34" s="1691"/>
      <c r="AE34" s="1691"/>
      <c r="AF34" s="1691"/>
      <c r="AG34" s="1691"/>
      <c r="AH34" s="1691"/>
      <c r="AI34" s="166"/>
      <c r="AJ34" s="1416"/>
      <c r="AK34" s="1416"/>
      <c r="AL34" s="1416"/>
      <c r="AM34" s="1416"/>
      <c r="AN34" s="1416"/>
      <c r="AO34" s="1403">
        <f>AO32*1.5</f>
        <v>3</v>
      </c>
      <c r="AP34" s="1403"/>
      <c r="AQ34" s="1403"/>
      <c r="AR34" s="1403"/>
      <c r="AS34" s="1403"/>
      <c r="AT34" s="1403"/>
      <c r="AU34" s="1403"/>
      <c r="AV34" s="1404" t="s">
        <v>121</v>
      </c>
      <c r="AW34" s="1404"/>
      <c r="BI34" s="50"/>
      <c r="BJ34" s="50"/>
      <c r="BM34" s="27"/>
      <c r="BN34" s="27"/>
      <c r="BO34" s="27"/>
      <c r="BP34" s="27"/>
      <c r="BQ34" s="27"/>
      <c r="BR34" s="27"/>
      <c r="BS34" s="27"/>
      <c r="BT34" s="27"/>
      <c r="BU34" s="27"/>
      <c r="BW34" s="27"/>
      <c r="BX34" s="27"/>
      <c r="BY34" s="27"/>
      <c r="BZ34" s="27"/>
      <c r="CA34" s="27"/>
      <c r="CB34" s="27"/>
    </row>
    <row r="35" spans="1:80" ht="54.75" customHeight="1" x14ac:dyDescent="0.25">
      <c r="B35" s="162"/>
      <c r="C35" s="162"/>
      <c r="D35" s="162"/>
      <c r="E35" s="163"/>
      <c r="F35" s="163"/>
      <c r="G35" s="163"/>
      <c r="H35" s="1405">
        <v>8</v>
      </c>
      <c r="I35" s="1405"/>
      <c r="J35" s="1405"/>
      <c r="K35" s="168"/>
      <c r="L35" s="160"/>
      <c r="M35" s="160"/>
      <c r="N35" s="160"/>
      <c r="O35" s="160"/>
      <c r="P35" s="160"/>
      <c r="Q35" s="2076" t="s">
        <v>13</v>
      </c>
      <c r="R35" s="1402"/>
      <c r="S35" s="1402"/>
      <c r="T35" s="1402"/>
      <c r="U35" s="1402"/>
      <c r="V35" s="1402"/>
      <c r="W35" s="169"/>
      <c r="X35" s="1690"/>
      <c r="Y35" s="1690"/>
      <c r="Z35" s="1690"/>
      <c r="AA35" s="1690"/>
      <c r="AB35" s="1690"/>
      <c r="AC35" s="1691"/>
      <c r="AD35" s="1691"/>
      <c r="AE35" s="1691"/>
      <c r="AF35" s="1691"/>
      <c r="AG35" s="1691"/>
      <c r="AH35" s="1691"/>
      <c r="AI35" s="166"/>
      <c r="AJ35" s="1416"/>
      <c r="AK35" s="1416"/>
      <c r="AL35" s="1416"/>
      <c r="AM35" s="1416"/>
      <c r="AN35" s="1416"/>
      <c r="AO35" s="1403"/>
      <c r="AP35" s="1403"/>
      <c r="AQ35" s="1403"/>
      <c r="AR35" s="1403"/>
      <c r="AS35" s="1403"/>
      <c r="AT35" s="1403"/>
      <c r="AU35" s="1403"/>
      <c r="AV35" s="1404"/>
      <c r="AW35" s="1404"/>
      <c r="BI35" s="50"/>
      <c r="BJ35" s="50"/>
      <c r="BM35" s="27"/>
      <c r="BN35" s="27"/>
      <c r="BO35" s="27"/>
      <c r="BP35" s="27"/>
      <c r="BQ35" s="27"/>
      <c r="BR35" s="27"/>
      <c r="BS35" s="27"/>
      <c r="BT35" s="27"/>
      <c r="BU35" s="27"/>
      <c r="BW35" s="27"/>
      <c r="BX35" s="27"/>
      <c r="BY35" s="27"/>
      <c r="BZ35" s="27"/>
      <c r="CA35" s="27"/>
      <c r="CB35" s="27"/>
    </row>
    <row r="36" spans="1:80" ht="93" customHeight="1" x14ac:dyDescent="0.25">
      <c r="B36" s="162"/>
      <c r="C36" s="162"/>
      <c r="D36" s="162"/>
      <c r="E36" s="162"/>
      <c r="F36" s="162"/>
      <c r="G36" s="164"/>
      <c r="H36" s="1408"/>
      <c r="I36" s="1408"/>
      <c r="J36" s="1408"/>
      <c r="K36" s="168"/>
      <c r="L36" s="160"/>
      <c r="M36" s="160"/>
      <c r="N36" s="160"/>
      <c r="O36" s="160"/>
      <c r="P36" s="160"/>
      <c r="Q36" s="1402"/>
      <c r="R36" s="1402"/>
      <c r="S36" s="1402"/>
      <c r="T36" s="1402"/>
      <c r="U36" s="1402"/>
      <c r="V36" s="1402"/>
      <c r="W36" s="169"/>
      <c r="X36" s="1690"/>
      <c r="Y36" s="1690"/>
      <c r="Z36" s="1690"/>
      <c r="AA36" s="1690"/>
      <c r="AB36" s="1690"/>
      <c r="AC36" s="1691"/>
      <c r="AD36" s="1691"/>
      <c r="AE36" s="1691"/>
      <c r="AF36" s="1691"/>
      <c r="AG36" s="1691"/>
      <c r="AH36" s="1691"/>
      <c r="AI36" s="166"/>
      <c r="AJ36" s="1416"/>
      <c r="AK36" s="1416"/>
      <c r="AL36" s="1416"/>
      <c r="AM36" s="1416"/>
      <c r="AN36" s="1416"/>
      <c r="AO36" s="1403"/>
      <c r="AP36" s="1403"/>
      <c r="AQ36" s="1403"/>
      <c r="AR36" s="1403"/>
      <c r="AS36" s="1403"/>
      <c r="AT36" s="1403"/>
      <c r="AU36" s="1403"/>
      <c r="AV36" s="1404"/>
      <c r="AW36" s="1404"/>
      <c r="BI36" s="50"/>
      <c r="BJ36" s="50"/>
      <c r="BM36" s="27"/>
      <c r="BN36" s="27"/>
      <c r="BO36" s="27"/>
      <c r="BP36" s="27"/>
      <c r="BQ36" s="27"/>
      <c r="BR36" s="27"/>
      <c r="BS36" s="27"/>
      <c r="BT36" s="27"/>
      <c r="BU36" s="27"/>
      <c r="BW36" s="27"/>
      <c r="BX36" s="27"/>
      <c r="BY36" s="27"/>
      <c r="BZ36" s="27"/>
      <c r="CA36" s="27"/>
      <c r="CB36" s="27"/>
    </row>
    <row r="37" spans="1:80" ht="15" customHeight="1" x14ac:dyDescent="0.25">
      <c r="B37" s="162"/>
      <c r="C37" s="162"/>
      <c r="D37" s="162"/>
      <c r="E37" s="162"/>
      <c r="F37" s="162"/>
      <c r="G37" s="164"/>
      <c r="H37" s="1408"/>
      <c r="I37" s="1408"/>
      <c r="J37" s="1408"/>
      <c r="K37" s="164"/>
      <c r="L37" s="165"/>
      <c r="M37" s="165"/>
      <c r="N37" s="165"/>
      <c r="O37" s="165"/>
      <c r="P37" s="165"/>
      <c r="Q37" s="1402"/>
      <c r="R37" s="1402"/>
      <c r="S37" s="1402"/>
      <c r="T37" s="1402"/>
      <c r="U37" s="1402"/>
      <c r="V37" s="1402"/>
      <c r="W37" s="165"/>
      <c r="X37" s="1409" t="s">
        <v>257</v>
      </c>
      <c r="Y37" s="1409"/>
      <c r="Z37" s="1409"/>
      <c r="AA37" s="1409"/>
      <c r="AB37" s="1409"/>
      <c r="AC37" s="1694">
        <f>AC32-AD45</f>
        <v>2.3999999999997357E-3</v>
      </c>
      <c r="AD37" s="1694"/>
      <c r="AE37" s="1694"/>
      <c r="AF37" s="1694"/>
      <c r="AG37" s="1694"/>
      <c r="AH37" s="1694"/>
      <c r="AI37" s="166"/>
      <c r="AJ37" s="1416"/>
      <c r="AK37" s="1416"/>
      <c r="AL37" s="1416"/>
      <c r="AM37" s="1416"/>
      <c r="AN37" s="1416"/>
      <c r="AO37" s="1403"/>
      <c r="AP37" s="1403"/>
      <c r="AQ37" s="1403"/>
      <c r="AR37" s="1403"/>
      <c r="AS37" s="1403"/>
      <c r="AT37" s="1403"/>
      <c r="AU37" s="1403"/>
      <c r="AV37" s="1404"/>
      <c r="AW37" s="1404"/>
      <c r="BI37" s="53"/>
      <c r="BJ37" s="53"/>
    </row>
    <row r="38" spans="1:80" ht="28.5" customHeight="1" x14ac:dyDescent="0.25">
      <c r="B38" s="162"/>
      <c r="C38" s="162"/>
      <c r="D38" s="162"/>
      <c r="E38" s="162"/>
      <c r="F38" s="162"/>
      <c r="G38" s="164"/>
      <c r="H38" s="1411"/>
      <c r="I38" s="1411"/>
      <c r="J38" s="1411"/>
      <c r="K38" s="168"/>
      <c r="L38" s="165"/>
      <c r="M38" s="165"/>
      <c r="N38" s="165"/>
      <c r="O38" s="165"/>
      <c r="P38" s="165"/>
      <c r="Q38" s="1402"/>
      <c r="R38" s="1402"/>
      <c r="S38" s="1402"/>
      <c r="T38" s="1402"/>
      <c r="U38" s="1402"/>
      <c r="V38" s="1402"/>
      <c r="W38" s="165"/>
      <c r="X38" s="1409"/>
      <c r="Y38" s="1409"/>
      <c r="Z38" s="1409"/>
      <c r="AA38" s="1409"/>
      <c r="AB38" s="1409"/>
      <c r="AC38" s="1694"/>
      <c r="AD38" s="1694"/>
      <c r="AE38" s="1694"/>
      <c r="AF38" s="1694"/>
      <c r="AG38" s="1694"/>
      <c r="AH38" s="1694"/>
      <c r="AI38" s="166"/>
      <c r="AJ38" s="1416"/>
      <c r="AK38" s="1416"/>
      <c r="AL38" s="1416"/>
      <c r="AM38" s="1416"/>
      <c r="AN38" s="1416"/>
      <c r="AO38" s="1403"/>
      <c r="AP38" s="1403"/>
      <c r="AQ38" s="1403"/>
      <c r="AR38" s="1403"/>
      <c r="AS38" s="1403"/>
      <c r="AT38" s="1403"/>
      <c r="AU38" s="1403"/>
      <c r="AV38" s="1404"/>
      <c r="AW38" s="1404"/>
      <c r="BI38" s="53"/>
      <c r="BJ38" s="53"/>
    </row>
    <row r="39" spans="1:80" ht="15" customHeight="1" x14ac:dyDescent="0.25">
      <c r="B39" s="162"/>
      <c r="C39" s="162"/>
      <c r="D39" s="162"/>
      <c r="E39" s="162"/>
      <c r="F39" s="162"/>
      <c r="G39" s="164"/>
      <c r="H39" s="1411"/>
      <c r="I39" s="1411"/>
      <c r="J39" s="1411"/>
      <c r="K39" s="168"/>
      <c r="L39" s="165"/>
      <c r="M39" s="165"/>
      <c r="N39" s="165"/>
      <c r="O39" s="165"/>
      <c r="P39" s="165"/>
      <c r="Q39" s="1402"/>
      <c r="R39" s="1402"/>
      <c r="S39" s="1402"/>
      <c r="T39" s="1402"/>
      <c r="U39" s="1402"/>
      <c r="V39" s="1402"/>
      <c r="W39" s="165"/>
      <c r="X39" s="1409"/>
      <c r="Y39" s="1409"/>
      <c r="Z39" s="1409"/>
      <c r="AA39" s="1409"/>
      <c r="AB39" s="1409"/>
      <c r="AC39" s="1694"/>
      <c r="AD39" s="1694"/>
      <c r="AE39" s="1694"/>
      <c r="AF39" s="1694"/>
      <c r="AG39" s="1694"/>
      <c r="AH39" s="1694"/>
      <c r="AI39" s="166"/>
      <c r="AJ39" s="1416"/>
      <c r="AK39" s="1416"/>
      <c r="AL39" s="1416"/>
      <c r="AM39" s="1416"/>
      <c r="AN39" s="1416"/>
      <c r="AO39" s="1403"/>
      <c r="AP39" s="1403"/>
      <c r="AQ39" s="1403"/>
      <c r="AR39" s="1403"/>
      <c r="AS39" s="1403"/>
      <c r="AT39" s="1403"/>
      <c r="AU39" s="1403"/>
      <c r="AV39" s="1404"/>
      <c r="AW39" s="1404"/>
      <c r="BI39" s="53"/>
      <c r="BJ39" s="53"/>
    </row>
    <row r="40" spans="1:80" ht="42.75" customHeight="1" x14ac:dyDescent="0.35">
      <c r="A40" s="54"/>
      <c r="B40" s="162"/>
      <c r="C40" s="162"/>
      <c r="D40" s="162"/>
      <c r="E40" s="162"/>
      <c r="F40" s="162"/>
      <c r="G40" s="164"/>
      <c r="H40" s="1411"/>
      <c r="I40" s="1411"/>
      <c r="J40" s="1411"/>
      <c r="K40" s="168"/>
      <c r="L40" s="165"/>
      <c r="M40" s="165"/>
      <c r="N40" s="165"/>
      <c r="O40" s="165"/>
      <c r="P40" s="165"/>
      <c r="Q40" s="1402"/>
      <c r="R40" s="1402"/>
      <c r="S40" s="1402"/>
      <c r="T40" s="1402"/>
      <c r="U40" s="1402"/>
      <c r="V40" s="1402"/>
      <c r="W40" s="165"/>
      <c r="X40" s="1409"/>
      <c r="Y40" s="1409"/>
      <c r="Z40" s="1409"/>
      <c r="AA40" s="1409"/>
      <c r="AB40" s="1409"/>
      <c r="AC40" s="1694"/>
      <c r="AD40" s="1694"/>
      <c r="AE40" s="1694"/>
      <c r="AF40" s="1694"/>
      <c r="AG40" s="1694"/>
      <c r="AH40" s="1694"/>
      <c r="AI40" s="166"/>
      <c r="AJ40" s="1416"/>
      <c r="AK40" s="1416"/>
      <c r="AL40" s="1416"/>
      <c r="AM40" s="1416"/>
      <c r="AN40" s="1416"/>
      <c r="AO40" s="1403"/>
      <c r="AP40" s="1403"/>
      <c r="AQ40" s="1403"/>
      <c r="AR40" s="1403"/>
      <c r="AS40" s="1403"/>
      <c r="AT40" s="1403"/>
      <c r="AU40" s="1403"/>
      <c r="AV40" s="1404"/>
      <c r="AW40" s="1404"/>
      <c r="BI40" s="53"/>
      <c r="BJ40" s="53"/>
    </row>
    <row r="41" spans="1:80" ht="38.25" customHeight="1" x14ac:dyDescent="0.35">
      <c r="A41" s="54"/>
      <c r="B41" s="162"/>
      <c r="C41" s="162"/>
      <c r="D41" s="162"/>
      <c r="E41" s="162"/>
      <c r="F41" s="162"/>
      <c r="G41" s="164"/>
      <c r="H41" s="1412"/>
      <c r="I41" s="1412"/>
      <c r="J41" s="1412"/>
      <c r="K41" s="168"/>
      <c r="L41" s="175"/>
      <c r="M41" s="175"/>
      <c r="N41" s="175"/>
      <c r="O41" s="175"/>
      <c r="P41" s="175"/>
      <c r="Q41" s="1402"/>
      <c r="R41" s="1402"/>
      <c r="S41" s="1402"/>
      <c r="T41" s="1402"/>
      <c r="U41" s="1402"/>
      <c r="V41" s="1402"/>
      <c r="W41" s="176"/>
      <c r="X41" s="1409"/>
      <c r="Y41" s="1409"/>
      <c r="Z41" s="1409"/>
      <c r="AA41" s="1409"/>
      <c r="AB41" s="1409"/>
      <c r="AC41" s="1694"/>
      <c r="AD41" s="1694"/>
      <c r="AE41" s="1694"/>
      <c r="AF41" s="1694"/>
      <c r="AG41" s="1694"/>
      <c r="AH41" s="1694"/>
      <c r="AI41" s="166"/>
      <c r="AJ41" s="1416"/>
      <c r="AK41" s="1416"/>
      <c r="AL41" s="1416"/>
      <c r="AM41" s="1416"/>
      <c r="AN41" s="1416"/>
      <c r="AO41" s="1418"/>
      <c r="AP41" s="1418"/>
      <c r="AQ41" s="1418"/>
      <c r="AR41" s="1418"/>
      <c r="AS41" s="1418"/>
      <c r="AT41" s="1418"/>
      <c r="AU41" s="1418"/>
      <c r="AV41" s="1418"/>
      <c r="AW41" s="1418"/>
      <c r="AX41" s="54"/>
      <c r="AY41" s="54"/>
      <c r="BI41" s="170"/>
      <c r="BJ41" s="170"/>
    </row>
    <row r="42" spans="1:80" ht="60" customHeight="1" x14ac:dyDescent="0.35">
      <c r="H42" s="1412"/>
      <c r="I42" s="1412"/>
      <c r="J42" s="1412"/>
      <c r="L42" s="175"/>
      <c r="M42" s="175"/>
      <c r="N42" s="175"/>
      <c r="O42" s="175"/>
      <c r="P42" s="175"/>
      <c r="Q42" s="1402"/>
      <c r="R42" s="1402"/>
      <c r="S42" s="1402"/>
      <c r="T42" s="1402"/>
      <c r="U42" s="1402"/>
      <c r="V42" s="1402"/>
      <c r="W42" s="176"/>
      <c r="X42" s="1409"/>
      <c r="Y42" s="1409"/>
      <c r="Z42" s="1409"/>
      <c r="AA42" s="1409"/>
      <c r="AB42" s="1409"/>
      <c r="AC42" s="1694"/>
      <c r="AD42" s="1694"/>
      <c r="AE42" s="1694"/>
      <c r="AF42" s="1694"/>
      <c r="AG42" s="1694"/>
      <c r="AH42" s="1694"/>
      <c r="AI42" s="166"/>
      <c r="AJ42" s="1416"/>
      <c r="AK42" s="1416"/>
      <c r="AL42" s="1416"/>
      <c r="AM42" s="1416"/>
      <c r="AN42" s="1416"/>
      <c r="AO42" s="1418"/>
      <c r="AP42" s="1418"/>
      <c r="AQ42" s="1418"/>
      <c r="AR42" s="1418"/>
      <c r="AS42" s="1418"/>
      <c r="AT42" s="1418"/>
      <c r="AU42" s="1418"/>
      <c r="AV42" s="1418"/>
      <c r="AW42" s="1418"/>
      <c r="AX42" s="54"/>
      <c r="AY42" s="54"/>
      <c r="BI42" s="170"/>
      <c r="BJ42" s="170"/>
    </row>
    <row r="43" spans="1:80" ht="15" customHeight="1" x14ac:dyDescent="0.35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1"/>
      <c r="AI43" s="171"/>
      <c r="AJ43" s="171"/>
      <c r="AK43" s="171"/>
      <c r="AL43" s="171"/>
      <c r="AM43" s="171"/>
      <c r="AN43" s="171"/>
      <c r="AO43" s="172"/>
      <c r="AP43" s="172"/>
      <c r="AQ43" s="172"/>
      <c r="AR43" s="172"/>
      <c r="AS43" s="172"/>
      <c r="AT43" s="172"/>
      <c r="AU43" s="172"/>
      <c r="AV43" s="172"/>
      <c r="AW43" s="172"/>
    </row>
    <row r="44" spans="1:80" ht="15.75" customHeight="1" thickBot="1" x14ac:dyDescent="0.4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3"/>
      <c r="Y44" s="171"/>
      <c r="Z44" s="171"/>
      <c r="AA44" s="171"/>
      <c r="AB44" s="171"/>
      <c r="AC44" s="171"/>
      <c r="AD44" s="171"/>
      <c r="AE44" s="171"/>
      <c r="AF44" s="171"/>
      <c r="AG44" s="171"/>
      <c r="AH44" s="171"/>
      <c r="AI44" s="171"/>
      <c r="AJ44" s="171"/>
      <c r="AK44" s="171"/>
      <c r="AL44" s="171"/>
      <c r="AM44" s="171"/>
      <c r="AN44" s="171"/>
      <c r="AO44" s="172"/>
      <c r="AP44" s="172"/>
      <c r="AQ44" s="172"/>
      <c r="AR44" s="172"/>
      <c r="AS44" s="172"/>
      <c r="AT44" s="172"/>
      <c r="AU44" s="172"/>
      <c r="AV44" s="172"/>
      <c r="AW44" s="172"/>
    </row>
    <row r="45" spans="1:80" ht="15.75" thickTop="1" x14ac:dyDescent="0.25">
      <c r="J45" t="s">
        <v>16</v>
      </c>
      <c r="AD45" s="775">
        <v>7.21</v>
      </c>
      <c r="AE45" s="776"/>
      <c r="AF45" s="776"/>
      <c r="AG45" s="776"/>
      <c r="AH45" s="777"/>
      <c r="AL45" s="727" t="s">
        <v>122</v>
      </c>
      <c r="AM45" s="727"/>
      <c r="AN45" s="727"/>
      <c r="AO45" s="727" t="s">
        <v>123</v>
      </c>
      <c r="AP45" s="727"/>
      <c r="AQ45" s="727"/>
      <c r="AR45" s="727" t="s">
        <v>124</v>
      </c>
      <c r="AS45" s="727"/>
      <c r="AT45" s="727" t="s">
        <v>125</v>
      </c>
      <c r="AU45" s="727"/>
      <c r="AY45" s="739" t="s">
        <v>126</v>
      </c>
      <c r="AZ45" s="740"/>
      <c r="BA45" s="740"/>
      <c r="BB45" s="740"/>
      <c r="BC45" s="740"/>
      <c r="BD45" s="740"/>
      <c r="BE45" s="740"/>
      <c r="BF45" s="740"/>
      <c r="BG45" s="740"/>
      <c r="BH45" s="741"/>
    </row>
    <row r="46" spans="1:80" x14ac:dyDescent="0.25">
      <c r="AD46" s="778"/>
      <c r="AE46" s="779"/>
      <c r="AF46" s="779"/>
      <c r="AG46" s="779"/>
      <c r="AH46" s="780"/>
      <c r="AL46" s="727"/>
      <c r="AM46" s="727"/>
      <c r="AN46" s="727"/>
      <c r="AO46" s="727"/>
      <c r="AP46" s="727"/>
      <c r="AQ46" s="727"/>
      <c r="AR46" s="727"/>
      <c r="AS46" s="727"/>
      <c r="AT46" s="727"/>
      <c r="AU46" s="727"/>
      <c r="AY46" s="750"/>
      <c r="AZ46" s="751"/>
      <c r="BA46" s="751"/>
      <c r="BB46" s="751"/>
      <c r="BC46" s="751"/>
      <c r="BD46" s="751"/>
      <c r="BE46" s="751"/>
      <c r="BF46" s="751"/>
      <c r="BG46" s="751"/>
      <c r="BH46" s="752"/>
    </row>
    <row r="47" spans="1:80" x14ac:dyDescent="0.25">
      <c r="AA47" s="56"/>
      <c r="AD47" s="778"/>
      <c r="AE47" s="779"/>
      <c r="AF47" s="779"/>
      <c r="AG47" s="779"/>
      <c r="AH47" s="780"/>
      <c r="AL47" s="727"/>
      <c r="AM47" s="727"/>
      <c r="AN47" s="727"/>
      <c r="AO47" s="727"/>
      <c r="AP47" s="727"/>
      <c r="AQ47" s="727"/>
      <c r="AR47" s="727"/>
      <c r="AS47" s="727"/>
      <c r="AT47" s="727"/>
      <c r="AU47" s="727"/>
      <c r="AY47" s="742"/>
      <c r="AZ47" s="743"/>
      <c r="BA47" s="743"/>
      <c r="BB47" s="743"/>
      <c r="BC47" s="743"/>
      <c r="BD47" s="743"/>
      <c r="BE47" s="743"/>
      <c r="BF47" s="743"/>
      <c r="BG47" s="743"/>
      <c r="BH47" s="744"/>
    </row>
    <row r="48" spans="1:80" x14ac:dyDescent="0.25">
      <c r="K48" t="s">
        <v>258</v>
      </c>
      <c r="AD48" s="778"/>
      <c r="AE48" s="779"/>
      <c r="AF48" s="779"/>
      <c r="AG48" s="779"/>
      <c r="AH48" s="780"/>
      <c r="AL48" s="727">
        <v>385</v>
      </c>
      <c r="AM48" s="727"/>
      <c r="AN48" s="727"/>
      <c r="AO48" s="727">
        <f>AT70</f>
        <v>440</v>
      </c>
      <c r="AP48" s="727"/>
      <c r="AQ48" s="727"/>
      <c r="AR48" s="1689">
        <f>AC32</f>
        <v>7.2123999999999997</v>
      </c>
      <c r="AS48" s="1689"/>
      <c r="AT48" s="1689">
        <f>AC32+AO34</f>
        <v>10.212399999999999</v>
      </c>
      <c r="AU48" s="1689"/>
      <c r="AY48" s="727" t="s">
        <v>128</v>
      </c>
      <c r="AZ48" s="727"/>
      <c r="BA48" s="727"/>
      <c r="BB48" s="727"/>
      <c r="BC48" s="727"/>
      <c r="BD48" s="727"/>
      <c r="BE48" s="727"/>
      <c r="BF48" s="727"/>
      <c r="BG48" s="727"/>
      <c r="BH48" s="727"/>
    </row>
    <row r="49" spans="7:60" x14ac:dyDescent="0.25">
      <c r="G49" t="s">
        <v>16</v>
      </c>
      <c r="AD49" s="778"/>
      <c r="AE49" s="779"/>
      <c r="AF49" s="779"/>
      <c r="AG49" s="779"/>
      <c r="AH49" s="780"/>
      <c r="AL49" s="727"/>
      <c r="AM49" s="727"/>
      <c r="AN49" s="727"/>
      <c r="AO49" s="727"/>
      <c r="AP49" s="727"/>
      <c r="AQ49" s="727"/>
      <c r="AR49" s="1689"/>
      <c r="AS49" s="1689"/>
      <c r="AT49" s="1689"/>
      <c r="AU49" s="1689"/>
      <c r="AY49" s="727"/>
      <c r="AZ49" s="727"/>
      <c r="BA49" s="727"/>
      <c r="BB49" s="727"/>
      <c r="BC49" s="727"/>
      <c r="BD49" s="727"/>
      <c r="BE49" s="727"/>
      <c r="BF49" s="727"/>
      <c r="BG49" s="727"/>
      <c r="BH49" s="727"/>
    </row>
    <row r="50" spans="7:60" ht="15" customHeight="1" x14ac:dyDescent="0.25">
      <c r="AD50" s="778"/>
      <c r="AE50" s="779"/>
      <c r="AF50" s="779"/>
      <c r="AG50" s="779"/>
      <c r="AH50" s="780"/>
      <c r="AL50" s="727"/>
      <c r="AM50" s="727"/>
      <c r="AN50" s="727"/>
      <c r="AO50" s="727"/>
      <c r="AP50" s="727"/>
      <c r="AQ50" s="727"/>
      <c r="AR50" s="1689"/>
      <c r="AS50" s="1689"/>
      <c r="AT50" s="1689"/>
      <c r="AU50" s="1689"/>
      <c r="AY50" s="728">
        <f>AR48/((72*3.1415/44)*(AO48/3.281))</f>
        <v>1.0462042371832278E-2</v>
      </c>
      <c r="AZ50" s="729"/>
      <c r="BA50" s="729"/>
      <c r="BB50" s="729"/>
      <c r="BC50" s="729"/>
      <c r="BD50" s="729"/>
      <c r="BE50" s="729"/>
      <c r="BF50" s="729"/>
      <c r="BG50" s="729"/>
      <c r="BH50" s="730"/>
    </row>
    <row r="51" spans="7:60" ht="15.75" customHeight="1" thickBot="1" x14ac:dyDescent="0.3">
      <c r="AD51" s="781"/>
      <c r="AE51" s="782"/>
      <c r="AF51" s="782"/>
      <c r="AG51" s="782"/>
      <c r="AH51" s="783"/>
      <c r="AL51" s="727"/>
      <c r="AM51" s="727"/>
      <c r="AN51" s="727"/>
      <c r="AO51" s="727"/>
      <c r="AP51" s="727"/>
      <c r="AQ51" s="727"/>
      <c r="AR51" s="1689"/>
      <c r="AS51" s="1689"/>
      <c r="AT51" s="1689"/>
      <c r="AU51" s="1689"/>
      <c r="AY51" s="731"/>
      <c r="AZ51" s="732"/>
      <c r="BA51" s="732"/>
      <c r="BB51" s="732"/>
      <c r="BC51" s="732"/>
      <c r="BD51" s="732"/>
      <c r="BE51" s="732"/>
      <c r="BF51" s="732"/>
      <c r="BG51" s="732"/>
      <c r="BH51" s="733"/>
    </row>
    <row r="52" spans="7:60" ht="15.75" customHeight="1" thickTop="1" x14ac:dyDescent="0.25">
      <c r="AY52" s="734"/>
      <c r="AZ52" s="735"/>
      <c r="BA52" s="735"/>
      <c r="BB52" s="735"/>
      <c r="BC52" s="735"/>
      <c r="BD52" s="735"/>
      <c r="BE52" s="735"/>
      <c r="BF52" s="735"/>
      <c r="BG52" s="735"/>
      <c r="BH52" s="736"/>
    </row>
    <row r="53" spans="7:60" x14ac:dyDescent="0.25">
      <c r="AY53" s="739" t="s">
        <v>129</v>
      </c>
      <c r="AZ53" s="740"/>
      <c r="BA53" s="740"/>
      <c r="BB53" s="740"/>
      <c r="BC53" s="740"/>
      <c r="BD53" s="740"/>
      <c r="BE53" s="740"/>
      <c r="BF53" s="740"/>
      <c r="BG53" s="740"/>
      <c r="BH53" s="741"/>
    </row>
    <row r="54" spans="7:60" x14ac:dyDescent="0.25">
      <c r="AY54" s="742"/>
      <c r="AZ54" s="743"/>
      <c r="BA54" s="743"/>
      <c r="BB54" s="743"/>
      <c r="BC54" s="743"/>
      <c r="BD54" s="743"/>
      <c r="BE54" s="743"/>
      <c r="BF54" s="743"/>
      <c r="BG54" s="743"/>
      <c r="BH54" s="744"/>
    </row>
    <row r="55" spans="7:60" x14ac:dyDescent="0.25">
      <c r="AN55" s="727">
        <v>65</v>
      </c>
      <c r="AO55" s="727"/>
      <c r="AP55" s="727"/>
      <c r="AQ55" s="746">
        <v>1</v>
      </c>
      <c r="AR55" s="746"/>
      <c r="AS55" s="746"/>
      <c r="AT55" s="747">
        <f>AQ55*AN55</f>
        <v>65</v>
      </c>
      <c r="AU55" s="748"/>
      <c r="AV55" s="748"/>
      <c r="AW55" s="749"/>
      <c r="AY55" s="739" t="s">
        <v>130</v>
      </c>
      <c r="AZ55" s="740"/>
      <c r="BA55" s="740"/>
      <c r="BB55" s="740"/>
      <c r="BC55" s="740"/>
      <c r="BD55" s="740"/>
      <c r="BE55" s="740"/>
      <c r="BF55" s="740"/>
      <c r="BG55" s="740"/>
      <c r="BH55" s="741"/>
    </row>
    <row r="56" spans="7:60" x14ac:dyDescent="0.25">
      <c r="AN56" s="727"/>
      <c r="AO56" s="727"/>
      <c r="AP56" s="727"/>
      <c r="AQ56" s="746"/>
      <c r="AR56" s="746"/>
      <c r="AS56" s="746"/>
      <c r="AT56" s="747"/>
      <c r="AU56" s="748"/>
      <c r="AV56" s="748"/>
      <c r="AW56" s="749"/>
      <c r="AY56" s="750"/>
      <c r="AZ56" s="751"/>
      <c r="BA56" s="751"/>
      <c r="BB56" s="751"/>
      <c r="BC56" s="751"/>
      <c r="BD56" s="751"/>
      <c r="BE56" s="751"/>
      <c r="BF56" s="751"/>
      <c r="BG56" s="751"/>
      <c r="BH56" s="752"/>
    </row>
    <row r="57" spans="7:60" ht="15" customHeight="1" x14ac:dyDescent="0.25">
      <c r="AN57" s="727"/>
      <c r="AO57" s="727"/>
      <c r="AP57" s="727"/>
      <c r="AQ57" s="746"/>
      <c r="AR57" s="746"/>
      <c r="AS57" s="746"/>
      <c r="AT57" s="747"/>
      <c r="AU57" s="748"/>
      <c r="AV57" s="748"/>
      <c r="AW57" s="749"/>
      <c r="AY57" s="750"/>
      <c r="AZ57" s="751"/>
      <c r="BA57" s="751"/>
      <c r="BB57" s="751"/>
      <c r="BC57" s="751"/>
      <c r="BD57" s="751"/>
      <c r="BE57" s="751"/>
      <c r="BF57" s="751"/>
      <c r="BG57" s="751"/>
      <c r="BH57" s="752"/>
    </row>
    <row r="58" spans="7:60" ht="15" customHeight="1" x14ac:dyDescent="0.25">
      <c r="AN58" s="727">
        <v>60</v>
      </c>
      <c r="AO58" s="727"/>
      <c r="AP58" s="727"/>
      <c r="AQ58" s="746">
        <v>2</v>
      </c>
      <c r="AR58" s="746"/>
      <c r="AS58" s="746"/>
      <c r="AT58" s="747">
        <f t="shared" ref="AT58" si="0">AQ58*AN58</f>
        <v>120</v>
      </c>
      <c r="AU58" s="748"/>
      <c r="AV58" s="748"/>
      <c r="AW58" s="749"/>
      <c r="AY58" s="742"/>
      <c r="AZ58" s="743"/>
      <c r="BA58" s="743"/>
      <c r="BB58" s="743"/>
      <c r="BC58" s="743"/>
      <c r="BD58" s="743"/>
      <c r="BE58" s="743"/>
      <c r="BF58" s="743"/>
      <c r="BG58" s="743"/>
      <c r="BH58" s="744"/>
    </row>
    <row r="59" spans="7:60" ht="15" customHeight="1" x14ac:dyDescent="0.25">
      <c r="AN59" s="727"/>
      <c r="AO59" s="727"/>
      <c r="AP59" s="727"/>
      <c r="AQ59" s="746"/>
      <c r="AR59" s="746"/>
      <c r="AS59" s="746"/>
      <c r="AT59" s="747"/>
      <c r="AU59" s="748"/>
      <c r="AV59" s="748"/>
      <c r="AW59" s="749"/>
      <c r="AY59" s="728">
        <f>AT48/((72*3.1415/44)*(AO48/3.281))</f>
        <v>1.4813732116646326E-2</v>
      </c>
      <c r="AZ59" s="729"/>
      <c r="BA59" s="729"/>
      <c r="BB59" s="729"/>
      <c r="BC59" s="729"/>
      <c r="BD59" s="729"/>
      <c r="BE59" s="729"/>
      <c r="BF59" s="729"/>
      <c r="BG59" s="729"/>
      <c r="BH59" s="730"/>
    </row>
    <row r="60" spans="7:60" ht="15" customHeight="1" x14ac:dyDescent="0.25">
      <c r="AN60" s="727"/>
      <c r="AO60" s="727"/>
      <c r="AP60" s="727"/>
      <c r="AQ60" s="746"/>
      <c r="AR60" s="746"/>
      <c r="AS60" s="746"/>
      <c r="AT60" s="747"/>
      <c r="AU60" s="748"/>
      <c r="AV60" s="748"/>
      <c r="AW60" s="749"/>
      <c r="AY60" s="731"/>
      <c r="AZ60" s="732"/>
      <c r="BA60" s="732"/>
      <c r="BB60" s="732"/>
      <c r="BC60" s="732"/>
      <c r="BD60" s="732"/>
      <c r="BE60" s="732"/>
      <c r="BF60" s="732"/>
      <c r="BG60" s="732"/>
      <c r="BH60" s="733"/>
    </row>
    <row r="61" spans="7:60" ht="15" customHeight="1" x14ac:dyDescent="0.25">
      <c r="AN61" s="727">
        <v>55</v>
      </c>
      <c r="AO61" s="727"/>
      <c r="AP61" s="727"/>
      <c r="AQ61" s="746">
        <v>3</v>
      </c>
      <c r="AR61" s="746"/>
      <c r="AS61" s="746"/>
      <c r="AT61" s="747">
        <f t="shared" ref="AT61" si="1">AQ61*AN61</f>
        <v>165</v>
      </c>
      <c r="AU61" s="748"/>
      <c r="AV61" s="748"/>
      <c r="AW61" s="749"/>
      <c r="AY61" s="731"/>
      <c r="AZ61" s="732"/>
      <c r="BA61" s="732"/>
      <c r="BB61" s="732"/>
      <c r="BC61" s="732"/>
      <c r="BD61" s="732"/>
      <c r="BE61" s="732"/>
      <c r="BF61" s="732"/>
      <c r="BG61" s="732"/>
      <c r="BH61" s="733"/>
    </row>
    <row r="62" spans="7:60" ht="15" customHeight="1" x14ac:dyDescent="0.25">
      <c r="AN62" s="727"/>
      <c r="AO62" s="727"/>
      <c r="AP62" s="727"/>
      <c r="AQ62" s="746"/>
      <c r="AR62" s="746"/>
      <c r="AS62" s="746"/>
      <c r="AT62" s="747"/>
      <c r="AU62" s="748"/>
      <c r="AV62" s="748"/>
      <c r="AW62" s="749"/>
      <c r="AY62" s="731"/>
      <c r="AZ62" s="732"/>
      <c r="BA62" s="732"/>
      <c r="BB62" s="732"/>
      <c r="BC62" s="732"/>
      <c r="BD62" s="732"/>
      <c r="BE62" s="732"/>
      <c r="BF62" s="732"/>
      <c r="BG62" s="732"/>
      <c r="BH62" s="733"/>
    </row>
    <row r="63" spans="7:60" ht="15" customHeight="1" x14ac:dyDescent="0.25">
      <c r="AN63" s="727"/>
      <c r="AO63" s="727"/>
      <c r="AP63" s="727"/>
      <c r="AQ63" s="746"/>
      <c r="AR63" s="746"/>
      <c r="AS63" s="746"/>
      <c r="AT63" s="747"/>
      <c r="AU63" s="748"/>
      <c r="AV63" s="748"/>
      <c r="AW63" s="749"/>
      <c r="AY63" s="734"/>
      <c r="AZ63" s="735"/>
      <c r="BA63" s="735"/>
      <c r="BB63" s="735"/>
      <c r="BC63" s="735"/>
      <c r="BD63" s="735"/>
      <c r="BE63" s="735"/>
      <c r="BF63" s="735"/>
      <c r="BG63" s="735"/>
      <c r="BH63" s="736"/>
    </row>
    <row r="64" spans="7:60" ht="15" customHeight="1" x14ac:dyDescent="0.25">
      <c r="AN64" s="727">
        <v>50</v>
      </c>
      <c r="AO64" s="727"/>
      <c r="AP64" s="727"/>
      <c r="AQ64" s="746">
        <v>1</v>
      </c>
      <c r="AR64" s="746"/>
      <c r="AS64" s="746"/>
      <c r="AT64" s="747">
        <f t="shared" ref="AT64" si="2">AQ64*AN64</f>
        <v>50</v>
      </c>
      <c r="AU64" s="748"/>
      <c r="AV64" s="748"/>
      <c r="AW64" s="749"/>
    </row>
    <row r="65" spans="40:49" ht="15" customHeight="1" x14ac:dyDescent="0.25">
      <c r="AN65" s="727"/>
      <c r="AO65" s="727"/>
      <c r="AP65" s="727"/>
      <c r="AQ65" s="746"/>
      <c r="AR65" s="746"/>
      <c r="AS65" s="746"/>
      <c r="AT65" s="747"/>
      <c r="AU65" s="748"/>
      <c r="AV65" s="748"/>
      <c r="AW65" s="749"/>
    </row>
    <row r="66" spans="40:49" ht="15" customHeight="1" x14ac:dyDescent="0.25">
      <c r="AN66" s="727"/>
      <c r="AO66" s="727"/>
      <c r="AP66" s="727"/>
      <c r="AQ66" s="746"/>
      <c r="AR66" s="746"/>
      <c r="AS66" s="746"/>
      <c r="AT66" s="747"/>
      <c r="AU66" s="748"/>
      <c r="AV66" s="748"/>
      <c r="AW66" s="749"/>
    </row>
    <row r="67" spans="40:49" ht="15" customHeight="1" x14ac:dyDescent="0.25">
      <c r="AN67" s="727">
        <v>40</v>
      </c>
      <c r="AO67" s="727"/>
      <c r="AP67" s="727"/>
      <c r="AQ67" s="746">
        <v>1</v>
      </c>
      <c r="AR67" s="746"/>
      <c r="AS67" s="746"/>
      <c r="AT67" s="747">
        <f t="shared" ref="AT67" si="3">AQ67*AN67</f>
        <v>40</v>
      </c>
      <c r="AU67" s="748"/>
      <c r="AV67" s="748"/>
      <c r="AW67" s="749"/>
    </row>
    <row r="68" spans="40:49" ht="15" customHeight="1" x14ac:dyDescent="0.25">
      <c r="AN68" s="727"/>
      <c r="AO68" s="727"/>
      <c r="AP68" s="727"/>
      <c r="AQ68" s="746"/>
      <c r="AR68" s="746"/>
      <c r="AS68" s="746"/>
      <c r="AT68" s="747"/>
      <c r="AU68" s="748"/>
      <c r="AV68" s="748"/>
      <c r="AW68" s="749"/>
    </row>
    <row r="69" spans="40:49" ht="15" customHeight="1" x14ac:dyDescent="0.25">
      <c r="AN69" s="727"/>
      <c r="AO69" s="727"/>
      <c r="AP69" s="727"/>
      <c r="AQ69" s="746"/>
      <c r="AR69" s="746"/>
      <c r="AS69" s="746"/>
      <c r="AT69" s="747"/>
      <c r="AU69" s="748"/>
      <c r="AV69" s="748"/>
      <c r="AW69" s="749"/>
    </row>
    <row r="70" spans="40:49" ht="15" customHeight="1" x14ac:dyDescent="0.25">
      <c r="AQ70" s="1254">
        <f>AQ55+AQ58+AQ61+AQ64+AQ67</f>
        <v>8</v>
      </c>
      <c r="AR70" s="1254"/>
      <c r="AS70" s="1254"/>
      <c r="AT70" s="747">
        <f>AT55+AT58+AT61+AT64+AT67</f>
        <v>440</v>
      </c>
      <c r="AU70" s="748"/>
      <c r="AV70" s="748"/>
      <c r="AW70" s="749"/>
    </row>
    <row r="71" spans="40:49" ht="15" customHeight="1" x14ac:dyDescent="0.25">
      <c r="AQ71" s="1254"/>
      <c r="AR71" s="1254"/>
      <c r="AS71" s="1254"/>
      <c r="AT71" s="747"/>
      <c r="AU71" s="748"/>
      <c r="AV71" s="748"/>
      <c r="AW71" s="749"/>
    </row>
    <row r="72" spans="40:49" ht="15" customHeight="1" x14ac:dyDescent="0.25">
      <c r="AQ72" s="1254"/>
      <c r="AR72" s="1254"/>
      <c r="AS72" s="1254"/>
      <c r="AT72" s="747"/>
      <c r="AU72" s="748"/>
      <c r="AV72" s="748"/>
      <c r="AW72" s="749"/>
    </row>
    <row r="73" spans="40:49" ht="15" customHeight="1" x14ac:dyDescent="0.25"/>
    <row r="74" spans="40:49" ht="15" customHeight="1" x14ac:dyDescent="0.25"/>
    <row r="75" spans="40:49" ht="15" customHeight="1" x14ac:dyDescent="0.25"/>
    <row r="76" spans="40:49" ht="15" customHeight="1" x14ac:dyDescent="0.25"/>
    <row r="77" spans="40:49" ht="15" customHeight="1" x14ac:dyDescent="0.25">
      <c r="AS77" s="27"/>
      <c r="AT77" s="27"/>
      <c r="AU77" s="27"/>
    </row>
  </sheetData>
  <mergeCells count="246">
    <mergeCell ref="AX2:AX3"/>
    <mergeCell ref="AY2:BA2"/>
    <mergeCell ref="BB2:BC2"/>
    <mergeCell ref="BD2:BF2"/>
    <mergeCell ref="A2:D2"/>
    <mergeCell ref="E2:E3"/>
    <mergeCell ref="K2:M2"/>
    <mergeCell ref="N2:O2"/>
    <mergeCell ref="K3:O5"/>
    <mergeCell ref="A4:D4"/>
    <mergeCell ref="E4:E5"/>
    <mergeCell ref="AE2:AG2"/>
    <mergeCell ref="AH2:AI2"/>
    <mergeCell ref="P2:R2"/>
    <mergeCell ref="S2:T2"/>
    <mergeCell ref="U2:W2"/>
    <mergeCell ref="X2:Y2"/>
    <mergeCell ref="Z2:AB2"/>
    <mergeCell ref="AC2:AD2"/>
    <mergeCell ref="BG2:BH2"/>
    <mergeCell ref="A6:D6"/>
    <mergeCell ref="E6:E7"/>
    <mergeCell ref="K6:K7"/>
    <mergeCell ref="L6:O6"/>
    <mergeCell ref="AO4:AR4"/>
    <mergeCell ref="P3:T5"/>
    <mergeCell ref="U3:Y5"/>
    <mergeCell ref="Z3:AD5"/>
    <mergeCell ref="AE3:AI5"/>
    <mergeCell ref="AY6:AY7"/>
    <mergeCell ref="AZ6:BC6"/>
    <mergeCell ref="BD6:BD7"/>
    <mergeCell ref="BE6:BH6"/>
    <mergeCell ref="AS6:AS7"/>
    <mergeCell ref="AT6:AW6"/>
    <mergeCell ref="AX6:AX7"/>
    <mergeCell ref="AO2:AR2"/>
    <mergeCell ref="AY3:BA5"/>
    <mergeCell ref="AS2:AU2"/>
    <mergeCell ref="AV2:AW2"/>
    <mergeCell ref="AS3:AW5"/>
    <mergeCell ref="BD3:BF5"/>
    <mergeCell ref="AX4:AX5"/>
    <mergeCell ref="A8:D8"/>
    <mergeCell ref="E8:E9"/>
    <mergeCell ref="F8:I8"/>
    <mergeCell ref="J8:J9"/>
    <mergeCell ref="K8:N8"/>
    <mergeCell ref="O8:O9"/>
    <mergeCell ref="AE6:AE7"/>
    <mergeCell ref="AF6:AI6"/>
    <mergeCell ref="AO6:AR6"/>
    <mergeCell ref="AJ6:AJ7"/>
    <mergeCell ref="AK6:AN6"/>
    <mergeCell ref="P6:P7"/>
    <mergeCell ref="Q6:T6"/>
    <mergeCell ref="U6:U7"/>
    <mergeCell ref="V6:Y6"/>
    <mergeCell ref="Z6:Z7"/>
    <mergeCell ref="AA6:AD6"/>
    <mergeCell ref="BB8:BC8"/>
    <mergeCell ref="BD8:BF8"/>
    <mergeCell ref="BG8:BH8"/>
    <mergeCell ref="AY9:BA11"/>
    <mergeCell ref="BD9:BF11"/>
    <mergeCell ref="A10:D10"/>
    <mergeCell ref="E10:E11"/>
    <mergeCell ref="F10:I10"/>
    <mergeCell ref="J10:J11"/>
    <mergeCell ref="K10:N10"/>
    <mergeCell ref="AE8:AH8"/>
    <mergeCell ref="AI8:AI9"/>
    <mergeCell ref="AJ8:AM8"/>
    <mergeCell ref="AN8:AN9"/>
    <mergeCell ref="AP8:AW11"/>
    <mergeCell ref="AY8:BA8"/>
    <mergeCell ref="P8:S8"/>
    <mergeCell ref="T8:T9"/>
    <mergeCell ref="U8:X8"/>
    <mergeCell ref="Y8:Y9"/>
    <mergeCell ref="Z8:AC8"/>
    <mergeCell ref="AD8:AD9"/>
    <mergeCell ref="AJ10:AM10"/>
    <mergeCell ref="AN10:AN11"/>
    <mergeCell ref="Y10:Y11"/>
    <mergeCell ref="Z10:AC10"/>
    <mergeCell ref="O12:O13"/>
    <mergeCell ref="P12:S12"/>
    <mergeCell ref="T12:T13"/>
    <mergeCell ref="U12:X12"/>
    <mergeCell ref="Y12:Y13"/>
    <mergeCell ref="Z12:AC12"/>
    <mergeCell ref="AD10:AD11"/>
    <mergeCell ref="O10:O11"/>
    <mergeCell ref="P10:S10"/>
    <mergeCell ref="T10:T11"/>
    <mergeCell ref="U10:X10"/>
    <mergeCell ref="AE10:AH10"/>
    <mergeCell ref="AI10:AI11"/>
    <mergeCell ref="BB14:BC14"/>
    <mergeCell ref="BD14:BF14"/>
    <mergeCell ref="BG14:BH14"/>
    <mergeCell ref="A15:E17"/>
    <mergeCell ref="AO15:AQ17"/>
    <mergeCell ref="AT15:AV17"/>
    <mergeCell ref="AY15:BA17"/>
    <mergeCell ref="BD15:BF17"/>
    <mergeCell ref="AZ12:BC12"/>
    <mergeCell ref="BD12:BD13"/>
    <mergeCell ref="BE12:BH12"/>
    <mergeCell ref="A14:C14"/>
    <mergeCell ref="D14:E14"/>
    <mergeCell ref="AO14:AQ14"/>
    <mergeCell ref="AR14:AS14"/>
    <mergeCell ref="AT14:AV14"/>
    <mergeCell ref="AW14:AX14"/>
    <mergeCell ref="AY14:BA14"/>
    <mergeCell ref="AD12:AD13"/>
    <mergeCell ref="AE12:AH12"/>
    <mergeCell ref="AI12:AI13"/>
    <mergeCell ref="AJ12:AM12"/>
    <mergeCell ref="AN12:AN13"/>
    <mergeCell ref="AY12:AY13"/>
    <mergeCell ref="BG20:BH20"/>
    <mergeCell ref="A20:C20"/>
    <mergeCell ref="D20:E20"/>
    <mergeCell ref="F20:H20"/>
    <mergeCell ref="I20:J20"/>
    <mergeCell ref="AO20:AQ20"/>
    <mergeCell ref="AR20:AS20"/>
    <mergeCell ref="A18:A19"/>
    <mergeCell ref="B18:E18"/>
    <mergeCell ref="AY18:AY19"/>
    <mergeCell ref="AZ18:BC18"/>
    <mergeCell ref="BD18:BD19"/>
    <mergeCell ref="BE18:BH18"/>
    <mergeCell ref="A12:D12"/>
    <mergeCell ref="E12:E13"/>
    <mergeCell ref="F12:I12"/>
    <mergeCell ref="J12:J13"/>
    <mergeCell ref="K12:N12"/>
    <mergeCell ref="A21:C23"/>
    <mergeCell ref="F21:H23"/>
    <mergeCell ref="AO21:AQ23"/>
    <mergeCell ref="AT21:AV23"/>
    <mergeCell ref="AY21:BA23"/>
    <mergeCell ref="BD21:BF23"/>
    <mergeCell ref="AT20:AV20"/>
    <mergeCell ref="AW20:AX20"/>
    <mergeCell ref="AY20:BA20"/>
    <mergeCell ref="BB20:BC20"/>
    <mergeCell ref="BD20:BF20"/>
    <mergeCell ref="AT24:AT25"/>
    <mergeCell ref="AU24:AX24"/>
    <mergeCell ref="AY24:AY25"/>
    <mergeCell ref="AZ24:BC24"/>
    <mergeCell ref="BD24:BD25"/>
    <mergeCell ref="BE24:BH24"/>
    <mergeCell ref="A24:A25"/>
    <mergeCell ref="B24:E24"/>
    <mergeCell ref="F24:F25"/>
    <mergeCell ref="G24:J24"/>
    <mergeCell ref="AO24:AO25"/>
    <mergeCell ref="AP24:AS24"/>
    <mergeCell ref="BG26:BH26"/>
    <mergeCell ref="A27:C29"/>
    <mergeCell ref="F27:H29"/>
    <mergeCell ref="AT27:AV29"/>
    <mergeCell ref="AY27:BA29"/>
    <mergeCell ref="BD27:BF29"/>
    <mergeCell ref="A26:C26"/>
    <mergeCell ref="D26:E26"/>
    <mergeCell ref="F26:H26"/>
    <mergeCell ref="I26:J26"/>
    <mergeCell ref="AT26:AV26"/>
    <mergeCell ref="AW26:AX26"/>
    <mergeCell ref="A30:A31"/>
    <mergeCell ref="B30:E30"/>
    <mergeCell ref="F30:F31"/>
    <mergeCell ref="G30:J30"/>
    <mergeCell ref="AT30:AT31"/>
    <mergeCell ref="AU30:AX30"/>
    <mergeCell ref="AY26:BA26"/>
    <mergeCell ref="BB26:BC26"/>
    <mergeCell ref="BD26:BF26"/>
    <mergeCell ref="X37:AB42"/>
    <mergeCell ref="AC37:AH42"/>
    <mergeCell ref="H38:J40"/>
    <mergeCell ref="H41:J42"/>
    <mergeCell ref="AY30:AY31"/>
    <mergeCell ref="AZ30:BC30"/>
    <mergeCell ref="BD30:BD31"/>
    <mergeCell ref="BE30:BH30"/>
    <mergeCell ref="H32:J33"/>
    <mergeCell ref="Q32:V34"/>
    <mergeCell ref="X32:AB36"/>
    <mergeCell ref="AC32:AH36"/>
    <mergeCell ref="AJ32:AN42"/>
    <mergeCell ref="AO32:AS33"/>
    <mergeCell ref="AY45:BH47"/>
    <mergeCell ref="AL48:AN51"/>
    <mergeCell ref="AO48:AQ51"/>
    <mergeCell ref="AR48:AS51"/>
    <mergeCell ref="AT48:AU51"/>
    <mergeCell ref="AY48:BH49"/>
    <mergeCell ref="AY50:BH52"/>
    <mergeCell ref="AO41:AW42"/>
    <mergeCell ref="AD45:AH51"/>
    <mergeCell ref="AL45:AN47"/>
    <mergeCell ref="AO45:AQ47"/>
    <mergeCell ref="AR45:AS47"/>
    <mergeCell ref="AT45:AU47"/>
    <mergeCell ref="AY53:BH54"/>
    <mergeCell ref="AN55:AP57"/>
    <mergeCell ref="AQ55:AS57"/>
    <mergeCell ref="AT55:AW57"/>
    <mergeCell ref="AY55:BH58"/>
    <mergeCell ref="AN58:AP60"/>
    <mergeCell ref="AQ58:AS60"/>
    <mergeCell ref="AT58:AW60"/>
    <mergeCell ref="AY59:BH63"/>
    <mergeCell ref="AN61:AP63"/>
    <mergeCell ref="AQ70:AS72"/>
    <mergeCell ref="AT70:AW72"/>
    <mergeCell ref="F2:H2"/>
    <mergeCell ref="I2:J2"/>
    <mergeCell ref="F3:J5"/>
    <mergeCell ref="F6:F7"/>
    <mergeCell ref="G6:J6"/>
    <mergeCell ref="AJ2:AL2"/>
    <mergeCell ref="AM2:AN2"/>
    <mergeCell ref="AJ3:AN5"/>
    <mergeCell ref="AQ61:AS63"/>
    <mergeCell ref="AT61:AW63"/>
    <mergeCell ref="AN64:AP66"/>
    <mergeCell ref="AQ64:AS66"/>
    <mergeCell ref="AT64:AW66"/>
    <mergeCell ref="AN67:AP69"/>
    <mergeCell ref="AQ67:AS69"/>
    <mergeCell ref="AT67:AW69"/>
    <mergeCell ref="AT32:AW33"/>
    <mergeCell ref="AO34:AU40"/>
    <mergeCell ref="AV34:AW40"/>
    <mergeCell ref="H35:J35"/>
    <mergeCell ref="Q35:V42"/>
    <mergeCell ref="H36:J37"/>
  </mergeCells>
  <pageMargins left="0.75" right="0.5" top="1" bottom="0.5" header="0.3" footer="0.3"/>
  <pageSetup paperSize="8" scale="64" orientation="landscape" r:id="rId1"/>
  <headerFooter>
    <oddFooter>&amp;C&amp;"-,Bold Italic"&amp;16Prepared by Emir Cebecioglu&amp;RQuality Control Department</oddFooter>
  </headerFooter>
  <colBreaks count="1" manualBreakCount="1">
    <brk id="60" max="50" man="1"/>
  </colBreaks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FDAFB-A44D-432A-BAC3-6461B195B269}">
  <dimension ref="A1:K209"/>
  <sheetViews>
    <sheetView topLeftCell="A69" workbookViewId="0">
      <selection activeCell="O31" sqref="O31:R31"/>
    </sheetView>
  </sheetViews>
  <sheetFormatPr defaultRowHeight="15" x14ac:dyDescent="0.25"/>
  <sheetData>
    <row r="1" spans="1:11" ht="15.75" x14ac:dyDescent="0.25">
      <c r="A1" s="3101" t="s">
        <v>525</v>
      </c>
      <c r="B1" s="3103" t="s">
        <v>46</v>
      </c>
      <c r="C1" s="3103"/>
      <c r="D1" s="3103"/>
      <c r="E1" s="3103"/>
      <c r="F1" s="3103"/>
      <c r="G1" s="3103"/>
      <c r="H1" s="3103"/>
      <c r="I1" s="3103"/>
      <c r="J1" s="3103"/>
      <c r="K1" s="3103"/>
    </row>
    <row r="2" spans="1:11" x14ac:dyDescent="0.25">
      <c r="A2" s="3101"/>
      <c r="B2" s="3103" t="s">
        <v>47</v>
      </c>
      <c r="C2" s="3103"/>
      <c r="D2" s="3103"/>
      <c r="E2" s="3103"/>
      <c r="F2" s="3104" t="s">
        <v>40</v>
      </c>
      <c r="G2" s="3104"/>
      <c r="H2" s="3104" t="s">
        <v>41</v>
      </c>
      <c r="I2" s="3104"/>
      <c r="J2" s="3104" t="s">
        <v>42</v>
      </c>
      <c r="K2" s="3104"/>
    </row>
    <row r="3" spans="1:11" x14ac:dyDescent="0.25">
      <c r="A3" s="3101"/>
      <c r="B3" s="3103"/>
      <c r="C3" s="3103"/>
      <c r="D3" s="3103"/>
      <c r="E3" s="3103"/>
      <c r="F3" s="3104"/>
      <c r="G3" s="3104"/>
      <c r="H3" s="3104"/>
      <c r="I3" s="3104"/>
      <c r="J3" s="3104"/>
      <c r="K3" s="3104"/>
    </row>
    <row r="4" spans="1:11" x14ac:dyDescent="0.25">
      <c r="A4" s="3101"/>
      <c r="B4" s="3095" t="s">
        <v>532</v>
      </c>
      <c r="C4" s="3096"/>
      <c r="D4" s="3096"/>
      <c r="E4" s="3097"/>
      <c r="F4" s="3105">
        <v>52315.137708333335</v>
      </c>
      <c r="G4" s="3106"/>
      <c r="H4" s="3105">
        <v>751.35</v>
      </c>
      <c r="I4" s="3106"/>
      <c r="J4" s="3105">
        <v>2086.35</v>
      </c>
      <c r="K4" s="3106"/>
    </row>
    <row r="5" spans="1:11" x14ac:dyDescent="0.25">
      <c r="A5" s="3101"/>
      <c r="B5" s="3098"/>
      <c r="C5" s="3099"/>
      <c r="D5" s="3099"/>
      <c r="E5" s="3100"/>
      <c r="F5" s="3107"/>
      <c r="G5" s="3108"/>
      <c r="H5" s="3107"/>
      <c r="I5" s="3108"/>
      <c r="J5" s="3107"/>
      <c r="K5" s="3108"/>
    </row>
    <row r="6" spans="1:11" x14ac:dyDescent="0.25">
      <c r="A6" s="3101"/>
      <c r="B6" s="3095" t="s">
        <v>531</v>
      </c>
      <c r="C6" s="3096"/>
      <c r="D6" s="3096"/>
      <c r="E6" s="3097"/>
      <c r="F6" s="3105">
        <v>37762.138958333337</v>
      </c>
      <c r="G6" s="3106"/>
      <c r="H6" s="3105">
        <v>587.08000000000004</v>
      </c>
      <c r="I6" s="3106"/>
      <c r="J6" s="3105">
        <v>1544.08</v>
      </c>
      <c r="K6" s="3106"/>
    </row>
    <row r="7" spans="1:11" x14ac:dyDescent="0.25">
      <c r="A7" s="3101"/>
      <c r="B7" s="3098"/>
      <c r="C7" s="3099"/>
      <c r="D7" s="3099"/>
      <c r="E7" s="3100"/>
      <c r="F7" s="3107"/>
      <c r="G7" s="3108"/>
      <c r="H7" s="3107"/>
      <c r="I7" s="3108"/>
      <c r="J7" s="3107"/>
      <c r="K7" s="3108"/>
    </row>
    <row r="8" spans="1:11" ht="15" customHeight="1" x14ac:dyDescent="0.25">
      <c r="A8" s="3101"/>
      <c r="B8" s="3095" t="s">
        <v>529</v>
      </c>
      <c r="C8" s="3096"/>
      <c r="D8" s="3096"/>
      <c r="E8" s="3097"/>
      <c r="F8" s="3105">
        <v>45507.822245762713</v>
      </c>
      <c r="G8" s="3106"/>
      <c r="H8" s="3105">
        <v>415.26</v>
      </c>
      <c r="I8" s="3106"/>
      <c r="J8" s="3105">
        <v>1549.26</v>
      </c>
      <c r="K8" s="3106"/>
    </row>
    <row r="9" spans="1:11" ht="15" customHeight="1" x14ac:dyDescent="0.25">
      <c r="A9" s="3101"/>
      <c r="B9" s="3098"/>
      <c r="C9" s="3099"/>
      <c r="D9" s="3099"/>
      <c r="E9" s="3100"/>
      <c r="F9" s="3107"/>
      <c r="G9" s="3108"/>
      <c r="H9" s="3107"/>
      <c r="I9" s="3108"/>
      <c r="J9" s="3107"/>
      <c r="K9" s="3108"/>
    </row>
    <row r="10" spans="1:11" x14ac:dyDescent="0.25">
      <c r="A10" s="3101"/>
      <c r="B10" s="3095" t="s">
        <v>530</v>
      </c>
      <c r="C10" s="3096"/>
      <c r="D10" s="3096"/>
      <c r="E10" s="3097"/>
      <c r="F10" s="3105">
        <v>45388.392</v>
      </c>
      <c r="G10" s="3106"/>
      <c r="H10" s="3105">
        <v>355.18</v>
      </c>
      <c r="I10" s="3106"/>
      <c r="J10" s="3105">
        <v>586.17999999999995</v>
      </c>
      <c r="K10" s="3106"/>
    </row>
    <row r="11" spans="1:11" x14ac:dyDescent="0.25">
      <c r="A11" s="3101"/>
      <c r="B11" s="3098"/>
      <c r="C11" s="3099"/>
      <c r="D11" s="3099"/>
      <c r="E11" s="3100"/>
      <c r="F11" s="3107"/>
      <c r="G11" s="3108"/>
      <c r="H11" s="3107"/>
      <c r="I11" s="3108"/>
      <c r="J11" s="3107"/>
      <c r="K11" s="3108"/>
    </row>
    <row r="12" spans="1:11" ht="15.75" x14ac:dyDescent="0.25">
      <c r="A12" s="3102"/>
      <c r="B12" s="3116" t="s">
        <v>49</v>
      </c>
      <c r="C12" s="3117"/>
      <c r="D12" s="3117"/>
      <c r="E12" s="3118"/>
      <c r="F12" s="3111">
        <v>26366.609500000002</v>
      </c>
      <c r="G12" s="1299"/>
      <c r="H12" s="1299">
        <v>277.97000000000003</v>
      </c>
      <c r="I12" s="1299"/>
      <c r="J12" s="3110">
        <v>414.47</v>
      </c>
      <c r="K12" s="3110"/>
    </row>
    <row r="13" spans="1:11" ht="15.75" x14ac:dyDescent="0.25">
      <c r="A13" s="3102"/>
      <c r="B13" s="3112" t="s">
        <v>50</v>
      </c>
      <c r="C13" s="3113"/>
      <c r="D13" s="3113"/>
      <c r="E13" s="3114"/>
      <c r="F13" s="3111"/>
      <c r="G13" s="1299"/>
      <c r="H13" s="1299"/>
      <c r="I13" s="1299"/>
      <c r="J13" s="3110"/>
      <c r="K13" s="3110"/>
    </row>
    <row r="14" spans="1:11" x14ac:dyDescent="0.25">
      <c r="A14" s="3101"/>
      <c r="B14" s="3115" t="s">
        <v>533</v>
      </c>
      <c r="C14" s="3115"/>
      <c r="D14" s="3115"/>
      <c r="E14" s="3115"/>
      <c r="F14" s="1299">
        <v>4991.8434999999999</v>
      </c>
      <c r="G14" s="1299"/>
      <c r="H14" s="1299">
        <v>93</v>
      </c>
      <c r="I14" s="1299"/>
      <c r="J14" s="1299">
        <v>117</v>
      </c>
      <c r="K14" s="1299"/>
    </row>
    <row r="15" spans="1:11" x14ac:dyDescent="0.25">
      <c r="A15" s="3101"/>
      <c r="B15" s="3109"/>
      <c r="C15" s="3109"/>
      <c r="D15" s="3109"/>
      <c r="E15" s="3109"/>
      <c r="F15" s="1299"/>
      <c r="G15" s="1299"/>
      <c r="H15" s="1299"/>
      <c r="I15" s="1299"/>
      <c r="J15" s="1299"/>
      <c r="K15" s="1299"/>
    </row>
    <row r="16" spans="1:11" x14ac:dyDescent="0.25">
      <c r="A16" s="3101"/>
      <c r="B16" s="3109" t="s">
        <v>51</v>
      </c>
      <c r="C16" s="3109"/>
      <c r="D16" s="3109"/>
      <c r="E16" s="3109"/>
      <c r="F16" s="1299">
        <v>3904.6997058823536</v>
      </c>
      <c r="G16" s="1299"/>
      <c r="H16" s="1299">
        <v>21.24</v>
      </c>
      <c r="I16" s="1299"/>
      <c r="J16" s="3110">
        <v>27.74</v>
      </c>
      <c r="K16" s="3110"/>
    </row>
    <row r="17" spans="1:11" x14ac:dyDescent="0.25">
      <c r="A17" s="3101"/>
      <c r="B17" s="3109"/>
      <c r="C17" s="3109"/>
      <c r="D17" s="3109"/>
      <c r="E17" s="3109"/>
      <c r="F17" s="1299"/>
      <c r="G17" s="1299"/>
      <c r="H17" s="1299"/>
      <c r="I17" s="1299"/>
      <c r="J17" s="3110"/>
      <c r="K17" s="3110"/>
    </row>
    <row r="18" spans="1:11" x14ac:dyDescent="0.25">
      <c r="A18" s="3101"/>
      <c r="B18" s="3109" t="s">
        <v>52</v>
      </c>
      <c r="C18" s="3109"/>
      <c r="D18" s="3109"/>
      <c r="E18" s="3109"/>
      <c r="F18" s="1299">
        <v>5027.8908813559328</v>
      </c>
      <c r="G18" s="1299"/>
      <c r="H18" s="1299">
        <v>19.617999999999999</v>
      </c>
      <c r="I18" s="1299"/>
      <c r="J18" s="3110">
        <v>33.118000000000002</v>
      </c>
      <c r="K18" s="3110"/>
    </row>
    <row r="19" spans="1:11" x14ac:dyDescent="0.25">
      <c r="A19" s="3101"/>
      <c r="B19" s="3109"/>
      <c r="C19" s="3109"/>
      <c r="D19" s="3109"/>
      <c r="E19" s="3109"/>
      <c r="F19" s="1299"/>
      <c r="G19" s="1299"/>
      <c r="H19" s="1299"/>
      <c r="I19" s="1299"/>
      <c r="J19" s="3110"/>
      <c r="K19" s="3110"/>
    </row>
    <row r="20" spans="1:11" x14ac:dyDescent="0.25">
      <c r="A20" s="3101"/>
      <c r="B20" s="3109" t="s">
        <v>53</v>
      </c>
      <c r="C20" s="3109"/>
      <c r="D20" s="3109"/>
      <c r="E20" s="3109"/>
      <c r="F20" s="1299">
        <v>7596.1470000000008</v>
      </c>
      <c r="G20" s="1299"/>
      <c r="H20" s="3119">
        <v>40.44</v>
      </c>
      <c r="I20" s="3119"/>
      <c r="J20" s="3119">
        <v>70.44</v>
      </c>
      <c r="K20" s="3119"/>
    </row>
    <row r="21" spans="1:11" x14ac:dyDescent="0.25">
      <c r="A21" s="3101"/>
      <c r="B21" s="3109"/>
      <c r="C21" s="3109"/>
      <c r="D21" s="3109"/>
      <c r="E21" s="3109"/>
      <c r="F21" s="1299"/>
      <c r="G21" s="1299"/>
      <c r="H21" s="3119"/>
      <c r="I21" s="3119"/>
      <c r="J21" s="3119"/>
      <c r="K21" s="3119"/>
    </row>
    <row r="22" spans="1:11" x14ac:dyDescent="0.25">
      <c r="A22" s="3101"/>
      <c r="B22" s="3109" t="s">
        <v>54</v>
      </c>
      <c r="C22" s="3109"/>
      <c r="D22" s="3109"/>
      <c r="E22" s="3109"/>
      <c r="F22" s="1299">
        <v>11561.034150000001</v>
      </c>
      <c r="G22" s="1299"/>
      <c r="H22" s="1299">
        <v>158.19999999999999</v>
      </c>
      <c r="I22" s="1299"/>
      <c r="J22" s="3110">
        <v>216.7</v>
      </c>
      <c r="K22" s="3110"/>
    </row>
    <row r="23" spans="1:11" x14ac:dyDescent="0.25">
      <c r="A23" s="3101"/>
      <c r="B23" s="3109"/>
      <c r="C23" s="3109"/>
      <c r="D23" s="3109"/>
      <c r="E23" s="3109"/>
      <c r="F23" s="1299"/>
      <c r="G23" s="1299"/>
      <c r="H23" s="1299"/>
      <c r="I23" s="1299"/>
      <c r="J23" s="3110"/>
      <c r="K23" s="3110"/>
    </row>
    <row r="24" spans="1:11" x14ac:dyDescent="0.25">
      <c r="A24" s="3101"/>
      <c r="B24" s="3109" t="s">
        <v>55</v>
      </c>
      <c r="C24" s="3109"/>
      <c r="D24" s="3109"/>
      <c r="E24" s="3109"/>
      <c r="F24" s="1299">
        <v>19403.382352941178</v>
      </c>
      <c r="G24" s="1299"/>
      <c r="H24" s="1299">
        <v>108.59</v>
      </c>
      <c r="I24" s="1299"/>
      <c r="J24" s="3110">
        <v>177.59</v>
      </c>
      <c r="K24" s="3110"/>
    </row>
    <row r="25" spans="1:11" x14ac:dyDescent="0.25">
      <c r="A25" s="3101"/>
      <c r="B25" s="3109"/>
      <c r="C25" s="3109"/>
      <c r="D25" s="3109"/>
      <c r="E25" s="3109"/>
      <c r="F25" s="1299"/>
      <c r="G25" s="1299"/>
      <c r="H25" s="1299"/>
      <c r="I25" s="1299"/>
      <c r="J25" s="3110"/>
      <c r="K25" s="3110"/>
    </row>
    <row r="26" spans="1:11" x14ac:dyDescent="0.25">
      <c r="A26" s="3101"/>
      <c r="B26" s="3109" t="s">
        <v>56</v>
      </c>
      <c r="C26" s="3109"/>
      <c r="D26" s="3109"/>
      <c r="E26" s="3109"/>
      <c r="F26" s="1299">
        <v>18409.190000000002</v>
      </c>
      <c r="G26" s="1299"/>
      <c r="H26" s="1299">
        <v>139.81</v>
      </c>
      <c r="I26" s="1299"/>
      <c r="J26" s="3110">
        <v>187.81</v>
      </c>
      <c r="K26" s="3110"/>
    </row>
    <row r="27" spans="1:11" x14ac:dyDescent="0.25">
      <c r="A27" s="3101"/>
      <c r="B27" s="3109"/>
      <c r="C27" s="3109"/>
      <c r="D27" s="3109"/>
      <c r="E27" s="3109"/>
      <c r="F27" s="1299"/>
      <c r="G27" s="1299"/>
      <c r="H27" s="1299"/>
      <c r="I27" s="1299"/>
      <c r="J27" s="3110"/>
      <c r="K27" s="3110"/>
    </row>
    <row r="28" spans="1:11" x14ac:dyDescent="0.25">
      <c r="A28" s="3101"/>
      <c r="B28" s="3109" t="s">
        <v>57</v>
      </c>
      <c r="C28" s="3109"/>
      <c r="D28" s="3109"/>
      <c r="E28" s="3109"/>
      <c r="F28" s="1299">
        <v>10398.897457627119</v>
      </c>
      <c r="G28" s="1299"/>
      <c r="H28" s="1299">
        <v>104.73</v>
      </c>
      <c r="I28" s="1299"/>
      <c r="J28" s="1299">
        <v>142.22999999999999</v>
      </c>
      <c r="K28" s="1299"/>
    </row>
    <row r="29" spans="1:11" x14ac:dyDescent="0.25">
      <c r="A29" s="3101"/>
      <c r="B29" s="3109"/>
      <c r="C29" s="3109"/>
      <c r="D29" s="3109"/>
      <c r="E29" s="3109"/>
      <c r="F29" s="1299"/>
      <c r="G29" s="1299"/>
      <c r="H29" s="1299"/>
      <c r="I29" s="1299"/>
      <c r="J29" s="1299"/>
      <c r="K29" s="1299"/>
    </row>
    <row r="30" spans="1:11" x14ac:dyDescent="0.25">
      <c r="A30" s="3101"/>
      <c r="B30" s="3109" t="s">
        <v>58</v>
      </c>
      <c r="C30" s="3109"/>
      <c r="D30" s="3109"/>
      <c r="E30" s="3109"/>
      <c r="F30" s="1299">
        <v>11181.610169491525</v>
      </c>
      <c r="G30" s="1299"/>
      <c r="H30" s="1299">
        <v>68.23</v>
      </c>
      <c r="I30" s="1299"/>
      <c r="J30" s="1299">
        <v>105.73</v>
      </c>
      <c r="K30" s="1299"/>
    </row>
    <row r="31" spans="1:11" x14ac:dyDescent="0.25">
      <c r="A31" s="3101"/>
      <c r="B31" s="3109"/>
      <c r="C31" s="3109"/>
      <c r="D31" s="3109"/>
      <c r="E31" s="3109"/>
      <c r="F31" s="1299"/>
      <c r="G31" s="1299"/>
      <c r="H31" s="1299"/>
      <c r="I31" s="1299"/>
      <c r="J31" s="1299"/>
      <c r="K31" s="1299"/>
    </row>
    <row r="32" spans="1:11" x14ac:dyDescent="0.25">
      <c r="A32" s="3101"/>
      <c r="B32" s="3120" t="s">
        <v>59</v>
      </c>
      <c r="C32" s="3120"/>
      <c r="D32" s="3120"/>
      <c r="E32" s="3120"/>
      <c r="F32" s="3110">
        <v>12088.92</v>
      </c>
      <c r="G32" s="3110"/>
      <c r="H32" s="3110">
        <v>68.19</v>
      </c>
      <c r="I32" s="3110"/>
      <c r="J32" s="3110">
        <v>111.69</v>
      </c>
      <c r="K32" s="3110"/>
    </row>
    <row r="33" spans="1:11" x14ac:dyDescent="0.25">
      <c r="A33" s="3101"/>
      <c r="B33" s="3120"/>
      <c r="C33" s="3120"/>
      <c r="D33" s="3120"/>
      <c r="E33" s="3120"/>
      <c r="F33" s="3110"/>
      <c r="G33" s="3110"/>
      <c r="H33" s="3110"/>
      <c r="I33" s="3110"/>
      <c r="J33" s="3110"/>
      <c r="K33" s="3110"/>
    </row>
    <row r="34" spans="1:11" x14ac:dyDescent="0.25">
      <c r="A34" s="3101"/>
      <c r="B34" s="3120" t="s">
        <v>60</v>
      </c>
      <c r="C34" s="3120"/>
      <c r="D34" s="3120"/>
      <c r="E34" s="3120"/>
      <c r="F34" s="3110">
        <v>1774.0235294117649</v>
      </c>
      <c r="G34" s="3110"/>
      <c r="H34" s="3110">
        <v>17.600000000000001</v>
      </c>
      <c r="I34" s="3110"/>
      <c r="J34" s="3110">
        <v>23.6</v>
      </c>
      <c r="K34" s="3110"/>
    </row>
    <row r="35" spans="1:11" x14ac:dyDescent="0.25">
      <c r="A35" s="3101"/>
      <c r="B35" s="3120"/>
      <c r="C35" s="3120"/>
      <c r="D35" s="3120"/>
      <c r="E35" s="3120"/>
      <c r="F35" s="3110"/>
      <c r="G35" s="3110"/>
      <c r="H35" s="3110"/>
      <c r="I35" s="3110"/>
      <c r="J35" s="3110"/>
      <c r="K35" s="3110"/>
    </row>
    <row r="36" spans="1:11" x14ac:dyDescent="0.25">
      <c r="A36" s="3101"/>
      <c r="B36" s="3120" t="s">
        <v>61</v>
      </c>
      <c r="C36" s="3120"/>
      <c r="D36" s="3120"/>
      <c r="E36" s="3120"/>
      <c r="F36" s="3110">
        <v>6542.8393220338976</v>
      </c>
      <c r="G36" s="3110"/>
      <c r="H36" s="3110">
        <v>89.57</v>
      </c>
      <c r="I36" s="3110"/>
      <c r="J36" s="3110">
        <v>112.07</v>
      </c>
      <c r="K36" s="3110"/>
    </row>
    <row r="37" spans="1:11" x14ac:dyDescent="0.25">
      <c r="A37" s="3101"/>
      <c r="B37" s="3120"/>
      <c r="C37" s="3120"/>
      <c r="D37" s="3120"/>
      <c r="E37" s="3120"/>
      <c r="F37" s="3110"/>
      <c r="G37" s="3110"/>
      <c r="H37" s="3110"/>
      <c r="I37" s="3110"/>
      <c r="J37" s="3110"/>
      <c r="K37" s="3110"/>
    </row>
    <row r="38" spans="1:11" x14ac:dyDescent="0.25">
      <c r="A38" s="3101"/>
      <c r="B38" s="3120" t="s">
        <v>62</v>
      </c>
      <c r="C38" s="3120"/>
      <c r="D38" s="3120"/>
      <c r="E38" s="3120"/>
      <c r="F38" s="3110">
        <v>102479.425882353</v>
      </c>
      <c r="G38" s="3110"/>
      <c r="H38" s="3110">
        <v>817.92</v>
      </c>
      <c r="I38" s="3110"/>
      <c r="J38" s="3110">
        <v>1092.42</v>
      </c>
      <c r="K38" s="3110"/>
    </row>
    <row r="39" spans="1:11" x14ac:dyDescent="0.25">
      <c r="A39" s="3101"/>
      <c r="B39" s="3120"/>
      <c r="C39" s="3120"/>
      <c r="D39" s="3120"/>
      <c r="E39" s="3120"/>
      <c r="F39" s="3110"/>
      <c r="G39" s="3110"/>
      <c r="H39" s="3110"/>
      <c r="I39" s="3110"/>
      <c r="J39" s="3110"/>
      <c r="K39" s="3110"/>
    </row>
    <row r="40" spans="1:11" x14ac:dyDescent="0.25">
      <c r="A40" s="3101"/>
      <c r="B40" s="3120" t="s">
        <v>63</v>
      </c>
      <c r="C40" s="3120"/>
      <c r="D40" s="3120"/>
      <c r="E40" s="3120"/>
      <c r="F40" s="3110">
        <v>2394.9317647058824</v>
      </c>
      <c r="G40" s="3110"/>
      <c r="H40" s="3110">
        <v>25.49</v>
      </c>
      <c r="I40" s="3110"/>
      <c r="J40" s="3110">
        <v>35.99</v>
      </c>
      <c r="K40" s="3110"/>
    </row>
    <row r="41" spans="1:11" x14ac:dyDescent="0.25">
      <c r="A41" s="3101"/>
      <c r="B41" s="3120"/>
      <c r="C41" s="3120"/>
      <c r="D41" s="3120"/>
      <c r="E41" s="3120"/>
      <c r="F41" s="3110"/>
      <c r="G41" s="3110"/>
      <c r="H41" s="3110"/>
      <c r="I41" s="3110"/>
      <c r="J41" s="3110"/>
      <c r="K41" s="3110"/>
    </row>
    <row r="42" spans="1:11" x14ac:dyDescent="0.25">
      <c r="A42" s="3101"/>
      <c r="B42" s="3120" t="s">
        <v>64</v>
      </c>
      <c r="C42" s="3120"/>
      <c r="D42" s="3120"/>
      <c r="E42" s="3120"/>
      <c r="F42" s="3110">
        <v>3233.082711864407</v>
      </c>
      <c r="G42" s="3110"/>
      <c r="H42" s="3110">
        <v>92.06</v>
      </c>
      <c r="I42" s="3110"/>
      <c r="J42" s="3110">
        <v>113.06</v>
      </c>
      <c r="K42" s="3110"/>
    </row>
    <row r="43" spans="1:11" x14ac:dyDescent="0.25">
      <c r="A43" s="3101"/>
      <c r="B43" s="3120"/>
      <c r="C43" s="3120"/>
      <c r="D43" s="3120"/>
      <c r="E43" s="3120"/>
      <c r="F43" s="3110"/>
      <c r="G43" s="3110"/>
      <c r="H43" s="3110"/>
      <c r="I43" s="3110"/>
      <c r="J43" s="3110"/>
      <c r="K43" s="3110"/>
    </row>
    <row r="44" spans="1:11" x14ac:dyDescent="0.25">
      <c r="A44" s="3101"/>
      <c r="B44" s="3120" t="s">
        <v>65</v>
      </c>
      <c r="C44" s="3120"/>
      <c r="D44" s="3120"/>
      <c r="E44" s="3120"/>
      <c r="F44" s="3110">
        <f>14903.8084576271+670.896610169492</f>
        <v>15574.705067796591</v>
      </c>
      <c r="G44" s="3110"/>
      <c r="H44" s="3110">
        <f>291.64+3.81</f>
        <v>295.45</v>
      </c>
      <c r="I44" s="3110"/>
      <c r="J44" s="3110">
        <f>666.64+5.81</f>
        <v>672.44999999999993</v>
      </c>
      <c r="K44" s="3110"/>
    </row>
    <row r="45" spans="1:11" x14ac:dyDescent="0.25">
      <c r="A45" s="3101"/>
      <c r="B45" s="3120"/>
      <c r="C45" s="3120"/>
      <c r="D45" s="3120"/>
      <c r="E45" s="3120"/>
      <c r="F45" s="3110"/>
      <c r="G45" s="3110"/>
      <c r="H45" s="3110"/>
      <c r="I45" s="3110"/>
      <c r="J45" s="3110"/>
      <c r="K45" s="3110"/>
    </row>
    <row r="46" spans="1:11" x14ac:dyDescent="0.25">
      <c r="A46" s="3101"/>
      <c r="B46" s="3120" t="s">
        <v>66</v>
      </c>
      <c r="C46" s="3120"/>
      <c r="D46" s="3120"/>
      <c r="E46" s="3120"/>
      <c r="F46" s="3110">
        <v>2561.2464705882358</v>
      </c>
      <c r="G46" s="3110"/>
      <c r="H46" s="3110">
        <v>52.72</v>
      </c>
      <c r="I46" s="3110"/>
      <c r="J46" s="3110">
        <v>64.72</v>
      </c>
      <c r="K46" s="3110"/>
    </row>
    <row r="47" spans="1:11" x14ac:dyDescent="0.25">
      <c r="A47" s="3101"/>
      <c r="B47" s="3120"/>
      <c r="C47" s="3120"/>
      <c r="D47" s="3120"/>
      <c r="E47" s="3120"/>
      <c r="F47" s="3110"/>
      <c r="G47" s="3110"/>
      <c r="H47" s="3110"/>
      <c r="I47" s="3110"/>
      <c r="J47" s="3110"/>
      <c r="K47" s="3110"/>
    </row>
    <row r="48" spans="1:11" x14ac:dyDescent="0.25">
      <c r="A48" s="3101"/>
      <c r="B48" s="3120" t="s">
        <v>67</v>
      </c>
      <c r="C48" s="3120"/>
      <c r="D48" s="3120"/>
      <c r="E48" s="3120"/>
      <c r="F48" s="3110">
        <v>4257.6564705882356</v>
      </c>
      <c r="G48" s="3110"/>
      <c r="H48" s="3110">
        <v>14.88</v>
      </c>
      <c r="I48" s="3110"/>
      <c r="J48" s="3110">
        <v>28.38</v>
      </c>
      <c r="K48" s="3110"/>
    </row>
    <row r="49" spans="1:11" x14ac:dyDescent="0.25">
      <c r="A49" s="3101"/>
      <c r="B49" s="3120"/>
      <c r="C49" s="3120"/>
      <c r="D49" s="3120"/>
      <c r="E49" s="3120"/>
      <c r="F49" s="3110"/>
      <c r="G49" s="3110"/>
      <c r="H49" s="3110"/>
      <c r="I49" s="3110"/>
      <c r="J49" s="3110"/>
      <c r="K49" s="3110"/>
    </row>
    <row r="50" spans="1:11" x14ac:dyDescent="0.25">
      <c r="A50" s="3101"/>
      <c r="B50" s="3120" t="s">
        <v>68</v>
      </c>
      <c r="C50" s="3120"/>
      <c r="D50" s="3120"/>
      <c r="E50" s="3120"/>
      <c r="F50" s="3110">
        <v>14357.18745762712</v>
      </c>
      <c r="G50" s="3110"/>
      <c r="H50" s="3110">
        <v>301.98</v>
      </c>
      <c r="I50" s="3110"/>
      <c r="J50" s="3110">
        <v>375.48</v>
      </c>
      <c r="K50" s="3110"/>
    </row>
    <row r="51" spans="1:11" x14ac:dyDescent="0.25">
      <c r="A51" s="3101"/>
      <c r="B51" s="3120"/>
      <c r="C51" s="3120"/>
      <c r="D51" s="3120"/>
      <c r="E51" s="3120"/>
      <c r="F51" s="3110"/>
      <c r="G51" s="3110"/>
      <c r="H51" s="3110"/>
      <c r="I51" s="3110"/>
      <c r="J51" s="3110"/>
      <c r="K51" s="3110"/>
    </row>
    <row r="52" spans="1:11" x14ac:dyDescent="0.25">
      <c r="A52" s="3101"/>
      <c r="B52" s="3109" t="s">
        <v>69</v>
      </c>
      <c r="C52" s="3109"/>
      <c r="D52" s="3109"/>
      <c r="E52" s="3109"/>
      <c r="F52" s="3110">
        <v>20460.404705882356</v>
      </c>
      <c r="G52" s="3110"/>
      <c r="H52" s="3110">
        <v>115.3</v>
      </c>
      <c r="I52" s="3110"/>
      <c r="J52" s="3110">
        <v>170.8</v>
      </c>
      <c r="K52" s="3110"/>
    </row>
    <row r="53" spans="1:11" x14ac:dyDescent="0.25">
      <c r="A53" s="3101"/>
      <c r="B53" s="3109"/>
      <c r="C53" s="3109"/>
      <c r="D53" s="3109"/>
      <c r="E53" s="3109"/>
      <c r="F53" s="3110"/>
      <c r="G53" s="3110"/>
      <c r="H53" s="3110"/>
      <c r="I53" s="3110"/>
      <c r="J53" s="3110"/>
      <c r="K53" s="3110"/>
    </row>
    <row r="54" spans="1:11" x14ac:dyDescent="0.25">
      <c r="A54" s="3101"/>
      <c r="B54" s="3109" t="s">
        <v>70</v>
      </c>
      <c r="C54" s="3109"/>
      <c r="D54" s="3109"/>
      <c r="E54" s="3109"/>
      <c r="F54" s="3110">
        <v>4523.76</v>
      </c>
      <c r="G54" s="3110"/>
      <c r="H54" s="3110">
        <v>15.98</v>
      </c>
      <c r="I54" s="3110"/>
      <c r="J54" s="3110">
        <v>24.92</v>
      </c>
      <c r="K54" s="3110"/>
    </row>
    <row r="55" spans="1:11" x14ac:dyDescent="0.25">
      <c r="A55" s="3101"/>
      <c r="B55" s="3109"/>
      <c r="C55" s="3109"/>
      <c r="D55" s="3109"/>
      <c r="E55" s="3109"/>
      <c r="F55" s="3110"/>
      <c r="G55" s="3110"/>
      <c r="H55" s="3110"/>
      <c r="I55" s="3110"/>
      <c r="J55" s="3110"/>
      <c r="K55" s="3110"/>
    </row>
    <row r="56" spans="1:11" x14ac:dyDescent="0.25">
      <c r="A56" s="3101"/>
      <c r="B56" s="3109" t="s">
        <v>71</v>
      </c>
      <c r="C56" s="3109"/>
      <c r="D56" s="3109"/>
      <c r="E56" s="3109"/>
      <c r="F56" s="3110">
        <v>35605.441525423732</v>
      </c>
      <c r="G56" s="3110"/>
      <c r="H56" s="3110">
        <v>609.27</v>
      </c>
      <c r="I56" s="3110"/>
      <c r="J56" s="3110">
        <v>766.77</v>
      </c>
      <c r="K56" s="3110"/>
    </row>
    <row r="57" spans="1:11" x14ac:dyDescent="0.25">
      <c r="A57" s="3101"/>
      <c r="B57" s="3109"/>
      <c r="C57" s="3109"/>
      <c r="D57" s="3109"/>
      <c r="E57" s="3109"/>
      <c r="F57" s="3110"/>
      <c r="G57" s="3110"/>
      <c r="H57" s="3110"/>
      <c r="I57" s="3110"/>
      <c r="J57" s="3110"/>
      <c r="K57" s="3110"/>
    </row>
    <row r="58" spans="1:11" x14ac:dyDescent="0.25">
      <c r="A58" s="3101"/>
      <c r="B58" s="3109" t="s">
        <v>78</v>
      </c>
      <c r="C58" s="3109"/>
      <c r="D58" s="3109"/>
      <c r="E58" s="3109"/>
      <c r="F58" s="3110">
        <v>19973.550508474575</v>
      </c>
      <c r="G58" s="3110"/>
      <c r="H58" s="3110">
        <v>223.12</v>
      </c>
      <c r="I58" s="3110"/>
      <c r="J58" s="3110">
        <v>290.62</v>
      </c>
      <c r="K58" s="3110"/>
    </row>
    <row r="59" spans="1:11" x14ac:dyDescent="0.25">
      <c r="A59" s="3101"/>
      <c r="B59" s="3109"/>
      <c r="C59" s="3109"/>
      <c r="D59" s="3109"/>
      <c r="E59" s="3109"/>
      <c r="F59" s="3110"/>
      <c r="G59" s="3110"/>
      <c r="H59" s="3110"/>
      <c r="I59" s="3110"/>
      <c r="J59" s="3110"/>
      <c r="K59" s="3110"/>
    </row>
    <row r="60" spans="1:11" x14ac:dyDescent="0.25">
      <c r="A60" s="3101"/>
      <c r="B60" s="3109" t="s">
        <v>73</v>
      </c>
      <c r="C60" s="3109"/>
      <c r="D60" s="3109"/>
      <c r="E60" s="3109"/>
      <c r="F60" s="3110">
        <v>10696.807500000001</v>
      </c>
      <c r="G60" s="3110"/>
      <c r="H60" s="3110">
        <v>54.91</v>
      </c>
      <c r="I60" s="3110"/>
      <c r="J60" s="3110">
        <v>90.91</v>
      </c>
      <c r="K60" s="3110"/>
    </row>
    <row r="61" spans="1:11" x14ac:dyDescent="0.25">
      <c r="A61" s="3101"/>
      <c r="B61" s="3109"/>
      <c r="C61" s="3109"/>
      <c r="D61" s="3109"/>
      <c r="E61" s="3109"/>
      <c r="F61" s="3110"/>
      <c r="G61" s="3110"/>
      <c r="H61" s="3110"/>
      <c r="I61" s="3110"/>
      <c r="J61" s="3110"/>
      <c r="K61" s="3110"/>
    </row>
    <row r="62" spans="1:11" x14ac:dyDescent="0.25">
      <c r="A62" s="3101"/>
      <c r="B62" s="3109" t="s">
        <v>74</v>
      </c>
      <c r="C62" s="3109"/>
      <c r="D62" s="3109"/>
      <c r="E62" s="3109"/>
      <c r="F62" s="3110">
        <v>6108.7895454545451</v>
      </c>
      <c r="G62" s="3110"/>
      <c r="H62" s="3110">
        <v>78.47</v>
      </c>
      <c r="I62" s="3110"/>
      <c r="J62" s="3110">
        <v>89.65</v>
      </c>
      <c r="K62" s="3110"/>
    </row>
    <row r="63" spans="1:11" x14ac:dyDescent="0.25">
      <c r="A63" s="3101"/>
      <c r="B63" s="3109"/>
      <c r="C63" s="3109"/>
      <c r="D63" s="3109"/>
      <c r="E63" s="3109"/>
      <c r="F63" s="3110"/>
      <c r="G63" s="3110"/>
      <c r="H63" s="3110"/>
      <c r="I63" s="3110"/>
      <c r="J63" s="3110"/>
      <c r="K63" s="3110"/>
    </row>
    <row r="64" spans="1:11" x14ac:dyDescent="0.25">
      <c r="A64" s="3101"/>
      <c r="B64" s="3109" t="s">
        <v>75</v>
      </c>
      <c r="C64" s="3109"/>
      <c r="D64" s="3109"/>
      <c r="E64" s="3109"/>
      <c r="F64" s="3110">
        <v>18413.759454545452</v>
      </c>
      <c r="G64" s="3110"/>
      <c r="H64" s="3110">
        <v>54.29</v>
      </c>
      <c r="I64" s="3110"/>
      <c r="J64" s="3110">
        <v>84.47</v>
      </c>
      <c r="K64" s="3110"/>
    </row>
    <row r="65" spans="1:11" x14ac:dyDescent="0.25">
      <c r="A65" s="3101"/>
      <c r="B65" s="3109"/>
      <c r="C65" s="3109"/>
      <c r="D65" s="3109"/>
      <c r="E65" s="3109"/>
      <c r="F65" s="3110"/>
      <c r="G65" s="3110"/>
      <c r="H65" s="3110"/>
      <c r="I65" s="3110"/>
      <c r="J65" s="3110"/>
      <c r="K65" s="3110"/>
    </row>
    <row r="66" spans="1:11" x14ac:dyDescent="0.25">
      <c r="A66" s="3121">
        <v>2025</v>
      </c>
      <c r="B66" s="3109" t="s">
        <v>76</v>
      </c>
      <c r="C66" s="3109"/>
      <c r="D66" s="3109"/>
      <c r="E66" s="3109"/>
      <c r="F66" s="3110">
        <v>3640.4441176470591</v>
      </c>
      <c r="G66" s="3110"/>
      <c r="H66" s="3110">
        <v>34.85</v>
      </c>
      <c r="I66" s="3110"/>
      <c r="J66" s="3110">
        <v>47.8</v>
      </c>
      <c r="K66" s="3110"/>
    </row>
    <row r="67" spans="1:11" x14ac:dyDescent="0.25">
      <c r="A67" s="3121"/>
      <c r="B67" s="3109"/>
      <c r="C67" s="3109"/>
      <c r="D67" s="3109"/>
      <c r="E67" s="3109"/>
      <c r="F67" s="3110"/>
      <c r="G67" s="3110"/>
      <c r="H67" s="3110"/>
      <c r="I67" s="3110"/>
      <c r="J67" s="3110"/>
      <c r="K67" s="3110"/>
    </row>
    <row r="68" spans="1:11" x14ac:dyDescent="0.25">
      <c r="A68" s="3121"/>
      <c r="B68" s="3109" t="s">
        <v>76</v>
      </c>
      <c r="C68" s="3109"/>
      <c r="D68" s="3109"/>
      <c r="E68" s="3109"/>
      <c r="F68" s="3110">
        <v>1840.1735593220342</v>
      </c>
      <c r="G68" s="3110"/>
      <c r="H68" s="3110">
        <v>71.47</v>
      </c>
      <c r="I68" s="3110"/>
      <c r="J68" s="3110">
        <v>78.97</v>
      </c>
      <c r="K68" s="3110"/>
    </row>
    <row r="69" spans="1:11" x14ac:dyDescent="0.25">
      <c r="A69" s="3121"/>
      <c r="B69" s="3109"/>
      <c r="C69" s="3109"/>
      <c r="D69" s="3109"/>
      <c r="E69" s="3109"/>
      <c r="F69" s="3110"/>
      <c r="G69" s="3110"/>
      <c r="H69" s="3110"/>
      <c r="I69" s="3110"/>
      <c r="J69" s="3110"/>
      <c r="K69" s="3110"/>
    </row>
    <row r="70" spans="1:11" x14ac:dyDescent="0.25">
      <c r="A70" s="3121"/>
      <c r="B70" s="3109" t="s">
        <v>77</v>
      </c>
      <c r="C70" s="3109"/>
      <c r="D70" s="3109"/>
      <c r="E70" s="3109"/>
      <c r="F70" s="3110">
        <v>3296.9776271186443</v>
      </c>
      <c r="G70" s="3110"/>
      <c r="H70" s="3110">
        <v>81.47</v>
      </c>
      <c r="I70" s="3110"/>
      <c r="J70" s="3110">
        <v>94.97</v>
      </c>
      <c r="K70" s="3110"/>
    </row>
    <row r="71" spans="1:11" x14ac:dyDescent="0.25">
      <c r="A71" s="3121"/>
      <c r="B71" s="3109"/>
      <c r="C71" s="3109"/>
      <c r="D71" s="3109"/>
      <c r="E71" s="3109"/>
      <c r="F71" s="3110"/>
      <c r="G71" s="3110"/>
      <c r="H71" s="3110"/>
      <c r="I71" s="3110"/>
      <c r="J71" s="3110"/>
      <c r="K71" s="3110"/>
    </row>
    <row r="72" spans="1:11" x14ac:dyDescent="0.25">
      <c r="A72" s="3121"/>
      <c r="B72" s="3109" t="s">
        <v>72</v>
      </c>
      <c r="C72" s="3109"/>
      <c r="D72" s="3109"/>
      <c r="E72" s="3109"/>
      <c r="F72" s="3110">
        <v>2012.6898305084749</v>
      </c>
      <c r="G72" s="3110"/>
      <c r="H72" s="3110">
        <v>5.41</v>
      </c>
      <c r="I72" s="3110"/>
      <c r="J72" s="3110">
        <v>12.91</v>
      </c>
      <c r="K72" s="3110"/>
    </row>
    <row r="73" spans="1:11" x14ac:dyDescent="0.25">
      <c r="A73" s="3121"/>
      <c r="B73" s="3109"/>
      <c r="C73" s="3109"/>
      <c r="D73" s="3109"/>
      <c r="E73" s="3109"/>
      <c r="F73" s="3110"/>
      <c r="G73" s="3110"/>
      <c r="H73" s="3110"/>
      <c r="I73" s="3110"/>
      <c r="J73" s="3110"/>
      <c r="K73" s="3110"/>
    </row>
    <row r="74" spans="1:11" x14ac:dyDescent="0.25">
      <c r="A74" s="3121"/>
      <c r="B74" s="3109" t="s">
        <v>79</v>
      </c>
      <c r="C74" s="3109"/>
      <c r="D74" s="3109"/>
      <c r="E74" s="3109"/>
      <c r="F74" s="3110">
        <v>1589.3134090909091</v>
      </c>
      <c r="G74" s="3110"/>
      <c r="H74" s="3110">
        <v>6.3</v>
      </c>
      <c r="I74" s="3110"/>
      <c r="J74" s="3110">
        <v>9.3000000000000007</v>
      </c>
      <c r="K74" s="3110"/>
    </row>
    <row r="75" spans="1:11" x14ac:dyDescent="0.25">
      <c r="A75" s="3121"/>
      <c r="B75" s="3109"/>
      <c r="C75" s="3109"/>
      <c r="D75" s="3109"/>
      <c r="E75" s="3109"/>
      <c r="F75" s="3110"/>
      <c r="G75" s="3110"/>
      <c r="H75" s="3110"/>
      <c r="I75" s="3110"/>
      <c r="J75" s="3110"/>
      <c r="K75" s="3110"/>
    </row>
    <row r="76" spans="1:11" x14ac:dyDescent="0.25">
      <c r="A76" s="3121"/>
      <c r="B76" s="3109" t="s">
        <v>79</v>
      </c>
      <c r="C76" s="3109"/>
      <c r="D76" s="3109"/>
      <c r="E76" s="3109"/>
      <c r="F76" s="3110">
        <v>1408.8828813559323</v>
      </c>
      <c r="G76" s="3110"/>
      <c r="H76" s="3110">
        <v>4.54</v>
      </c>
      <c r="I76" s="3110"/>
      <c r="J76" s="3110">
        <v>10.54</v>
      </c>
      <c r="K76" s="3110"/>
    </row>
    <row r="77" spans="1:11" x14ac:dyDescent="0.25">
      <c r="A77" s="3121"/>
      <c r="B77" s="3109"/>
      <c r="C77" s="3109"/>
      <c r="D77" s="3109"/>
      <c r="E77" s="3109"/>
      <c r="F77" s="3110"/>
      <c r="G77" s="3110"/>
      <c r="H77" s="3110"/>
      <c r="I77" s="3110"/>
      <c r="J77" s="3110"/>
      <c r="K77" s="3110"/>
    </row>
    <row r="78" spans="1:11" x14ac:dyDescent="0.25">
      <c r="A78" s="3121"/>
      <c r="B78" s="3109" t="s">
        <v>80</v>
      </c>
      <c r="C78" s="3109"/>
      <c r="D78" s="3109"/>
      <c r="E78" s="3109"/>
      <c r="F78" s="3110">
        <v>2284.2432203389831</v>
      </c>
      <c r="G78" s="3110"/>
      <c r="H78" s="3110">
        <v>10.94</v>
      </c>
      <c r="I78" s="3110"/>
      <c r="J78" s="3110">
        <v>19.940000000000001</v>
      </c>
      <c r="K78" s="3110"/>
    </row>
    <row r="79" spans="1:11" x14ac:dyDescent="0.25">
      <c r="A79" s="3121"/>
      <c r="B79" s="3109"/>
      <c r="C79" s="3109"/>
      <c r="D79" s="3109"/>
      <c r="E79" s="3109"/>
      <c r="F79" s="3110"/>
      <c r="G79" s="3110"/>
      <c r="H79" s="3110"/>
      <c r="I79" s="3110"/>
      <c r="J79" s="3110"/>
      <c r="K79" s="3110"/>
    </row>
    <row r="80" spans="1:11" x14ac:dyDescent="0.25">
      <c r="A80" s="3121"/>
      <c r="B80" s="3109" t="s">
        <v>81</v>
      </c>
      <c r="C80" s="3109"/>
      <c r="D80" s="3109"/>
      <c r="E80" s="3109"/>
      <c r="F80" s="3110">
        <v>10453.208135593219</v>
      </c>
      <c r="G80" s="3110"/>
      <c r="H80" s="3110">
        <v>56.74</v>
      </c>
      <c r="I80" s="3110"/>
      <c r="J80" s="3110">
        <v>104.74</v>
      </c>
      <c r="K80" s="3110"/>
    </row>
    <row r="81" spans="1:11" x14ac:dyDescent="0.25">
      <c r="A81" s="3121"/>
      <c r="B81" s="3109"/>
      <c r="C81" s="3109"/>
      <c r="D81" s="3109"/>
      <c r="E81" s="3109"/>
      <c r="F81" s="3110"/>
      <c r="G81" s="3110"/>
      <c r="H81" s="3110"/>
      <c r="I81" s="3110"/>
      <c r="J81" s="3110"/>
      <c r="K81" s="3110"/>
    </row>
    <row r="82" spans="1:11" x14ac:dyDescent="0.25">
      <c r="A82" s="3121"/>
      <c r="B82" s="3109" t="s">
        <v>82</v>
      </c>
      <c r="C82" s="3109"/>
      <c r="D82" s="3109"/>
      <c r="E82" s="3109"/>
      <c r="F82" s="3110">
        <v>1878.5105084745765</v>
      </c>
      <c r="G82" s="3110"/>
      <c r="H82" s="3110">
        <v>6.17</v>
      </c>
      <c r="I82" s="3110"/>
      <c r="J82" s="3110">
        <v>12.17</v>
      </c>
      <c r="K82" s="3110"/>
    </row>
    <row r="83" spans="1:11" x14ac:dyDescent="0.25">
      <c r="A83" s="3121"/>
      <c r="B83" s="3109"/>
      <c r="C83" s="3109"/>
      <c r="D83" s="3109"/>
      <c r="E83" s="3109"/>
      <c r="F83" s="3110"/>
      <c r="G83" s="3110"/>
      <c r="H83" s="3110"/>
      <c r="I83" s="3110"/>
      <c r="J83" s="3110"/>
      <c r="K83" s="3110"/>
    </row>
    <row r="84" spans="1:11" x14ac:dyDescent="0.25">
      <c r="A84" s="3121"/>
      <c r="B84" s="3120" t="s">
        <v>83</v>
      </c>
      <c r="C84" s="3120"/>
      <c r="D84" s="3120"/>
      <c r="E84" s="3120"/>
      <c r="F84" s="3110">
        <v>57393.357058823538</v>
      </c>
      <c r="G84" s="3110"/>
      <c r="H84" s="3110">
        <v>260.33</v>
      </c>
      <c r="I84" s="3110"/>
      <c r="J84" s="3110">
        <v>416.33</v>
      </c>
      <c r="K84" s="3110"/>
    </row>
    <row r="85" spans="1:11" x14ac:dyDescent="0.25">
      <c r="A85" s="3121"/>
      <c r="B85" s="3120"/>
      <c r="C85" s="3120"/>
      <c r="D85" s="3120"/>
      <c r="E85" s="3120"/>
      <c r="F85" s="3110"/>
      <c r="G85" s="3110"/>
      <c r="H85" s="3110"/>
      <c r="I85" s="3110"/>
      <c r="J85" s="3110"/>
      <c r="K85" s="3110"/>
    </row>
    <row r="86" spans="1:11" x14ac:dyDescent="0.25">
      <c r="A86" s="3121"/>
      <c r="B86" s="3109" t="s">
        <v>84</v>
      </c>
      <c r="C86" s="3109"/>
      <c r="D86" s="3109"/>
      <c r="E86" s="3109"/>
      <c r="F86" s="3110">
        <v>15104.757966101695</v>
      </c>
      <c r="G86" s="3110"/>
      <c r="H86" s="3110">
        <v>34.6</v>
      </c>
      <c r="I86" s="3110"/>
      <c r="J86" s="3110">
        <v>72.099999999999994</v>
      </c>
      <c r="K86" s="3110"/>
    </row>
    <row r="87" spans="1:11" x14ac:dyDescent="0.25">
      <c r="A87" s="3121"/>
      <c r="B87" s="3109"/>
      <c r="C87" s="3109"/>
      <c r="D87" s="3109"/>
      <c r="E87" s="3109"/>
      <c r="F87" s="3110"/>
      <c r="G87" s="3110"/>
      <c r="H87" s="3110"/>
      <c r="I87" s="3110"/>
      <c r="J87" s="3110"/>
      <c r="K87" s="3110"/>
    </row>
    <row r="88" spans="1:11" x14ac:dyDescent="0.25">
      <c r="A88" s="3121"/>
      <c r="B88" s="3109" t="s">
        <v>85</v>
      </c>
      <c r="C88" s="3109"/>
      <c r="D88" s="3109"/>
      <c r="E88" s="3109"/>
      <c r="F88" s="3110">
        <v>4018.8760714285718</v>
      </c>
      <c r="G88" s="3110"/>
      <c r="H88" s="3110">
        <v>112.05</v>
      </c>
      <c r="I88" s="3110"/>
      <c r="J88" s="3110">
        <v>121.05</v>
      </c>
      <c r="K88" s="3110"/>
    </row>
    <row r="89" spans="1:11" x14ac:dyDescent="0.25">
      <c r="A89" s="3121"/>
      <c r="B89" s="3109"/>
      <c r="C89" s="3109"/>
      <c r="D89" s="3109"/>
      <c r="E89" s="3109"/>
      <c r="F89" s="3110"/>
      <c r="G89" s="3110"/>
      <c r="H89" s="3110"/>
      <c r="I89" s="3110"/>
      <c r="J89" s="3110"/>
      <c r="K89" s="3110"/>
    </row>
    <row r="90" spans="1:11" x14ac:dyDescent="0.25">
      <c r="A90" s="3121"/>
      <c r="B90" s="3109" t="s">
        <v>86</v>
      </c>
      <c r="C90" s="3109"/>
      <c r="D90" s="3109"/>
      <c r="E90" s="3109"/>
      <c r="F90" s="3110">
        <v>3833.6949152542375</v>
      </c>
      <c r="G90" s="3110"/>
      <c r="H90" s="3110">
        <v>49.06</v>
      </c>
      <c r="I90" s="3110"/>
      <c r="J90" s="3110">
        <v>64.06</v>
      </c>
      <c r="K90" s="3110"/>
    </row>
    <row r="91" spans="1:11" x14ac:dyDescent="0.25">
      <c r="A91" s="3121"/>
      <c r="B91" s="3109"/>
      <c r="C91" s="3109"/>
      <c r="D91" s="3109"/>
      <c r="E91" s="3109"/>
      <c r="F91" s="3110"/>
      <c r="G91" s="3110"/>
      <c r="H91" s="3110"/>
      <c r="I91" s="3110"/>
      <c r="J91" s="3110"/>
      <c r="K91" s="3110"/>
    </row>
    <row r="92" spans="1:11" x14ac:dyDescent="0.25">
      <c r="A92" s="3121"/>
      <c r="B92" s="3109" t="s">
        <v>87</v>
      </c>
      <c r="C92" s="3109"/>
      <c r="D92" s="3109"/>
      <c r="E92" s="3109"/>
      <c r="F92" s="3110">
        <v>13037.75745762712</v>
      </c>
      <c r="G92" s="3110"/>
      <c r="H92" s="3110">
        <v>75.010000000000005</v>
      </c>
      <c r="I92" s="3110"/>
      <c r="J92" s="3110">
        <v>121.51</v>
      </c>
      <c r="K92" s="3110"/>
    </row>
    <row r="93" spans="1:11" x14ac:dyDescent="0.25">
      <c r="A93" s="3121"/>
      <c r="B93" s="3109"/>
      <c r="C93" s="3109"/>
      <c r="D93" s="3109"/>
      <c r="E93" s="3109"/>
      <c r="F93" s="3110"/>
      <c r="G93" s="3110"/>
      <c r="H93" s="3110"/>
      <c r="I93" s="3110"/>
      <c r="J93" s="3110"/>
      <c r="K93" s="3110"/>
    </row>
    <row r="94" spans="1:11" x14ac:dyDescent="0.25">
      <c r="A94" s="3121"/>
      <c r="B94" s="3109" t="s">
        <v>88</v>
      </c>
      <c r="C94" s="3109"/>
      <c r="D94" s="3109"/>
      <c r="E94" s="3109"/>
      <c r="F94" s="3110">
        <v>19920.805882352943</v>
      </c>
      <c r="G94" s="3110"/>
      <c r="H94" s="3110">
        <v>210.07</v>
      </c>
      <c r="I94" s="3110"/>
      <c r="J94" s="3110">
        <v>261.88</v>
      </c>
      <c r="K94" s="3110"/>
    </row>
    <row r="95" spans="1:11" x14ac:dyDescent="0.25">
      <c r="A95" s="3121"/>
      <c r="B95" s="3109"/>
      <c r="C95" s="3109"/>
      <c r="D95" s="3109"/>
      <c r="E95" s="3109"/>
      <c r="F95" s="3110"/>
      <c r="G95" s="3110"/>
      <c r="H95" s="3110"/>
      <c r="I95" s="3110"/>
      <c r="J95" s="3110"/>
      <c r="K95" s="3110"/>
    </row>
    <row r="96" spans="1:11" x14ac:dyDescent="0.25">
      <c r="A96" s="3121"/>
      <c r="B96" s="3109" t="s">
        <v>89</v>
      </c>
      <c r="C96" s="3109"/>
      <c r="D96" s="3109"/>
      <c r="E96" s="3109"/>
      <c r="F96" s="3110">
        <v>3735.5290909090909</v>
      </c>
      <c r="G96" s="3110"/>
      <c r="H96" s="3110">
        <v>17.77</v>
      </c>
      <c r="I96" s="3110"/>
      <c r="J96" s="3110">
        <v>28.27</v>
      </c>
      <c r="K96" s="3110"/>
    </row>
    <row r="97" spans="1:11" x14ac:dyDescent="0.25">
      <c r="A97" s="3121"/>
      <c r="B97" s="3109"/>
      <c r="C97" s="3109"/>
      <c r="D97" s="3109"/>
      <c r="E97" s="3109"/>
      <c r="F97" s="3110"/>
      <c r="G97" s="3110"/>
      <c r="H97" s="3110"/>
      <c r="I97" s="3110"/>
      <c r="J97" s="3110"/>
      <c r="K97" s="3110"/>
    </row>
    <row r="98" spans="1:11" x14ac:dyDescent="0.25">
      <c r="A98" s="3121"/>
      <c r="B98" s="3109" t="s">
        <v>90</v>
      </c>
      <c r="C98" s="3109"/>
      <c r="D98" s="3109"/>
      <c r="E98" s="3109"/>
      <c r="F98" s="3110">
        <v>891.04363636363632</v>
      </c>
      <c r="G98" s="3110"/>
      <c r="H98" s="3110">
        <v>6.12</v>
      </c>
      <c r="I98" s="3110"/>
      <c r="J98" s="3110">
        <v>7.24</v>
      </c>
      <c r="K98" s="3110"/>
    </row>
    <row r="99" spans="1:11" x14ac:dyDescent="0.25">
      <c r="A99" s="3121"/>
      <c r="B99" s="3109"/>
      <c r="C99" s="3109"/>
      <c r="D99" s="3109"/>
      <c r="E99" s="3109"/>
      <c r="F99" s="3110"/>
      <c r="G99" s="3110"/>
      <c r="H99" s="3110"/>
      <c r="I99" s="3110"/>
      <c r="J99" s="3110"/>
      <c r="K99" s="3110"/>
    </row>
    <row r="100" spans="1:11" x14ac:dyDescent="0.25">
      <c r="A100" s="3121"/>
      <c r="B100" s="3109" t="s">
        <v>91</v>
      </c>
      <c r="C100" s="3109"/>
      <c r="D100" s="3109"/>
      <c r="E100" s="3109"/>
      <c r="F100" s="3110">
        <v>920.08677966101709</v>
      </c>
      <c r="G100" s="3110"/>
      <c r="H100" s="3110">
        <v>21.13</v>
      </c>
      <c r="I100" s="3110"/>
      <c r="J100" s="3110">
        <v>25.63</v>
      </c>
      <c r="K100" s="3110"/>
    </row>
    <row r="101" spans="1:11" x14ac:dyDescent="0.25">
      <c r="A101" s="3121"/>
      <c r="B101" s="3109"/>
      <c r="C101" s="3109"/>
      <c r="D101" s="3109"/>
      <c r="E101" s="3109"/>
      <c r="F101" s="3110"/>
      <c r="G101" s="3110"/>
      <c r="H101" s="3110"/>
      <c r="I101" s="3110"/>
      <c r="J101" s="3110"/>
      <c r="K101" s="3110"/>
    </row>
    <row r="102" spans="1:11" x14ac:dyDescent="0.25">
      <c r="A102" s="3121"/>
      <c r="B102" s="3109" t="s">
        <v>92</v>
      </c>
      <c r="C102" s="3109"/>
      <c r="D102" s="3109"/>
      <c r="E102" s="3109"/>
      <c r="F102" s="3110">
        <v>760.81418181818174</v>
      </c>
      <c r="G102" s="3110"/>
      <c r="H102" s="3110">
        <v>1.37</v>
      </c>
      <c r="I102" s="3110"/>
      <c r="J102" s="3110">
        <v>2.87</v>
      </c>
      <c r="K102" s="3110"/>
    </row>
    <row r="103" spans="1:11" x14ac:dyDescent="0.25">
      <c r="A103" s="3121"/>
      <c r="B103" s="3109"/>
      <c r="C103" s="3109"/>
      <c r="D103" s="3109"/>
      <c r="E103" s="3109"/>
      <c r="F103" s="3110"/>
      <c r="G103" s="3110"/>
      <c r="H103" s="3110"/>
      <c r="I103" s="3110"/>
      <c r="J103" s="3110"/>
      <c r="K103" s="3110"/>
    </row>
    <row r="104" spans="1:11" x14ac:dyDescent="0.25">
      <c r="A104" s="3121"/>
      <c r="B104" s="3109" t="s">
        <v>93</v>
      </c>
      <c r="C104" s="3109"/>
      <c r="D104" s="3109"/>
      <c r="E104" s="3109"/>
      <c r="F104" s="3110">
        <v>692.19491525423734</v>
      </c>
      <c r="G104" s="3110"/>
      <c r="H104" s="3110">
        <v>9.1999999999999993</v>
      </c>
      <c r="I104" s="3110"/>
      <c r="J104" s="3110">
        <v>10.7</v>
      </c>
      <c r="K104" s="3110"/>
    </row>
    <row r="105" spans="1:11" x14ac:dyDescent="0.25">
      <c r="A105" s="3121"/>
      <c r="B105" s="3109"/>
      <c r="C105" s="3109"/>
      <c r="D105" s="3109"/>
      <c r="E105" s="3109"/>
      <c r="F105" s="3110"/>
      <c r="G105" s="3110"/>
      <c r="H105" s="3110"/>
      <c r="I105" s="3110"/>
      <c r="J105" s="3110"/>
      <c r="K105" s="3110"/>
    </row>
    <row r="106" spans="1:11" x14ac:dyDescent="0.25">
      <c r="A106" s="3121"/>
      <c r="B106" s="3109" t="s">
        <v>94</v>
      </c>
      <c r="C106" s="3109"/>
      <c r="D106" s="3109"/>
      <c r="E106" s="3109"/>
      <c r="F106" s="3110">
        <v>1686.8257627118646</v>
      </c>
      <c r="G106" s="3110"/>
      <c r="H106" s="3110">
        <v>51.28</v>
      </c>
      <c r="I106" s="3110"/>
      <c r="J106" s="3110">
        <v>93.28</v>
      </c>
      <c r="K106" s="3110"/>
    </row>
    <row r="107" spans="1:11" x14ac:dyDescent="0.25">
      <c r="A107" s="3121"/>
      <c r="B107" s="3109"/>
      <c r="C107" s="3109"/>
      <c r="D107" s="3109"/>
      <c r="E107" s="3109"/>
      <c r="F107" s="3110"/>
      <c r="G107" s="3110"/>
      <c r="H107" s="3110"/>
      <c r="I107" s="3110"/>
      <c r="J107" s="3110"/>
      <c r="K107" s="3110"/>
    </row>
    <row r="108" spans="1:11" x14ac:dyDescent="0.25">
      <c r="A108" s="3121"/>
      <c r="B108" s="3109" t="s">
        <v>95</v>
      </c>
      <c r="C108" s="3109"/>
      <c r="D108" s="3109"/>
      <c r="E108" s="3109"/>
      <c r="F108" s="3110">
        <v>2930.1627272727274</v>
      </c>
      <c r="G108" s="3110"/>
      <c r="H108" s="3110">
        <v>20.67</v>
      </c>
      <c r="I108" s="3110"/>
      <c r="J108" s="3110">
        <v>28.17</v>
      </c>
      <c r="K108" s="3110"/>
    </row>
    <row r="109" spans="1:11" x14ac:dyDescent="0.25">
      <c r="A109" s="3121"/>
      <c r="B109" s="3109"/>
      <c r="C109" s="3109"/>
      <c r="D109" s="3109"/>
      <c r="E109" s="3109"/>
      <c r="F109" s="3110"/>
      <c r="G109" s="3110"/>
      <c r="H109" s="3110"/>
      <c r="I109" s="3110"/>
      <c r="J109" s="3110"/>
      <c r="K109" s="3110"/>
    </row>
    <row r="110" spans="1:11" x14ac:dyDescent="0.25">
      <c r="A110" s="3121"/>
      <c r="B110" s="3109" t="s">
        <v>96</v>
      </c>
      <c r="C110" s="3109"/>
      <c r="D110" s="3109"/>
      <c r="E110" s="3109"/>
      <c r="F110" s="3110">
        <v>5277.72</v>
      </c>
      <c r="G110" s="3110"/>
      <c r="H110" s="3110">
        <v>21.55</v>
      </c>
      <c r="I110" s="3110"/>
      <c r="J110" s="3110">
        <v>33.549999999999997</v>
      </c>
      <c r="K110" s="3110"/>
    </row>
    <row r="111" spans="1:11" x14ac:dyDescent="0.25">
      <c r="A111" s="3121"/>
      <c r="B111" s="3109"/>
      <c r="C111" s="3109"/>
      <c r="D111" s="3109"/>
      <c r="E111" s="3109"/>
      <c r="F111" s="3110"/>
      <c r="G111" s="3110"/>
      <c r="H111" s="3110"/>
      <c r="I111" s="3110"/>
      <c r="J111" s="3110"/>
      <c r="K111" s="3110"/>
    </row>
    <row r="112" spans="1:11" x14ac:dyDescent="0.25">
      <c r="A112" s="3121"/>
      <c r="B112" s="3109" t="s">
        <v>97</v>
      </c>
      <c r="C112" s="3109"/>
      <c r="D112" s="3109"/>
      <c r="E112" s="3109"/>
      <c r="F112" s="3110">
        <v>952.03423728813561</v>
      </c>
      <c r="G112" s="3110"/>
      <c r="H112" s="3110">
        <v>50.42</v>
      </c>
      <c r="I112" s="3110"/>
      <c r="J112" s="3110">
        <v>54.92</v>
      </c>
      <c r="K112" s="3110"/>
    </row>
    <row r="113" spans="1:11" x14ac:dyDescent="0.25">
      <c r="A113" s="3121"/>
      <c r="B113" s="3109"/>
      <c r="C113" s="3109"/>
      <c r="D113" s="3109"/>
      <c r="E113" s="3109"/>
      <c r="F113" s="3110"/>
      <c r="G113" s="3110"/>
      <c r="H113" s="3110"/>
      <c r="I113" s="3110"/>
      <c r="J113" s="3110"/>
      <c r="K113" s="3110"/>
    </row>
    <row r="114" spans="1:11" x14ac:dyDescent="0.25">
      <c r="A114" s="3121"/>
      <c r="B114" s="3109" t="s">
        <v>98</v>
      </c>
      <c r="C114" s="3109"/>
      <c r="D114" s="3109"/>
      <c r="E114" s="3109"/>
      <c r="F114" s="3110">
        <v>2484.0289285714289</v>
      </c>
      <c r="G114" s="3110"/>
      <c r="H114" s="3110">
        <v>64.989999999999995</v>
      </c>
      <c r="I114" s="3110"/>
      <c r="J114" s="3110">
        <v>72.489999999999995</v>
      </c>
      <c r="K114" s="3110"/>
    </row>
    <row r="115" spans="1:11" x14ac:dyDescent="0.25">
      <c r="A115" s="3121"/>
      <c r="B115" s="3109"/>
      <c r="C115" s="3109"/>
      <c r="D115" s="3109"/>
      <c r="E115" s="3109"/>
      <c r="F115" s="3110"/>
      <c r="G115" s="3110"/>
      <c r="H115" s="3110"/>
      <c r="I115" s="3110"/>
      <c r="J115" s="3110"/>
      <c r="K115" s="3110"/>
    </row>
    <row r="116" spans="1:11" x14ac:dyDescent="0.25">
      <c r="A116" s="3121"/>
      <c r="B116" s="3109" t="s">
        <v>99</v>
      </c>
      <c r="C116" s="3109"/>
      <c r="D116" s="3109"/>
      <c r="E116" s="3109"/>
      <c r="F116" s="3110">
        <v>10828.935294117648</v>
      </c>
      <c r="G116" s="3110"/>
      <c r="H116" s="3110">
        <v>36.81</v>
      </c>
      <c r="I116" s="3110"/>
      <c r="J116" s="3110">
        <v>63.81</v>
      </c>
      <c r="K116" s="3110"/>
    </row>
    <row r="117" spans="1:11" x14ac:dyDescent="0.25">
      <c r="A117" s="3121"/>
      <c r="B117" s="3109"/>
      <c r="C117" s="3109"/>
      <c r="D117" s="3109"/>
      <c r="E117" s="3109"/>
      <c r="F117" s="3110"/>
      <c r="G117" s="3110"/>
      <c r="H117" s="3110"/>
      <c r="I117" s="3110"/>
      <c r="J117" s="3110"/>
      <c r="K117" s="3110"/>
    </row>
    <row r="118" spans="1:11" x14ac:dyDescent="0.25">
      <c r="A118" s="3121"/>
      <c r="B118" s="3122" t="s">
        <v>100</v>
      </c>
      <c r="C118" s="3122"/>
      <c r="D118" s="3122"/>
      <c r="E118" s="3122"/>
      <c r="F118" s="3110">
        <v>5088</v>
      </c>
      <c r="G118" s="3110"/>
      <c r="H118" s="3110">
        <v>37.94</v>
      </c>
      <c r="I118" s="3110"/>
      <c r="J118" s="3110">
        <v>60.44</v>
      </c>
      <c r="K118" s="3110"/>
    </row>
    <row r="119" spans="1:11" x14ac:dyDescent="0.25">
      <c r="A119" s="3121"/>
      <c r="B119" s="3122"/>
      <c r="C119" s="3122"/>
      <c r="D119" s="3122"/>
      <c r="E119" s="3122"/>
      <c r="F119" s="3110"/>
      <c r="G119" s="3110"/>
      <c r="H119" s="3110"/>
      <c r="I119" s="3110"/>
      <c r="J119" s="3110"/>
      <c r="K119" s="3110"/>
    </row>
    <row r="120" spans="1:11" x14ac:dyDescent="0.25">
      <c r="A120" s="3121"/>
      <c r="B120" s="3122" t="s">
        <v>101</v>
      </c>
      <c r="C120" s="3122"/>
      <c r="D120" s="3122"/>
      <c r="E120" s="3122"/>
      <c r="F120" s="3110">
        <v>72684</v>
      </c>
      <c r="G120" s="3110"/>
      <c r="H120" s="3110">
        <v>254.88</v>
      </c>
      <c r="I120" s="3110"/>
      <c r="J120" s="3110">
        <v>520.38</v>
      </c>
      <c r="K120" s="3110"/>
    </row>
    <row r="121" spans="1:11" x14ac:dyDescent="0.25">
      <c r="A121" s="3121"/>
      <c r="B121" s="3122"/>
      <c r="C121" s="3122"/>
      <c r="D121" s="3122"/>
      <c r="E121" s="3122"/>
      <c r="F121" s="3110"/>
      <c r="G121" s="3110"/>
      <c r="H121" s="3110"/>
      <c r="I121" s="3110"/>
      <c r="J121" s="3110"/>
      <c r="K121" s="3110"/>
    </row>
    <row r="122" spans="1:11" x14ac:dyDescent="0.25">
      <c r="A122" s="3121"/>
      <c r="B122" s="3122" t="s">
        <v>102</v>
      </c>
      <c r="C122" s="3122"/>
      <c r="D122" s="3122"/>
      <c r="E122" s="3122"/>
      <c r="F122" s="3110">
        <v>4611</v>
      </c>
      <c r="G122" s="3110"/>
      <c r="H122" s="3110">
        <v>48.05</v>
      </c>
      <c r="I122" s="3110"/>
      <c r="J122" s="3110">
        <v>61.55</v>
      </c>
      <c r="K122" s="3110"/>
    </row>
    <row r="123" spans="1:11" x14ac:dyDescent="0.25">
      <c r="A123" s="3121"/>
      <c r="B123" s="3122"/>
      <c r="C123" s="3122"/>
      <c r="D123" s="3122"/>
      <c r="E123" s="3122"/>
      <c r="F123" s="3110"/>
      <c r="G123" s="3110"/>
      <c r="H123" s="3110"/>
      <c r="I123" s="3110"/>
      <c r="J123" s="3110"/>
      <c r="K123" s="3110"/>
    </row>
    <row r="124" spans="1:11" x14ac:dyDescent="0.25">
      <c r="A124" s="3121"/>
      <c r="B124" s="3122"/>
      <c r="C124" s="3122"/>
      <c r="D124" s="3122"/>
      <c r="E124" s="3122"/>
      <c r="F124" s="3110"/>
      <c r="G124" s="3110"/>
      <c r="H124" s="3110"/>
      <c r="I124" s="3110"/>
      <c r="J124" s="3110"/>
      <c r="K124" s="3110"/>
    </row>
    <row r="125" spans="1:11" x14ac:dyDescent="0.25">
      <c r="A125" s="3121"/>
      <c r="B125" s="3122" t="s">
        <v>45</v>
      </c>
      <c r="C125" s="3122"/>
      <c r="D125" s="3122"/>
      <c r="E125" s="3122"/>
      <c r="F125" s="3110">
        <v>15695</v>
      </c>
      <c r="G125" s="3110"/>
      <c r="H125" s="3110">
        <v>150.54</v>
      </c>
      <c r="I125" s="3110"/>
      <c r="J125" s="3110">
        <v>534.54</v>
      </c>
      <c r="K125" s="3110"/>
    </row>
    <row r="126" spans="1:11" x14ac:dyDescent="0.25">
      <c r="A126" s="3121"/>
      <c r="B126" s="3122"/>
      <c r="C126" s="3122"/>
      <c r="D126" s="3122"/>
      <c r="E126" s="3122"/>
      <c r="F126" s="3110"/>
      <c r="G126" s="3110"/>
      <c r="H126" s="3110"/>
      <c r="I126" s="3110"/>
      <c r="J126" s="3110"/>
      <c r="K126" s="3110"/>
    </row>
    <row r="127" spans="1:11" x14ac:dyDescent="0.25">
      <c r="A127" s="3121"/>
      <c r="B127" s="3122" t="s">
        <v>103</v>
      </c>
      <c r="C127" s="3122"/>
      <c r="D127" s="3122"/>
      <c r="E127" s="3122"/>
      <c r="F127" s="3110">
        <v>1054</v>
      </c>
      <c r="G127" s="3110"/>
      <c r="H127" s="3110">
        <v>17.18</v>
      </c>
      <c r="I127" s="3110"/>
      <c r="J127" s="3110">
        <v>41.18</v>
      </c>
      <c r="K127" s="3110"/>
    </row>
    <row r="128" spans="1:11" x14ac:dyDescent="0.25">
      <c r="A128" s="3121"/>
      <c r="B128" s="3122"/>
      <c r="C128" s="3122"/>
      <c r="D128" s="3122"/>
      <c r="E128" s="3122"/>
      <c r="F128" s="3110"/>
      <c r="G128" s="3110"/>
      <c r="H128" s="3110"/>
      <c r="I128" s="3110"/>
      <c r="J128" s="3110"/>
      <c r="K128" s="3110"/>
    </row>
    <row r="129" spans="1:11" x14ac:dyDescent="0.25">
      <c r="A129" s="3121"/>
      <c r="B129" s="3122" t="s">
        <v>104</v>
      </c>
      <c r="C129" s="3122"/>
      <c r="D129" s="3122"/>
      <c r="E129" s="3122"/>
      <c r="F129" s="3110">
        <v>363</v>
      </c>
      <c r="G129" s="3110"/>
      <c r="H129" s="3110">
        <v>9.17</v>
      </c>
      <c r="I129" s="3110"/>
      <c r="J129" s="3110">
        <v>21.17</v>
      </c>
      <c r="K129" s="3110"/>
    </row>
    <row r="130" spans="1:11" x14ac:dyDescent="0.25">
      <c r="A130" s="3121"/>
      <c r="B130" s="3122"/>
      <c r="C130" s="3122"/>
      <c r="D130" s="3122"/>
      <c r="E130" s="3122"/>
      <c r="F130" s="3110"/>
      <c r="G130" s="3110"/>
      <c r="H130" s="3110"/>
      <c r="I130" s="3110"/>
      <c r="J130" s="3110"/>
      <c r="K130" s="3110"/>
    </row>
    <row r="131" spans="1:11" x14ac:dyDescent="0.25">
      <c r="A131" s="3121"/>
      <c r="B131" s="3122" t="s">
        <v>31</v>
      </c>
      <c r="C131" s="3122"/>
      <c r="D131" s="3122"/>
      <c r="E131" s="3122"/>
      <c r="F131" s="3110">
        <v>1574</v>
      </c>
      <c r="G131" s="3110"/>
      <c r="H131" s="3110">
        <v>2.4900000000000002</v>
      </c>
      <c r="I131" s="3110"/>
      <c r="J131" s="3110">
        <v>5.49</v>
      </c>
      <c r="K131" s="3110"/>
    </row>
    <row r="132" spans="1:11" x14ac:dyDescent="0.25">
      <c r="A132" s="3121"/>
      <c r="B132" s="3122"/>
      <c r="C132" s="3122"/>
      <c r="D132" s="3122"/>
      <c r="E132" s="3122"/>
      <c r="F132" s="3110"/>
      <c r="G132" s="3110"/>
      <c r="H132" s="3110"/>
      <c r="I132" s="3110"/>
      <c r="J132" s="3110"/>
      <c r="K132" s="3110"/>
    </row>
    <row r="133" spans="1:11" x14ac:dyDescent="0.25">
      <c r="A133" s="3121"/>
      <c r="B133" s="3122"/>
      <c r="C133" s="3122"/>
      <c r="D133" s="3122"/>
      <c r="E133" s="3122"/>
      <c r="F133" s="3110"/>
      <c r="G133" s="3110"/>
      <c r="H133" s="3110"/>
      <c r="I133" s="3110"/>
      <c r="J133" s="3110"/>
      <c r="K133" s="3110"/>
    </row>
    <row r="134" spans="1:11" x14ac:dyDescent="0.25">
      <c r="A134" s="3121"/>
      <c r="B134" s="3122" t="s">
        <v>105</v>
      </c>
      <c r="C134" s="3122"/>
      <c r="D134" s="3122"/>
      <c r="E134" s="3122"/>
      <c r="F134" s="3110">
        <v>316</v>
      </c>
      <c r="G134" s="3110"/>
      <c r="H134" s="3110">
        <v>24.28</v>
      </c>
      <c r="I134" s="3110"/>
      <c r="J134" s="3110">
        <v>27.28</v>
      </c>
      <c r="K134" s="3110"/>
    </row>
    <row r="135" spans="1:11" x14ac:dyDescent="0.25">
      <c r="A135" s="3121"/>
      <c r="B135" s="3122"/>
      <c r="C135" s="3122"/>
      <c r="D135" s="3122"/>
      <c r="E135" s="3122"/>
      <c r="F135" s="3110"/>
      <c r="G135" s="3110"/>
      <c r="H135" s="3110"/>
      <c r="I135" s="3110"/>
      <c r="J135" s="3110"/>
      <c r="K135" s="3110"/>
    </row>
    <row r="136" spans="1:11" x14ac:dyDescent="0.25">
      <c r="A136" s="3121"/>
      <c r="B136" s="3122"/>
      <c r="C136" s="3122"/>
      <c r="D136" s="3122"/>
      <c r="E136" s="3122"/>
      <c r="F136" s="3110"/>
      <c r="G136" s="3110"/>
      <c r="H136" s="3110"/>
      <c r="I136" s="3110"/>
      <c r="J136" s="3110"/>
      <c r="K136" s="3110"/>
    </row>
    <row r="137" spans="1:11" x14ac:dyDescent="0.25">
      <c r="A137" s="3121"/>
      <c r="B137" s="3122" t="s">
        <v>106</v>
      </c>
      <c r="C137" s="3122"/>
      <c r="D137" s="3122"/>
      <c r="E137" s="3122"/>
      <c r="F137" s="3110">
        <v>466</v>
      </c>
      <c r="G137" s="3110"/>
      <c r="H137" s="3110">
        <v>4.22</v>
      </c>
      <c r="I137" s="3110"/>
      <c r="J137" s="3110">
        <v>10.220000000000001</v>
      </c>
      <c r="K137" s="3110"/>
    </row>
    <row r="138" spans="1:11" x14ac:dyDescent="0.25">
      <c r="A138" s="3121"/>
      <c r="B138" s="3122"/>
      <c r="C138" s="3122"/>
      <c r="D138" s="3122"/>
      <c r="E138" s="3122"/>
      <c r="F138" s="3110"/>
      <c r="G138" s="3110"/>
      <c r="H138" s="3110"/>
      <c r="I138" s="3110"/>
      <c r="J138" s="3110"/>
      <c r="K138" s="3110"/>
    </row>
    <row r="139" spans="1:11" x14ac:dyDescent="0.25">
      <c r="A139" s="3121"/>
      <c r="B139" s="3122"/>
      <c r="C139" s="3122"/>
      <c r="D139" s="3122"/>
      <c r="E139" s="3122"/>
      <c r="F139" s="3110"/>
      <c r="G139" s="3110"/>
      <c r="H139" s="3110"/>
      <c r="I139" s="3110"/>
      <c r="J139" s="3110"/>
      <c r="K139" s="3110"/>
    </row>
    <row r="140" spans="1:11" x14ac:dyDescent="0.25">
      <c r="A140" s="3121"/>
      <c r="B140" s="3122" t="s">
        <v>107</v>
      </c>
      <c r="C140" s="3122"/>
      <c r="D140" s="3122"/>
      <c r="E140" s="3122"/>
      <c r="F140" s="3110">
        <v>3680</v>
      </c>
      <c r="G140" s="3110"/>
      <c r="H140" s="3110">
        <v>43.23</v>
      </c>
      <c r="I140" s="3110"/>
      <c r="J140" s="3110">
        <v>56.73</v>
      </c>
      <c r="K140" s="3110"/>
    </row>
    <row r="141" spans="1:11" x14ac:dyDescent="0.25">
      <c r="A141" s="3121"/>
      <c r="B141" s="3122"/>
      <c r="C141" s="3122"/>
      <c r="D141" s="3122"/>
      <c r="E141" s="3122"/>
      <c r="F141" s="3110"/>
      <c r="G141" s="3110"/>
      <c r="H141" s="3110"/>
      <c r="I141" s="3110"/>
      <c r="J141" s="3110"/>
      <c r="K141" s="3110"/>
    </row>
    <row r="142" spans="1:11" x14ac:dyDescent="0.25">
      <c r="A142" s="3121"/>
      <c r="B142" s="3122"/>
      <c r="C142" s="3122"/>
      <c r="D142" s="3122"/>
      <c r="E142" s="3122"/>
      <c r="F142" s="3110"/>
      <c r="G142" s="3110"/>
      <c r="H142" s="3110"/>
      <c r="I142" s="3110"/>
      <c r="J142" s="3110"/>
      <c r="K142" s="3110"/>
    </row>
    <row r="143" spans="1:11" x14ac:dyDescent="0.25">
      <c r="A143" s="3121"/>
      <c r="B143" s="3122" t="s">
        <v>108</v>
      </c>
      <c r="C143" s="3122"/>
      <c r="D143" s="3122"/>
      <c r="E143" s="3122"/>
      <c r="F143" s="3110">
        <v>383</v>
      </c>
      <c r="G143" s="3110"/>
      <c r="H143" s="3110">
        <v>7.47</v>
      </c>
      <c r="I143" s="3110"/>
      <c r="J143" s="3110">
        <v>7.47</v>
      </c>
      <c r="K143" s="3110"/>
    </row>
    <row r="144" spans="1:11" x14ac:dyDescent="0.25">
      <c r="A144" s="3121"/>
      <c r="B144" s="3122"/>
      <c r="C144" s="3122"/>
      <c r="D144" s="3122"/>
      <c r="E144" s="3122"/>
      <c r="F144" s="3110"/>
      <c r="G144" s="3110"/>
      <c r="H144" s="3110"/>
      <c r="I144" s="3110"/>
      <c r="J144" s="3110"/>
      <c r="K144" s="3110"/>
    </row>
    <row r="145" spans="1:11" x14ac:dyDescent="0.25">
      <c r="A145" s="3121"/>
      <c r="B145" s="3122"/>
      <c r="C145" s="3122"/>
      <c r="D145" s="3122"/>
      <c r="E145" s="3122"/>
      <c r="F145" s="3110"/>
      <c r="G145" s="3110"/>
      <c r="H145" s="3110"/>
      <c r="I145" s="3110"/>
      <c r="J145" s="3110"/>
      <c r="K145" s="3110"/>
    </row>
    <row r="146" spans="1:11" x14ac:dyDescent="0.25">
      <c r="A146" s="3121"/>
      <c r="B146" s="3122" t="s">
        <v>109</v>
      </c>
      <c r="C146" s="3122"/>
      <c r="D146" s="3122"/>
      <c r="E146" s="3122"/>
      <c r="F146" s="3110">
        <v>1361</v>
      </c>
      <c r="G146" s="3110"/>
      <c r="H146" s="3110">
        <v>32.96</v>
      </c>
      <c r="I146" s="3110"/>
      <c r="J146" s="3110">
        <v>37.46</v>
      </c>
      <c r="K146" s="3110"/>
    </row>
    <row r="147" spans="1:11" x14ac:dyDescent="0.25">
      <c r="A147" s="3121"/>
      <c r="B147" s="3122"/>
      <c r="C147" s="3122"/>
      <c r="D147" s="3122"/>
      <c r="E147" s="3122"/>
      <c r="F147" s="3110"/>
      <c r="G147" s="3110"/>
      <c r="H147" s="3110"/>
      <c r="I147" s="3110"/>
      <c r="J147" s="3110"/>
      <c r="K147" s="3110"/>
    </row>
    <row r="148" spans="1:11" x14ac:dyDescent="0.25">
      <c r="A148" s="3121"/>
      <c r="B148" s="3122"/>
      <c r="C148" s="3122"/>
      <c r="D148" s="3122"/>
      <c r="E148" s="3122"/>
      <c r="F148" s="3110"/>
      <c r="G148" s="3110"/>
      <c r="H148" s="3110"/>
      <c r="I148" s="3110"/>
      <c r="J148" s="3110"/>
      <c r="K148" s="3110"/>
    </row>
    <row r="149" spans="1:11" x14ac:dyDescent="0.25">
      <c r="A149" s="3121"/>
      <c r="B149" s="3122" t="s">
        <v>20</v>
      </c>
      <c r="C149" s="3122"/>
      <c r="D149" s="3122"/>
      <c r="E149" s="3122"/>
      <c r="F149" s="3110">
        <v>22238</v>
      </c>
      <c r="G149" s="3110"/>
      <c r="H149" s="3110">
        <v>76.48</v>
      </c>
      <c r="I149" s="3110"/>
      <c r="J149" s="3110">
        <v>133.47999999999999</v>
      </c>
      <c r="K149" s="3110"/>
    </row>
    <row r="150" spans="1:11" x14ac:dyDescent="0.25">
      <c r="A150" s="3121"/>
      <c r="B150" s="3122"/>
      <c r="C150" s="3122"/>
      <c r="D150" s="3122"/>
      <c r="E150" s="3122"/>
      <c r="F150" s="3110"/>
      <c r="G150" s="3110"/>
      <c r="H150" s="3110"/>
      <c r="I150" s="3110"/>
      <c r="J150" s="3110"/>
      <c r="K150" s="3110"/>
    </row>
    <row r="151" spans="1:11" x14ac:dyDescent="0.25">
      <c r="A151" s="3121"/>
      <c r="B151" s="3122"/>
      <c r="C151" s="3122"/>
      <c r="D151" s="3122"/>
      <c r="E151" s="3122"/>
      <c r="F151" s="3110"/>
      <c r="G151" s="3110"/>
      <c r="H151" s="3110"/>
      <c r="I151" s="3110"/>
      <c r="J151" s="3110"/>
      <c r="K151" s="3110"/>
    </row>
    <row r="152" spans="1:11" x14ac:dyDescent="0.25">
      <c r="A152" s="3121"/>
      <c r="B152" s="3122" t="s">
        <v>227</v>
      </c>
      <c r="C152" s="3122"/>
      <c r="D152" s="3122"/>
      <c r="E152" s="3122"/>
      <c r="F152" s="3110">
        <v>1866</v>
      </c>
      <c r="G152" s="3110"/>
      <c r="H152" s="3110">
        <v>43.17</v>
      </c>
      <c r="I152" s="3110"/>
      <c r="J152" s="3110">
        <v>91.17</v>
      </c>
      <c r="K152" s="3110"/>
    </row>
    <row r="153" spans="1:11" x14ac:dyDescent="0.25">
      <c r="A153" s="3121"/>
      <c r="B153" s="3122"/>
      <c r="C153" s="3122"/>
      <c r="D153" s="3122"/>
      <c r="E153" s="3122"/>
      <c r="F153" s="3110"/>
      <c r="G153" s="3110"/>
      <c r="H153" s="3110"/>
      <c r="I153" s="3110"/>
      <c r="J153" s="3110"/>
      <c r="K153" s="3110"/>
    </row>
    <row r="154" spans="1:11" x14ac:dyDescent="0.25">
      <c r="A154" s="3121"/>
      <c r="B154" s="3122"/>
      <c r="C154" s="3122"/>
      <c r="D154" s="3122"/>
      <c r="E154" s="3122"/>
      <c r="F154" s="3110"/>
      <c r="G154" s="3110"/>
      <c r="H154" s="3110"/>
      <c r="I154" s="3110"/>
      <c r="J154" s="3110"/>
      <c r="K154" s="3110"/>
    </row>
    <row r="155" spans="1:11" x14ac:dyDescent="0.25">
      <c r="A155" s="3121"/>
      <c r="B155" s="3122" t="s">
        <v>17</v>
      </c>
      <c r="C155" s="3122"/>
      <c r="D155" s="3122"/>
      <c r="E155" s="3122"/>
      <c r="F155" s="3110">
        <v>18897</v>
      </c>
      <c r="G155" s="3110"/>
      <c r="H155" s="3110">
        <v>129.47999999999999</v>
      </c>
      <c r="I155" s="3110"/>
      <c r="J155" s="3110">
        <v>204.48</v>
      </c>
      <c r="K155" s="3110"/>
    </row>
    <row r="156" spans="1:11" x14ac:dyDescent="0.25">
      <c r="A156" s="3121"/>
      <c r="B156" s="3122"/>
      <c r="C156" s="3122"/>
      <c r="D156" s="3122"/>
      <c r="E156" s="3122"/>
      <c r="F156" s="3110"/>
      <c r="G156" s="3110"/>
      <c r="H156" s="3110"/>
      <c r="I156" s="3110"/>
      <c r="J156" s="3110"/>
      <c r="K156" s="3110"/>
    </row>
    <row r="157" spans="1:11" x14ac:dyDescent="0.25">
      <c r="A157" s="3121"/>
      <c r="B157" s="3122"/>
      <c r="C157" s="3122"/>
      <c r="D157" s="3122"/>
      <c r="E157" s="3122"/>
      <c r="F157" s="3110"/>
      <c r="G157" s="3110"/>
      <c r="H157" s="3110"/>
      <c r="I157" s="3110"/>
      <c r="J157" s="3110"/>
      <c r="K157" s="3110"/>
    </row>
    <row r="158" spans="1:11" x14ac:dyDescent="0.25">
      <c r="A158" s="3121"/>
      <c r="B158" s="3122" t="s">
        <v>45</v>
      </c>
      <c r="C158" s="3122"/>
      <c r="D158" s="3122"/>
      <c r="E158" s="3122"/>
      <c r="F158" s="3110">
        <v>8026</v>
      </c>
      <c r="G158" s="3110"/>
      <c r="H158" s="3110">
        <v>71.19</v>
      </c>
      <c r="I158" s="3110"/>
      <c r="J158" s="3110">
        <v>104.19</v>
      </c>
      <c r="K158" s="3110"/>
    </row>
    <row r="159" spans="1:11" x14ac:dyDescent="0.25">
      <c r="A159" s="3121"/>
      <c r="B159" s="3122"/>
      <c r="C159" s="3122"/>
      <c r="D159" s="3122"/>
      <c r="E159" s="3122"/>
      <c r="F159" s="3110"/>
      <c r="G159" s="3110"/>
      <c r="H159" s="3110"/>
      <c r="I159" s="3110"/>
      <c r="J159" s="3110"/>
      <c r="K159" s="3110"/>
    </row>
    <row r="160" spans="1:11" x14ac:dyDescent="0.25">
      <c r="A160" s="3121"/>
      <c r="B160" s="3122"/>
      <c r="C160" s="3122"/>
      <c r="D160" s="3122"/>
      <c r="E160" s="3122"/>
      <c r="F160" s="3110"/>
      <c r="G160" s="3110"/>
      <c r="H160" s="3110"/>
      <c r="I160" s="3110"/>
      <c r="J160" s="3110"/>
      <c r="K160" s="3110"/>
    </row>
    <row r="161" spans="1:11" x14ac:dyDescent="0.25">
      <c r="A161" s="3121"/>
      <c r="B161" s="3122"/>
      <c r="C161" s="3122"/>
      <c r="D161" s="3122"/>
      <c r="E161" s="3122"/>
      <c r="F161" s="3110"/>
      <c r="G161" s="3110"/>
      <c r="H161" s="3110"/>
      <c r="I161" s="3110"/>
      <c r="J161" s="3110"/>
      <c r="K161" s="3110"/>
    </row>
    <row r="162" spans="1:11" x14ac:dyDescent="0.25">
      <c r="A162" s="3121"/>
      <c r="B162" s="3122" t="s">
        <v>222</v>
      </c>
      <c r="C162" s="3122"/>
      <c r="D162" s="3122"/>
      <c r="E162" s="3122"/>
      <c r="F162" s="3110">
        <v>9393</v>
      </c>
      <c r="G162" s="3110"/>
      <c r="H162" s="3110">
        <v>18.77</v>
      </c>
      <c r="I162" s="3110"/>
      <c r="J162" s="3110">
        <v>53.27</v>
      </c>
      <c r="K162" s="3110"/>
    </row>
    <row r="163" spans="1:11" x14ac:dyDescent="0.25">
      <c r="A163" s="3121"/>
      <c r="B163" s="3122"/>
      <c r="C163" s="3122"/>
      <c r="D163" s="3122"/>
      <c r="E163" s="3122"/>
      <c r="F163" s="3110"/>
      <c r="G163" s="3110"/>
      <c r="H163" s="3110"/>
      <c r="I163" s="3110"/>
      <c r="J163" s="3110"/>
      <c r="K163" s="3110"/>
    </row>
    <row r="164" spans="1:11" x14ac:dyDescent="0.25">
      <c r="A164" s="3121"/>
      <c r="B164" s="3122"/>
      <c r="C164" s="3122"/>
      <c r="D164" s="3122"/>
      <c r="E164" s="3122"/>
      <c r="F164" s="3110"/>
      <c r="G164" s="3110"/>
      <c r="H164" s="3110"/>
      <c r="I164" s="3110"/>
      <c r="J164" s="3110"/>
      <c r="K164" s="3110"/>
    </row>
    <row r="165" spans="1:11" x14ac:dyDescent="0.25">
      <c r="A165" s="3121"/>
      <c r="B165" s="3122"/>
      <c r="C165" s="3122"/>
      <c r="D165" s="3122"/>
      <c r="E165" s="3122"/>
      <c r="F165" s="3110"/>
      <c r="G165" s="3110"/>
      <c r="H165" s="3110"/>
      <c r="I165" s="3110"/>
      <c r="J165" s="3110"/>
      <c r="K165" s="3110"/>
    </row>
    <row r="166" spans="1:11" x14ac:dyDescent="0.25">
      <c r="A166" s="3121"/>
      <c r="B166" s="3122" t="s">
        <v>263</v>
      </c>
      <c r="C166" s="3122"/>
      <c r="D166" s="3122"/>
      <c r="E166" s="3122"/>
      <c r="F166" s="3110">
        <v>4025</v>
      </c>
      <c r="G166" s="3110"/>
      <c r="H166" s="3110">
        <v>58.08</v>
      </c>
      <c r="I166" s="3110"/>
      <c r="J166" s="3110">
        <v>73.08</v>
      </c>
      <c r="K166" s="3110"/>
    </row>
    <row r="167" spans="1:11" x14ac:dyDescent="0.25">
      <c r="A167" s="3121"/>
      <c r="B167" s="3122"/>
      <c r="C167" s="3122"/>
      <c r="D167" s="3122"/>
      <c r="E167" s="3122"/>
      <c r="F167" s="3110"/>
      <c r="G167" s="3110"/>
      <c r="H167" s="3110"/>
      <c r="I167" s="3110"/>
      <c r="J167" s="3110"/>
      <c r="K167" s="3110"/>
    </row>
    <row r="168" spans="1:11" x14ac:dyDescent="0.25">
      <c r="A168" s="3121"/>
      <c r="B168" s="3122"/>
      <c r="C168" s="3122"/>
      <c r="D168" s="3122"/>
      <c r="E168" s="3122"/>
      <c r="F168" s="3110"/>
      <c r="G168" s="3110"/>
      <c r="H168" s="3110"/>
      <c r="I168" s="3110"/>
      <c r="J168" s="3110"/>
      <c r="K168" s="3110"/>
    </row>
    <row r="169" spans="1:11" x14ac:dyDescent="0.25">
      <c r="A169" s="3121"/>
      <c r="B169" s="3122" t="s">
        <v>238</v>
      </c>
      <c r="C169" s="3122"/>
      <c r="D169" s="3122"/>
      <c r="E169" s="3122"/>
      <c r="F169" s="3110">
        <v>4735</v>
      </c>
      <c r="G169" s="3110"/>
      <c r="H169" s="3110">
        <v>85.99</v>
      </c>
      <c r="I169" s="3110"/>
      <c r="J169" s="3110">
        <v>103.99</v>
      </c>
      <c r="K169" s="3110"/>
    </row>
    <row r="170" spans="1:11" x14ac:dyDescent="0.25">
      <c r="A170" s="3121"/>
      <c r="B170" s="3122"/>
      <c r="C170" s="3122"/>
      <c r="D170" s="3122"/>
      <c r="E170" s="3122"/>
      <c r="F170" s="3110"/>
      <c r="G170" s="3110"/>
      <c r="H170" s="3110"/>
      <c r="I170" s="3110"/>
      <c r="J170" s="3110"/>
      <c r="K170" s="3110"/>
    </row>
    <row r="171" spans="1:11" x14ac:dyDescent="0.25">
      <c r="A171" s="3121"/>
      <c r="B171" s="3122"/>
      <c r="C171" s="3122"/>
      <c r="D171" s="3122"/>
      <c r="E171" s="3122"/>
      <c r="F171" s="3110"/>
      <c r="G171" s="3110"/>
      <c r="H171" s="3110"/>
      <c r="I171" s="3110"/>
      <c r="J171" s="3110"/>
      <c r="K171" s="3110"/>
    </row>
    <row r="172" spans="1:11" x14ac:dyDescent="0.25">
      <c r="A172" s="3121"/>
      <c r="B172" s="3122"/>
      <c r="C172" s="3122"/>
      <c r="D172" s="3122"/>
      <c r="E172" s="3122"/>
      <c r="F172" s="3110"/>
      <c r="G172" s="3110"/>
      <c r="H172" s="3110"/>
      <c r="I172" s="3110"/>
      <c r="J172" s="3110"/>
      <c r="K172" s="3110"/>
    </row>
    <row r="173" spans="1:11" x14ac:dyDescent="0.25">
      <c r="A173" s="3121"/>
      <c r="B173" s="3122" t="s">
        <v>259</v>
      </c>
      <c r="C173" s="3122"/>
      <c r="D173" s="3122"/>
      <c r="E173" s="3122"/>
      <c r="F173" s="3110">
        <v>3578</v>
      </c>
      <c r="G173" s="3110"/>
      <c r="H173" s="3110">
        <v>55.14</v>
      </c>
      <c r="I173" s="3110"/>
      <c r="J173" s="3110">
        <v>68.64</v>
      </c>
      <c r="K173" s="3110"/>
    </row>
    <row r="174" spans="1:11" x14ac:dyDescent="0.25">
      <c r="A174" s="3121"/>
      <c r="B174" s="3122"/>
      <c r="C174" s="3122"/>
      <c r="D174" s="3122"/>
      <c r="E174" s="3122"/>
      <c r="F174" s="3110"/>
      <c r="G174" s="3110"/>
      <c r="H174" s="3110"/>
      <c r="I174" s="3110"/>
      <c r="J174" s="3110"/>
      <c r="K174" s="3110"/>
    </row>
    <row r="175" spans="1:11" x14ac:dyDescent="0.25">
      <c r="A175" s="3121"/>
      <c r="B175" s="3122"/>
      <c r="C175" s="3122"/>
      <c r="D175" s="3122"/>
      <c r="E175" s="3122"/>
      <c r="F175" s="3110"/>
      <c r="G175" s="3110"/>
      <c r="H175" s="3110"/>
      <c r="I175" s="3110"/>
      <c r="J175" s="3110"/>
      <c r="K175" s="3110"/>
    </row>
    <row r="176" spans="1:11" x14ac:dyDescent="0.25">
      <c r="A176" s="3121"/>
      <c r="B176" s="3122"/>
      <c r="C176" s="3122"/>
      <c r="D176" s="3122"/>
      <c r="E176" s="3122"/>
      <c r="F176" s="3110"/>
      <c r="G176" s="3110"/>
      <c r="H176" s="3110"/>
      <c r="I176" s="3110"/>
      <c r="J176" s="3110"/>
      <c r="K176" s="3110"/>
    </row>
    <row r="177" spans="1:11" x14ac:dyDescent="0.25">
      <c r="A177" s="3121"/>
      <c r="B177" s="3122" t="s">
        <v>398</v>
      </c>
      <c r="C177" s="3122"/>
      <c r="D177" s="3122"/>
      <c r="E177" s="3122"/>
      <c r="F177" s="3110">
        <v>610</v>
      </c>
      <c r="G177" s="3110"/>
      <c r="H177" s="3110">
        <v>4.5</v>
      </c>
      <c r="I177" s="3110"/>
      <c r="J177" s="3110">
        <v>6</v>
      </c>
      <c r="K177" s="3110"/>
    </row>
    <row r="178" spans="1:11" x14ac:dyDescent="0.25">
      <c r="A178" s="3121"/>
      <c r="B178" s="3122"/>
      <c r="C178" s="3122"/>
      <c r="D178" s="3122"/>
      <c r="E178" s="3122"/>
      <c r="F178" s="3110"/>
      <c r="G178" s="3110"/>
      <c r="H178" s="3110"/>
      <c r="I178" s="3110"/>
      <c r="J178" s="3110"/>
      <c r="K178" s="3110"/>
    </row>
    <row r="179" spans="1:11" x14ac:dyDescent="0.25">
      <c r="A179" s="3121"/>
      <c r="B179" s="3122"/>
      <c r="C179" s="3122"/>
      <c r="D179" s="3122"/>
      <c r="E179" s="3122"/>
      <c r="F179" s="3110"/>
      <c r="G179" s="3110"/>
      <c r="H179" s="3110"/>
      <c r="I179" s="3110"/>
      <c r="J179" s="3110"/>
      <c r="K179" s="3110"/>
    </row>
    <row r="180" spans="1:11" x14ac:dyDescent="0.25">
      <c r="A180" s="3121"/>
      <c r="B180" s="3122" t="s">
        <v>287</v>
      </c>
      <c r="C180" s="3122"/>
      <c r="D180" s="3122"/>
      <c r="E180" s="3122"/>
      <c r="F180" s="3110">
        <v>13298</v>
      </c>
      <c r="G180" s="3110"/>
      <c r="H180" s="3110">
        <v>96.41</v>
      </c>
      <c r="I180" s="3110"/>
      <c r="J180" s="3110">
        <v>139.91</v>
      </c>
      <c r="K180" s="3110"/>
    </row>
    <row r="181" spans="1:11" x14ac:dyDescent="0.25">
      <c r="A181" s="3121"/>
      <c r="B181" s="3122"/>
      <c r="C181" s="3122"/>
      <c r="D181" s="3122"/>
      <c r="E181" s="3122"/>
      <c r="F181" s="3110"/>
      <c r="G181" s="3110"/>
      <c r="H181" s="3110"/>
      <c r="I181" s="3110"/>
      <c r="J181" s="3110"/>
      <c r="K181" s="3110"/>
    </row>
    <row r="182" spans="1:11" x14ac:dyDescent="0.25">
      <c r="A182" s="3121"/>
      <c r="B182" s="3122"/>
      <c r="C182" s="3122"/>
      <c r="D182" s="3122"/>
      <c r="E182" s="3122"/>
      <c r="F182" s="3110"/>
      <c r="G182" s="3110"/>
      <c r="H182" s="3110"/>
      <c r="I182" s="3110"/>
      <c r="J182" s="3110"/>
      <c r="K182" s="3110"/>
    </row>
    <row r="183" spans="1:11" x14ac:dyDescent="0.25">
      <c r="A183" s="3121"/>
      <c r="B183" s="3122" t="s">
        <v>448</v>
      </c>
      <c r="C183" s="3122"/>
      <c r="D183" s="3122"/>
      <c r="E183" s="3122"/>
      <c r="F183" s="3110">
        <v>5857.885830508475</v>
      </c>
      <c r="G183" s="3110"/>
      <c r="H183" s="3110">
        <v>65.98</v>
      </c>
      <c r="I183" s="3110"/>
      <c r="J183" s="3110">
        <v>89.98</v>
      </c>
      <c r="K183" s="3110"/>
    </row>
    <row r="184" spans="1:11" x14ac:dyDescent="0.25">
      <c r="A184" s="3121"/>
      <c r="B184" s="3122"/>
      <c r="C184" s="3122"/>
      <c r="D184" s="3122"/>
      <c r="E184" s="3122"/>
      <c r="F184" s="3110"/>
      <c r="G184" s="3110"/>
      <c r="H184" s="3110"/>
      <c r="I184" s="3110"/>
      <c r="J184" s="3110"/>
      <c r="K184" s="3110"/>
    </row>
    <row r="185" spans="1:11" x14ac:dyDescent="0.25">
      <c r="A185" s="3121"/>
      <c r="B185" s="3122" t="s">
        <v>459</v>
      </c>
      <c r="C185" s="3122"/>
      <c r="D185" s="3122"/>
      <c r="E185" s="3122"/>
      <c r="F185" s="3110">
        <v>70194.953898305088</v>
      </c>
      <c r="G185" s="3110"/>
      <c r="H185" s="3110">
        <v>398.16</v>
      </c>
      <c r="I185" s="3110"/>
      <c r="J185" s="3110">
        <v>639.66</v>
      </c>
      <c r="K185" s="3110"/>
    </row>
    <row r="186" spans="1:11" x14ac:dyDescent="0.25">
      <c r="A186" s="3121"/>
      <c r="B186" s="3122"/>
      <c r="C186" s="3122"/>
      <c r="D186" s="3122"/>
      <c r="E186" s="3122"/>
      <c r="F186" s="3110"/>
      <c r="G186" s="3110"/>
      <c r="H186" s="3110"/>
      <c r="I186" s="3110"/>
      <c r="J186" s="3110"/>
      <c r="K186" s="3110"/>
    </row>
    <row r="187" spans="1:11" x14ac:dyDescent="0.25">
      <c r="A187" s="3123">
        <v>2026</v>
      </c>
      <c r="B187" s="3122" t="s">
        <v>467</v>
      </c>
      <c r="C187" s="3122"/>
      <c r="D187" s="3122"/>
      <c r="E187" s="3122"/>
      <c r="F187" s="3110">
        <v>1821.0050847457628</v>
      </c>
      <c r="G187" s="3110"/>
      <c r="H187" s="3110">
        <v>8.84</v>
      </c>
      <c r="I187" s="3110"/>
      <c r="J187" s="3110">
        <v>17.84</v>
      </c>
      <c r="K187" s="3110"/>
    </row>
    <row r="188" spans="1:11" x14ac:dyDescent="0.25">
      <c r="A188" s="3123"/>
      <c r="B188" s="3122"/>
      <c r="C188" s="3122"/>
      <c r="D188" s="3122"/>
      <c r="E188" s="3122"/>
      <c r="F188" s="3110"/>
      <c r="G188" s="3110"/>
      <c r="H188" s="3110"/>
      <c r="I188" s="3110"/>
      <c r="J188" s="3110"/>
      <c r="K188" s="3110"/>
    </row>
    <row r="189" spans="1:11" x14ac:dyDescent="0.25">
      <c r="A189" s="3123"/>
      <c r="B189" s="3122" t="s">
        <v>260</v>
      </c>
      <c r="C189" s="3122"/>
      <c r="D189" s="3122"/>
      <c r="E189" s="3122"/>
      <c r="F189" s="3110">
        <v>26035.181250000001</v>
      </c>
      <c r="G189" s="3110"/>
      <c r="H189" s="3110">
        <v>332.55</v>
      </c>
      <c r="I189" s="3110"/>
      <c r="J189" s="3110">
        <v>965.55</v>
      </c>
      <c r="K189" s="3110"/>
    </row>
    <row r="190" spans="1:11" x14ac:dyDescent="0.25">
      <c r="A190" s="3123"/>
      <c r="B190" s="3122"/>
      <c r="C190" s="3122"/>
      <c r="D190" s="3122"/>
      <c r="E190" s="3122"/>
      <c r="F190" s="3110"/>
      <c r="G190" s="3110"/>
      <c r="H190" s="3110"/>
      <c r="I190" s="3110"/>
      <c r="J190" s="3110"/>
      <c r="K190" s="3110"/>
    </row>
    <row r="191" spans="1:11" x14ac:dyDescent="0.25">
      <c r="A191" s="3123"/>
      <c r="B191" s="3122" t="s">
        <v>462</v>
      </c>
      <c r="C191" s="3122"/>
      <c r="D191" s="3122"/>
      <c r="E191" s="3122"/>
      <c r="F191" s="3110">
        <v>25135.620711864409</v>
      </c>
      <c r="G191" s="3110"/>
      <c r="H191" s="3110">
        <v>41.06</v>
      </c>
      <c r="I191" s="3110"/>
      <c r="J191" s="3110">
        <v>140.06</v>
      </c>
      <c r="K191" s="3110"/>
    </row>
    <row r="192" spans="1:11" x14ac:dyDescent="0.25">
      <c r="A192" s="3123"/>
      <c r="B192" s="3122"/>
      <c r="C192" s="3122"/>
      <c r="D192" s="3122"/>
      <c r="E192" s="3122"/>
      <c r="F192" s="3110"/>
      <c r="G192" s="3110"/>
      <c r="H192" s="3110"/>
      <c r="I192" s="3110"/>
      <c r="J192" s="3110"/>
      <c r="K192" s="3110"/>
    </row>
    <row r="193" spans="1:11" x14ac:dyDescent="0.25">
      <c r="A193" s="3123"/>
      <c r="B193" s="3122" t="s">
        <v>463</v>
      </c>
      <c r="C193" s="3122"/>
      <c r="D193" s="3122"/>
      <c r="E193" s="3122"/>
      <c r="F193" s="3110">
        <v>9200.8677966101695</v>
      </c>
      <c r="G193" s="3110"/>
      <c r="H193" s="3110">
        <v>98.81</v>
      </c>
      <c r="I193" s="3110"/>
      <c r="J193" s="3110">
        <v>142.31</v>
      </c>
      <c r="K193" s="3110"/>
    </row>
    <row r="194" spans="1:11" x14ac:dyDescent="0.25">
      <c r="A194" s="3123"/>
      <c r="B194" s="3122"/>
      <c r="C194" s="3122"/>
      <c r="D194" s="3122"/>
      <c r="E194" s="3122"/>
      <c r="F194" s="3110"/>
      <c r="G194" s="3110"/>
      <c r="H194" s="3110"/>
      <c r="I194" s="3110"/>
      <c r="J194" s="3110"/>
      <c r="K194" s="3110"/>
    </row>
    <row r="195" spans="1:11" x14ac:dyDescent="0.25">
      <c r="A195" s="3123"/>
      <c r="B195" s="3122" t="s">
        <v>494</v>
      </c>
      <c r="C195" s="3122"/>
      <c r="D195" s="3122"/>
      <c r="E195" s="3122"/>
      <c r="F195" s="3110">
        <v>46200</v>
      </c>
      <c r="G195" s="3110"/>
      <c r="H195" s="3110">
        <v>242.57</v>
      </c>
      <c r="I195" s="3110"/>
      <c r="J195" s="3110">
        <v>476.57</v>
      </c>
      <c r="K195" s="3110"/>
    </row>
    <row r="196" spans="1:11" x14ac:dyDescent="0.25">
      <c r="A196" s="3123"/>
      <c r="B196" s="3122"/>
      <c r="C196" s="3122"/>
      <c r="D196" s="3122"/>
      <c r="E196" s="3122"/>
      <c r="F196" s="3110"/>
      <c r="G196" s="3110"/>
      <c r="H196" s="3110"/>
      <c r="I196" s="3110"/>
      <c r="J196" s="3110"/>
      <c r="K196" s="3110"/>
    </row>
    <row r="197" spans="1:11" x14ac:dyDescent="0.25">
      <c r="A197" s="3123"/>
      <c r="B197" s="3122"/>
      <c r="C197" s="3122"/>
      <c r="D197" s="3122"/>
      <c r="E197" s="3122"/>
      <c r="F197" s="3110"/>
      <c r="G197" s="3110"/>
      <c r="H197" s="3110"/>
      <c r="I197" s="3110"/>
      <c r="J197" s="3110"/>
      <c r="K197" s="3110"/>
    </row>
    <row r="198" spans="1:11" x14ac:dyDescent="0.25">
      <c r="A198" s="3123"/>
      <c r="B198" s="3122" t="s">
        <v>501</v>
      </c>
      <c r="C198" s="3122"/>
      <c r="D198" s="3122"/>
      <c r="E198" s="3122"/>
      <c r="F198" s="3110">
        <v>12322.134406779664</v>
      </c>
      <c r="G198" s="3110"/>
      <c r="H198" s="3110">
        <v>55.79</v>
      </c>
      <c r="I198" s="3110"/>
      <c r="J198" s="3110">
        <v>117.29</v>
      </c>
      <c r="K198" s="3110"/>
    </row>
    <row r="199" spans="1:11" x14ac:dyDescent="0.25">
      <c r="A199" s="3123"/>
      <c r="B199" s="3122"/>
      <c r="C199" s="3122"/>
      <c r="D199" s="3122"/>
      <c r="E199" s="3122"/>
      <c r="F199" s="3110"/>
      <c r="G199" s="3110"/>
      <c r="H199" s="3110"/>
      <c r="I199" s="3110"/>
      <c r="J199" s="3110"/>
      <c r="K199" s="3110"/>
    </row>
    <row r="200" spans="1:11" x14ac:dyDescent="0.25">
      <c r="A200" s="3123"/>
      <c r="B200" s="3122" t="s">
        <v>505</v>
      </c>
      <c r="C200" s="3122"/>
      <c r="D200" s="3122"/>
      <c r="E200" s="3122"/>
      <c r="F200" s="3110">
        <v>230.02169491525427</v>
      </c>
      <c r="G200" s="3110"/>
      <c r="H200" s="3110">
        <v>3.02</v>
      </c>
      <c r="I200" s="3110"/>
      <c r="J200" s="3110">
        <v>3.02</v>
      </c>
      <c r="K200" s="3110"/>
    </row>
    <row r="201" spans="1:11" x14ac:dyDescent="0.25">
      <c r="A201" s="3123"/>
      <c r="B201" s="3122"/>
      <c r="C201" s="3122"/>
      <c r="D201" s="3122"/>
      <c r="E201" s="3122"/>
      <c r="F201" s="3110"/>
      <c r="G201" s="3110"/>
      <c r="H201" s="3110"/>
      <c r="I201" s="3110"/>
      <c r="J201" s="3110"/>
      <c r="K201" s="3110"/>
    </row>
    <row r="202" spans="1:11" x14ac:dyDescent="0.25">
      <c r="A202" s="3123"/>
      <c r="B202" s="3122" t="s">
        <v>493</v>
      </c>
      <c r="C202" s="3122"/>
      <c r="D202" s="3122"/>
      <c r="E202" s="3122"/>
      <c r="F202" s="3110">
        <v>8434.1288135593222</v>
      </c>
      <c r="G202" s="3110"/>
      <c r="H202" s="3110">
        <v>81.680000000000007</v>
      </c>
      <c r="I202" s="3110"/>
      <c r="J202" s="3110">
        <v>123.68</v>
      </c>
      <c r="K202" s="3110"/>
    </row>
    <row r="203" spans="1:11" x14ac:dyDescent="0.25">
      <c r="A203" s="3123"/>
      <c r="B203" s="3122"/>
      <c r="C203" s="3122"/>
      <c r="D203" s="3122"/>
      <c r="E203" s="3122"/>
      <c r="F203" s="3110"/>
      <c r="G203" s="3110"/>
      <c r="H203" s="3110"/>
      <c r="I203" s="3110"/>
      <c r="J203" s="3110"/>
      <c r="K203" s="3110"/>
    </row>
    <row r="204" spans="1:11" x14ac:dyDescent="0.25">
      <c r="A204" s="3123"/>
      <c r="B204" s="3122" t="s">
        <v>517</v>
      </c>
      <c r="C204" s="3122"/>
      <c r="D204" s="3122"/>
      <c r="E204" s="3122"/>
      <c r="F204" s="3110">
        <v>6662.2647272727281</v>
      </c>
      <c r="G204" s="3110"/>
      <c r="H204" s="3110">
        <v>46.73</v>
      </c>
      <c r="I204" s="3110"/>
      <c r="J204" s="3110">
        <v>60.23</v>
      </c>
      <c r="K204" s="3110"/>
    </row>
    <row r="205" spans="1:11" x14ac:dyDescent="0.25">
      <c r="A205" s="3123"/>
      <c r="B205" s="3122"/>
      <c r="C205" s="3122"/>
      <c r="D205" s="3122"/>
      <c r="E205" s="3122"/>
      <c r="F205" s="3110"/>
      <c r="G205" s="3110"/>
      <c r="H205" s="3110"/>
      <c r="I205" s="3110"/>
      <c r="J205" s="3110"/>
      <c r="K205" s="3110"/>
    </row>
    <row r="206" spans="1:11" x14ac:dyDescent="0.25">
      <c r="A206" s="3123"/>
      <c r="B206" s="3122" t="s">
        <v>520</v>
      </c>
      <c r="C206" s="3122"/>
      <c r="D206" s="3122"/>
      <c r="E206" s="3122"/>
      <c r="F206" s="3110">
        <v>452.37600000000009</v>
      </c>
      <c r="G206" s="3110"/>
      <c r="H206" s="3110">
        <v>14.12</v>
      </c>
      <c r="I206" s="3110"/>
      <c r="J206" s="3110">
        <v>26.12</v>
      </c>
      <c r="K206" s="3110"/>
    </row>
    <row r="207" spans="1:11" x14ac:dyDescent="0.25">
      <c r="A207" s="3123"/>
      <c r="B207" s="3122"/>
      <c r="C207" s="3122"/>
      <c r="D207" s="3122"/>
      <c r="E207" s="3122"/>
      <c r="F207" s="3110"/>
      <c r="G207" s="3110"/>
      <c r="H207" s="3110"/>
      <c r="I207" s="3110"/>
      <c r="J207" s="3110"/>
      <c r="K207" s="3110"/>
    </row>
    <row r="208" spans="1:11" x14ac:dyDescent="0.25">
      <c r="A208" s="3123"/>
      <c r="B208" s="3122" t="s">
        <v>523</v>
      </c>
      <c r="C208" s="3122"/>
      <c r="D208" s="3122"/>
      <c r="E208" s="3122"/>
      <c r="F208" s="3110">
        <v>8098.6805084745765</v>
      </c>
      <c r="G208" s="3110"/>
      <c r="H208" s="3110">
        <v>9.98</v>
      </c>
      <c r="I208" s="3110"/>
      <c r="J208" s="3110">
        <v>33.979999999999997</v>
      </c>
      <c r="K208" s="3110"/>
    </row>
    <row r="209" spans="1:11" x14ac:dyDescent="0.25">
      <c r="A209" s="3123"/>
      <c r="B209" s="3122"/>
      <c r="C209" s="3122"/>
      <c r="D209" s="3122"/>
      <c r="E209" s="3122"/>
      <c r="F209" s="3110"/>
      <c r="G209" s="3110"/>
      <c r="H209" s="3110"/>
      <c r="I209" s="3110"/>
      <c r="J209" s="3110"/>
      <c r="K209" s="3110"/>
    </row>
  </sheetData>
  <mergeCells count="377">
    <mergeCell ref="H10:I11"/>
    <mergeCell ref="F6:G7"/>
    <mergeCell ref="F10:G11"/>
    <mergeCell ref="B8:E9"/>
    <mergeCell ref="F8:G9"/>
    <mergeCell ref="J6:K7"/>
    <mergeCell ref="J8:K9"/>
    <mergeCell ref="J10:K11"/>
    <mergeCell ref="H6:I7"/>
    <mergeCell ref="H8:I9"/>
    <mergeCell ref="B10:E11"/>
    <mergeCell ref="B6:E7"/>
    <mergeCell ref="B208:E209"/>
    <mergeCell ref="F208:G209"/>
    <mergeCell ref="H208:I209"/>
    <mergeCell ref="J208:K209"/>
    <mergeCell ref="B204:E205"/>
    <mergeCell ref="F204:G205"/>
    <mergeCell ref="H204:I205"/>
    <mergeCell ref="J204:K205"/>
    <mergeCell ref="B206:E207"/>
    <mergeCell ref="F206:G207"/>
    <mergeCell ref="H206:I207"/>
    <mergeCell ref="J206:K207"/>
    <mergeCell ref="J202:K203"/>
    <mergeCell ref="B195:E197"/>
    <mergeCell ref="F195:G197"/>
    <mergeCell ref="H195:I197"/>
    <mergeCell ref="J195:K197"/>
    <mergeCell ref="B198:E199"/>
    <mergeCell ref="F198:G199"/>
    <mergeCell ref="H198:I199"/>
    <mergeCell ref="J198:K199"/>
    <mergeCell ref="F191:G192"/>
    <mergeCell ref="H191:I192"/>
    <mergeCell ref="J191:K192"/>
    <mergeCell ref="B193:E194"/>
    <mergeCell ref="F193:G194"/>
    <mergeCell ref="H193:I194"/>
    <mergeCell ref="J193:K194"/>
    <mergeCell ref="A187:A209"/>
    <mergeCell ref="B187:E188"/>
    <mergeCell ref="F187:G188"/>
    <mergeCell ref="H187:I188"/>
    <mergeCell ref="J187:K188"/>
    <mergeCell ref="B189:E190"/>
    <mergeCell ref="F189:G190"/>
    <mergeCell ref="H189:I190"/>
    <mergeCell ref="J189:K190"/>
    <mergeCell ref="B191:E192"/>
    <mergeCell ref="B200:E201"/>
    <mergeCell ref="F200:G201"/>
    <mergeCell ref="H200:I201"/>
    <mergeCell ref="J200:K201"/>
    <mergeCell ref="B202:E203"/>
    <mergeCell ref="F202:G203"/>
    <mergeCell ref="H202:I203"/>
    <mergeCell ref="B183:E184"/>
    <mergeCell ref="F183:G184"/>
    <mergeCell ref="H183:I184"/>
    <mergeCell ref="J183:K184"/>
    <mergeCell ref="B185:E186"/>
    <mergeCell ref="F185:G186"/>
    <mergeCell ref="H185:I186"/>
    <mergeCell ref="J185:K186"/>
    <mergeCell ref="B177:E179"/>
    <mergeCell ref="F177:G179"/>
    <mergeCell ref="H177:I179"/>
    <mergeCell ref="J177:K179"/>
    <mergeCell ref="B180:E182"/>
    <mergeCell ref="F180:G182"/>
    <mergeCell ref="H180:I182"/>
    <mergeCell ref="J180:K182"/>
    <mergeCell ref="B173:E176"/>
    <mergeCell ref="F173:G176"/>
    <mergeCell ref="H173:I176"/>
    <mergeCell ref="J173:K176"/>
    <mergeCell ref="B166:E168"/>
    <mergeCell ref="F166:G168"/>
    <mergeCell ref="H166:I168"/>
    <mergeCell ref="J166:K168"/>
    <mergeCell ref="B169:E172"/>
    <mergeCell ref="F169:G172"/>
    <mergeCell ref="H169:I172"/>
    <mergeCell ref="J169:K172"/>
    <mergeCell ref="B158:E161"/>
    <mergeCell ref="F158:G161"/>
    <mergeCell ref="H158:I161"/>
    <mergeCell ref="J158:K161"/>
    <mergeCell ref="B162:E165"/>
    <mergeCell ref="F162:G165"/>
    <mergeCell ref="H162:I165"/>
    <mergeCell ref="J162:K165"/>
    <mergeCell ref="B152:E154"/>
    <mergeCell ref="F152:G154"/>
    <mergeCell ref="H152:I154"/>
    <mergeCell ref="J152:K154"/>
    <mergeCell ref="B155:E157"/>
    <mergeCell ref="F155:G157"/>
    <mergeCell ref="H155:I157"/>
    <mergeCell ref="J155:K157"/>
    <mergeCell ref="B146:E148"/>
    <mergeCell ref="F146:G148"/>
    <mergeCell ref="H146:I148"/>
    <mergeCell ref="J146:K148"/>
    <mergeCell ref="B149:E151"/>
    <mergeCell ref="F149:G151"/>
    <mergeCell ref="H149:I151"/>
    <mergeCell ref="J149:K151"/>
    <mergeCell ref="B140:E142"/>
    <mergeCell ref="F140:G142"/>
    <mergeCell ref="H140:I142"/>
    <mergeCell ref="J140:K142"/>
    <mergeCell ref="B143:E145"/>
    <mergeCell ref="F143:G145"/>
    <mergeCell ref="H143:I145"/>
    <mergeCell ref="J143:K145"/>
    <mergeCell ref="B134:E136"/>
    <mergeCell ref="F134:G136"/>
    <mergeCell ref="H134:I136"/>
    <mergeCell ref="J134:K136"/>
    <mergeCell ref="B137:E139"/>
    <mergeCell ref="F137:G139"/>
    <mergeCell ref="H137:I139"/>
    <mergeCell ref="J137:K139"/>
    <mergeCell ref="B129:E130"/>
    <mergeCell ref="F129:G130"/>
    <mergeCell ref="H129:I130"/>
    <mergeCell ref="J129:K130"/>
    <mergeCell ref="B131:E133"/>
    <mergeCell ref="F131:G133"/>
    <mergeCell ref="H131:I133"/>
    <mergeCell ref="J131:K133"/>
    <mergeCell ref="B125:E126"/>
    <mergeCell ref="F125:G126"/>
    <mergeCell ref="H125:I126"/>
    <mergeCell ref="J125:K126"/>
    <mergeCell ref="B127:E128"/>
    <mergeCell ref="F127:G128"/>
    <mergeCell ref="H127:I128"/>
    <mergeCell ref="J127:K128"/>
    <mergeCell ref="B120:E121"/>
    <mergeCell ref="F120:G121"/>
    <mergeCell ref="H120:I121"/>
    <mergeCell ref="J120:K121"/>
    <mergeCell ref="B122:E124"/>
    <mergeCell ref="F122:G124"/>
    <mergeCell ref="H122:I124"/>
    <mergeCell ref="J122:K124"/>
    <mergeCell ref="B116:E117"/>
    <mergeCell ref="F116:G117"/>
    <mergeCell ref="H116:I117"/>
    <mergeCell ref="J116:K117"/>
    <mergeCell ref="B118:E119"/>
    <mergeCell ref="F118:G119"/>
    <mergeCell ref="H118:I119"/>
    <mergeCell ref="J118:K119"/>
    <mergeCell ref="B112:E113"/>
    <mergeCell ref="F112:G113"/>
    <mergeCell ref="H112:I113"/>
    <mergeCell ref="J112:K113"/>
    <mergeCell ref="B114:E115"/>
    <mergeCell ref="F114:G115"/>
    <mergeCell ref="H114:I115"/>
    <mergeCell ref="J114:K115"/>
    <mergeCell ref="B108:E109"/>
    <mergeCell ref="F108:G109"/>
    <mergeCell ref="H108:I109"/>
    <mergeCell ref="J108:K109"/>
    <mergeCell ref="B110:E111"/>
    <mergeCell ref="F110:G111"/>
    <mergeCell ref="H110:I111"/>
    <mergeCell ref="J110:K111"/>
    <mergeCell ref="B104:E105"/>
    <mergeCell ref="F104:G105"/>
    <mergeCell ref="H104:I105"/>
    <mergeCell ref="J104:K105"/>
    <mergeCell ref="B106:E107"/>
    <mergeCell ref="F106:G107"/>
    <mergeCell ref="H106:I107"/>
    <mergeCell ref="J106:K107"/>
    <mergeCell ref="B100:E101"/>
    <mergeCell ref="F100:G101"/>
    <mergeCell ref="H100:I101"/>
    <mergeCell ref="J100:K101"/>
    <mergeCell ref="B102:E103"/>
    <mergeCell ref="F102:G103"/>
    <mergeCell ref="H102:I103"/>
    <mergeCell ref="J102:K103"/>
    <mergeCell ref="B96:E97"/>
    <mergeCell ref="F96:G97"/>
    <mergeCell ref="H96:I97"/>
    <mergeCell ref="J96:K97"/>
    <mergeCell ref="B98:E99"/>
    <mergeCell ref="F98:G99"/>
    <mergeCell ref="H98:I99"/>
    <mergeCell ref="J98:K99"/>
    <mergeCell ref="B92:E93"/>
    <mergeCell ref="F92:G93"/>
    <mergeCell ref="H92:I93"/>
    <mergeCell ref="J92:K93"/>
    <mergeCell ref="B94:E95"/>
    <mergeCell ref="F94:G95"/>
    <mergeCell ref="H94:I95"/>
    <mergeCell ref="J94:K95"/>
    <mergeCell ref="B88:E89"/>
    <mergeCell ref="F88:G89"/>
    <mergeCell ref="H88:I89"/>
    <mergeCell ref="J88:K89"/>
    <mergeCell ref="B90:E91"/>
    <mergeCell ref="F90:G91"/>
    <mergeCell ref="H90:I91"/>
    <mergeCell ref="J90:K91"/>
    <mergeCell ref="B84:E85"/>
    <mergeCell ref="F84:G85"/>
    <mergeCell ref="H84:I85"/>
    <mergeCell ref="J84:K85"/>
    <mergeCell ref="B86:E87"/>
    <mergeCell ref="F86:G87"/>
    <mergeCell ref="H86:I87"/>
    <mergeCell ref="J86:K87"/>
    <mergeCell ref="B80:E81"/>
    <mergeCell ref="F80:G81"/>
    <mergeCell ref="H80:I81"/>
    <mergeCell ref="J80:K81"/>
    <mergeCell ref="B82:E83"/>
    <mergeCell ref="F82:G83"/>
    <mergeCell ref="H82:I83"/>
    <mergeCell ref="J82:K83"/>
    <mergeCell ref="J64:K65"/>
    <mergeCell ref="B76:E77"/>
    <mergeCell ref="F76:G77"/>
    <mergeCell ref="H76:I77"/>
    <mergeCell ref="J76:K77"/>
    <mergeCell ref="B78:E79"/>
    <mergeCell ref="F78:G79"/>
    <mergeCell ref="H78:I79"/>
    <mergeCell ref="J78:K79"/>
    <mergeCell ref="B72:E73"/>
    <mergeCell ref="F72:G73"/>
    <mergeCell ref="H72:I73"/>
    <mergeCell ref="J72:K73"/>
    <mergeCell ref="B74:E75"/>
    <mergeCell ref="F74:G75"/>
    <mergeCell ref="H74:I75"/>
    <mergeCell ref="J74:K75"/>
    <mergeCell ref="A66:A186"/>
    <mergeCell ref="B66:E67"/>
    <mergeCell ref="F66:G67"/>
    <mergeCell ref="H66:I67"/>
    <mergeCell ref="J66:K67"/>
    <mergeCell ref="B68:E69"/>
    <mergeCell ref="B60:E61"/>
    <mergeCell ref="F60:G61"/>
    <mergeCell ref="H60:I61"/>
    <mergeCell ref="J60:K61"/>
    <mergeCell ref="B62:E63"/>
    <mergeCell ref="F62:G63"/>
    <mergeCell ref="H62:I63"/>
    <mergeCell ref="J62:K63"/>
    <mergeCell ref="F68:G69"/>
    <mergeCell ref="H68:I69"/>
    <mergeCell ref="J68:K69"/>
    <mergeCell ref="B70:E71"/>
    <mergeCell ref="F70:G71"/>
    <mergeCell ref="H70:I71"/>
    <mergeCell ref="J70:K71"/>
    <mergeCell ref="B64:E65"/>
    <mergeCell ref="F64:G65"/>
    <mergeCell ref="H64:I65"/>
    <mergeCell ref="B56:E57"/>
    <mergeCell ref="F56:G57"/>
    <mergeCell ref="H56:I57"/>
    <mergeCell ref="J56:K57"/>
    <mergeCell ref="B58:E59"/>
    <mergeCell ref="F58:G59"/>
    <mergeCell ref="H58:I59"/>
    <mergeCell ref="J58:K59"/>
    <mergeCell ref="B52:E53"/>
    <mergeCell ref="F52:G53"/>
    <mergeCell ref="H52:I53"/>
    <mergeCell ref="J52:K53"/>
    <mergeCell ref="B54:E55"/>
    <mergeCell ref="F54:G55"/>
    <mergeCell ref="H54:I55"/>
    <mergeCell ref="J54:K55"/>
    <mergeCell ref="B48:E49"/>
    <mergeCell ref="F48:G49"/>
    <mergeCell ref="H48:I49"/>
    <mergeCell ref="J48:K49"/>
    <mergeCell ref="B50:E51"/>
    <mergeCell ref="F50:G51"/>
    <mergeCell ref="H50:I51"/>
    <mergeCell ref="J50:K51"/>
    <mergeCell ref="B44:E45"/>
    <mergeCell ref="F44:G45"/>
    <mergeCell ref="H44:I45"/>
    <mergeCell ref="J44:K45"/>
    <mergeCell ref="B46:E47"/>
    <mergeCell ref="F46:G47"/>
    <mergeCell ref="H46:I47"/>
    <mergeCell ref="J46:K47"/>
    <mergeCell ref="B40:E41"/>
    <mergeCell ref="F40:G41"/>
    <mergeCell ref="H40:I41"/>
    <mergeCell ref="J40:K41"/>
    <mergeCell ref="B42:E43"/>
    <mergeCell ref="F42:G43"/>
    <mergeCell ref="H42:I43"/>
    <mergeCell ref="J42:K43"/>
    <mergeCell ref="B36:E37"/>
    <mergeCell ref="F36:G37"/>
    <mergeCell ref="H36:I37"/>
    <mergeCell ref="J36:K37"/>
    <mergeCell ref="B38:E39"/>
    <mergeCell ref="F38:G39"/>
    <mergeCell ref="H38:I39"/>
    <mergeCell ref="J38:K39"/>
    <mergeCell ref="B32:E33"/>
    <mergeCell ref="F32:G33"/>
    <mergeCell ref="H32:I33"/>
    <mergeCell ref="J32:K33"/>
    <mergeCell ref="B34:E35"/>
    <mergeCell ref="F34:G35"/>
    <mergeCell ref="H34:I35"/>
    <mergeCell ref="J34:K35"/>
    <mergeCell ref="B28:E29"/>
    <mergeCell ref="F28:G29"/>
    <mergeCell ref="H28:I29"/>
    <mergeCell ref="J28:K29"/>
    <mergeCell ref="B30:E31"/>
    <mergeCell ref="F30:G31"/>
    <mergeCell ref="H30:I31"/>
    <mergeCell ref="J30:K31"/>
    <mergeCell ref="H14:I15"/>
    <mergeCell ref="J14:K15"/>
    <mergeCell ref="B12:E12"/>
    <mergeCell ref="B24:E25"/>
    <mergeCell ref="F24:G25"/>
    <mergeCell ref="H24:I25"/>
    <mergeCell ref="J24:K25"/>
    <mergeCell ref="B26:E27"/>
    <mergeCell ref="F26:G27"/>
    <mergeCell ref="H26:I27"/>
    <mergeCell ref="J26:K27"/>
    <mergeCell ref="B20:E21"/>
    <mergeCell ref="F20:G21"/>
    <mergeCell ref="H20:I21"/>
    <mergeCell ref="J20:K21"/>
    <mergeCell ref="B22:E23"/>
    <mergeCell ref="F22:G23"/>
    <mergeCell ref="H22:I23"/>
    <mergeCell ref="J22:K23"/>
    <mergeCell ref="B4:E5"/>
    <mergeCell ref="A1:A65"/>
    <mergeCell ref="B1:K1"/>
    <mergeCell ref="B2:E3"/>
    <mergeCell ref="F2:G3"/>
    <mergeCell ref="H2:I3"/>
    <mergeCell ref="J2:K3"/>
    <mergeCell ref="F4:G5"/>
    <mergeCell ref="H4:I5"/>
    <mergeCell ref="J4:K5"/>
    <mergeCell ref="B16:E17"/>
    <mergeCell ref="F16:G17"/>
    <mergeCell ref="H16:I17"/>
    <mergeCell ref="J16:K17"/>
    <mergeCell ref="B18:E19"/>
    <mergeCell ref="F18:G19"/>
    <mergeCell ref="H18:I19"/>
    <mergeCell ref="J18:K19"/>
    <mergeCell ref="F12:G13"/>
    <mergeCell ref="H12:I13"/>
    <mergeCell ref="J12:K13"/>
    <mergeCell ref="B13:E13"/>
    <mergeCell ref="B14:E15"/>
    <mergeCell ref="F14:G15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8BD73-5ECD-4EFC-9DFD-F5D6E917BE30}">
  <sheetPr>
    <pageSetUpPr fitToPage="1"/>
  </sheetPr>
  <dimension ref="A1:CB101"/>
  <sheetViews>
    <sheetView view="pageBreakPreview" zoomScale="55" zoomScaleNormal="70" zoomScaleSheetLayoutView="55" zoomScalePageLayoutView="55" workbookViewId="0">
      <selection activeCell="O31" sqref="O31:R31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29" width="10.5703125" customWidth="1"/>
    <col min="30" max="30" width="5.5703125" customWidth="1"/>
    <col min="31" max="31" width="4.140625" customWidth="1"/>
    <col min="32" max="32" width="10.7109375" customWidth="1"/>
    <col min="33" max="33" width="4.28515625" customWidth="1"/>
    <col min="34" max="34" width="9.5703125" customWidth="1"/>
    <col min="35" max="36" width="5.5703125" customWidth="1"/>
    <col min="37" max="37" width="10" customWidth="1"/>
    <col min="38" max="38" width="4.28515625" customWidth="1"/>
    <col min="39" max="39" width="9.140625" customWidth="1"/>
    <col min="40" max="40" width="5.5703125" customWidth="1"/>
    <col min="41" max="41" width="4.140625" customWidth="1"/>
    <col min="42" max="42" width="10.7109375" customWidth="1"/>
    <col min="43" max="43" width="4.28515625" customWidth="1"/>
    <col min="44" max="44" width="9.5703125" customWidth="1"/>
    <col min="45" max="45" width="5.5703125" customWidth="1"/>
    <col min="46" max="46" width="4.140625" customWidth="1"/>
    <col min="47" max="47" width="8.14062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1" customWidth="1"/>
    <col min="62" max="62" width="56.7109375" customWidth="1"/>
    <col min="63" max="63" width="13" customWidth="1"/>
    <col min="64" max="64" width="7" customWidth="1"/>
  </cols>
  <sheetData>
    <row r="1" spans="1:80" ht="249.75" customHeight="1" thickBot="1" x14ac:dyDescent="0.3"/>
    <row r="2" spans="1:80" ht="36" customHeight="1" thickTop="1" x14ac:dyDescent="0.25">
      <c r="A2" s="3124" t="s">
        <v>250</v>
      </c>
      <c r="B2" s="3125"/>
      <c r="C2" s="3125"/>
      <c r="D2" s="3126">
        <f>B7/((54*3.1415/44)*(56/3.281))</f>
        <v>3.8212809319175707E-2</v>
      </c>
      <c r="E2" s="3127"/>
      <c r="F2" s="3124" t="s">
        <v>250</v>
      </c>
      <c r="G2" s="3125"/>
      <c r="H2" s="3125"/>
      <c r="I2" s="3126">
        <f>G7/((54*3.1415/44)*(56/3.281))</f>
        <v>3.0879037833677339E-3</v>
      </c>
      <c r="J2" s="3127"/>
      <c r="K2" s="3124" t="s">
        <v>250</v>
      </c>
      <c r="L2" s="3125"/>
      <c r="M2" s="3125"/>
      <c r="N2" s="3126">
        <f>L7/((54*3.1415/44)*(56/3.281))</f>
        <v>6.5617955396564346E-3</v>
      </c>
      <c r="O2" s="3127"/>
      <c r="P2" s="3124" t="s">
        <v>250</v>
      </c>
      <c r="Q2" s="3125"/>
      <c r="R2" s="3125"/>
      <c r="S2" s="3126">
        <f>Q7/((54*3.1415/44)*(56/3.281))</f>
        <v>1.5196376886652235E-17</v>
      </c>
      <c r="T2" s="3127"/>
      <c r="U2" s="3124" t="s">
        <v>250</v>
      </c>
      <c r="V2" s="3125"/>
      <c r="W2" s="3125"/>
      <c r="X2" s="3126">
        <f>V7/((54*3.1415/44)*(56/3.281))</f>
        <v>1.0035687295945134E-2</v>
      </c>
      <c r="Y2" s="3127"/>
      <c r="AB2" s="3137" t="s">
        <v>250</v>
      </c>
      <c r="AC2" s="3138"/>
      <c r="AD2" s="3138"/>
      <c r="AE2" s="3139">
        <f>AC7/((54*3.1415/44)*(50/3.281))</f>
        <v>9.0784371231011369E-3</v>
      </c>
      <c r="AF2" s="3140"/>
      <c r="AG2" s="3137" t="s">
        <v>250</v>
      </c>
      <c r="AH2" s="3138"/>
      <c r="AI2" s="3138"/>
      <c r="AJ2" s="3139">
        <f>AH7/((54*3.1415/44)*(50/3.281))</f>
        <v>2.3344552602260066E-2</v>
      </c>
      <c r="AK2" s="3140"/>
      <c r="AL2" s="3137" t="s">
        <v>250</v>
      </c>
      <c r="AM2" s="3138"/>
      <c r="AN2" s="3138"/>
      <c r="AO2" s="3139">
        <f>AM7/((54*3.1415/44)*(50/3.281))</f>
        <v>9.5107436527726193E-3</v>
      </c>
      <c r="AP2" s="3140"/>
      <c r="AQ2" s="3137" t="s">
        <v>250</v>
      </c>
      <c r="AR2" s="3138"/>
      <c r="AS2" s="3138"/>
      <c r="AT2" s="3139">
        <f>AR7/((54*3.1415/44)*(50/3.281))</f>
        <v>1.0807663241787068E-2</v>
      </c>
      <c r="AU2" s="3140"/>
      <c r="AV2" s="142"/>
      <c r="AW2" s="142"/>
      <c r="AX2" s="230"/>
      <c r="AY2" s="674"/>
      <c r="AZ2" s="674"/>
      <c r="BA2" s="674"/>
      <c r="BB2" s="1300"/>
      <c r="BC2" s="1300"/>
      <c r="BD2" s="674"/>
      <c r="BE2" s="674"/>
      <c r="BF2" s="674"/>
      <c r="BG2" s="1300"/>
      <c r="BH2" s="1300"/>
      <c r="BM2" s="27"/>
      <c r="BN2" s="27"/>
      <c r="BO2" s="27"/>
      <c r="BP2" s="27"/>
      <c r="BQ2" s="27"/>
      <c r="BR2" s="27"/>
      <c r="BW2" s="27"/>
      <c r="BX2" s="27"/>
      <c r="BY2" s="27"/>
      <c r="BZ2" s="27"/>
      <c r="CA2" s="27"/>
      <c r="CB2" s="27"/>
    </row>
    <row r="3" spans="1:80" ht="9.9499999999999993" hidden="1" customHeight="1" x14ac:dyDescent="0.25">
      <c r="A3" s="3128" t="s">
        <v>534</v>
      </c>
      <c r="B3" s="3129"/>
      <c r="C3" s="3129"/>
      <c r="D3" s="3129"/>
      <c r="E3" s="3130"/>
      <c r="F3" s="3128" t="s">
        <v>534</v>
      </c>
      <c r="G3" s="3129"/>
      <c r="H3" s="3129"/>
      <c r="I3" s="3129"/>
      <c r="J3" s="3130"/>
      <c r="K3" s="3128" t="s">
        <v>534</v>
      </c>
      <c r="L3" s="3129"/>
      <c r="M3" s="3129"/>
      <c r="N3" s="3129"/>
      <c r="O3" s="3130"/>
      <c r="P3" s="3128" t="s">
        <v>534</v>
      </c>
      <c r="Q3" s="3129"/>
      <c r="R3" s="3129"/>
      <c r="S3" s="3129"/>
      <c r="T3" s="3130"/>
      <c r="U3" s="3128" t="s">
        <v>534</v>
      </c>
      <c r="V3" s="3129"/>
      <c r="W3" s="3129"/>
      <c r="X3" s="3129"/>
      <c r="Y3" s="3130"/>
      <c r="AB3" s="3128" t="s">
        <v>534</v>
      </c>
      <c r="AC3" s="3129"/>
      <c r="AD3" s="3129"/>
      <c r="AE3" s="3129"/>
      <c r="AF3" s="3130"/>
      <c r="AG3" s="3128" t="s">
        <v>534</v>
      </c>
      <c r="AH3" s="3129"/>
      <c r="AI3" s="3129"/>
      <c r="AJ3" s="3129"/>
      <c r="AK3" s="3130"/>
      <c r="AL3" s="3128" t="s">
        <v>534</v>
      </c>
      <c r="AM3" s="3129"/>
      <c r="AN3" s="3129"/>
      <c r="AO3" s="3129"/>
      <c r="AP3" s="3130"/>
      <c r="AQ3" s="3128" t="s">
        <v>534</v>
      </c>
      <c r="AR3" s="3129"/>
      <c r="AS3" s="3129"/>
      <c r="AT3" s="3129"/>
      <c r="AU3" s="3130"/>
      <c r="AV3" s="34"/>
      <c r="AW3" s="35"/>
      <c r="AX3" s="230"/>
      <c r="AY3" s="676"/>
      <c r="AZ3" s="676"/>
      <c r="BA3" s="676"/>
      <c r="BB3" s="36"/>
      <c r="BC3" s="36"/>
      <c r="BD3" s="676"/>
      <c r="BE3" s="676"/>
      <c r="BF3" s="676"/>
      <c r="BG3" s="36"/>
      <c r="BH3" s="36"/>
    </row>
    <row r="4" spans="1:80" ht="24.95" hidden="1" customHeight="1" x14ac:dyDescent="0.25">
      <c r="A4" s="3131"/>
      <c r="B4" s="3132"/>
      <c r="C4" s="3132"/>
      <c r="D4" s="3132"/>
      <c r="E4" s="3133"/>
      <c r="F4" s="3131"/>
      <c r="G4" s="3132"/>
      <c r="H4" s="3132"/>
      <c r="I4" s="3132"/>
      <c r="J4" s="3133"/>
      <c r="K4" s="3131"/>
      <c r="L4" s="3132"/>
      <c r="M4" s="3132"/>
      <c r="N4" s="3132"/>
      <c r="O4" s="3133"/>
      <c r="P4" s="3131"/>
      <c r="Q4" s="3132"/>
      <c r="R4" s="3132"/>
      <c r="S4" s="3132"/>
      <c r="T4" s="3133"/>
      <c r="U4" s="3131"/>
      <c r="V4" s="3132"/>
      <c r="W4" s="3132"/>
      <c r="X4" s="3132"/>
      <c r="Y4" s="3133"/>
      <c r="AB4" s="3131"/>
      <c r="AC4" s="3132"/>
      <c r="AD4" s="3132"/>
      <c r="AE4" s="3132"/>
      <c r="AF4" s="3133"/>
      <c r="AG4" s="3131"/>
      <c r="AH4" s="3132"/>
      <c r="AI4" s="3132"/>
      <c r="AJ4" s="3132"/>
      <c r="AK4" s="3133"/>
      <c r="AL4" s="3131"/>
      <c r="AM4" s="3132"/>
      <c r="AN4" s="3132"/>
      <c r="AO4" s="3132"/>
      <c r="AP4" s="3133"/>
      <c r="AQ4" s="3131"/>
      <c r="AR4" s="3132"/>
      <c r="AS4" s="3132"/>
      <c r="AT4" s="3132"/>
      <c r="AU4" s="3133"/>
      <c r="AV4" s="142"/>
      <c r="AW4" s="142"/>
      <c r="AX4" s="230"/>
      <c r="AY4" s="676"/>
      <c r="AZ4" s="676"/>
      <c r="BA4" s="676"/>
      <c r="BB4" s="36"/>
      <c r="BC4" s="36"/>
      <c r="BD4" s="676"/>
      <c r="BE4" s="676"/>
      <c r="BF4" s="676"/>
      <c r="BG4" s="36"/>
      <c r="BH4" s="36"/>
    </row>
    <row r="5" spans="1:80" ht="25.5" customHeight="1" x14ac:dyDescent="0.25">
      <c r="A5" s="3134"/>
      <c r="B5" s="3135"/>
      <c r="C5" s="3135"/>
      <c r="D5" s="3135"/>
      <c r="E5" s="3136"/>
      <c r="F5" s="3134"/>
      <c r="G5" s="3135"/>
      <c r="H5" s="3135"/>
      <c r="I5" s="3135"/>
      <c r="J5" s="3136"/>
      <c r="K5" s="3134"/>
      <c r="L5" s="3135"/>
      <c r="M5" s="3135"/>
      <c r="N5" s="3135"/>
      <c r="O5" s="3136"/>
      <c r="P5" s="3134"/>
      <c r="Q5" s="3135"/>
      <c r="R5" s="3135"/>
      <c r="S5" s="3135"/>
      <c r="T5" s="3136"/>
      <c r="U5" s="3134"/>
      <c r="V5" s="3135"/>
      <c r="W5" s="3135"/>
      <c r="X5" s="3135"/>
      <c r="Y5" s="3136"/>
      <c r="AB5" s="3134"/>
      <c r="AC5" s="3135"/>
      <c r="AD5" s="3135"/>
      <c r="AE5" s="3135"/>
      <c r="AF5" s="3136"/>
      <c r="AG5" s="3134"/>
      <c r="AH5" s="3135"/>
      <c r="AI5" s="3135"/>
      <c r="AJ5" s="3135"/>
      <c r="AK5" s="3136"/>
      <c r="AL5" s="3134"/>
      <c r="AM5" s="3135"/>
      <c r="AN5" s="3135"/>
      <c r="AO5" s="3135"/>
      <c r="AP5" s="3136"/>
      <c r="AQ5" s="3134"/>
      <c r="AR5" s="3135"/>
      <c r="AS5" s="3135"/>
      <c r="AT5" s="3135"/>
      <c r="AU5" s="3136"/>
      <c r="AV5" s="34"/>
      <c r="AW5" s="35"/>
      <c r="AX5" s="230"/>
      <c r="AY5" s="676"/>
      <c r="AZ5" s="676"/>
      <c r="BA5" s="676"/>
      <c r="BB5" s="36"/>
      <c r="BC5" s="36"/>
      <c r="BD5" s="676"/>
      <c r="BE5" s="676"/>
      <c r="BF5" s="676"/>
      <c r="BG5" s="36"/>
      <c r="BH5" s="36"/>
    </row>
    <row r="6" spans="1:80" ht="72" customHeight="1" x14ac:dyDescent="0.25">
      <c r="A6" s="3141" t="s">
        <v>251</v>
      </c>
      <c r="B6" s="1714">
        <v>1</v>
      </c>
      <c r="C6" s="1715"/>
      <c r="D6" s="1715"/>
      <c r="E6" s="1716"/>
      <c r="F6" s="3141" t="s">
        <v>251</v>
      </c>
      <c r="G6" s="1714">
        <v>2</v>
      </c>
      <c r="H6" s="1715"/>
      <c r="I6" s="1715"/>
      <c r="J6" s="1716"/>
      <c r="K6" s="3141" t="s">
        <v>251</v>
      </c>
      <c r="L6" s="1714">
        <v>3</v>
      </c>
      <c r="M6" s="1715"/>
      <c r="N6" s="1715"/>
      <c r="O6" s="1716"/>
      <c r="P6" s="3141" t="s">
        <v>251</v>
      </c>
      <c r="Q6" s="1714">
        <v>4</v>
      </c>
      <c r="R6" s="1715"/>
      <c r="S6" s="1715"/>
      <c r="T6" s="1716"/>
      <c r="U6" s="3141" t="s">
        <v>251</v>
      </c>
      <c r="V6" s="1714">
        <v>5</v>
      </c>
      <c r="W6" s="1715"/>
      <c r="X6" s="1715"/>
      <c r="Y6" s="1716"/>
      <c r="AB6" s="2407" t="s">
        <v>477</v>
      </c>
      <c r="AC6" s="1714">
        <v>6</v>
      </c>
      <c r="AD6" s="1715"/>
      <c r="AE6" s="1715"/>
      <c r="AF6" s="1716"/>
      <c r="AG6" s="2407" t="s">
        <v>477</v>
      </c>
      <c r="AH6" s="1714">
        <v>7</v>
      </c>
      <c r="AI6" s="1715"/>
      <c r="AJ6" s="1715"/>
      <c r="AK6" s="1716"/>
      <c r="AL6" s="2407" t="s">
        <v>477</v>
      </c>
      <c r="AM6" s="1714">
        <v>8</v>
      </c>
      <c r="AN6" s="1715"/>
      <c r="AO6" s="1715"/>
      <c r="AP6" s="1716"/>
      <c r="AQ6" s="2407" t="s">
        <v>477</v>
      </c>
      <c r="AR6" s="1714">
        <v>9</v>
      </c>
      <c r="AS6" s="1715"/>
      <c r="AT6" s="1715"/>
      <c r="AU6" s="1716"/>
      <c r="AV6" s="142"/>
      <c r="AW6" s="142"/>
      <c r="AX6" s="230"/>
      <c r="AY6" s="677"/>
      <c r="AZ6" s="1332"/>
      <c r="BA6" s="1332"/>
      <c r="BB6" s="1332"/>
      <c r="BC6" s="1332"/>
      <c r="BD6" s="677"/>
      <c r="BE6" s="1332"/>
      <c r="BF6" s="1332"/>
      <c r="BG6" s="1332"/>
      <c r="BH6" s="1332"/>
      <c r="BM6" s="27"/>
      <c r="BN6" s="27"/>
      <c r="BO6" s="27"/>
      <c r="BP6" s="27"/>
      <c r="BQ6" s="27"/>
      <c r="BR6" s="27"/>
      <c r="BW6" s="27"/>
      <c r="BX6" s="27"/>
      <c r="BY6" s="27"/>
      <c r="BZ6" s="27"/>
      <c r="CA6" s="27"/>
      <c r="CB6" s="27"/>
    </row>
    <row r="7" spans="1:80" ht="35.1" customHeight="1" thickBot="1" x14ac:dyDescent="0.3">
      <c r="A7" s="3142"/>
      <c r="B7" s="241">
        <v>2.5146000000000002</v>
      </c>
      <c r="C7" s="242" t="s">
        <v>113</v>
      </c>
      <c r="D7" s="243"/>
      <c r="E7" s="244" t="s">
        <v>114</v>
      </c>
      <c r="F7" s="3142"/>
      <c r="G7" s="241">
        <v>0.20319999999999999</v>
      </c>
      <c r="H7" s="242" t="s">
        <v>113</v>
      </c>
      <c r="I7" s="243"/>
      <c r="J7" s="244" t="s">
        <v>114</v>
      </c>
      <c r="K7" s="3142"/>
      <c r="L7" s="241">
        <v>0.43180000000000002</v>
      </c>
      <c r="M7" s="242" t="s">
        <v>113</v>
      </c>
      <c r="N7" s="243">
        <v>1</v>
      </c>
      <c r="O7" s="244" t="s">
        <v>114</v>
      </c>
      <c r="P7" s="3142"/>
      <c r="Q7" s="241">
        <v>1.0000000000000001E-15</v>
      </c>
      <c r="R7" s="242" t="s">
        <v>113</v>
      </c>
      <c r="S7" s="243"/>
      <c r="T7" s="244" t="s">
        <v>114</v>
      </c>
      <c r="U7" s="3142"/>
      <c r="V7" s="241">
        <v>0.66039999999999999</v>
      </c>
      <c r="W7" s="242" t="s">
        <v>113</v>
      </c>
      <c r="X7" s="243"/>
      <c r="Y7" s="244" t="s">
        <v>114</v>
      </c>
      <c r="AB7" s="2408"/>
      <c r="AC7" s="241">
        <v>0.53339999999999999</v>
      </c>
      <c r="AD7" s="242" t="s">
        <v>113</v>
      </c>
      <c r="AE7" s="243"/>
      <c r="AF7" s="244" t="s">
        <v>114</v>
      </c>
      <c r="AG7" s="2408"/>
      <c r="AH7" s="241">
        <v>1.3715999999999999</v>
      </c>
      <c r="AI7" s="242" t="s">
        <v>113</v>
      </c>
      <c r="AJ7" s="243">
        <v>1</v>
      </c>
      <c r="AK7" s="244" t="s">
        <v>114</v>
      </c>
      <c r="AL7" s="2408"/>
      <c r="AM7" s="241">
        <v>0.55879999999999996</v>
      </c>
      <c r="AN7" s="242" t="s">
        <v>113</v>
      </c>
      <c r="AO7" s="243"/>
      <c r="AP7" s="244" t="s">
        <v>114</v>
      </c>
      <c r="AQ7" s="2408"/>
      <c r="AR7" s="241">
        <v>0.63500000000000001</v>
      </c>
      <c r="AS7" s="242" t="s">
        <v>113</v>
      </c>
      <c r="AT7" s="243"/>
      <c r="AU7" s="244" t="s">
        <v>114</v>
      </c>
      <c r="AV7" s="34"/>
      <c r="AW7" s="35"/>
      <c r="AX7" s="230"/>
      <c r="AY7" s="677"/>
      <c r="AZ7" s="137"/>
      <c r="BA7" s="33"/>
      <c r="BB7" s="138"/>
      <c r="BC7" s="35"/>
      <c r="BD7" s="677"/>
      <c r="BE7" s="137"/>
      <c r="BF7" s="33"/>
      <c r="BG7" s="138"/>
      <c r="BH7" s="35"/>
      <c r="BM7" s="27"/>
      <c r="BN7" s="27"/>
      <c r="BO7" s="27"/>
      <c r="BP7" s="27"/>
      <c r="BQ7" s="27"/>
      <c r="BR7" s="27"/>
      <c r="BW7" s="27"/>
      <c r="BX7" s="27"/>
      <c r="BY7" s="27"/>
      <c r="BZ7" s="27"/>
      <c r="CA7" s="27"/>
      <c r="CB7" s="27"/>
    </row>
    <row r="8" spans="1:80" ht="121.5" customHeight="1" thickTop="1" thickBot="1" x14ac:dyDescent="0.3">
      <c r="A8" s="1371"/>
      <c r="B8" s="1371"/>
      <c r="C8" s="1371"/>
      <c r="D8" s="1371"/>
      <c r="E8" s="1370"/>
      <c r="F8" s="1371"/>
      <c r="G8" s="1371"/>
      <c r="H8" s="1371"/>
      <c r="I8" s="1371"/>
      <c r="J8" s="1370"/>
      <c r="K8" s="1371"/>
      <c r="L8" s="1371"/>
      <c r="M8" s="1371"/>
      <c r="N8" s="1371"/>
      <c r="O8" s="1370"/>
      <c r="P8" s="142"/>
      <c r="Q8" s="142"/>
      <c r="R8" s="142"/>
      <c r="S8" s="142"/>
      <c r="T8" s="230"/>
      <c r="U8" s="376"/>
      <c r="V8" s="376"/>
      <c r="W8" s="376"/>
      <c r="X8" s="376"/>
      <c r="Y8" s="377"/>
      <c r="Z8" s="142"/>
      <c r="AA8" s="142"/>
      <c r="AB8" s="142"/>
      <c r="AC8" s="142"/>
      <c r="AD8" s="230"/>
      <c r="AE8" s="142"/>
      <c r="AF8" s="142"/>
      <c r="AG8" s="142"/>
      <c r="AH8" s="142"/>
      <c r="AI8" s="230"/>
      <c r="AJ8" s="142"/>
      <c r="AK8" s="142"/>
      <c r="AL8" s="142"/>
      <c r="AM8" s="142"/>
      <c r="AN8" s="230"/>
      <c r="AO8" s="165"/>
      <c r="AP8" s="1997"/>
      <c r="AQ8" s="1998"/>
      <c r="AR8" s="1998"/>
      <c r="AS8" s="1998"/>
      <c r="AT8" s="1998"/>
      <c r="AU8" s="1998"/>
      <c r="AV8" s="1998"/>
      <c r="AW8" s="1998"/>
      <c r="AX8" s="165"/>
      <c r="AY8" s="674"/>
      <c r="AZ8" s="674"/>
      <c r="BA8" s="674"/>
      <c r="BB8" s="1300"/>
      <c r="BC8" s="1300"/>
      <c r="BD8" s="674"/>
      <c r="BE8" s="674"/>
      <c r="BF8" s="674"/>
      <c r="BG8" s="1300"/>
      <c r="BH8" s="1300"/>
      <c r="BM8" s="27"/>
      <c r="BN8" s="27"/>
      <c r="BO8" s="27"/>
      <c r="BP8" s="27"/>
      <c r="BQ8" s="27"/>
      <c r="BR8" s="27"/>
      <c r="BW8" s="27"/>
      <c r="BX8" s="27"/>
      <c r="BY8" s="27"/>
      <c r="BZ8" s="27"/>
      <c r="CA8" s="27"/>
      <c r="CB8" s="27"/>
    </row>
    <row r="9" spans="1:80" ht="30" customHeight="1" thickTop="1" x14ac:dyDescent="0.25">
      <c r="A9" s="32"/>
      <c r="B9" s="33"/>
      <c r="C9" s="34"/>
      <c r="D9" s="35"/>
      <c r="E9" s="1370"/>
      <c r="F9" s="32"/>
      <c r="G9" s="33"/>
      <c r="H9" s="34"/>
      <c r="I9" s="35"/>
      <c r="J9" s="1370"/>
      <c r="K9" s="32"/>
      <c r="L9" s="33"/>
      <c r="M9" s="34"/>
      <c r="N9" s="35"/>
      <c r="O9" s="1370"/>
      <c r="P9" s="2601" t="s">
        <v>250</v>
      </c>
      <c r="Q9" s="2602"/>
      <c r="R9" s="2602"/>
      <c r="S9" s="2603">
        <f>Q13/((54*3.1415/59)*(35/3.281))</f>
        <v>3.9743222620542376E-2</v>
      </c>
      <c r="T9" s="2604"/>
      <c r="U9" s="2601" t="s">
        <v>250</v>
      </c>
      <c r="V9" s="2602"/>
      <c r="W9" s="2602"/>
      <c r="X9" s="2603">
        <f>V14/((54*3.1415/59)*(35/3.281))</f>
        <v>0</v>
      </c>
      <c r="Y9" s="2604"/>
      <c r="Z9" s="2601" t="s">
        <v>250</v>
      </c>
      <c r="AA9" s="2602"/>
      <c r="AB9" s="2602"/>
      <c r="AC9" s="2603">
        <f>AA14/((54*3.1415/59)*(35/3.281))</f>
        <v>0</v>
      </c>
      <c r="AD9" s="2604"/>
      <c r="AE9" s="2601" t="s">
        <v>250</v>
      </c>
      <c r="AF9" s="2602"/>
      <c r="AG9" s="2602"/>
      <c r="AH9" s="2603">
        <f>AF13/((54*3.1415/59)*(35/3.281))</f>
        <v>2.6473746323117647E-2</v>
      </c>
      <c r="AI9" s="2604"/>
      <c r="AJ9" s="2601" t="s">
        <v>250</v>
      </c>
      <c r="AK9" s="2602"/>
      <c r="AL9" s="2602"/>
      <c r="AM9" s="2603">
        <f>AK14/((54*3.1415/59)*(35/3.281))</f>
        <v>0</v>
      </c>
      <c r="AN9" s="2604"/>
      <c r="AO9" s="165"/>
      <c r="AP9" s="1998"/>
      <c r="AQ9" s="1998"/>
      <c r="AR9" s="1998"/>
      <c r="AS9" s="1998"/>
      <c r="AT9" s="1998"/>
      <c r="AU9" s="1998"/>
      <c r="AV9" s="1998"/>
      <c r="AW9" s="1998"/>
      <c r="AX9" s="165"/>
      <c r="AY9" s="676"/>
      <c r="AZ9" s="676"/>
      <c r="BA9" s="676"/>
      <c r="BB9" s="36"/>
      <c r="BC9" s="36"/>
      <c r="BD9" s="676"/>
      <c r="BE9" s="676"/>
      <c r="BF9" s="676"/>
      <c r="BG9" s="36"/>
      <c r="BH9" s="36"/>
    </row>
    <row r="10" spans="1:80" ht="30" customHeight="1" x14ac:dyDescent="0.25">
      <c r="A10" s="1371"/>
      <c r="B10" s="1371"/>
      <c r="C10" s="1371"/>
      <c r="D10" s="1371"/>
      <c r="E10" s="1370"/>
      <c r="F10" s="1371"/>
      <c r="G10" s="1371"/>
      <c r="H10" s="1371"/>
      <c r="I10" s="1371"/>
      <c r="J10" s="1370"/>
      <c r="K10" s="1371"/>
      <c r="L10" s="1371"/>
      <c r="M10" s="1371"/>
      <c r="N10" s="1371"/>
      <c r="O10" s="1370"/>
      <c r="P10" s="3128" t="s">
        <v>534</v>
      </c>
      <c r="Q10" s="3129"/>
      <c r="R10" s="3129"/>
      <c r="S10" s="3129"/>
      <c r="T10" s="3130"/>
      <c r="U10" s="3128" t="s">
        <v>534</v>
      </c>
      <c r="V10" s="3129"/>
      <c r="W10" s="3129"/>
      <c r="X10" s="3129"/>
      <c r="Y10" s="3130"/>
      <c r="Z10" s="3128" t="s">
        <v>534</v>
      </c>
      <c r="AA10" s="3129"/>
      <c r="AB10" s="3129"/>
      <c r="AC10" s="3129"/>
      <c r="AD10" s="3130"/>
      <c r="AE10" s="3128" t="s">
        <v>534</v>
      </c>
      <c r="AF10" s="3129"/>
      <c r="AG10" s="3129"/>
      <c r="AH10" s="3129"/>
      <c r="AI10" s="3130"/>
      <c r="AJ10" s="3128" t="s">
        <v>534</v>
      </c>
      <c r="AK10" s="3129"/>
      <c r="AL10" s="3129"/>
      <c r="AM10" s="3129"/>
      <c r="AN10" s="3130"/>
      <c r="AO10" s="165"/>
      <c r="AP10" s="1998"/>
      <c r="AQ10" s="1998"/>
      <c r="AR10" s="1998"/>
      <c r="AS10" s="1998"/>
      <c r="AT10" s="1998"/>
      <c r="AU10" s="1998"/>
      <c r="AV10" s="1998"/>
      <c r="AW10" s="1998"/>
      <c r="AX10" s="165"/>
      <c r="AY10" s="676"/>
      <c r="AZ10" s="676"/>
      <c r="BA10" s="676"/>
      <c r="BB10" s="36"/>
      <c r="BC10" s="36"/>
      <c r="BD10" s="676"/>
      <c r="BE10" s="676"/>
      <c r="BF10" s="676"/>
      <c r="BG10" s="36"/>
      <c r="BH10" s="36"/>
    </row>
    <row r="11" spans="1:80" ht="51.75" customHeight="1" x14ac:dyDescent="0.25">
      <c r="A11" s="32"/>
      <c r="B11" s="33"/>
      <c r="C11" s="34"/>
      <c r="D11" s="35"/>
      <c r="E11" s="1370"/>
      <c r="F11" s="32"/>
      <c r="G11" s="33"/>
      <c r="H11" s="34"/>
      <c r="I11" s="35"/>
      <c r="J11" s="1370"/>
      <c r="K11" s="32"/>
      <c r="L11" s="33"/>
      <c r="M11" s="34"/>
      <c r="N11" s="35"/>
      <c r="O11" s="1370"/>
      <c r="P11" s="2607" t="s">
        <v>535</v>
      </c>
      <c r="Q11" s="1718">
        <v>10</v>
      </c>
      <c r="R11" s="3150"/>
      <c r="S11" s="3150"/>
      <c r="T11" s="3151"/>
      <c r="U11" s="2607" t="s">
        <v>535</v>
      </c>
      <c r="V11" s="1718">
        <v>11</v>
      </c>
      <c r="W11" s="3150"/>
      <c r="X11" s="3150"/>
      <c r="Y11" s="3151"/>
      <c r="Z11" s="2607" t="s">
        <v>535</v>
      </c>
      <c r="AA11" s="1718">
        <v>12</v>
      </c>
      <c r="AB11" s="3150"/>
      <c r="AC11" s="3150"/>
      <c r="AD11" s="3151"/>
      <c r="AE11" s="2607" t="s">
        <v>535</v>
      </c>
      <c r="AF11" s="1718">
        <v>13</v>
      </c>
      <c r="AG11" s="3150"/>
      <c r="AH11" s="3150"/>
      <c r="AI11" s="3151"/>
      <c r="AJ11" s="2607" t="s">
        <v>535</v>
      </c>
      <c r="AK11" s="1718">
        <v>14</v>
      </c>
      <c r="AL11" s="3150"/>
      <c r="AM11" s="3150"/>
      <c r="AN11" s="3151"/>
      <c r="AO11" s="165"/>
      <c r="AP11" s="1998"/>
      <c r="AQ11" s="1998"/>
      <c r="AR11" s="1998"/>
      <c r="AS11" s="1998"/>
      <c r="AT11" s="1998"/>
      <c r="AU11" s="1998"/>
      <c r="AV11" s="1998"/>
      <c r="AW11" s="1998"/>
      <c r="AX11" s="165"/>
      <c r="AY11" s="676"/>
      <c r="AZ11" s="676"/>
      <c r="BA11" s="676"/>
      <c r="BB11" s="36"/>
      <c r="BC11" s="36"/>
      <c r="BD11" s="676"/>
      <c r="BE11" s="676"/>
      <c r="BF11" s="676"/>
      <c r="BG11" s="36"/>
      <c r="BH11" s="36"/>
    </row>
    <row r="12" spans="1:80" ht="30" customHeight="1" x14ac:dyDescent="0.25">
      <c r="A12" s="1371"/>
      <c r="B12" s="1371"/>
      <c r="C12" s="1371"/>
      <c r="D12" s="1371"/>
      <c r="E12" s="1370"/>
      <c r="F12" s="1371"/>
      <c r="G12" s="1371"/>
      <c r="H12" s="1371"/>
      <c r="I12" s="1371"/>
      <c r="J12" s="1370"/>
      <c r="K12" s="1371"/>
      <c r="L12" s="1371"/>
      <c r="M12" s="1371"/>
      <c r="N12" s="1371"/>
      <c r="O12" s="1370"/>
      <c r="P12" s="3149"/>
      <c r="Q12" s="3152"/>
      <c r="R12" s="3153"/>
      <c r="S12" s="3153"/>
      <c r="T12" s="3154"/>
      <c r="U12" s="3149"/>
      <c r="V12" s="3152"/>
      <c r="W12" s="3153"/>
      <c r="X12" s="3153"/>
      <c r="Y12" s="3154"/>
      <c r="Z12" s="3149"/>
      <c r="AA12" s="3152"/>
      <c r="AB12" s="3153"/>
      <c r="AC12" s="3153"/>
      <c r="AD12" s="3154"/>
      <c r="AE12" s="3149"/>
      <c r="AF12" s="3152"/>
      <c r="AG12" s="3153"/>
      <c r="AH12" s="3153"/>
      <c r="AI12" s="3154"/>
      <c r="AJ12" s="3149"/>
      <c r="AK12" s="3152"/>
      <c r="AL12" s="3153"/>
      <c r="AM12" s="3153"/>
      <c r="AN12" s="3154"/>
      <c r="AO12" s="165"/>
      <c r="AP12" s="165"/>
      <c r="AQ12" s="165"/>
      <c r="AR12" s="165"/>
      <c r="AS12" s="165"/>
      <c r="AT12" s="165"/>
      <c r="AU12" s="165"/>
      <c r="AV12" s="165"/>
      <c r="AW12" s="165"/>
      <c r="AX12" s="165"/>
      <c r="AY12" s="677"/>
      <c r="AZ12" s="1332"/>
      <c r="BA12" s="1332"/>
      <c r="BB12" s="1332"/>
      <c r="BC12" s="1332"/>
      <c r="BD12" s="677"/>
      <c r="BE12" s="1332"/>
      <c r="BF12" s="1332"/>
      <c r="BG12" s="1332"/>
      <c r="BH12" s="1332"/>
      <c r="BM12" s="51"/>
      <c r="BN12" s="51"/>
      <c r="BO12" s="51"/>
      <c r="BP12" s="51"/>
      <c r="BQ12" s="51"/>
      <c r="BR12" s="51"/>
      <c r="BW12" s="27"/>
      <c r="BX12" s="27"/>
      <c r="BY12" s="27"/>
      <c r="BZ12" s="27"/>
      <c r="CA12" s="27"/>
      <c r="CB12" s="27"/>
    </row>
    <row r="13" spans="1:80" ht="27" customHeight="1" x14ac:dyDescent="0.25">
      <c r="A13" s="32"/>
      <c r="B13" s="33"/>
      <c r="C13" s="34"/>
      <c r="D13" s="35"/>
      <c r="E13" s="1370"/>
      <c r="F13" s="32"/>
      <c r="G13" s="33"/>
      <c r="H13" s="34"/>
      <c r="I13" s="35"/>
      <c r="J13" s="1370"/>
      <c r="K13" s="32"/>
      <c r="L13" s="33"/>
      <c r="M13" s="34"/>
      <c r="N13" s="35"/>
      <c r="O13" s="1370"/>
      <c r="P13" s="3149"/>
      <c r="Q13" s="3155">
        <v>1.2190000000000001</v>
      </c>
      <c r="R13" s="3143" t="s">
        <v>113</v>
      </c>
      <c r="S13" s="3145"/>
      <c r="T13" s="3147" t="s">
        <v>114</v>
      </c>
      <c r="U13" s="3149"/>
      <c r="V13" s="3155">
        <v>1.0000000000000001E-17</v>
      </c>
      <c r="W13" s="3143" t="s">
        <v>113</v>
      </c>
      <c r="X13" s="3145"/>
      <c r="Y13" s="3147" t="s">
        <v>114</v>
      </c>
      <c r="Z13" s="3149"/>
      <c r="AA13" s="3155">
        <v>1.0000000000000001E-17</v>
      </c>
      <c r="AB13" s="3143" t="s">
        <v>113</v>
      </c>
      <c r="AC13" s="3145"/>
      <c r="AD13" s="3147" t="s">
        <v>114</v>
      </c>
      <c r="AE13" s="3149"/>
      <c r="AF13" s="3155">
        <v>0.81200000000000006</v>
      </c>
      <c r="AG13" s="3143" t="s">
        <v>113</v>
      </c>
      <c r="AH13" s="3145">
        <v>1</v>
      </c>
      <c r="AI13" s="3147" t="s">
        <v>114</v>
      </c>
      <c r="AJ13" s="3149"/>
      <c r="AK13" s="3155">
        <v>1E-10</v>
      </c>
      <c r="AL13" s="3143" t="s">
        <v>113</v>
      </c>
      <c r="AM13" s="3145"/>
      <c r="AN13" s="3147" t="s">
        <v>114</v>
      </c>
      <c r="AO13" s="165"/>
      <c r="AP13" s="165"/>
      <c r="AQ13" s="165"/>
      <c r="AR13" s="165"/>
      <c r="AS13" s="165"/>
      <c r="AT13" s="165"/>
      <c r="AU13" s="165"/>
      <c r="AV13" s="165"/>
      <c r="AW13" s="165"/>
      <c r="AX13" s="165"/>
      <c r="AY13" s="677"/>
      <c r="AZ13" s="137"/>
      <c r="BA13" s="33"/>
      <c r="BB13" s="138"/>
      <c r="BC13" s="35"/>
      <c r="BD13" s="677"/>
      <c r="BE13" s="137"/>
      <c r="BF13" s="33"/>
      <c r="BG13" s="138"/>
      <c r="BH13" s="35"/>
      <c r="BM13" s="51"/>
      <c r="BN13" s="51"/>
      <c r="BO13" s="51"/>
      <c r="BP13" s="51"/>
      <c r="BQ13" s="51"/>
      <c r="BR13" s="51"/>
      <c r="BW13" s="27"/>
      <c r="BX13" s="27"/>
      <c r="BY13" s="27"/>
      <c r="BZ13" s="27"/>
      <c r="CA13" s="27"/>
      <c r="CB13" s="27"/>
    </row>
    <row r="14" spans="1:80" ht="6" customHeight="1" thickBot="1" x14ac:dyDescent="0.3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2608"/>
      <c r="Q14" s="3156"/>
      <c r="R14" s="3144"/>
      <c r="S14" s="3146"/>
      <c r="T14" s="3148"/>
      <c r="U14" s="2608"/>
      <c r="V14" s="3156"/>
      <c r="W14" s="3144"/>
      <c r="X14" s="3146"/>
      <c r="Y14" s="3148"/>
      <c r="Z14" s="2608"/>
      <c r="AA14" s="3156"/>
      <c r="AB14" s="3144"/>
      <c r="AC14" s="3146"/>
      <c r="AD14" s="3148"/>
      <c r="AE14" s="2608"/>
      <c r="AF14" s="3156"/>
      <c r="AG14" s="3144"/>
      <c r="AH14" s="3146"/>
      <c r="AI14" s="3148"/>
      <c r="AJ14" s="2608"/>
      <c r="AK14" s="3156"/>
      <c r="AL14" s="3144"/>
      <c r="AM14" s="3146"/>
      <c r="AN14" s="3148"/>
      <c r="AO14" s="674"/>
      <c r="AP14" s="674"/>
      <c r="AQ14" s="674"/>
      <c r="AR14" s="1300"/>
      <c r="AS14" s="1300"/>
      <c r="AT14" s="165"/>
      <c r="AU14" s="165"/>
      <c r="AV14" s="165"/>
      <c r="AW14" s="165"/>
      <c r="AX14" s="165"/>
      <c r="AY14" s="674"/>
      <c r="AZ14" s="674"/>
      <c r="BA14" s="674"/>
      <c r="BB14" s="1300"/>
      <c r="BC14" s="1300"/>
      <c r="BD14" s="674"/>
      <c r="BE14" s="674"/>
      <c r="BF14" s="674"/>
      <c r="BG14" s="1300"/>
      <c r="BH14" s="1300"/>
      <c r="BM14" s="51"/>
      <c r="BN14" s="51"/>
      <c r="BO14" s="51"/>
      <c r="BP14" s="51"/>
      <c r="BQ14" s="51"/>
      <c r="BR14" s="51"/>
      <c r="BW14" s="27"/>
      <c r="BX14" s="27"/>
      <c r="BY14" s="27"/>
      <c r="BZ14" s="27"/>
      <c r="CA14" s="27"/>
      <c r="CB14" s="27"/>
    </row>
    <row r="15" spans="1:80" ht="34.5" thickTop="1" x14ac:dyDescent="0.25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Z15" s="47"/>
      <c r="AA15" s="47"/>
      <c r="AB15" s="47"/>
      <c r="AC15" s="47"/>
      <c r="AD15" s="47"/>
      <c r="AE15" s="47"/>
      <c r="AF15" s="47"/>
      <c r="AG15" s="47"/>
      <c r="AH15" s="36"/>
      <c r="AI15" s="36"/>
      <c r="AJ15" s="47"/>
      <c r="AK15" s="47"/>
      <c r="AL15" s="47"/>
      <c r="AM15" s="36"/>
      <c r="AN15" s="36"/>
      <c r="AO15" s="676"/>
      <c r="AP15" s="676"/>
      <c r="AQ15" s="676"/>
      <c r="AR15" s="36"/>
      <c r="AS15" s="36"/>
      <c r="AT15" s="165"/>
      <c r="AU15" s="165"/>
      <c r="AV15" s="165"/>
      <c r="AW15" s="165"/>
      <c r="AX15" s="165"/>
      <c r="AY15" s="676"/>
      <c r="AZ15" s="676"/>
      <c r="BA15" s="676"/>
      <c r="BB15" s="36"/>
      <c r="BC15" s="36"/>
      <c r="BD15" s="676"/>
      <c r="BE15" s="676"/>
      <c r="BF15" s="676"/>
      <c r="BG15" s="36"/>
      <c r="BH15" s="36"/>
    </row>
    <row r="16" spans="1:80" ht="36.75" hidden="1" thickBot="1" x14ac:dyDescent="0.3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285"/>
      <c r="N16" s="285"/>
      <c r="O16" s="285"/>
      <c r="P16" s="285"/>
      <c r="Q16" s="285"/>
      <c r="R16" s="47"/>
      <c r="S16" s="47"/>
      <c r="T16" s="47"/>
      <c r="Z16" s="47"/>
      <c r="AA16" s="47"/>
      <c r="AB16" s="47"/>
      <c r="AC16" s="47"/>
      <c r="AD16" s="47"/>
      <c r="AE16" s="47"/>
      <c r="AF16" s="47"/>
      <c r="AG16" s="47"/>
      <c r="AH16" s="140"/>
      <c r="AI16" s="36"/>
      <c r="AJ16" s="47"/>
      <c r="AK16" s="47"/>
      <c r="AL16" s="47"/>
      <c r="AM16" s="140"/>
      <c r="AN16" s="36"/>
      <c r="AO16" s="676"/>
      <c r="AP16" s="676"/>
      <c r="AQ16" s="676"/>
      <c r="AR16" s="140"/>
      <c r="AS16" s="36"/>
      <c r="AT16" s="165"/>
      <c r="AU16" s="165"/>
      <c r="AV16" s="165"/>
      <c r="AW16" s="165"/>
      <c r="AX16" s="165"/>
      <c r="AY16" s="676"/>
      <c r="AZ16" s="676"/>
      <c r="BA16" s="676"/>
      <c r="BB16" s="36"/>
      <c r="BC16" s="36"/>
      <c r="BD16" s="676"/>
      <c r="BE16" s="676"/>
      <c r="BF16" s="676"/>
      <c r="BG16" s="36"/>
      <c r="BH16" s="36"/>
    </row>
    <row r="17" spans="1:80" ht="33.75" hidden="1" x14ac:dyDescent="0.25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Z17" s="47"/>
      <c r="AA17" s="47"/>
      <c r="AB17" s="47"/>
      <c r="AC17" s="47"/>
      <c r="AD17" s="47"/>
      <c r="AE17" s="47"/>
      <c r="AF17" s="47"/>
      <c r="AG17" s="47"/>
      <c r="AH17" s="36"/>
      <c r="AI17" s="36"/>
      <c r="AJ17" s="47"/>
      <c r="AK17" s="47"/>
      <c r="AL17" s="47"/>
      <c r="AM17" s="36"/>
      <c r="AN17" s="36"/>
      <c r="AO17" s="676"/>
      <c r="AP17" s="676"/>
      <c r="AQ17" s="676"/>
      <c r="AR17" s="36"/>
      <c r="AS17" s="36"/>
      <c r="AT17" s="165"/>
      <c r="AU17" s="165"/>
      <c r="AV17" s="165"/>
      <c r="AW17" s="165"/>
      <c r="AX17" s="165"/>
      <c r="AY17" s="676"/>
      <c r="AZ17" s="676"/>
      <c r="BA17" s="676"/>
      <c r="BB17" s="36"/>
      <c r="BC17" s="36"/>
      <c r="BD17" s="676"/>
      <c r="BE17" s="676"/>
      <c r="BF17" s="676"/>
      <c r="BG17" s="36"/>
      <c r="BH17" s="36"/>
    </row>
    <row r="18" spans="1:80" ht="77.25" hidden="1" x14ac:dyDescent="0.25">
      <c r="A18" s="142"/>
      <c r="B18" s="142"/>
      <c r="C18" s="142"/>
      <c r="D18" s="142"/>
      <c r="E18" s="142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65"/>
      <c r="AU18" s="165"/>
      <c r="AV18" s="165"/>
      <c r="AW18" s="165"/>
      <c r="AX18" s="165"/>
      <c r="AY18" s="677"/>
      <c r="AZ18" s="1332"/>
      <c r="BA18" s="1332"/>
      <c r="BB18" s="1332"/>
      <c r="BC18" s="1332"/>
      <c r="BD18" s="677"/>
      <c r="BE18" s="1332" t="s">
        <v>16</v>
      </c>
      <c r="BF18" s="1332"/>
      <c r="BG18" s="1332"/>
      <c r="BH18" s="1332"/>
      <c r="BM18" s="51"/>
      <c r="BN18" s="51"/>
      <c r="BO18" s="51"/>
      <c r="BP18" s="51"/>
      <c r="BQ18" s="51"/>
      <c r="BR18" s="51"/>
      <c r="BW18" s="27"/>
      <c r="BX18" s="27"/>
      <c r="BY18" s="27"/>
      <c r="BZ18" s="27"/>
      <c r="CA18" s="27"/>
      <c r="CB18" s="27"/>
    </row>
    <row r="19" spans="1:80" ht="33.75" hidden="1" x14ac:dyDescent="0.2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165"/>
      <c r="AU19" s="165"/>
      <c r="AV19" s="165"/>
      <c r="AW19" s="165"/>
      <c r="AX19" s="165"/>
      <c r="AY19" s="677"/>
      <c r="AZ19" s="137"/>
      <c r="BA19" s="33"/>
      <c r="BB19" s="138"/>
      <c r="BC19" s="35"/>
      <c r="BD19" s="677"/>
      <c r="BE19" s="137"/>
      <c r="BF19" s="33"/>
      <c r="BG19" s="138"/>
      <c r="BH19" s="35"/>
      <c r="BM19" s="51"/>
      <c r="BN19" s="51"/>
      <c r="BO19" s="51"/>
      <c r="BP19" s="51"/>
      <c r="BQ19" s="51"/>
      <c r="BR19" s="51"/>
      <c r="BW19" s="27"/>
      <c r="BX19" s="27"/>
      <c r="BY19" s="27"/>
      <c r="BZ19" s="27"/>
      <c r="CA19" s="27"/>
      <c r="CB19" s="27"/>
    </row>
    <row r="20" spans="1:80" ht="33.75" hidden="1" x14ac:dyDescent="0.25">
      <c r="A20" s="674"/>
      <c r="B20" s="674"/>
      <c r="C20" s="674"/>
      <c r="D20" s="1300"/>
      <c r="E20" s="1300"/>
      <c r="F20" s="674"/>
      <c r="G20" s="674"/>
      <c r="H20" s="674"/>
      <c r="I20" s="1300"/>
      <c r="J20" s="1300"/>
      <c r="K20" s="44"/>
      <c r="L20" s="44"/>
      <c r="M20" s="44"/>
      <c r="N20" s="69"/>
      <c r="O20" s="69"/>
      <c r="P20" s="44"/>
      <c r="Q20" s="44"/>
      <c r="R20" s="44"/>
      <c r="S20" s="69"/>
      <c r="T20" s="69"/>
      <c r="U20" s="44"/>
      <c r="V20" s="44"/>
      <c r="W20" s="44"/>
      <c r="X20" s="69"/>
      <c r="Y20" s="69"/>
      <c r="Z20" s="44"/>
      <c r="AA20" s="44"/>
      <c r="AB20" s="44"/>
      <c r="AC20" s="69"/>
      <c r="AD20" s="69"/>
      <c r="AE20" s="44"/>
      <c r="AF20" s="44"/>
      <c r="AG20" s="44"/>
      <c r="AH20" s="69"/>
      <c r="AI20" s="69"/>
      <c r="AJ20" s="44"/>
      <c r="AK20" s="44"/>
      <c r="AL20" s="44"/>
      <c r="AM20" s="69"/>
      <c r="AN20" s="69"/>
      <c r="AO20" s="674"/>
      <c r="AP20" s="674"/>
      <c r="AQ20" s="674"/>
      <c r="AR20" s="1300"/>
      <c r="AS20" s="1300"/>
      <c r="AT20" s="165"/>
      <c r="AU20" s="165"/>
      <c r="AV20" s="165"/>
      <c r="AW20" s="165"/>
      <c r="AX20" s="165"/>
      <c r="AY20" s="674"/>
      <c r="AZ20" s="674"/>
      <c r="BA20" s="674"/>
      <c r="BB20" s="1300"/>
      <c r="BC20" s="1300"/>
      <c r="BD20" s="674"/>
      <c r="BE20" s="674"/>
      <c r="BF20" s="674"/>
      <c r="BG20" s="1300"/>
      <c r="BH20" s="1300"/>
      <c r="BM20" s="51"/>
      <c r="BN20" s="51"/>
      <c r="BO20" s="51"/>
      <c r="BP20" s="51"/>
      <c r="BQ20" s="51"/>
      <c r="BR20" s="51"/>
      <c r="BW20" s="27"/>
      <c r="BX20" s="27"/>
      <c r="BY20" s="27"/>
      <c r="BZ20" s="27"/>
      <c r="CA20" s="27"/>
      <c r="CB20" s="27"/>
    </row>
    <row r="21" spans="1:80" ht="33.75" hidden="1" x14ac:dyDescent="0.25">
      <c r="A21" s="676"/>
      <c r="B21" s="676"/>
      <c r="C21" s="676"/>
      <c r="D21" s="36"/>
      <c r="E21" s="36"/>
      <c r="F21" s="676"/>
      <c r="G21" s="676"/>
      <c r="H21" s="676"/>
      <c r="I21" s="36"/>
      <c r="J21" s="36"/>
      <c r="K21" s="47"/>
      <c r="L21" s="47"/>
      <c r="M21" s="47"/>
      <c r="N21" s="36"/>
      <c r="O21" s="36"/>
      <c r="P21" s="47"/>
      <c r="Q21" s="47"/>
      <c r="R21" s="47"/>
      <c r="S21" s="36"/>
      <c r="T21" s="36"/>
      <c r="U21" s="47"/>
      <c r="V21" s="47"/>
      <c r="W21" s="47"/>
      <c r="X21" s="36"/>
      <c r="Y21" s="36"/>
      <c r="Z21" s="47"/>
      <c r="AA21" s="47"/>
      <c r="AB21" s="47"/>
      <c r="AC21" s="36"/>
      <c r="AD21" s="36"/>
      <c r="AE21" s="47"/>
      <c r="AF21" s="47"/>
      <c r="AG21" s="47"/>
      <c r="AH21" s="36"/>
      <c r="AI21" s="36"/>
      <c r="AJ21" s="47"/>
      <c r="AK21" s="47"/>
      <c r="AL21" s="47"/>
      <c r="AM21" s="36"/>
      <c r="AN21" s="36"/>
      <c r="AO21" s="676"/>
      <c r="AP21" s="676"/>
      <c r="AQ21" s="676"/>
      <c r="AR21" s="36"/>
      <c r="AS21" s="36"/>
      <c r="AT21" s="165"/>
      <c r="AU21" s="165"/>
      <c r="AV21" s="165"/>
      <c r="AW21" s="165"/>
      <c r="AX21" s="165"/>
      <c r="AY21" s="676"/>
      <c r="AZ21" s="676"/>
      <c r="BA21" s="676"/>
      <c r="BB21" s="36"/>
      <c r="BC21" s="36"/>
      <c r="BD21" s="676"/>
      <c r="BE21" s="676"/>
      <c r="BF21" s="676"/>
      <c r="BG21" s="36"/>
      <c r="BH21" s="36"/>
    </row>
    <row r="22" spans="1:80" ht="36" hidden="1" x14ac:dyDescent="0.25">
      <c r="A22" s="676"/>
      <c r="B22" s="676"/>
      <c r="C22" s="676"/>
      <c r="D22" s="140"/>
      <c r="E22" s="36"/>
      <c r="F22" s="676"/>
      <c r="G22" s="676"/>
      <c r="H22" s="676"/>
      <c r="I22" s="140"/>
      <c r="J22" s="36"/>
      <c r="K22" s="47"/>
      <c r="L22" s="47"/>
      <c r="M22" s="47"/>
      <c r="N22" s="140"/>
      <c r="O22" s="36"/>
      <c r="P22" s="47"/>
      <c r="Q22" s="47"/>
      <c r="R22" s="47"/>
      <c r="S22" s="140"/>
      <c r="T22" s="36"/>
      <c r="U22" s="47"/>
      <c r="V22" s="47"/>
      <c r="W22" s="47"/>
      <c r="X22" s="140"/>
      <c r="Y22" s="36"/>
      <c r="Z22" s="47"/>
      <c r="AA22" s="47"/>
      <c r="AB22" s="47"/>
      <c r="AC22" s="140"/>
      <c r="AD22" s="36"/>
      <c r="AE22" s="47"/>
      <c r="AF22" s="47"/>
      <c r="AG22" s="47"/>
      <c r="AH22" s="140"/>
      <c r="AI22" s="36"/>
      <c r="AJ22" s="47"/>
      <c r="AK22" s="47"/>
      <c r="AL22" s="47"/>
      <c r="AM22" s="140"/>
      <c r="AN22" s="36"/>
      <c r="AO22" s="676"/>
      <c r="AP22" s="676"/>
      <c r="AQ22" s="676"/>
      <c r="AR22" s="140"/>
      <c r="AS22" s="36"/>
      <c r="AT22" s="165"/>
      <c r="AU22" s="165"/>
      <c r="AV22" s="165"/>
      <c r="AW22" s="165"/>
      <c r="AX22" s="165"/>
      <c r="AY22" s="676"/>
      <c r="AZ22" s="676"/>
      <c r="BA22" s="676"/>
      <c r="BB22" s="36"/>
      <c r="BC22" s="36"/>
      <c r="BD22" s="676"/>
      <c r="BE22" s="676"/>
      <c r="BF22" s="676"/>
      <c r="BG22" s="36"/>
      <c r="BH22" s="36"/>
    </row>
    <row r="23" spans="1:80" ht="33.75" hidden="1" x14ac:dyDescent="0.25">
      <c r="A23" s="676"/>
      <c r="B23" s="676"/>
      <c r="C23" s="676"/>
      <c r="D23" s="36"/>
      <c r="E23" s="36"/>
      <c r="F23" s="676"/>
      <c r="G23" s="676"/>
      <c r="H23" s="676"/>
      <c r="I23" s="36"/>
      <c r="J23" s="36"/>
      <c r="K23" s="47"/>
      <c r="L23" s="47"/>
      <c r="M23" s="47"/>
      <c r="N23" s="36"/>
      <c r="O23" s="36"/>
      <c r="P23" s="47"/>
      <c r="Q23" s="47"/>
      <c r="R23" s="47"/>
      <c r="S23" s="36"/>
      <c r="T23" s="36"/>
      <c r="U23" s="47"/>
      <c r="V23" s="47"/>
      <c r="W23" s="47"/>
      <c r="X23" s="36"/>
      <c r="Y23" s="36"/>
      <c r="Z23" s="47"/>
      <c r="AA23" s="47"/>
      <c r="AB23" s="47"/>
      <c r="AC23" s="36"/>
      <c r="AD23" s="36"/>
      <c r="AE23" s="47"/>
      <c r="AF23" s="47"/>
      <c r="AG23" s="47"/>
      <c r="AH23" s="36"/>
      <c r="AI23" s="36"/>
      <c r="AJ23" s="47"/>
      <c r="AK23" s="47"/>
      <c r="AL23" s="47"/>
      <c r="AM23" s="36"/>
      <c r="AN23" s="36"/>
      <c r="AO23" s="676"/>
      <c r="AP23" s="676"/>
      <c r="AQ23" s="676"/>
      <c r="AR23" s="36"/>
      <c r="AS23" s="36"/>
      <c r="AT23" s="165"/>
      <c r="AU23" s="165"/>
      <c r="AV23" s="165"/>
      <c r="AW23" s="165"/>
      <c r="AX23" s="165"/>
      <c r="AY23" s="676"/>
      <c r="AZ23" s="676"/>
      <c r="BA23" s="676"/>
      <c r="BB23" s="36"/>
      <c r="BC23" s="36"/>
      <c r="BD23" s="676"/>
      <c r="BE23" s="676"/>
      <c r="BF23" s="676"/>
      <c r="BG23" s="36"/>
      <c r="BH23" s="36"/>
    </row>
    <row r="24" spans="1:80" ht="77.25" hidden="1" x14ac:dyDescent="0.25">
      <c r="A24" s="1370"/>
      <c r="B24" s="1371"/>
      <c r="C24" s="1371"/>
      <c r="D24" s="1371"/>
      <c r="E24" s="1371"/>
      <c r="F24" s="1370"/>
      <c r="G24" s="1371"/>
      <c r="H24" s="1371"/>
      <c r="I24" s="1371"/>
      <c r="J24" s="1371"/>
      <c r="K24" s="230"/>
      <c r="L24" s="142"/>
      <c r="M24" s="142"/>
      <c r="N24" s="142"/>
      <c r="O24" s="142"/>
      <c r="P24" s="230"/>
      <c r="Q24" s="142"/>
      <c r="R24" s="142"/>
      <c r="S24" s="142"/>
      <c r="T24" s="142"/>
      <c r="U24" s="230"/>
      <c r="V24" s="142"/>
      <c r="W24" s="142"/>
      <c r="X24" s="142"/>
      <c r="Y24" s="142"/>
      <c r="Z24" s="230"/>
      <c r="AA24" s="142"/>
      <c r="AB24" s="142"/>
      <c r="AC24" s="142"/>
      <c r="AD24" s="142"/>
      <c r="AE24" s="230"/>
      <c r="AF24" s="142"/>
      <c r="AG24" s="142"/>
      <c r="AH24" s="142"/>
      <c r="AI24" s="142"/>
      <c r="AJ24" s="230"/>
      <c r="AK24" s="142"/>
      <c r="AL24" s="142"/>
      <c r="AM24" s="142"/>
      <c r="AN24" s="142"/>
      <c r="AO24" s="1370"/>
      <c r="AP24" s="1371"/>
      <c r="AQ24" s="1371"/>
      <c r="AR24" s="1371"/>
      <c r="AS24" s="1371"/>
      <c r="AT24" s="165"/>
      <c r="AU24" s="165"/>
      <c r="AV24" s="165"/>
      <c r="AW24" s="165"/>
      <c r="AX24" s="165"/>
      <c r="AY24" s="677"/>
      <c r="AZ24" s="1332"/>
      <c r="BA24" s="1332"/>
      <c r="BB24" s="1332"/>
      <c r="BC24" s="1332"/>
      <c r="BD24" s="677"/>
      <c r="BE24" s="1332"/>
      <c r="BF24" s="1332"/>
      <c r="BG24" s="1332"/>
      <c r="BH24" s="1332"/>
      <c r="BM24" s="51"/>
      <c r="BN24" s="51"/>
      <c r="BO24" s="51"/>
      <c r="BP24" s="51"/>
      <c r="BQ24" s="51"/>
      <c r="BR24" s="51"/>
      <c r="BW24" s="27"/>
      <c r="BX24" s="27"/>
      <c r="BY24" s="27"/>
      <c r="BZ24" s="27"/>
      <c r="CA24" s="27"/>
      <c r="CB24" s="27"/>
    </row>
    <row r="25" spans="1:80" ht="33.75" hidden="1" x14ac:dyDescent="0.25">
      <c r="A25" s="1370"/>
      <c r="B25" s="32"/>
      <c r="C25" s="33"/>
      <c r="D25" s="34"/>
      <c r="E25" s="35"/>
      <c r="F25" s="1370"/>
      <c r="G25" s="32"/>
      <c r="H25" s="33"/>
      <c r="I25" s="34"/>
      <c r="J25" s="35"/>
      <c r="K25" s="230"/>
      <c r="L25" s="32"/>
      <c r="M25" s="33"/>
      <c r="N25" s="34"/>
      <c r="O25" s="35"/>
      <c r="P25" s="230"/>
      <c r="Q25" s="32"/>
      <c r="R25" s="33"/>
      <c r="S25" s="34"/>
      <c r="T25" s="35"/>
      <c r="U25" s="230"/>
      <c r="V25" s="32"/>
      <c r="W25" s="33"/>
      <c r="X25" s="34"/>
      <c r="Y25" s="35"/>
      <c r="Z25" s="230"/>
      <c r="AA25" s="32"/>
      <c r="AB25" s="33"/>
      <c r="AC25" s="34"/>
      <c r="AD25" s="35"/>
      <c r="AE25" s="230"/>
      <c r="AF25" s="32"/>
      <c r="AG25" s="33"/>
      <c r="AH25" s="34"/>
      <c r="AI25" s="35"/>
      <c r="AJ25" s="230"/>
      <c r="AK25" s="32"/>
      <c r="AL25" s="33"/>
      <c r="AM25" s="34"/>
      <c r="AN25" s="35"/>
      <c r="AO25" s="1370"/>
      <c r="AP25" s="32"/>
      <c r="AQ25" s="33"/>
      <c r="AR25" s="34"/>
      <c r="AS25" s="35"/>
      <c r="AT25" s="165"/>
      <c r="AU25" s="165"/>
      <c r="AV25" s="165"/>
      <c r="AW25" s="165"/>
      <c r="AX25" s="165"/>
      <c r="AY25" s="677"/>
      <c r="AZ25" s="137"/>
      <c r="BA25" s="33"/>
      <c r="BB25" s="138"/>
      <c r="BC25" s="35"/>
      <c r="BD25" s="677"/>
      <c r="BE25" s="137"/>
      <c r="BF25" s="33"/>
      <c r="BG25" s="138"/>
      <c r="BH25" s="35"/>
      <c r="BM25" s="51"/>
      <c r="BN25" s="51"/>
      <c r="BO25" s="51"/>
      <c r="BP25" s="51"/>
      <c r="BQ25" s="51"/>
      <c r="BR25" s="51"/>
      <c r="BW25" s="27"/>
      <c r="BX25" s="27"/>
      <c r="BY25" s="27"/>
      <c r="BZ25" s="27"/>
      <c r="CA25" s="27"/>
      <c r="CB25" s="27"/>
    </row>
    <row r="26" spans="1:80" ht="33.75" hidden="1" x14ac:dyDescent="0.25">
      <c r="A26" s="674"/>
      <c r="B26" s="674"/>
      <c r="C26" s="674"/>
      <c r="D26" s="1300"/>
      <c r="E26" s="1300"/>
      <c r="F26" s="674"/>
      <c r="G26" s="674"/>
      <c r="H26" s="674"/>
      <c r="I26" s="1300"/>
      <c r="J26" s="1300"/>
      <c r="K26" s="44"/>
      <c r="L26" s="44"/>
      <c r="M26" s="44"/>
      <c r="N26" s="69"/>
      <c r="O26" s="69"/>
      <c r="P26" s="44"/>
      <c r="Q26" s="44"/>
      <c r="R26" s="44"/>
      <c r="S26" s="69"/>
      <c r="T26" s="69"/>
      <c r="U26" s="44"/>
      <c r="V26" s="44"/>
      <c r="W26" s="44"/>
      <c r="X26" s="69"/>
      <c r="Y26" s="69"/>
      <c r="Z26" s="44"/>
      <c r="AA26" s="44"/>
      <c r="AB26" s="44"/>
      <c r="AC26" s="69"/>
      <c r="AD26" s="69"/>
      <c r="AE26" s="44"/>
      <c r="AF26" s="44"/>
      <c r="AG26" s="44"/>
      <c r="AH26" s="69"/>
      <c r="AI26" s="69"/>
      <c r="AJ26" s="44"/>
      <c r="AK26" s="44"/>
      <c r="AP26" s="44"/>
      <c r="AQ26" s="44"/>
      <c r="AT26" s="165"/>
      <c r="AU26" s="165"/>
      <c r="AV26" s="165"/>
      <c r="AW26" s="165"/>
      <c r="AX26" s="165"/>
      <c r="AY26" s="674"/>
      <c r="AZ26" s="674"/>
      <c r="BA26" s="674"/>
      <c r="BB26" s="1300"/>
      <c r="BC26" s="1300"/>
      <c r="BD26" s="674"/>
      <c r="BE26" s="674"/>
      <c r="BF26" s="674"/>
      <c r="BG26" s="1300"/>
      <c r="BH26" s="1300"/>
      <c r="BM26" s="51"/>
      <c r="BN26" s="51"/>
      <c r="BO26" s="51"/>
      <c r="BP26" s="51"/>
      <c r="BQ26" s="51"/>
      <c r="BR26" s="51"/>
      <c r="BW26" s="27"/>
      <c r="BX26" s="27"/>
      <c r="BY26" s="27"/>
      <c r="BZ26" s="27"/>
      <c r="CA26" s="27"/>
      <c r="CB26" s="27"/>
    </row>
    <row r="27" spans="1:80" ht="33.75" hidden="1" x14ac:dyDescent="0.25">
      <c r="A27" s="676"/>
      <c r="B27" s="676"/>
      <c r="C27" s="676"/>
      <c r="D27" s="36"/>
      <c r="E27" s="36"/>
      <c r="F27" s="676"/>
      <c r="G27" s="676"/>
      <c r="H27" s="676"/>
      <c r="I27" s="36"/>
      <c r="J27" s="36"/>
      <c r="K27" s="47"/>
      <c r="L27" s="47"/>
      <c r="M27" s="47"/>
      <c r="N27" s="36"/>
      <c r="O27" s="36"/>
      <c r="P27" s="47"/>
      <c r="Q27" s="47"/>
      <c r="R27" s="47"/>
      <c r="S27" s="36"/>
      <c r="T27" s="36"/>
      <c r="U27" s="47"/>
      <c r="V27" s="47"/>
      <c r="W27" s="47"/>
      <c r="X27" s="36"/>
      <c r="Y27" s="36"/>
      <c r="Z27" s="47"/>
      <c r="AA27" s="47"/>
      <c r="AB27" s="47"/>
      <c r="AC27" s="36"/>
      <c r="AD27" s="36"/>
      <c r="AE27" s="47"/>
      <c r="AF27" s="47"/>
      <c r="AG27" s="47"/>
      <c r="AH27" s="36"/>
      <c r="AI27" s="36"/>
      <c r="AJ27" s="47"/>
      <c r="AK27" s="47"/>
      <c r="AP27" s="47"/>
      <c r="AQ27" s="47"/>
      <c r="AT27" s="165"/>
      <c r="AU27" s="165"/>
      <c r="AV27" s="165"/>
      <c r="AW27" s="165"/>
      <c r="AX27" s="165"/>
      <c r="AY27" s="676"/>
      <c r="AZ27" s="676"/>
      <c r="BA27" s="676"/>
      <c r="BB27" s="36"/>
      <c r="BC27" s="36"/>
      <c r="BD27" s="676"/>
      <c r="BE27" s="676"/>
      <c r="BF27" s="676"/>
      <c r="BG27" s="36"/>
      <c r="BH27" s="36"/>
    </row>
    <row r="28" spans="1:80" ht="36" hidden="1" x14ac:dyDescent="0.25">
      <c r="A28" s="676"/>
      <c r="B28" s="676"/>
      <c r="C28" s="676"/>
      <c r="D28" s="140"/>
      <c r="E28" s="36"/>
      <c r="F28" s="676"/>
      <c r="G28" s="676"/>
      <c r="H28" s="676"/>
      <c r="I28" s="140"/>
      <c r="J28" s="36"/>
      <c r="K28" s="47"/>
      <c r="L28" s="47"/>
      <c r="M28" s="47"/>
      <c r="N28" s="140"/>
      <c r="O28" s="36"/>
      <c r="P28" s="47"/>
      <c r="Q28" s="47"/>
      <c r="R28" s="47"/>
      <c r="S28" s="140"/>
      <c r="T28" s="36"/>
      <c r="U28" s="47"/>
      <c r="V28" s="47"/>
      <c r="W28" s="47"/>
      <c r="X28" s="140"/>
      <c r="Y28" s="36"/>
      <c r="Z28" s="47"/>
      <c r="AA28" s="47"/>
      <c r="AB28" s="47"/>
      <c r="AC28" s="140"/>
      <c r="AD28" s="36"/>
      <c r="AE28" s="47"/>
      <c r="AF28" s="47"/>
      <c r="AG28" s="47"/>
      <c r="AH28" s="36"/>
      <c r="AI28" s="36"/>
      <c r="AJ28" s="47"/>
      <c r="AK28" s="47"/>
      <c r="AP28" s="47"/>
      <c r="AQ28" s="47"/>
      <c r="AT28" s="165"/>
      <c r="AU28" s="165"/>
      <c r="AV28" s="165"/>
      <c r="AW28" s="165"/>
      <c r="AX28" s="165"/>
      <c r="AY28" s="676"/>
      <c r="AZ28" s="676"/>
      <c r="BA28" s="676"/>
      <c r="BB28" s="36"/>
      <c r="BC28" s="36"/>
      <c r="BD28" s="676"/>
      <c r="BE28" s="676"/>
      <c r="BF28" s="676"/>
      <c r="BG28" s="36"/>
      <c r="BH28" s="36"/>
    </row>
    <row r="29" spans="1:80" ht="33.75" hidden="1" x14ac:dyDescent="0.25">
      <c r="A29" s="676"/>
      <c r="B29" s="676"/>
      <c r="C29" s="676"/>
      <c r="D29" s="36"/>
      <c r="E29" s="36"/>
      <c r="F29" s="676"/>
      <c r="G29" s="676"/>
      <c r="H29" s="676"/>
      <c r="I29" s="36"/>
      <c r="J29" s="36"/>
      <c r="K29" s="47"/>
      <c r="L29" s="47"/>
      <c r="M29" s="47"/>
      <c r="N29" s="36"/>
      <c r="O29" s="36"/>
      <c r="P29" s="47"/>
      <c r="Q29" s="47"/>
      <c r="R29" s="47"/>
      <c r="S29" s="36"/>
      <c r="T29" s="36"/>
      <c r="U29" s="47"/>
      <c r="V29" s="47"/>
      <c r="W29" s="47"/>
      <c r="X29" s="36"/>
      <c r="Y29" s="36"/>
      <c r="Z29" s="47"/>
      <c r="AA29" s="47"/>
      <c r="AB29" s="47"/>
      <c r="AC29" s="36"/>
      <c r="AD29" s="36"/>
      <c r="AE29" s="47"/>
      <c r="AF29" s="47"/>
      <c r="AG29" s="47"/>
      <c r="AH29" s="36"/>
      <c r="AI29" s="36"/>
      <c r="AJ29" s="47"/>
      <c r="AK29" s="47"/>
      <c r="AP29" s="47"/>
      <c r="AQ29" s="47"/>
      <c r="AR29" s="36"/>
      <c r="AS29" s="36"/>
      <c r="AT29" s="165"/>
      <c r="AU29" s="165"/>
      <c r="AV29" s="165"/>
      <c r="AW29" s="165"/>
      <c r="AX29" s="165"/>
      <c r="AY29" s="676"/>
      <c r="AZ29" s="676"/>
      <c r="BA29" s="676"/>
      <c r="BB29" s="36"/>
      <c r="BC29" s="36"/>
      <c r="BD29" s="676"/>
      <c r="BE29" s="676"/>
      <c r="BF29" s="676"/>
      <c r="BG29" s="36"/>
      <c r="BH29" s="36"/>
    </row>
    <row r="30" spans="1:80" ht="60.75" customHeight="1" x14ac:dyDescent="0.25">
      <c r="A30" s="1400"/>
      <c r="B30" s="1401"/>
      <c r="C30" s="1401"/>
      <c r="D30" s="1401"/>
      <c r="E30" s="1401"/>
      <c r="F30" s="1370"/>
      <c r="G30" s="1371"/>
      <c r="H30" s="1371"/>
      <c r="I30" s="1371"/>
      <c r="J30" s="1371"/>
      <c r="K30" s="230"/>
      <c r="L30" s="142"/>
      <c r="M30" s="142"/>
      <c r="N30" s="142"/>
      <c r="O30" s="142"/>
      <c r="P30" s="230"/>
      <c r="Q30" s="142"/>
      <c r="R30" s="142"/>
      <c r="S30" s="142"/>
      <c r="T30" s="142"/>
      <c r="U30" s="230"/>
      <c r="V30" s="142"/>
      <c r="W30" s="142"/>
      <c r="X30" s="142"/>
      <c r="Y30" s="142"/>
      <c r="Z30" s="230"/>
      <c r="AA30" s="142"/>
      <c r="AB30" s="142"/>
      <c r="AC30" s="142"/>
      <c r="AD30" s="142"/>
      <c r="AE30" s="70"/>
      <c r="AF30" s="231"/>
      <c r="AG30" s="231"/>
      <c r="AH30" s="231"/>
      <c r="AI30" s="231"/>
      <c r="AJ30" s="70"/>
      <c r="AR30" s="132"/>
      <c r="AS30" s="132"/>
      <c r="AT30" s="677"/>
      <c r="AU30" s="1332"/>
      <c r="AV30" s="1332"/>
      <c r="AW30" s="1332"/>
      <c r="AX30" s="1332"/>
      <c r="AY30" s="677"/>
      <c r="AZ30" s="1332"/>
      <c r="BA30" s="1332"/>
      <c r="BB30" s="1332"/>
      <c r="BC30" s="1332"/>
      <c r="BD30" s="677" t="s">
        <v>254</v>
      </c>
      <c r="BE30" s="1332"/>
      <c r="BF30" s="1332"/>
      <c r="BG30" s="1332"/>
      <c r="BH30" s="1332"/>
      <c r="BM30" s="51"/>
      <c r="BN30" s="51"/>
      <c r="BO30" s="51"/>
      <c r="BP30" s="51"/>
      <c r="BQ30" s="51"/>
      <c r="BR30" s="51"/>
      <c r="BW30" s="27"/>
      <c r="BX30" s="27"/>
      <c r="BY30" s="27"/>
      <c r="BZ30" s="27"/>
      <c r="CA30" s="27"/>
      <c r="CB30" s="27"/>
    </row>
    <row r="31" spans="1:80" ht="54.75" customHeight="1" x14ac:dyDescent="0.25">
      <c r="A31" s="1400"/>
      <c r="B31" s="158"/>
      <c r="C31" s="159"/>
      <c r="D31" s="160"/>
      <c r="E31" s="161"/>
      <c r="F31" s="1370"/>
      <c r="G31" s="32"/>
      <c r="H31" s="33"/>
      <c r="I31" s="34"/>
      <c r="J31" s="35"/>
      <c r="K31" s="230"/>
      <c r="L31" s="32"/>
      <c r="M31" s="33"/>
      <c r="N31" s="34"/>
      <c r="O31" s="35"/>
      <c r="P31" s="230"/>
      <c r="Q31" s="32"/>
      <c r="R31" s="33"/>
      <c r="S31" s="34"/>
      <c r="T31" s="35"/>
      <c r="U31" s="230"/>
      <c r="V31" s="32"/>
      <c r="W31" s="33"/>
      <c r="X31" s="34"/>
      <c r="Y31" s="35"/>
      <c r="Z31" s="230"/>
      <c r="AA31" s="32"/>
      <c r="AB31" s="33"/>
      <c r="AC31" s="34"/>
      <c r="AD31" s="35"/>
      <c r="AE31" s="70"/>
      <c r="AF31" s="137"/>
      <c r="AG31" s="33"/>
      <c r="AH31" s="138"/>
      <c r="AI31" s="35"/>
      <c r="AJ31" s="70"/>
      <c r="AK31" s="137"/>
      <c r="AL31" s="33"/>
      <c r="AM31" s="138"/>
      <c r="AN31" s="35"/>
      <c r="AO31" s="70"/>
      <c r="AP31" s="137"/>
      <c r="AQ31" s="33"/>
      <c r="AR31" s="138"/>
      <c r="AS31" s="35"/>
      <c r="AT31" s="677"/>
      <c r="AU31" s="137"/>
      <c r="AV31" s="33"/>
      <c r="AW31" s="138"/>
      <c r="AX31" s="35"/>
      <c r="AY31" s="677"/>
      <c r="AZ31" s="137" t="s">
        <v>16</v>
      </c>
      <c r="BA31" s="33"/>
      <c r="BB31" s="138"/>
      <c r="BC31" s="35"/>
      <c r="BD31" s="677"/>
      <c r="BE31" s="137" t="s">
        <v>15</v>
      </c>
      <c r="BF31" s="33"/>
      <c r="BG31" s="138"/>
      <c r="BH31" s="35"/>
      <c r="BM31" s="51"/>
      <c r="BN31" s="51"/>
      <c r="BO31" s="51"/>
      <c r="BP31" s="51"/>
      <c r="BQ31" s="51"/>
      <c r="BR31" s="51"/>
      <c r="BW31" s="27"/>
      <c r="BX31" s="27"/>
      <c r="BY31" s="27"/>
      <c r="BZ31" s="27"/>
      <c r="CA31" s="27"/>
      <c r="CB31" s="27"/>
    </row>
    <row r="32" spans="1:80" ht="59.25" customHeight="1" x14ac:dyDescent="0.25">
      <c r="A32" s="31"/>
      <c r="B32" s="162"/>
      <c r="C32" s="162"/>
      <c r="D32" s="162"/>
      <c r="F32" s="163"/>
      <c r="G32" s="163"/>
      <c r="H32" s="1413">
        <v>14</v>
      </c>
      <c r="I32" s="1413"/>
      <c r="J32" s="1413"/>
      <c r="K32" s="164"/>
      <c r="L32" s="160"/>
      <c r="M32" s="160"/>
      <c r="N32" s="160"/>
      <c r="O32" s="160"/>
      <c r="P32" s="160"/>
      <c r="Q32" s="1414" t="s">
        <v>255</v>
      </c>
      <c r="R32" s="1414"/>
      <c r="S32" s="1414"/>
      <c r="T32" s="1414"/>
      <c r="U32" s="1414"/>
      <c r="V32" s="1414"/>
      <c r="W32" s="165"/>
      <c r="X32" s="1409" t="s">
        <v>256</v>
      </c>
      <c r="Y32" s="1409"/>
      <c r="Z32" s="1409"/>
      <c r="AA32" s="1409"/>
      <c r="AB32" s="1409"/>
      <c r="AC32" s="1415">
        <f>B7+G7+L7+Q7+V7+AC7+AH7+AM7+AR7+Q13+V13+AA13+AF13+AK13</f>
        <v>8.9398000001</v>
      </c>
      <c r="AD32" s="1415"/>
      <c r="AE32" s="1415"/>
      <c r="AF32" s="1415"/>
      <c r="AG32" s="1415"/>
      <c r="AH32" s="1415"/>
      <c r="AI32" s="166"/>
      <c r="AJ32" s="1416" t="s">
        <v>119</v>
      </c>
      <c r="AK32" s="1416"/>
      <c r="AL32" s="1416"/>
      <c r="AM32" s="1416"/>
      <c r="AN32" s="1416"/>
      <c r="AO32" s="1417">
        <f>D7+I7+N7+S7+X7+AE7+AJ7+AO7+AT7+S13+X13+AC13+AH13+AM13</f>
        <v>3</v>
      </c>
      <c r="AP32" s="1417"/>
      <c r="AQ32" s="1417"/>
      <c r="AR32" s="1417"/>
      <c r="AS32" s="1417"/>
      <c r="AT32" s="1402" t="s">
        <v>120</v>
      </c>
      <c r="AU32" s="1402"/>
      <c r="AV32" s="1402"/>
      <c r="AW32" s="1402"/>
      <c r="AX32" s="127"/>
      <c r="AY32" s="72"/>
      <c r="AZ32" s="72"/>
      <c r="BA32" s="72"/>
      <c r="BB32" s="72"/>
      <c r="BC32" s="72"/>
      <c r="BD32" s="72"/>
      <c r="BE32" t="s">
        <v>16</v>
      </c>
      <c r="BF32" s="167"/>
      <c r="BG32" s="167"/>
      <c r="BH32" s="167"/>
      <c r="BM32" s="51"/>
      <c r="BN32" s="51"/>
      <c r="BO32" s="51"/>
      <c r="BP32" s="51"/>
      <c r="BQ32" s="51"/>
      <c r="BR32" s="51"/>
      <c r="BW32" s="27"/>
      <c r="BX32" s="27"/>
      <c r="BY32" s="27"/>
      <c r="BZ32" s="27"/>
      <c r="CA32" s="27"/>
      <c r="CB32" s="27"/>
    </row>
    <row r="33" spans="1:80" ht="19.5" customHeight="1" x14ac:dyDescent="0.25">
      <c r="B33" s="162"/>
      <c r="C33" s="162"/>
      <c r="D33" s="162"/>
      <c r="E33" s="163"/>
      <c r="F33" s="163"/>
      <c r="G33" s="163"/>
      <c r="H33" s="1413"/>
      <c r="I33" s="1413"/>
      <c r="J33" s="1413"/>
      <c r="K33" s="168"/>
      <c r="L33" s="160"/>
      <c r="M33" s="160"/>
      <c r="N33" s="160"/>
      <c r="O33" s="160"/>
      <c r="P33" s="160"/>
      <c r="Q33" s="1414"/>
      <c r="R33" s="1414"/>
      <c r="S33" s="1414"/>
      <c r="T33" s="1414"/>
      <c r="U33" s="1414"/>
      <c r="V33" s="1414"/>
      <c r="W33" s="169"/>
      <c r="X33" s="1409"/>
      <c r="Y33" s="1409"/>
      <c r="Z33" s="1409"/>
      <c r="AA33" s="1409"/>
      <c r="AB33" s="1409"/>
      <c r="AC33" s="1415"/>
      <c r="AD33" s="1415"/>
      <c r="AE33" s="1415"/>
      <c r="AF33" s="1415"/>
      <c r="AG33" s="1415"/>
      <c r="AH33" s="1415"/>
      <c r="AI33" s="166"/>
      <c r="AJ33" s="1416"/>
      <c r="AK33" s="1416"/>
      <c r="AL33" s="1416"/>
      <c r="AM33" s="1416"/>
      <c r="AN33" s="1416"/>
      <c r="AO33" s="1417"/>
      <c r="AP33" s="1417"/>
      <c r="AQ33" s="1417"/>
      <c r="AR33" s="1417"/>
      <c r="AS33" s="1417"/>
      <c r="AT33" s="1402"/>
      <c r="AU33" s="1402"/>
      <c r="AV33" s="1402"/>
      <c r="AW33" s="1402"/>
      <c r="BI33" s="50"/>
      <c r="BJ33" s="50"/>
      <c r="BM33" s="51"/>
      <c r="BN33" s="51"/>
      <c r="BO33" s="51"/>
      <c r="BP33" s="51"/>
      <c r="BQ33" s="51"/>
      <c r="BR33" s="51"/>
      <c r="BS33" s="27"/>
      <c r="BT33" s="27"/>
      <c r="BU33" s="27"/>
      <c r="BW33" s="27"/>
      <c r="BX33" s="27"/>
      <c r="BY33" s="27"/>
      <c r="BZ33" s="27"/>
      <c r="CA33" s="27"/>
      <c r="CB33" s="27"/>
    </row>
    <row r="34" spans="1:80" ht="2.25" hidden="1" customHeight="1" x14ac:dyDescent="0.25">
      <c r="B34" s="162"/>
      <c r="C34" s="162"/>
      <c r="D34" s="162"/>
      <c r="E34" s="163"/>
      <c r="F34" s="163"/>
      <c r="G34" s="163"/>
      <c r="H34" s="168"/>
      <c r="I34" s="168"/>
      <c r="J34" s="168"/>
      <c r="K34" s="168"/>
      <c r="L34" s="160"/>
      <c r="M34" s="160"/>
      <c r="N34" s="160"/>
      <c r="O34" s="160"/>
      <c r="P34" s="160"/>
      <c r="Q34" s="1414"/>
      <c r="R34" s="1414"/>
      <c r="S34" s="1414"/>
      <c r="T34" s="1414"/>
      <c r="U34" s="1414"/>
      <c r="V34" s="1414"/>
      <c r="W34" s="169"/>
      <c r="X34" s="1409"/>
      <c r="Y34" s="1409"/>
      <c r="Z34" s="1409"/>
      <c r="AA34" s="1409"/>
      <c r="AB34" s="1409"/>
      <c r="AC34" s="1415"/>
      <c r="AD34" s="1415"/>
      <c r="AE34" s="1415"/>
      <c r="AF34" s="1415"/>
      <c r="AG34" s="1415"/>
      <c r="AH34" s="1415"/>
      <c r="AI34" s="166"/>
      <c r="AJ34" s="1416"/>
      <c r="AK34" s="1416"/>
      <c r="AL34" s="1416"/>
      <c r="AM34" s="1416"/>
      <c r="AN34" s="1416"/>
      <c r="AO34" s="1403">
        <f>((D7+I7+N7+S7+X7+AE7+AJ7+AO7+AT7)*1.1176)+((S13+X13+AC13+AH13+AM13)*1.5)</f>
        <v>3.7351999999999999</v>
      </c>
      <c r="AP34" s="1403"/>
      <c r="AQ34" s="1403"/>
      <c r="AR34" s="1403"/>
      <c r="AS34" s="1403"/>
      <c r="AT34" s="1403"/>
      <c r="AU34" s="1403"/>
      <c r="AV34" s="1404" t="s">
        <v>121</v>
      </c>
      <c r="AW34" s="1404"/>
      <c r="BI34" s="50"/>
      <c r="BJ34" s="50"/>
      <c r="BM34" s="27"/>
      <c r="BN34" s="27"/>
      <c r="BO34" s="27"/>
      <c r="BP34" s="27"/>
      <c r="BQ34" s="27"/>
      <c r="BR34" s="27"/>
      <c r="BS34" s="27"/>
      <c r="BT34" s="27"/>
      <c r="BU34" s="27"/>
      <c r="BW34" s="27"/>
      <c r="BX34" s="27"/>
      <c r="BY34" s="27"/>
      <c r="BZ34" s="27"/>
      <c r="CA34" s="27"/>
      <c r="CB34" s="27"/>
    </row>
    <row r="35" spans="1:80" ht="54.75" customHeight="1" x14ac:dyDescent="0.25">
      <c r="B35" s="162"/>
      <c r="C35" s="162"/>
      <c r="D35" s="162"/>
      <c r="E35" s="163"/>
      <c r="F35" s="163"/>
      <c r="G35" s="163"/>
      <c r="H35" s="1405">
        <v>14</v>
      </c>
      <c r="I35" s="1405"/>
      <c r="J35" s="1405"/>
      <c r="K35" s="168"/>
      <c r="L35" s="160"/>
      <c r="M35" s="160"/>
      <c r="N35" s="160"/>
      <c r="O35" s="160"/>
      <c r="P35" s="160"/>
      <c r="Q35" s="2076" t="s">
        <v>13</v>
      </c>
      <c r="R35" s="1402"/>
      <c r="S35" s="1402"/>
      <c r="T35" s="1402"/>
      <c r="U35" s="1402"/>
      <c r="V35" s="1402"/>
      <c r="W35" s="169"/>
      <c r="X35" s="1409"/>
      <c r="Y35" s="1409"/>
      <c r="Z35" s="1409"/>
      <c r="AA35" s="1409"/>
      <c r="AB35" s="1409"/>
      <c r="AC35" s="1415"/>
      <c r="AD35" s="1415"/>
      <c r="AE35" s="1415"/>
      <c r="AF35" s="1415"/>
      <c r="AG35" s="1415"/>
      <c r="AH35" s="1415"/>
      <c r="AI35" s="166"/>
      <c r="AJ35" s="1416"/>
      <c r="AK35" s="1416"/>
      <c r="AL35" s="1416"/>
      <c r="AM35" s="1416"/>
      <c r="AN35" s="1416"/>
      <c r="AO35" s="1403"/>
      <c r="AP35" s="1403"/>
      <c r="AQ35" s="1403"/>
      <c r="AR35" s="1403"/>
      <c r="AS35" s="1403"/>
      <c r="AT35" s="1403"/>
      <c r="AU35" s="1403"/>
      <c r="AV35" s="1404"/>
      <c r="AW35" s="1404"/>
      <c r="BI35" s="50"/>
      <c r="BJ35" s="50"/>
      <c r="BM35" s="27"/>
      <c r="BN35" s="27"/>
      <c r="BO35" s="27"/>
      <c r="BP35" s="27"/>
      <c r="BQ35" s="27"/>
      <c r="BR35" s="27"/>
      <c r="BS35" s="27"/>
      <c r="BT35" s="27"/>
      <c r="BU35" s="27"/>
      <c r="BW35" s="27"/>
      <c r="BX35" s="27"/>
      <c r="BY35" s="27"/>
      <c r="BZ35" s="27"/>
      <c r="CA35" s="27"/>
      <c r="CB35" s="27"/>
    </row>
    <row r="36" spans="1:80" ht="93" customHeight="1" x14ac:dyDescent="0.25">
      <c r="B36" s="162"/>
      <c r="C36" s="162"/>
      <c r="D36" s="162"/>
      <c r="E36" s="162"/>
      <c r="F36" s="162"/>
      <c r="G36" s="164"/>
      <c r="H36" s="1408"/>
      <c r="I36" s="1408"/>
      <c r="J36" s="1408"/>
      <c r="K36" s="168"/>
      <c r="L36" s="160"/>
      <c r="M36" s="160"/>
      <c r="N36" s="160"/>
      <c r="O36" s="160"/>
      <c r="P36" s="160"/>
      <c r="Q36" s="1402"/>
      <c r="R36" s="1402"/>
      <c r="S36" s="1402"/>
      <c r="T36" s="1402"/>
      <c r="U36" s="1402"/>
      <c r="V36" s="1402"/>
      <c r="W36" s="169"/>
      <c r="X36" s="1409"/>
      <c r="Y36" s="1409"/>
      <c r="Z36" s="1409"/>
      <c r="AA36" s="1409"/>
      <c r="AB36" s="1409"/>
      <c r="AC36" s="1415"/>
      <c r="AD36" s="1415"/>
      <c r="AE36" s="1415"/>
      <c r="AF36" s="1415"/>
      <c r="AG36" s="1415"/>
      <c r="AH36" s="1415"/>
      <c r="AI36" s="166"/>
      <c r="AJ36" s="1416"/>
      <c r="AK36" s="1416"/>
      <c r="AL36" s="1416"/>
      <c r="AM36" s="1416"/>
      <c r="AN36" s="1416"/>
      <c r="AO36" s="1403"/>
      <c r="AP36" s="1403"/>
      <c r="AQ36" s="1403"/>
      <c r="AR36" s="1403"/>
      <c r="AS36" s="1403"/>
      <c r="AT36" s="1403"/>
      <c r="AU36" s="1403"/>
      <c r="AV36" s="1404"/>
      <c r="AW36" s="1404"/>
      <c r="BI36" s="50"/>
      <c r="BJ36" s="50"/>
      <c r="BM36" s="27"/>
      <c r="BN36" s="27"/>
      <c r="BO36" s="27"/>
      <c r="BP36" s="27"/>
      <c r="BQ36" s="27"/>
      <c r="BR36" s="27"/>
      <c r="BS36" s="27"/>
      <c r="BT36" s="27"/>
      <c r="BU36" s="27"/>
      <c r="BW36" s="27"/>
      <c r="BX36" s="27"/>
      <c r="BY36" s="27"/>
      <c r="BZ36" s="27"/>
      <c r="CA36" s="27"/>
      <c r="CB36" s="27"/>
    </row>
    <row r="37" spans="1:80" ht="15" customHeight="1" x14ac:dyDescent="0.25">
      <c r="B37" s="162"/>
      <c r="C37" s="162"/>
      <c r="D37" s="162"/>
      <c r="E37" s="162"/>
      <c r="F37" s="162"/>
      <c r="G37" s="164"/>
      <c r="H37" s="1408"/>
      <c r="I37" s="1408"/>
      <c r="J37" s="1408"/>
      <c r="K37" s="164"/>
      <c r="L37" s="165"/>
      <c r="M37" s="165"/>
      <c r="N37" s="165"/>
      <c r="O37" s="165"/>
      <c r="P37" s="165"/>
      <c r="Q37" s="1402"/>
      <c r="R37" s="1402"/>
      <c r="S37" s="1402"/>
      <c r="T37" s="1402"/>
      <c r="U37" s="1402"/>
      <c r="V37" s="1402"/>
      <c r="W37" s="165"/>
      <c r="X37" s="1409" t="s">
        <v>257</v>
      </c>
      <c r="Y37" s="1409"/>
      <c r="Z37" s="1409"/>
      <c r="AA37" s="1409"/>
      <c r="AB37" s="1409"/>
      <c r="AC37" s="1415">
        <f>AC32-AD45</f>
        <v>-1.9999989999952561E-4</v>
      </c>
      <c r="AD37" s="1415"/>
      <c r="AE37" s="1415"/>
      <c r="AF37" s="1415"/>
      <c r="AG37" s="1415"/>
      <c r="AH37" s="1415"/>
      <c r="AI37" s="166"/>
      <c r="AJ37" s="1416"/>
      <c r="AK37" s="1416"/>
      <c r="AL37" s="1416"/>
      <c r="AM37" s="1416"/>
      <c r="AN37" s="1416"/>
      <c r="AO37" s="1403"/>
      <c r="AP37" s="1403"/>
      <c r="AQ37" s="1403"/>
      <c r="AR37" s="1403"/>
      <c r="AS37" s="1403"/>
      <c r="AT37" s="1403"/>
      <c r="AU37" s="1403"/>
      <c r="AV37" s="1404"/>
      <c r="AW37" s="1404"/>
      <c r="BI37" s="53"/>
      <c r="BJ37" s="53"/>
    </row>
    <row r="38" spans="1:80" ht="28.5" customHeight="1" x14ac:dyDescent="0.25">
      <c r="B38" s="162"/>
      <c r="C38" s="162"/>
      <c r="D38" s="162"/>
      <c r="E38" s="162"/>
      <c r="F38" s="162"/>
      <c r="G38" s="164"/>
      <c r="H38" s="1411"/>
      <c r="I38" s="1411"/>
      <c r="J38" s="1411"/>
      <c r="K38" s="168"/>
      <c r="L38" s="165"/>
      <c r="M38" s="165"/>
      <c r="N38" s="165"/>
      <c r="O38" s="165"/>
      <c r="P38" s="165"/>
      <c r="Q38" s="1402"/>
      <c r="R38" s="1402"/>
      <c r="S38" s="1402"/>
      <c r="T38" s="1402"/>
      <c r="U38" s="1402"/>
      <c r="V38" s="1402"/>
      <c r="W38" s="165"/>
      <c r="X38" s="1409"/>
      <c r="Y38" s="1409"/>
      <c r="Z38" s="1409"/>
      <c r="AA38" s="1409"/>
      <c r="AB38" s="1409"/>
      <c r="AC38" s="1415"/>
      <c r="AD38" s="1415"/>
      <c r="AE38" s="1415"/>
      <c r="AF38" s="1415"/>
      <c r="AG38" s="1415"/>
      <c r="AH38" s="1415"/>
      <c r="AI38" s="166"/>
      <c r="AJ38" s="1416"/>
      <c r="AK38" s="1416"/>
      <c r="AL38" s="1416"/>
      <c r="AM38" s="1416"/>
      <c r="AN38" s="1416"/>
      <c r="AO38" s="1403"/>
      <c r="AP38" s="1403"/>
      <c r="AQ38" s="1403"/>
      <c r="AR38" s="1403"/>
      <c r="AS38" s="1403"/>
      <c r="AT38" s="1403"/>
      <c r="AU38" s="1403"/>
      <c r="AV38" s="1404"/>
      <c r="AW38" s="1404"/>
      <c r="BI38" s="53"/>
      <c r="BJ38" s="53"/>
    </row>
    <row r="39" spans="1:80" ht="15" customHeight="1" x14ac:dyDescent="0.25">
      <c r="B39" s="162"/>
      <c r="C39" s="162"/>
      <c r="D39" s="162"/>
      <c r="E39" s="162"/>
      <c r="F39" s="162"/>
      <c r="G39" s="164"/>
      <c r="H39" s="1411"/>
      <c r="I39" s="1411"/>
      <c r="J39" s="1411"/>
      <c r="K39" s="168"/>
      <c r="L39" s="165"/>
      <c r="M39" s="165"/>
      <c r="N39" s="165"/>
      <c r="O39" s="165"/>
      <c r="P39" s="165"/>
      <c r="Q39" s="1402"/>
      <c r="R39" s="1402"/>
      <c r="S39" s="1402"/>
      <c r="T39" s="1402"/>
      <c r="U39" s="1402"/>
      <c r="V39" s="1402"/>
      <c r="W39" s="165"/>
      <c r="X39" s="1409"/>
      <c r="Y39" s="1409"/>
      <c r="Z39" s="1409"/>
      <c r="AA39" s="1409"/>
      <c r="AB39" s="1409"/>
      <c r="AC39" s="1415"/>
      <c r="AD39" s="1415"/>
      <c r="AE39" s="1415"/>
      <c r="AF39" s="1415"/>
      <c r="AG39" s="1415"/>
      <c r="AH39" s="1415"/>
      <c r="AI39" s="166"/>
      <c r="AJ39" s="1416"/>
      <c r="AK39" s="1416"/>
      <c r="AL39" s="1416"/>
      <c r="AM39" s="1416"/>
      <c r="AN39" s="1416"/>
      <c r="AO39" s="1403"/>
      <c r="AP39" s="1403"/>
      <c r="AQ39" s="1403"/>
      <c r="AR39" s="1403"/>
      <c r="AS39" s="1403"/>
      <c r="AT39" s="1403"/>
      <c r="AU39" s="1403"/>
      <c r="AV39" s="1404"/>
      <c r="AW39" s="1404"/>
      <c r="BI39" s="53"/>
      <c r="BJ39" s="53"/>
    </row>
    <row r="40" spans="1:80" ht="42.75" customHeight="1" x14ac:dyDescent="0.35">
      <c r="A40" s="54"/>
      <c r="B40" s="162"/>
      <c r="C40" s="162"/>
      <c r="D40" s="162"/>
      <c r="E40" s="162"/>
      <c r="F40" s="162"/>
      <c r="G40" s="164"/>
      <c r="H40" s="1411"/>
      <c r="I40" s="1411"/>
      <c r="J40" s="1411"/>
      <c r="K40" s="168"/>
      <c r="L40" s="165"/>
      <c r="M40" s="165"/>
      <c r="N40" s="165"/>
      <c r="O40" s="165"/>
      <c r="P40" s="165"/>
      <c r="Q40" s="1402"/>
      <c r="R40" s="1402"/>
      <c r="S40" s="1402"/>
      <c r="T40" s="1402"/>
      <c r="U40" s="1402"/>
      <c r="V40" s="1402"/>
      <c r="W40" s="165"/>
      <c r="X40" s="1409"/>
      <c r="Y40" s="1409"/>
      <c r="Z40" s="1409"/>
      <c r="AA40" s="1409"/>
      <c r="AB40" s="1409"/>
      <c r="AC40" s="1415"/>
      <c r="AD40" s="1415"/>
      <c r="AE40" s="1415"/>
      <c r="AF40" s="1415"/>
      <c r="AG40" s="1415"/>
      <c r="AH40" s="1415"/>
      <c r="AI40" s="166"/>
      <c r="AJ40" s="1416"/>
      <c r="AK40" s="1416"/>
      <c r="AL40" s="1416"/>
      <c r="AM40" s="1416"/>
      <c r="AN40" s="1416"/>
      <c r="AO40" s="1403"/>
      <c r="AP40" s="1403"/>
      <c r="AQ40" s="1403"/>
      <c r="AR40" s="1403"/>
      <c r="AS40" s="1403"/>
      <c r="AT40" s="1403"/>
      <c r="AU40" s="1403"/>
      <c r="AV40" s="1404"/>
      <c r="AW40" s="1404"/>
      <c r="BI40" s="53"/>
      <c r="BJ40" s="53"/>
    </row>
    <row r="41" spans="1:80" ht="38.25" customHeight="1" x14ac:dyDescent="0.35">
      <c r="A41" s="54"/>
      <c r="B41" s="162"/>
      <c r="C41" s="162"/>
      <c r="D41" s="162"/>
      <c r="E41" s="162"/>
      <c r="F41" s="162"/>
      <c r="G41" s="164"/>
      <c r="H41" s="1412"/>
      <c r="I41" s="1412"/>
      <c r="J41" s="1412"/>
      <c r="K41" s="168"/>
      <c r="L41" s="175"/>
      <c r="M41" s="175"/>
      <c r="N41" s="175"/>
      <c r="O41" s="175"/>
      <c r="P41" s="175"/>
      <c r="Q41" s="1402"/>
      <c r="R41" s="1402"/>
      <c r="S41" s="1402"/>
      <c r="T41" s="1402"/>
      <c r="U41" s="1402"/>
      <c r="V41" s="1402"/>
      <c r="W41" s="176"/>
      <c r="X41" s="1409"/>
      <c r="Y41" s="1409"/>
      <c r="Z41" s="1409"/>
      <c r="AA41" s="1409"/>
      <c r="AB41" s="1409"/>
      <c r="AC41" s="1415"/>
      <c r="AD41" s="1415"/>
      <c r="AE41" s="1415"/>
      <c r="AF41" s="1415"/>
      <c r="AG41" s="1415"/>
      <c r="AH41" s="1415"/>
      <c r="AI41" s="166"/>
      <c r="AJ41" s="1416"/>
      <c r="AK41" s="1416"/>
      <c r="AL41" s="1416"/>
      <c r="AM41" s="1416"/>
      <c r="AN41" s="1416"/>
      <c r="AO41" s="1418"/>
      <c r="AP41" s="1418"/>
      <c r="AQ41" s="1418"/>
      <c r="AR41" s="1418"/>
      <c r="AS41" s="1418"/>
      <c r="AT41" s="1418"/>
      <c r="AU41" s="1418"/>
      <c r="AV41" s="1418"/>
      <c r="AW41" s="1418"/>
      <c r="AX41" s="54"/>
      <c r="AY41" s="54"/>
      <c r="BI41" s="170"/>
      <c r="BJ41" s="170"/>
    </row>
    <row r="42" spans="1:80" ht="60" customHeight="1" x14ac:dyDescent="0.35">
      <c r="H42" s="1412"/>
      <c r="I42" s="1412"/>
      <c r="J42" s="1412"/>
      <c r="L42" s="175"/>
      <c r="M42" s="175"/>
      <c r="N42" s="175"/>
      <c r="O42" s="175"/>
      <c r="P42" s="175"/>
      <c r="Q42" s="1402"/>
      <c r="R42" s="1402"/>
      <c r="S42" s="1402"/>
      <c r="T42" s="1402"/>
      <c r="U42" s="1402"/>
      <c r="V42" s="1402"/>
      <c r="W42" s="176"/>
      <c r="X42" s="1409"/>
      <c r="Y42" s="1409"/>
      <c r="Z42" s="1409"/>
      <c r="AA42" s="1409"/>
      <c r="AB42" s="1409"/>
      <c r="AC42" s="1415"/>
      <c r="AD42" s="1415"/>
      <c r="AE42" s="1415"/>
      <c r="AF42" s="1415"/>
      <c r="AG42" s="1415"/>
      <c r="AH42" s="1415"/>
      <c r="AI42" s="166"/>
      <c r="AJ42" s="1416"/>
      <c r="AK42" s="1416"/>
      <c r="AL42" s="1416"/>
      <c r="AM42" s="1416"/>
      <c r="AN42" s="1416"/>
      <c r="AO42" s="1418"/>
      <c r="AP42" s="1418"/>
      <c r="AQ42" s="1418"/>
      <c r="AR42" s="1418"/>
      <c r="AS42" s="1418"/>
      <c r="AT42" s="1418"/>
      <c r="AU42" s="1418"/>
      <c r="AV42" s="1418"/>
      <c r="AW42" s="1418"/>
      <c r="AX42" s="54"/>
      <c r="AY42" s="54"/>
      <c r="BI42" s="170"/>
      <c r="BJ42" s="170"/>
    </row>
    <row r="43" spans="1:80" ht="15" customHeight="1" x14ac:dyDescent="0.35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1"/>
      <c r="AI43" s="171"/>
      <c r="AJ43" s="171"/>
      <c r="AK43" s="171"/>
      <c r="AL43" s="171"/>
      <c r="AM43" s="171"/>
      <c r="AN43" s="171"/>
      <c r="AO43" s="172"/>
      <c r="AP43" s="172"/>
      <c r="AQ43" s="172"/>
      <c r="AR43" s="172"/>
      <c r="AS43" s="172"/>
      <c r="AT43" s="172"/>
      <c r="AU43" s="172"/>
      <c r="AV43" s="172"/>
      <c r="AW43" s="172"/>
    </row>
    <row r="44" spans="1:80" ht="15.75" customHeight="1" thickBot="1" x14ac:dyDescent="0.4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3"/>
      <c r="Y44" s="171"/>
      <c r="Z44" s="171"/>
      <c r="AA44" s="171"/>
      <c r="AB44" s="171"/>
      <c r="AC44" s="171"/>
      <c r="AD44" s="171"/>
      <c r="AE44" s="171"/>
      <c r="AF44" s="171"/>
      <c r="AG44" s="171"/>
      <c r="AH44" s="171"/>
      <c r="AI44" s="171"/>
      <c r="AJ44" s="171"/>
      <c r="AK44" s="171"/>
      <c r="AL44" s="171"/>
      <c r="AM44" s="171"/>
      <c r="AN44" s="171"/>
      <c r="AO44" s="172"/>
      <c r="AP44" s="172"/>
      <c r="AQ44" s="172"/>
      <c r="AR44" s="172"/>
      <c r="AS44" s="172"/>
      <c r="AT44" s="172"/>
      <c r="AU44" s="172"/>
      <c r="AV44" s="172"/>
      <c r="AW44" s="172"/>
    </row>
    <row r="45" spans="1:80" ht="15.75" thickTop="1" x14ac:dyDescent="0.25">
      <c r="J45" t="s">
        <v>16</v>
      </c>
      <c r="AD45" s="775">
        <v>8.94</v>
      </c>
      <c r="AE45" s="776"/>
      <c r="AF45" s="776"/>
      <c r="AG45" s="776"/>
      <c r="AH45" s="777"/>
      <c r="AL45" s="727" t="s">
        <v>122</v>
      </c>
      <c r="AM45" s="727"/>
      <c r="AN45" s="727"/>
      <c r="AO45" s="727" t="s">
        <v>123</v>
      </c>
      <c r="AP45" s="727"/>
      <c r="AQ45" s="727"/>
      <c r="AR45" s="727" t="s">
        <v>124</v>
      </c>
      <c r="AS45" s="727"/>
      <c r="AT45" s="727" t="s">
        <v>125</v>
      </c>
      <c r="AU45" s="727"/>
      <c r="AY45" s="739" t="s">
        <v>126</v>
      </c>
      <c r="AZ45" s="740"/>
      <c r="BA45" s="740"/>
      <c r="BB45" s="740"/>
      <c r="BC45" s="740"/>
      <c r="BD45" s="740"/>
      <c r="BE45" s="740"/>
      <c r="BF45" s="740"/>
      <c r="BG45" s="740"/>
      <c r="BH45" s="741"/>
    </row>
    <row r="46" spans="1:80" x14ac:dyDescent="0.25">
      <c r="AD46" s="778"/>
      <c r="AE46" s="779"/>
      <c r="AF46" s="779"/>
      <c r="AG46" s="779"/>
      <c r="AH46" s="780"/>
      <c r="AL46" s="727"/>
      <c r="AM46" s="727"/>
      <c r="AN46" s="727"/>
      <c r="AO46" s="727"/>
      <c r="AP46" s="727"/>
      <c r="AQ46" s="727"/>
      <c r="AR46" s="727"/>
      <c r="AS46" s="727"/>
      <c r="AT46" s="727"/>
      <c r="AU46" s="727"/>
      <c r="AY46" s="750"/>
      <c r="AZ46" s="751"/>
      <c r="BA46" s="751"/>
      <c r="BB46" s="751"/>
      <c r="BC46" s="751"/>
      <c r="BD46" s="751"/>
      <c r="BE46" s="751"/>
      <c r="BF46" s="751"/>
      <c r="BG46" s="751"/>
      <c r="BH46" s="752"/>
    </row>
    <row r="47" spans="1:80" x14ac:dyDescent="0.25">
      <c r="AA47" s="56"/>
      <c r="AD47" s="778"/>
      <c r="AE47" s="779"/>
      <c r="AF47" s="779"/>
      <c r="AG47" s="779"/>
      <c r="AH47" s="780"/>
      <c r="AL47" s="727"/>
      <c r="AM47" s="727"/>
      <c r="AN47" s="727"/>
      <c r="AO47" s="727"/>
      <c r="AP47" s="727"/>
      <c r="AQ47" s="727"/>
      <c r="AR47" s="727"/>
      <c r="AS47" s="727"/>
      <c r="AT47" s="727"/>
      <c r="AU47" s="727"/>
      <c r="AY47" s="742"/>
      <c r="AZ47" s="743"/>
      <c r="BA47" s="743"/>
      <c r="BB47" s="743"/>
      <c r="BC47" s="743"/>
      <c r="BD47" s="743"/>
      <c r="BE47" s="743"/>
      <c r="BF47" s="743"/>
      <c r="BG47" s="743"/>
      <c r="BH47" s="744"/>
    </row>
    <row r="48" spans="1:80" x14ac:dyDescent="0.25">
      <c r="K48" t="s">
        <v>258</v>
      </c>
      <c r="AD48" s="778"/>
      <c r="AE48" s="779"/>
      <c r="AF48" s="779"/>
      <c r="AG48" s="779"/>
      <c r="AH48" s="780"/>
      <c r="AL48" s="727"/>
      <c r="AM48" s="727"/>
      <c r="AN48" s="727"/>
      <c r="AO48" s="727">
        <f>AE55</f>
        <v>280</v>
      </c>
      <c r="AP48" s="727"/>
      <c r="AQ48" s="727"/>
      <c r="AR48" s="1689">
        <f>AC32</f>
        <v>8.9398000001</v>
      </c>
      <c r="AS48" s="1689"/>
      <c r="AT48" s="1689">
        <f>AC32+AO34</f>
        <v>12.675000000099999</v>
      </c>
      <c r="AU48" s="1689"/>
      <c r="AY48" s="727" t="s">
        <v>128</v>
      </c>
      <c r="AZ48" s="727"/>
      <c r="BA48" s="727"/>
      <c r="BB48" s="727"/>
      <c r="BC48" s="727"/>
      <c r="BD48" s="727"/>
      <c r="BE48" s="727"/>
      <c r="BF48" s="727"/>
      <c r="BG48" s="727"/>
      <c r="BH48" s="727"/>
    </row>
    <row r="49" spans="7:60" x14ac:dyDescent="0.25">
      <c r="G49" t="s">
        <v>16</v>
      </c>
      <c r="AD49" s="778"/>
      <c r="AE49" s="779"/>
      <c r="AF49" s="779"/>
      <c r="AG49" s="779"/>
      <c r="AH49" s="780"/>
      <c r="AL49" s="727"/>
      <c r="AM49" s="727"/>
      <c r="AN49" s="727"/>
      <c r="AO49" s="727"/>
      <c r="AP49" s="727"/>
      <c r="AQ49" s="727"/>
      <c r="AR49" s="1689"/>
      <c r="AS49" s="1689"/>
      <c r="AT49" s="1689"/>
      <c r="AU49" s="1689"/>
      <c r="AY49" s="727"/>
      <c r="AZ49" s="727"/>
      <c r="BA49" s="727"/>
      <c r="BB49" s="727"/>
      <c r="BC49" s="727"/>
      <c r="BD49" s="727"/>
      <c r="BE49" s="727"/>
      <c r="BF49" s="727"/>
      <c r="BG49" s="727"/>
      <c r="BH49" s="727"/>
    </row>
    <row r="50" spans="7:60" ht="15" customHeight="1" x14ac:dyDescent="0.25">
      <c r="AD50" s="778"/>
      <c r="AE50" s="779"/>
      <c r="AF50" s="779"/>
      <c r="AG50" s="779"/>
      <c r="AH50" s="780"/>
      <c r="AL50" s="727"/>
      <c r="AM50" s="727"/>
      <c r="AN50" s="727"/>
      <c r="AO50" s="727"/>
      <c r="AP50" s="727"/>
      <c r="AQ50" s="727"/>
      <c r="AR50" s="1689"/>
      <c r="AS50" s="1689"/>
      <c r="AT50" s="1689"/>
      <c r="AU50" s="1689"/>
      <c r="AY50" s="728">
        <f>AR48/(((54*3.1415/44)*(AE55/3.281))+((54*3.1415/44)*(AE58/3.281))+((54*3.1415/59)*(AE61/3.281)))</f>
        <v>1.246132403072335E-2</v>
      </c>
      <c r="AZ50" s="729"/>
      <c r="BA50" s="729"/>
      <c r="BB50" s="729"/>
      <c r="BC50" s="729"/>
      <c r="BD50" s="729"/>
      <c r="BE50" s="729"/>
      <c r="BF50" s="729"/>
      <c r="BG50" s="729"/>
      <c r="BH50" s="730"/>
    </row>
    <row r="51" spans="7:60" ht="15.75" customHeight="1" thickBot="1" x14ac:dyDescent="0.3">
      <c r="AD51" s="781"/>
      <c r="AE51" s="782"/>
      <c r="AF51" s="782"/>
      <c r="AG51" s="782"/>
      <c r="AH51" s="783"/>
      <c r="AL51" s="727"/>
      <c r="AM51" s="727"/>
      <c r="AN51" s="727"/>
      <c r="AO51" s="727"/>
      <c r="AP51" s="727"/>
      <c r="AQ51" s="727"/>
      <c r="AR51" s="1689"/>
      <c r="AS51" s="1689"/>
      <c r="AT51" s="1689"/>
      <c r="AU51" s="1689"/>
      <c r="AY51" s="731"/>
      <c r="AZ51" s="732"/>
      <c r="BA51" s="732"/>
      <c r="BB51" s="732"/>
      <c r="BC51" s="732"/>
      <c r="BD51" s="732"/>
      <c r="BE51" s="732"/>
      <c r="BF51" s="732"/>
      <c r="BG51" s="732"/>
      <c r="BH51" s="733"/>
    </row>
    <row r="52" spans="7:60" ht="15.75" customHeight="1" thickTop="1" x14ac:dyDescent="0.25">
      <c r="AL52" s="727"/>
      <c r="AM52" s="727"/>
      <c r="AN52" s="727"/>
      <c r="AO52" s="727"/>
      <c r="AP52" s="727"/>
      <c r="AQ52" s="727"/>
      <c r="AR52" s="727"/>
      <c r="AS52" s="727"/>
      <c r="AT52" s="727"/>
      <c r="AU52" s="727"/>
      <c r="AY52" s="734"/>
      <c r="AZ52" s="735"/>
      <c r="BA52" s="735"/>
      <c r="BB52" s="735"/>
      <c r="BC52" s="735"/>
      <c r="BD52" s="735"/>
      <c r="BE52" s="735"/>
      <c r="BF52" s="735"/>
      <c r="BG52" s="735"/>
      <c r="BH52" s="736"/>
    </row>
    <row r="53" spans="7:60" x14ac:dyDescent="0.25">
      <c r="AL53" s="727"/>
      <c r="AM53" s="727"/>
      <c r="AN53" s="727"/>
      <c r="AO53" s="727"/>
      <c r="AP53" s="727"/>
      <c r="AQ53" s="727"/>
      <c r="AR53" s="727"/>
      <c r="AS53" s="727"/>
      <c r="AT53" s="727"/>
      <c r="AU53" s="727"/>
      <c r="AY53" s="739" t="s">
        <v>129</v>
      </c>
      <c r="AZ53" s="740"/>
      <c r="BA53" s="740"/>
      <c r="BB53" s="740"/>
      <c r="BC53" s="740"/>
      <c r="BD53" s="740"/>
      <c r="BE53" s="740"/>
      <c r="BF53" s="740"/>
      <c r="BG53" s="740"/>
      <c r="BH53" s="741"/>
    </row>
    <row r="54" spans="7:60" x14ac:dyDescent="0.25">
      <c r="AL54" s="727"/>
      <c r="AM54" s="727"/>
      <c r="AN54" s="727"/>
      <c r="AO54" s="727"/>
      <c r="AP54" s="727"/>
      <c r="AQ54" s="727"/>
      <c r="AR54" s="727"/>
      <c r="AS54" s="727"/>
      <c r="AT54" s="727"/>
      <c r="AU54" s="727"/>
      <c r="AY54" s="742"/>
      <c r="AZ54" s="743"/>
      <c r="BA54" s="743"/>
      <c r="BB54" s="743"/>
      <c r="BC54" s="743"/>
      <c r="BD54" s="743"/>
      <c r="BE54" s="743"/>
      <c r="BF54" s="743"/>
      <c r="BG54" s="743"/>
      <c r="BH54" s="744"/>
    </row>
    <row r="55" spans="7:60" x14ac:dyDescent="0.25">
      <c r="Y55" s="727">
        <v>56</v>
      </c>
      <c r="Z55" s="727"/>
      <c r="AA55" s="727"/>
      <c r="AB55" s="746">
        <v>5</v>
      </c>
      <c r="AC55" s="746"/>
      <c r="AD55" s="746"/>
      <c r="AE55" s="747">
        <f>AB55*Y55</f>
        <v>280</v>
      </c>
      <c r="AF55" s="748"/>
      <c r="AG55" s="748"/>
      <c r="AH55" s="749"/>
      <c r="AL55" s="727"/>
      <c r="AM55" s="727"/>
      <c r="AN55" s="727"/>
      <c r="AO55" s="727"/>
      <c r="AP55" s="727"/>
      <c r="AQ55" s="727"/>
      <c r="AR55" s="1689"/>
      <c r="AS55" s="1689"/>
      <c r="AT55" s="1689"/>
      <c r="AU55" s="1689"/>
      <c r="AY55" s="739" t="s">
        <v>130</v>
      </c>
      <c r="AZ55" s="740"/>
      <c r="BA55" s="740"/>
      <c r="BB55" s="740"/>
      <c r="BC55" s="740"/>
      <c r="BD55" s="740"/>
      <c r="BE55" s="740"/>
      <c r="BF55" s="740"/>
      <c r="BG55" s="740"/>
      <c r="BH55" s="741"/>
    </row>
    <row r="56" spans="7:60" x14ac:dyDescent="0.25">
      <c r="Y56" s="727"/>
      <c r="Z56" s="727"/>
      <c r="AA56" s="727"/>
      <c r="AB56" s="746"/>
      <c r="AC56" s="746"/>
      <c r="AD56" s="746"/>
      <c r="AE56" s="747"/>
      <c r="AF56" s="748"/>
      <c r="AG56" s="748"/>
      <c r="AH56" s="749"/>
      <c r="AL56" s="727"/>
      <c r="AM56" s="727"/>
      <c r="AN56" s="727"/>
      <c r="AO56" s="727"/>
      <c r="AP56" s="727"/>
      <c r="AQ56" s="727"/>
      <c r="AR56" s="1689"/>
      <c r="AS56" s="1689"/>
      <c r="AT56" s="1689"/>
      <c r="AU56" s="1689"/>
      <c r="AY56" s="750"/>
      <c r="AZ56" s="751"/>
      <c r="BA56" s="751"/>
      <c r="BB56" s="751"/>
      <c r="BC56" s="751"/>
      <c r="BD56" s="751"/>
      <c r="BE56" s="751"/>
      <c r="BF56" s="751"/>
      <c r="BG56" s="751"/>
      <c r="BH56" s="752"/>
    </row>
    <row r="57" spans="7:60" ht="15" customHeight="1" x14ac:dyDescent="0.25">
      <c r="Y57" s="727"/>
      <c r="Z57" s="727"/>
      <c r="AA57" s="727"/>
      <c r="AB57" s="746"/>
      <c r="AC57" s="746"/>
      <c r="AD57" s="746"/>
      <c r="AE57" s="747"/>
      <c r="AF57" s="748"/>
      <c r="AG57" s="748"/>
      <c r="AH57" s="749"/>
      <c r="AL57" s="727"/>
      <c r="AM57" s="727"/>
      <c r="AN57" s="727"/>
      <c r="AO57" s="727"/>
      <c r="AP57" s="727"/>
      <c r="AQ57" s="727"/>
      <c r="AR57" s="1689"/>
      <c r="AS57" s="1689"/>
      <c r="AT57" s="1689"/>
      <c r="AU57" s="1689"/>
      <c r="AY57" s="750"/>
      <c r="AZ57" s="751"/>
      <c r="BA57" s="751"/>
      <c r="BB57" s="751"/>
      <c r="BC57" s="751"/>
      <c r="BD57" s="751"/>
      <c r="BE57" s="751"/>
      <c r="BF57" s="751"/>
      <c r="BG57" s="751"/>
      <c r="BH57" s="752"/>
    </row>
    <row r="58" spans="7:60" ht="15" customHeight="1" x14ac:dyDescent="0.25">
      <c r="Y58" s="727">
        <v>50</v>
      </c>
      <c r="Z58" s="727"/>
      <c r="AA58" s="727"/>
      <c r="AB58" s="746">
        <v>4</v>
      </c>
      <c r="AC58" s="746"/>
      <c r="AD58" s="746"/>
      <c r="AE58" s="747">
        <f>AB58*Y58</f>
        <v>200</v>
      </c>
      <c r="AF58" s="748"/>
      <c r="AG58" s="748"/>
      <c r="AH58" s="749"/>
      <c r="AL58" s="727"/>
      <c r="AM58" s="727"/>
      <c r="AN58" s="727"/>
      <c r="AO58" s="727"/>
      <c r="AP58" s="727"/>
      <c r="AQ58" s="727"/>
      <c r="AR58" s="1689"/>
      <c r="AS58" s="1689"/>
      <c r="AT58" s="1689"/>
      <c r="AU58" s="1689"/>
      <c r="AY58" s="742"/>
      <c r="AZ58" s="743"/>
      <c r="BA58" s="743"/>
      <c r="BB58" s="743"/>
      <c r="BC58" s="743"/>
      <c r="BD58" s="743"/>
      <c r="BE58" s="743"/>
      <c r="BF58" s="743"/>
      <c r="BG58" s="743"/>
      <c r="BH58" s="744"/>
    </row>
    <row r="59" spans="7:60" ht="15" customHeight="1" x14ac:dyDescent="0.25">
      <c r="Y59" s="727"/>
      <c r="Z59" s="727"/>
      <c r="AA59" s="727"/>
      <c r="AB59" s="746"/>
      <c r="AC59" s="746"/>
      <c r="AD59" s="746"/>
      <c r="AE59" s="747"/>
      <c r="AF59" s="748"/>
      <c r="AG59" s="748"/>
      <c r="AH59" s="749"/>
      <c r="AL59" s="727"/>
      <c r="AM59" s="727"/>
      <c r="AN59" s="727"/>
      <c r="AO59" s="727"/>
      <c r="AP59" s="727"/>
      <c r="AQ59" s="727"/>
      <c r="AR59" s="727"/>
      <c r="AS59" s="727"/>
      <c r="AT59" s="727"/>
      <c r="AU59" s="727"/>
      <c r="AY59" s="728">
        <f>AT48/(((54*3.1415/44)*(AE55/3.281))+((54*3.1415/44)*(AE58/3.281))+((54*3.1415/59)*(AE61/3.281)))</f>
        <v>1.7667876472504732E-2</v>
      </c>
      <c r="AZ59" s="729"/>
      <c r="BA59" s="729"/>
      <c r="BB59" s="729"/>
      <c r="BC59" s="729"/>
      <c r="BD59" s="729"/>
      <c r="BE59" s="729"/>
      <c r="BF59" s="729"/>
      <c r="BG59" s="729"/>
      <c r="BH59" s="730"/>
    </row>
    <row r="60" spans="7:60" ht="15" customHeight="1" x14ac:dyDescent="0.25">
      <c r="Y60" s="727"/>
      <c r="Z60" s="727"/>
      <c r="AA60" s="727"/>
      <c r="AB60" s="746"/>
      <c r="AC60" s="746"/>
      <c r="AD60" s="746"/>
      <c r="AE60" s="747"/>
      <c r="AF60" s="748"/>
      <c r="AG60" s="748"/>
      <c r="AH60" s="749"/>
      <c r="AL60" s="727"/>
      <c r="AM60" s="727"/>
      <c r="AN60" s="727"/>
      <c r="AO60" s="727"/>
      <c r="AP60" s="727"/>
      <c r="AQ60" s="727"/>
      <c r="AR60" s="727"/>
      <c r="AS60" s="727"/>
      <c r="AT60" s="727"/>
      <c r="AU60" s="727"/>
      <c r="AY60" s="731"/>
      <c r="AZ60" s="732"/>
      <c r="BA60" s="732"/>
      <c r="BB60" s="732"/>
      <c r="BC60" s="732"/>
      <c r="BD60" s="732"/>
      <c r="BE60" s="732"/>
      <c r="BF60" s="732"/>
      <c r="BG60" s="732"/>
      <c r="BH60" s="733"/>
    </row>
    <row r="61" spans="7:60" ht="15" customHeight="1" x14ac:dyDescent="0.25">
      <c r="Y61" s="727">
        <v>35</v>
      </c>
      <c r="Z61" s="727"/>
      <c r="AA61" s="727"/>
      <c r="AB61" s="746">
        <v>5</v>
      </c>
      <c r="AC61" s="746"/>
      <c r="AD61" s="746"/>
      <c r="AE61" s="747">
        <f>AB61*Y61</f>
        <v>175</v>
      </c>
      <c r="AF61" s="748"/>
      <c r="AG61" s="748"/>
      <c r="AH61" s="749"/>
      <c r="AL61" s="727"/>
      <c r="AM61" s="727"/>
      <c r="AN61" s="727"/>
      <c r="AO61" s="727"/>
      <c r="AP61" s="727"/>
      <c r="AQ61" s="727"/>
      <c r="AR61" s="727"/>
      <c r="AS61" s="727"/>
      <c r="AT61" s="727"/>
      <c r="AU61" s="727"/>
      <c r="AY61" s="731"/>
      <c r="AZ61" s="732"/>
      <c r="BA61" s="732"/>
      <c r="BB61" s="732"/>
      <c r="BC61" s="732"/>
      <c r="BD61" s="732"/>
      <c r="BE61" s="732"/>
      <c r="BF61" s="732"/>
      <c r="BG61" s="732"/>
      <c r="BH61" s="733"/>
    </row>
    <row r="62" spans="7:60" ht="15" customHeight="1" x14ac:dyDescent="0.25">
      <c r="Y62" s="727"/>
      <c r="Z62" s="727"/>
      <c r="AA62" s="727"/>
      <c r="AB62" s="746"/>
      <c r="AC62" s="746"/>
      <c r="AD62" s="746"/>
      <c r="AE62" s="747"/>
      <c r="AF62" s="748"/>
      <c r="AG62" s="748"/>
      <c r="AH62" s="749"/>
      <c r="AL62" s="3157">
        <f>((54*3.1415/44)*(AE55))+((54*3.1415/44)*(AE58))+((54*3.1415/59)*(AE61))</f>
        <v>2353.8015485362098</v>
      </c>
      <c r="AM62" s="3157"/>
      <c r="AN62" s="3157"/>
      <c r="AO62" s="727"/>
      <c r="AP62" s="727"/>
      <c r="AQ62" s="727"/>
      <c r="AR62" s="1689"/>
      <c r="AS62" s="1689"/>
      <c r="AT62" s="1689"/>
      <c r="AU62" s="1689"/>
      <c r="AY62" s="731"/>
      <c r="AZ62" s="732"/>
      <c r="BA62" s="732"/>
      <c r="BB62" s="732"/>
      <c r="BC62" s="732"/>
      <c r="BD62" s="732"/>
      <c r="BE62" s="732"/>
      <c r="BF62" s="732"/>
      <c r="BG62" s="732"/>
      <c r="BH62" s="733"/>
    </row>
    <row r="63" spans="7:60" ht="15" customHeight="1" x14ac:dyDescent="0.25">
      <c r="Y63" s="727"/>
      <c r="Z63" s="727"/>
      <c r="AA63" s="727"/>
      <c r="AB63" s="746"/>
      <c r="AC63" s="746"/>
      <c r="AD63" s="746"/>
      <c r="AE63" s="747"/>
      <c r="AF63" s="748"/>
      <c r="AG63" s="748"/>
      <c r="AH63" s="749"/>
      <c r="AL63" s="3157"/>
      <c r="AM63" s="3157"/>
      <c r="AN63" s="3157"/>
      <c r="AO63" s="727"/>
      <c r="AP63" s="727"/>
      <c r="AQ63" s="727"/>
      <c r="AR63" s="1689"/>
      <c r="AS63" s="1689"/>
      <c r="AT63" s="1689"/>
      <c r="AU63" s="1689"/>
      <c r="AY63" s="734"/>
      <c r="AZ63" s="735"/>
      <c r="BA63" s="735"/>
      <c r="BB63" s="735"/>
      <c r="BC63" s="735"/>
      <c r="BD63" s="735"/>
      <c r="BE63" s="735"/>
      <c r="BF63" s="735"/>
      <c r="BG63" s="735"/>
      <c r="BH63" s="736"/>
    </row>
    <row r="64" spans="7:60" ht="15" customHeight="1" x14ac:dyDescent="0.25">
      <c r="Y64" s="727"/>
      <c r="Z64" s="727"/>
      <c r="AA64" s="727"/>
      <c r="AB64" s="746"/>
      <c r="AC64" s="746"/>
      <c r="AD64" s="746"/>
      <c r="AE64" s="747"/>
      <c r="AF64" s="748"/>
      <c r="AG64" s="748"/>
      <c r="AH64" s="749"/>
      <c r="AL64" s="3157"/>
      <c r="AM64" s="3157"/>
      <c r="AN64" s="3157"/>
      <c r="AO64" s="727"/>
      <c r="AP64" s="727"/>
      <c r="AQ64" s="727"/>
      <c r="AR64" s="1689"/>
      <c r="AS64" s="1689"/>
      <c r="AT64" s="1689"/>
      <c r="AU64" s="1689"/>
      <c r="AY64" s="739"/>
      <c r="AZ64" s="740"/>
      <c r="BA64" s="740"/>
      <c r="BB64" s="740"/>
      <c r="BC64" s="740"/>
      <c r="BD64" s="740"/>
      <c r="BE64" s="740"/>
      <c r="BF64" s="740"/>
      <c r="BG64" s="740"/>
      <c r="BH64" s="741"/>
    </row>
    <row r="65" spans="25:60" ht="15" customHeight="1" x14ac:dyDescent="0.25">
      <c r="Y65" s="727"/>
      <c r="Z65" s="727"/>
      <c r="AA65" s="727"/>
      <c r="AB65" s="746"/>
      <c r="AC65" s="746"/>
      <c r="AD65" s="746"/>
      <c r="AE65" s="747"/>
      <c r="AF65" s="748"/>
      <c r="AG65" s="748"/>
      <c r="AH65" s="749"/>
      <c r="AL65" s="3157"/>
      <c r="AM65" s="3157"/>
      <c r="AN65" s="3157"/>
      <c r="AO65" s="727"/>
      <c r="AP65" s="727"/>
      <c r="AQ65" s="727"/>
      <c r="AR65" s="1689"/>
      <c r="AS65" s="1689"/>
      <c r="AT65" s="1689"/>
      <c r="AU65" s="1689"/>
      <c r="AY65" s="750"/>
      <c r="AZ65" s="751"/>
      <c r="BA65" s="751"/>
      <c r="BB65" s="751"/>
      <c r="BC65" s="751"/>
      <c r="BD65" s="751"/>
      <c r="BE65" s="751"/>
      <c r="BF65" s="751"/>
      <c r="BG65" s="751"/>
      <c r="BH65" s="752"/>
    </row>
    <row r="66" spans="25:60" ht="15" customHeight="1" x14ac:dyDescent="0.25">
      <c r="Y66" s="727"/>
      <c r="Z66" s="727"/>
      <c r="AA66" s="727"/>
      <c r="AB66" s="746"/>
      <c r="AC66" s="746"/>
      <c r="AD66" s="746"/>
      <c r="AE66" s="747"/>
      <c r="AF66" s="748"/>
      <c r="AG66" s="748"/>
      <c r="AH66" s="749"/>
      <c r="AY66" s="742"/>
      <c r="AZ66" s="743"/>
      <c r="BA66" s="743"/>
      <c r="BB66" s="743"/>
      <c r="BC66" s="743"/>
      <c r="BD66" s="743"/>
      <c r="BE66" s="743"/>
      <c r="BF66" s="743"/>
      <c r="BG66" s="743"/>
      <c r="BH66" s="744"/>
    </row>
    <row r="67" spans="25:60" ht="15" customHeight="1" x14ac:dyDescent="0.25">
      <c r="Y67" s="727"/>
      <c r="Z67" s="727"/>
      <c r="AA67" s="727"/>
      <c r="AB67" s="746"/>
      <c r="AC67" s="746"/>
      <c r="AD67" s="746"/>
      <c r="AE67" s="747"/>
      <c r="AF67" s="748"/>
      <c r="AG67" s="748"/>
      <c r="AH67" s="749"/>
      <c r="AY67" s="727"/>
      <c r="AZ67" s="727"/>
      <c r="BA67" s="727"/>
      <c r="BB67" s="727"/>
      <c r="BC67" s="727"/>
      <c r="BD67" s="727"/>
      <c r="BE67" s="727"/>
      <c r="BF67" s="727"/>
      <c r="BG67" s="727"/>
      <c r="BH67" s="727"/>
    </row>
    <row r="68" spans="25:60" ht="15" customHeight="1" x14ac:dyDescent="0.25">
      <c r="Y68" s="727"/>
      <c r="Z68" s="727"/>
      <c r="AA68" s="727"/>
      <c r="AB68" s="746"/>
      <c r="AC68" s="746"/>
      <c r="AD68" s="746"/>
      <c r="AE68" s="747"/>
      <c r="AF68" s="748"/>
      <c r="AG68" s="748"/>
      <c r="AH68" s="749"/>
      <c r="AY68" s="727"/>
      <c r="AZ68" s="727"/>
      <c r="BA68" s="727"/>
      <c r="BB68" s="727"/>
      <c r="BC68" s="727"/>
      <c r="BD68" s="727"/>
      <c r="BE68" s="727"/>
      <c r="BF68" s="727"/>
      <c r="BG68" s="727"/>
      <c r="BH68" s="727"/>
    </row>
    <row r="69" spans="25:60" ht="15" customHeight="1" x14ac:dyDescent="0.25">
      <c r="Y69" s="727"/>
      <c r="Z69" s="727"/>
      <c r="AA69" s="727"/>
      <c r="AB69" s="746"/>
      <c r="AC69" s="746"/>
      <c r="AD69" s="746"/>
      <c r="AE69" s="747"/>
      <c r="AF69" s="748"/>
      <c r="AG69" s="748"/>
      <c r="AH69" s="749"/>
      <c r="AY69" s="728"/>
      <c r="AZ69" s="729"/>
      <c r="BA69" s="729"/>
      <c r="BB69" s="729"/>
      <c r="BC69" s="729"/>
      <c r="BD69" s="729"/>
      <c r="BE69" s="729"/>
      <c r="BF69" s="729"/>
      <c r="BG69" s="729"/>
      <c r="BH69" s="730"/>
    </row>
    <row r="70" spans="25:60" ht="15" customHeight="1" x14ac:dyDescent="0.25">
      <c r="AB70" s="1254">
        <f>AB55+AB58+AB61+AB64+AB67</f>
        <v>14</v>
      </c>
      <c r="AC70" s="1254"/>
      <c r="AD70" s="1254"/>
      <c r="AE70" s="747">
        <f>AE55+AE58+AE61</f>
        <v>655</v>
      </c>
      <c r="AF70" s="748"/>
      <c r="AG70" s="748"/>
      <c r="AH70" s="749"/>
      <c r="AY70" s="731"/>
      <c r="AZ70" s="732"/>
      <c r="BA70" s="732"/>
      <c r="BB70" s="732"/>
      <c r="BC70" s="732"/>
      <c r="BD70" s="732"/>
      <c r="BE70" s="732"/>
      <c r="BF70" s="732"/>
      <c r="BG70" s="732"/>
      <c r="BH70" s="733"/>
    </row>
    <row r="71" spans="25:60" ht="15" customHeight="1" x14ac:dyDescent="0.25">
      <c r="AB71" s="1254"/>
      <c r="AC71" s="1254"/>
      <c r="AD71" s="1254"/>
      <c r="AE71" s="747"/>
      <c r="AF71" s="748"/>
      <c r="AG71" s="748"/>
      <c r="AH71" s="749"/>
      <c r="AY71" s="734"/>
      <c r="AZ71" s="735"/>
      <c r="BA71" s="735"/>
      <c r="BB71" s="735"/>
      <c r="BC71" s="735"/>
      <c r="BD71" s="735"/>
      <c r="BE71" s="735"/>
      <c r="BF71" s="735"/>
      <c r="BG71" s="735"/>
      <c r="BH71" s="736"/>
    </row>
    <row r="72" spans="25:60" ht="15" customHeight="1" x14ac:dyDescent="0.25">
      <c r="AB72" s="1254"/>
      <c r="AC72" s="1254"/>
      <c r="AD72" s="1254"/>
      <c r="AE72" s="747"/>
      <c r="AF72" s="748"/>
      <c r="AG72" s="748"/>
      <c r="AH72" s="749"/>
      <c r="AY72" s="739"/>
      <c r="AZ72" s="740"/>
      <c r="BA72" s="740"/>
      <c r="BB72" s="740"/>
      <c r="BC72" s="740"/>
      <c r="BD72" s="740"/>
      <c r="BE72" s="740"/>
      <c r="BF72" s="740"/>
      <c r="BG72" s="740"/>
      <c r="BH72" s="741"/>
    </row>
    <row r="73" spans="25:60" ht="15" customHeight="1" x14ac:dyDescent="0.25">
      <c r="AY73" s="742"/>
      <c r="AZ73" s="743"/>
      <c r="BA73" s="743"/>
      <c r="BB73" s="743"/>
      <c r="BC73" s="743"/>
      <c r="BD73" s="743"/>
      <c r="BE73" s="743"/>
      <c r="BF73" s="743"/>
      <c r="BG73" s="743"/>
      <c r="BH73" s="744"/>
    </row>
    <row r="74" spans="25:60" ht="15" customHeight="1" x14ac:dyDescent="0.25">
      <c r="AY74" s="739"/>
      <c r="AZ74" s="740"/>
      <c r="BA74" s="740"/>
      <c r="BB74" s="740"/>
      <c r="BC74" s="740"/>
      <c r="BD74" s="740"/>
      <c r="BE74" s="740"/>
      <c r="BF74" s="740"/>
      <c r="BG74" s="740"/>
      <c r="BH74" s="741"/>
    </row>
    <row r="75" spans="25:60" ht="15" customHeight="1" x14ac:dyDescent="0.25">
      <c r="AY75" s="750"/>
      <c r="AZ75" s="751"/>
      <c r="BA75" s="751"/>
      <c r="BB75" s="751"/>
      <c r="BC75" s="751"/>
      <c r="BD75" s="751"/>
      <c r="BE75" s="751"/>
      <c r="BF75" s="751"/>
      <c r="BG75" s="751"/>
      <c r="BH75" s="752"/>
    </row>
    <row r="76" spans="25:60" ht="15" customHeight="1" x14ac:dyDescent="0.25">
      <c r="AY76" s="750"/>
      <c r="AZ76" s="751"/>
      <c r="BA76" s="751"/>
      <c r="BB76" s="751"/>
      <c r="BC76" s="751"/>
      <c r="BD76" s="751"/>
      <c r="BE76" s="751"/>
      <c r="BF76" s="751"/>
      <c r="BG76" s="751"/>
      <c r="BH76" s="752"/>
    </row>
    <row r="77" spans="25:60" ht="15" customHeight="1" x14ac:dyDescent="0.25">
      <c r="AS77" s="27"/>
      <c r="AT77" s="27"/>
      <c r="AU77" s="27"/>
      <c r="AY77" s="742"/>
      <c r="AZ77" s="743"/>
      <c r="BA77" s="743"/>
      <c r="BB77" s="743"/>
      <c r="BC77" s="743"/>
      <c r="BD77" s="743"/>
      <c r="BE77" s="743"/>
      <c r="BF77" s="743"/>
      <c r="BG77" s="743"/>
      <c r="BH77" s="744"/>
    </row>
    <row r="78" spans="25:60" x14ac:dyDescent="0.25">
      <c r="AY78" s="728"/>
      <c r="AZ78" s="729"/>
      <c r="BA78" s="729"/>
      <c r="BB78" s="729"/>
      <c r="BC78" s="729"/>
      <c r="BD78" s="729"/>
      <c r="BE78" s="729"/>
      <c r="BF78" s="729"/>
      <c r="BG78" s="729"/>
      <c r="BH78" s="730"/>
    </row>
    <row r="79" spans="25:60" x14ac:dyDescent="0.25">
      <c r="AY79" s="731"/>
      <c r="AZ79" s="732"/>
      <c r="BA79" s="732"/>
      <c r="BB79" s="732"/>
      <c r="BC79" s="732"/>
      <c r="BD79" s="732"/>
      <c r="BE79" s="732"/>
      <c r="BF79" s="732"/>
      <c r="BG79" s="732"/>
      <c r="BH79" s="733"/>
    </row>
    <row r="80" spans="25:60" x14ac:dyDescent="0.25">
      <c r="AY80" s="731"/>
      <c r="AZ80" s="732"/>
      <c r="BA80" s="732"/>
      <c r="BB80" s="732"/>
      <c r="BC80" s="732"/>
      <c r="BD80" s="732"/>
      <c r="BE80" s="732"/>
      <c r="BF80" s="732"/>
      <c r="BG80" s="732"/>
      <c r="BH80" s="733"/>
    </row>
    <row r="81" spans="51:60" x14ac:dyDescent="0.25">
      <c r="AY81" s="731"/>
      <c r="AZ81" s="732"/>
      <c r="BA81" s="732"/>
      <c r="BB81" s="732"/>
      <c r="BC81" s="732"/>
      <c r="BD81" s="732"/>
      <c r="BE81" s="732"/>
      <c r="BF81" s="732"/>
      <c r="BG81" s="732"/>
      <c r="BH81" s="733"/>
    </row>
    <row r="82" spans="51:60" x14ac:dyDescent="0.25">
      <c r="AY82" s="734"/>
      <c r="AZ82" s="735"/>
      <c r="BA82" s="735"/>
      <c r="BB82" s="735"/>
      <c r="BC82" s="735"/>
      <c r="BD82" s="735"/>
      <c r="BE82" s="735"/>
      <c r="BF82" s="735"/>
      <c r="BG82" s="735"/>
      <c r="BH82" s="736"/>
    </row>
    <row r="83" spans="51:60" x14ac:dyDescent="0.25">
      <c r="AY83" s="739"/>
      <c r="AZ83" s="740"/>
      <c r="BA83" s="740"/>
      <c r="BB83" s="740"/>
      <c r="BC83" s="740"/>
      <c r="BD83" s="740"/>
      <c r="BE83" s="740"/>
      <c r="BF83" s="740"/>
      <c r="BG83" s="740"/>
      <c r="BH83" s="741"/>
    </row>
    <row r="84" spans="51:60" x14ac:dyDescent="0.25">
      <c r="AY84" s="750"/>
      <c r="AZ84" s="751"/>
      <c r="BA84" s="751"/>
      <c r="BB84" s="751"/>
      <c r="BC84" s="751"/>
      <c r="BD84" s="751"/>
      <c r="BE84" s="751"/>
      <c r="BF84" s="751"/>
      <c r="BG84" s="751"/>
      <c r="BH84" s="752"/>
    </row>
    <row r="85" spans="51:60" x14ac:dyDescent="0.25">
      <c r="AY85" s="742"/>
      <c r="AZ85" s="743"/>
      <c r="BA85" s="743"/>
      <c r="BB85" s="743"/>
      <c r="BC85" s="743"/>
      <c r="BD85" s="743"/>
      <c r="BE85" s="743"/>
      <c r="BF85" s="743"/>
      <c r="BG85" s="743"/>
      <c r="BH85" s="744"/>
    </row>
    <row r="86" spans="51:60" x14ac:dyDescent="0.25">
      <c r="AY86" s="727"/>
      <c r="AZ86" s="727"/>
      <c r="BA86" s="727"/>
      <c r="BB86" s="727"/>
      <c r="BC86" s="727"/>
      <c r="BD86" s="727"/>
      <c r="BE86" s="727"/>
      <c r="BF86" s="727"/>
      <c r="BG86" s="727"/>
      <c r="BH86" s="727"/>
    </row>
    <row r="87" spans="51:60" x14ac:dyDescent="0.25">
      <c r="AY87" s="727"/>
      <c r="AZ87" s="727"/>
      <c r="BA87" s="727"/>
      <c r="BB87" s="727"/>
      <c r="BC87" s="727"/>
      <c r="BD87" s="727"/>
      <c r="BE87" s="727"/>
      <c r="BF87" s="727"/>
      <c r="BG87" s="727"/>
      <c r="BH87" s="727"/>
    </row>
    <row r="88" spans="51:60" x14ac:dyDescent="0.25">
      <c r="AY88" s="728"/>
      <c r="AZ88" s="729"/>
      <c r="BA88" s="729"/>
      <c r="BB88" s="729"/>
      <c r="BC88" s="729"/>
      <c r="BD88" s="729"/>
      <c r="BE88" s="729"/>
      <c r="BF88" s="729"/>
      <c r="BG88" s="729"/>
      <c r="BH88" s="730"/>
    </row>
    <row r="89" spans="51:60" x14ac:dyDescent="0.25">
      <c r="AY89" s="731"/>
      <c r="AZ89" s="732"/>
      <c r="BA89" s="732"/>
      <c r="BB89" s="732"/>
      <c r="BC89" s="732"/>
      <c r="BD89" s="732"/>
      <c r="BE89" s="732"/>
      <c r="BF89" s="732"/>
      <c r="BG89" s="732"/>
      <c r="BH89" s="733"/>
    </row>
    <row r="90" spans="51:60" x14ac:dyDescent="0.25">
      <c r="AY90" s="734"/>
      <c r="AZ90" s="735"/>
      <c r="BA90" s="735"/>
      <c r="BB90" s="735"/>
      <c r="BC90" s="735"/>
      <c r="BD90" s="735"/>
      <c r="BE90" s="735"/>
      <c r="BF90" s="735"/>
      <c r="BG90" s="735"/>
      <c r="BH90" s="736"/>
    </row>
    <row r="91" spans="51:60" x14ac:dyDescent="0.25">
      <c r="AY91" s="739"/>
      <c r="AZ91" s="740"/>
      <c r="BA91" s="740"/>
      <c r="BB91" s="740"/>
      <c r="BC91" s="740"/>
      <c r="BD91" s="740"/>
      <c r="BE91" s="740"/>
      <c r="BF91" s="740"/>
      <c r="BG91" s="740"/>
      <c r="BH91" s="741"/>
    </row>
    <row r="92" spans="51:60" x14ac:dyDescent="0.25">
      <c r="AY92" s="742"/>
      <c r="AZ92" s="743"/>
      <c r="BA92" s="743"/>
      <c r="BB92" s="743"/>
      <c r="BC92" s="743"/>
      <c r="BD92" s="743"/>
      <c r="BE92" s="743"/>
      <c r="BF92" s="743"/>
      <c r="BG92" s="743"/>
      <c r="BH92" s="744"/>
    </row>
    <row r="93" spans="51:60" x14ac:dyDescent="0.25">
      <c r="AY93" s="739"/>
      <c r="AZ93" s="740"/>
      <c r="BA93" s="740"/>
      <c r="BB93" s="740"/>
      <c r="BC93" s="740"/>
      <c r="BD93" s="740"/>
      <c r="BE93" s="740"/>
      <c r="BF93" s="740"/>
      <c r="BG93" s="740"/>
      <c r="BH93" s="741"/>
    </row>
    <row r="94" spans="51:60" x14ac:dyDescent="0.25">
      <c r="AY94" s="750"/>
      <c r="AZ94" s="751"/>
      <c r="BA94" s="751"/>
      <c r="BB94" s="751"/>
      <c r="BC94" s="751"/>
      <c r="BD94" s="751"/>
      <c r="BE94" s="751"/>
      <c r="BF94" s="751"/>
      <c r="BG94" s="751"/>
      <c r="BH94" s="752"/>
    </row>
    <row r="95" spans="51:60" x14ac:dyDescent="0.25">
      <c r="AY95" s="750"/>
      <c r="AZ95" s="751"/>
      <c r="BA95" s="751"/>
      <c r="BB95" s="751"/>
      <c r="BC95" s="751"/>
      <c r="BD95" s="751"/>
      <c r="BE95" s="751"/>
      <c r="BF95" s="751"/>
      <c r="BG95" s="751"/>
      <c r="BH95" s="752"/>
    </row>
    <row r="96" spans="51:60" x14ac:dyDescent="0.25">
      <c r="AY96" s="742"/>
      <c r="AZ96" s="743"/>
      <c r="BA96" s="743"/>
      <c r="BB96" s="743"/>
      <c r="BC96" s="743"/>
      <c r="BD96" s="743"/>
      <c r="BE96" s="743"/>
      <c r="BF96" s="743"/>
      <c r="BG96" s="743"/>
      <c r="BH96" s="744"/>
    </row>
    <row r="97" spans="51:60" x14ac:dyDescent="0.25">
      <c r="AY97" s="728"/>
      <c r="AZ97" s="729"/>
      <c r="BA97" s="729"/>
      <c r="BB97" s="729"/>
      <c r="BC97" s="729"/>
      <c r="BD97" s="729"/>
      <c r="BE97" s="729"/>
      <c r="BF97" s="729"/>
      <c r="BG97" s="729"/>
      <c r="BH97" s="730"/>
    </row>
    <row r="98" spans="51:60" x14ac:dyDescent="0.25">
      <c r="AY98" s="731"/>
      <c r="AZ98" s="732"/>
      <c r="BA98" s="732"/>
      <c r="BB98" s="732"/>
      <c r="BC98" s="732"/>
      <c r="BD98" s="732"/>
      <c r="BE98" s="732"/>
      <c r="BF98" s="732"/>
      <c r="BG98" s="732"/>
      <c r="BH98" s="733"/>
    </row>
    <row r="99" spans="51:60" x14ac:dyDescent="0.25">
      <c r="AY99" s="731"/>
      <c r="AZ99" s="732"/>
      <c r="BA99" s="732"/>
      <c r="BB99" s="732"/>
      <c r="BC99" s="732"/>
      <c r="BD99" s="732"/>
      <c r="BE99" s="732"/>
      <c r="BF99" s="732"/>
      <c r="BG99" s="732"/>
      <c r="BH99" s="733"/>
    </row>
    <row r="100" spans="51:60" x14ac:dyDescent="0.25">
      <c r="AY100" s="731"/>
      <c r="AZ100" s="732"/>
      <c r="BA100" s="732"/>
      <c r="BB100" s="732"/>
      <c r="BC100" s="732"/>
      <c r="BD100" s="732"/>
      <c r="BE100" s="732"/>
      <c r="BF100" s="732"/>
      <c r="BG100" s="732"/>
      <c r="BH100" s="733"/>
    </row>
    <row r="101" spans="51:60" x14ac:dyDescent="0.25">
      <c r="AY101" s="734"/>
      <c r="AZ101" s="735"/>
      <c r="BA101" s="735"/>
      <c r="BB101" s="735"/>
      <c r="BC101" s="735"/>
      <c r="BD101" s="735"/>
      <c r="BE101" s="735"/>
      <c r="BF101" s="735"/>
      <c r="BG101" s="735"/>
      <c r="BH101" s="736"/>
    </row>
  </sheetData>
  <mergeCells count="266">
    <mergeCell ref="AY83:BH85"/>
    <mergeCell ref="AY86:BH87"/>
    <mergeCell ref="AY88:BH90"/>
    <mergeCell ref="AY91:BH92"/>
    <mergeCell ref="AY93:BH96"/>
    <mergeCell ref="AY97:BH101"/>
    <mergeCell ref="AY64:BH66"/>
    <mergeCell ref="AY67:BH68"/>
    <mergeCell ref="AY69:BH71"/>
    <mergeCell ref="AY72:BH73"/>
    <mergeCell ref="AY74:BH77"/>
    <mergeCell ref="AY78:BH82"/>
    <mergeCell ref="AQ2:AS2"/>
    <mergeCell ref="AT2:AU2"/>
    <mergeCell ref="AQ3:AU5"/>
    <mergeCell ref="AQ6:AQ7"/>
    <mergeCell ref="AR6:AU6"/>
    <mergeCell ref="AH13:AH14"/>
    <mergeCell ref="AI13:AI14"/>
    <mergeCell ref="AG3:AK5"/>
    <mergeCell ref="AL3:AP5"/>
    <mergeCell ref="AL13:AL14"/>
    <mergeCell ref="AM13:AM14"/>
    <mergeCell ref="AN13:AN14"/>
    <mergeCell ref="AJ9:AL9"/>
    <mergeCell ref="AM9:AN9"/>
    <mergeCell ref="AB2:AD2"/>
    <mergeCell ref="AE2:AF2"/>
    <mergeCell ref="AB3:AF5"/>
    <mergeCell ref="R13:R14"/>
    <mergeCell ref="S13:S14"/>
    <mergeCell ref="T13:T14"/>
    <mergeCell ref="AE9:AG9"/>
    <mergeCell ref="AH9:AI9"/>
    <mergeCell ref="AE10:AI10"/>
    <mergeCell ref="AE11:AE14"/>
    <mergeCell ref="AF11:AI12"/>
    <mergeCell ref="AF13:AF14"/>
    <mergeCell ref="AG13:AG14"/>
    <mergeCell ref="AA13:AA14"/>
    <mergeCell ref="AB13:AB14"/>
    <mergeCell ref="AC13:AC14"/>
    <mergeCell ref="AD13:AD14"/>
    <mergeCell ref="P9:R9"/>
    <mergeCell ref="S9:T9"/>
    <mergeCell ref="P10:T10"/>
    <mergeCell ref="P11:P14"/>
    <mergeCell ref="Q11:T12"/>
    <mergeCell ref="Q13:Q14"/>
    <mergeCell ref="V13:V14"/>
    <mergeCell ref="AB70:AD72"/>
    <mergeCell ref="AE70:AH72"/>
    <mergeCell ref="AR14:AS14"/>
    <mergeCell ref="AO14:AQ14"/>
    <mergeCell ref="AL55:AN58"/>
    <mergeCell ref="AO55:AQ58"/>
    <mergeCell ref="AR55:AS58"/>
    <mergeCell ref="AB61:AD63"/>
    <mergeCell ref="AE61:AH63"/>
    <mergeCell ref="AO34:AU40"/>
    <mergeCell ref="AL52:AN54"/>
    <mergeCell ref="AO52:AQ54"/>
    <mergeCell ref="AR52:AS54"/>
    <mergeCell ref="AT52:AU54"/>
    <mergeCell ref="AT32:AW33"/>
    <mergeCell ref="AV34:AW40"/>
    <mergeCell ref="AT55:AU58"/>
    <mergeCell ref="AL59:AN61"/>
    <mergeCell ref="AO59:AQ61"/>
    <mergeCell ref="AR59:AS61"/>
    <mergeCell ref="AT59:AU61"/>
    <mergeCell ref="AL62:AN65"/>
    <mergeCell ref="AO62:AQ65"/>
    <mergeCell ref="AR62:AS65"/>
    <mergeCell ref="Y64:AA66"/>
    <mergeCell ref="AB64:AD66"/>
    <mergeCell ref="AE64:AH66"/>
    <mergeCell ref="Y67:AA69"/>
    <mergeCell ref="AB67:AD69"/>
    <mergeCell ref="AE67:AH69"/>
    <mergeCell ref="AY53:BH54"/>
    <mergeCell ref="Y55:AA57"/>
    <mergeCell ref="AB55:AD57"/>
    <mergeCell ref="AE55:AH57"/>
    <mergeCell ref="AY55:BH58"/>
    <mergeCell ref="Y58:AA60"/>
    <mergeCell ref="AB58:AD60"/>
    <mergeCell ref="AE58:AH60"/>
    <mergeCell ref="AY59:BH63"/>
    <mergeCell ref="Y61:AA63"/>
    <mergeCell ref="AT62:AU65"/>
    <mergeCell ref="AY45:BH47"/>
    <mergeCell ref="AL48:AN51"/>
    <mergeCell ref="AO48:AQ51"/>
    <mergeCell ref="AR48:AS51"/>
    <mergeCell ref="AT48:AU51"/>
    <mergeCell ref="AY48:BH49"/>
    <mergeCell ref="AY50:BH52"/>
    <mergeCell ref="AO41:AW42"/>
    <mergeCell ref="AD45:AH51"/>
    <mergeCell ref="AL45:AN47"/>
    <mergeCell ref="AO45:AQ47"/>
    <mergeCell ref="AR45:AS47"/>
    <mergeCell ref="AT45:AU47"/>
    <mergeCell ref="BD30:BD31"/>
    <mergeCell ref="BE30:BH30"/>
    <mergeCell ref="H32:J33"/>
    <mergeCell ref="Q32:V34"/>
    <mergeCell ref="X32:AB36"/>
    <mergeCell ref="AC32:AH36"/>
    <mergeCell ref="AJ32:AN42"/>
    <mergeCell ref="AO32:AS33"/>
    <mergeCell ref="A30:A31"/>
    <mergeCell ref="B30:E30"/>
    <mergeCell ref="F30:F31"/>
    <mergeCell ref="G30:J30"/>
    <mergeCell ref="AT30:AT31"/>
    <mergeCell ref="AU30:AX30"/>
    <mergeCell ref="H35:J35"/>
    <mergeCell ref="Q35:V42"/>
    <mergeCell ref="H36:J37"/>
    <mergeCell ref="X37:AB42"/>
    <mergeCell ref="AC37:AH42"/>
    <mergeCell ref="H38:J40"/>
    <mergeCell ref="H41:J42"/>
    <mergeCell ref="AY30:AY31"/>
    <mergeCell ref="AZ30:BC30"/>
    <mergeCell ref="AY26:BA26"/>
    <mergeCell ref="BB26:BC26"/>
    <mergeCell ref="BD26:BF26"/>
    <mergeCell ref="BG26:BH26"/>
    <mergeCell ref="A27:C29"/>
    <mergeCell ref="F27:H29"/>
    <mergeCell ref="AY27:BA29"/>
    <mergeCell ref="BD27:BF29"/>
    <mergeCell ref="A26:C26"/>
    <mergeCell ref="D26:E26"/>
    <mergeCell ref="F26:H26"/>
    <mergeCell ref="I26:J26"/>
    <mergeCell ref="AY24:AY25"/>
    <mergeCell ref="AZ24:BC24"/>
    <mergeCell ref="BD24:BD25"/>
    <mergeCell ref="BE24:BH24"/>
    <mergeCell ref="A24:A25"/>
    <mergeCell ref="B24:E24"/>
    <mergeCell ref="F24:F25"/>
    <mergeCell ref="G24:J24"/>
    <mergeCell ref="AO24:AO25"/>
    <mergeCell ref="AP24:AS24"/>
    <mergeCell ref="A21:C23"/>
    <mergeCell ref="F21:H23"/>
    <mergeCell ref="AO21:AQ23"/>
    <mergeCell ref="AY21:BA23"/>
    <mergeCell ref="BD21:BF23"/>
    <mergeCell ref="AY20:BA20"/>
    <mergeCell ref="BB20:BC20"/>
    <mergeCell ref="BD20:BF20"/>
    <mergeCell ref="BG20:BH20"/>
    <mergeCell ref="A20:C20"/>
    <mergeCell ref="D20:E20"/>
    <mergeCell ref="F20:H20"/>
    <mergeCell ref="I20:J20"/>
    <mergeCell ref="AO20:AQ20"/>
    <mergeCell ref="AR20:AS20"/>
    <mergeCell ref="AZ18:BC18"/>
    <mergeCell ref="BD18:BD19"/>
    <mergeCell ref="BE18:BH18"/>
    <mergeCell ref="AY14:BA14"/>
    <mergeCell ref="BB14:BC14"/>
    <mergeCell ref="BD14:BF14"/>
    <mergeCell ref="BG14:BH14"/>
    <mergeCell ref="AO15:AQ17"/>
    <mergeCell ref="AY15:BA17"/>
    <mergeCell ref="BD15:BF17"/>
    <mergeCell ref="A12:D12"/>
    <mergeCell ref="E12:E13"/>
    <mergeCell ref="F12:I12"/>
    <mergeCell ref="J12:J13"/>
    <mergeCell ref="K12:N12"/>
    <mergeCell ref="O12:O13"/>
    <mergeCell ref="U11:U14"/>
    <mergeCell ref="V11:Y12"/>
    <mergeCell ref="AY18:AY19"/>
    <mergeCell ref="BG8:BH8"/>
    <mergeCell ref="U9:W9"/>
    <mergeCell ref="X9:Y9"/>
    <mergeCell ref="AY9:BA11"/>
    <mergeCell ref="BD9:BF11"/>
    <mergeCell ref="AY12:AY13"/>
    <mergeCell ref="AZ12:BC12"/>
    <mergeCell ref="BD12:BD13"/>
    <mergeCell ref="BE12:BH12"/>
    <mergeCell ref="W13:W14"/>
    <mergeCell ref="X13:X14"/>
    <mergeCell ref="Y13:Y14"/>
    <mergeCell ref="Z11:Z14"/>
    <mergeCell ref="BD8:BF8"/>
    <mergeCell ref="AJ10:AN10"/>
    <mergeCell ref="AJ11:AJ14"/>
    <mergeCell ref="AK11:AN12"/>
    <mergeCell ref="AK13:AK14"/>
    <mergeCell ref="Z9:AB9"/>
    <mergeCell ref="AC9:AD9"/>
    <mergeCell ref="Z10:AD10"/>
    <mergeCell ref="AA11:AD12"/>
    <mergeCell ref="B6:E6"/>
    <mergeCell ref="A10:D10"/>
    <mergeCell ref="E10:E11"/>
    <mergeCell ref="F10:I10"/>
    <mergeCell ref="J10:J11"/>
    <mergeCell ref="K10:N10"/>
    <mergeCell ref="AP8:AW11"/>
    <mergeCell ref="AY8:BA8"/>
    <mergeCell ref="BB8:BC8"/>
    <mergeCell ref="O10:O11"/>
    <mergeCell ref="U10:Y10"/>
    <mergeCell ref="AL6:AL7"/>
    <mergeCell ref="AM6:AP6"/>
    <mergeCell ref="BD2:BF2"/>
    <mergeCell ref="AY6:AY7"/>
    <mergeCell ref="AZ6:BC6"/>
    <mergeCell ref="BD6:BD7"/>
    <mergeCell ref="BE6:BH6"/>
    <mergeCell ref="A8:D8"/>
    <mergeCell ref="E8:E9"/>
    <mergeCell ref="F8:I8"/>
    <mergeCell ref="J8:J9"/>
    <mergeCell ref="K8:N8"/>
    <mergeCell ref="O8:O9"/>
    <mergeCell ref="U6:U7"/>
    <mergeCell ref="V6:Y6"/>
    <mergeCell ref="AB6:AB7"/>
    <mergeCell ref="AC6:AF6"/>
    <mergeCell ref="AG6:AG7"/>
    <mergeCell ref="AH6:AK6"/>
    <mergeCell ref="F6:F7"/>
    <mergeCell ref="G6:J6"/>
    <mergeCell ref="K6:K7"/>
    <mergeCell ref="L6:O6"/>
    <mergeCell ref="P6:P7"/>
    <mergeCell ref="Q6:T6"/>
    <mergeCell ref="A6:A7"/>
    <mergeCell ref="A2:C2"/>
    <mergeCell ref="D2:E2"/>
    <mergeCell ref="A3:E5"/>
    <mergeCell ref="BG2:BH2"/>
    <mergeCell ref="U2:W2"/>
    <mergeCell ref="X2:Y2"/>
    <mergeCell ref="AG2:AI2"/>
    <mergeCell ref="AJ2:AK2"/>
    <mergeCell ref="AL2:AN2"/>
    <mergeCell ref="AO2:AP2"/>
    <mergeCell ref="F2:H2"/>
    <mergeCell ref="I2:J2"/>
    <mergeCell ref="K2:M2"/>
    <mergeCell ref="N2:O2"/>
    <mergeCell ref="P2:R2"/>
    <mergeCell ref="S2:T2"/>
    <mergeCell ref="F3:J5"/>
    <mergeCell ref="K3:O5"/>
    <mergeCell ref="P3:T5"/>
    <mergeCell ref="U3:Y5"/>
    <mergeCell ref="AY3:BA5"/>
    <mergeCell ref="BD3:BF5"/>
    <mergeCell ref="AY2:BA2"/>
    <mergeCell ref="BB2:BC2"/>
  </mergeCells>
  <pageMargins left="0.25" right="0" top="0.75" bottom="0.25" header="0.3" footer="0.3"/>
  <pageSetup paperSize="8" scale="61" orientation="landscape" r:id="rId1"/>
  <headerFooter>
    <oddFooter>&amp;C&amp;"-,Bold Italic"&amp;16Prepared by Emir Cebecioglu&amp;RQuality Control Department</oddFooter>
  </headerFooter>
  <colBreaks count="1" manualBreakCount="1">
    <brk id="60" max="50" man="1"/>
  </colBreaks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3933C-FDF4-4624-85FD-AA7FA8D3642C}">
  <sheetPr>
    <pageSetUpPr fitToPage="1"/>
  </sheetPr>
  <dimension ref="A1:CB77"/>
  <sheetViews>
    <sheetView view="pageBreakPreview" topLeftCell="J38" zoomScale="70" zoomScaleNormal="70" zoomScaleSheetLayoutView="70" zoomScalePageLayoutView="55" workbookViewId="0">
      <selection activeCell="AY50" sqref="AY50:BH52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140625" customWidth="1"/>
    <col min="47" max="47" width="10.71093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1" customWidth="1"/>
    <col min="62" max="62" width="56.7109375" customWidth="1"/>
    <col min="63" max="63" width="13" customWidth="1"/>
    <col min="64" max="64" width="7" customWidth="1"/>
  </cols>
  <sheetData>
    <row r="1" spans="1:80" ht="249.75" customHeight="1" thickBot="1" x14ac:dyDescent="0.3"/>
    <row r="2" spans="1:80" ht="36" customHeight="1" thickTop="1" x14ac:dyDescent="0.25">
      <c r="A2" s="1371"/>
      <c r="B2" s="1371"/>
      <c r="C2" s="1371"/>
      <c r="D2" s="1371"/>
      <c r="E2" s="1370"/>
      <c r="F2" s="1371"/>
      <c r="G2" s="1371"/>
      <c r="H2" s="1371"/>
      <c r="I2" s="1371"/>
      <c r="J2" s="1370"/>
      <c r="K2" s="1371"/>
      <c r="L2" s="1371"/>
      <c r="M2" s="1371"/>
      <c r="N2" s="1371"/>
      <c r="O2" s="1370"/>
      <c r="P2" s="3124" t="s">
        <v>250</v>
      </c>
      <c r="Q2" s="3125"/>
      <c r="R2" s="3125"/>
      <c r="S2" s="3126">
        <f>Q7/((54*3.1415/60)*(40/3.281))</f>
        <v>0.29180690752825084</v>
      </c>
      <c r="T2" s="3127"/>
      <c r="U2" s="3124" t="s">
        <v>250</v>
      </c>
      <c r="V2" s="3125"/>
      <c r="W2" s="3125"/>
      <c r="X2" s="3126">
        <f>V7/((54*3.1415/60)*(40/3.281))</f>
        <v>2.7264786814508283E-2</v>
      </c>
      <c r="Y2" s="3127"/>
      <c r="Z2" s="3124" t="s">
        <v>250</v>
      </c>
      <c r="AA2" s="3125"/>
      <c r="AB2" s="3125"/>
      <c r="AC2" s="3126">
        <f>AA7/((54*3.1415/60)*(40/3.281))</f>
        <v>6.6319751710966088E-2</v>
      </c>
      <c r="AD2" s="3127"/>
      <c r="AE2" s="3124" t="s">
        <v>250</v>
      </c>
      <c r="AF2" s="3125"/>
      <c r="AG2" s="3125"/>
      <c r="AH2" s="3126">
        <f>AF7/((54*3.1415/60)*(40/3.281))</f>
        <v>2.4317242294020901E-2</v>
      </c>
      <c r="AI2" s="3127"/>
      <c r="AJ2" s="1371"/>
      <c r="AK2" s="1371"/>
      <c r="AL2" s="1371"/>
      <c r="AM2" s="1371"/>
      <c r="AN2" s="1370"/>
      <c r="AO2" s="1371"/>
      <c r="AP2" s="1371"/>
      <c r="AQ2" s="1371"/>
      <c r="AR2" s="1371"/>
      <c r="AS2" s="1370"/>
      <c r="AT2" s="1371"/>
      <c r="AU2" s="1371"/>
      <c r="AV2" s="1371"/>
      <c r="AW2" s="1371"/>
      <c r="AX2" s="1370"/>
      <c r="AY2" s="674"/>
      <c r="AZ2" s="674"/>
      <c r="BA2" s="674"/>
      <c r="BB2" s="1300"/>
      <c r="BC2" s="1300"/>
      <c r="BD2" s="674"/>
      <c r="BE2" s="674"/>
      <c r="BF2" s="674"/>
      <c r="BG2" s="1300"/>
      <c r="BH2" s="1300"/>
      <c r="BM2" s="27"/>
      <c r="BN2" s="27"/>
      <c r="BO2" s="27"/>
      <c r="BP2" s="27"/>
      <c r="BQ2" s="27"/>
      <c r="BR2" s="27"/>
      <c r="BW2" s="27"/>
      <c r="BX2" s="27"/>
      <c r="BY2" s="27"/>
      <c r="BZ2" s="27"/>
      <c r="CA2" s="27"/>
      <c r="CB2" s="27"/>
    </row>
    <row r="3" spans="1:80" ht="9.9499999999999993" hidden="1" customHeight="1" x14ac:dyDescent="0.25">
      <c r="A3" s="32"/>
      <c r="B3" s="33"/>
      <c r="C3" s="34"/>
      <c r="D3" s="35"/>
      <c r="E3" s="1370"/>
      <c r="F3" s="32"/>
      <c r="G3" s="33"/>
      <c r="H3" s="34"/>
      <c r="I3" s="35"/>
      <c r="J3" s="1370"/>
      <c r="K3" s="32"/>
      <c r="L3" s="33"/>
      <c r="M3" s="34"/>
      <c r="N3" s="35"/>
      <c r="O3" s="1370"/>
      <c r="P3" s="1680" t="s">
        <v>519</v>
      </c>
      <c r="Q3" s="1681"/>
      <c r="R3" s="1681"/>
      <c r="S3" s="1681"/>
      <c r="T3" s="1682"/>
      <c r="U3" s="1680" t="s">
        <v>519</v>
      </c>
      <c r="V3" s="1681"/>
      <c r="W3" s="1681"/>
      <c r="X3" s="1681"/>
      <c r="Y3" s="1682"/>
      <c r="Z3" s="1680" t="s">
        <v>519</v>
      </c>
      <c r="AA3" s="1681"/>
      <c r="AB3" s="1681"/>
      <c r="AC3" s="1681"/>
      <c r="AD3" s="1682"/>
      <c r="AE3" s="1680" t="s">
        <v>519</v>
      </c>
      <c r="AF3" s="1681"/>
      <c r="AG3" s="1681"/>
      <c r="AH3" s="1681"/>
      <c r="AI3" s="1682"/>
      <c r="AJ3" s="32"/>
      <c r="AK3" s="33"/>
      <c r="AL3" s="34"/>
      <c r="AM3" s="35"/>
      <c r="AN3" s="1370"/>
      <c r="AO3" s="32"/>
      <c r="AP3" s="33"/>
      <c r="AQ3" s="34"/>
      <c r="AR3" s="35"/>
      <c r="AS3" s="1370"/>
      <c r="AT3" s="32"/>
      <c r="AU3" s="33"/>
      <c r="AV3" s="34"/>
      <c r="AW3" s="35"/>
      <c r="AX3" s="1370"/>
      <c r="AY3" s="676"/>
      <c r="AZ3" s="676"/>
      <c r="BA3" s="676"/>
      <c r="BB3" s="36"/>
      <c r="BC3" s="36"/>
      <c r="BD3" s="676"/>
      <c r="BE3" s="676"/>
      <c r="BF3" s="676"/>
      <c r="BG3" s="36"/>
      <c r="BH3" s="36"/>
    </row>
    <row r="4" spans="1:80" ht="24.95" hidden="1" customHeight="1" x14ac:dyDescent="0.25">
      <c r="A4" s="1371"/>
      <c r="B4" s="1371"/>
      <c r="C4" s="1371"/>
      <c r="D4" s="1371"/>
      <c r="E4" s="1370"/>
      <c r="F4" s="1371"/>
      <c r="G4" s="1371"/>
      <c r="H4" s="1371"/>
      <c r="I4" s="1371"/>
      <c r="J4" s="1370"/>
      <c r="K4" s="1371"/>
      <c r="L4" s="1371"/>
      <c r="M4" s="1371"/>
      <c r="N4" s="1371"/>
      <c r="O4" s="1370"/>
      <c r="P4" s="1683"/>
      <c r="Q4" s="1684"/>
      <c r="R4" s="1684"/>
      <c r="S4" s="1684"/>
      <c r="T4" s="1685"/>
      <c r="U4" s="1683"/>
      <c r="V4" s="1684"/>
      <c r="W4" s="1684"/>
      <c r="X4" s="1684"/>
      <c r="Y4" s="1685"/>
      <c r="Z4" s="1683"/>
      <c r="AA4" s="1684"/>
      <c r="AB4" s="1684"/>
      <c r="AC4" s="1684"/>
      <c r="AD4" s="1685"/>
      <c r="AE4" s="1683"/>
      <c r="AF4" s="1684"/>
      <c r="AG4" s="1684"/>
      <c r="AH4" s="1684"/>
      <c r="AI4" s="1685"/>
      <c r="AJ4" s="1371"/>
      <c r="AK4" s="1371"/>
      <c r="AL4" s="1371"/>
      <c r="AM4" s="1371"/>
      <c r="AN4" s="1370"/>
      <c r="AO4" s="1371"/>
      <c r="AP4" s="1371"/>
      <c r="AQ4" s="1371"/>
      <c r="AR4" s="1371"/>
      <c r="AS4" s="1370"/>
      <c r="AT4" s="1371"/>
      <c r="AU4" s="1371"/>
      <c r="AV4" s="1371"/>
      <c r="AW4" s="1371"/>
      <c r="AX4" s="1370"/>
      <c r="AY4" s="676"/>
      <c r="AZ4" s="676"/>
      <c r="BA4" s="676"/>
      <c r="BB4" s="36"/>
      <c r="BC4" s="36"/>
      <c r="BD4" s="676"/>
      <c r="BE4" s="676"/>
      <c r="BF4" s="676"/>
      <c r="BG4" s="36"/>
      <c r="BH4" s="36"/>
    </row>
    <row r="5" spans="1:80" ht="25.5" customHeight="1" x14ac:dyDescent="0.25">
      <c r="A5" s="32"/>
      <c r="B5" s="33"/>
      <c r="C5" s="34"/>
      <c r="D5" s="35"/>
      <c r="E5" s="1370"/>
      <c r="F5" s="32"/>
      <c r="G5" s="33"/>
      <c r="H5" s="34"/>
      <c r="I5" s="35"/>
      <c r="J5" s="1370"/>
      <c r="K5" s="32"/>
      <c r="L5" s="33"/>
      <c r="M5" s="34"/>
      <c r="N5" s="35"/>
      <c r="O5" s="1370"/>
      <c r="P5" s="1686"/>
      <c r="Q5" s="1687"/>
      <c r="R5" s="1687"/>
      <c r="S5" s="1687"/>
      <c r="T5" s="1688"/>
      <c r="U5" s="1686"/>
      <c r="V5" s="1687"/>
      <c r="W5" s="1687"/>
      <c r="X5" s="1687"/>
      <c r="Y5" s="1688"/>
      <c r="Z5" s="1686"/>
      <c r="AA5" s="1687"/>
      <c r="AB5" s="1687"/>
      <c r="AC5" s="1687"/>
      <c r="AD5" s="1688"/>
      <c r="AE5" s="1686"/>
      <c r="AF5" s="1687"/>
      <c r="AG5" s="1687"/>
      <c r="AH5" s="1687"/>
      <c r="AI5" s="1688"/>
      <c r="AJ5" s="32"/>
      <c r="AK5" s="33"/>
      <c r="AL5" s="34"/>
      <c r="AM5" s="35"/>
      <c r="AN5" s="1370"/>
      <c r="AO5" s="32"/>
      <c r="AP5" s="33"/>
      <c r="AQ5" s="34"/>
      <c r="AR5" s="35"/>
      <c r="AS5" s="1370"/>
      <c r="AT5" s="32"/>
      <c r="AU5" s="33"/>
      <c r="AV5" s="34"/>
      <c r="AW5" s="35"/>
      <c r="AX5" s="1370"/>
      <c r="AY5" s="676"/>
      <c r="AZ5" s="676"/>
      <c r="BA5" s="676"/>
      <c r="BB5" s="36"/>
      <c r="BC5" s="36"/>
      <c r="BD5" s="676"/>
      <c r="BE5" s="676"/>
      <c r="BF5" s="676"/>
      <c r="BG5" s="36"/>
      <c r="BH5" s="36"/>
    </row>
    <row r="6" spans="1:80" ht="72" customHeight="1" x14ac:dyDescent="0.25">
      <c r="A6" s="1371"/>
      <c r="B6" s="1371"/>
      <c r="C6" s="1371"/>
      <c r="D6" s="1371"/>
      <c r="E6" s="1370"/>
      <c r="F6" s="1371"/>
      <c r="G6" s="1371"/>
      <c r="H6" s="1371"/>
      <c r="I6" s="1371"/>
      <c r="J6" s="1370"/>
      <c r="K6" s="254"/>
      <c r="L6" s="254"/>
      <c r="M6" s="254"/>
      <c r="N6" s="254"/>
      <c r="O6" s="291"/>
      <c r="P6" s="3141" t="s">
        <v>478</v>
      </c>
      <c r="Q6" s="1714">
        <v>1</v>
      </c>
      <c r="R6" s="1715"/>
      <c r="S6" s="1715"/>
      <c r="T6" s="1716"/>
      <c r="U6" s="3141" t="s">
        <v>478</v>
      </c>
      <c r="V6" s="1714">
        <v>2</v>
      </c>
      <c r="W6" s="1715"/>
      <c r="X6" s="1715"/>
      <c r="Y6" s="1716"/>
      <c r="Z6" s="3141" t="s">
        <v>478</v>
      </c>
      <c r="AA6" s="1714">
        <v>3</v>
      </c>
      <c r="AB6" s="1715"/>
      <c r="AC6" s="1715"/>
      <c r="AD6" s="1716"/>
      <c r="AE6" s="3141" t="s">
        <v>478</v>
      </c>
      <c r="AF6" s="1714">
        <v>4</v>
      </c>
      <c r="AG6" s="1715"/>
      <c r="AH6" s="1715"/>
      <c r="AI6" s="1716"/>
      <c r="AJ6" s="254"/>
      <c r="AK6" s="254"/>
      <c r="AL6" s="254"/>
      <c r="AM6" s="254"/>
      <c r="AN6" s="291"/>
      <c r="AO6" s="1371"/>
      <c r="AP6" s="1371"/>
      <c r="AQ6" s="1371"/>
      <c r="AR6" s="1371"/>
      <c r="AS6" s="1370"/>
      <c r="AT6" s="1371"/>
      <c r="AU6" s="1371"/>
      <c r="AV6" s="1371"/>
      <c r="AW6" s="1371"/>
      <c r="AX6" s="1370"/>
      <c r="AY6" s="677"/>
      <c r="AZ6" s="1332"/>
      <c r="BA6" s="1332"/>
      <c r="BB6" s="1332"/>
      <c r="BC6" s="1332"/>
      <c r="BD6" s="677"/>
      <c r="BE6" s="1332"/>
      <c r="BF6" s="1332"/>
      <c r="BG6" s="1332"/>
      <c r="BH6" s="1332"/>
      <c r="BM6" s="27"/>
      <c r="BN6" s="27"/>
      <c r="BO6" s="27"/>
      <c r="BP6" s="27"/>
      <c r="BQ6" s="27"/>
      <c r="BR6" s="27"/>
      <c r="BW6" s="27"/>
      <c r="BX6" s="27"/>
      <c r="BY6" s="27"/>
      <c r="BZ6" s="27"/>
      <c r="CA6" s="27"/>
      <c r="CB6" s="27"/>
    </row>
    <row r="7" spans="1:80" ht="35.1" customHeight="1" thickBot="1" x14ac:dyDescent="0.3">
      <c r="A7" s="32"/>
      <c r="B7" s="33"/>
      <c r="C7" s="34"/>
      <c r="D7" s="35"/>
      <c r="E7" s="1370"/>
      <c r="F7" s="32"/>
      <c r="G7" s="33"/>
      <c r="H7" s="34"/>
      <c r="I7" s="35"/>
      <c r="J7" s="1370"/>
      <c r="K7" s="32"/>
      <c r="L7" s="33"/>
      <c r="M7" s="34"/>
      <c r="N7" s="35"/>
      <c r="O7" s="291"/>
      <c r="P7" s="3142"/>
      <c r="Q7" s="241">
        <v>10.058400000000001</v>
      </c>
      <c r="R7" s="242" t="s">
        <v>113</v>
      </c>
      <c r="S7" s="243">
        <v>2</v>
      </c>
      <c r="T7" s="244" t="s">
        <v>114</v>
      </c>
      <c r="U7" s="3142"/>
      <c r="V7" s="241">
        <v>0.93979999999999997</v>
      </c>
      <c r="W7" s="242" t="s">
        <v>113</v>
      </c>
      <c r="X7" s="243">
        <v>2</v>
      </c>
      <c r="Y7" s="244" t="s">
        <v>114</v>
      </c>
      <c r="Z7" s="3142"/>
      <c r="AA7" s="241">
        <v>2.286</v>
      </c>
      <c r="AB7" s="242" t="s">
        <v>113</v>
      </c>
      <c r="AC7" s="243">
        <v>2</v>
      </c>
      <c r="AD7" s="244" t="s">
        <v>114</v>
      </c>
      <c r="AE7" s="3142"/>
      <c r="AF7" s="241">
        <v>0.83819999999999995</v>
      </c>
      <c r="AG7" s="242" t="s">
        <v>113</v>
      </c>
      <c r="AH7" s="243">
        <v>2</v>
      </c>
      <c r="AI7" s="244" t="s">
        <v>114</v>
      </c>
      <c r="AJ7" s="32"/>
      <c r="AK7" s="33"/>
      <c r="AL7" s="34"/>
      <c r="AM7" s="35"/>
      <c r="AN7" s="291"/>
      <c r="AO7" s="32"/>
      <c r="AP7" s="33"/>
      <c r="AQ7" s="34"/>
      <c r="AR7" s="35"/>
      <c r="AS7" s="1370"/>
      <c r="AT7" s="32"/>
      <c r="AU7" s="33"/>
      <c r="AV7" s="34"/>
      <c r="AW7" s="35"/>
      <c r="AX7" s="1370"/>
      <c r="AY7" s="677"/>
      <c r="AZ7" s="137"/>
      <c r="BA7" s="33"/>
      <c r="BB7" s="138"/>
      <c r="BC7" s="35"/>
      <c r="BD7" s="677"/>
      <c r="BE7" s="137"/>
      <c r="BF7" s="33"/>
      <c r="BG7" s="138"/>
      <c r="BH7" s="35"/>
      <c r="BM7" s="27"/>
      <c r="BN7" s="27"/>
      <c r="BO7" s="27"/>
      <c r="BP7" s="27"/>
      <c r="BQ7" s="27"/>
      <c r="BR7" s="27"/>
      <c r="BW7" s="27"/>
      <c r="BX7" s="27"/>
      <c r="BY7" s="27"/>
      <c r="BZ7" s="27"/>
      <c r="CA7" s="27"/>
      <c r="CB7" s="27"/>
    </row>
    <row r="8" spans="1:80" ht="121.5" customHeight="1" thickTop="1" x14ac:dyDescent="0.25">
      <c r="A8" s="1371"/>
      <c r="B8" s="1371"/>
      <c r="C8" s="1371"/>
      <c r="D8" s="1371"/>
      <c r="E8" s="1370"/>
      <c r="F8" s="1371"/>
      <c r="G8" s="1371"/>
      <c r="H8" s="1371"/>
      <c r="I8" s="1371"/>
      <c r="J8" s="1370"/>
      <c r="K8" s="1371"/>
      <c r="L8" s="1371"/>
      <c r="M8" s="1371"/>
      <c r="N8" s="1371"/>
      <c r="O8" s="1370"/>
      <c r="P8" s="1371"/>
      <c r="Q8" s="1371"/>
      <c r="R8" s="1371"/>
      <c r="S8" s="1371"/>
      <c r="T8" s="1370"/>
      <c r="U8" s="376"/>
      <c r="V8" s="376"/>
      <c r="W8" s="376"/>
      <c r="X8" s="376"/>
      <c r="Y8" s="377"/>
      <c r="Z8" s="1371"/>
      <c r="AA8" s="1371"/>
      <c r="AB8" s="1371"/>
      <c r="AC8" s="1371"/>
      <c r="AD8" s="1370"/>
      <c r="AE8" s="1371"/>
      <c r="AF8" s="1371"/>
      <c r="AG8" s="1371"/>
      <c r="AH8" s="1371"/>
      <c r="AI8" s="1370"/>
      <c r="AJ8" s="1371"/>
      <c r="AK8" s="1371"/>
      <c r="AL8" s="1371"/>
      <c r="AM8" s="1371"/>
      <c r="AN8" s="1370"/>
      <c r="AO8" s="165"/>
      <c r="AP8" s="1997"/>
      <c r="AQ8" s="1998"/>
      <c r="AR8" s="1998"/>
      <c r="AS8" s="1998"/>
      <c r="AT8" s="1998"/>
      <c r="AU8" s="1998"/>
      <c r="AV8" s="1998"/>
      <c r="AW8" s="1998"/>
      <c r="AX8" s="165"/>
      <c r="AY8" s="674"/>
      <c r="AZ8" s="674"/>
      <c r="BA8" s="674"/>
      <c r="BB8" s="1300"/>
      <c r="BC8" s="1300"/>
      <c r="BD8" s="674"/>
      <c r="BE8" s="674"/>
      <c r="BF8" s="674"/>
      <c r="BG8" s="1300"/>
      <c r="BH8" s="1300"/>
      <c r="BM8" s="27"/>
      <c r="BN8" s="27"/>
      <c r="BO8" s="27"/>
      <c r="BP8" s="27"/>
      <c r="BQ8" s="27"/>
      <c r="BR8" s="27"/>
      <c r="BW8" s="27"/>
      <c r="BX8" s="27"/>
      <c r="BY8" s="27"/>
      <c r="BZ8" s="27"/>
      <c r="CA8" s="27"/>
      <c r="CB8" s="27"/>
    </row>
    <row r="9" spans="1:80" ht="30" customHeight="1" x14ac:dyDescent="0.25">
      <c r="A9" s="32"/>
      <c r="B9" s="33"/>
      <c r="C9" s="34"/>
      <c r="D9" s="35"/>
      <c r="E9" s="1370"/>
      <c r="F9" s="32"/>
      <c r="G9" s="33"/>
      <c r="H9" s="34"/>
      <c r="I9" s="35"/>
      <c r="J9" s="1370"/>
      <c r="K9" s="32"/>
      <c r="L9" s="33"/>
      <c r="M9" s="34"/>
      <c r="N9" s="35"/>
      <c r="O9" s="1370"/>
      <c r="P9" s="32"/>
      <c r="Q9" s="33"/>
      <c r="R9" s="34"/>
      <c r="S9" s="35"/>
      <c r="T9" s="1370"/>
      <c r="U9" s="1371"/>
      <c r="V9" s="1371"/>
      <c r="W9" s="1371"/>
      <c r="X9" s="1371"/>
      <c r="Y9" s="1370"/>
      <c r="Z9" s="32"/>
      <c r="AA9" s="33"/>
      <c r="AB9" s="34"/>
      <c r="AC9" s="35"/>
      <c r="AD9" s="1370"/>
      <c r="AE9" s="32"/>
      <c r="AF9" s="33"/>
      <c r="AG9" s="34"/>
      <c r="AH9" s="35"/>
      <c r="AI9" s="1370"/>
      <c r="AJ9" s="32"/>
      <c r="AK9" s="33"/>
      <c r="AL9" s="34"/>
      <c r="AM9" s="35"/>
      <c r="AN9" s="1370"/>
      <c r="AO9" s="165">
        <v>2</v>
      </c>
      <c r="AP9" s="1998"/>
      <c r="AQ9" s="1998"/>
      <c r="AR9" s="1998"/>
      <c r="AS9" s="1998"/>
      <c r="AT9" s="1998"/>
      <c r="AU9" s="1998"/>
      <c r="AV9" s="1998"/>
      <c r="AW9" s="1998"/>
      <c r="AX9" s="165"/>
      <c r="AY9" s="676"/>
      <c r="AZ9" s="676"/>
      <c r="BA9" s="676"/>
      <c r="BB9" s="36"/>
      <c r="BC9" s="36"/>
      <c r="BD9" s="676"/>
      <c r="BE9" s="676"/>
      <c r="BF9" s="676"/>
      <c r="BG9" s="36"/>
      <c r="BH9" s="36"/>
    </row>
    <row r="10" spans="1:80" ht="30" customHeight="1" x14ac:dyDescent="0.25">
      <c r="A10" s="1371"/>
      <c r="B10" s="1371"/>
      <c r="C10" s="1371"/>
      <c r="D10" s="1371"/>
      <c r="E10" s="1370"/>
      <c r="F10" s="1371"/>
      <c r="G10" s="1371"/>
      <c r="H10" s="1371"/>
      <c r="I10" s="1371"/>
      <c r="J10" s="1370"/>
      <c r="K10" s="1371"/>
      <c r="L10" s="1371"/>
      <c r="M10" s="1371"/>
      <c r="N10" s="1371"/>
      <c r="O10" s="1370"/>
      <c r="P10" s="1371"/>
      <c r="Q10" s="1371"/>
      <c r="R10" s="1371"/>
      <c r="S10" s="1371"/>
      <c r="T10" s="1370"/>
      <c r="U10" s="32"/>
      <c r="V10" s="33"/>
      <c r="W10" s="34"/>
      <c r="X10" s="35"/>
      <c r="Y10" s="1370"/>
      <c r="Z10" s="1371"/>
      <c r="AA10" s="1371"/>
      <c r="AB10" s="1371"/>
      <c r="AC10" s="1371"/>
      <c r="AD10" s="1370"/>
      <c r="AE10" s="1371"/>
      <c r="AF10" s="1371"/>
      <c r="AG10" s="1371"/>
      <c r="AH10" s="1371"/>
      <c r="AI10" s="1370"/>
      <c r="AJ10" s="1371"/>
      <c r="AK10" s="1371"/>
      <c r="AL10" s="1371"/>
      <c r="AM10" s="1371"/>
      <c r="AN10" s="1370"/>
      <c r="AO10" s="165"/>
      <c r="AP10" s="1998"/>
      <c r="AQ10" s="1998"/>
      <c r="AR10" s="1998"/>
      <c r="AS10" s="1998"/>
      <c r="AT10" s="1998"/>
      <c r="AU10" s="1998"/>
      <c r="AV10" s="1998"/>
      <c r="AW10" s="1998"/>
      <c r="AX10" s="165"/>
      <c r="AY10" s="676"/>
      <c r="AZ10" s="676"/>
      <c r="BA10" s="676"/>
      <c r="BB10" s="36"/>
      <c r="BC10" s="36"/>
      <c r="BD10" s="676"/>
      <c r="BE10" s="676"/>
      <c r="BF10" s="676"/>
      <c r="BG10" s="36"/>
      <c r="BH10" s="36"/>
    </row>
    <row r="11" spans="1:80" ht="51.75" customHeight="1" x14ac:dyDescent="0.25">
      <c r="A11" s="32"/>
      <c r="B11" s="33"/>
      <c r="C11" s="34"/>
      <c r="D11" s="35"/>
      <c r="E11" s="1370"/>
      <c r="F11" s="32"/>
      <c r="G11" s="33"/>
      <c r="H11" s="34"/>
      <c r="I11" s="35"/>
      <c r="J11" s="1370"/>
      <c r="K11" s="32"/>
      <c r="L11" s="33"/>
      <c r="M11" s="34"/>
      <c r="N11" s="35"/>
      <c r="O11" s="1370"/>
      <c r="P11" s="32"/>
      <c r="Q11" s="33"/>
      <c r="R11" s="34"/>
      <c r="S11" s="35"/>
      <c r="T11" s="1370"/>
      <c r="U11" s="1371"/>
      <c r="V11" s="1371"/>
      <c r="W11" s="1371"/>
      <c r="X11" s="1371"/>
      <c r="Y11" s="1370"/>
      <c r="Z11" s="32"/>
      <c r="AA11" s="33"/>
      <c r="AB11" s="34"/>
      <c r="AC11" s="35"/>
      <c r="AD11" s="1370"/>
      <c r="AE11" s="32"/>
      <c r="AF11" s="33"/>
      <c r="AG11" s="34"/>
      <c r="AH11" s="35"/>
      <c r="AI11" s="1370"/>
      <c r="AJ11" s="32"/>
      <c r="AK11" s="33"/>
      <c r="AL11" s="34"/>
      <c r="AM11" s="35"/>
      <c r="AN11" s="1370"/>
      <c r="AO11" s="165"/>
      <c r="AP11" s="1998"/>
      <c r="AQ11" s="1998"/>
      <c r="AR11" s="1998"/>
      <c r="AS11" s="1998"/>
      <c r="AT11" s="1998"/>
      <c r="AU11" s="1998"/>
      <c r="AV11" s="1998"/>
      <c r="AW11" s="1998"/>
      <c r="AX11" s="165"/>
      <c r="AY11" s="676"/>
      <c r="AZ11" s="676"/>
      <c r="BA11" s="676"/>
      <c r="BB11" s="36"/>
      <c r="BC11" s="36"/>
      <c r="BD11" s="676"/>
      <c r="BE11" s="676"/>
      <c r="BF11" s="676"/>
      <c r="BG11" s="36"/>
      <c r="BH11" s="36"/>
    </row>
    <row r="12" spans="1:80" ht="30" customHeight="1" x14ac:dyDescent="0.25">
      <c r="A12" s="1371"/>
      <c r="B12" s="1371"/>
      <c r="C12" s="1371"/>
      <c r="D12" s="1371"/>
      <c r="E12" s="1370"/>
      <c r="F12" s="1371"/>
      <c r="G12" s="1371"/>
      <c r="H12" s="1371"/>
      <c r="I12" s="1371"/>
      <c r="J12" s="1370"/>
      <c r="K12" s="1371"/>
      <c r="L12" s="1371"/>
      <c r="M12" s="1371"/>
      <c r="N12" s="1371"/>
      <c r="O12" s="1370"/>
      <c r="P12" s="1371"/>
      <c r="Q12" s="1371"/>
      <c r="R12" s="1371"/>
      <c r="S12" s="1371"/>
      <c r="T12" s="1370"/>
      <c r="U12" s="32"/>
      <c r="V12" s="33"/>
      <c r="W12" s="34"/>
      <c r="X12" s="35"/>
      <c r="Y12" s="1370"/>
      <c r="Z12" s="1371"/>
      <c r="AA12" s="1371"/>
      <c r="AB12" s="1371"/>
      <c r="AC12" s="1371"/>
      <c r="AD12" s="1370"/>
      <c r="AE12" s="1371"/>
      <c r="AF12" s="1371"/>
      <c r="AG12" s="1371"/>
      <c r="AH12" s="1371"/>
      <c r="AI12" s="1370"/>
      <c r="AJ12" s="1371"/>
      <c r="AK12" s="1371"/>
      <c r="AL12" s="1371"/>
      <c r="AM12" s="1371"/>
      <c r="AN12" s="1370"/>
      <c r="AO12" s="165"/>
      <c r="AP12" s="165"/>
      <c r="AQ12" s="165"/>
      <c r="AR12" s="165"/>
      <c r="AS12" s="165"/>
      <c r="AT12" s="165"/>
      <c r="AU12" s="165"/>
      <c r="AV12" s="165"/>
      <c r="AW12" s="165"/>
      <c r="AX12" s="165"/>
      <c r="AY12" s="677"/>
      <c r="AZ12" s="1332"/>
      <c r="BA12" s="1332"/>
      <c r="BB12" s="1332"/>
      <c r="BC12" s="1332"/>
      <c r="BD12" s="677"/>
      <c r="BE12" s="1332"/>
      <c r="BF12" s="1332"/>
      <c r="BG12" s="1332"/>
      <c r="BH12" s="1332"/>
      <c r="BM12" s="51"/>
      <c r="BN12" s="51"/>
      <c r="BO12" s="51"/>
      <c r="BP12" s="51"/>
      <c r="BQ12" s="51"/>
      <c r="BR12" s="51"/>
      <c r="BW12" s="27"/>
      <c r="BX12" s="27"/>
      <c r="BY12" s="27"/>
      <c r="BZ12" s="27"/>
      <c r="CA12" s="27"/>
      <c r="CB12" s="27"/>
    </row>
    <row r="13" spans="1:80" ht="30" customHeight="1" x14ac:dyDescent="0.25">
      <c r="A13" s="32"/>
      <c r="B13" s="33"/>
      <c r="C13" s="34"/>
      <c r="D13" s="35"/>
      <c r="E13" s="1370"/>
      <c r="F13" s="32"/>
      <c r="G13" s="33"/>
      <c r="H13" s="34"/>
      <c r="I13" s="35"/>
      <c r="J13" s="1370"/>
      <c r="K13" s="32"/>
      <c r="L13" s="33"/>
      <c r="M13" s="34"/>
      <c r="N13" s="35"/>
      <c r="O13" s="1370"/>
      <c r="P13" s="32"/>
      <c r="Q13" s="33"/>
      <c r="R13" s="34"/>
      <c r="S13" s="35"/>
      <c r="T13" s="1370"/>
      <c r="U13" s="254"/>
      <c r="V13" s="254"/>
      <c r="W13" s="254"/>
      <c r="X13" s="254"/>
      <c r="Y13" s="291"/>
      <c r="Z13" s="32"/>
      <c r="AA13" s="33"/>
      <c r="AB13" s="34"/>
      <c r="AC13" s="35"/>
      <c r="AD13" s="1370"/>
      <c r="AE13" s="32"/>
      <c r="AF13" s="33"/>
      <c r="AG13" s="34"/>
      <c r="AH13" s="35"/>
      <c r="AI13" s="1370"/>
      <c r="AJ13" s="32"/>
      <c r="AK13" s="33"/>
      <c r="AL13" s="34"/>
      <c r="AM13" s="35"/>
      <c r="AN13" s="1370"/>
      <c r="AO13" s="165"/>
      <c r="AP13" s="165"/>
      <c r="AQ13" s="165"/>
      <c r="AR13" s="165"/>
      <c r="AS13" s="165"/>
      <c r="AT13" s="165"/>
      <c r="AU13" s="165"/>
      <c r="AV13" s="165"/>
      <c r="AW13" s="165"/>
      <c r="AX13" s="165"/>
      <c r="AY13" s="677"/>
      <c r="AZ13" s="137"/>
      <c r="BA13" s="33"/>
      <c r="BB13" s="138"/>
      <c r="BC13" s="35"/>
      <c r="BD13" s="677"/>
      <c r="BE13" s="137"/>
      <c r="BF13" s="33"/>
      <c r="BG13" s="138"/>
      <c r="BH13" s="35"/>
      <c r="BM13" s="51"/>
      <c r="BN13" s="51"/>
      <c r="BO13" s="51"/>
      <c r="BP13" s="51"/>
      <c r="BQ13" s="51"/>
      <c r="BR13" s="51"/>
      <c r="BW13" s="27"/>
      <c r="BX13" s="27"/>
      <c r="BY13" s="27"/>
      <c r="BZ13" s="27"/>
      <c r="CA13" s="27"/>
      <c r="CB13" s="27"/>
    </row>
    <row r="14" spans="1:80" ht="39.950000000000003" hidden="1" customHeight="1" thickTop="1" x14ac:dyDescent="0.25">
      <c r="A14" s="1695" t="s">
        <v>250</v>
      </c>
      <c r="B14" s="1696"/>
      <c r="C14" s="1696"/>
      <c r="D14" s="1697">
        <f>B19/((42*3.1415/59)*(30/3.281))</f>
        <v>0</v>
      </c>
      <c r="E14" s="1698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32"/>
      <c r="V14" s="33"/>
      <c r="W14" s="34"/>
      <c r="X14" s="35"/>
      <c r="Y14" s="291"/>
      <c r="Z14" s="44"/>
      <c r="AA14" s="44"/>
      <c r="AB14" s="44"/>
      <c r="AC14" s="44"/>
      <c r="AD14" s="44"/>
      <c r="AE14" s="44"/>
      <c r="AF14" s="44"/>
      <c r="AG14" s="44"/>
      <c r="AH14" s="69"/>
      <c r="AI14" s="69"/>
      <c r="AJ14" s="44"/>
      <c r="AK14" s="44"/>
      <c r="AL14" s="44"/>
      <c r="AM14" s="69"/>
      <c r="AN14" s="69"/>
      <c r="AO14" s="674"/>
      <c r="AP14" s="674"/>
      <c r="AQ14" s="674"/>
      <c r="AR14" s="1300"/>
      <c r="AS14" s="1300"/>
      <c r="AT14" s="1389"/>
      <c r="AU14" s="1389"/>
      <c r="AV14" s="1389"/>
      <c r="AW14" s="1390"/>
      <c r="AX14" s="1390"/>
      <c r="AY14" s="674"/>
      <c r="AZ14" s="674"/>
      <c r="BA14" s="674"/>
      <c r="BB14" s="1300"/>
      <c r="BC14" s="1300"/>
      <c r="BD14" s="674"/>
      <c r="BE14" s="674"/>
      <c r="BF14" s="674"/>
      <c r="BG14" s="1300"/>
      <c r="BH14" s="1300"/>
      <c r="BM14" s="51"/>
      <c r="BN14" s="51"/>
      <c r="BO14" s="51"/>
      <c r="BP14" s="51"/>
      <c r="BQ14" s="51"/>
      <c r="BR14" s="51"/>
      <c r="BW14" s="27"/>
      <c r="BX14" s="27"/>
      <c r="BY14" s="27"/>
      <c r="BZ14" s="27"/>
      <c r="CA14" s="27"/>
      <c r="CB14" s="27"/>
    </row>
    <row r="15" spans="1:80" ht="9.9499999999999993" hidden="1" customHeight="1" x14ac:dyDescent="0.25">
      <c r="A15" s="1379" t="s">
        <v>252</v>
      </c>
      <c r="B15" s="1380"/>
      <c r="C15" s="1380"/>
      <c r="D15" s="1380"/>
      <c r="E15" s="1381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Z15" s="47"/>
      <c r="AA15" s="47"/>
      <c r="AB15" s="47"/>
      <c r="AC15" s="47"/>
      <c r="AD15" s="47"/>
      <c r="AE15" s="47"/>
      <c r="AF15" s="47"/>
      <c r="AG15" s="47"/>
      <c r="AH15" s="36"/>
      <c r="AI15" s="36"/>
      <c r="AJ15" s="47"/>
      <c r="AK15" s="47"/>
      <c r="AL15" s="47"/>
      <c r="AM15" s="36"/>
      <c r="AN15" s="36"/>
      <c r="AO15" s="676"/>
      <c r="AP15" s="676"/>
      <c r="AQ15" s="676"/>
      <c r="AR15" s="36"/>
      <c r="AS15" s="36"/>
      <c r="AT15" s="1388"/>
      <c r="AU15" s="1388"/>
      <c r="AV15" s="1388"/>
      <c r="AW15" s="139"/>
      <c r="AX15" s="139"/>
      <c r="AY15" s="676"/>
      <c r="AZ15" s="676"/>
      <c r="BA15" s="676"/>
      <c r="BB15" s="36"/>
      <c r="BC15" s="36"/>
      <c r="BD15" s="676"/>
      <c r="BE15" s="676"/>
      <c r="BF15" s="676"/>
      <c r="BG15" s="36"/>
      <c r="BH15" s="36"/>
    </row>
    <row r="16" spans="1:80" ht="24.95" hidden="1" customHeight="1" x14ac:dyDescent="0.25">
      <c r="A16" s="1382"/>
      <c r="B16" s="1383"/>
      <c r="C16" s="1383"/>
      <c r="D16" s="1383"/>
      <c r="E16" s="1384"/>
      <c r="F16" s="47"/>
      <c r="G16" s="47"/>
      <c r="H16" s="47"/>
      <c r="I16" s="47"/>
      <c r="J16" s="47"/>
      <c r="K16" s="47"/>
      <c r="L16" s="47"/>
      <c r="M16" s="285"/>
      <c r="N16" s="285"/>
      <c r="O16" s="285"/>
      <c r="P16" s="285"/>
      <c r="Q16" s="285"/>
      <c r="R16" s="47"/>
      <c r="S16" s="47"/>
      <c r="T16" s="47"/>
      <c r="Z16" s="47"/>
      <c r="AA16" s="47"/>
      <c r="AB16" s="47"/>
      <c r="AC16" s="47"/>
      <c r="AD16" s="47"/>
      <c r="AE16" s="47"/>
      <c r="AF16" s="47"/>
      <c r="AG16" s="47"/>
      <c r="AH16" s="140"/>
      <c r="AI16" s="36"/>
      <c r="AJ16" s="47"/>
      <c r="AK16" s="47"/>
      <c r="AL16" s="47"/>
      <c r="AM16" s="140"/>
      <c r="AN16" s="36"/>
      <c r="AO16" s="676"/>
      <c r="AP16" s="676"/>
      <c r="AQ16" s="676"/>
      <c r="AR16" s="140"/>
      <c r="AS16" s="36"/>
      <c r="AT16" s="1388"/>
      <c r="AU16" s="1388"/>
      <c r="AV16" s="1388"/>
      <c r="AW16" s="141"/>
      <c r="AX16" s="139"/>
      <c r="AY16" s="676"/>
      <c r="AZ16" s="676"/>
      <c r="BA16" s="676"/>
      <c r="BB16" s="36"/>
      <c r="BC16" s="36"/>
      <c r="BD16" s="676"/>
      <c r="BE16" s="676"/>
      <c r="BF16" s="676"/>
      <c r="BG16" s="36"/>
      <c r="BH16" s="36"/>
    </row>
    <row r="17" spans="1:80" ht="9.9499999999999993" hidden="1" customHeight="1" x14ac:dyDescent="0.25">
      <c r="A17" s="1385"/>
      <c r="B17" s="1386"/>
      <c r="C17" s="1386"/>
      <c r="D17" s="1386"/>
      <c r="E17" s="138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Z17" s="47"/>
      <c r="AA17" s="47"/>
      <c r="AB17" s="47"/>
      <c r="AC17" s="47"/>
      <c r="AD17" s="47"/>
      <c r="AE17" s="47"/>
      <c r="AF17" s="47"/>
      <c r="AG17" s="47"/>
      <c r="AH17" s="36"/>
      <c r="AI17" s="36"/>
      <c r="AJ17" s="47"/>
      <c r="AK17" s="47"/>
      <c r="AL17" s="47"/>
      <c r="AM17" s="36"/>
      <c r="AN17" s="36"/>
      <c r="AO17" s="676"/>
      <c r="AP17" s="676"/>
      <c r="AQ17" s="676"/>
      <c r="AR17" s="36"/>
      <c r="AS17" s="36"/>
      <c r="AT17" s="1388"/>
      <c r="AU17" s="1388"/>
      <c r="AV17" s="1388"/>
      <c r="AW17" s="139"/>
      <c r="AX17" s="139"/>
      <c r="AY17" s="676"/>
      <c r="AZ17" s="676"/>
      <c r="BA17" s="676"/>
      <c r="BB17" s="36"/>
      <c r="BC17" s="36"/>
      <c r="BD17" s="676"/>
      <c r="BE17" s="676"/>
      <c r="BF17" s="676"/>
      <c r="BG17" s="36"/>
      <c r="BH17" s="36"/>
    </row>
    <row r="18" spans="1:80" ht="72" hidden="1" customHeight="1" x14ac:dyDescent="0.25">
      <c r="A18" s="1374" t="s">
        <v>253</v>
      </c>
      <c r="B18" s="1376"/>
      <c r="C18" s="1377"/>
      <c r="D18" s="1377"/>
      <c r="E18" s="1378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3"/>
      <c r="AU18" s="143"/>
      <c r="AV18" s="143"/>
      <c r="AW18" s="143"/>
      <c r="AX18" s="143"/>
      <c r="AY18" s="677"/>
      <c r="AZ18" s="1332"/>
      <c r="BA18" s="1332"/>
      <c r="BB18" s="1332"/>
      <c r="BC18" s="1332"/>
      <c r="BD18" s="677"/>
      <c r="BE18" s="1332" t="s">
        <v>16</v>
      </c>
      <c r="BF18" s="1332"/>
      <c r="BG18" s="1332"/>
      <c r="BH18" s="1332"/>
      <c r="BM18" s="51"/>
      <c r="BN18" s="51"/>
      <c r="BO18" s="51"/>
      <c r="BP18" s="51"/>
      <c r="BQ18" s="51"/>
      <c r="BR18" s="51"/>
      <c r="BW18" s="27"/>
      <c r="BX18" s="27"/>
      <c r="BY18" s="27"/>
      <c r="BZ18" s="27"/>
      <c r="CA18" s="27"/>
      <c r="CB18" s="27"/>
    </row>
    <row r="19" spans="1:80" ht="35.1" hidden="1" customHeight="1" thickBot="1" x14ac:dyDescent="0.3">
      <c r="A19" s="1375"/>
      <c r="B19" s="144"/>
      <c r="C19" s="145" t="s">
        <v>113</v>
      </c>
      <c r="D19" s="146"/>
      <c r="E19" s="147" t="s">
        <v>114</v>
      </c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148"/>
      <c r="AU19" s="148"/>
      <c r="AV19" s="148"/>
      <c r="AW19" s="148"/>
      <c r="AX19" s="148"/>
      <c r="AY19" s="677"/>
      <c r="AZ19" s="137"/>
      <c r="BA19" s="33"/>
      <c r="BB19" s="138"/>
      <c r="BC19" s="35"/>
      <c r="BD19" s="677"/>
      <c r="BE19" s="137"/>
      <c r="BF19" s="33"/>
      <c r="BG19" s="138"/>
      <c r="BH19" s="35"/>
      <c r="BM19" s="51"/>
      <c r="BN19" s="51"/>
      <c r="BO19" s="51"/>
      <c r="BP19" s="51"/>
      <c r="BQ19" s="51"/>
      <c r="BR19" s="51"/>
      <c r="BW19" s="27"/>
      <c r="BX19" s="27"/>
      <c r="BY19" s="27"/>
      <c r="BZ19" s="27"/>
      <c r="CA19" s="27"/>
      <c r="CB19" s="27"/>
    </row>
    <row r="20" spans="1:80" ht="26.25" hidden="1" customHeight="1" x14ac:dyDescent="0.25">
      <c r="A20" s="1396"/>
      <c r="B20" s="1396"/>
      <c r="C20" s="1396"/>
      <c r="D20" s="1397"/>
      <c r="E20" s="1397"/>
      <c r="F20" s="674"/>
      <c r="G20" s="674"/>
      <c r="H20" s="674"/>
      <c r="I20" s="1300"/>
      <c r="J20" s="1300"/>
      <c r="K20" s="44"/>
      <c r="L20" s="44"/>
      <c r="M20" s="44"/>
      <c r="N20" s="69"/>
      <c r="O20" s="69"/>
      <c r="P20" s="44"/>
      <c r="Q20" s="44"/>
      <c r="R20" s="44"/>
      <c r="S20" s="69"/>
      <c r="T20" s="69"/>
      <c r="U20" s="44"/>
      <c r="V20" s="44"/>
      <c r="W20" s="44"/>
      <c r="X20" s="69"/>
      <c r="Y20" s="69"/>
      <c r="Z20" s="44"/>
      <c r="AA20" s="44"/>
      <c r="AB20" s="44"/>
      <c r="AC20" s="69"/>
      <c r="AD20" s="69"/>
      <c r="AE20" s="44"/>
      <c r="AF20" s="44"/>
      <c r="AG20" s="44"/>
      <c r="AH20" s="69"/>
      <c r="AI20" s="69"/>
      <c r="AJ20" s="44"/>
      <c r="AK20" s="44"/>
      <c r="AL20" s="44"/>
      <c r="AM20" s="69"/>
      <c r="AN20" s="69"/>
      <c r="AO20" s="674"/>
      <c r="AP20" s="674"/>
      <c r="AQ20" s="674"/>
      <c r="AR20" s="1300"/>
      <c r="AS20" s="1300"/>
      <c r="AT20" s="1389"/>
      <c r="AU20" s="1389"/>
      <c r="AV20" s="1389"/>
      <c r="AW20" s="1390"/>
      <c r="AX20" s="1390"/>
      <c r="AY20" s="674"/>
      <c r="AZ20" s="674"/>
      <c r="BA20" s="674"/>
      <c r="BB20" s="1300"/>
      <c r="BC20" s="1300"/>
      <c r="BD20" s="674"/>
      <c r="BE20" s="674"/>
      <c r="BF20" s="674"/>
      <c r="BG20" s="1300"/>
      <c r="BH20" s="1300"/>
      <c r="BM20" s="51"/>
      <c r="BN20" s="51"/>
      <c r="BO20" s="51"/>
      <c r="BP20" s="51"/>
      <c r="BQ20" s="51"/>
      <c r="BR20" s="51"/>
      <c r="BW20" s="27"/>
      <c r="BX20" s="27"/>
      <c r="BY20" s="27"/>
      <c r="BZ20" s="27"/>
      <c r="CA20" s="27"/>
      <c r="CB20" s="27"/>
    </row>
    <row r="21" spans="1:80" ht="18.75" hidden="1" customHeight="1" x14ac:dyDescent="0.25">
      <c r="A21" s="1395"/>
      <c r="B21" s="1395"/>
      <c r="C21" s="1395"/>
      <c r="D21" s="149"/>
      <c r="E21" s="149"/>
      <c r="F21" s="676"/>
      <c r="G21" s="676"/>
      <c r="H21" s="676"/>
      <c r="I21" s="36"/>
      <c r="J21" s="36"/>
      <c r="K21" s="47"/>
      <c r="L21" s="47"/>
      <c r="M21" s="47"/>
      <c r="N21" s="36"/>
      <c r="O21" s="36"/>
      <c r="P21" s="47"/>
      <c r="Q21" s="47"/>
      <c r="R21" s="47"/>
      <c r="S21" s="36"/>
      <c r="T21" s="36"/>
      <c r="U21" s="47"/>
      <c r="V21" s="47"/>
      <c r="W21" s="47"/>
      <c r="X21" s="36"/>
      <c r="Y21" s="36"/>
      <c r="Z21" s="47"/>
      <c r="AA21" s="47"/>
      <c r="AB21" s="47"/>
      <c r="AC21" s="36"/>
      <c r="AD21" s="36"/>
      <c r="AE21" s="47"/>
      <c r="AF21" s="47"/>
      <c r="AG21" s="47"/>
      <c r="AH21" s="36"/>
      <c r="AI21" s="36"/>
      <c r="AJ21" s="47"/>
      <c r="AK21" s="47"/>
      <c r="AL21" s="47"/>
      <c r="AM21" s="36"/>
      <c r="AN21" s="36"/>
      <c r="AO21" s="676"/>
      <c r="AP21" s="676"/>
      <c r="AQ21" s="676"/>
      <c r="AR21" s="36"/>
      <c r="AS21" s="36"/>
      <c r="AT21" s="1388"/>
      <c r="AU21" s="1388"/>
      <c r="AV21" s="1388"/>
      <c r="AW21" s="139"/>
      <c r="AX21" s="139"/>
      <c r="AY21" s="676"/>
      <c r="AZ21" s="676"/>
      <c r="BA21" s="676"/>
      <c r="BB21" s="36"/>
      <c r="BC21" s="36"/>
      <c r="BD21" s="676"/>
      <c r="BE21" s="676"/>
      <c r="BF21" s="676"/>
      <c r="BG21" s="36"/>
      <c r="BH21" s="36"/>
    </row>
    <row r="22" spans="1:80" ht="36" hidden="1" customHeight="1" x14ac:dyDescent="0.25">
      <c r="A22" s="1395"/>
      <c r="B22" s="1395"/>
      <c r="C22" s="1395"/>
      <c r="D22" s="150"/>
      <c r="E22" s="149"/>
      <c r="F22" s="676"/>
      <c r="G22" s="676"/>
      <c r="H22" s="676"/>
      <c r="I22" s="140"/>
      <c r="J22" s="36"/>
      <c r="K22" s="47"/>
      <c r="L22" s="47"/>
      <c r="M22" s="47"/>
      <c r="N22" s="140"/>
      <c r="O22" s="36"/>
      <c r="P22" s="47"/>
      <c r="Q22" s="47"/>
      <c r="R22" s="47"/>
      <c r="S22" s="140"/>
      <c r="T22" s="36"/>
      <c r="U22" s="47"/>
      <c r="V22" s="47"/>
      <c r="W22" s="47"/>
      <c r="X22" s="140"/>
      <c r="Y22" s="36"/>
      <c r="Z22" s="47"/>
      <c r="AA22" s="47"/>
      <c r="AB22" s="47"/>
      <c r="AC22" s="140"/>
      <c r="AD22" s="36"/>
      <c r="AE22" s="47"/>
      <c r="AF22" s="47"/>
      <c r="AG22" s="47"/>
      <c r="AH22" s="140"/>
      <c r="AI22" s="36"/>
      <c r="AJ22" s="47"/>
      <c r="AK22" s="47"/>
      <c r="AL22" s="47"/>
      <c r="AM22" s="140"/>
      <c r="AN22" s="36"/>
      <c r="AO22" s="676"/>
      <c r="AP22" s="676"/>
      <c r="AQ22" s="676"/>
      <c r="AR22" s="140"/>
      <c r="AS22" s="36"/>
      <c r="AT22" s="1388"/>
      <c r="AU22" s="1388"/>
      <c r="AV22" s="1388"/>
      <c r="AW22" s="141"/>
      <c r="AX22" s="139"/>
      <c r="AY22" s="676"/>
      <c r="AZ22" s="676"/>
      <c r="BA22" s="676"/>
      <c r="BB22" s="36"/>
      <c r="BC22" s="36"/>
      <c r="BD22" s="676"/>
      <c r="BE22" s="676"/>
      <c r="BF22" s="676"/>
      <c r="BG22" s="36"/>
      <c r="BH22" s="36"/>
    </row>
    <row r="23" spans="1:80" ht="18.75" hidden="1" customHeight="1" x14ac:dyDescent="0.25">
      <c r="A23" s="1395"/>
      <c r="B23" s="1395"/>
      <c r="C23" s="1395"/>
      <c r="D23" s="149"/>
      <c r="E23" s="149"/>
      <c r="F23" s="676"/>
      <c r="G23" s="676"/>
      <c r="H23" s="676"/>
      <c r="I23" s="36"/>
      <c r="J23" s="36"/>
      <c r="K23" s="47"/>
      <c r="L23" s="47"/>
      <c r="M23" s="47"/>
      <c r="N23" s="36"/>
      <c r="O23" s="36"/>
      <c r="P23" s="47"/>
      <c r="Q23" s="47"/>
      <c r="R23" s="47"/>
      <c r="S23" s="36"/>
      <c r="T23" s="36"/>
      <c r="U23" s="47"/>
      <c r="V23" s="47"/>
      <c r="W23" s="47"/>
      <c r="X23" s="36"/>
      <c r="Y23" s="36"/>
      <c r="Z23" s="47"/>
      <c r="AA23" s="47"/>
      <c r="AB23" s="47"/>
      <c r="AC23" s="36"/>
      <c r="AD23" s="36"/>
      <c r="AE23" s="47"/>
      <c r="AF23" s="47"/>
      <c r="AG23" s="47"/>
      <c r="AH23" s="36"/>
      <c r="AI23" s="36"/>
      <c r="AJ23" s="47"/>
      <c r="AK23" s="47"/>
      <c r="AL23" s="47"/>
      <c r="AM23" s="36"/>
      <c r="AN23" s="36"/>
      <c r="AO23" s="676"/>
      <c r="AP23" s="676"/>
      <c r="AQ23" s="676"/>
      <c r="AR23" s="36"/>
      <c r="AS23" s="36"/>
      <c r="AT23" s="1388"/>
      <c r="AU23" s="1388"/>
      <c r="AV23" s="1388"/>
      <c r="AW23" s="139"/>
      <c r="AX23" s="139"/>
      <c r="AY23" s="676"/>
      <c r="AZ23" s="676"/>
      <c r="BA23" s="676"/>
      <c r="BB23" s="36"/>
      <c r="BC23" s="36"/>
      <c r="BD23" s="676"/>
      <c r="BE23" s="676"/>
      <c r="BF23" s="676"/>
      <c r="BG23" s="36"/>
      <c r="BH23" s="36"/>
    </row>
    <row r="24" spans="1:80" ht="77.25" hidden="1" customHeight="1" x14ac:dyDescent="0.25">
      <c r="A24" s="1398"/>
      <c r="B24" s="1399"/>
      <c r="C24" s="1399"/>
      <c r="D24" s="1399"/>
      <c r="E24" s="1399"/>
      <c r="F24" s="1370"/>
      <c r="G24" s="1371"/>
      <c r="H24" s="1371"/>
      <c r="I24" s="1371"/>
      <c r="J24" s="1371"/>
      <c r="K24" s="230"/>
      <c r="L24" s="142"/>
      <c r="M24" s="142"/>
      <c r="N24" s="142"/>
      <c r="O24" s="142"/>
      <c r="P24" s="230"/>
      <c r="Q24" s="142"/>
      <c r="R24" s="142"/>
      <c r="S24" s="142"/>
      <c r="T24" s="142"/>
      <c r="U24" s="230"/>
      <c r="V24" s="142"/>
      <c r="W24" s="142"/>
      <c r="X24" s="142"/>
      <c r="Y24" s="142"/>
      <c r="Z24" s="230"/>
      <c r="AA24" s="142"/>
      <c r="AB24" s="142"/>
      <c r="AC24" s="142"/>
      <c r="AD24" s="142"/>
      <c r="AE24" s="230"/>
      <c r="AF24" s="142"/>
      <c r="AG24" s="142"/>
      <c r="AH24" s="142"/>
      <c r="AI24" s="142"/>
      <c r="AJ24" s="230"/>
      <c r="AK24" s="142"/>
      <c r="AL24" s="142"/>
      <c r="AM24" s="142"/>
      <c r="AN24" s="142"/>
      <c r="AO24" s="1370"/>
      <c r="AP24" s="1371"/>
      <c r="AQ24" s="1371"/>
      <c r="AR24" s="1371"/>
      <c r="AS24" s="1371"/>
      <c r="AT24" s="1439"/>
      <c r="AU24" s="1440"/>
      <c r="AV24" s="1440"/>
      <c r="AW24" s="1440"/>
      <c r="AX24" s="1440"/>
      <c r="AY24" s="677"/>
      <c r="AZ24" s="1332"/>
      <c r="BA24" s="1332"/>
      <c r="BB24" s="1332"/>
      <c r="BC24" s="1332"/>
      <c r="BD24" s="677"/>
      <c r="BE24" s="1332"/>
      <c r="BF24" s="1332"/>
      <c r="BG24" s="1332"/>
      <c r="BH24" s="1332"/>
      <c r="BM24" s="51"/>
      <c r="BN24" s="51"/>
      <c r="BO24" s="51"/>
      <c r="BP24" s="51"/>
      <c r="BQ24" s="51"/>
      <c r="BR24" s="51"/>
      <c r="BW24" s="27"/>
      <c r="BX24" s="27"/>
      <c r="BY24" s="27"/>
      <c r="BZ24" s="27"/>
      <c r="CA24" s="27"/>
      <c r="CB24" s="27"/>
    </row>
    <row r="25" spans="1:80" ht="26.25" hidden="1" customHeight="1" x14ac:dyDescent="0.25">
      <c r="A25" s="1398"/>
      <c r="B25" s="151"/>
      <c r="C25" s="152"/>
      <c r="D25" s="153"/>
      <c r="E25" s="154"/>
      <c r="F25" s="1370"/>
      <c r="G25" s="32"/>
      <c r="H25" s="33"/>
      <c r="I25" s="34"/>
      <c r="J25" s="35"/>
      <c r="K25" s="230"/>
      <c r="L25" s="32"/>
      <c r="M25" s="33"/>
      <c r="N25" s="34"/>
      <c r="O25" s="35"/>
      <c r="P25" s="230"/>
      <c r="Q25" s="32"/>
      <c r="R25" s="33"/>
      <c r="S25" s="34"/>
      <c r="T25" s="35"/>
      <c r="U25" s="230"/>
      <c r="V25" s="32"/>
      <c r="W25" s="33"/>
      <c r="X25" s="34"/>
      <c r="Y25" s="35"/>
      <c r="Z25" s="230"/>
      <c r="AA25" s="32"/>
      <c r="AB25" s="33"/>
      <c r="AC25" s="34"/>
      <c r="AD25" s="35"/>
      <c r="AE25" s="230"/>
      <c r="AF25" s="32"/>
      <c r="AG25" s="33"/>
      <c r="AH25" s="34"/>
      <c r="AI25" s="35"/>
      <c r="AJ25" s="230"/>
      <c r="AK25" s="32"/>
      <c r="AL25" s="33"/>
      <c r="AM25" s="34"/>
      <c r="AN25" s="35"/>
      <c r="AO25" s="1370"/>
      <c r="AP25" s="32"/>
      <c r="AQ25" s="33"/>
      <c r="AR25" s="34"/>
      <c r="AS25" s="35"/>
      <c r="AT25" s="1439"/>
      <c r="AU25" s="155"/>
      <c r="AV25" s="148"/>
      <c r="AW25" s="156"/>
      <c r="AX25" s="157"/>
      <c r="AY25" s="677"/>
      <c r="AZ25" s="137"/>
      <c r="BA25" s="33"/>
      <c r="BB25" s="138"/>
      <c r="BC25" s="35"/>
      <c r="BD25" s="677"/>
      <c r="BE25" s="137"/>
      <c r="BF25" s="33"/>
      <c r="BG25" s="138"/>
      <c r="BH25" s="35"/>
      <c r="BM25" s="51"/>
      <c r="BN25" s="51"/>
      <c r="BO25" s="51"/>
      <c r="BP25" s="51"/>
      <c r="BQ25" s="51"/>
      <c r="BR25" s="51"/>
      <c r="BW25" s="27"/>
      <c r="BX25" s="27"/>
      <c r="BY25" s="27"/>
      <c r="BZ25" s="27"/>
      <c r="CA25" s="27"/>
      <c r="CB25" s="27"/>
    </row>
    <row r="26" spans="1:80" ht="26.25" hidden="1" customHeight="1" x14ac:dyDescent="0.25">
      <c r="A26" s="1396"/>
      <c r="B26" s="1396"/>
      <c r="C26" s="1396"/>
      <c r="D26" s="1397"/>
      <c r="E26" s="1397"/>
      <c r="F26" s="674"/>
      <c r="G26" s="674"/>
      <c r="H26" s="674"/>
      <c r="I26" s="1300"/>
      <c r="J26" s="1300"/>
      <c r="K26" s="44"/>
      <c r="L26" s="44"/>
      <c r="M26" s="44"/>
      <c r="N26" s="69"/>
      <c r="O26" s="69"/>
      <c r="P26" s="44"/>
      <c r="Q26" s="44"/>
      <c r="R26" s="44"/>
      <c r="S26" s="69"/>
      <c r="T26" s="69"/>
      <c r="U26" s="44"/>
      <c r="V26" s="44"/>
      <c r="W26" s="44"/>
      <c r="X26" s="69"/>
      <c r="Y26" s="69"/>
      <c r="Z26" s="44"/>
      <c r="AA26" s="44"/>
      <c r="AB26" s="44"/>
      <c r="AC26" s="69"/>
      <c r="AD26" s="69"/>
      <c r="AE26" s="44"/>
      <c r="AF26" s="44"/>
      <c r="AG26" s="44"/>
      <c r="AH26" s="69"/>
      <c r="AI26" s="69"/>
      <c r="AJ26" s="44"/>
      <c r="AK26" s="44"/>
      <c r="AP26" s="44"/>
      <c r="AQ26" s="44"/>
      <c r="AT26" s="1389"/>
      <c r="AU26" s="1389"/>
      <c r="AV26" s="1389"/>
      <c r="AW26" s="1390"/>
      <c r="AX26" s="1390"/>
      <c r="AY26" s="674"/>
      <c r="AZ26" s="674"/>
      <c r="BA26" s="674"/>
      <c r="BB26" s="1300"/>
      <c r="BC26" s="1300"/>
      <c r="BD26" s="674"/>
      <c r="BE26" s="674"/>
      <c r="BF26" s="674"/>
      <c r="BG26" s="1300"/>
      <c r="BH26" s="1300"/>
      <c r="BM26" s="51"/>
      <c r="BN26" s="51"/>
      <c r="BO26" s="51"/>
      <c r="BP26" s="51"/>
      <c r="BQ26" s="51"/>
      <c r="BR26" s="51"/>
      <c r="BW26" s="27"/>
      <c r="BX26" s="27"/>
      <c r="BY26" s="27"/>
      <c r="BZ26" s="27"/>
      <c r="CA26" s="27"/>
      <c r="CB26" s="27"/>
    </row>
    <row r="27" spans="1:80" ht="21" hidden="1" customHeight="1" x14ac:dyDescent="0.25">
      <c r="A27" s="1395"/>
      <c r="B27" s="1395"/>
      <c r="C27" s="1395"/>
      <c r="D27" s="149"/>
      <c r="E27" s="149"/>
      <c r="F27" s="676"/>
      <c r="G27" s="676"/>
      <c r="H27" s="676"/>
      <c r="I27" s="36"/>
      <c r="J27" s="36"/>
      <c r="K27" s="47"/>
      <c r="L27" s="47"/>
      <c r="M27" s="47"/>
      <c r="N27" s="36"/>
      <c r="O27" s="36"/>
      <c r="P27" s="47"/>
      <c r="Q27" s="47"/>
      <c r="R27" s="47"/>
      <c r="S27" s="36"/>
      <c r="T27" s="36"/>
      <c r="U27" s="47"/>
      <c r="V27" s="47"/>
      <c r="W27" s="47"/>
      <c r="X27" s="36"/>
      <c r="Y27" s="36"/>
      <c r="Z27" s="47"/>
      <c r="AA27" s="47"/>
      <c r="AB27" s="47"/>
      <c r="AC27" s="36"/>
      <c r="AD27" s="36"/>
      <c r="AE27" s="47"/>
      <c r="AF27" s="47"/>
      <c r="AG27" s="47"/>
      <c r="AH27" s="36"/>
      <c r="AI27" s="36"/>
      <c r="AJ27" s="47"/>
      <c r="AK27" s="47"/>
      <c r="AP27" s="47"/>
      <c r="AQ27" s="47"/>
      <c r="AT27" s="1388"/>
      <c r="AU27" s="1388"/>
      <c r="AV27" s="1388"/>
      <c r="AW27" s="139"/>
      <c r="AX27" s="139"/>
      <c r="AY27" s="676"/>
      <c r="AZ27" s="676"/>
      <c r="BA27" s="676"/>
      <c r="BB27" s="36"/>
      <c r="BC27" s="36"/>
      <c r="BD27" s="676"/>
      <c r="BE27" s="676"/>
      <c r="BF27" s="676"/>
      <c r="BG27" s="36"/>
      <c r="BH27" s="36"/>
    </row>
    <row r="28" spans="1:80" ht="20.25" hidden="1" customHeight="1" thickTop="1" x14ac:dyDescent="0.25">
      <c r="A28" s="1395"/>
      <c r="B28" s="1395"/>
      <c r="C28" s="1395"/>
      <c r="D28" s="150"/>
      <c r="E28" s="149"/>
      <c r="F28" s="676"/>
      <c r="G28" s="676"/>
      <c r="H28" s="676"/>
      <c r="I28" s="140"/>
      <c r="J28" s="36"/>
      <c r="K28" s="47"/>
      <c r="L28" s="47"/>
      <c r="M28" s="47"/>
      <c r="N28" s="140"/>
      <c r="O28" s="36"/>
      <c r="P28" s="47"/>
      <c r="Q28" s="47"/>
      <c r="R28" s="47"/>
      <c r="S28" s="140"/>
      <c r="T28" s="36"/>
      <c r="U28" s="47"/>
      <c r="V28" s="47"/>
      <c r="W28" s="47"/>
      <c r="X28" s="140"/>
      <c r="Y28" s="36"/>
      <c r="Z28" s="47"/>
      <c r="AA28" s="47"/>
      <c r="AB28" s="47"/>
      <c r="AC28" s="140"/>
      <c r="AD28" s="36"/>
      <c r="AE28" s="47"/>
      <c r="AF28" s="47"/>
      <c r="AG28" s="47"/>
      <c r="AH28" s="36"/>
      <c r="AI28" s="36"/>
      <c r="AJ28" s="47"/>
      <c r="AK28" s="47"/>
      <c r="AP28" s="47"/>
      <c r="AQ28" s="47"/>
      <c r="AT28" s="1388"/>
      <c r="AU28" s="1388"/>
      <c r="AV28" s="1388"/>
      <c r="AW28" s="139"/>
      <c r="AX28" s="139"/>
      <c r="AY28" s="676"/>
      <c r="AZ28" s="676"/>
      <c r="BA28" s="676"/>
      <c r="BB28" s="36"/>
      <c r="BC28" s="36"/>
      <c r="BD28" s="676"/>
      <c r="BE28" s="676"/>
      <c r="BF28" s="676"/>
      <c r="BG28" s="36"/>
      <c r="BH28" s="36"/>
    </row>
    <row r="29" spans="1:80" ht="26.25" hidden="1" customHeight="1" x14ac:dyDescent="0.25">
      <c r="A29" s="1395"/>
      <c r="B29" s="1395"/>
      <c r="C29" s="1395"/>
      <c r="D29" s="149"/>
      <c r="E29" s="149"/>
      <c r="F29" s="676"/>
      <c r="G29" s="676"/>
      <c r="H29" s="676"/>
      <c r="I29" s="36"/>
      <c r="J29" s="36"/>
      <c r="K29" s="47"/>
      <c r="L29" s="47"/>
      <c r="M29" s="47"/>
      <c r="N29" s="36"/>
      <c r="O29" s="36"/>
      <c r="P29" s="47"/>
      <c r="Q29" s="47"/>
      <c r="R29" s="47"/>
      <c r="S29" s="36"/>
      <c r="T29" s="36"/>
      <c r="U29" s="47"/>
      <c r="V29" s="47"/>
      <c r="W29" s="47"/>
      <c r="X29" s="36"/>
      <c r="Y29" s="36"/>
      <c r="Z29" s="47"/>
      <c r="AA29" s="47"/>
      <c r="AB29" s="47"/>
      <c r="AC29" s="36"/>
      <c r="AD29" s="36"/>
      <c r="AE29" s="47"/>
      <c r="AF29" s="47"/>
      <c r="AG29" s="47"/>
      <c r="AH29" s="36"/>
      <c r="AI29" s="36"/>
      <c r="AJ29" s="47"/>
      <c r="AK29" s="47"/>
      <c r="AP29" s="47"/>
      <c r="AQ29" s="47"/>
      <c r="AR29" s="36"/>
      <c r="AS29" s="36"/>
      <c r="AT29" s="1388"/>
      <c r="AU29" s="1388"/>
      <c r="AV29" s="1388"/>
      <c r="AW29" s="139"/>
      <c r="AX29" s="139"/>
      <c r="AY29" s="676"/>
      <c r="AZ29" s="676"/>
      <c r="BA29" s="676"/>
      <c r="BB29" s="36"/>
      <c r="BC29" s="36"/>
      <c r="BD29" s="676"/>
      <c r="BE29" s="676"/>
      <c r="BF29" s="676"/>
      <c r="BG29" s="36"/>
      <c r="BH29" s="36"/>
    </row>
    <row r="30" spans="1:80" ht="60.75" customHeight="1" x14ac:dyDescent="0.25">
      <c r="A30" s="1400"/>
      <c r="B30" s="1401"/>
      <c r="C30" s="1401"/>
      <c r="D30" s="1401"/>
      <c r="E30" s="1401"/>
      <c r="F30" s="1370"/>
      <c r="G30" s="1371"/>
      <c r="H30" s="1371"/>
      <c r="I30" s="1371"/>
      <c r="J30" s="1371"/>
      <c r="K30" s="230"/>
      <c r="L30" s="142"/>
      <c r="M30" s="142"/>
      <c r="N30" s="142"/>
      <c r="O30" s="142"/>
      <c r="P30" s="230"/>
      <c r="Q30" s="142"/>
      <c r="R30" s="142"/>
      <c r="S30" s="142"/>
      <c r="T30" s="142"/>
      <c r="U30" s="230"/>
      <c r="V30" s="142"/>
      <c r="W30" s="142"/>
      <c r="X30" s="142"/>
      <c r="Y30" s="142"/>
      <c r="Z30" s="230"/>
      <c r="AA30" s="142"/>
      <c r="AB30" s="142"/>
      <c r="AC30" s="142"/>
      <c r="AD30" s="142"/>
      <c r="AE30" s="70"/>
      <c r="AF30" s="231"/>
      <c r="AG30" s="231"/>
      <c r="AH30" s="231"/>
      <c r="AI30" s="231"/>
      <c r="AJ30" s="70"/>
      <c r="AR30" s="132"/>
      <c r="AS30" s="132"/>
      <c r="AT30" s="677"/>
      <c r="AU30" s="1332"/>
      <c r="AV30" s="1332"/>
      <c r="AW30" s="1332"/>
      <c r="AX30" s="1332"/>
      <c r="AY30" s="677"/>
      <c r="AZ30" s="1332"/>
      <c r="BA30" s="1332"/>
      <c r="BB30" s="1332"/>
      <c r="BC30" s="1332"/>
      <c r="BD30" s="677" t="s">
        <v>254</v>
      </c>
      <c r="BE30" s="1332"/>
      <c r="BF30" s="1332"/>
      <c r="BG30" s="1332"/>
      <c r="BH30" s="1332"/>
      <c r="BM30" s="51"/>
      <c r="BN30" s="51"/>
      <c r="BO30" s="51"/>
      <c r="BP30" s="51"/>
      <c r="BQ30" s="51"/>
      <c r="BR30" s="51"/>
      <c r="BW30" s="27"/>
      <c r="BX30" s="27"/>
      <c r="BY30" s="27"/>
      <c r="BZ30" s="27"/>
      <c r="CA30" s="27"/>
      <c r="CB30" s="27"/>
    </row>
    <row r="31" spans="1:80" ht="54.75" customHeight="1" x14ac:dyDescent="0.25">
      <c r="A31" s="1400"/>
      <c r="B31" s="158"/>
      <c r="C31" s="159"/>
      <c r="D31" s="160"/>
      <c r="E31" s="161"/>
      <c r="F31" s="1370"/>
      <c r="G31" s="32"/>
      <c r="H31" s="33"/>
      <c r="I31" s="34"/>
      <c r="J31" s="35"/>
      <c r="K31" s="230"/>
      <c r="L31" s="32"/>
      <c r="M31" s="33"/>
      <c r="N31" s="34"/>
      <c r="O31" s="35"/>
      <c r="P31" s="230"/>
      <c r="Q31" s="32"/>
      <c r="R31" s="33"/>
      <c r="S31" s="34"/>
      <c r="T31" s="35"/>
      <c r="U31" s="230"/>
      <c r="V31" s="32"/>
      <c r="W31" s="33"/>
      <c r="X31" s="34"/>
      <c r="Y31" s="35"/>
      <c r="Z31" s="230"/>
      <c r="AA31" s="32"/>
      <c r="AB31" s="33"/>
      <c r="AC31" s="34"/>
      <c r="AD31" s="35"/>
      <c r="AE31" s="70"/>
      <c r="AF31" s="137"/>
      <c r="AG31" s="33"/>
      <c r="AH31" s="138"/>
      <c r="AI31" s="35"/>
      <c r="AJ31" s="70"/>
      <c r="AK31" s="137"/>
      <c r="AL31" s="33"/>
      <c r="AM31" s="138"/>
      <c r="AN31" s="35"/>
      <c r="AO31" s="70"/>
      <c r="AP31" s="137"/>
      <c r="AQ31" s="33"/>
      <c r="AR31" s="138"/>
      <c r="AS31" s="35"/>
      <c r="AT31" s="677"/>
      <c r="AU31" s="137"/>
      <c r="AV31" s="33"/>
      <c r="AW31" s="138"/>
      <c r="AX31" s="35"/>
      <c r="AY31" s="677"/>
      <c r="AZ31" s="137" t="s">
        <v>16</v>
      </c>
      <c r="BA31" s="33"/>
      <c r="BB31" s="138"/>
      <c r="BC31" s="35"/>
      <c r="BD31" s="677"/>
      <c r="BE31" s="137" t="s">
        <v>15</v>
      </c>
      <c r="BF31" s="33"/>
      <c r="BG31" s="138"/>
      <c r="BH31" s="35"/>
      <c r="BM31" s="51"/>
      <c r="BN31" s="51"/>
      <c r="BO31" s="51"/>
      <c r="BP31" s="51"/>
      <c r="BQ31" s="51"/>
      <c r="BR31" s="51"/>
      <c r="BW31" s="27"/>
      <c r="BX31" s="27"/>
      <c r="BY31" s="27"/>
      <c r="BZ31" s="27"/>
      <c r="CA31" s="27"/>
      <c r="CB31" s="27"/>
    </row>
    <row r="32" spans="1:80" ht="59.25" customHeight="1" x14ac:dyDescent="0.25">
      <c r="A32" s="31"/>
      <c r="B32" s="162"/>
      <c r="C32" s="162"/>
      <c r="D32" s="162"/>
      <c r="F32" s="163"/>
      <c r="G32" s="163"/>
      <c r="H32" s="1413">
        <v>4</v>
      </c>
      <c r="I32" s="1413"/>
      <c r="J32" s="1413"/>
      <c r="K32" s="164"/>
      <c r="L32" s="160"/>
      <c r="M32" s="160"/>
      <c r="N32" s="160"/>
      <c r="O32" s="160"/>
      <c r="P32" s="160"/>
      <c r="Q32" s="1414" t="s">
        <v>255</v>
      </c>
      <c r="R32" s="1414"/>
      <c r="S32" s="1414"/>
      <c r="T32" s="1414"/>
      <c r="U32" s="1414"/>
      <c r="V32" s="1414"/>
      <c r="W32" s="165"/>
      <c r="X32" s="1690" t="s">
        <v>256</v>
      </c>
      <c r="Y32" s="1690"/>
      <c r="Z32" s="1690"/>
      <c r="AA32" s="1690"/>
      <c r="AB32" s="1690"/>
      <c r="AC32" s="1410">
        <f>L7+Q7+V7+AA7+AF7+V13</f>
        <v>14.122400000000001</v>
      </c>
      <c r="AD32" s="1410"/>
      <c r="AE32" s="1410"/>
      <c r="AF32" s="1410"/>
      <c r="AG32" s="1410"/>
      <c r="AH32" s="1410"/>
      <c r="AI32" s="166"/>
      <c r="AJ32" s="1416" t="s">
        <v>119</v>
      </c>
      <c r="AK32" s="1416"/>
      <c r="AL32" s="1416"/>
      <c r="AM32" s="1416"/>
      <c r="AN32" s="1416"/>
      <c r="AO32" s="1417">
        <f>N7+S7+X7+AC7+AH7+AM7</f>
        <v>8</v>
      </c>
      <c r="AP32" s="1417"/>
      <c r="AQ32" s="1417"/>
      <c r="AR32" s="1417"/>
      <c r="AS32" s="1417"/>
      <c r="AT32" s="1402" t="s">
        <v>120</v>
      </c>
      <c r="AU32" s="1402"/>
      <c r="AV32" s="1402"/>
      <c r="AW32" s="1402"/>
      <c r="AX32" s="127"/>
      <c r="AY32" s="72"/>
      <c r="AZ32" s="72"/>
      <c r="BA32" s="72"/>
      <c r="BB32" s="72"/>
      <c r="BC32" s="72"/>
      <c r="BD32" s="72"/>
      <c r="BE32" t="s">
        <v>16</v>
      </c>
      <c r="BF32" s="167"/>
      <c r="BG32" s="167"/>
      <c r="BH32" s="167"/>
      <c r="BM32" s="51"/>
      <c r="BN32" s="51"/>
      <c r="BO32" s="51"/>
      <c r="BP32" s="51"/>
      <c r="BQ32" s="51"/>
      <c r="BR32" s="51"/>
      <c r="BW32" s="27"/>
      <c r="BX32" s="27"/>
      <c r="BY32" s="27"/>
      <c r="BZ32" s="27"/>
      <c r="CA32" s="27"/>
      <c r="CB32" s="27"/>
    </row>
    <row r="33" spans="1:80" ht="19.5" customHeight="1" x14ac:dyDescent="0.25">
      <c r="B33" s="162"/>
      <c r="C33" s="162"/>
      <c r="D33" s="162"/>
      <c r="E33" s="163"/>
      <c r="F33" s="163"/>
      <c r="G33" s="163"/>
      <c r="H33" s="1413"/>
      <c r="I33" s="1413"/>
      <c r="J33" s="1413"/>
      <c r="K33" s="168"/>
      <c r="L33" s="160"/>
      <c r="M33" s="160"/>
      <c r="N33" s="160"/>
      <c r="O33" s="160"/>
      <c r="P33" s="160"/>
      <c r="Q33" s="1414"/>
      <c r="R33" s="1414"/>
      <c r="S33" s="1414"/>
      <c r="T33" s="1414"/>
      <c r="U33" s="1414"/>
      <c r="V33" s="1414"/>
      <c r="W33" s="169"/>
      <c r="X33" s="1690"/>
      <c r="Y33" s="1690"/>
      <c r="Z33" s="1690"/>
      <c r="AA33" s="1690"/>
      <c r="AB33" s="1690"/>
      <c r="AC33" s="1410"/>
      <c r="AD33" s="1410"/>
      <c r="AE33" s="1410"/>
      <c r="AF33" s="1410"/>
      <c r="AG33" s="1410"/>
      <c r="AH33" s="1410"/>
      <c r="AI33" s="166"/>
      <c r="AJ33" s="1416"/>
      <c r="AK33" s="1416"/>
      <c r="AL33" s="1416"/>
      <c r="AM33" s="1416"/>
      <c r="AN33" s="1416"/>
      <c r="AO33" s="1417"/>
      <c r="AP33" s="1417"/>
      <c r="AQ33" s="1417"/>
      <c r="AR33" s="1417"/>
      <c r="AS33" s="1417"/>
      <c r="AT33" s="1402"/>
      <c r="AU33" s="1402"/>
      <c r="AV33" s="1402"/>
      <c r="AW33" s="1402"/>
      <c r="BI33" s="50"/>
      <c r="BJ33" s="50"/>
      <c r="BM33" s="51"/>
      <c r="BN33" s="51"/>
      <c r="BO33" s="51"/>
      <c r="BP33" s="51"/>
      <c r="BQ33" s="51"/>
      <c r="BR33" s="51"/>
      <c r="BS33" s="27"/>
      <c r="BT33" s="27"/>
      <c r="BU33" s="27"/>
      <c r="BW33" s="27"/>
      <c r="BX33" s="27"/>
      <c r="BY33" s="27"/>
      <c r="BZ33" s="27"/>
      <c r="CA33" s="27"/>
      <c r="CB33" s="27"/>
    </row>
    <row r="34" spans="1:80" ht="2.25" hidden="1" customHeight="1" x14ac:dyDescent="0.25">
      <c r="B34" s="162"/>
      <c r="C34" s="162"/>
      <c r="D34" s="162"/>
      <c r="E34" s="163"/>
      <c r="F34" s="163"/>
      <c r="G34" s="163"/>
      <c r="H34" s="168"/>
      <c r="I34" s="168"/>
      <c r="J34" s="168"/>
      <c r="K34" s="168"/>
      <c r="L34" s="160"/>
      <c r="M34" s="160"/>
      <c r="N34" s="160"/>
      <c r="O34" s="160"/>
      <c r="P34" s="160"/>
      <c r="Q34" s="1414"/>
      <c r="R34" s="1414"/>
      <c r="S34" s="1414"/>
      <c r="T34" s="1414"/>
      <c r="U34" s="1414"/>
      <c r="V34" s="1414"/>
      <c r="W34" s="169"/>
      <c r="X34" s="1690"/>
      <c r="Y34" s="1690"/>
      <c r="Z34" s="1690"/>
      <c r="AA34" s="1690"/>
      <c r="AB34" s="1690"/>
      <c r="AC34" s="1410"/>
      <c r="AD34" s="1410"/>
      <c r="AE34" s="1410"/>
      <c r="AF34" s="1410"/>
      <c r="AG34" s="1410"/>
      <c r="AH34" s="1410"/>
      <c r="AI34" s="166"/>
      <c r="AJ34" s="1416"/>
      <c r="AK34" s="1416"/>
      <c r="AL34" s="1416"/>
      <c r="AM34" s="1416"/>
      <c r="AN34" s="1416"/>
      <c r="AO34" s="1403">
        <f>AO32*1.5</f>
        <v>12</v>
      </c>
      <c r="AP34" s="1403"/>
      <c r="AQ34" s="1403"/>
      <c r="AR34" s="1403"/>
      <c r="AS34" s="1403"/>
      <c r="AT34" s="1403"/>
      <c r="AU34" s="1403"/>
      <c r="AV34" s="1404" t="s">
        <v>121</v>
      </c>
      <c r="AW34" s="1404"/>
      <c r="BI34" s="50"/>
      <c r="BJ34" s="50"/>
      <c r="BM34" s="27"/>
      <c r="BN34" s="27"/>
      <c r="BO34" s="27"/>
      <c r="BP34" s="27"/>
      <c r="BQ34" s="27"/>
      <c r="BR34" s="27"/>
      <c r="BS34" s="27"/>
      <c r="BT34" s="27"/>
      <c r="BU34" s="27"/>
      <c r="BW34" s="27"/>
      <c r="BX34" s="27"/>
      <c r="BY34" s="27"/>
      <c r="BZ34" s="27"/>
      <c r="CA34" s="27"/>
      <c r="CB34" s="27"/>
    </row>
    <row r="35" spans="1:80" ht="54.75" customHeight="1" x14ac:dyDescent="0.25">
      <c r="B35" s="162"/>
      <c r="C35" s="162"/>
      <c r="D35" s="162"/>
      <c r="E35" s="163"/>
      <c r="F35" s="163"/>
      <c r="G35" s="163"/>
      <c r="H35" s="1405">
        <v>4</v>
      </c>
      <c r="I35" s="1405"/>
      <c r="J35" s="1405"/>
      <c r="K35" s="168"/>
      <c r="L35" s="160"/>
      <c r="M35" s="160"/>
      <c r="N35" s="160"/>
      <c r="O35" s="160"/>
      <c r="P35" s="160"/>
      <c r="Q35" s="3158" t="s">
        <v>13</v>
      </c>
      <c r="R35" s="3159"/>
      <c r="S35" s="3159"/>
      <c r="T35" s="3159"/>
      <c r="U35" s="3159"/>
      <c r="V35" s="3159"/>
      <c r="W35" s="169"/>
      <c r="X35" s="1690"/>
      <c r="Y35" s="1690"/>
      <c r="Z35" s="1690"/>
      <c r="AA35" s="1690"/>
      <c r="AB35" s="1690"/>
      <c r="AC35" s="1410"/>
      <c r="AD35" s="1410"/>
      <c r="AE35" s="1410"/>
      <c r="AF35" s="1410"/>
      <c r="AG35" s="1410"/>
      <c r="AH35" s="1410"/>
      <c r="AI35" s="166"/>
      <c r="AJ35" s="1416"/>
      <c r="AK35" s="1416"/>
      <c r="AL35" s="1416"/>
      <c r="AM35" s="1416"/>
      <c r="AN35" s="1416"/>
      <c r="AO35" s="1403"/>
      <c r="AP35" s="1403"/>
      <c r="AQ35" s="1403"/>
      <c r="AR35" s="1403"/>
      <c r="AS35" s="1403"/>
      <c r="AT35" s="1403"/>
      <c r="AU35" s="1403"/>
      <c r="AV35" s="1404"/>
      <c r="AW35" s="1404"/>
      <c r="BI35" s="50"/>
      <c r="BJ35" s="50"/>
      <c r="BM35" s="27"/>
      <c r="BN35" s="27"/>
      <c r="BO35" s="27"/>
      <c r="BP35" s="27"/>
      <c r="BQ35" s="27"/>
      <c r="BR35" s="27"/>
      <c r="BS35" s="27"/>
      <c r="BT35" s="27"/>
      <c r="BU35" s="27"/>
      <c r="BW35" s="27"/>
      <c r="BX35" s="27"/>
      <c r="BY35" s="27"/>
      <c r="BZ35" s="27"/>
      <c r="CA35" s="27"/>
      <c r="CB35" s="27"/>
    </row>
    <row r="36" spans="1:80" ht="93" customHeight="1" x14ac:dyDescent="0.25">
      <c r="B36" s="162"/>
      <c r="C36" s="162"/>
      <c r="D36" s="162"/>
      <c r="E36" s="162"/>
      <c r="F36" s="162"/>
      <c r="G36" s="164"/>
      <c r="H36" s="1408"/>
      <c r="I36" s="1408"/>
      <c r="J36" s="1408"/>
      <c r="K36" s="168"/>
      <c r="L36" s="160"/>
      <c r="M36" s="160"/>
      <c r="N36" s="160"/>
      <c r="O36" s="160"/>
      <c r="P36" s="160"/>
      <c r="Q36" s="3159"/>
      <c r="R36" s="3159"/>
      <c r="S36" s="3159"/>
      <c r="T36" s="3159"/>
      <c r="U36" s="3159"/>
      <c r="V36" s="3159"/>
      <c r="W36" s="169"/>
      <c r="X36" s="1690"/>
      <c r="Y36" s="1690"/>
      <c r="Z36" s="1690"/>
      <c r="AA36" s="1690"/>
      <c r="AB36" s="1690"/>
      <c r="AC36" s="1410"/>
      <c r="AD36" s="1410"/>
      <c r="AE36" s="1410"/>
      <c r="AF36" s="1410"/>
      <c r="AG36" s="1410"/>
      <c r="AH36" s="1410"/>
      <c r="AI36" s="166"/>
      <c r="AJ36" s="1416"/>
      <c r="AK36" s="1416"/>
      <c r="AL36" s="1416"/>
      <c r="AM36" s="1416"/>
      <c r="AN36" s="1416"/>
      <c r="AO36" s="1403"/>
      <c r="AP36" s="1403"/>
      <c r="AQ36" s="1403"/>
      <c r="AR36" s="1403"/>
      <c r="AS36" s="1403"/>
      <c r="AT36" s="1403"/>
      <c r="AU36" s="1403"/>
      <c r="AV36" s="1404"/>
      <c r="AW36" s="1404"/>
      <c r="BI36" s="50"/>
      <c r="BJ36" s="50"/>
      <c r="BM36" s="27"/>
      <c r="BN36" s="27"/>
      <c r="BO36" s="27"/>
      <c r="BP36" s="27"/>
      <c r="BQ36" s="27"/>
      <c r="BR36" s="27"/>
      <c r="BS36" s="27"/>
      <c r="BT36" s="27"/>
      <c r="BU36" s="27"/>
      <c r="BW36" s="27"/>
      <c r="BX36" s="27"/>
      <c r="BY36" s="27"/>
      <c r="BZ36" s="27"/>
      <c r="CA36" s="27"/>
      <c r="CB36" s="27"/>
    </row>
    <row r="37" spans="1:80" ht="15" customHeight="1" x14ac:dyDescent="0.25">
      <c r="B37" s="162"/>
      <c r="C37" s="162"/>
      <c r="D37" s="162"/>
      <c r="E37" s="162"/>
      <c r="F37" s="162"/>
      <c r="G37" s="164"/>
      <c r="H37" s="1408"/>
      <c r="I37" s="1408"/>
      <c r="J37" s="1408"/>
      <c r="K37" s="164"/>
      <c r="L37" s="165"/>
      <c r="M37" s="165"/>
      <c r="N37" s="165"/>
      <c r="O37" s="165"/>
      <c r="P37" s="165"/>
      <c r="Q37" s="3159"/>
      <c r="R37" s="3159"/>
      <c r="S37" s="3159"/>
      <c r="T37" s="3159"/>
      <c r="U37" s="3159"/>
      <c r="V37" s="3159"/>
      <c r="W37" s="165"/>
      <c r="X37" s="1409" t="s">
        <v>257</v>
      </c>
      <c r="Y37" s="1409"/>
      <c r="Z37" s="1409"/>
      <c r="AA37" s="1409"/>
      <c r="AB37" s="1409"/>
      <c r="AC37" s="1410">
        <f>AC32-AD45</f>
        <v>2.400000000001512E-3</v>
      </c>
      <c r="AD37" s="1410"/>
      <c r="AE37" s="1410"/>
      <c r="AF37" s="1410"/>
      <c r="AG37" s="1410"/>
      <c r="AH37" s="1410"/>
      <c r="AI37" s="166"/>
      <c r="AJ37" s="1416"/>
      <c r="AK37" s="1416"/>
      <c r="AL37" s="1416"/>
      <c r="AM37" s="1416"/>
      <c r="AN37" s="1416"/>
      <c r="AO37" s="1403"/>
      <c r="AP37" s="1403"/>
      <c r="AQ37" s="1403"/>
      <c r="AR37" s="1403"/>
      <c r="AS37" s="1403"/>
      <c r="AT37" s="1403"/>
      <c r="AU37" s="1403"/>
      <c r="AV37" s="1404"/>
      <c r="AW37" s="1404"/>
      <c r="BI37" s="53"/>
      <c r="BJ37" s="53"/>
    </row>
    <row r="38" spans="1:80" ht="28.5" customHeight="1" x14ac:dyDescent="0.25">
      <c r="B38" s="162"/>
      <c r="C38" s="162"/>
      <c r="D38" s="162"/>
      <c r="E38" s="162"/>
      <c r="F38" s="162"/>
      <c r="G38" s="164"/>
      <c r="H38" s="1411"/>
      <c r="I38" s="1411"/>
      <c r="J38" s="1411"/>
      <c r="K38" s="168"/>
      <c r="L38" s="165"/>
      <c r="M38" s="165"/>
      <c r="N38" s="165"/>
      <c r="O38" s="165"/>
      <c r="P38" s="165"/>
      <c r="Q38" s="3159"/>
      <c r="R38" s="3159"/>
      <c r="S38" s="3159"/>
      <c r="T38" s="3159"/>
      <c r="U38" s="3159"/>
      <c r="V38" s="3159"/>
      <c r="W38" s="165"/>
      <c r="X38" s="1409"/>
      <c r="Y38" s="1409"/>
      <c r="Z38" s="1409"/>
      <c r="AA38" s="1409"/>
      <c r="AB38" s="1409"/>
      <c r="AC38" s="1410"/>
      <c r="AD38" s="1410"/>
      <c r="AE38" s="1410"/>
      <c r="AF38" s="1410"/>
      <c r="AG38" s="1410"/>
      <c r="AH38" s="1410"/>
      <c r="AI38" s="166"/>
      <c r="AJ38" s="1416"/>
      <c r="AK38" s="1416"/>
      <c r="AL38" s="1416"/>
      <c r="AM38" s="1416"/>
      <c r="AN38" s="1416"/>
      <c r="AO38" s="1403"/>
      <c r="AP38" s="1403"/>
      <c r="AQ38" s="1403"/>
      <c r="AR38" s="1403"/>
      <c r="AS38" s="1403"/>
      <c r="AT38" s="1403"/>
      <c r="AU38" s="1403"/>
      <c r="AV38" s="1404"/>
      <c r="AW38" s="1404"/>
      <c r="BI38" s="53"/>
      <c r="BJ38" s="53"/>
    </row>
    <row r="39" spans="1:80" ht="15" customHeight="1" x14ac:dyDescent="0.25">
      <c r="B39" s="162"/>
      <c r="C39" s="162"/>
      <c r="D39" s="162"/>
      <c r="E39" s="162"/>
      <c r="F39" s="162"/>
      <c r="G39" s="164"/>
      <c r="H39" s="1411"/>
      <c r="I39" s="1411"/>
      <c r="J39" s="1411"/>
      <c r="K39" s="168"/>
      <c r="L39" s="165"/>
      <c r="M39" s="165"/>
      <c r="N39" s="165"/>
      <c r="O39" s="165"/>
      <c r="P39" s="165"/>
      <c r="Q39" s="3159"/>
      <c r="R39" s="3159"/>
      <c r="S39" s="3159"/>
      <c r="T39" s="3159"/>
      <c r="U39" s="3159"/>
      <c r="V39" s="3159"/>
      <c r="W39" s="165"/>
      <c r="X39" s="1409"/>
      <c r="Y39" s="1409"/>
      <c r="Z39" s="1409"/>
      <c r="AA39" s="1409"/>
      <c r="AB39" s="1409"/>
      <c r="AC39" s="1410"/>
      <c r="AD39" s="1410"/>
      <c r="AE39" s="1410"/>
      <c r="AF39" s="1410"/>
      <c r="AG39" s="1410"/>
      <c r="AH39" s="1410"/>
      <c r="AI39" s="166"/>
      <c r="AJ39" s="1416"/>
      <c r="AK39" s="1416"/>
      <c r="AL39" s="1416"/>
      <c r="AM39" s="1416"/>
      <c r="AN39" s="1416"/>
      <c r="AO39" s="1403"/>
      <c r="AP39" s="1403"/>
      <c r="AQ39" s="1403"/>
      <c r="AR39" s="1403"/>
      <c r="AS39" s="1403"/>
      <c r="AT39" s="1403"/>
      <c r="AU39" s="1403"/>
      <c r="AV39" s="1404"/>
      <c r="AW39" s="1404"/>
      <c r="BI39" s="53"/>
      <c r="BJ39" s="53"/>
    </row>
    <row r="40" spans="1:80" ht="42.75" customHeight="1" x14ac:dyDescent="0.35">
      <c r="A40" s="54"/>
      <c r="B40" s="162"/>
      <c r="C40" s="162"/>
      <c r="D40" s="162"/>
      <c r="E40" s="162"/>
      <c r="F40" s="162"/>
      <c r="G40" s="164"/>
      <c r="H40" s="1411"/>
      <c r="I40" s="1411"/>
      <c r="J40" s="1411"/>
      <c r="K40" s="168"/>
      <c r="L40" s="165"/>
      <c r="M40" s="165"/>
      <c r="N40" s="165"/>
      <c r="O40" s="165"/>
      <c r="P40" s="165"/>
      <c r="Q40" s="3159"/>
      <c r="R40" s="3159"/>
      <c r="S40" s="3159"/>
      <c r="T40" s="3159"/>
      <c r="U40" s="3159"/>
      <c r="V40" s="3159"/>
      <c r="W40" s="165"/>
      <c r="X40" s="1409"/>
      <c r="Y40" s="1409"/>
      <c r="Z40" s="1409"/>
      <c r="AA40" s="1409"/>
      <c r="AB40" s="1409"/>
      <c r="AC40" s="1410"/>
      <c r="AD40" s="1410"/>
      <c r="AE40" s="1410"/>
      <c r="AF40" s="1410"/>
      <c r="AG40" s="1410"/>
      <c r="AH40" s="1410"/>
      <c r="AI40" s="166"/>
      <c r="AJ40" s="1416"/>
      <c r="AK40" s="1416"/>
      <c r="AL40" s="1416"/>
      <c r="AM40" s="1416"/>
      <c r="AN40" s="1416"/>
      <c r="AO40" s="1403"/>
      <c r="AP40" s="1403"/>
      <c r="AQ40" s="1403"/>
      <c r="AR40" s="1403"/>
      <c r="AS40" s="1403"/>
      <c r="AT40" s="1403"/>
      <c r="AU40" s="1403"/>
      <c r="AV40" s="1404"/>
      <c r="AW40" s="1404"/>
      <c r="BI40" s="53"/>
      <c r="BJ40" s="53"/>
    </row>
    <row r="41" spans="1:80" ht="38.25" customHeight="1" x14ac:dyDescent="0.35">
      <c r="A41" s="54"/>
      <c r="B41" s="162"/>
      <c r="C41" s="162"/>
      <c r="D41" s="162"/>
      <c r="E41" s="162"/>
      <c r="F41" s="162"/>
      <c r="G41" s="164"/>
      <c r="H41" s="1412"/>
      <c r="I41" s="1412"/>
      <c r="J41" s="1412"/>
      <c r="K41" s="168"/>
      <c r="L41" s="175"/>
      <c r="M41" s="175"/>
      <c r="N41" s="175"/>
      <c r="O41" s="175"/>
      <c r="P41" s="175"/>
      <c r="Q41" s="3159"/>
      <c r="R41" s="3159"/>
      <c r="S41" s="3159"/>
      <c r="T41" s="3159"/>
      <c r="U41" s="3159"/>
      <c r="V41" s="3159"/>
      <c r="W41" s="176"/>
      <c r="X41" s="1409"/>
      <c r="Y41" s="1409"/>
      <c r="Z41" s="1409"/>
      <c r="AA41" s="1409"/>
      <c r="AB41" s="1409"/>
      <c r="AC41" s="1410"/>
      <c r="AD41" s="1410"/>
      <c r="AE41" s="1410"/>
      <c r="AF41" s="1410"/>
      <c r="AG41" s="1410"/>
      <c r="AH41" s="1410"/>
      <c r="AI41" s="166"/>
      <c r="AJ41" s="1416"/>
      <c r="AK41" s="1416"/>
      <c r="AL41" s="1416"/>
      <c r="AM41" s="1416"/>
      <c r="AN41" s="1416"/>
      <c r="AO41" s="1418"/>
      <c r="AP41" s="1418"/>
      <c r="AQ41" s="1418"/>
      <c r="AR41" s="1418"/>
      <c r="AS41" s="1418"/>
      <c r="AT41" s="1418"/>
      <c r="AU41" s="1418"/>
      <c r="AV41" s="1418"/>
      <c r="AW41" s="1418"/>
      <c r="AX41" s="54"/>
      <c r="AY41" s="54"/>
      <c r="BI41" s="170"/>
      <c r="BJ41" s="170"/>
    </row>
    <row r="42" spans="1:80" ht="60" customHeight="1" x14ac:dyDescent="0.35">
      <c r="H42" s="1412"/>
      <c r="I42" s="1412"/>
      <c r="J42" s="1412"/>
      <c r="L42" s="175"/>
      <c r="M42" s="175"/>
      <c r="N42" s="175"/>
      <c r="O42" s="175"/>
      <c r="P42" s="175"/>
      <c r="Q42" s="3159"/>
      <c r="R42" s="3159"/>
      <c r="S42" s="3159"/>
      <c r="T42" s="3159"/>
      <c r="U42" s="3159"/>
      <c r="V42" s="3159"/>
      <c r="W42" s="176"/>
      <c r="X42" s="1409"/>
      <c r="Y42" s="1409"/>
      <c r="Z42" s="1409"/>
      <c r="AA42" s="1409"/>
      <c r="AB42" s="1409"/>
      <c r="AC42" s="1410"/>
      <c r="AD42" s="1410"/>
      <c r="AE42" s="1410"/>
      <c r="AF42" s="1410"/>
      <c r="AG42" s="1410"/>
      <c r="AH42" s="1410"/>
      <c r="AI42" s="166"/>
      <c r="AJ42" s="1416"/>
      <c r="AK42" s="1416"/>
      <c r="AL42" s="1416"/>
      <c r="AM42" s="1416"/>
      <c r="AN42" s="1416"/>
      <c r="AO42" s="1418"/>
      <c r="AP42" s="1418"/>
      <c r="AQ42" s="1418"/>
      <c r="AR42" s="1418"/>
      <c r="AS42" s="1418"/>
      <c r="AT42" s="1418"/>
      <c r="AU42" s="1418"/>
      <c r="AV42" s="1418"/>
      <c r="AW42" s="1418"/>
      <c r="AX42" s="54"/>
      <c r="AY42" s="54"/>
      <c r="BI42" s="170"/>
      <c r="BJ42" s="170"/>
    </row>
    <row r="43" spans="1:80" ht="15" customHeight="1" x14ac:dyDescent="0.35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1"/>
      <c r="AI43" s="171"/>
      <c r="AJ43" s="171"/>
      <c r="AK43" s="171"/>
      <c r="AL43" s="171"/>
      <c r="AM43" s="171"/>
      <c r="AN43" s="171"/>
      <c r="AO43" s="172"/>
      <c r="AP43" s="172"/>
      <c r="AQ43" s="172"/>
      <c r="AR43" s="172"/>
      <c r="AS43" s="172"/>
      <c r="AT43" s="172"/>
      <c r="AU43" s="172"/>
      <c r="AV43" s="172"/>
      <c r="AW43" s="172"/>
    </row>
    <row r="44" spans="1:80" ht="15.75" customHeight="1" thickBot="1" x14ac:dyDescent="0.4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3"/>
      <c r="Y44" s="171"/>
      <c r="Z44" s="171"/>
      <c r="AA44" s="171"/>
      <c r="AB44" s="171"/>
      <c r="AC44" s="171"/>
      <c r="AD44" s="171"/>
      <c r="AE44" s="171"/>
      <c r="AF44" s="171"/>
      <c r="AG44" s="171"/>
      <c r="AH44" s="171"/>
      <c r="AI44" s="171"/>
      <c r="AJ44" s="171"/>
      <c r="AK44" s="171"/>
      <c r="AL44" s="171"/>
      <c r="AM44" s="171"/>
      <c r="AN44" s="171"/>
      <c r="AO44" s="172"/>
      <c r="AP44" s="172"/>
      <c r="AQ44" s="172"/>
      <c r="AR44" s="172"/>
      <c r="AS44" s="172"/>
      <c r="AT44" s="172"/>
      <c r="AU44" s="172"/>
      <c r="AV44" s="172"/>
      <c r="AW44" s="172"/>
    </row>
    <row r="45" spans="1:80" ht="15.75" thickTop="1" x14ac:dyDescent="0.25">
      <c r="J45" t="s">
        <v>16</v>
      </c>
      <c r="AD45" s="775">
        <v>14.12</v>
      </c>
      <c r="AE45" s="776"/>
      <c r="AF45" s="776"/>
      <c r="AG45" s="776"/>
      <c r="AH45" s="777"/>
      <c r="AL45" s="727" t="s">
        <v>122</v>
      </c>
      <c r="AM45" s="727"/>
      <c r="AN45" s="727"/>
      <c r="AO45" s="727" t="s">
        <v>123</v>
      </c>
      <c r="AP45" s="727"/>
      <c r="AQ45" s="727"/>
      <c r="AR45" s="727" t="s">
        <v>124</v>
      </c>
      <c r="AS45" s="727"/>
      <c r="AT45" s="727" t="s">
        <v>125</v>
      </c>
      <c r="AU45" s="727"/>
      <c r="AY45" s="739" t="s">
        <v>126</v>
      </c>
      <c r="AZ45" s="740"/>
      <c r="BA45" s="740"/>
      <c r="BB45" s="740"/>
      <c r="BC45" s="740"/>
      <c r="BD45" s="740"/>
      <c r="BE45" s="740"/>
      <c r="BF45" s="740"/>
      <c r="BG45" s="740"/>
      <c r="BH45" s="741"/>
    </row>
    <row r="46" spans="1:80" x14ac:dyDescent="0.25">
      <c r="AD46" s="778"/>
      <c r="AE46" s="779"/>
      <c r="AF46" s="779"/>
      <c r="AG46" s="779"/>
      <c r="AH46" s="780"/>
      <c r="AL46" s="727"/>
      <c r="AM46" s="727"/>
      <c r="AN46" s="727"/>
      <c r="AO46" s="727"/>
      <c r="AP46" s="727"/>
      <c r="AQ46" s="727"/>
      <c r="AR46" s="727"/>
      <c r="AS46" s="727"/>
      <c r="AT46" s="727"/>
      <c r="AU46" s="727"/>
      <c r="AY46" s="750"/>
      <c r="AZ46" s="751"/>
      <c r="BA46" s="751"/>
      <c r="BB46" s="751"/>
      <c r="BC46" s="751"/>
      <c r="BD46" s="751"/>
      <c r="BE46" s="751"/>
      <c r="BF46" s="751"/>
      <c r="BG46" s="751"/>
      <c r="BH46" s="752"/>
    </row>
    <row r="47" spans="1:80" x14ac:dyDescent="0.25">
      <c r="AA47" s="56"/>
      <c r="AD47" s="778"/>
      <c r="AE47" s="779"/>
      <c r="AF47" s="779"/>
      <c r="AG47" s="779"/>
      <c r="AH47" s="780"/>
      <c r="AL47" s="727"/>
      <c r="AM47" s="727"/>
      <c r="AN47" s="727"/>
      <c r="AO47" s="727"/>
      <c r="AP47" s="727"/>
      <c r="AQ47" s="727"/>
      <c r="AR47" s="727"/>
      <c r="AS47" s="727"/>
      <c r="AT47" s="727"/>
      <c r="AU47" s="727"/>
      <c r="AY47" s="742"/>
      <c r="AZ47" s="743"/>
      <c r="BA47" s="743"/>
      <c r="BB47" s="743"/>
      <c r="BC47" s="743"/>
      <c r="BD47" s="743"/>
      <c r="BE47" s="743"/>
      <c r="BF47" s="743"/>
      <c r="BG47" s="743"/>
      <c r="BH47" s="744"/>
    </row>
    <row r="48" spans="1:80" x14ac:dyDescent="0.25">
      <c r="K48" t="s">
        <v>258</v>
      </c>
      <c r="AD48" s="778"/>
      <c r="AE48" s="779"/>
      <c r="AF48" s="779"/>
      <c r="AG48" s="779"/>
      <c r="AH48" s="780"/>
      <c r="AL48" s="727">
        <v>160</v>
      </c>
      <c r="AM48" s="727"/>
      <c r="AN48" s="727"/>
      <c r="AO48" s="727">
        <f ca="1">AT70</f>
        <v>160</v>
      </c>
      <c r="AP48" s="727"/>
      <c r="AQ48" s="727"/>
      <c r="AR48" s="1689">
        <f>AC32</f>
        <v>14.122400000000001</v>
      </c>
      <c r="AS48" s="1689"/>
      <c r="AT48" s="1689">
        <f>AC32+AO34</f>
        <v>26.122399999999999</v>
      </c>
      <c r="AU48" s="1689"/>
      <c r="AY48" s="727" t="s">
        <v>128</v>
      </c>
      <c r="AZ48" s="727"/>
      <c r="BA48" s="727"/>
      <c r="BB48" s="727"/>
      <c r="BC48" s="727"/>
      <c r="BD48" s="727"/>
      <c r="BE48" s="727"/>
      <c r="BF48" s="727"/>
      <c r="BG48" s="727"/>
      <c r="BH48" s="727"/>
    </row>
    <row r="49" spans="7:60" x14ac:dyDescent="0.25">
      <c r="G49" t="s">
        <v>16</v>
      </c>
      <c r="AD49" s="778"/>
      <c r="AE49" s="779"/>
      <c r="AF49" s="779"/>
      <c r="AG49" s="779"/>
      <c r="AH49" s="780"/>
      <c r="AL49" s="727"/>
      <c r="AM49" s="727"/>
      <c r="AN49" s="727"/>
      <c r="AO49" s="727"/>
      <c r="AP49" s="727"/>
      <c r="AQ49" s="727"/>
      <c r="AR49" s="1689"/>
      <c r="AS49" s="1689"/>
      <c r="AT49" s="1689"/>
      <c r="AU49" s="1689"/>
      <c r="AY49" s="727"/>
      <c r="AZ49" s="727"/>
      <c r="BA49" s="727"/>
      <c r="BB49" s="727"/>
      <c r="BC49" s="727"/>
      <c r="BD49" s="727"/>
      <c r="BE49" s="727"/>
      <c r="BF49" s="727"/>
      <c r="BG49" s="727"/>
      <c r="BH49" s="727"/>
    </row>
    <row r="50" spans="7:60" ht="15" customHeight="1" x14ac:dyDescent="0.25">
      <c r="AD50" s="778"/>
      <c r="AE50" s="779"/>
      <c r="AF50" s="779"/>
      <c r="AG50" s="779"/>
      <c r="AH50" s="780"/>
      <c r="AL50" s="727"/>
      <c r="AM50" s="727"/>
      <c r="AN50" s="727"/>
      <c r="AO50" s="727"/>
      <c r="AP50" s="727"/>
      <c r="AQ50" s="727"/>
      <c r="AR50" s="1689"/>
      <c r="AS50" s="1689"/>
      <c r="AT50" s="1689"/>
      <c r="AU50" s="1689"/>
      <c r="AY50" s="728">
        <f ca="1">AR48/((54*3.1415/60)*(AO48/3.281))</f>
        <v>0.10242717208693652</v>
      </c>
      <c r="AZ50" s="729"/>
      <c r="BA50" s="729"/>
      <c r="BB50" s="729"/>
      <c r="BC50" s="729"/>
      <c r="BD50" s="729"/>
      <c r="BE50" s="729"/>
      <c r="BF50" s="729"/>
      <c r="BG50" s="729"/>
      <c r="BH50" s="730"/>
    </row>
    <row r="51" spans="7:60" ht="15.75" customHeight="1" thickBot="1" x14ac:dyDescent="0.3">
      <c r="AD51" s="781"/>
      <c r="AE51" s="782"/>
      <c r="AF51" s="782"/>
      <c r="AG51" s="782"/>
      <c r="AH51" s="783"/>
      <c r="AL51" s="727"/>
      <c r="AM51" s="727"/>
      <c r="AN51" s="727"/>
      <c r="AO51" s="727"/>
      <c r="AP51" s="727"/>
      <c r="AQ51" s="727"/>
      <c r="AR51" s="1689"/>
      <c r="AS51" s="1689"/>
      <c r="AT51" s="1689"/>
      <c r="AU51" s="1689"/>
      <c r="AY51" s="731"/>
      <c r="AZ51" s="732"/>
      <c r="BA51" s="732"/>
      <c r="BB51" s="732"/>
      <c r="BC51" s="732"/>
      <c r="BD51" s="732"/>
      <c r="BE51" s="732"/>
      <c r="BF51" s="732"/>
      <c r="BG51" s="732"/>
      <c r="BH51" s="733"/>
    </row>
    <row r="52" spans="7:60" ht="15.75" customHeight="1" thickTop="1" x14ac:dyDescent="0.25">
      <c r="AY52" s="734"/>
      <c r="AZ52" s="735"/>
      <c r="BA52" s="735"/>
      <c r="BB52" s="735"/>
      <c r="BC52" s="735"/>
      <c r="BD52" s="735"/>
      <c r="BE52" s="735"/>
      <c r="BF52" s="735"/>
      <c r="BG52" s="735"/>
      <c r="BH52" s="736"/>
    </row>
    <row r="53" spans="7:60" x14ac:dyDescent="0.25">
      <c r="AY53" s="739" t="s">
        <v>129</v>
      </c>
      <c r="AZ53" s="740"/>
      <c r="BA53" s="740"/>
      <c r="BB53" s="740"/>
      <c r="BC53" s="740"/>
      <c r="BD53" s="740"/>
      <c r="BE53" s="740"/>
      <c r="BF53" s="740"/>
      <c r="BG53" s="740"/>
      <c r="BH53" s="741"/>
    </row>
    <row r="54" spans="7:60" x14ac:dyDescent="0.25">
      <c r="AY54" s="742"/>
      <c r="AZ54" s="743"/>
      <c r="BA54" s="743"/>
      <c r="BB54" s="743"/>
      <c r="BC54" s="743"/>
      <c r="BD54" s="743"/>
      <c r="BE54" s="743"/>
      <c r="BF54" s="743"/>
      <c r="BG54" s="743"/>
      <c r="BH54" s="744"/>
    </row>
    <row r="55" spans="7:60" x14ac:dyDescent="0.25">
      <c r="AN55" s="727">
        <v>40</v>
      </c>
      <c r="AO55" s="727"/>
      <c r="AP55" s="727"/>
      <c r="AQ55" s="746" cm="1">
        <f t="array" aca="1" ref="AQ55" ca="1">SUM(COUNTIF(INDIRECT({"L7","Q7","V7","AA7","AF7","AK7"}),"&gt;0"))</f>
        <v>4</v>
      </c>
      <c r="AR55" s="746"/>
      <c r="AS55" s="746"/>
      <c r="AT55" s="747">
        <f ca="1">AQ55*AN55</f>
        <v>160</v>
      </c>
      <c r="AU55" s="748"/>
      <c r="AV55" s="748"/>
      <c r="AW55" s="749"/>
      <c r="AY55" s="739" t="s">
        <v>130</v>
      </c>
      <c r="AZ55" s="740"/>
      <c r="BA55" s="740"/>
      <c r="BB55" s="740"/>
      <c r="BC55" s="740"/>
      <c r="BD55" s="740"/>
      <c r="BE55" s="740"/>
      <c r="BF55" s="740"/>
      <c r="BG55" s="740"/>
      <c r="BH55" s="741"/>
    </row>
    <row r="56" spans="7:60" x14ac:dyDescent="0.25">
      <c r="AN56" s="727"/>
      <c r="AO56" s="727"/>
      <c r="AP56" s="727"/>
      <c r="AQ56" s="746"/>
      <c r="AR56" s="746"/>
      <c r="AS56" s="746"/>
      <c r="AT56" s="747"/>
      <c r="AU56" s="748"/>
      <c r="AV56" s="748"/>
      <c r="AW56" s="749"/>
      <c r="AY56" s="750"/>
      <c r="AZ56" s="751"/>
      <c r="BA56" s="751"/>
      <c r="BB56" s="751"/>
      <c r="BC56" s="751"/>
      <c r="BD56" s="751"/>
      <c r="BE56" s="751"/>
      <c r="BF56" s="751"/>
      <c r="BG56" s="751"/>
      <c r="BH56" s="752"/>
    </row>
    <row r="57" spans="7:60" ht="15" customHeight="1" x14ac:dyDescent="0.25">
      <c r="AN57" s="727"/>
      <c r="AO57" s="727"/>
      <c r="AP57" s="727"/>
      <c r="AQ57" s="746"/>
      <c r="AR57" s="746"/>
      <c r="AS57" s="746"/>
      <c r="AT57" s="747"/>
      <c r="AU57" s="748"/>
      <c r="AV57" s="748"/>
      <c r="AW57" s="749"/>
      <c r="AY57" s="750"/>
      <c r="AZ57" s="751"/>
      <c r="BA57" s="751"/>
      <c r="BB57" s="751"/>
      <c r="BC57" s="751"/>
      <c r="BD57" s="751"/>
      <c r="BE57" s="751"/>
      <c r="BF57" s="751"/>
      <c r="BG57" s="751"/>
      <c r="BH57" s="752"/>
    </row>
    <row r="58" spans="7:60" x14ac:dyDescent="0.25">
      <c r="T58">
        <f ca="1">(72*3.1415/59)*(AO48/3.281)</f>
        <v>186.95251034461384</v>
      </c>
      <c r="AN58" s="727"/>
      <c r="AO58" s="727"/>
      <c r="AP58" s="727"/>
      <c r="AQ58" s="746"/>
      <c r="AR58" s="746"/>
      <c r="AS58" s="746"/>
      <c r="AT58" s="747"/>
      <c r="AU58" s="748"/>
      <c r="AV58" s="748"/>
      <c r="AW58" s="749"/>
      <c r="AY58" s="742"/>
      <c r="AZ58" s="743"/>
      <c r="BA58" s="743"/>
      <c r="BB58" s="743"/>
      <c r="BC58" s="743"/>
      <c r="BD58" s="743"/>
      <c r="BE58" s="743"/>
      <c r="BF58" s="743"/>
      <c r="BG58" s="743"/>
      <c r="BH58" s="744"/>
    </row>
    <row r="59" spans="7:60" x14ac:dyDescent="0.25">
      <c r="T59">
        <f>(30*3.1415/44)*(106/3.281)</f>
        <v>69.199869773627782</v>
      </c>
      <c r="AN59" s="727"/>
      <c r="AO59" s="727"/>
      <c r="AP59" s="727"/>
      <c r="AQ59" s="746"/>
      <c r="AR59" s="746"/>
      <c r="AS59" s="746"/>
      <c r="AT59" s="747"/>
      <c r="AU59" s="748"/>
      <c r="AV59" s="748"/>
      <c r="AW59" s="749"/>
      <c r="AY59" s="728">
        <f ca="1">AT48/((54*3.1415/60)*(AO48/3.281))</f>
        <v>0.18946096698321749</v>
      </c>
      <c r="AZ59" s="729"/>
      <c r="BA59" s="729"/>
      <c r="BB59" s="729"/>
      <c r="BC59" s="729"/>
      <c r="BD59" s="729"/>
      <c r="BE59" s="729"/>
      <c r="BF59" s="729"/>
      <c r="BG59" s="729"/>
      <c r="BH59" s="730"/>
    </row>
    <row r="60" spans="7:60" x14ac:dyDescent="0.25">
      <c r="AN60" s="727"/>
      <c r="AO60" s="727"/>
      <c r="AP60" s="727"/>
      <c r="AQ60" s="746"/>
      <c r="AR60" s="746"/>
      <c r="AS60" s="746"/>
      <c r="AT60" s="747"/>
      <c r="AU60" s="748"/>
      <c r="AV60" s="748"/>
      <c r="AW60" s="749"/>
      <c r="AY60" s="731"/>
      <c r="AZ60" s="732"/>
      <c r="BA60" s="732"/>
      <c r="BB60" s="732"/>
      <c r="BC60" s="732"/>
      <c r="BD60" s="732"/>
      <c r="BE60" s="732"/>
      <c r="BF60" s="732"/>
      <c r="BG60" s="732"/>
      <c r="BH60" s="733"/>
    </row>
    <row r="61" spans="7:60" ht="15" customHeight="1" x14ac:dyDescent="0.25">
      <c r="AN61" s="727"/>
      <c r="AO61" s="727"/>
      <c r="AP61" s="727"/>
      <c r="AQ61" s="746"/>
      <c r="AR61" s="746"/>
      <c r="AS61" s="746"/>
      <c r="AT61" s="747"/>
      <c r="AU61" s="748"/>
      <c r="AV61" s="748"/>
      <c r="AW61" s="749"/>
      <c r="AY61" s="731"/>
      <c r="AZ61" s="732"/>
      <c r="BA61" s="732"/>
      <c r="BB61" s="732"/>
      <c r="BC61" s="732"/>
      <c r="BD61" s="732"/>
      <c r="BE61" s="732"/>
      <c r="BF61" s="732"/>
      <c r="BG61" s="732"/>
      <c r="BH61" s="733"/>
    </row>
    <row r="62" spans="7:60" ht="15" customHeight="1" x14ac:dyDescent="0.25">
      <c r="AN62" s="727"/>
      <c r="AO62" s="727"/>
      <c r="AP62" s="727"/>
      <c r="AQ62" s="746"/>
      <c r="AR62" s="746"/>
      <c r="AS62" s="746"/>
      <c r="AT62" s="747"/>
      <c r="AU62" s="748"/>
      <c r="AV62" s="748"/>
      <c r="AW62" s="749"/>
      <c r="AY62" s="731"/>
      <c r="AZ62" s="732"/>
      <c r="BA62" s="732"/>
      <c r="BB62" s="732"/>
      <c r="BC62" s="732"/>
      <c r="BD62" s="732"/>
      <c r="BE62" s="732"/>
      <c r="BF62" s="732"/>
      <c r="BG62" s="732"/>
      <c r="BH62" s="733"/>
    </row>
    <row r="63" spans="7:60" ht="15" customHeight="1" x14ac:dyDescent="0.25">
      <c r="AN63" s="727"/>
      <c r="AO63" s="727"/>
      <c r="AP63" s="727"/>
      <c r="AQ63" s="746"/>
      <c r="AR63" s="746"/>
      <c r="AS63" s="746"/>
      <c r="AT63" s="747"/>
      <c r="AU63" s="748"/>
      <c r="AV63" s="748"/>
      <c r="AW63" s="749"/>
      <c r="AY63" s="734"/>
      <c r="AZ63" s="735"/>
      <c r="BA63" s="735"/>
      <c r="BB63" s="735"/>
      <c r="BC63" s="735"/>
      <c r="BD63" s="735"/>
      <c r="BE63" s="735"/>
      <c r="BF63" s="735"/>
      <c r="BG63" s="735"/>
      <c r="BH63" s="736"/>
    </row>
    <row r="64" spans="7:60" ht="15" customHeight="1" x14ac:dyDescent="0.25">
      <c r="AN64" s="727"/>
      <c r="AO64" s="727"/>
      <c r="AP64" s="727"/>
      <c r="AQ64" s="746"/>
      <c r="AR64" s="746"/>
      <c r="AS64" s="746"/>
      <c r="AT64" s="747"/>
      <c r="AU64" s="748"/>
      <c r="AV64" s="748"/>
      <c r="AW64" s="749"/>
    </row>
    <row r="65" spans="40:49" ht="15" customHeight="1" x14ac:dyDescent="0.25">
      <c r="AN65" s="727"/>
      <c r="AO65" s="727"/>
      <c r="AP65" s="727"/>
      <c r="AQ65" s="746"/>
      <c r="AR65" s="746"/>
      <c r="AS65" s="746"/>
      <c r="AT65" s="747"/>
      <c r="AU65" s="748"/>
      <c r="AV65" s="748"/>
      <c r="AW65" s="749"/>
    </row>
    <row r="66" spans="40:49" ht="15" customHeight="1" x14ac:dyDescent="0.25">
      <c r="AN66" s="727"/>
      <c r="AO66" s="727"/>
      <c r="AP66" s="727"/>
      <c r="AQ66" s="746"/>
      <c r="AR66" s="746"/>
      <c r="AS66" s="746"/>
      <c r="AT66" s="747"/>
      <c r="AU66" s="748"/>
      <c r="AV66" s="748"/>
      <c r="AW66" s="749"/>
    </row>
    <row r="67" spans="40:49" ht="15" customHeight="1" x14ac:dyDescent="0.25">
      <c r="AN67" s="727"/>
      <c r="AO67" s="727"/>
      <c r="AP67" s="727"/>
      <c r="AQ67" s="746"/>
      <c r="AR67" s="746"/>
      <c r="AS67" s="746"/>
      <c r="AT67" s="747"/>
      <c r="AU67" s="748"/>
      <c r="AV67" s="748"/>
      <c r="AW67" s="749"/>
    </row>
    <row r="68" spans="40:49" ht="15" customHeight="1" x14ac:dyDescent="0.25">
      <c r="AN68" s="727"/>
      <c r="AO68" s="727"/>
      <c r="AP68" s="727"/>
      <c r="AQ68" s="746"/>
      <c r="AR68" s="746"/>
      <c r="AS68" s="746"/>
      <c r="AT68" s="747"/>
      <c r="AU68" s="748"/>
      <c r="AV68" s="748"/>
      <c r="AW68" s="749"/>
    </row>
    <row r="69" spans="40:49" ht="15" customHeight="1" x14ac:dyDescent="0.25">
      <c r="AN69" s="727"/>
      <c r="AO69" s="727"/>
      <c r="AP69" s="727"/>
      <c r="AQ69" s="746"/>
      <c r="AR69" s="746"/>
      <c r="AS69" s="746"/>
      <c r="AT69" s="747"/>
      <c r="AU69" s="748"/>
      <c r="AV69" s="748"/>
      <c r="AW69" s="749"/>
    </row>
    <row r="70" spans="40:49" ht="15" customHeight="1" x14ac:dyDescent="0.25">
      <c r="AQ70" s="1254">
        <f ca="1">AQ55+AQ58+AQ61+AQ64+AQ67</f>
        <v>4</v>
      </c>
      <c r="AR70" s="1254"/>
      <c r="AS70" s="1254"/>
      <c r="AT70" s="747">
        <f ca="1">AT55+AT58+AT61</f>
        <v>160</v>
      </c>
      <c r="AU70" s="748"/>
      <c r="AV70" s="748"/>
      <c r="AW70" s="749"/>
    </row>
    <row r="71" spans="40:49" ht="15" customHeight="1" x14ac:dyDescent="0.25">
      <c r="AQ71" s="1254"/>
      <c r="AR71" s="1254"/>
      <c r="AS71" s="1254"/>
      <c r="AT71" s="747"/>
      <c r="AU71" s="748"/>
      <c r="AV71" s="748"/>
      <c r="AW71" s="749"/>
    </row>
    <row r="72" spans="40:49" ht="15" customHeight="1" x14ac:dyDescent="0.25">
      <c r="AQ72" s="1254"/>
      <c r="AR72" s="1254"/>
      <c r="AS72" s="1254"/>
      <c r="AT72" s="747"/>
      <c r="AU72" s="748"/>
      <c r="AV72" s="748"/>
      <c r="AW72" s="749"/>
    </row>
    <row r="73" spans="40:49" ht="15" customHeight="1" x14ac:dyDescent="0.25"/>
    <row r="74" spans="40:49" ht="15" customHeight="1" x14ac:dyDescent="0.25"/>
    <row r="75" spans="40:49" ht="15" customHeight="1" x14ac:dyDescent="0.25"/>
    <row r="76" spans="40:49" ht="15" customHeight="1" x14ac:dyDescent="0.25"/>
    <row r="77" spans="40:49" ht="15" customHeight="1" x14ac:dyDescent="0.25">
      <c r="AS77" s="27"/>
      <c r="AT77" s="27"/>
      <c r="AU77" s="27"/>
    </row>
  </sheetData>
  <mergeCells count="244">
    <mergeCell ref="AQ70:AS72"/>
    <mergeCell ref="AT70:AW72"/>
    <mergeCell ref="U9:X9"/>
    <mergeCell ref="Y9:Y10"/>
    <mergeCell ref="U11:X11"/>
    <mergeCell ref="Y11:Y12"/>
    <mergeCell ref="AQ61:AS63"/>
    <mergeCell ref="AT61:AW63"/>
    <mergeCell ref="AN64:AP66"/>
    <mergeCell ref="AQ64:AS66"/>
    <mergeCell ref="AT64:AW66"/>
    <mergeCell ref="AN67:AP69"/>
    <mergeCell ref="AQ67:AS69"/>
    <mergeCell ref="AT67:AW69"/>
    <mergeCell ref="AT32:AW33"/>
    <mergeCell ref="AO34:AU40"/>
    <mergeCell ref="AV34:AW40"/>
    <mergeCell ref="AT24:AT25"/>
    <mergeCell ref="AU24:AX24"/>
    <mergeCell ref="AE10:AH10"/>
    <mergeCell ref="AJ12:AM12"/>
    <mergeCell ref="AN12:AN13"/>
    <mergeCell ref="AY53:BH54"/>
    <mergeCell ref="AN55:AP57"/>
    <mergeCell ref="AQ55:AS57"/>
    <mergeCell ref="AT55:AW57"/>
    <mergeCell ref="AY55:BH58"/>
    <mergeCell ref="AN58:AP60"/>
    <mergeCell ref="AQ58:AS60"/>
    <mergeCell ref="AT58:AW60"/>
    <mergeCell ref="AY59:BH63"/>
    <mergeCell ref="AN61:AP63"/>
    <mergeCell ref="AY45:BH47"/>
    <mergeCell ref="AL48:AN51"/>
    <mergeCell ref="AO48:AQ51"/>
    <mergeCell ref="AR48:AS51"/>
    <mergeCell ref="AT48:AU51"/>
    <mergeCell ref="AY48:BH49"/>
    <mergeCell ref="AY50:BH52"/>
    <mergeCell ref="AO41:AW42"/>
    <mergeCell ref="AD45:AH51"/>
    <mergeCell ref="AL45:AN47"/>
    <mergeCell ref="AO45:AQ47"/>
    <mergeCell ref="AR45:AS47"/>
    <mergeCell ref="AT45:AU47"/>
    <mergeCell ref="BD30:BD31"/>
    <mergeCell ref="BE30:BH30"/>
    <mergeCell ref="H32:J33"/>
    <mergeCell ref="Q32:V34"/>
    <mergeCell ref="X32:AB36"/>
    <mergeCell ref="AC32:AH36"/>
    <mergeCell ref="AJ32:AN42"/>
    <mergeCell ref="AO32:AS33"/>
    <mergeCell ref="A30:A31"/>
    <mergeCell ref="B30:E30"/>
    <mergeCell ref="F30:F31"/>
    <mergeCell ref="G30:J30"/>
    <mergeCell ref="AT30:AT31"/>
    <mergeCell ref="AU30:AX30"/>
    <mergeCell ref="H35:J35"/>
    <mergeCell ref="Q35:V42"/>
    <mergeCell ref="H36:J37"/>
    <mergeCell ref="X37:AB42"/>
    <mergeCell ref="AC37:AH42"/>
    <mergeCell ref="H38:J40"/>
    <mergeCell ref="H41:J42"/>
    <mergeCell ref="AY30:AY31"/>
    <mergeCell ref="AZ30:BC30"/>
    <mergeCell ref="AY26:BA26"/>
    <mergeCell ref="BB26:BC26"/>
    <mergeCell ref="BD26:BF26"/>
    <mergeCell ref="BG26:BH26"/>
    <mergeCell ref="A27:C29"/>
    <mergeCell ref="F27:H29"/>
    <mergeCell ref="AT27:AV29"/>
    <mergeCell ref="AY27:BA29"/>
    <mergeCell ref="BD27:BF29"/>
    <mergeCell ref="A26:C26"/>
    <mergeCell ref="D26:E26"/>
    <mergeCell ref="F26:H26"/>
    <mergeCell ref="I26:J26"/>
    <mergeCell ref="AT26:AV26"/>
    <mergeCell ref="AW26:AX26"/>
    <mergeCell ref="AY24:AY25"/>
    <mergeCell ref="AZ24:BC24"/>
    <mergeCell ref="BD24:BD25"/>
    <mergeCell ref="BE24:BH24"/>
    <mergeCell ref="A24:A25"/>
    <mergeCell ref="B24:E24"/>
    <mergeCell ref="F24:F25"/>
    <mergeCell ref="G24:J24"/>
    <mergeCell ref="AO24:AO25"/>
    <mergeCell ref="AP24:AS24"/>
    <mergeCell ref="A21:C23"/>
    <mergeCell ref="F21:H23"/>
    <mergeCell ref="AO21:AQ23"/>
    <mergeCell ref="AT21:AV23"/>
    <mergeCell ref="AY21:BA23"/>
    <mergeCell ref="BD21:BF23"/>
    <mergeCell ref="AT20:AV20"/>
    <mergeCell ref="AW20:AX20"/>
    <mergeCell ref="AY20:BA20"/>
    <mergeCell ref="BB20:BC20"/>
    <mergeCell ref="BD20:BF20"/>
    <mergeCell ref="BG20:BH20"/>
    <mergeCell ref="A20:C20"/>
    <mergeCell ref="D20:E20"/>
    <mergeCell ref="F20:H20"/>
    <mergeCell ref="I20:J20"/>
    <mergeCell ref="AO20:AQ20"/>
    <mergeCell ref="AR20:AS20"/>
    <mergeCell ref="A18:A19"/>
    <mergeCell ref="B18:E18"/>
    <mergeCell ref="AY18:AY19"/>
    <mergeCell ref="AZ18:BC18"/>
    <mergeCell ref="BD18:BD19"/>
    <mergeCell ref="BE18:BH18"/>
    <mergeCell ref="AY14:BA14"/>
    <mergeCell ref="BB14:BC14"/>
    <mergeCell ref="BD14:BF14"/>
    <mergeCell ref="BG14:BH14"/>
    <mergeCell ref="A15:E17"/>
    <mergeCell ref="AO15:AQ17"/>
    <mergeCell ref="AT15:AV17"/>
    <mergeCell ref="AY15:BA17"/>
    <mergeCell ref="BD15:BF17"/>
    <mergeCell ref="A14:C14"/>
    <mergeCell ref="D14:E14"/>
    <mergeCell ref="AO14:AQ14"/>
    <mergeCell ref="AR14:AS14"/>
    <mergeCell ref="AT14:AV14"/>
    <mergeCell ref="AW14:AX14"/>
    <mergeCell ref="P12:S12"/>
    <mergeCell ref="T12:T13"/>
    <mergeCell ref="Z12:AC12"/>
    <mergeCell ref="AD12:AD13"/>
    <mergeCell ref="AE12:AH12"/>
    <mergeCell ref="AI12:AI13"/>
    <mergeCell ref="A12:D12"/>
    <mergeCell ref="E12:E13"/>
    <mergeCell ref="F12:I12"/>
    <mergeCell ref="J12:J13"/>
    <mergeCell ref="K12:N12"/>
    <mergeCell ref="O12:O13"/>
    <mergeCell ref="AY12:AY13"/>
    <mergeCell ref="AZ12:BC12"/>
    <mergeCell ref="BG8:BH8"/>
    <mergeCell ref="AY9:BA11"/>
    <mergeCell ref="BD9:BF11"/>
    <mergeCell ref="BB8:BC8"/>
    <mergeCell ref="BD8:BF8"/>
    <mergeCell ref="BD12:BD13"/>
    <mergeCell ref="BE12:BH12"/>
    <mergeCell ref="A10:D10"/>
    <mergeCell ref="E10:E11"/>
    <mergeCell ref="F10:I10"/>
    <mergeCell ref="J10:J11"/>
    <mergeCell ref="K10:N10"/>
    <mergeCell ref="AJ8:AM8"/>
    <mergeCell ref="AN8:AN9"/>
    <mergeCell ref="AP8:AW11"/>
    <mergeCell ref="AY8:BA8"/>
    <mergeCell ref="P8:S8"/>
    <mergeCell ref="T8:T9"/>
    <mergeCell ref="Z8:AC8"/>
    <mergeCell ref="AD8:AD9"/>
    <mergeCell ref="AE8:AH8"/>
    <mergeCell ref="AI8:AI9"/>
    <mergeCell ref="AI10:AI11"/>
    <mergeCell ref="AJ10:AM10"/>
    <mergeCell ref="AN10:AN11"/>
    <mergeCell ref="O10:O11"/>
    <mergeCell ref="P10:S10"/>
    <mergeCell ref="T10:T11"/>
    <mergeCell ref="Z10:AC10"/>
    <mergeCell ref="AD10:AD11"/>
    <mergeCell ref="AY6:AY7"/>
    <mergeCell ref="AZ6:BC6"/>
    <mergeCell ref="BD6:BD7"/>
    <mergeCell ref="BE6:BH6"/>
    <mergeCell ref="A8:D8"/>
    <mergeCell ref="E8:E9"/>
    <mergeCell ref="F8:I8"/>
    <mergeCell ref="J8:J9"/>
    <mergeCell ref="K8:N8"/>
    <mergeCell ref="O8:O9"/>
    <mergeCell ref="AE6:AE7"/>
    <mergeCell ref="AF6:AI6"/>
    <mergeCell ref="AO6:AR6"/>
    <mergeCell ref="AS6:AS7"/>
    <mergeCell ref="AT6:AW6"/>
    <mergeCell ref="AX6:AX7"/>
    <mergeCell ref="P6:P7"/>
    <mergeCell ref="Q6:T6"/>
    <mergeCell ref="U6:U7"/>
    <mergeCell ref="V6:Y6"/>
    <mergeCell ref="Z6:Z7"/>
    <mergeCell ref="AA6:AD6"/>
    <mergeCell ref="A6:D6"/>
    <mergeCell ref="E6:E7"/>
    <mergeCell ref="F6:I6"/>
    <mergeCell ref="J6:J7"/>
    <mergeCell ref="J4:J5"/>
    <mergeCell ref="AJ4:AM4"/>
    <mergeCell ref="AN4:AN5"/>
    <mergeCell ref="AO4:AR4"/>
    <mergeCell ref="AS4:AS5"/>
    <mergeCell ref="AT4:AW4"/>
    <mergeCell ref="P3:T5"/>
    <mergeCell ref="U3:Y5"/>
    <mergeCell ref="Z3:AD5"/>
    <mergeCell ref="AE3:AI5"/>
    <mergeCell ref="O2:O3"/>
    <mergeCell ref="K4:N4"/>
    <mergeCell ref="O4:O5"/>
    <mergeCell ref="AJ2:AM2"/>
    <mergeCell ref="AN2:AN3"/>
    <mergeCell ref="AO2:AR2"/>
    <mergeCell ref="AS2:AS3"/>
    <mergeCell ref="P2:R2"/>
    <mergeCell ref="S2:T2"/>
    <mergeCell ref="U2:W2"/>
    <mergeCell ref="X2:Y2"/>
    <mergeCell ref="Z2:AB2"/>
    <mergeCell ref="AY3:BA5"/>
    <mergeCell ref="BD3:BF5"/>
    <mergeCell ref="AX4:AX5"/>
    <mergeCell ref="AT2:AW2"/>
    <mergeCell ref="AX2:AX3"/>
    <mergeCell ref="AY2:BA2"/>
    <mergeCell ref="BB2:BC2"/>
    <mergeCell ref="BD2:BF2"/>
    <mergeCell ref="BG2:BH2"/>
    <mergeCell ref="AH2:AI2"/>
    <mergeCell ref="K2:N2"/>
    <mergeCell ref="AC2:AD2"/>
    <mergeCell ref="A2:D2"/>
    <mergeCell ref="E2:E3"/>
    <mergeCell ref="F2:I2"/>
    <mergeCell ref="J2:J3"/>
    <mergeCell ref="A4:D4"/>
    <mergeCell ref="E4:E5"/>
    <mergeCell ref="F4:I4"/>
    <mergeCell ref="AE2:AG2"/>
  </mergeCells>
  <pageMargins left="0.25" right="0" top="0.75" bottom="0.25" header="0.3" footer="0.3"/>
  <pageSetup paperSize="8" scale="63" orientation="landscape" r:id="rId1"/>
  <headerFooter>
    <oddFooter>&amp;C&amp;"-,Bold Italic"&amp;16Prepared by Emir Cebecioglu&amp;RQuality Control Department</oddFooter>
  </headerFooter>
  <colBreaks count="1" manualBreakCount="1">
    <brk id="60" max="50" man="1"/>
  </colBreaks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AEA5F-ACC4-4010-AAF8-51BA80D7DE9C}">
  <sheetPr>
    <pageSetUpPr fitToPage="1"/>
  </sheetPr>
  <dimension ref="A1:CB77"/>
  <sheetViews>
    <sheetView view="pageBreakPreview" zoomScale="40" zoomScaleNormal="70" zoomScaleSheetLayoutView="40" zoomScalePageLayoutView="55" workbookViewId="0">
      <selection activeCell="O31" sqref="O31:R31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140625" customWidth="1"/>
    <col min="47" max="47" width="10.71093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1" customWidth="1"/>
    <col min="62" max="62" width="56.7109375" customWidth="1"/>
    <col min="63" max="63" width="13" customWidth="1"/>
    <col min="64" max="64" width="7" customWidth="1"/>
  </cols>
  <sheetData>
    <row r="1" spans="1:80" ht="214.5" customHeight="1" thickBot="1" x14ac:dyDescent="0.3"/>
    <row r="2" spans="1:80" ht="36" customHeight="1" thickTop="1" x14ac:dyDescent="0.25">
      <c r="A2" s="1371"/>
      <c r="B2" s="1371"/>
      <c r="C2" s="1371"/>
      <c r="D2" s="1371"/>
      <c r="E2" s="1370"/>
      <c r="F2" s="1371"/>
      <c r="G2" s="1371"/>
      <c r="H2" s="1371"/>
      <c r="I2" s="1371"/>
      <c r="J2" s="1370"/>
      <c r="K2" s="1371"/>
      <c r="L2" s="1371"/>
      <c r="M2" s="1371"/>
      <c r="N2" s="1371"/>
      <c r="O2" s="254"/>
      <c r="P2" s="3163" t="s">
        <v>250</v>
      </c>
      <c r="Q2" s="3164"/>
      <c r="R2" s="3164"/>
      <c r="S2" s="3165">
        <f>Q7/((42*3.1415/44)*(74.5/3.281))</f>
        <v>4.9228917897076459E-2</v>
      </c>
      <c r="T2" s="3166"/>
      <c r="U2" s="3163" t="s">
        <v>250</v>
      </c>
      <c r="V2" s="3164"/>
      <c r="W2" s="3164"/>
      <c r="X2" s="3165">
        <f>V7/((42*3.1415/44)*(64.5/3.281))</f>
        <v>1.6963397454867609E-6</v>
      </c>
      <c r="Y2" s="3166"/>
      <c r="Z2" s="3163" t="s">
        <v>250</v>
      </c>
      <c r="AA2" s="3164"/>
      <c r="AB2" s="3164"/>
      <c r="AC2" s="3165">
        <f>AA7/((42*3.1415/44)*(64.5/3.281))</f>
        <v>1.6963397454867607E-8</v>
      </c>
      <c r="AD2" s="3166"/>
      <c r="AE2" s="3163" t="s">
        <v>250</v>
      </c>
      <c r="AF2" s="3164"/>
      <c r="AG2" s="3164"/>
      <c r="AH2" s="3165">
        <f>AF7/((42*3.1415/44)*(64.5/3.281))</f>
        <v>1.9389163290913676E-2</v>
      </c>
      <c r="AI2" s="3166"/>
      <c r="AJ2" s="1371"/>
      <c r="AK2" s="1371"/>
      <c r="AL2" s="1371"/>
      <c r="AM2" s="1371"/>
      <c r="AN2" s="254"/>
      <c r="AO2" s="1371"/>
      <c r="AP2" s="1371"/>
      <c r="AQ2" s="1371"/>
      <c r="AR2" s="1371"/>
      <c r="AS2" s="1370"/>
      <c r="AT2" s="1371"/>
      <c r="AU2" s="1371"/>
      <c r="AV2" s="1371"/>
      <c r="AW2" s="1371"/>
      <c r="AX2" s="1370"/>
      <c r="AY2" s="674"/>
      <c r="AZ2" s="674"/>
      <c r="BA2" s="674"/>
      <c r="BB2" s="1300"/>
      <c r="BC2" s="1300"/>
      <c r="BD2" s="674"/>
      <c r="BE2" s="674"/>
      <c r="BF2" s="674"/>
      <c r="BG2" s="1300"/>
      <c r="BH2" s="1300"/>
      <c r="BM2" s="27"/>
      <c r="BN2" s="27"/>
      <c r="BO2" s="27"/>
      <c r="BP2" s="27"/>
      <c r="BQ2" s="27"/>
      <c r="BR2" s="27"/>
      <c r="BW2" s="27"/>
      <c r="BX2" s="27"/>
      <c r="BY2" s="27"/>
      <c r="BZ2" s="27"/>
      <c r="CA2" s="27"/>
      <c r="CB2" s="27"/>
    </row>
    <row r="3" spans="1:80" ht="9.9499999999999993" hidden="1" customHeight="1" x14ac:dyDescent="0.25">
      <c r="A3" s="32"/>
      <c r="B3" s="33"/>
      <c r="C3" s="34"/>
      <c r="D3" s="35"/>
      <c r="E3" s="1370"/>
      <c r="F3" s="32"/>
      <c r="G3" s="33"/>
      <c r="H3" s="34"/>
      <c r="I3" s="35"/>
      <c r="J3" s="1370"/>
      <c r="K3" s="32"/>
      <c r="L3" s="33"/>
      <c r="M3" s="34"/>
      <c r="N3" s="35"/>
      <c r="O3" s="32"/>
      <c r="P3" s="1680" t="s">
        <v>111</v>
      </c>
      <c r="Q3" s="1681"/>
      <c r="R3" s="1681"/>
      <c r="S3" s="1681"/>
      <c r="T3" s="1682"/>
      <c r="U3" s="1680" t="s">
        <v>111</v>
      </c>
      <c r="V3" s="1681"/>
      <c r="W3" s="1681"/>
      <c r="X3" s="1681"/>
      <c r="Y3" s="1682"/>
      <c r="Z3" s="1680" t="s">
        <v>111</v>
      </c>
      <c r="AA3" s="1681"/>
      <c r="AB3" s="1681"/>
      <c r="AC3" s="1681"/>
      <c r="AD3" s="1682"/>
      <c r="AE3" s="1680" t="s">
        <v>111</v>
      </c>
      <c r="AF3" s="1681"/>
      <c r="AG3" s="1681"/>
      <c r="AH3" s="1681"/>
      <c r="AI3" s="1682"/>
      <c r="AJ3" s="32"/>
      <c r="AK3" s="33"/>
      <c r="AL3" s="34"/>
      <c r="AM3" s="35"/>
      <c r="AN3" s="32"/>
      <c r="AO3" s="32"/>
      <c r="AP3" s="33"/>
      <c r="AQ3" s="34"/>
      <c r="AR3" s="35"/>
      <c r="AS3" s="1370"/>
      <c r="AT3" s="32"/>
      <c r="AU3" s="33"/>
      <c r="AV3" s="34"/>
      <c r="AW3" s="35"/>
      <c r="AX3" s="1370"/>
      <c r="AY3" s="676"/>
      <c r="AZ3" s="676"/>
      <c r="BA3" s="676"/>
      <c r="BB3" s="36"/>
      <c r="BC3" s="36"/>
      <c r="BD3" s="676"/>
      <c r="BE3" s="676"/>
      <c r="BF3" s="676"/>
      <c r="BG3" s="36"/>
      <c r="BH3" s="36"/>
    </row>
    <row r="4" spans="1:80" ht="24.95" hidden="1" customHeight="1" x14ac:dyDescent="0.25">
      <c r="A4" s="1371"/>
      <c r="B4" s="1371"/>
      <c r="C4" s="1371"/>
      <c r="D4" s="1371"/>
      <c r="E4" s="1370"/>
      <c r="F4" s="1371"/>
      <c r="G4" s="1371"/>
      <c r="H4" s="1371"/>
      <c r="I4" s="1371"/>
      <c r="J4" s="1370"/>
      <c r="K4" s="1371"/>
      <c r="L4" s="1371"/>
      <c r="M4" s="1371"/>
      <c r="N4" s="1371"/>
      <c r="O4" s="254"/>
      <c r="P4" s="1683"/>
      <c r="Q4" s="1684"/>
      <c r="R4" s="1684"/>
      <c r="S4" s="1684"/>
      <c r="T4" s="1685"/>
      <c r="U4" s="1683"/>
      <c r="V4" s="1684"/>
      <c r="W4" s="1684"/>
      <c r="X4" s="1684"/>
      <c r="Y4" s="1685"/>
      <c r="Z4" s="1683"/>
      <c r="AA4" s="1684"/>
      <c r="AB4" s="1684"/>
      <c r="AC4" s="1684"/>
      <c r="AD4" s="1685"/>
      <c r="AE4" s="1683"/>
      <c r="AF4" s="1684"/>
      <c r="AG4" s="1684"/>
      <c r="AH4" s="1684"/>
      <c r="AI4" s="1685"/>
      <c r="AJ4" s="1371"/>
      <c r="AK4" s="1371"/>
      <c r="AL4" s="1371"/>
      <c r="AM4" s="1371"/>
      <c r="AN4" s="254"/>
      <c r="AO4" s="1371"/>
      <c r="AP4" s="1371"/>
      <c r="AQ4" s="1371"/>
      <c r="AR4" s="1371"/>
      <c r="AS4" s="1370"/>
      <c r="AT4" s="1371"/>
      <c r="AU4" s="1371"/>
      <c r="AV4" s="1371"/>
      <c r="AW4" s="1371"/>
      <c r="AX4" s="1370"/>
      <c r="AY4" s="676"/>
      <c r="AZ4" s="676"/>
      <c r="BA4" s="676"/>
      <c r="BB4" s="36"/>
      <c r="BC4" s="36"/>
      <c r="BD4" s="676"/>
      <c r="BE4" s="676"/>
      <c r="BF4" s="676"/>
      <c r="BG4" s="36"/>
      <c r="BH4" s="36"/>
    </row>
    <row r="5" spans="1:80" ht="25.5" customHeight="1" x14ac:dyDescent="0.25">
      <c r="A5" s="32"/>
      <c r="B5" s="33"/>
      <c r="C5" s="34"/>
      <c r="D5" s="35"/>
      <c r="E5" s="1370"/>
      <c r="F5" s="32"/>
      <c r="G5" s="33"/>
      <c r="H5" s="34"/>
      <c r="I5" s="35"/>
      <c r="J5" s="1370"/>
      <c r="K5" s="32"/>
      <c r="L5" s="33"/>
      <c r="M5" s="34"/>
      <c r="N5" s="35"/>
      <c r="O5" s="32"/>
      <c r="P5" s="1686"/>
      <c r="Q5" s="1687"/>
      <c r="R5" s="1687"/>
      <c r="S5" s="1687"/>
      <c r="T5" s="1688"/>
      <c r="U5" s="1686"/>
      <c r="V5" s="1687"/>
      <c r="W5" s="1687"/>
      <c r="X5" s="1687"/>
      <c r="Y5" s="1688"/>
      <c r="Z5" s="1686"/>
      <c r="AA5" s="1687"/>
      <c r="AB5" s="1687"/>
      <c r="AC5" s="1687"/>
      <c r="AD5" s="1688"/>
      <c r="AE5" s="1686"/>
      <c r="AF5" s="1687"/>
      <c r="AG5" s="1687"/>
      <c r="AH5" s="1687"/>
      <c r="AI5" s="1688"/>
      <c r="AJ5" s="32"/>
      <c r="AK5" s="33"/>
      <c r="AL5" s="34"/>
      <c r="AM5" s="35"/>
      <c r="AN5" s="32"/>
      <c r="AO5" s="32"/>
      <c r="AP5" s="33"/>
      <c r="AQ5" s="34"/>
      <c r="AR5" s="35"/>
      <c r="AS5" s="1370"/>
      <c r="AT5" s="32"/>
      <c r="AU5" s="33"/>
      <c r="AV5" s="34"/>
      <c r="AW5" s="35"/>
      <c r="AX5" s="1370"/>
      <c r="AY5" s="676"/>
      <c r="AZ5" s="676"/>
      <c r="BA5" s="676"/>
      <c r="BB5" s="36"/>
      <c r="BC5" s="36"/>
      <c r="BD5" s="676"/>
      <c r="BE5" s="676"/>
      <c r="BF5" s="676"/>
      <c r="BG5" s="36"/>
      <c r="BH5" s="36"/>
    </row>
    <row r="6" spans="1:80" ht="72" customHeight="1" x14ac:dyDescent="0.25">
      <c r="A6" s="1371"/>
      <c r="B6" s="1371"/>
      <c r="C6" s="1371"/>
      <c r="D6" s="1371"/>
      <c r="E6" s="1370"/>
      <c r="F6" s="1371"/>
      <c r="G6" s="1371"/>
      <c r="H6" s="1371"/>
      <c r="I6" s="1371"/>
      <c r="J6" s="1370"/>
      <c r="K6" s="1371"/>
      <c r="L6" s="1371"/>
      <c r="M6" s="1371"/>
      <c r="N6" s="1371"/>
      <c r="O6" s="254"/>
      <c r="P6" s="3161" t="s">
        <v>361</v>
      </c>
      <c r="Q6" s="1714">
        <v>1</v>
      </c>
      <c r="R6" s="1715"/>
      <c r="S6" s="1715"/>
      <c r="T6" s="1716"/>
      <c r="U6" s="3161" t="s">
        <v>360</v>
      </c>
      <c r="V6" s="1714">
        <v>2</v>
      </c>
      <c r="W6" s="1715"/>
      <c r="X6" s="1715"/>
      <c r="Y6" s="1716"/>
      <c r="Z6" s="3161" t="s">
        <v>360</v>
      </c>
      <c r="AA6" s="1714">
        <v>3</v>
      </c>
      <c r="AB6" s="1715"/>
      <c r="AC6" s="1715"/>
      <c r="AD6" s="1716"/>
      <c r="AE6" s="3161" t="s">
        <v>360</v>
      </c>
      <c r="AF6" s="1714">
        <v>4</v>
      </c>
      <c r="AG6" s="1715"/>
      <c r="AH6" s="1715"/>
      <c r="AI6" s="1716"/>
      <c r="AJ6" s="1371"/>
      <c r="AK6" s="1371"/>
      <c r="AL6" s="1371"/>
      <c r="AM6" s="1371"/>
      <c r="AN6" s="254"/>
      <c r="AO6" s="1371"/>
      <c r="AP6" s="1371"/>
      <c r="AQ6" s="1371"/>
      <c r="AR6" s="1371"/>
      <c r="AS6" s="1370"/>
      <c r="AT6" s="1371"/>
      <c r="AU6" s="1371"/>
      <c r="AV6" s="1371"/>
      <c r="AW6" s="1371"/>
      <c r="AX6" s="1370"/>
      <c r="AY6" s="677"/>
      <c r="AZ6" s="1332"/>
      <c r="BA6" s="1332"/>
      <c r="BB6" s="1332"/>
      <c r="BC6" s="1332"/>
      <c r="BD6" s="677"/>
      <c r="BE6" s="1332"/>
      <c r="BF6" s="1332"/>
      <c r="BG6" s="1332"/>
      <c r="BH6" s="1332"/>
      <c r="BM6" s="27"/>
      <c r="BN6" s="27"/>
      <c r="BO6" s="27"/>
      <c r="BP6" s="27"/>
      <c r="BQ6" s="27"/>
      <c r="BR6" s="27"/>
      <c r="BW6" s="27"/>
      <c r="BX6" s="27"/>
      <c r="BY6" s="27"/>
      <c r="BZ6" s="27"/>
      <c r="CA6" s="27"/>
      <c r="CB6" s="27"/>
    </row>
    <row r="7" spans="1:80" ht="35.1" customHeight="1" thickBot="1" x14ac:dyDescent="0.3">
      <c r="A7" s="32"/>
      <c r="B7" s="33"/>
      <c r="C7" s="34"/>
      <c r="D7" s="35"/>
      <c r="E7" s="1370"/>
      <c r="F7" s="32"/>
      <c r="G7" s="33"/>
      <c r="H7" s="34"/>
      <c r="I7" s="35"/>
      <c r="J7" s="1370"/>
      <c r="K7" s="32"/>
      <c r="L7" s="33"/>
      <c r="M7" s="34"/>
      <c r="N7" s="35"/>
      <c r="O7" s="32"/>
      <c r="P7" s="3162"/>
      <c r="Q7" s="241">
        <v>3.3519999999999999</v>
      </c>
      <c r="R7" s="242" t="s">
        <v>113</v>
      </c>
      <c r="S7" s="243"/>
      <c r="T7" s="244" t="s">
        <v>114</v>
      </c>
      <c r="U7" s="3162"/>
      <c r="V7" s="241">
        <v>1E-4</v>
      </c>
      <c r="W7" s="242" t="s">
        <v>113</v>
      </c>
      <c r="X7" s="243"/>
      <c r="Y7" s="244" t="s">
        <v>114</v>
      </c>
      <c r="Z7" s="3162"/>
      <c r="AA7" s="241">
        <v>9.9999999999999995E-7</v>
      </c>
      <c r="AB7" s="242" t="s">
        <v>113</v>
      </c>
      <c r="AC7" s="243"/>
      <c r="AD7" s="244" t="s">
        <v>114</v>
      </c>
      <c r="AE7" s="3162"/>
      <c r="AF7" s="241">
        <v>1.143</v>
      </c>
      <c r="AG7" s="242" t="s">
        <v>113</v>
      </c>
      <c r="AH7" s="243">
        <v>1</v>
      </c>
      <c r="AI7" s="244" t="s">
        <v>114</v>
      </c>
      <c r="AJ7" s="32"/>
      <c r="AK7" s="33"/>
      <c r="AL7" s="34"/>
      <c r="AM7" s="35"/>
      <c r="AN7" s="32"/>
      <c r="AO7" s="32"/>
      <c r="AP7" s="33"/>
      <c r="AQ7" s="34"/>
      <c r="AR7" s="35"/>
      <c r="AS7" s="1370"/>
      <c r="AT7" s="32"/>
      <c r="AU7" s="33"/>
      <c r="AV7" s="34"/>
      <c r="AW7" s="35"/>
      <c r="AX7" s="1370"/>
      <c r="AY7" s="677"/>
      <c r="AZ7" s="137"/>
      <c r="BA7" s="33"/>
      <c r="BB7" s="138"/>
      <c r="BC7" s="35"/>
      <c r="BD7" s="677"/>
      <c r="BE7" s="137"/>
      <c r="BF7" s="33"/>
      <c r="BG7" s="138"/>
      <c r="BH7" s="35"/>
      <c r="BM7" s="27"/>
      <c r="BN7" s="27"/>
      <c r="BO7" s="27"/>
      <c r="BP7" s="27"/>
      <c r="BQ7" s="27"/>
      <c r="BR7" s="27"/>
      <c r="BW7" s="27"/>
      <c r="BX7" s="27"/>
      <c r="BY7" s="27"/>
      <c r="BZ7" s="27"/>
      <c r="CA7" s="27"/>
      <c r="CB7" s="27"/>
    </row>
    <row r="8" spans="1:80" ht="39" customHeight="1" thickTop="1" x14ac:dyDescent="0.25">
      <c r="A8" s="1371"/>
      <c r="B8" s="1371"/>
      <c r="C8" s="1371"/>
      <c r="D8" s="1371"/>
      <c r="E8" s="1370"/>
      <c r="F8" s="1371"/>
      <c r="G8" s="1371"/>
      <c r="H8" s="1371"/>
      <c r="I8" s="1371"/>
      <c r="J8" s="1370"/>
      <c r="K8" s="1371"/>
      <c r="L8" s="1371"/>
      <c r="M8" s="1371"/>
      <c r="N8" s="1371"/>
      <c r="O8" s="1370"/>
      <c r="P8" s="1371"/>
      <c r="Q8" s="1371"/>
      <c r="R8" s="1371"/>
      <c r="S8" s="1371"/>
      <c r="T8" s="1370"/>
      <c r="U8" s="1371"/>
      <c r="V8" s="1371"/>
      <c r="W8" s="1371"/>
      <c r="X8" s="1371"/>
      <c r="Y8" s="1371"/>
      <c r="Z8" s="1371"/>
      <c r="AA8" s="1371"/>
      <c r="AB8" s="1371"/>
      <c r="AC8" s="1370"/>
      <c r="AD8" s="1371"/>
      <c r="AE8" s="1371"/>
      <c r="AF8" s="1371"/>
      <c r="AG8" s="1371"/>
      <c r="AH8" s="1370"/>
      <c r="AI8" s="1371"/>
      <c r="AJ8" s="1371"/>
      <c r="AK8" s="1371"/>
      <c r="AL8" s="1371"/>
      <c r="AM8" s="1371"/>
      <c r="AN8" s="1371"/>
      <c r="AO8" s="165"/>
      <c r="AP8" s="165"/>
      <c r="AQ8" s="165"/>
      <c r="AR8" s="165"/>
      <c r="AS8" s="165"/>
      <c r="AT8" s="165"/>
      <c r="AU8" s="165"/>
      <c r="AV8" s="165"/>
      <c r="AW8" s="165"/>
      <c r="AX8" s="165"/>
      <c r="AY8" s="674"/>
      <c r="AZ8" s="674"/>
      <c r="BA8" s="674"/>
      <c r="BB8" s="1300"/>
      <c r="BC8" s="1300"/>
      <c r="BD8" s="674"/>
      <c r="BE8" s="674"/>
      <c r="BF8" s="674"/>
      <c r="BG8" s="1300"/>
      <c r="BH8" s="1300"/>
      <c r="BM8" s="27"/>
      <c r="BN8" s="27"/>
      <c r="BO8" s="27"/>
      <c r="BP8" s="27"/>
      <c r="BQ8" s="27"/>
      <c r="BR8" s="27"/>
      <c r="BW8" s="27"/>
      <c r="BX8" s="27"/>
      <c r="BY8" s="27"/>
      <c r="BZ8" s="27"/>
      <c r="CA8" s="27"/>
      <c r="CB8" s="27"/>
    </row>
    <row r="9" spans="1:80" ht="9.9499999999999993" hidden="1" customHeight="1" x14ac:dyDescent="0.25">
      <c r="A9" s="32"/>
      <c r="B9" s="33"/>
      <c r="C9" s="34"/>
      <c r="D9" s="35"/>
      <c r="E9" s="1370"/>
      <c r="F9" s="32"/>
      <c r="G9" s="33"/>
      <c r="H9" s="34"/>
      <c r="I9" s="35"/>
      <c r="J9" s="1370"/>
      <c r="K9" s="32"/>
      <c r="L9" s="33"/>
      <c r="M9" s="34"/>
      <c r="N9" s="35"/>
      <c r="O9" s="1370"/>
      <c r="P9" s="32"/>
      <c r="Q9" s="33"/>
      <c r="R9" s="34"/>
      <c r="S9" s="35"/>
      <c r="T9" s="1370"/>
      <c r="U9" s="32"/>
      <c r="V9" s="33"/>
      <c r="W9" s="34"/>
      <c r="X9" s="35"/>
      <c r="Y9" s="32"/>
      <c r="Z9" s="33"/>
      <c r="AA9" s="34"/>
      <c r="AB9" s="35"/>
      <c r="AC9" s="1370"/>
      <c r="AD9" s="32"/>
      <c r="AE9" s="33"/>
      <c r="AF9" s="34"/>
      <c r="AG9" s="35"/>
      <c r="AH9" s="1370"/>
      <c r="AI9" s="32"/>
      <c r="AJ9" s="33"/>
      <c r="AK9" s="34"/>
      <c r="AL9" s="35"/>
      <c r="AM9" s="32"/>
      <c r="AN9" s="33"/>
      <c r="AO9" s="165"/>
      <c r="AP9" s="165"/>
      <c r="AQ9" s="165"/>
      <c r="AR9" s="165"/>
      <c r="AS9" s="165"/>
      <c r="AT9" s="165"/>
      <c r="AU9" s="165"/>
      <c r="AV9" s="165"/>
      <c r="AW9" s="165"/>
      <c r="AX9" s="165"/>
      <c r="AY9" s="676"/>
      <c r="AZ9" s="676"/>
      <c r="BA9" s="676"/>
      <c r="BB9" s="36"/>
      <c r="BC9" s="36"/>
      <c r="BD9" s="676"/>
      <c r="BE9" s="676"/>
      <c r="BF9" s="676"/>
      <c r="BG9" s="36"/>
      <c r="BH9" s="36"/>
    </row>
    <row r="10" spans="1:80" ht="24.95" hidden="1" customHeight="1" x14ac:dyDescent="0.25">
      <c r="A10" s="1371"/>
      <c r="B10" s="1371"/>
      <c r="C10" s="1371"/>
      <c r="D10" s="1371"/>
      <c r="E10" s="1370"/>
      <c r="F10" s="1371"/>
      <c r="G10" s="1371"/>
      <c r="H10" s="1371"/>
      <c r="I10" s="1371"/>
      <c r="J10" s="1370"/>
      <c r="K10" s="1371"/>
      <c r="L10" s="1371"/>
      <c r="M10" s="1371"/>
      <c r="N10" s="1371"/>
      <c r="O10" s="1370"/>
      <c r="P10" s="1371"/>
      <c r="Q10" s="1371"/>
      <c r="R10" s="1371"/>
      <c r="S10" s="1371"/>
      <c r="T10" s="1370"/>
      <c r="U10" s="1371"/>
      <c r="V10" s="1371"/>
      <c r="W10" s="1371"/>
      <c r="X10" s="1371"/>
      <c r="Y10" s="1371"/>
      <c r="Z10" s="1371"/>
      <c r="AA10" s="1371"/>
      <c r="AB10" s="1371"/>
      <c r="AC10" s="1370"/>
      <c r="AD10" s="1371"/>
      <c r="AE10" s="1371"/>
      <c r="AF10" s="1371"/>
      <c r="AG10" s="1371"/>
      <c r="AH10" s="1370"/>
      <c r="AI10" s="1371"/>
      <c r="AJ10" s="1371"/>
      <c r="AK10" s="1371"/>
      <c r="AL10" s="1371"/>
      <c r="AM10" s="1371"/>
      <c r="AN10" s="1371"/>
      <c r="AO10" s="165"/>
      <c r="AP10" s="165"/>
      <c r="AQ10" s="165"/>
      <c r="AR10" s="165"/>
      <c r="AS10" s="165"/>
      <c r="AT10" s="165"/>
      <c r="AU10" s="165"/>
      <c r="AV10" s="165"/>
      <c r="AW10" s="165"/>
      <c r="AX10" s="165"/>
      <c r="AY10" s="676"/>
      <c r="AZ10" s="676"/>
      <c r="BA10" s="676"/>
      <c r="BB10" s="36"/>
      <c r="BC10" s="36"/>
      <c r="BD10" s="676"/>
      <c r="BE10" s="676"/>
      <c r="BF10" s="676"/>
      <c r="BG10" s="36"/>
      <c r="BH10" s="36"/>
    </row>
    <row r="11" spans="1:80" ht="48.75" customHeight="1" x14ac:dyDescent="0.25">
      <c r="A11" s="32"/>
      <c r="B11" s="33"/>
      <c r="C11" s="34"/>
      <c r="D11" s="35"/>
      <c r="E11" s="1370"/>
      <c r="F11" s="32"/>
      <c r="G11" s="33"/>
      <c r="H11" s="34"/>
      <c r="I11" s="35"/>
      <c r="J11" s="1370"/>
      <c r="K11" s="32"/>
      <c r="L11" s="33"/>
      <c r="M11" s="34"/>
      <c r="N11" s="35"/>
      <c r="O11" s="1370"/>
      <c r="P11" s="32"/>
      <c r="Q11" s="33"/>
      <c r="R11" s="34"/>
      <c r="S11" s="35"/>
      <c r="T11" s="1370"/>
      <c r="U11" s="32"/>
      <c r="V11" s="33"/>
      <c r="W11" s="34"/>
      <c r="X11" s="35"/>
      <c r="Y11" s="32"/>
      <c r="Z11" s="33"/>
      <c r="AA11" s="34"/>
      <c r="AB11" s="35"/>
      <c r="AC11" s="1370"/>
      <c r="AD11" s="32"/>
      <c r="AE11" s="33"/>
      <c r="AF11" s="34"/>
      <c r="AG11" s="35"/>
      <c r="AH11" s="1370"/>
      <c r="AI11" s="32"/>
      <c r="AJ11" s="33"/>
      <c r="AK11" s="34"/>
      <c r="AL11" s="35"/>
      <c r="AM11" s="32"/>
      <c r="AN11" s="33"/>
      <c r="AO11" s="165"/>
      <c r="AP11" s="165"/>
      <c r="AQ11" s="165"/>
      <c r="AR11" s="165"/>
      <c r="AS11" s="165"/>
      <c r="AT11" s="165"/>
      <c r="AU11" s="165"/>
      <c r="AV11" s="165"/>
      <c r="AW11" s="165"/>
      <c r="AX11" s="165"/>
      <c r="AY11" s="676"/>
      <c r="AZ11" s="676"/>
      <c r="BA11" s="676"/>
      <c r="BB11" s="36"/>
      <c r="BC11" s="36"/>
      <c r="BD11" s="676"/>
      <c r="BE11" s="676"/>
      <c r="BF11" s="676"/>
      <c r="BG11" s="36"/>
      <c r="BH11" s="36"/>
    </row>
    <row r="12" spans="1:80" ht="72" customHeight="1" x14ac:dyDescent="0.25">
      <c r="A12" s="1371"/>
      <c r="B12" s="1371"/>
      <c r="C12" s="1371"/>
      <c r="D12" s="1371"/>
      <c r="E12" s="1370"/>
      <c r="F12" s="1371"/>
      <c r="G12" s="1371"/>
      <c r="H12" s="1371"/>
      <c r="I12" s="1371"/>
      <c r="J12" s="1370"/>
      <c r="K12" s="1371"/>
      <c r="L12" s="1371"/>
      <c r="M12" s="1371"/>
      <c r="N12" s="1371"/>
      <c r="O12" s="1370"/>
      <c r="P12" s="1371"/>
      <c r="Q12" s="1371"/>
      <c r="R12" s="1371"/>
      <c r="S12" s="1371"/>
      <c r="T12" s="1370"/>
      <c r="U12" s="1371"/>
      <c r="V12" s="1371"/>
      <c r="W12" s="1371"/>
      <c r="X12" s="1371"/>
      <c r="Y12" s="1371"/>
      <c r="Z12" s="1371"/>
      <c r="AA12" s="1371"/>
      <c r="AB12" s="1371"/>
      <c r="AC12" s="1370"/>
      <c r="AD12" s="1371"/>
      <c r="AE12" s="1371"/>
      <c r="AF12" s="1371"/>
      <c r="AG12" s="1371"/>
      <c r="AH12" s="1370"/>
      <c r="AI12" s="1371"/>
      <c r="AJ12" s="1371"/>
      <c r="AK12" s="1371"/>
      <c r="AL12" s="1371"/>
      <c r="AM12" s="1371"/>
      <c r="AN12" s="1371"/>
      <c r="AO12" s="165"/>
      <c r="AP12" s="165"/>
      <c r="AQ12" s="165"/>
      <c r="AR12" s="165"/>
      <c r="AS12" s="165"/>
      <c r="AT12" s="165"/>
      <c r="AU12" s="165"/>
      <c r="AV12" s="165"/>
      <c r="AW12" s="165"/>
      <c r="AX12" s="165"/>
      <c r="AY12" s="677"/>
      <c r="AZ12" s="1332"/>
      <c r="BA12" s="1332"/>
      <c r="BB12" s="1332"/>
      <c r="BC12" s="1332"/>
      <c r="BD12" s="677"/>
      <c r="BE12" s="1332"/>
      <c r="BF12" s="1332"/>
      <c r="BG12" s="1332"/>
      <c r="BH12" s="1332"/>
      <c r="BM12" s="51"/>
      <c r="BN12" s="51"/>
      <c r="BO12" s="51"/>
      <c r="BP12" s="51"/>
      <c r="BQ12" s="51"/>
      <c r="BR12" s="51"/>
      <c r="BW12" s="27"/>
      <c r="BX12" s="27"/>
      <c r="BY12" s="27"/>
      <c r="BZ12" s="27"/>
      <c r="CA12" s="27"/>
      <c r="CB12" s="27"/>
    </row>
    <row r="13" spans="1:80" ht="35.1" customHeight="1" x14ac:dyDescent="0.25">
      <c r="A13" s="32"/>
      <c r="B13" s="33"/>
      <c r="C13" s="34"/>
      <c r="D13" s="35"/>
      <c r="E13" s="1370"/>
      <c r="F13" s="32"/>
      <c r="G13" s="33"/>
      <c r="H13" s="34"/>
      <c r="I13" s="35"/>
      <c r="J13" s="1370"/>
      <c r="K13" s="32"/>
      <c r="L13" s="33"/>
      <c r="M13" s="34"/>
      <c r="N13" s="35"/>
      <c r="O13" s="1370"/>
      <c r="P13" s="32"/>
      <c r="Q13" s="33"/>
      <c r="R13" s="34"/>
      <c r="S13" s="35"/>
      <c r="T13" s="1370"/>
      <c r="U13" s="32"/>
      <c r="V13" s="33"/>
      <c r="W13" s="34"/>
      <c r="X13" s="35"/>
      <c r="Y13" s="32"/>
      <c r="Z13" s="33"/>
      <c r="AA13" s="34"/>
      <c r="AB13" s="35"/>
      <c r="AC13" s="1370"/>
      <c r="AD13" s="32"/>
      <c r="AE13" s="33"/>
      <c r="AF13" s="34"/>
      <c r="AG13" s="35"/>
      <c r="AH13" s="1370"/>
      <c r="AI13" s="32"/>
      <c r="AJ13" s="33"/>
      <c r="AK13" s="34"/>
      <c r="AL13" s="35"/>
      <c r="AM13" s="32"/>
      <c r="AN13" s="33"/>
      <c r="AO13" s="165"/>
      <c r="AP13" s="165"/>
      <c r="AQ13" s="165"/>
      <c r="AR13" s="165"/>
      <c r="AS13" s="165"/>
      <c r="AT13" s="165"/>
      <c r="AU13" s="165"/>
      <c r="AV13" s="165"/>
      <c r="AW13" s="165"/>
      <c r="AX13" s="165"/>
      <c r="AY13" s="677"/>
      <c r="AZ13" s="137"/>
      <c r="BA13" s="33"/>
      <c r="BB13" s="138"/>
      <c r="BC13" s="35"/>
      <c r="BD13" s="677"/>
      <c r="BE13" s="137"/>
      <c r="BF13" s="33"/>
      <c r="BG13" s="138"/>
      <c r="BH13" s="35"/>
      <c r="BM13" s="51"/>
      <c r="BN13" s="51"/>
      <c r="BO13" s="51"/>
      <c r="BP13" s="51"/>
      <c r="BQ13" s="51"/>
      <c r="BR13" s="51"/>
      <c r="BW13" s="27"/>
      <c r="BX13" s="27"/>
      <c r="BY13" s="27"/>
      <c r="BZ13" s="27"/>
      <c r="CA13" s="27"/>
      <c r="CB13" s="27"/>
    </row>
    <row r="14" spans="1:80" ht="39.950000000000003" hidden="1" customHeight="1" thickTop="1" x14ac:dyDescent="0.25">
      <c r="A14" s="1695" t="s">
        <v>250</v>
      </c>
      <c r="B14" s="1696"/>
      <c r="C14" s="1696"/>
      <c r="D14" s="1697">
        <f>B19/((42*3.1415/59)*(30/3.281))</f>
        <v>0</v>
      </c>
      <c r="E14" s="1698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Z14" s="44"/>
      <c r="AA14" s="44"/>
      <c r="AB14" s="44"/>
      <c r="AC14" s="44"/>
      <c r="AD14" s="44"/>
      <c r="AE14" s="44"/>
      <c r="AF14" s="44"/>
      <c r="AG14" s="44"/>
      <c r="AH14" s="1300"/>
      <c r="AI14" s="1300"/>
      <c r="AJ14" s="674"/>
      <c r="AK14" s="674"/>
      <c r="AL14" s="674"/>
      <c r="AM14" s="1300"/>
      <c r="AN14" s="1300"/>
      <c r="AO14" s="674"/>
      <c r="AP14" s="674"/>
      <c r="AQ14" s="674"/>
      <c r="AR14" s="1300"/>
      <c r="AS14" s="1300"/>
      <c r="AT14" s="1389"/>
      <c r="AU14" s="1389"/>
      <c r="AV14" s="1389"/>
      <c r="AW14" s="1390"/>
      <c r="AX14" s="1390"/>
      <c r="AY14" s="674"/>
      <c r="AZ14" s="674"/>
      <c r="BA14" s="674"/>
      <c r="BB14" s="1300"/>
      <c r="BC14" s="1300"/>
      <c r="BD14" s="674"/>
      <c r="BE14" s="674"/>
      <c r="BF14" s="674"/>
      <c r="BG14" s="1300"/>
      <c r="BH14" s="1300"/>
      <c r="BM14" s="51"/>
      <c r="BN14" s="51"/>
      <c r="BO14" s="51"/>
      <c r="BP14" s="51"/>
      <c r="BQ14" s="51"/>
      <c r="BR14" s="51"/>
      <c r="BW14" s="27"/>
      <c r="BX14" s="27"/>
      <c r="BY14" s="27"/>
      <c r="BZ14" s="27"/>
      <c r="CA14" s="27"/>
      <c r="CB14" s="27"/>
    </row>
    <row r="15" spans="1:80" ht="9.9499999999999993" hidden="1" customHeight="1" x14ac:dyDescent="0.25">
      <c r="A15" s="1379" t="s">
        <v>252</v>
      </c>
      <c r="B15" s="1380"/>
      <c r="C15" s="1380"/>
      <c r="D15" s="1380"/>
      <c r="E15" s="1381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Z15" s="47"/>
      <c r="AA15" s="47"/>
      <c r="AB15" s="47"/>
      <c r="AC15" s="47"/>
      <c r="AD15" s="47"/>
      <c r="AE15" s="47"/>
      <c r="AF15" s="47"/>
      <c r="AG15" s="47"/>
      <c r="AH15" s="36"/>
      <c r="AI15" s="36"/>
      <c r="AJ15" s="676"/>
      <c r="AK15" s="676"/>
      <c r="AL15" s="676"/>
      <c r="AM15" s="36"/>
      <c r="AN15" s="36"/>
      <c r="AO15" s="676"/>
      <c r="AP15" s="676"/>
      <c r="AQ15" s="676"/>
      <c r="AR15" s="36"/>
      <c r="AS15" s="36"/>
      <c r="AT15" s="1388"/>
      <c r="AU15" s="1388"/>
      <c r="AV15" s="1388"/>
      <c r="AW15" s="139"/>
      <c r="AX15" s="139"/>
      <c r="AY15" s="676"/>
      <c r="AZ15" s="676"/>
      <c r="BA15" s="676"/>
      <c r="BB15" s="36"/>
      <c r="BC15" s="36"/>
      <c r="BD15" s="676"/>
      <c r="BE15" s="676"/>
      <c r="BF15" s="676"/>
      <c r="BG15" s="36"/>
      <c r="BH15" s="36"/>
    </row>
    <row r="16" spans="1:80" ht="24.95" hidden="1" customHeight="1" x14ac:dyDescent="0.25">
      <c r="A16" s="1382"/>
      <c r="B16" s="1383"/>
      <c r="C16" s="1383"/>
      <c r="D16" s="1383"/>
      <c r="E16" s="1384"/>
      <c r="F16" s="47"/>
      <c r="G16" s="47"/>
      <c r="H16" s="47"/>
      <c r="I16" s="47"/>
      <c r="J16" s="47"/>
      <c r="K16" s="47"/>
      <c r="L16" s="47"/>
      <c r="M16" s="285"/>
      <c r="N16" s="285"/>
      <c r="O16" s="285"/>
      <c r="P16" s="285"/>
      <c r="Q16" s="285"/>
      <c r="R16" s="47"/>
      <c r="S16" s="47"/>
      <c r="T16" s="47"/>
      <c r="Z16" s="47"/>
      <c r="AA16" s="47"/>
      <c r="AB16" s="47"/>
      <c r="AC16" s="47"/>
      <c r="AD16" s="47"/>
      <c r="AE16" s="47"/>
      <c r="AF16" s="47"/>
      <c r="AG16" s="47"/>
      <c r="AH16" s="140"/>
      <c r="AI16" s="36"/>
      <c r="AJ16" s="676"/>
      <c r="AK16" s="676"/>
      <c r="AL16" s="676"/>
      <c r="AM16" s="140"/>
      <c r="AN16" s="36"/>
      <c r="AO16" s="676"/>
      <c r="AP16" s="676"/>
      <c r="AQ16" s="676"/>
      <c r="AR16" s="140"/>
      <c r="AS16" s="36"/>
      <c r="AT16" s="1388"/>
      <c r="AU16" s="1388"/>
      <c r="AV16" s="1388"/>
      <c r="AW16" s="141"/>
      <c r="AX16" s="139"/>
      <c r="AY16" s="676"/>
      <c r="AZ16" s="676"/>
      <c r="BA16" s="676"/>
      <c r="BB16" s="36"/>
      <c r="BC16" s="36"/>
      <c r="BD16" s="676"/>
      <c r="BE16" s="676"/>
      <c r="BF16" s="676"/>
      <c r="BG16" s="36"/>
      <c r="BH16" s="36"/>
    </row>
    <row r="17" spans="1:80" ht="9.9499999999999993" hidden="1" customHeight="1" x14ac:dyDescent="0.25">
      <c r="A17" s="1385"/>
      <c r="B17" s="1386"/>
      <c r="C17" s="1386"/>
      <c r="D17" s="1386"/>
      <c r="E17" s="138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Z17" s="47"/>
      <c r="AA17" s="47"/>
      <c r="AB17" s="47"/>
      <c r="AC17" s="47"/>
      <c r="AD17" s="47"/>
      <c r="AE17" s="47"/>
      <c r="AF17" s="47"/>
      <c r="AG17" s="47"/>
      <c r="AH17" s="36"/>
      <c r="AI17" s="36"/>
      <c r="AJ17" s="676"/>
      <c r="AK17" s="676"/>
      <c r="AL17" s="676"/>
      <c r="AM17" s="36"/>
      <c r="AN17" s="36"/>
      <c r="AO17" s="676"/>
      <c r="AP17" s="676"/>
      <c r="AQ17" s="676"/>
      <c r="AR17" s="36"/>
      <c r="AS17" s="36"/>
      <c r="AT17" s="1388"/>
      <c r="AU17" s="1388"/>
      <c r="AV17" s="1388"/>
      <c r="AW17" s="139"/>
      <c r="AX17" s="139"/>
      <c r="AY17" s="676"/>
      <c r="AZ17" s="676"/>
      <c r="BA17" s="676"/>
      <c r="BB17" s="36"/>
      <c r="BC17" s="36"/>
      <c r="BD17" s="676"/>
      <c r="BE17" s="676"/>
      <c r="BF17" s="676"/>
      <c r="BG17" s="36"/>
      <c r="BH17" s="36"/>
    </row>
    <row r="18" spans="1:80" ht="72" hidden="1" customHeight="1" x14ac:dyDescent="0.25">
      <c r="A18" s="1374" t="s">
        <v>253</v>
      </c>
      <c r="B18" s="1376"/>
      <c r="C18" s="1377"/>
      <c r="D18" s="1377"/>
      <c r="E18" s="1378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3"/>
      <c r="AU18" s="143"/>
      <c r="AV18" s="143"/>
      <c r="AW18" s="143"/>
      <c r="AX18" s="143"/>
      <c r="AY18" s="677"/>
      <c r="AZ18" s="1332"/>
      <c r="BA18" s="1332"/>
      <c r="BB18" s="1332"/>
      <c r="BC18" s="1332"/>
      <c r="BD18" s="677"/>
      <c r="BE18" s="1332" t="s">
        <v>16</v>
      </c>
      <c r="BF18" s="1332"/>
      <c r="BG18" s="1332"/>
      <c r="BH18" s="1332"/>
      <c r="BM18" s="51"/>
      <c r="BN18" s="51"/>
      <c r="BO18" s="51"/>
      <c r="BP18" s="51"/>
      <c r="BQ18" s="51"/>
      <c r="BR18" s="51"/>
      <c r="BW18" s="27"/>
      <c r="BX18" s="27"/>
      <c r="BY18" s="27"/>
      <c r="BZ18" s="27"/>
      <c r="CA18" s="27"/>
      <c r="CB18" s="27"/>
    </row>
    <row r="19" spans="1:80" ht="35.1" hidden="1" customHeight="1" thickBot="1" x14ac:dyDescent="0.3">
      <c r="A19" s="1375"/>
      <c r="B19" s="144"/>
      <c r="C19" s="145" t="s">
        <v>113</v>
      </c>
      <c r="D19" s="146"/>
      <c r="E19" s="147" t="s">
        <v>114</v>
      </c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148"/>
      <c r="AU19" s="148"/>
      <c r="AV19" s="148"/>
      <c r="AW19" s="148"/>
      <c r="AX19" s="148"/>
      <c r="AY19" s="677"/>
      <c r="AZ19" s="137"/>
      <c r="BA19" s="33"/>
      <c r="BB19" s="138"/>
      <c r="BC19" s="35"/>
      <c r="BD19" s="677"/>
      <c r="BE19" s="137"/>
      <c r="BF19" s="33"/>
      <c r="BG19" s="138"/>
      <c r="BH19" s="35"/>
      <c r="BM19" s="51"/>
      <c r="BN19" s="51"/>
      <c r="BO19" s="51"/>
      <c r="BP19" s="51"/>
      <c r="BQ19" s="51"/>
      <c r="BR19" s="51"/>
      <c r="BW19" s="27"/>
      <c r="BX19" s="27"/>
      <c r="BY19" s="27"/>
      <c r="BZ19" s="27"/>
      <c r="CA19" s="27"/>
      <c r="CB19" s="27"/>
    </row>
    <row r="20" spans="1:80" ht="26.25" hidden="1" x14ac:dyDescent="0.25">
      <c r="A20" s="1396"/>
      <c r="B20" s="1396"/>
      <c r="C20" s="1396"/>
      <c r="D20" s="1397"/>
      <c r="E20" s="1397"/>
      <c r="F20" s="674"/>
      <c r="G20" s="674"/>
      <c r="H20" s="674"/>
      <c r="I20" s="1300"/>
      <c r="J20" s="1300"/>
      <c r="K20" s="674"/>
      <c r="L20" s="674"/>
      <c r="M20" s="674"/>
      <c r="N20" s="1300"/>
      <c r="O20" s="1300"/>
      <c r="P20" s="674"/>
      <c r="Q20" s="674"/>
      <c r="R20" s="674"/>
      <c r="S20" s="1300"/>
      <c r="T20" s="1300"/>
      <c r="U20" s="674"/>
      <c r="V20" s="674"/>
      <c r="W20" s="674"/>
      <c r="X20" s="1300"/>
      <c r="Y20" s="1300"/>
      <c r="Z20" s="674"/>
      <c r="AA20" s="674"/>
      <c r="AB20" s="674"/>
      <c r="AC20" s="1300"/>
      <c r="AD20" s="1300"/>
      <c r="AE20" s="674"/>
      <c r="AF20" s="674"/>
      <c r="AG20" s="674"/>
      <c r="AH20" s="1300"/>
      <c r="AI20" s="1300"/>
      <c r="AJ20" s="674"/>
      <c r="AK20" s="674"/>
      <c r="AL20" s="674"/>
      <c r="AM20" s="1300"/>
      <c r="AN20" s="1300"/>
      <c r="AO20" s="674"/>
      <c r="AP20" s="674"/>
      <c r="AQ20" s="674"/>
      <c r="AR20" s="1300"/>
      <c r="AS20" s="1300"/>
      <c r="AT20" s="1389"/>
      <c r="AU20" s="1389"/>
      <c r="AV20" s="1389"/>
      <c r="AW20" s="1390"/>
      <c r="AX20" s="1390"/>
      <c r="AY20" s="674"/>
      <c r="AZ20" s="674"/>
      <c r="BA20" s="674"/>
      <c r="BB20" s="1300"/>
      <c r="BC20" s="1300"/>
      <c r="BD20" s="674"/>
      <c r="BE20" s="674"/>
      <c r="BF20" s="674"/>
      <c r="BG20" s="1300"/>
      <c r="BH20" s="1300"/>
      <c r="BM20" s="51"/>
      <c r="BN20" s="51"/>
      <c r="BO20" s="51"/>
      <c r="BP20" s="51"/>
      <c r="BQ20" s="51"/>
      <c r="BR20" s="51"/>
      <c r="BW20" s="27"/>
      <c r="BX20" s="27"/>
      <c r="BY20" s="27"/>
      <c r="BZ20" s="27"/>
      <c r="CA20" s="27"/>
      <c r="CB20" s="27"/>
    </row>
    <row r="21" spans="1:80" ht="18.75" hidden="1" x14ac:dyDescent="0.25">
      <c r="A21" s="1395"/>
      <c r="B21" s="1395"/>
      <c r="C21" s="1395"/>
      <c r="D21" s="149"/>
      <c r="E21" s="149"/>
      <c r="F21" s="676"/>
      <c r="G21" s="676"/>
      <c r="H21" s="676"/>
      <c r="I21" s="36"/>
      <c r="J21" s="36"/>
      <c r="K21" s="676"/>
      <c r="L21" s="676"/>
      <c r="M21" s="676"/>
      <c r="N21" s="36"/>
      <c r="O21" s="36"/>
      <c r="P21" s="676"/>
      <c r="Q21" s="676"/>
      <c r="R21" s="676"/>
      <c r="S21" s="36"/>
      <c r="T21" s="36"/>
      <c r="U21" s="676"/>
      <c r="V21" s="676"/>
      <c r="W21" s="676"/>
      <c r="X21" s="36"/>
      <c r="Y21" s="36"/>
      <c r="Z21" s="676"/>
      <c r="AA21" s="676"/>
      <c r="AB21" s="676"/>
      <c r="AC21" s="36"/>
      <c r="AD21" s="36"/>
      <c r="AE21" s="676"/>
      <c r="AF21" s="676"/>
      <c r="AG21" s="676"/>
      <c r="AH21" s="36"/>
      <c r="AI21" s="36"/>
      <c r="AJ21" s="676"/>
      <c r="AK21" s="676"/>
      <c r="AL21" s="676"/>
      <c r="AM21" s="36"/>
      <c r="AN21" s="36"/>
      <c r="AO21" s="676"/>
      <c r="AP21" s="676"/>
      <c r="AQ21" s="676"/>
      <c r="AR21" s="36"/>
      <c r="AS21" s="36"/>
      <c r="AT21" s="1388"/>
      <c r="AU21" s="1388"/>
      <c r="AV21" s="1388"/>
      <c r="AW21" s="139"/>
      <c r="AX21" s="139"/>
      <c r="AY21" s="676"/>
      <c r="AZ21" s="676"/>
      <c r="BA21" s="676"/>
      <c r="BB21" s="36"/>
      <c r="BC21" s="36"/>
      <c r="BD21" s="676"/>
      <c r="BE21" s="676"/>
      <c r="BF21" s="676"/>
      <c r="BG21" s="36"/>
      <c r="BH21" s="36"/>
    </row>
    <row r="22" spans="1:80" ht="36" hidden="1" x14ac:dyDescent="0.25">
      <c r="A22" s="1395"/>
      <c r="B22" s="1395"/>
      <c r="C22" s="1395"/>
      <c r="D22" s="150"/>
      <c r="E22" s="149"/>
      <c r="F22" s="676"/>
      <c r="G22" s="676"/>
      <c r="H22" s="676"/>
      <c r="I22" s="140"/>
      <c r="J22" s="36"/>
      <c r="K22" s="676"/>
      <c r="L22" s="676"/>
      <c r="M22" s="676"/>
      <c r="N22" s="140"/>
      <c r="O22" s="36"/>
      <c r="P22" s="676"/>
      <c r="Q22" s="676"/>
      <c r="R22" s="676"/>
      <c r="S22" s="140"/>
      <c r="T22" s="36"/>
      <c r="U22" s="676"/>
      <c r="V22" s="676"/>
      <c r="W22" s="676"/>
      <c r="X22" s="140"/>
      <c r="Y22" s="36"/>
      <c r="Z22" s="676"/>
      <c r="AA22" s="676"/>
      <c r="AB22" s="676"/>
      <c r="AC22" s="140"/>
      <c r="AD22" s="36"/>
      <c r="AE22" s="676"/>
      <c r="AF22" s="676"/>
      <c r="AG22" s="676"/>
      <c r="AH22" s="140"/>
      <c r="AI22" s="36"/>
      <c r="AJ22" s="676"/>
      <c r="AK22" s="676"/>
      <c r="AL22" s="676"/>
      <c r="AM22" s="140"/>
      <c r="AN22" s="36"/>
      <c r="AO22" s="676"/>
      <c r="AP22" s="676"/>
      <c r="AQ22" s="676"/>
      <c r="AR22" s="140"/>
      <c r="AS22" s="36"/>
      <c r="AT22" s="1388"/>
      <c r="AU22" s="1388"/>
      <c r="AV22" s="1388"/>
      <c r="AW22" s="141"/>
      <c r="AX22" s="139"/>
      <c r="AY22" s="676"/>
      <c r="AZ22" s="676"/>
      <c r="BA22" s="676"/>
      <c r="BB22" s="36"/>
      <c r="BC22" s="36"/>
      <c r="BD22" s="676"/>
      <c r="BE22" s="676"/>
      <c r="BF22" s="676"/>
      <c r="BG22" s="36"/>
      <c r="BH22" s="36"/>
    </row>
    <row r="23" spans="1:80" ht="18.75" hidden="1" x14ac:dyDescent="0.25">
      <c r="A23" s="1395"/>
      <c r="B23" s="1395"/>
      <c r="C23" s="1395"/>
      <c r="D23" s="149"/>
      <c r="E23" s="149"/>
      <c r="F23" s="676"/>
      <c r="G23" s="676"/>
      <c r="H23" s="676"/>
      <c r="I23" s="36"/>
      <c r="J23" s="36"/>
      <c r="K23" s="676"/>
      <c r="L23" s="676"/>
      <c r="M23" s="676"/>
      <c r="N23" s="36"/>
      <c r="O23" s="36"/>
      <c r="P23" s="676"/>
      <c r="Q23" s="676"/>
      <c r="R23" s="676"/>
      <c r="S23" s="36"/>
      <c r="T23" s="36"/>
      <c r="U23" s="676"/>
      <c r="V23" s="676"/>
      <c r="W23" s="676"/>
      <c r="X23" s="36"/>
      <c r="Y23" s="36"/>
      <c r="Z23" s="676"/>
      <c r="AA23" s="676"/>
      <c r="AB23" s="676"/>
      <c r="AC23" s="36"/>
      <c r="AD23" s="36"/>
      <c r="AE23" s="676"/>
      <c r="AF23" s="676"/>
      <c r="AG23" s="676"/>
      <c r="AH23" s="36"/>
      <c r="AI23" s="36"/>
      <c r="AJ23" s="676"/>
      <c r="AK23" s="676"/>
      <c r="AL23" s="676"/>
      <c r="AM23" s="36"/>
      <c r="AN23" s="36"/>
      <c r="AO23" s="676"/>
      <c r="AP23" s="676"/>
      <c r="AQ23" s="676"/>
      <c r="AR23" s="36"/>
      <c r="AS23" s="36"/>
      <c r="AT23" s="1388"/>
      <c r="AU23" s="1388"/>
      <c r="AV23" s="1388"/>
      <c r="AW23" s="139"/>
      <c r="AX23" s="139"/>
      <c r="AY23" s="676"/>
      <c r="AZ23" s="676"/>
      <c r="BA23" s="676"/>
      <c r="BB23" s="36"/>
      <c r="BC23" s="36"/>
      <c r="BD23" s="676"/>
      <c r="BE23" s="676"/>
      <c r="BF23" s="676"/>
      <c r="BG23" s="36"/>
      <c r="BH23" s="36"/>
    </row>
    <row r="24" spans="1:80" ht="77.25" hidden="1" x14ac:dyDescent="0.25">
      <c r="A24" s="1398"/>
      <c r="B24" s="1399"/>
      <c r="C24" s="1399"/>
      <c r="D24" s="1399"/>
      <c r="E24" s="1399"/>
      <c r="F24" s="1370"/>
      <c r="G24" s="1371"/>
      <c r="H24" s="1371"/>
      <c r="I24" s="1371"/>
      <c r="J24" s="1371"/>
      <c r="K24" s="1370"/>
      <c r="L24" s="1371"/>
      <c r="M24" s="1371"/>
      <c r="N24" s="1371"/>
      <c r="O24" s="1371"/>
      <c r="P24" s="1370"/>
      <c r="Q24" s="1371"/>
      <c r="R24" s="1371"/>
      <c r="S24" s="1371"/>
      <c r="T24" s="1371"/>
      <c r="U24" s="1370"/>
      <c r="V24" s="1371"/>
      <c r="W24" s="1371"/>
      <c r="X24" s="1371"/>
      <c r="Y24" s="1371"/>
      <c r="Z24" s="1370"/>
      <c r="AA24" s="1371"/>
      <c r="AB24" s="1371"/>
      <c r="AC24" s="1371"/>
      <c r="AD24" s="1371"/>
      <c r="AE24" s="1370"/>
      <c r="AF24" s="1371"/>
      <c r="AG24" s="1371"/>
      <c r="AH24" s="1371"/>
      <c r="AI24" s="1371"/>
      <c r="AJ24" s="1370"/>
      <c r="AK24" s="1371"/>
      <c r="AL24" s="1371"/>
      <c r="AM24" s="1371"/>
      <c r="AN24" s="1371"/>
      <c r="AO24" s="1370"/>
      <c r="AP24" s="1371"/>
      <c r="AQ24" s="1371"/>
      <c r="AR24" s="1371"/>
      <c r="AS24" s="1371"/>
      <c r="AT24" s="1439"/>
      <c r="AU24" s="1440"/>
      <c r="AV24" s="1440"/>
      <c r="AW24" s="1440"/>
      <c r="AX24" s="1440"/>
      <c r="AY24" s="677"/>
      <c r="AZ24" s="1332"/>
      <c r="BA24" s="1332"/>
      <c r="BB24" s="1332"/>
      <c r="BC24" s="1332"/>
      <c r="BD24" s="677"/>
      <c r="BE24" s="1332"/>
      <c r="BF24" s="1332"/>
      <c r="BG24" s="1332"/>
      <c r="BH24" s="1332"/>
      <c r="BM24" s="51"/>
      <c r="BN24" s="51"/>
      <c r="BO24" s="51"/>
      <c r="BP24" s="51"/>
      <c r="BQ24" s="51"/>
      <c r="BR24" s="51"/>
      <c r="BW24" s="27"/>
      <c r="BX24" s="27"/>
      <c r="BY24" s="27"/>
      <c r="BZ24" s="27"/>
      <c r="CA24" s="27"/>
      <c r="CB24" s="27"/>
    </row>
    <row r="25" spans="1:80" ht="26.25" hidden="1" x14ac:dyDescent="0.25">
      <c r="A25" s="1398"/>
      <c r="B25" s="151"/>
      <c r="C25" s="152"/>
      <c r="D25" s="153"/>
      <c r="E25" s="154"/>
      <c r="F25" s="1370"/>
      <c r="G25" s="32"/>
      <c r="H25" s="33"/>
      <c r="I25" s="34"/>
      <c r="J25" s="35"/>
      <c r="K25" s="1370"/>
      <c r="L25" s="32"/>
      <c r="M25" s="33"/>
      <c r="N25" s="34"/>
      <c r="O25" s="35"/>
      <c r="P25" s="1370"/>
      <c r="Q25" s="32"/>
      <c r="R25" s="33"/>
      <c r="S25" s="34"/>
      <c r="T25" s="35"/>
      <c r="U25" s="1370"/>
      <c r="V25" s="32"/>
      <c r="W25" s="33"/>
      <c r="X25" s="34"/>
      <c r="Y25" s="35"/>
      <c r="Z25" s="1370"/>
      <c r="AA25" s="32"/>
      <c r="AB25" s="33"/>
      <c r="AC25" s="34"/>
      <c r="AD25" s="35"/>
      <c r="AE25" s="1370"/>
      <c r="AF25" s="32"/>
      <c r="AG25" s="33"/>
      <c r="AH25" s="34"/>
      <c r="AI25" s="35"/>
      <c r="AJ25" s="1370"/>
      <c r="AK25" s="32"/>
      <c r="AL25" s="33"/>
      <c r="AM25" s="34"/>
      <c r="AN25" s="35"/>
      <c r="AO25" s="1370"/>
      <c r="AP25" s="32"/>
      <c r="AQ25" s="33"/>
      <c r="AR25" s="34"/>
      <c r="AS25" s="35"/>
      <c r="AT25" s="1439"/>
      <c r="AU25" s="155"/>
      <c r="AV25" s="148"/>
      <c r="AW25" s="156"/>
      <c r="AX25" s="157"/>
      <c r="AY25" s="677"/>
      <c r="AZ25" s="137"/>
      <c r="BA25" s="33"/>
      <c r="BB25" s="138"/>
      <c r="BC25" s="35"/>
      <c r="BD25" s="677"/>
      <c r="BE25" s="137"/>
      <c r="BF25" s="33"/>
      <c r="BG25" s="138"/>
      <c r="BH25" s="35"/>
      <c r="BM25" s="51"/>
      <c r="BN25" s="51"/>
      <c r="BO25" s="51"/>
      <c r="BP25" s="51"/>
      <c r="BQ25" s="51"/>
      <c r="BR25" s="51"/>
      <c r="BW25" s="27"/>
      <c r="BX25" s="27"/>
      <c r="BY25" s="27"/>
      <c r="BZ25" s="27"/>
      <c r="CA25" s="27"/>
      <c r="CB25" s="27"/>
    </row>
    <row r="26" spans="1:80" ht="26.25" hidden="1" x14ac:dyDescent="0.25">
      <c r="A26" s="1396"/>
      <c r="B26" s="1396"/>
      <c r="C26" s="1396"/>
      <c r="D26" s="1397"/>
      <c r="E26" s="1397"/>
      <c r="F26" s="674"/>
      <c r="G26" s="674"/>
      <c r="H26" s="674"/>
      <c r="I26" s="1300"/>
      <c r="J26" s="1300"/>
      <c r="K26" s="674"/>
      <c r="L26" s="674"/>
      <c r="M26" s="674"/>
      <c r="N26" s="1300"/>
      <c r="O26" s="1300"/>
      <c r="P26" s="674"/>
      <c r="Q26" s="674"/>
      <c r="R26" s="674"/>
      <c r="S26" s="1300"/>
      <c r="T26" s="1300"/>
      <c r="U26" s="674"/>
      <c r="V26" s="674"/>
      <c r="W26" s="674"/>
      <c r="X26" s="1300"/>
      <c r="Y26" s="1300"/>
      <c r="Z26" s="674"/>
      <c r="AA26" s="674"/>
      <c r="AB26" s="674"/>
      <c r="AC26" s="1300"/>
      <c r="AD26" s="1300"/>
      <c r="AE26" s="674"/>
      <c r="AF26" s="674"/>
      <c r="AG26" s="674"/>
      <c r="AH26" s="1300"/>
      <c r="AI26" s="1300"/>
      <c r="AJ26" s="44"/>
      <c r="AK26" s="44"/>
      <c r="AP26" s="44"/>
      <c r="AQ26" s="44"/>
      <c r="AT26" s="1389"/>
      <c r="AU26" s="1389"/>
      <c r="AV26" s="1389"/>
      <c r="AW26" s="1390"/>
      <c r="AX26" s="1390"/>
      <c r="AY26" s="674"/>
      <c r="AZ26" s="674"/>
      <c r="BA26" s="674"/>
      <c r="BB26" s="1300"/>
      <c r="BC26" s="1300"/>
      <c r="BD26" s="674"/>
      <c r="BE26" s="674"/>
      <c r="BF26" s="674"/>
      <c r="BG26" s="1300"/>
      <c r="BH26" s="1300"/>
      <c r="BM26" s="51"/>
      <c r="BN26" s="51"/>
      <c r="BO26" s="51"/>
      <c r="BP26" s="51"/>
      <c r="BQ26" s="51"/>
      <c r="BR26" s="51"/>
      <c r="BW26" s="27"/>
      <c r="BX26" s="27"/>
      <c r="BY26" s="27"/>
      <c r="BZ26" s="27"/>
      <c r="CA26" s="27"/>
      <c r="CB26" s="27"/>
    </row>
    <row r="27" spans="1:80" ht="21" hidden="1" x14ac:dyDescent="0.25">
      <c r="A27" s="1395"/>
      <c r="B27" s="1395"/>
      <c r="C27" s="1395"/>
      <c r="D27" s="149"/>
      <c r="E27" s="149"/>
      <c r="F27" s="676"/>
      <c r="G27" s="676"/>
      <c r="H27" s="676"/>
      <c r="I27" s="36"/>
      <c r="J27" s="36"/>
      <c r="K27" s="676"/>
      <c r="L27" s="676"/>
      <c r="M27" s="676"/>
      <c r="N27" s="36"/>
      <c r="O27" s="36"/>
      <c r="P27" s="676"/>
      <c r="Q27" s="676"/>
      <c r="R27" s="676"/>
      <c r="S27" s="36"/>
      <c r="T27" s="36"/>
      <c r="U27" s="676"/>
      <c r="V27" s="676"/>
      <c r="W27" s="676"/>
      <c r="X27" s="36"/>
      <c r="Y27" s="36"/>
      <c r="Z27" s="676"/>
      <c r="AA27" s="676"/>
      <c r="AB27" s="676"/>
      <c r="AC27" s="36"/>
      <c r="AD27" s="36"/>
      <c r="AE27" s="676"/>
      <c r="AF27" s="676"/>
      <c r="AG27" s="676"/>
      <c r="AH27" s="36"/>
      <c r="AI27" s="36"/>
      <c r="AJ27" s="47"/>
      <c r="AK27" s="47"/>
      <c r="AP27" s="47"/>
      <c r="AQ27" s="47"/>
      <c r="AT27" s="1388"/>
      <c r="AU27" s="1388"/>
      <c r="AV27" s="1388"/>
      <c r="AW27" s="139"/>
      <c r="AX27" s="139"/>
      <c r="AY27" s="676"/>
      <c r="AZ27" s="676"/>
      <c r="BA27" s="676"/>
      <c r="BB27" s="36"/>
      <c r="BC27" s="36"/>
      <c r="BD27" s="676"/>
      <c r="BE27" s="676"/>
      <c r="BF27" s="676"/>
      <c r="BG27" s="36"/>
      <c r="BH27" s="36"/>
    </row>
    <row r="28" spans="1:80" ht="36" hidden="1" x14ac:dyDescent="0.25">
      <c r="A28" s="1395"/>
      <c r="B28" s="1395"/>
      <c r="C28" s="1395"/>
      <c r="D28" s="150"/>
      <c r="E28" s="149"/>
      <c r="F28" s="676"/>
      <c r="G28" s="676"/>
      <c r="H28" s="676"/>
      <c r="I28" s="140"/>
      <c r="J28" s="36"/>
      <c r="K28" s="676"/>
      <c r="L28" s="676"/>
      <c r="M28" s="676"/>
      <c r="N28" s="140"/>
      <c r="O28" s="36"/>
      <c r="P28" s="676"/>
      <c r="Q28" s="676"/>
      <c r="R28" s="676"/>
      <c r="S28" s="140"/>
      <c r="T28" s="36"/>
      <c r="U28" s="676"/>
      <c r="V28" s="676"/>
      <c r="W28" s="676"/>
      <c r="X28" s="140"/>
      <c r="Y28" s="36"/>
      <c r="Z28" s="676"/>
      <c r="AA28" s="676"/>
      <c r="AB28" s="676"/>
      <c r="AC28" s="140"/>
      <c r="AD28" s="36"/>
      <c r="AE28" s="676"/>
      <c r="AF28" s="676"/>
      <c r="AG28" s="676"/>
      <c r="AH28" s="36"/>
      <c r="AI28" s="36"/>
      <c r="AJ28" s="47"/>
      <c r="AK28" s="47"/>
      <c r="AP28" s="47"/>
      <c r="AQ28" s="47"/>
      <c r="AT28" s="1388"/>
      <c r="AU28" s="1388"/>
      <c r="AV28" s="1388"/>
      <c r="AW28" s="139"/>
      <c r="AX28" s="139"/>
      <c r="AY28" s="676"/>
      <c r="AZ28" s="676"/>
      <c r="BA28" s="676"/>
      <c r="BB28" s="36"/>
      <c r="BC28" s="36"/>
      <c r="BD28" s="676"/>
      <c r="BE28" s="676"/>
      <c r="BF28" s="676"/>
      <c r="BG28" s="36"/>
      <c r="BH28" s="36"/>
    </row>
    <row r="29" spans="1:80" ht="21" hidden="1" x14ac:dyDescent="0.25">
      <c r="A29" s="1395"/>
      <c r="B29" s="1395"/>
      <c r="C29" s="1395"/>
      <c r="D29" s="149"/>
      <c r="E29" s="149"/>
      <c r="F29" s="676"/>
      <c r="G29" s="676"/>
      <c r="H29" s="676"/>
      <c r="I29" s="36"/>
      <c r="J29" s="36"/>
      <c r="K29" s="676"/>
      <c r="L29" s="676"/>
      <c r="M29" s="676"/>
      <c r="N29" s="36"/>
      <c r="O29" s="36"/>
      <c r="P29" s="676"/>
      <c r="Q29" s="676"/>
      <c r="R29" s="676"/>
      <c r="S29" s="36"/>
      <c r="T29" s="36"/>
      <c r="U29" s="676"/>
      <c r="V29" s="676"/>
      <c r="W29" s="676"/>
      <c r="X29" s="36"/>
      <c r="Y29" s="36"/>
      <c r="Z29" s="676"/>
      <c r="AA29" s="676"/>
      <c r="AB29" s="676"/>
      <c r="AC29" s="36"/>
      <c r="AD29" s="36"/>
      <c r="AE29" s="676"/>
      <c r="AF29" s="676"/>
      <c r="AG29" s="676"/>
      <c r="AH29" s="36"/>
      <c r="AI29" s="36"/>
      <c r="AJ29" s="47"/>
      <c r="AK29" s="47"/>
      <c r="AP29" s="47"/>
      <c r="AQ29" s="47"/>
      <c r="AR29" s="36"/>
      <c r="AS29" s="36"/>
      <c r="AT29" s="1388"/>
      <c r="AU29" s="1388"/>
      <c r="AV29" s="1388"/>
      <c r="AW29" s="139"/>
      <c r="AX29" s="139"/>
      <c r="AY29" s="676"/>
      <c r="AZ29" s="676"/>
      <c r="BA29" s="676"/>
      <c r="BB29" s="36"/>
      <c r="BC29" s="36"/>
      <c r="BD29" s="676"/>
      <c r="BE29" s="676"/>
      <c r="BF29" s="676"/>
      <c r="BG29" s="36"/>
      <c r="BH29" s="36"/>
    </row>
    <row r="30" spans="1:80" ht="60.75" customHeight="1" x14ac:dyDescent="0.25">
      <c r="A30" s="1400"/>
      <c r="B30" s="1401"/>
      <c r="C30" s="1401"/>
      <c r="D30" s="1401"/>
      <c r="E30" s="1401"/>
      <c r="F30" s="1370"/>
      <c r="G30" s="1371"/>
      <c r="H30" s="1371"/>
      <c r="I30" s="1371"/>
      <c r="J30" s="1371"/>
      <c r="K30" s="1370"/>
      <c r="L30" s="1371"/>
      <c r="M30" s="1371"/>
      <c r="N30" s="1371"/>
      <c r="O30" s="1371"/>
      <c r="P30" s="1370"/>
      <c r="Q30" s="1371"/>
      <c r="R30" s="1371"/>
      <c r="S30" s="1371"/>
      <c r="T30" s="1371"/>
      <c r="U30" s="1370"/>
      <c r="V30" s="1371"/>
      <c r="W30" s="1371"/>
      <c r="X30" s="1371"/>
      <c r="Y30" s="1371"/>
      <c r="Z30" s="1370"/>
      <c r="AA30" s="1371"/>
      <c r="AB30" s="1371"/>
      <c r="AC30" s="1371"/>
      <c r="AD30" s="1371"/>
      <c r="AE30" s="677"/>
      <c r="AF30" s="1332"/>
      <c r="AG30" s="1332"/>
      <c r="AH30" s="1332"/>
      <c r="AI30" s="1332"/>
      <c r="AJ30" s="70"/>
      <c r="AR30" s="132"/>
      <c r="AS30" s="132"/>
      <c r="AT30" s="677"/>
      <c r="AU30" s="1332"/>
      <c r="AV30" s="1332"/>
      <c r="AW30" s="1332"/>
      <c r="AX30" s="1332"/>
      <c r="AY30" s="677"/>
      <c r="AZ30" s="1332"/>
      <c r="BA30" s="1332"/>
      <c r="BB30" s="1332"/>
      <c r="BC30" s="1332"/>
      <c r="BD30" s="677" t="s">
        <v>254</v>
      </c>
      <c r="BE30" s="1332"/>
      <c r="BF30" s="1332"/>
      <c r="BG30" s="1332"/>
      <c r="BH30" s="1332"/>
      <c r="BM30" s="51"/>
      <c r="BN30" s="51"/>
      <c r="BO30" s="51"/>
      <c r="BP30" s="51"/>
      <c r="BQ30" s="51"/>
      <c r="BR30" s="51"/>
      <c r="BW30" s="27"/>
      <c r="BX30" s="27"/>
      <c r="BY30" s="27"/>
      <c r="BZ30" s="27"/>
      <c r="CA30" s="27"/>
      <c r="CB30" s="27"/>
    </row>
    <row r="31" spans="1:80" ht="82.5" customHeight="1" x14ac:dyDescent="0.25">
      <c r="A31" s="1400"/>
      <c r="B31" s="158"/>
      <c r="C31" s="159"/>
      <c r="D31" s="160"/>
      <c r="E31" s="161"/>
      <c r="F31" s="1370"/>
      <c r="G31" s="32"/>
      <c r="H31" s="33"/>
      <c r="I31" s="34"/>
      <c r="J31" s="35"/>
      <c r="K31" s="1370"/>
      <c r="L31" s="32"/>
      <c r="M31" s="33"/>
      <c r="N31" s="34"/>
      <c r="O31" s="35"/>
      <c r="P31" s="1370"/>
      <c r="Q31" s="32"/>
      <c r="R31" s="33"/>
      <c r="S31" s="34"/>
      <c r="T31" s="35"/>
      <c r="U31" s="1370"/>
      <c r="V31" s="32"/>
      <c r="W31" s="33"/>
      <c r="X31" s="34"/>
      <c r="Y31" s="35"/>
      <c r="Z31" s="1370"/>
      <c r="AA31" s="32"/>
      <c r="AB31" s="33"/>
      <c r="AC31" s="34"/>
      <c r="AD31" s="35"/>
      <c r="AE31" s="677"/>
      <c r="AF31" s="137"/>
      <c r="AG31" s="33"/>
      <c r="AH31" s="138"/>
      <c r="AI31" s="35"/>
      <c r="AJ31" s="70"/>
      <c r="AK31" s="137"/>
      <c r="AL31" s="33"/>
      <c r="AM31" s="138"/>
      <c r="AN31" s="35"/>
      <c r="AO31" s="70"/>
      <c r="AP31" s="137"/>
      <c r="AQ31" s="33"/>
      <c r="AR31" s="138"/>
      <c r="AS31" s="35"/>
      <c r="AT31" s="677"/>
      <c r="AU31" s="137"/>
      <c r="AV31" s="33"/>
      <c r="AW31" s="138"/>
      <c r="AX31" s="35"/>
      <c r="AY31" s="677"/>
      <c r="AZ31" s="137" t="s">
        <v>16</v>
      </c>
      <c r="BA31" s="33"/>
      <c r="BB31" s="138"/>
      <c r="BC31" s="35"/>
      <c r="BD31" s="677"/>
      <c r="BE31" s="137" t="s">
        <v>15</v>
      </c>
      <c r="BF31" s="33"/>
      <c r="BG31" s="138"/>
      <c r="BH31" s="35"/>
      <c r="BM31" s="51"/>
      <c r="BN31" s="51"/>
      <c r="BO31" s="51"/>
      <c r="BP31" s="51"/>
      <c r="BQ31" s="51"/>
      <c r="BR31" s="51"/>
      <c r="BW31" s="27"/>
      <c r="BX31" s="27"/>
      <c r="BY31" s="27"/>
      <c r="BZ31" s="27"/>
      <c r="CA31" s="27"/>
      <c r="CB31" s="27"/>
    </row>
    <row r="32" spans="1:80" ht="59.25" customHeight="1" x14ac:dyDescent="0.25">
      <c r="A32" s="31"/>
      <c r="B32" s="162"/>
      <c r="C32" s="162"/>
      <c r="D32" s="162"/>
      <c r="F32" s="163"/>
      <c r="G32" s="163"/>
      <c r="H32" s="1413" cm="1">
        <f t="array" aca="1" ref="H32" ca="1">SUM(COUNTIF(INDIRECT({"L6","Q6","V6","AA6","AF6","AK6"}),"&gt;0"))</f>
        <v>4</v>
      </c>
      <c r="I32" s="1413"/>
      <c r="J32" s="1413"/>
      <c r="K32" s="164"/>
      <c r="L32" s="160"/>
      <c r="M32" s="160"/>
      <c r="N32" s="160"/>
      <c r="O32" s="160"/>
      <c r="P32" s="160"/>
      <c r="Q32" s="1414" t="s">
        <v>255</v>
      </c>
      <c r="R32" s="1414"/>
      <c r="S32" s="1414"/>
      <c r="T32" s="1414"/>
      <c r="U32" s="1414"/>
      <c r="V32" s="1414"/>
      <c r="W32" s="165"/>
      <c r="X32" s="1409" t="s">
        <v>256</v>
      </c>
      <c r="Y32" s="1409"/>
      <c r="Z32" s="1409"/>
      <c r="AA32" s="1409"/>
      <c r="AB32" s="1409"/>
      <c r="AC32" s="1691">
        <f>L7+Q7+V7+AA7+AF7+AK7</f>
        <v>4.495101</v>
      </c>
      <c r="AD32" s="1691"/>
      <c r="AE32" s="1691"/>
      <c r="AF32" s="1691"/>
      <c r="AG32" s="1691"/>
      <c r="AH32" s="1691"/>
      <c r="AI32" s="166"/>
      <c r="AJ32" s="1416" t="s">
        <v>119</v>
      </c>
      <c r="AK32" s="1416"/>
      <c r="AL32" s="1416"/>
      <c r="AM32" s="1416"/>
      <c r="AN32" s="1416"/>
      <c r="AO32" s="1417">
        <f>N7+S7+X7+AC7+AH7+AM7</f>
        <v>1</v>
      </c>
      <c r="AP32" s="1417"/>
      <c r="AQ32" s="1417"/>
      <c r="AR32" s="1417"/>
      <c r="AS32" s="1417"/>
      <c r="AT32" s="1402" t="s">
        <v>120</v>
      </c>
      <c r="AU32" s="1402"/>
      <c r="AV32" s="1402"/>
      <c r="AW32" s="1402"/>
      <c r="AX32" s="127"/>
      <c r="AY32" s="72"/>
      <c r="AZ32" s="72"/>
      <c r="BA32" s="72"/>
      <c r="BB32" s="72"/>
      <c r="BC32" s="72"/>
      <c r="BD32" s="72"/>
      <c r="BE32" t="s">
        <v>16</v>
      </c>
      <c r="BF32" s="167"/>
      <c r="BG32" s="167"/>
      <c r="BH32" s="167"/>
      <c r="BM32" s="51"/>
      <c r="BN32" s="51"/>
      <c r="BO32" s="51"/>
      <c r="BP32" s="51"/>
      <c r="BQ32" s="51"/>
      <c r="BR32" s="51"/>
      <c r="BW32" s="27"/>
      <c r="BX32" s="27"/>
      <c r="BY32" s="27"/>
      <c r="BZ32" s="27"/>
      <c r="CA32" s="27"/>
      <c r="CB32" s="27"/>
    </row>
    <row r="33" spans="1:80" ht="30" customHeight="1" x14ac:dyDescent="0.25">
      <c r="B33" s="162"/>
      <c r="C33" s="162"/>
      <c r="D33" s="162"/>
      <c r="E33" s="163"/>
      <c r="F33" s="163"/>
      <c r="G33" s="163"/>
      <c r="H33" s="1413"/>
      <c r="I33" s="1413"/>
      <c r="J33" s="1413"/>
      <c r="K33" s="168"/>
      <c r="L33" s="160"/>
      <c r="M33" s="160"/>
      <c r="N33" s="160"/>
      <c r="O33" s="160"/>
      <c r="P33" s="160"/>
      <c r="Q33" s="1414"/>
      <c r="R33" s="1414"/>
      <c r="S33" s="1414"/>
      <c r="T33" s="1414"/>
      <c r="U33" s="1414"/>
      <c r="V33" s="1414"/>
      <c r="W33" s="169"/>
      <c r="X33" s="1409"/>
      <c r="Y33" s="1409"/>
      <c r="Z33" s="1409"/>
      <c r="AA33" s="1409"/>
      <c r="AB33" s="1409"/>
      <c r="AC33" s="1691"/>
      <c r="AD33" s="1691"/>
      <c r="AE33" s="1691"/>
      <c r="AF33" s="1691"/>
      <c r="AG33" s="1691"/>
      <c r="AH33" s="1691"/>
      <c r="AI33" s="166"/>
      <c r="AJ33" s="1416"/>
      <c r="AK33" s="1416"/>
      <c r="AL33" s="1416"/>
      <c r="AM33" s="1416"/>
      <c r="AN33" s="1416"/>
      <c r="AO33" s="1417"/>
      <c r="AP33" s="1417"/>
      <c r="AQ33" s="1417"/>
      <c r="AR33" s="1417"/>
      <c r="AS33" s="1417"/>
      <c r="AT33" s="1402"/>
      <c r="AU33" s="1402"/>
      <c r="AV33" s="1402"/>
      <c r="AW33" s="1402"/>
      <c r="BI33" s="50"/>
      <c r="BJ33" s="50"/>
      <c r="BM33" s="51"/>
      <c r="BN33" s="51"/>
      <c r="BO33" s="51"/>
      <c r="BP33" s="51"/>
      <c r="BQ33" s="51"/>
      <c r="BR33" s="51"/>
      <c r="BS33" s="27"/>
      <c r="BT33" s="27"/>
      <c r="BU33" s="27"/>
      <c r="BW33" s="27"/>
      <c r="BX33" s="27"/>
      <c r="BY33" s="27"/>
      <c r="BZ33" s="27"/>
      <c r="CA33" s="27"/>
      <c r="CB33" s="27"/>
    </row>
    <row r="34" spans="1:80" ht="54.75" customHeight="1" x14ac:dyDescent="0.25">
      <c r="B34" s="162"/>
      <c r="C34" s="162"/>
      <c r="D34" s="162"/>
      <c r="E34" s="163"/>
      <c r="F34" s="163"/>
      <c r="G34" s="163"/>
      <c r="H34" s="1405" cm="1">
        <f t="array" aca="1" ref="H34" ca="1">SUM(COUNTIF(INDIRECT({"L7","Q7","V7","AA7","AF7","AK7"}),"&gt;0"))</f>
        <v>4</v>
      </c>
      <c r="I34" s="1405"/>
      <c r="J34" s="1405"/>
      <c r="K34" s="168"/>
      <c r="L34" s="160"/>
      <c r="M34" s="160"/>
      <c r="N34" s="160"/>
      <c r="O34" s="160"/>
      <c r="P34" s="160"/>
      <c r="Q34" s="1414"/>
      <c r="R34" s="1414"/>
      <c r="S34" s="1414"/>
      <c r="T34" s="1414"/>
      <c r="U34" s="1414"/>
      <c r="V34" s="1414"/>
      <c r="W34" s="169"/>
      <c r="X34" s="1409"/>
      <c r="Y34" s="1409"/>
      <c r="Z34" s="1409"/>
      <c r="AA34" s="1409"/>
      <c r="AB34" s="1409"/>
      <c r="AC34" s="1691"/>
      <c r="AD34" s="1691"/>
      <c r="AE34" s="1691"/>
      <c r="AF34" s="1691"/>
      <c r="AG34" s="1691"/>
      <c r="AH34" s="1691"/>
      <c r="AI34" s="166"/>
      <c r="AJ34" s="1416"/>
      <c r="AK34" s="1416"/>
      <c r="AL34" s="1416"/>
      <c r="AM34" s="1416"/>
      <c r="AN34" s="1416"/>
      <c r="AO34" s="1403">
        <f>AO32*1.5</f>
        <v>1.5</v>
      </c>
      <c r="AP34" s="1403"/>
      <c r="AQ34" s="1403"/>
      <c r="AR34" s="1403"/>
      <c r="AS34" s="1403"/>
      <c r="AT34" s="1403"/>
      <c r="AU34" s="1403"/>
      <c r="AV34" s="1404" t="s">
        <v>121</v>
      </c>
      <c r="AW34" s="1404"/>
      <c r="BI34" s="50"/>
      <c r="BJ34" s="50"/>
      <c r="BM34" s="27"/>
      <c r="BN34" s="27"/>
      <c r="BO34" s="27"/>
      <c r="BP34" s="27"/>
      <c r="BQ34" s="27"/>
      <c r="BR34" s="27"/>
      <c r="BS34" s="27"/>
      <c r="BT34" s="27"/>
      <c r="BU34" s="27"/>
      <c r="BW34" s="27"/>
      <c r="BX34" s="27"/>
      <c r="BY34" s="27"/>
      <c r="BZ34" s="27"/>
      <c r="CA34" s="27"/>
      <c r="CB34" s="27"/>
    </row>
    <row r="35" spans="1:80" ht="54.75" customHeight="1" x14ac:dyDescent="0.25">
      <c r="B35" s="162"/>
      <c r="C35" s="162"/>
      <c r="D35" s="162"/>
      <c r="E35" s="163"/>
      <c r="F35" s="163"/>
      <c r="G35" s="163"/>
      <c r="K35" s="168"/>
      <c r="L35" s="160"/>
      <c r="M35" s="160"/>
      <c r="N35" s="160"/>
      <c r="O35" s="160"/>
      <c r="P35" s="160"/>
      <c r="Q35" s="3160" t="s">
        <v>13</v>
      </c>
      <c r="R35" s="3160"/>
      <c r="S35" s="3160"/>
      <c r="T35" s="3160"/>
      <c r="U35" s="3160"/>
      <c r="V35" s="3160"/>
      <c r="W35" s="169"/>
      <c r="X35" s="1409"/>
      <c r="Y35" s="1409"/>
      <c r="Z35" s="1409"/>
      <c r="AA35" s="1409"/>
      <c r="AB35" s="1409"/>
      <c r="AC35" s="1691"/>
      <c r="AD35" s="1691"/>
      <c r="AE35" s="1691"/>
      <c r="AF35" s="1691"/>
      <c r="AG35" s="1691"/>
      <c r="AH35" s="1691"/>
      <c r="AI35" s="166"/>
      <c r="AJ35" s="1416"/>
      <c r="AK35" s="1416"/>
      <c r="AL35" s="1416"/>
      <c r="AM35" s="1416"/>
      <c r="AN35" s="1416"/>
      <c r="AO35" s="1403"/>
      <c r="AP35" s="1403"/>
      <c r="AQ35" s="1403"/>
      <c r="AR35" s="1403"/>
      <c r="AS35" s="1403"/>
      <c r="AT35" s="1403"/>
      <c r="AU35" s="1403"/>
      <c r="AV35" s="1404"/>
      <c r="AW35" s="1404"/>
      <c r="BI35" s="50"/>
      <c r="BJ35" s="50"/>
      <c r="BM35" s="27"/>
      <c r="BN35" s="27"/>
      <c r="BO35" s="27"/>
      <c r="BP35" s="27"/>
      <c r="BQ35" s="27"/>
      <c r="BR35" s="27"/>
      <c r="BS35" s="27"/>
      <c r="BT35" s="27"/>
      <c r="BU35" s="27"/>
      <c r="BW35" s="27"/>
      <c r="BX35" s="27"/>
      <c r="BY35" s="27"/>
      <c r="BZ35" s="27"/>
      <c r="CA35" s="27"/>
      <c r="CB35" s="27"/>
    </row>
    <row r="36" spans="1:80" ht="30.75" customHeight="1" x14ac:dyDescent="0.25">
      <c r="B36" s="162"/>
      <c r="C36" s="162"/>
      <c r="D36" s="162"/>
      <c r="E36" s="162"/>
      <c r="F36" s="162"/>
      <c r="G36" s="164"/>
      <c r="H36" s="1408"/>
      <c r="I36" s="1408"/>
      <c r="J36" s="1408"/>
      <c r="K36" s="168"/>
      <c r="L36" s="160"/>
      <c r="M36" s="160"/>
      <c r="N36" s="160"/>
      <c r="O36" s="160"/>
      <c r="P36" s="160"/>
      <c r="Q36" s="3160"/>
      <c r="R36" s="3160"/>
      <c r="S36" s="3160"/>
      <c r="T36" s="3160"/>
      <c r="U36" s="3160"/>
      <c r="V36" s="3160"/>
      <c r="W36" s="169"/>
      <c r="X36" s="1409"/>
      <c r="Y36" s="1409"/>
      <c r="Z36" s="1409"/>
      <c r="AA36" s="1409"/>
      <c r="AB36" s="1409"/>
      <c r="AC36" s="1691"/>
      <c r="AD36" s="1691"/>
      <c r="AE36" s="1691"/>
      <c r="AF36" s="1691"/>
      <c r="AG36" s="1691"/>
      <c r="AH36" s="1691"/>
      <c r="AI36" s="166"/>
      <c r="AJ36" s="1416"/>
      <c r="AK36" s="1416"/>
      <c r="AL36" s="1416"/>
      <c r="AM36" s="1416"/>
      <c r="AN36" s="1416"/>
      <c r="AO36" s="1403"/>
      <c r="AP36" s="1403"/>
      <c r="AQ36" s="1403"/>
      <c r="AR36" s="1403"/>
      <c r="AS36" s="1403"/>
      <c r="AT36" s="1403"/>
      <c r="AU36" s="1403"/>
      <c r="AV36" s="1404"/>
      <c r="AW36" s="1404"/>
      <c r="BI36" s="50"/>
      <c r="BJ36" s="50"/>
      <c r="BM36" s="27"/>
      <c r="BN36" s="27"/>
      <c r="BO36" s="27"/>
      <c r="BP36" s="27"/>
      <c r="BQ36" s="27"/>
      <c r="BR36" s="27"/>
      <c r="BS36" s="27"/>
      <c r="BT36" s="27"/>
      <c r="BU36" s="27"/>
      <c r="BW36" s="27"/>
      <c r="BX36" s="27"/>
      <c r="BY36" s="27"/>
      <c r="BZ36" s="27"/>
      <c r="CA36" s="27"/>
      <c r="CB36" s="27"/>
    </row>
    <row r="37" spans="1:80" ht="15" customHeight="1" x14ac:dyDescent="0.25">
      <c r="B37" s="162"/>
      <c r="C37" s="162"/>
      <c r="D37" s="162"/>
      <c r="E37" s="162"/>
      <c r="F37" s="162"/>
      <c r="G37" s="164"/>
      <c r="H37" s="1408"/>
      <c r="I37" s="1408"/>
      <c r="J37" s="1408"/>
      <c r="K37" s="164"/>
      <c r="L37" s="165"/>
      <c r="M37" s="165"/>
      <c r="N37" s="165"/>
      <c r="O37" s="165"/>
      <c r="P37" s="165"/>
      <c r="Q37" s="3160"/>
      <c r="R37" s="3160"/>
      <c r="S37" s="3160"/>
      <c r="T37" s="3160"/>
      <c r="U37" s="3160"/>
      <c r="V37" s="3160"/>
      <c r="W37" s="165"/>
      <c r="X37" s="1409" t="s">
        <v>257</v>
      </c>
      <c r="Y37" s="1409"/>
      <c r="Z37" s="1409"/>
      <c r="AA37" s="1409"/>
      <c r="AB37" s="1409"/>
      <c r="AC37" s="1410">
        <f>AC32-AD45</f>
        <v>-4.8989999999999867E-3</v>
      </c>
      <c r="AD37" s="1410"/>
      <c r="AE37" s="1410"/>
      <c r="AF37" s="1410"/>
      <c r="AG37" s="1410"/>
      <c r="AH37" s="1410"/>
      <c r="AI37" s="166"/>
      <c r="AJ37" s="1416"/>
      <c r="AK37" s="1416"/>
      <c r="AL37" s="1416"/>
      <c r="AM37" s="1416"/>
      <c r="AN37" s="1416"/>
      <c r="AO37" s="1403"/>
      <c r="AP37" s="1403"/>
      <c r="AQ37" s="1403"/>
      <c r="AR37" s="1403"/>
      <c r="AS37" s="1403"/>
      <c r="AT37" s="1403"/>
      <c r="AU37" s="1403"/>
      <c r="AV37" s="1404"/>
      <c r="AW37" s="1404"/>
      <c r="BI37" s="53"/>
      <c r="BJ37" s="53"/>
    </row>
    <row r="38" spans="1:80" ht="28.5" customHeight="1" x14ac:dyDescent="0.25">
      <c r="B38" s="162"/>
      <c r="C38" s="162"/>
      <c r="D38" s="162"/>
      <c r="E38" s="162"/>
      <c r="F38" s="162"/>
      <c r="G38" s="164"/>
      <c r="H38" s="1411"/>
      <c r="I38" s="1411"/>
      <c r="J38" s="1411"/>
      <c r="K38" s="168"/>
      <c r="L38" s="165"/>
      <c r="M38" s="165"/>
      <c r="N38" s="165"/>
      <c r="O38" s="165"/>
      <c r="P38" s="165"/>
      <c r="Q38" s="3160"/>
      <c r="R38" s="3160"/>
      <c r="S38" s="3160"/>
      <c r="T38" s="3160"/>
      <c r="U38" s="3160"/>
      <c r="V38" s="3160"/>
      <c r="W38" s="165"/>
      <c r="X38" s="1409"/>
      <c r="Y38" s="1409"/>
      <c r="Z38" s="1409"/>
      <c r="AA38" s="1409"/>
      <c r="AB38" s="1409"/>
      <c r="AC38" s="1410"/>
      <c r="AD38" s="1410"/>
      <c r="AE38" s="1410"/>
      <c r="AF38" s="1410"/>
      <c r="AG38" s="1410"/>
      <c r="AH38" s="1410"/>
      <c r="AI38" s="166"/>
      <c r="AJ38" s="1416"/>
      <c r="AK38" s="1416"/>
      <c r="AL38" s="1416"/>
      <c r="AM38" s="1416"/>
      <c r="AN38" s="1416"/>
      <c r="AO38" s="1403"/>
      <c r="AP38" s="1403"/>
      <c r="AQ38" s="1403"/>
      <c r="AR38" s="1403"/>
      <c r="AS38" s="1403"/>
      <c r="AT38" s="1403"/>
      <c r="AU38" s="1403"/>
      <c r="AV38" s="1404"/>
      <c r="AW38" s="1404"/>
      <c r="BI38" s="53"/>
      <c r="BJ38" s="53"/>
    </row>
    <row r="39" spans="1:80" ht="15" customHeight="1" x14ac:dyDescent="0.25">
      <c r="B39" s="162"/>
      <c r="C39" s="162"/>
      <c r="D39" s="162"/>
      <c r="E39" s="162"/>
      <c r="F39" s="162"/>
      <c r="G39" s="164"/>
      <c r="H39" s="1411"/>
      <c r="I39" s="1411"/>
      <c r="J39" s="1411"/>
      <c r="K39" s="168"/>
      <c r="L39" s="165"/>
      <c r="M39" s="165"/>
      <c r="N39" s="165"/>
      <c r="O39" s="165"/>
      <c r="P39" s="165"/>
      <c r="Q39" s="3160"/>
      <c r="R39" s="3160"/>
      <c r="S39" s="3160"/>
      <c r="T39" s="3160"/>
      <c r="U39" s="3160"/>
      <c r="V39" s="3160"/>
      <c r="W39" s="165"/>
      <c r="X39" s="1409"/>
      <c r="Y39" s="1409"/>
      <c r="Z39" s="1409"/>
      <c r="AA39" s="1409"/>
      <c r="AB39" s="1409"/>
      <c r="AC39" s="1410"/>
      <c r="AD39" s="1410"/>
      <c r="AE39" s="1410"/>
      <c r="AF39" s="1410"/>
      <c r="AG39" s="1410"/>
      <c r="AH39" s="1410"/>
      <c r="AI39" s="166"/>
      <c r="AJ39" s="1416"/>
      <c r="AK39" s="1416"/>
      <c r="AL39" s="1416"/>
      <c r="AM39" s="1416"/>
      <c r="AN39" s="1416"/>
      <c r="AO39" s="1403"/>
      <c r="AP39" s="1403"/>
      <c r="AQ39" s="1403"/>
      <c r="AR39" s="1403"/>
      <c r="AS39" s="1403"/>
      <c r="AT39" s="1403"/>
      <c r="AU39" s="1403"/>
      <c r="AV39" s="1404"/>
      <c r="AW39" s="1404"/>
      <c r="BI39" s="53"/>
      <c r="BJ39" s="53"/>
    </row>
    <row r="40" spans="1:80" ht="42.75" customHeight="1" x14ac:dyDescent="0.35">
      <c r="A40" s="54"/>
      <c r="B40" s="162"/>
      <c r="C40" s="162"/>
      <c r="D40" s="162"/>
      <c r="E40" s="162"/>
      <c r="F40" s="162"/>
      <c r="G40" s="164"/>
      <c r="H40" s="1411"/>
      <c r="I40" s="1411"/>
      <c r="J40" s="1411"/>
      <c r="K40" s="168"/>
      <c r="L40" s="165"/>
      <c r="M40" s="165"/>
      <c r="N40" s="165"/>
      <c r="O40" s="165"/>
      <c r="P40" s="165"/>
      <c r="Q40" s="3160"/>
      <c r="R40" s="3160"/>
      <c r="S40" s="3160"/>
      <c r="T40" s="3160"/>
      <c r="U40" s="3160"/>
      <c r="V40" s="3160"/>
      <c r="W40" s="165"/>
      <c r="X40" s="1409"/>
      <c r="Y40" s="1409"/>
      <c r="Z40" s="1409"/>
      <c r="AA40" s="1409"/>
      <c r="AB40" s="1409"/>
      <c r="AC40" s="1410"/>
      <c r="AD40" s="1410"/>
      <c r="AE40" s="1410"/>
      <c r="AF40" s="1410"/>
      <c r="AG40" s="1410"/>
      <c r="AH40" s="1410"/>
      <c r="AI40" s="166"/>
      <c r="AJ40" s="1416"/>
      <c r="AK40" s="1416"/>
      <c r="AL40" s="1416"/>
      <c r="AM40" s="1416"/>
      <c r="AN40" s="1416"/>
      <c r="AO40" s="1403"/>
      <c r="AP40" s="1403"/>
      <c r="AQ40" s="1403"/>
      <c r="AR40" s="1403"/>
      <c r="AS40" s="1403"/>
      <c r="AT40" s="1403"/>
      <c r="AU40" s="1403"/>
      <c r="AV40" s="1404"/>
      <c r="AW40" s="1404"/>
      <c r="BI40" s="53"/>
      <c r="BJ40" s="53"/>
    </row>
    <row r="41" spans="1:80" ht="38.25" customHeight="1" x14ac:dyDescent="0.35">
      <c r="A41" s="54"/>
      <c r="B41" s="162"/>
      <c r="C41" s="162"/>
      <c r="D41" s="162"/>
      <c r="E41" s="162"/>
      <c r="F41" s="162"/>
      <c r="G41" s="164"/>
      <c r="H41" s="1412"/>
      <c r="I41" s="1412"/>
      <c r="J41" s="1412"/>
      <c r="K41" s="168"/>
      <c r="L41" s="175"/>
      <c r="M41" s="175"/>
      <c r="N41" s="175"/>
      <c r="O41" s="175"/>
      <c r="P41" s="175"/>
      <c r="Q41" s="3160"/>
      <c r="R41" s="3160"/>
      <c r="S41" s="3160"/>
      <c r="T41" s="3160"/>
      <c r="U41" s="3160"/>
      <c r="V41" s="3160"/>
      <c r="W41" s="176"/>
      <c r="X41" s="1409"/>
      <c r="Y41" s="1409"/>
      <c r="Z41" s="1409"/>
      <c r="AA41" s="1409"/>
      <c r="AB41" s="1409"/>
      <c r="AC41" s="1410"/>
      <c r="AD41" s="1410"/>
      <c r="AE41" s="1410"/>
      <c r="AF41" s="1410"/>
      <c r="AG41" s="1410"/>
      <c r="AH41" s="1410"/>
      <c r="AI41" s="166"/>
      <c r="AJ41" s="1416"/>
      <c r="AK41" s="1416"/>
      <c r="AL41" s="1416"/>
      <c r="AM41" s="1416"/>
      <c r="AN41" s="1416"/>
      <c r="AO41" s="1418"/>
      <c r="AP41" s="1418"/>
      <c r="AQ41" s="1418"/>
      <c r="AR41" s="1418"/>
      <c r="AS41" s="1418"/>
      <c r="AT41" s="1418"/>
      <c r="AU41" s="1418"/>
      <c r="AV41" s="1418"/>
      <c r="AW41" s="1418"/>
      <c r="AX41" s="54"/>
      <c r="AY41" s="54"/>
      <c r="BI41" s="170"/>
      <c r="BJ41" s="170"/>
    </row>
    <row r="42" spans="1:80" ht="60" customHeight="1" x14ac:dyDescent="0.35">
      <c r="H42" s="1412"/>
      <c r="I42" s="1412"/>
      <c r="J42" s="1412"/>
      <c r="L42" s="175"/>
      <c r="M42" s="175"/>
      <c r="N42" s="175"/>
      <c r="O42" s="175"/>
      <c r="P42" s="175"/>
      <c r="Q42" s="3160"/>
      <c r="R42" s="3160"/>
      <c r="S42" s="3160"/>
      <c r="T42" s="3160"/>
      <c r="U42" s="3160"/>
      <c r="V42" s="3160"/>
      <c r="W42" s="176"/>
      <c r="X42" s="1409"/>
      <c r="Y42" s="1409"/>
      <c r="Z42" s="1409"/>
      <c r="AA42" s="1409"/>
      <c r="AB42" s="1409"/>
      <c r="AC42" s="1410"/>
      <c r="AD42" s="1410"/>
      <c r="AE42" s="1410"/>
      <c r="AF42" s="1410"/>
      <c r="AG42" s="1410"/>
      <c r="AH42" s="1410"/>
      <c r="AI42" s="166"/>
      <c r="AJ42" s="1416"/>
      <c r="AK42" s="1416"/>
      <c r="AL42" s="1416"/>
      <c r="AM42" s="1416"/>
      <c r="AN42" s="1416"/>
      <c r="AO42" s="1418"/>
      <c r="AP42" s="1418"/>
      <c r="AQ42" s="1418"/>
      <c r="AR42" s="1418"/>
      <c r="AS42" s="1418"/>
      <c r="AT42" s="1418"/>
      <c r="AU42" s="1418"/>
      <c r="AV42" s="1418"/>
      <c r="AW42" s="1418"/>
      <c r="AX42" s="54"/>
      <c r="AY42" s="54"/>
      <c r="BI42" s="170"/>
      <c r="BJ42" s="170"/>
    </row>
    <row r="43" spans="1:80" ht="15" customHeight="1" x14ac:dyDescent="0.35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1"/>
      <c r="AI43" s="171"/>
      <c r="AJ43" s="171"/>
      <c r="AK43" s="171"/>
      <c r="AL43" s="171"/>
      <c r="AM43" s="171"/>
      <c r="AN43" s="171"/>
      <c r="AO43" s="172"/>
      <c r="AP43" s="172"/>
      <c r="AQ43" s="172"/>
      <c r="AR43" s="172"/>
      <c r="AS43" s="172"/>
      <c r="AT43" s="172"/>
      <c r="AU43" s="172"/>
      <c r="AV43" s="172"/>
      <c r="AW43" s="172"/>
    </row>
    <row r="44" spans="1:80" ht="15.75" customHeight="1" thickBot="1" x14ac:dyDescent="0.4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3"/>
      <c r="Y44" s="171"/>
      <c r="Z44" s="171"/>
      <c r="AA44" s="171"/>
      <c r="AB44" s="171"/>
      <c r="AC44" s="171"/>
      <c r="AD44" s="171"/>
      <c r="AE44" s="171"/>
      <c r="AF44" s="171"/>
      <c r="AG44" s="171"/>
      <c r="AH44" s="171"/>
      <c r="AI44" s="171"/>
      <c r="AJ44" s="171"/>
      <c r="AK44" s="171"/>
      <c r="AL44" s="171"/>
      <c r="AM44" s="171"/>
      <c r="AN44" s="171"/>
      <c r="AO44" s="172"/>
      <c r="AP44" s="172"/>
      <c r="AQ44" s="172"/>
      <c r="AR44" s="172"/>
      <c r="AS44" s="172"/>
      <c r="AT44" s="172"/>
      <c r="AU44" s="172"/>
      <c r="AV44" s="172"/>
      <c r="AW44" s="172"/>
    </row>
    <row r="45" spans="1:80" ht="15.75" thickTop="1" x14ac:dyDescent="0.25">
      <c r="J45" t="s">
        <v>16</v>
      </c>
      <c r="AD45" s="775">
        <v>4.5</v>
      </c>
      <c r="AE45" s="776"/>
      <c r="AF45" s="776"/>
      <c r="AG45" s="776"/>
      <c r="AH45" s="777"/>
      <c r="AL45" s="727" t="s">
        <v>122</v>
      </c>
      <c r="AM45" s="727"/>
      <c r="AN45" s="727"/>
      <c r="AO45" s="727" t="s">
        <v>123</v>
      </c>
      <c r="AP45" s="727"/>
      <c r="AQ45" s="727"/>
      <c r="AR45" s="727" t="s">
        <v>124</v>
      </c>
      <c r="AS45" s="727"/>
      <c r="AT45" s="727" t="s">
        <v>125</v>
      </c>
      <c r="AU45" s="727"/>
      <c r="AY45" s="739" t="s">
        <v>126</v>
      </c>
      <c r="AZ45" s="740"/>
      <c r="BA45" s="740"/>
      <c r="BB45" s="740"/>
      <c r="BC45" s="740"/>
      <c r="BD45" s="740"/>
      <c r="BE45" s="740"/>
      <c r="BF45" s="740"/>
      <c r="BG45" s="740"/>
      <c r="BH45" s="741"/>
    </row>
    <row r="46" spans="1:80" x14ac:dyDescent="0.25">
      <c r="AD46" s="778"/>
      <c r="AE46" s="779"/>
      <c r="AF46" s="779"/>
      <c r="AG46" s="779"/>
      <c r="AH46" s="780"/>
      <c r="AL46" s="727"/>
      <c r="AM46" s="727"/>
      <c r="AN46" s="727"/>
      <c r="AO46" s="727"/>
      <c r="AP46" s="727"/>
      <c r="AQ46" s="727"/>
      <c r="AR46" s="727"/>
      <c r="AS46" s="727"/>
      <c r="AT46" s="727"/>
      <c r="AU46" s="727"/>
      <c r="AY46" s="750"/>
      <c r="AZ46" s="751"/>
      <c r="BA46" s="751"/>
      <c r="BB46" s="751"/>
      <c r="BC46" s="751"/>
      <c r="BD46" s="751"/>
      <c r="BE46" s="751"/>
      <c r="BF46" s="751"/>
      <c r="BG46" s="751"/>
      <c r="BH46" s="752"/>
    </row>
    <row r="47" spans="1:80" x14ac:dyDescent="0.25">
      <c r="AA47" s="56"/>
      <c r="AD47" s="778"/>
      <c r="AE47" s="779"/>
      <c r="AF47" s="779"/>
      <c r="AG47" s="779"/>
      <c r="AH47" s="780"/>
      <c r="AL47" s="727"/>
      <c r="AM47" s="727"/>
      <c r="AN47" s="727"/>
      <c r="AO47" s="727"/>
      <c r="AP47" s="727"/>
      <c r="AQ47" s="727"/>
      <c r="AR47" s="727"/>
      <c r="AS47" s="727"/>
      <c r="AT47" s="727"/>
      <c r="AU47" s="727"/>
      <c r="AY47" s="742"/>
      <c r="AZ47" s="743"/>
      <c r="BA47" s="743"/>
      <c r="BB47" s="743"/>
      <c r="BC47" s="743"/>
      <c r="BD47" s="743"/>
      <c r="BE47" s="743"/>
      <c r="BF47" s="743"/>
      <c r="BG47" s="743"/>
      <c r="BH47" s="744"/>
    </row>
    <row r="48" spans="1:80" x14ac:dyDescent="0.25">
      <c r="K48" t="s">
        <v>258</v>
      </c>
      <c r="AD48" s="778"/>
      <c r="AE48" s="779"/>
      <c r="AF48" s="779"/>
      <c r="AG48" s="779"/>
      <c r="AH48" s="780"/>
      <c r="AL48" s="727">
        <v>268</v>
      </c>
      <c r="AM48" s="727"/>
      <c r="AN48" s="727"/>
      <c r="AO48" s="727">
        <f ca="1">AT70</f>
        <v>268</v>
      </c>
      <c r="AP48" s="727"/>
      <c r="AQ48" s="727"/>
      <c r="AR48" s="1689">
        <f>AC32</f>
        <v>4.495101</v>
      </c>
      <c r="AS48" s="1689"/>
      <c r="AT48" s="1689">
        <f>AC32+AO34</f>
        <v>5.995101</v>
      </c>
      <c r="AU48" s="1689"/>
      <c r="AY48" s="727" t="s">
        <v>128</v>
      </c>
      <c r="AZ48" s="727"/>
      <c r="BA48" s="727"/>
      <c r="BB48" s="727"/>
      <c r="BC48" s="727"/>
      <c r="BD48" s="727"/>
      <c r="BE48" s="727"/>
      <c r="BF48" s="727"/>
      <c r="BG48" s="727"/>
      <c r="BH48" s="727"/>
    </row>
    <row r="49" spans="7:60" x14ac:dyDescent="0.25">
      <c r="G49" t="s">
        <v>16</v>
      </c>
      <c r="AD49" s="778"/>
      <c r="AE49" s="779"/>
      <c r="AF49" s="779"/>
      <c r="AG49" s="779"/>
      <c r="AH49" s="780"/>
      <c r="AL49" s="727"/>
      <c r="AM49" s="727"/>
      <c r="AN49" s="727"/>
      <c r="AO49" s="727"/>
      <c r="AP49" s="727"/>
      <c r="AQ49" s="727"/>
      <c r="AR49" s="1689"/>
      <c r="AS49" s="1689"/>
      <c r="AT49" s="1689"/>
      <c r="AU49" s="1689"/>
      <c r="AY49" s="727"/>
      <c r="AZ49" s="727"/>
      <c r="BA49" s="727"/>
      <c r="BB49" s="727"/>
      <c r="BC49" s="727"/>
      <c r="BD49" s="727"/>
      <c r="BE49" s="727"/>
      <c r="BF49" s="727"/>
      <c r="BG49" s="727"/>
      <c r="BH49" s="727"/>
    </row>
    <row r="50" spans="7:60" ht="15" customHeight="1" x14ac:dyDescent="0.25">
      <c r="AD50" s="778"/>
      <c r="AE50" s="779"/>
      <c r="AF50" s="779"/>
      <c r="AG50" s="779"/>
      <c r="AH50" s="780"/>
      <c r="AL50" s="727"/>
      <c r="AM50" s="727"/>
      <c r="AN50" s="727"/>
      <c r="AO50" s="727"/>
      <c r="AP50" s="727"/>
      <c r="AQ50" s="727"/>
      <c r="AR50" s="1689"/>
      <c r="AS50" s="1689"/>
      <c r="AT50" s="1689"/>
      <c r="AU50" s="1689"/>
      <c r="AY50" s="728">
        <f ca="1">AR48/((42*3.1415/44)*(AO48/3.281))</f>
        <v>1.8351738521077791E-2</v>
      </c>
      <c r="AZ50" s="729"/>
      <c r="BA50" s="729"/>
      <c r="BB50" s="729"/>
      <c r="BC50" s="729"/>
      <c r="BD50" s="729"/>
      <c r="BE50" s="729"/>
      <c r="BF50" s="729"/>
      <c r="BG50" s="729"/>
      <c r="BH50" s="730"/>
    </row>
    <row r="51" spans="7:60" ht="15.75" customHeight="1" thickBot="1" x14ac:dyDescent="0.3">
      <c r="AD51" s="781"/>
      <c r="AE51" s="782"/>
      <c r="AF51" s="782"/>
      <c r="AG51" s="782"/>
      <c r="AH51" s="783"/>
      <c r="AL51" s="727"/>
      <c r="AM51" s="727"/>
      <c r="AN51" s="727"/>
      <c r="AO51" s="727"/>
      <c r="AP51" s="727"/>
      <c r="AQ51" s="727"/>
      <c r="AR51" s="1689"/>
      <c r="AS51" s="1689"/>
      <c r="AT51" s="1689"/>
      <c r="AU51" s="1689"/>
      <c r="AY51" s="731"/>
      <c r="AZ51" s="732"/>
      <c r="BA51" s="732"/>
      <c r="BB51" s="732"/>
      <c r="BC51" s="732"/>
      <c r="BD51" s="732"/>
      <c r="BE51" s="732"/>
      <c r="BF51" s="732"/>
      <c r="BG51" s="732"/>
      <c r="BH51" s="733"/>
    </row>
    <row r="52" spans="7:60" ht="15.75" customHeight="1" thickTop="1" x14ac:dyDescent="0.25">
      <c r="AY52" s="734"/>
      <c r="AZ52" s="735"/>
      <c r="BA52" s="735"/>
      <c r="BB52" s="735"/>
      <c r="BC52" s="735"/>
      <c r="BD52" s="735"/>
      <c r="BE52" s="735"/>
      <c r="BF52" s="735"/>
      <c r="BG52" s="735"/>
      <c r="BH52" s="736"/>
    </row>
    <row r="53" spans="7:60" x14ac:dyDescent="0.25">
      <c r="AY53" s="739" t="s">
        <v>129</v>
      </c>
      <c r="AZ53" s="740"/>
      <c r="BA53" s="740"/>
      <c r="BB53" s="740"/>
      <c r="BC53" s="740"/>
      <c r="BD53" s="740"/>
      <c r="BE53" s="740"/>
      <c r="BF53" s="740"/>
      <c r="BG53" s="740"/>
      <c r="BH53" s="741"/>
    </row>
    <row r="54" spans="7:60" x14ac:dyDescent="0.25">
      <c r="AY54" s="742"/>
      <c r="AZ54" s="743"/>
      <c r="BA54" s="743"/>
      <c r="BB54" s="743"/>
      <c r="BC54" s="743"/>
      <c r="BD54" s="743"/>
      <c r="BE54" s="743"/>
      <c r="BF54" s="743"/>
      <c r="BG54" s="743"/>
      <c r="BH54" s="744"/>
    </row>
    <row r="55" spans="7:60" x14ac:dyDescent="0.25">
      <c r="AN55" s="727">
        <v>74.5</v>
      </c>
      <c r="AO55" s="727"/>
      <c r="AP55" s="727"/>
      <c r="AQ55" s="746" cm="1">
        <f t="array" aca="1" ref="AQ55" ca="1">SUM(COUNTIF(INDIRECT({"Q7"}),"&gt;0"))</f>
        <v>1</v>
      </c>
      <c r="AR55" s="746"/>
      <c r="AS55" s="746"/>
      <c r="AT55" s="747">
        <f ca="1">AQ55*AN55</f>
        <v>74.5</v>
      </c>
      <c r="AU55" s="748"/>
      <c r="AV55" s="748"/>
      <c r="AW55" s="749"/>
      <c r="AY55" s="739" t="s">
        <v>130</v>
      </c>
      <c r="AZ55" s="740"/>
      <c r="BA55" s="740"/>
      <c r="BB55" s="740"/>
      <c r="BC55" s="740"/>
      <c r="BD55" s="740"/>
      <c r="BE55" s="740"/>
      <c r="BF55" s="740"/>
      <c r="BG55" s="740"/>
      <c r="BH55" s="741"/>
    </row>
    <row r="56" spans="7:60" x14ac:dyDescent="0.25">
      <c r="AN56" s="727"/>
      <c r="AO56" s="727"/>
      <c r="AP56" s="727"/>
      <c r="AQ56" s="746"/>
      <c r="AR56" s="746"/>
      <c r="AS56" s="746"/>
      <c r="AT56" s="747"/>
      <c r="AU56" s="748"/>
      <c r="AV56" s="748"/>
      <c r="AW56" s="749"/>
      <c r="AY56" s="750"/>
      <c r="AZ56" s="751"/>
      <c r="BA56" s="751"/>
      <c r="BB56" s="751"/>
      <c r="BC56" s="751"/>
      <c r="BD56" s="751"/>
      <c r="BE56" s="751"/>
      <c r="BF56" s="751"/>
      <c r="BG56" s="751"/>
      <c r="BH56" s="752"/>
    </row>
    <row r="57" spans="7:60" ht="15" customHeight="1" x14ac:dyDescent="0.25">
      <c r="AN57" s="727"/>
      <c r="AO57" s="727"/>
      <c r="AP57" s="727"/>
      <c r="AQ57" s="746"/>
      <c r="AR57" s="746"/>
      <c r="AS57" s="746"/>
      <c r="AT57" s="747"/>
      <c r="AU57" s="748"/>
      <c r="AV57" s="748"/>
      <c r="AW57" s="749"/>
      <c r="AY57" s="750"/>
      <c r="AZ57" s="751"/>
      <c r="BA57" s="751"/>
      <c r="BB57" s="751"/>
      <c r="BC57" s="751"/>
      <c r="BD57" s="751"/>
      <c r="BE57" s="751"/>
      <c r="BF57" s="751"/>
      <c r="BG57" s="751"/>
      <c r="BH57" s="752"/>
    </row>
    <row r="58" spans="7:60" x14ac:dyDescent="0.25">
      <c r="AN58" s="727">
        <v>64.5</v>
      </c>
      <c r="AO58" s="727"/>
      <c r="AP58" s="727"/>
      <c r="AQ58" s="746" cm="1">
        <f t="array" aca="1" ref="AQ58" ca="1">SUM(COUNTIF(INDIRECT({"V7","AA7","AF7"}),"&gt;0"))</f>
        <v>3</v>
      </c>
      <c r="AR58" s="746"/>
      <c r="AS58" s="746"/>
      <c r="AT58" s="747">
        <f ca="1">AN58*AQ58</f>
        <v>193.5</v>
      </c>
      <c r="AU58" s="748"/>
      <c r="AV58" s="748"/>
      <c r="AW58" s="749"/>
      <c r="AY58" s="742"/>
      <c r="AZ58" s="743"/>
      <c r="BA58" s="743"/>
      <c r="BB58" s="743"/>
      <c r="BC58" s="743"/>
      <c r="BD58" s="743"/>
      <c r="BE58" s="743"/>
      <c r="BF58" s="743"/>
      <c r="BG58" s="743"/>
      <c r="BH58" s="744"/>
    </row>
    <row r="59" spans="7:60" x14ac:dyDescent="0.25">
      <c r="AN59" s="727"/>
      <c r="AO59" s="727"/>
      <c r="AP59" s="727"/>
      <c r="AQ59" s="746"/>
      <c r="AR59" s="746"/>
      <c r="AS59" s="746"/>
      <c r="AT59" s="747"/>
      <c r="AU59" s="748"/>
      <c r="AV59" s="748"/>
      <c r="AW59" s="749"/>
      <c r="AY59" s="728">
        <f ca="1">AT48/((42*3.1415/44)*(AO48/3.281))</f>
        <v>2.4475651594803319E-2</v>
      </c>
      <c r="AZ59" s="729"/>
      <c r="BA59" s="729"/>
      <c r="BB59" s="729"/>
      <c r="BC59" s="729"/>
      <c r="BD59" s="729"/>
      <c r="BE59" s="729"/>
      <c r="BF59" s="729"/>
      <c r="BG59" s="729"/>
      <c r="BH59" s="730"/>
    </row>
    <row r="60" spans="7:60" x14ac:dyDescent="0.25">
      <c r="AN60" s="727"/>
      <c r="AO60" s="727"/>
      <c r="AP60" s="727"/>
      <c r="AQ60" s="746"/>
      <c r="AR60" s="746"/>
      <c r="AS60" s="746"/>
      <c r="AT60" s="747"/>
      <c r="AU60" s="748"/>
      <c r="AV60" s="748"/>
      <c r="AW60" s="749"/>
      <c r="AY60" s="731"/>
      <c r="AZ60" s="732"/>
      <c r="BA60" s="732"/>
      <c r="BB60" s="732"/>
      <c r="BC60" s="732"/>
      <c r="BD60" s="732"/>
      <c r="BE60" s="732"/>
      <c r="BF60" s="732"/>
      <c r="BG60" s="732"/>
      <c r="BH60" s="733"/>
    </row>
    <row r="61" spans="7:60" ht="15" customHeight="1" x14ac:dyDescent="0.25">
      <c r="AN61" s="727"/>
      <c r="AO61" s="727"/>
      <c r="AP61" s="727"/>
      <c r="AQ61" s="746"/>
      <c r="AR61" s="746"/>
      <c r="AS61" s="746"/>
      <c r="AT61" s="747"/>
      <c r="AU61" s="748"/>
      <c r="AV61" s="748"/>
      <c r="AW61" s="749"/>
      <c r="AY61" s="731"/>
      <c r="AZ61" s="732"/>
      <c r="BA61" s="732"/>
      <c r="BB61" s="732"/>
      <c r="BC61" s="732"/>
      <c r="BD61" s="732"/>
      <c r="BE61" s="732"/>
      <c r="BF61" s="732"/>
      <c r="BG61" s="732"/>
      <c r="BH61" s="733"/>
    </row>
    <row r="62" spans="7:60" ht="15" customHeight="1" x14ac:dyDescent="0.25">
      <c r="AN62" s="727"/>
      <c r="AO62" s="727"/>
      <c r="AP62" s="727"/>
      <c r="AQ62" s="746"/>
      <c r="AR62" s="746"/>
      <c r="AS62" s="746"/>
      <c r="AT62" s="747"/>
      <c r="AU62" s="748"/>
      <c r="AV62" s="748"/>
      <c r="AW62" s="749"/>
      <c r="AY62" s="731"/>
      <c r="AZ62" s="732"/>
      <c r="BA62" s="732"/>
      <c r="BB62" s="732"/>
      <c r="BC62" s="732"/>
      <c r="BD62" s="732"/>
      <c r="BE62" s="732"/>
      <c r="BF62" s="732"/>
      <c r="BG62" s="732"/>
      <c r="BH62" s="733"/>
    </row>
    <row r="63" spans="7:60" ht="15" customHeight="1" x14ac:dyDescent="0.25">
      <c r="AN63" s="727"/>
      <c r="AO63" s="727"/>
      <c r="AP63" s="727"/>
      <c r="AQ63" s="746"/>
      <c r="AR63" s="746"/>
      <c r="AS63" s="746"/>
      <c r="AT63" s="747"/>
      <c r="AU63" s="748"/>
      <c r="AV63" s="748"/>
      <c r="AW63" s="749"/>
      <c r="AY63" s="734"/>
      <c r="AZ63" s="735"/>
      <c r="BA63" s="735"/>
      <c r="BB63" s="735"/>
      <c r="BC63" s="735"/>
      <c r="BD63" s="735"/>
      <c r="BE63" s="735"/>
      <c r="BF63" s="735"/>
      <c r="BG63" s="735"/>
      <c r="BH63" s="736"/>
    </row>
    <row r="64" spans="7:60" ht="15" customHeight="1" x14ac:dyDescent="0.25">
      <c r="AN64" s="727"/>
      <c r="AO64" s="727"/>
      <c r="AP64" s="727"/>
      <c r="AQ64" s="746"/>
      <c r="AR64" s="746"/>
      <c r="AS64" s="746"/>
      <c r="AT64" s="747"/>
      <c r="AU64" s="748"/>
      <c r="AV64" s="748"/>
      <c r="AW64" s="749"/>
    </row>
    <row r="65" spans="40:49" ht="15" customHeight="1" x14ac:dyDescent="0.25">
      <c r="AN65" s="727"/>
      <c r="AO65" s="727"/>
      <c r="AP65" s="727"/>
      <c r="AQ65" s="746"/>
      <c r="AR65" s="746"/>
      <c r="AS65" s="746"/>
      <c r="AT65" s="747"/>
      <c r="AU65" s="748"/>
      <c r="AV65" s="748"/>
      <c r="AW65" s="749"/>
    </row>
    <row r="66" spans="40:49" ht="15" customHeight="1" x14ac:dyDescent="0.25">
      <c r="AN66" s="727"/>
      <c r="AO66" s="727"/>
      <c r="AP66" s="727"/>
      <c r="AQ66" s="746"/>
      <c r="AR66" s="746"/>
      <c r="AS66" s="746"/>
      <c r="AT66" s="747"/>
      <c r="AU66" s="748"/>
      <c r="AV66" s="748"/>
      <c r="AW66" s="749"/>
    </row>
    <row r="67" spans="40:49" ht="15" customHeight="1" x14ac:dyDescent="0.25">
      <c r="AN67" s="727"/>
      <c r="AO67" s="727"/>
      <c r="AP67" s="727"/>
      <c r="AQ67" s="746"/>
      <c r="AR67" s="746"/>
      <c r="AS67" s="746"/>
      <c r="AT67" s="747"/>
      <c r="AU67" s="748"/>
      <c r="AV67" s="748"/>
      <c r="AW67" s="749"/>
    </row>
    <row r="68" spans="40:49" ht="15" customHeight="1" x14ac:dyDescent="0.25">
      <c r="AN68" s="727"/>
      <c r="AO68" s="727"/>
      <c r="AP68" s="727"/>
      <c r="AQ68" s="746"/>
      <c r="AR68" s="746"/>
      <c r="AS68" s="746"/>
      <c r="AT68" s="747"/>
      <c r="AU68" s="748"/>
      <c r="AV68" s="748"/>
      <c r="AW68" s="749"/>
    </row>
    <row r="69" spans="40:49" ht="15" customHeight="1" x14ac:dyDescent="0.25">
      <c r="AN69" s="727"/>
      <c r="AO69" s="727"/>
      <c r="AP69" s="727"/>
      <c r="AQ69" s="746"/>
      <c r="AR69" s="746"/>
      <c r="AS69" s="746"/>
      <c r="AT69" s="747"/>
      <c r="AU69" s="748"/>
      <c r="AV69" s="748"/>
      <c r="AW69" s="749"/>
    </row>
    <row r="70" spans="40:49" ht="15" customHeight="1" x14ac:dyDescent="0.25">
      <c r="AQ70" s="1254">
        <f ca="1">AQ55+AQ58+AQ61+AQ64+AQ67</f>
        <v>4</v>
      </c>
      <c r="AR70" s="1254"/>
      <c r="AS70" s="1254"/>
      <c r="AT70" s="747">
        <f ca="1">AT55+AT58+AT61</f>
        <v>268</v>
      </c>
      <c r="AU70" s="748"/>
      <c r="AV70" s="748"/>
      <c r="AW70" s="749"/>
    </row>
    <row r="71" spans="40:49" ht="15" customHeight="1" x14ac:dyDescent="0.25">
      <c r="AQ71" s="1254"/>
      <c r="AR71" s="1254"/>
      <c r="AS71" s="1254"/>
      <c r="AT71" s="747"/>
      <c r="AU71" s="748"/>
      <c r="AV71" s="748"/>
      <c r="AW71" s="749"/>
    </row>
    <row r="72" spans="40:49" ht="15" customHeight="1" x14ac:dyDescent="0.25">
      <c r="AQ72" s="1254"/>
      <c r="AR72" s="1254"/>
      <c r="AS72" s="1254"/>
      <c r="AT72" s="747"/>
      <c r="AU72" s="748"/>
      <c r="AV72" s="748"/>
      <c r="AW72" s="749"/>
    </row>
    <row r="73" spans="40:49" ht="15" customHeight="1" x14ac:dyDescent="0.25"/>
    <row r="74" spans="40:49" ht="15" customHeight="1" x14ac:dyDescent="0.25"/>
    <row r="75" spans="40:49" ht="15" customHeight="1" x14ac:dyDescent="0.25"/>
    <row r="76" spans="40:49" ht="15" customHeight="1" x14ac:dyDescent="0.25"/>
    <row r="77" spans="40:49" ht="15" customHeight="1" x14ac:dyDescent="0.25">
      <c r="AS77" s="27"/>
      <c r="AT77" s="27"/>
      <c r="AU77" s="27"/>
    </row>
  </sheetData>
  <mergeCells count="299">
    <mergeCell ref="A2:D2"/>
    <mergeCell ref="E2:E3"/>
    <mergeCell ref="F2:I2"/>
    <mergeCell ref="J2:J3"/>
    <mergeCell ref="A4:D4"/>
    <mergeCell ref="E4:E5"/>
    <mergeCell ref="F4:I4"/>
    <mergeCell ref="P2:R2"/>
    <mergeCell ref="S2:T2"/>
    <mergeCell ref="K2:N2"/>
    <mergeCell ref="U2:W2"/>
    <mergeCell ref="X2:Y2"/>
    <mergeCell ref="Z2:AB2"/>
    <mergeCell ref="AC2:AD2"/>
    <mergeCell ref="BG2:BH2"/>
    <mergeCell ref="BD3:BF5"/>
    <mergeCell ref="AE2:AG2"/>
    <mergeCell ref="AH2:AI2"/>
    <mergeCell ref="AO2:AR2"/>
    <mergeCell ref="AS2:AS3"/>
    <mergeCell ref="AY3:BA5"/>
    <mergeCell ref="AT2:AW2"/>
    <mergeCell ref="AX2:AX3"/>
    <mergeCell ref="AY2:BA2"/>
    <mergeCell ref="BB2:BC2"/>
    <mergeCell ref="BD2:BF2"/>
    <mergeCell ref="AS4:AS5"/>
    <mergeCell ref="AT4:AW4"/>
    <mergeCell ref="AX4:AX5"/>
    <mergeCell ref="AJ2:AM2"/>
    <mergeCell ref="A6:D6"/>
    <mergeCell ref="E6:E7"/>
    <mergeCell ref="F6:I6"/>
    <mergeCell ref="J6:J7"/>
    <mergeCell ref="J4:J5"/>
    <mergeCell ref="AO4:AR4"/>
    <mergeCell ref="AE6:AE7"/>
    <mergeCell ref="AF6:AI6"/>
    <mergeCell ref="AO6:AR6"/>
    <mergeCell ref="P3:T5"/>
    <mergeCell ref="U3:Y5"/>
    <mergeCell ref="Z3:AD5"/>
    <mergeCell ref="AE3:AI5"/>
    <mergeCell ref="AJ4:AM4"/>
    <mergeCell ref="K4:N4"/>
    <mergeCell ref="K6:N6"/>
    <mergeCell ref="AS6:AS7"/>
    <mergeCell ref="P6:P7"/>
    <mergeCell ref="Q6:T6"/>
    <mergeCell ref="U6:U7"/>
    <mergeCell ref="V6:Y6"/>
    <mergeCell ref="Z6:Z7"/>
    <mergeCell ref="AA6:AD6"/>
    <mergeCell ref="AT6:AW6"/>
    <mergeCell ref="AX6:AX7"/>
    <mergeCell ref="AJ6:AM6"/>
    <mergeCell ref="AY6:AY7"/>
    <mergeCell ref="AZ6:BC6"/>
    <mergeCell ref="BD6:BD7"/>
    <mergeCell ref="BE6:BH6"/>
    <mergeCell ref="A8:D8"/>
    <mergeCell ref="E8:E9"/>
    <mergeCell ref="F8:I8"/>
    <mergeCell ref="J8:J9"/>
    <mergeCell ref="K8:N8"/>
    <mergeCell ref="O8:O9"/>
    <mergeCell ref="BB8:BC8"/>
    <mergeCell ref="BD8:BF8"/>
    <mergeCell ref="P8:S8"/>
    <mergeCell ref="T8:T9"/>
    <mergeCell ref="U8:X8"/>
    <mergeCell ref="Y8:AB8"/>
    <mergeCell ref="AC8:AC9"/>
    <mergeCell ref="AD8:AG8"/>
    <mergeCell ref="BG8:BH8"/>
    <mergeCell ref="AY9:BA11"/>
    <mergeCell ref="BD9:BF11"/>
    <mergeCell ref="AH8:AH9"/>
    <mergeCell ref="AI8:AL8"/>
    <mergeCell ref="AM8:AN8"/>
    <mergeCell ref="A10:D10"/>
    <mergeCell ref="E10:E11"/>
    <mergeCell ref="F10:I10"/>
    <mergeCell ref="J10:J11"/>
    <mergeCell ref="K10:N10"/>
    <mergeCell ref="O10:O11"/>
    <mergeCell ref="AC10:AC11"/>
    <mergeCell ref="AD10:AG10"/>
    <mergeCell ref="AH10:AH11"/>
    <mergeCell ref="AY8:BA8"/>
    <mergeCell ref="O12:O13"/>
    <mergeCell ref="P12:S12"/>
    <mergeCell ref="T12:T13"/>
    <mergeCell ref="T10:T11"/>
    <mergeCell ref="U10:X10"/>
    <mergeCell ref="Y10:AB10"/>
    <mergeCell ref="P10:S10"/>
    <mergeCell ref="AD12:AG12"/>
    <mergeCell ref="AH12:AH13"/>
    <mergeCell ref="AI12:AL12"/>
    <mergeCell ref="AI10:AL10"/>
    <mergeCell ref="AM10:AN10"/>
    <mergeCell ref="A12:D12"/>
    <mergeCell ref="E12:E13"/>
    <mergeCell ref="F12:I12"/>
    <mergeCell ref="J12:J13"/>
    <mergeCell ref="K12:N12"/>
    <mergeCell ref="BD12:BD13"/>
    <mergeCell ref="BE12:BH12"/>
    <mergeCell ref="A14:C14"/>
    <mergeCell ref="D14:E14"/>
    <mergeCell ref="AH14:AI14"/>
    <mergeCell ref="AJ14:AL14"/>
    <mergeCell ref="AM14:AN14"/>
    <mergeCell ref="U12:X12"/>
    <mergeCell ref="Y12:AB12"/>
    <mergeCell ref="AC12:AC13"/>
    <mergeCell ref="AT14:AV14"/>
    <mergeCell ref="AW14:AX14"/>
    <mergeCell ref="AY14:BA14"/>
    <mergeCell ref="BB14:BC14"/>
    <mergeCell ref="AM12:AN12"/>
    <mergeCell ref="AY12:AY13"/>
    <mergeCell ref="AZ12:BC12"/>
    <mergeCell ref="BD14:BF14"/>
    <mergeCell ref="BG14:BH14"/>
    <mergeCell ref="A15:E17"/>
    <mergeCell ref="AJ15:AL17"/>
    <mergeCell ref="AO15:AQ17"/>
    <mergeCell ref="AT15:AV17"/>
    <mergeCell ref="AY15:BA17"/>
    <mergeCell ref="BD15:BF17"/>
    <mergeCell ref="AO14:AQ14"/>
    <mergeCell ref="AR14:AS14"/>
    <mergeCell ref="A18:A19"/>
    <mergeCell ref="B18:E18"/>
    <mergeCell ref="AY18:AY19"/>
    <mergeCell ref="AZ18:BC18"/>
    <mergeCell ref="BD18:BD19"/>
    <mergeCell ref="BE18:BH18"/>
    <mergeCell ref="AM20:AN20"/>
    <mergeCell ref="AO20:AQ20"/>
    <mergeCell ref="AR20:AS20"/>
    <mergeCell ref="A20:C20"/>
    <mergeCell ref="D20:E20"/>
    <mergeCell ref="F20:H20"/>
    <mergeCell ref="I20:J20"/>
    <mergeCell ref="K20:M20"/>
    <mergeCell ref="N20:O20"/>
    <mergeCell ref="P20:R20"/>
    <mergeCell ref="S20:T20"/>
    <mergeCell ref="U20:W20"/>
    <mergeCell ref="AT20:AV20"/>
    <mergeCell ref="AW20:AX20"/>
    <mergeCell ref="AY20:BA20"/>
    <mergeCell ref="BB20:BC20"/>
    <mergeCell ref="BD20:BF20"/>
    <mergeCell ref="BG20:BH20"/>
    <mergeCell ref="A21:C23"/>
    <mergeCell ref="F21:H23"/>
    <mergeCell ref="K21:M23"/>
    <mergeCell ref="P21:R23"/>
    <mergeCell ref="U21:W23"/>
    <mergeCell ref="Z21:AB23"/>
    <mergeCell ref="AE21:AG23"/>
    <mergeCell ref="AJ21:AL23"/>
    <mergeCell ref="AO21:AQ23"/>
    <mergeCell ref="AT21:AV23"/>
    <mergeCell ref="AY21:BA23"/>
    <mergeCell ref="BD21:BF23"/>
    <mergeCell ref="X20:Y20"/>
    <mergeCell ref="Z20:AB20"/>
    <mergeCell ref="AC20:AD20"/>
    <mergeCell ref="AE20:AG20"/>
    <mergeCell ref="AH20:AI20"/>
    <mergeCell ref="AJ20:AL20"/>
    <mergeCell ref="A24:A25"/>
    <mergeCell ref="B24:E24"/>
    <mergeCell ref="F24:F25"/>
    <mergeCell ref="G24:J24"/>
    <mergeCell ref="K24:K25"/>
    <mergeCell ref="L24:O24"/>
    <mergeCell ref="P24:P25"/>
    <mergeCell ref="Q24:T24"/>
    <mergeCell ref="U24:U25"/>
    <mergeCell ref="V24:Y24"/>
    <mergeCell ref="Z24:Z25"/>
    <mergeCell ref="AA24:AD24"/>
    <mergeCell ref="AE24:AE25"/>
    <mergeCell ref="AF24:AI24"/>
    <mergeCell ref="AJ24:AJ25"/>
    <mergeCell ref="AK24:AN24"/>
    <mergeCell ref="AO24:AO25"/>
    <mergeCell ref="AP24:AS24"/>
    <mergeCell ref="AT24:AT25"/>
    <mergeCell ref="AU24:AX24"/>
    <mergeCell ref="AY24:AY25"/>
    <mergeCell ref="AZ24:BC24"/>
    <mergeCell ref="BD24:BD25"/>
    <mergeCell ref="BE24:BH24"/>
    <mergeCell ref="A26:C26"/>
    <mergeCell ref="D26:E26"/>
    <mergeCell ref="F26:H26"/>
    <mergeCell ref="I26:J26"/>
    <mergeCell ref="K26:M26"/>
    <mergeCell ref="N26:O26"/>
    <mergeCell ref="P26:R26"/>
    <mergeCell ref="S26:T26"/>
    <mergeCell ref="U26:W26"/>
    <mergeCell ref="X26:Y26"/>
    <mergeCell ref="Z26:AB26"/>
    <mergeCell ref="AC26:AD26"/>
    <mergeCell ref="AE26:AG26"/>
    <mergeCell ref="AH26:AI26"/>
    <mergeCell ref="AT26:AV26"/>
    <mergeCell ref="AW26:AX26"/>
    <mergeCell ref="AY26:BA26"/>
    <mergeCell ref="BB26:BC26"/>
    <mergeCell ref="BD26:BF26"/>
    <mergeCell ref="BG26:BH26"/>
    <mergeCell ref="A27:C29"/>
    <mergeCell ref="F27:H29"/>
    <mergeCell ref="K27:M29"/>
    <mergeCell ref="P27:R29"/>
    <mergeCell ref="U27:W29"/>
    <mergeCell ref="Z27:AB29"/>
    <mergeCell ref="AE27:AG29"/>
    <mergeCell ref="AT27:AV29"/>
    <mergeCell ref="AY27:BA29"/>
    <mergeCell ref="BD27:BF29"/>
    <mergeCell ref="A30:A31"/>
    <mergeCell ref="B30:E30"/>
    <mergeCell ref="F30:F31"/>
    <mergeCell ref="G30:J30"/>
    <mergeCell ref="K30:K31"/>
    <mergeCell ref="L30:O30"/>
    <mergeCell ref="P30:P31"/>
    <mergeCell ref="Q30:T30"/>
    <mergeCell ref="U30:U31"/>
    <mergeCell ref="V30:Y30"/>
    <mergeCell ref="Z30:Z31"/>
    <mergeCell ref="AA30:AD30"/>
    <mergeCell ref="AE30:AE31"/>
    <mergeCell ref="AF30:AI30"/>
    <mergeCell ref="AT30:AT31"/>
    <mergeCell ref="AU30:AX30"/>
    <mergeCell ref="AY30:AY31"/>
    <mergeCell ref="AZ30:BC30"/>
    <mergeCell ref="H32:J33"/>
    <mergeCell ref="Q32:V34"/>
    <mergeCell ref="X32:AB36"/>
    <mergeCell ref="AC32:AH36"/>
    <mergeCell ref="AJ32:AN42"/>
    <mergeCell ref="AO32:AS33"/>
    <mergeCell ref="AO41:AW42"/>
    <mergeCell ref="AT32:AW33"/>
    <mergeCell ref="AO34:AU40"/>
    <mergeCell ref="AV34:AW40"/>
    <mergeCell ref="H34:J34"/>
    <mergeCell ref="Q35:V42"/>
    <mergeCell ref="H36:J37"/>
    <mergeCell ref="X37:AB42"/>
    <mergeCell ref="AC37:AH42"/>
    <mergeCell ref="H38:J40"/>
    <mergeCell ref="H41:J42"/>
    <mergeCell ref="AQ70:AS72"/>
    <mergeCell ref="AT70:AW72"/>
    <mergeCell ref="AN67:AP69"/>
    <mergeCell ref="AQ67:AS69"/>
    <mergeCell ref="AT67:AW69"/>
    <mergeCell ref="AO45:AQ47"/>
    <mergeCell ref="AR45:AS47"/>
    <mergeCell ref="AT45:AU47"/>
    <mergeCell ref="AY45:BH47"/>
    <mergeCell ref="AL48:AN51"/>
    <mergeCell ref="AO48:AQ51"/>
    <mergeCell ref="AR48:AS51"/>
    <mergeCell ref="AT48:AU51"/>
    <mergeCell ref="AY48:BH49"/>
    <mergeCell ref="AY50:BH52"/>
    <mergeCell ref="AY59:BH63"/>
    <mergeCell ref="AN61:AP63"/>
    <mergeCell ref="AQ61:AS63"/>
    <mergeCell ref="AT61:AW63"/>
    <mergeCell ref="AN64:AP66"/>
    <mergeCell ref="AQ64:AS66"/>
    <mergeCell ref="AT64:AW66"/>
    <mergeCell ref="BD30:BD31"/>
    <mergeCell ref="AD45:AH51"/>
    <mergeCell ref="AL45:AN47"/>
    <mergeCell ref="AY53:BH54"/>
    <mergeCell ref="AN55:AP57"/>
    <mergeCell ref="AQ55:AS57"/>
    <mergeCell ref="AT55:AW57"/>
    <mergeCell ref="AY55:BH58"/>
    <mergeCell ref="AN58:AP60"/>
    <mergeCell ref="AQ58:AS60"/>
    <mergeCell ref="AT58:AW60"/>
    <mergeCell ref="BE30:BH30"/>
  </mergeCells>
  <pageMargins left="0.21" right="0" top="0.5" bottom="0" header="0.3" footer="0.3"/>
  <pageSetup scale="44" orientation="landscape" r:id="rId1"/>
  <colBreaks count="1" manualBreakCount="1">
    <brk id="60" max="50" man="1"/>
  </colBreaks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B1EC4-3088-4CC9-9446-A7414837A715}">
  <sheetPr>
    <pageSetUpPr fitToPage="1"/>
  </sheetPr>
  <dimension ref="A1:DH195"/>
  <sheetViews>
    <sheetView view="pageBreakPreview" topLeftCell="B12" zoomScale="40" zoomScaleNormal="115" zoomScaleSheetLayoutView="40" workbookViewId="0">
      <selection activeCell="O31" sqref="O31:R31"/>
    </sheetView>
  </sheetViews>
  <sheetFormatPr defaultRowHeight="15" x14ac:dyDescent="0.25"/>
  <cols>
    <col min="1" max="1" width="4" customWidth="1"/>
    <col min="2" max="2" width="13.5703125" customWidth="1"/>
    <col min="3" max="5" width="6.28515625" customWidth="1"/>
    <col min="6" max="6" width="4.140625" customWidth="1"/>
    <col min="7" max="7" width="13.5703125" customWidth="1"/>
    <col min="8" max="10" width="6.28515625" customWidth="1"/>
    <col min="11" max="11" width="4.140625" customWidth="1"/>
    <col min="12" max="12" width="13.5703125" customWidth="1"/>
    <col min="13" max="15" width="6.28515625" customWidth="1"/>
    <col min="16" max="16" width="4.140625" customWidth="1"/>
    <col min="17" max="17" width="13.5703125" customWidth="1"/>
    <col min="18" max="20" width="6.28515625" customWidth="1"/>
    <col min="21" max="21" width="4.140625" customWidth="1"/>
    <col min="22" max="22" width="13.5703125" customWidth="1"/>
    <col min="23" max="25" width="6.28515625" customWidth="1"/>
    <col min="26" max="26" width="4.140625" customWidth="1"/>
    <col min="27" max="27" width="13.5703125" customWidth="1"/>
    <col min="28" max="30" width="6.28515625" customWidth="1"/>
    <col min="31" max="31" width="4.140625" customWidth="1"/>
    <col min="32" max="32" width="13.5703125" customWidth="1"/>
    <col min="33" max="35" width="6.28515625" customWidth="1"/>
    <col min="36" max="36" width="4.140625" customWidth="1"/>
    <col min="37" max="37" width="13.5703125" customWidth="1"/>
    <col min="38" max="40" width="6.28515625" customWidth="1"/>
    <col min="41" max="41" width="4.140625" customWidth="1"/>
    <col min="42" max="42" width="13.5703125" customWidth="1"/>
    <col min="43" max="45" width="6.28515625" customWidth="1"/>
    <col min="46" max="46" width="4.140625" customWidth="1"/>
    <col min="47" max="47" width="13.5703125" customWidth="1"/>
    <col min="48" max="50" width="6.28515625" customWidth="1"/>
    <col min="51" max="51" width="4.140625" customWidth="1"/>
    <col min="52" max="52" width="13.5703125" customWidth="1"/>
    <col min="53" max="55" width="6.28515625" customWidth="1"/>
    <col min="56" max="56" width="4.140625" customWidth="1"/>
    <col min="57" max="57" width="13.5703125" customWidth="1"/>
    <col min="58" max="60" width="6.28515625" customWidth="1"/>
    <col min="61" max="61" width="4.140625" customWidth="1"/>
    <col min="62" max="62" width="13.5703125" customWidth="1"/>
    <col min="63" max="65" width="6.28515625" customWidth="1"/>
    <col min="66" max="66" width="4.140625" customWidth="1"/>
    <col min="67" max="67" width="13.5703125" customWidth="1"/>
    <col min="68" max="70" width="6.28515625" customWidth="1"/>
    <col min="71" max="71" width="1" customWidth="1"/>
    <col min="72" max="72" width="56.7109375" customWidth="1"/>
    <col min="73" max="73" width="13" customWidth="1"/>
    <col min="74" max="74" width="7" customWidth="1"/>
  </cols>
  <sheetData>
    <row r="1" spans="1:83" ht="142.5" customHeight="1" thickBot="1" x14ac:dyDescent="0.3"/>
    <row r="2" spans="1:83" ht="22.5" customHeight="1" thickTop="1" x14ac:dyDescent="0.25">
      <c r="A2" s="1900" t="s">
        <v>110</v>
      </c>
      <c r="B2" s="1901"/>
      <c r="C2" s="1904">
        <f>B7/((36*3.1415/59)*(177.5/3.281))</f>
        <v>1.9575657492446144E-3</v>
      </c>
      <c r="D2" s="1904"/>
      <c r="E2" s="1905"/>
      <c r="F2" s="1900" t="s">
        <v>110</v>
      </c>
      <c r="G2" s="1901"/>
      <c r="H2" s="1904">
        <f t="shared" ref="H2" si="0">G7/((36*3.1415/59)*(177.5/3.281))</f>
        <v>8.327851138165759E-3</v>
      </c>
      <c r="I2" s="1904"/>
      <c r="J2" s="1905"/>
      <c r="K2" s="1900" t="s">
        <v>110</v>
      </c>
      <c r="L2" s="1901"/>
      <c r="M2" s="1904">
        <f t="shared" ref="M2" si="1">L7/((36*3.1415/59)*(177.5/3.281))</f>
        <v>4.8987359636269165E-3</v>
      </c>
      <c r="N2" s="1904"/>
      <c r="O2" s="1905"/>
      <c r="P2" s="1900" t="s">
        <v>110</v>
      </c>
      <c r="Q2" s="1901"/>
      <c r="R2" s="1904">
        <f t="shared" ref="R2" si="2">Q7/((36*3.1415/59)*(177.5/3.281))</f>
        <v>1.9594943854507668E-3</v>
      </c>
      <c r="S2" s="1904"/>
      <c r="T2" s="1905"/>
      <c r="U2" s="1900" t="s">
        <v>110</v>
      </c>
      <c r="V2" s="1901"/>
      <c r="W2" s="1904">
        <f t="shared" ref="W2" si="3">V7/((36*3.1415/59)*(177.5/3.281))</f>
        <v>4.4088623672642255E-3</v>
      </c>
      <c r="X2" s="1904"/>
      <c r="Y2" s="1905"/>
      <c r="Z2" s="1900" t="s">
        <v>110</v>
      </c>
      <c r="AA2" s="1901"/>
      <c r="AB2" s="1904">
        <f t="shared" ref="AB2" si="4">AA7/((36*3.1415/59)*(177.5/3.281))</f>
        <v>2.4493679818134583E-3</v>
      </c>
      <c r="AC2" s="1904"/>
      <c r="AD2" s="1905"/>
      <c r="AE2" s="1900" t="s">
        <v>110</v>
      </c>
      <c r="AF2" s="1901"/>
      <c r="AG2" s="1904">
        <f t="shared" ref="AG2" si="5">AF7/((36*3.1415/59)*(177.5/3.281))</f>
        <v>5.8784831563523003E-3</v>
      </c>
      <c r="AH2" s="1904"/>
      <c r="AI2" s="1905"/>
      <c r="AJ2" s="1900" t="s">
        <v>110</v>
      </c>
      <c r="AK2" s="1901"/>
      <c r="AL2" s="1904">
        <f t="shared" ref="AL2" si="6">AK7/((36*3.1415/59)*(177.5/3.281))</f>
        <v>3.4291151745388421E-3</v>
      </c>
      <c r="AM2" s="1904"/>
      <c r="AN2" s="1905"/>
      <c r="AO2" s="1900" t="s">
        <v>110</v>
      </c>
      <c r="AP2" s="1901"/>
      <c r="AQ2" s="1904">
        <f t="shared" ref="AQ2" si="7">AP7/((36*3.1415/59)*(177.5/3.281))</f>
        <v>9.6431810307616477E-12</v>
      </c>
      <c r="AR2" s="1904"/>
      <c r="AS2" s="1905"/>
      <c r="AT2" s="1900" t="s">
        <v>110</v>
      </c>
      <c r="AU2" s="1901"/>
      <c r="AV2" s="1904">
        <f t="shared" ref="AV2" si="8">AU7/((36*3.1415/59)*(177.5/3.281))</f>
        <v>9.643181030761647E-11</v>
      </c>
      <c r="AW2" s="1904"/>
      <c r="AX2" s="1905"/>
      <c r="AY2" s="1900" t="s">
        <v>110</v>
      </c>
      <c r="AZ2" s="1901"/>
      <c r="BA2" s="1904">
        <f t="shared" ref="BA2" si="9">AZ7/((36*3.1415/59)*(177.5/3.281))</f>
        <v>1.1756966312704601E-2</v>
      </c>
      <c r="BB2" s="1904"/>
      <c r="BC2" s="1905"/>
      <c r="BD2" s="1900" t="s">
        <v>110</v>
      </c>
      <c r="BE2" s="1901"/>
      <c r="BF2" s="1904">
        <f t="shared" ref="BF2" si="10">BE7/((36*3.1415/59)*(177.5/3.281))</f>
        <v>1.1267092716341909E-2</v>
      </c>
      <c r="BG2" s="1904"/>
      <c r="BH2" s="1905"/>
      <c r="BI2" s="1900" t="s">
        <v>110</v>
      </c>
      <c r="BJ2" s="1901"/>
      <c r="BK2" s="1904">
        <f t="shared" ref="BK2" si="11">BJ7/((36*3.1415/59)*(177.5/3.281))</f>
        <v>6.8582303490776842E-3</v>
      </c>
      <c r="BL2" s="1904"/>
      <c r="BM2" s="1905"/>
      <c r="BN2" s="1900" t="s">
        <v>110</v>
      </c>
      <c r="BO2" s="1901"/>
      <c r="BP2" s="1904">
        <f t="shared" ref="BP2" si="12">BO7/((36*3.1415/59)*(177.5/3.281))</f>
        <v>2.9392415781761501E-2</v>
      </c>
      <c r="BQ2" s="1904"/>
      <c r="BR2" s="1905"/>
    </row>
    <row r="3" spans="1:83" ht="22.5" customHeight="1" x14ac:dyDescent="0.25">
      <c r="A3" s="1902"/>
      <c r="B3" s="1903"/>
      <c r="C3" s="1906"/>
      <c r="D3" s="1906"/>
      <c r="E3" s="1907"/>
      <c r="F3" s="1902"/>
      <c r="G3" s="1903"/>
      <c r="H3" s="1906"/>
      <c r="I3" s="1906"/>
      <c r="J3" s="1907"/>
      <c r="K3" s="1902"/>
      <c r="L3" s="1903"/>
      <c r="M3" s="1906"/>
      <c r="N3" s="1906"/>
      <c r="O3" s="1907"/>
      <c r="P3" s="1902"/>
      <c r="Q3" s="1903"/>
      <c r="R3" s="1906"/>
      <c r="S3" s="1906"/>
      <c r="T3" s="1907"/>
      <c r="U3" s="1902"/>
      <c r="V3" s="1903"/>
      <c r="W3" s="1906"/>
      <c r="X3" s="1906"/>
      <c r="Y3" s="1907"/>
      <c r="Z3" s="1902"/>
      <c r="AA3" s="1903"/>
      <c r="AB3" s="1906"/>
      <c r="AC3" s="1906"/>
      <c r="AD3" s="1907"/>
      <c r="AE3" s="1902"/>
      <c r="AF3" s="1903"/>
      <c r="AG3" s="1906"/>
      <c r="AH3" s="1906"/>
      <c r="AI3" s="1907"/>
      <c r="AJ3" s="1902"/>
      <c r="AK3" s="1903"/>
      <c r="AL3" s="1906"/>
      <c r="AM3" s="1906"/>
      <c r="AN3" s="1907"/>
      <c r="AO3" s="1902"/>
      <c r="AP3" s="1903"/>
      <c r="AQ3" s="1906"/>
      <c r="AR3" s="1906"/>
      <c r="AS3" s="1907"/>
      <c r="AT3" s="1902"/>
      <c r="AU3" s="1903"/>
      <c r="AV3" s="1906"/>
      <c r="AW3" s="1906"/>
      <c r="AX3" s="1907"/>
      <c r="AY3" s="1902"/>
      <c r="AZ3" s="1903"/>
      <c r="BA3" s="1906"/>
      <c r="BB3" s="1906"/>
      <c r="BC3" s="1907"/>
      <c r="BD3" s="1902"/>
      <c r="BE3" s="1903"/>
      <c r="BF3" s="1906"/>
      <c r="BG3" s="1906"/>
      <c r="BH3" s="1907"/>
      <c r="BI3" s="1902"/>
      <c r="BJ3" s="1903"/>
      <c r="BK3" s="1906"/>
      <c r="BL3" s="1906"/>
      <c r="BM3" s="1907"/>
      <c r="BN3" s="1902"/>
      <c r="BO3" s="1903"/>
      <c r="BP3" s="1906"/>
      <c r="BQ3" s="1906"/>
      <c r="BR3" s="1907"/>
    </row>
    <row r="4" spans="1:83" ht="33" customHeight="1" x14ac:dyDescent="0.25">
      <c r="A4" s="1791" t="s">
        <v>514</v>
      </c>
      <c r="B4" s="1792"/>
      <c r="C4" s="1792"/>
      <c r="D4" s="1792"/>
      <c r="E4" s="1793"/>
      <c r="F4" s="1791" t="s">
        <v>514</v>
      </c>
      <c r="G4" s="1792"/>
      <c r="H4" s="1792"/>
      <c r="I4" s="1792"/>
      <c r="J4" s="1793"/>
      <c r="K4" s="1791" t="s">
        <v>514</v>
      </c>
      <c r="L4" s="1792"/>
      <c r="M4" s="1792"/>
      <c r="N4" s="1792"/>
      <c r="O4" s="1793"/>
      <c r="P4" s="1791" t="s">
        <v>514</v>
      </c>
      <c r="Q4" s="1792"/>
      <c r="R4" s="1792"/>
      <c r="S4" s="1792"/>
      <c r="T4" s="1793"/>
      <c r="U4" s="1791" t="s">
        <v>514</v>
      </c>
      <c r="V4" s="1792"/>
      <c r="W4" s="1792"/>
      <c r="X4" s="1792"/>
      <c r="Y4" s="1793"/>
      <c r="Z4" s="1791" t="s">
        <v>514</v>
      </c>
      <c r="AA4" s="1792"/>
      <c r="AB4" s="1792"/>
      <c r="AC4" s="1792"/>
      <c r="AD4" s="1793"/>
      <c r="AE4" s="1791" t="s">
        <v>514</v>
      </c>
      <c r="AF4" s="1792"/>
      <c r="AG4" s="1792"/>
      <c r="AH4" s="1792"/>
      <c r="AI4" s="1793"/>
      <c r="AJ4" s="1791" t="s">
        <v>514</v>
      </c>
      <c r="AK4" s="1792"/>
      <c r="AL4" s="1792"/>
      <c r="AM4" s="1792"/>
      <c r="AN4" s="1793"/>
      <c r="AO4" s="1791" t="s">
        <v>514</v>
      </c>
      <c r="AP4" s="1792"/>
      <c r="AQ4" s="1792"/>
      <c r="AR4" s="1792"/>
      <c r="AS4" s="1793"/>
      <c r="AT4" s="1791" t="s">
        <v>514</v>
      </c>
      <c r="AU4" s="1792"/>
      <c r="AV4" s="1792"/>
      <c r="AW4" s="1792"/>
      <c r="AX4" s="1793"/>
      <c r="AY4" s="1791" t="s">
        <v>514</v>
      </c>
      <c r="AZ4" s="1792"/>
      <c r="BA4" s="1792"/>
      <c r="BB4" s="1792"/>
      <c r="BC4" s="1793"/>
      <c r="BD4" s="1791" t="s">
        <v>514</v>
      </c>
      <c r="BE4" s="1792"/>
      <c r="BF4" s="1792"/>
      <c r="BG4" s="1792"/>
      <c r="BH4" s="1793"/>
      <c r="BI4" s="1791" t="s">
        <v>514</v>
      </c>
      <c r="BJ4" s="1792"/>
      <c r="BK4" s="1792"/>
      <c r="BL4" s="1792"/>
      <c r="BM4" s="1793"/>
      <c r="BN4" s="1791" t="s">
        <v>514</v>
      </c>
      <c r="BO4" s="1792"/>
      <c r="BP4" s="1792"/>
      <c r="BQ4" s="1792"/>
      <c r="BR4" s="1793"/>
    </row>
    <row r="5" spans="1:83" ht="33" customHeight="1" x14ac:dyDescent="0.25">
      <c r="A5" s="1794"/>
      <c r="B5" s="1795"/>
      <c r="C5" s="1795"/>
      <c r="D5" s="1795"/>
      <c r="E5" s="1796"/>
      <c r="F5" s="1794"/>
      <c r="G5" s="1795"/>
      <c r="H5" s="1795"/>
      <c r="I5" s="1795"/>
      <c r="J5" s="1796"/>
      <c r="K5" s="1794"/>
      <c r="L5" s="1795"/>
      <c r="M5" s="1795"/>
      <c r="N5" s="1795"/>
      <c r="O5" s="1796"/>
      <c r="P5" s="1794"/>
      <c r="Q5" s="1795"/>
      <c r="R5" s="1795"/>
      <c r="S5" s="1795"/>
      <c r="T5" s="1796"/>
      <c r="U5" s="1794"/>
      <c r="V5" s="1795"/>
      <c r="W5" s="1795"/>
      <c r="X5" s="1795"/>
      <c r="Y5" s="1796"/>
      <c r="Z5" s="1794"/>
      <c r="AA5" s="1795"/>
      <c r="AB5" s="1795"/>
      <c r="AC5" s="1795"/>
      <c r="AD5" s="1796"/>
      <c r="AE5" s="1794"/>
      <c r="AF5" s="1795"/>
      <c r="AG5" s="1795"/>
      <c r="AH5" s="1795"/>
      <c r="AI5" s="1796"/>
      <c r="AJ5" s="1794"/>
      <c r="AK5" s="1795"/>
      <c r="AL5" s="1795"/>
      <c r="AM5" s="1795"/>
      <c r="AN5" s="1796"/>
      <c r="AO5" s="1794"/>
      <c r="AP5" s="1795"/>
      <c r="AQ5" s="1795"/>
      <c r="AR5" s="1795"/>
      <c r="AS5" s="1796"/>
      <c r="AT5" s="1794"/>
      <c r="AU5" s="1795"/>
      <c r="AV5" s="1795"/>
      <c r="AW5" s="1795"/>
      <c r="AX5" s="1796"/>
      <c r="AY5" s="1794"/>
      <c r="AZ5" s="1795"/>
      <c r="BA5" s="1795"/>
      <c r="BB5" s="1795"/>
      <c r="BC5" s="1796"/>
      <c r="BD5" s="1794"/>
      <c r="BE5" s="1795"/>
      <c r="BF5" s="1795"/>
      <c r="BG5" s="1795"/>
      <c r="BH5" s="1796"/>
      <c r="BI5" s="1794"/>
      <c r="BJ5" s="1795"/>
      <c r="BK5" s="1795"/>
      <c r="BL5" s="1795"/>
      <c r="BM5" s="1796"/>
      <c r="BN5" s="1794"/>
      <c r="BO5" s="1795"/>
      <c r="BP5" s="1795"/>
      <c r="BQ5" s="1795"/>
      <c r="BR5" s="1796"/>
    </row>
    <row r="6" spans="1:83" s="22" customFormat="1" ht="84.95" customHeight="1" x14ac:dyDescent="1.35">
      <c r="A6" s="1898" t="s">
        <v>506</v>
      </c>
      <c r="B6" s="588">
        <v>3</v>
      </c>
      <c r="C6" s="589"/>
      <c r="D6" s="589"/>
      <c r="E6" s="590"/>
      <c r="F6" s="1898" t="s">
        <v>506</v>
      </c>
      <c r="G6" s="588">
        <v>22</v>
      </c>
      <c r="H6" s="589"/>
      <c r="I6" s="589"/>
      <c r="J6" s="590"/>
      <c r="K6" s="1898" t="s">
        <v>506</v>
      </c>
      <c r="L6" s="588">
        <v>23</v>
      </c>
      <c r="M6" s="589"/>
      <c r="N6" s="589"/>
      <c r="O6" s="590"/>
      <c r="P6" s="1898" t="s">
        <v>506</v>
      </c>
      <c r="Q6" s="588">
        <v>24</v>
      </c>
      <c r="R6" s="589"/>
      <c r="S6" s="589"/>
      <c r="T6" s="590"/>
      <c r="U6" s="1898" t="s">
        <v>506</v>
      </c>
      <c r="V6" s="588">
        <v>25</v>
      </c>
      <c r="W6" s="589"/>
      <c r="X6" s="589"/>
      <c r="Y6" s="590"/>
      <c r="Z6" s="1898" t="s">
        <v>506</v>
      </c>
      <c r="AA6" s="588">
        <v>26</v>
      </c>
      <c r="AB6" s="589"/>
      <c r="AC6" s="589"/>
      <c r="AD6" s="590"/>
      <c r="AE6" s="1898" t="s">
        <v>506</v>
      </c>
      <c r="AF6" s="588">
        <v>27</v>
      </c>
      <c r="AG6" s="589"/>
      <c r="AH6" s="589"/>
      <c r="AI6" s="590"/>
      <c r="AJ6" s="1898" t="s">
        <v>506</v>
      </c>
      <c r="AK6" s="588">
        <v>28</v>
      </c>
      <c r="AL6" s="589"/>
      <c r="AM6" s="589"/>
      <c r="AN6" s="590"/>
      <c r="AO6" s="1898" t="s">
        <v>506</v>
      </c>
      <c r="AP6" s="588">
        <v>29</v>
      </c>
      <c r="AQ6" s="589"/>
      <c r="AR6" s="589"/>
      <c r="AS6" s="590"/>
      <c r="AT6" s="1898" t="s">
        <v>506</v>
      </c>
      <c r="AU6" s="588">
        <v>30</v>
      </c>
      <c r="AV6" s="589"/>
      <c r="AW6" s="589"/>
      <c r="AX6" s="590"/>
      <c r="AY6" s="1898" t="s">
        <v>506</v>
      </c>
      <c r="AZ6" s="588">
        <v>31</v>
      </c>
      <c r="BA6" s="589"/>
      <c r="BB6" s="589"/>
      <c r="BC6" s="590"/>
      <c r="BD6" s="1898" t="s">
        <v>506</v>
      </c>
      <c r="BE6" s="588">
        <v>32</v>
      </c>
      <c r="BF6" s="589"/>
      <c r="BG6" s="589"/>
      <c r="BH6" s="590"/>
      <c r="BI6" s="1898" t="s">
        <v>506</v>
      </c>
      <c r="BJ6" s="588">
        <v>33</v>
      </c>
      <c r="BK6" s="589"/>
      <c r="BL6" s="589"/>
      <c r="BM6" s="590"/>
      <c r="BN6" s="1898" t="s">
        <v>506</v>
      </c>
      <c r="BO6" s="588">
        <v>34</v>
      </c>
      <c r="BP6" s="589"/>
      <c r="BQ6" s="589"/>
      <c r="BR6" s="590"/>
    </row>
    <row r="7" spans="1:83" ht="37.5" customHeight="1" thickBot="1" x14ac:dyDescent="0.3">
      <c r="A7" s="1899"/>
      <c r="B7" s="61">
        <v>0.20300000000000001</v>
      </c>
      <c r="C7" s="62" t="s">
        <v>113</v>
      </c>
      <c r="D7" s="63">
        <v>1</v>
      </c>
      <c r="E7" s="64" t="s">
        <v>114</v>
      </c>
      <c r="F7" s="1899"/>
      <c r="G7" s="61">
        <v>0.86360000000000003</v>
      </c>
      <c r="H7" s="62" t="s">
        <v>113</v>
      </c>
      <c r="I7" s="63"/>
      <c r="J7" s="64" t="s">
        <v>114</v>
      </c>
      <c r="K7" s="1899"/>
      <c r="L7" s="61">
        <v>0.50800000000000001</v>
      </c>
      <c r="M7" s="62" t="s">
        <v>113</v>
      </c>
      <c r="N7" s="63">
        <v>1</v>
      </c>
      <c r="O7" s="64" t="s">
        <v>114</v>
      </c>
      <c r="P7" s="1899"/>
      <c r="Q7" s="61">
        <v>0.20319999999999999</v>
      </c>
      <c r="R7" s="62" t="s">
        <v>113</v>
      </c>
      <c r="S7" s="63">
        <v>1</v>
      </c>
      <c r="T7" s="64" t="s">
        <v>114</v>
      </c>
      <c r="U7" s="1899"/>
      <c r="V7" s="61">
        <v>0.4572</v>
      </c>
      <c r="W7" s="62" t="s">
        <v>113</v>
      </c>
      <c r="X7" s="63">
        <v>1</v>
      </c>
      <c r="Y7" s="64" t="s">
        <v>114</v>
      </c>
      <c r="Z7" s="1899"/>
      <c r="AA7" s="61">
        <v>0.254</v>
      </c>
      <c r="AB7" s="62" t="s">
        <v>113</v>
      </c>
      <c r="AC7" s="63">
        <v>1</v>
      </c>
      <c r="AD7" s="64" t="s">
        <v>114</v>
      </c>
      <c r="AE7" s="1899"/>
      <c r="AF7" s="61">
        <v>0.60960000000000003</v>
      </c>
      <c r="AG7" s="62" t="s">
        <v>113</v>
      </c>
      <c r="AH7" s="63">
        <v>1</v>
      </c>
      <c r="AI7" s="64" t="s">
        <v>114</v>
      </c>
      <c r="AJ7" s="1899"/>
      <c r="AK7" s="61">
        <v>0.35560000000000003</v>
      </c>
      <c r="AL7" s="62" t="s">
        <v>113</v>
      </c>
      <c r="AM7" s="63">
        <v>1</v>
      </c>
      <c r="AN7" s="64" t="s">
        <v>114</v>
      </c>
      <c r="AO7" s="1899"/>
      <c r="AP7" s="61">
        <v>1.0000000000000001E-9</v>
      </c>
      <c r="AQ7" s="62" t="s">
        <v>113</v>
      </c>
      <c r="AR7" s="63"/>
      <c r="AS7" s="64" t="s">
        <v>114</v>
      </c>
      <c r="AT7" s="1899"/>
      <c r="AU7" s="61">
        <v>1E-8</v>
      </c>
      <c r="AV7" s="62" t="s">
        <v>113</v>
      </c>
      <c r="AW7" s="63">
        <v>1</v>
      </c>
      <c r="AX7" s="64" t="s">
        <v>114</v>
      </c>
      <c r="AY7" s="1899"/>
      <c r="AZ7" s="61">
        <v>1.2192000000000001</v>
      </c>
      <c r="BA7" s="62" t="s">
        <v>113</v>
      </c>
      <c r="BB7" s="63">
        <v>1</v>
      </c>
      <c r="BC7" s="64" t="s">
        <v>114</v>
      </c>
      <c r="BD7" s="1899"/>
      <c r="BE7" s="61">
        <v>1.1684000000000001</v>
      </c>
      <c r="BF7" s="62" t="s">
        <v>113</v>
      </c>
      <c r="BG7" s="63">
        <v>1</v>
      </c>
      <c r="BH7" s="64" t="s">
        <v>114</v>
      </c>
      <c r="BI7" s="1899"/>
      <c r="BJ7" s="61">
        <v>0.71120000000000005</v>
      </c>
      <c r="BK7" s="62" t="s">
        <v>113</v>
      </c>
      <c r="BL7" s="63">
        <v>1</v>
      </c>
      <c r="BM7" s="64" t="s">
        <v>114</v>
      </c>
      <c r="BN7" s="1899"/>
      <c r="BO7" s="61">
        <v>3.048</v>
      </c>
      <c r="BP7" s="62" t="s">
        <v>113</v>
      </c>
      <c r="BQ7" s="63">
        <v>1</v>
      </c>
      <c r="BR7" s="64" t="s">
        <v>114</v>
      </c>
      <c r="BW7" s="27"/>
      <c r="BX7" s="27"/>
      <c r="BY7" s="27"/>
      <c r="BZ7" s="27"/>
      <c r="CA7" s="27"/>
      <c r="CB7" s="27"/>
      <c r="CC7" s="27"/>
      <c r="CD7" s="27"/>
      <c r="CE7" s="27"/>
    </row>
    <row r="8" spans="1:83" ht="22.5" customHeight="1" thickTop="1" x14ac:dyDescent="0.25">
      <c r="A8" s="1900" t="s">
        <v>110</v>
      </c>
      <c r="B8" s="1901"/>
      <c r="C8" s="1904">
        <f t="shared" ref="C8" si="13">B13/((36*3.1415/59)*(177.5/3.281))</f>
        <v>3.9679761305378022E-2</v>
      </c>
      <c r="D8" s="1904"/>
      <c r="E8" s="1905"/>
      <c r="F8" s="1900" t="s">
        <v>110</v>
      </c>
      <c r="G8" s="1901"/>
      <c r="H8" s="1904">
        <f t="shared" ref="H8" si="14">G13/((36*3.1415/59)*(177.5/3.281))</f>
        <v>1.7390512670875553E-2</v>
      </c>
      <c r="I8" s="1904"/>
      <c r="J8" s="1905"/>
      <c r="K8" s="1900" t="s">
        <v>110</v>
      </c>
      <c r="L8" s="1901"/>
      <c r="M8" s="1904">
        <f t="shared" ref="M8" si="15">L13/((36*3.1415/59)*(177.5/3.281))</f>
        <v>6.1234199545336463E-3</v>
      </c>
      <c r="N8" s="1904"/>
      <c r="O8" s="1905"/>
      <c r="P8" s="1900" t="s">
        <v>110</v>
      </c>
      <c r="Q8" s="1901"/>
      <c r="R8" s="1904">
        <f t="shared" ref="R8" si="16">Q13/((36*3.1415/59)*(177.5/3.281))</f>
        <v>8.1311302451382211E-2</v>
      </c>
      <c r="S8" s="1904"/>
      <c r="T8" s="1905"/>
      <c r="U8" s="1900" t="s">
        <v>110</v>
      </c>
      <c r="V8" s="1901"/>
      <c r="W8" s="1904">
        <f t="shared" ref="W8" si="17">V13/((36*3.1415/59)*(177.5/3.281))</f>
        <v>2.0077102906045748E-2</v>
      </c>
      <c r="X8" s="1904"/>
      <c r="Y8" s="1905"/>
      <c r="Z8" s="1900" t="s">
        <v>110</v>
      </c>
      <c r="AA8" s="1901"/>
      <c r="AB8" s="1904">
        <f t="shared" ref="AB8" si="18">AA13/((36*3.1415/59)*(177.5/3.281))</f>
        <v>1.4204405658311907E-2</v>
      </c>
      <c r="AC8" s="1904"/>
      <c r="AD8" s="1905"/>
      <c r="AE8" s="1900" t="s">
        <v>110</v>
      </c>
      <c r="AF8" s="1901"/>
      <c r="AG8" s="1904">
        <f t="shared" ref="AG8" si="19">AF13/((36*3.1415/59)*(177.5/3.281))</f>
        <v>6.1234199545336463E-3</v>
      </c>
      <c r="AH8" s="1904"/>
      <c r="AI8" s="1905"/>
      <c r="AJ8" s="1900" t="s">
        <v>110</v>
      </c>
      <c r="AK8" s="1901"/>
      <c r="AL8" s="1904">
        <f t="shared" ref="AL8" si="20">AK13/((36*3.1415/59)*(177.5/3.281))</f>
        <v>1.9575657492446144E-3</v>
      </c>
      <c r="AM8" s="1904"/>
      <c r="AN8" s="1905"/>
      <c r="AO8" s="1900" t="s">
        <v>110</v>
      </c>
      <c r="AP8" s="1901"/>
      <c r="AQ8" s="1904">
        <f t="shared" ref="AQ8" si="21">AP13/((36*3.1415/59)*(177.5/3.281))</f>
        <v>8.8138674621161452E-3</v>
      </c>
      <c r="AR8" s="1904"/>
      <c r="AS8" s="1905"/>
      <c r="AT8" s="1900" t="s">
        <v>110</v>
      </c>
      <c r="AU8" s="1901"/>
      <c r="AV8" s="1904">
        <f t="shared" ref="AV8" si="22">AU13/((36*3.1415/59)*(177.5/3.281))</f>
        <v>9.3056696946849891E-3</v>
      </c>
      <c r="AW8" s="1904"/>
      <c r="AX8" s="1905"/>
      <c r="AY8" s="1900" t="s">
        <v>110</v>
      </c>
      <c r="AZ8" s="1901"/>
      <c r="BA8" s="1904">
        <f t="shared" ref="BA8" si="23">AZ13/((36*3.1415/59)*(177.5/3.281))</f>
        <v>5.1398154893959585E-3</v>
      </c>
      <c r="BB8" s="1904"/>
      <c r="BC8" s="1905"/>
      <c r="BD8" s="1900" t="s">
        <v>110</v>
      </c>
      <c r="BE8" s="1901"/>
      <c r="BF8" s="1904">
        <f t="shared" ref="BF8" si="24">BE13/((36*3.1415/59)*(177.5/3.281))</f>
        <v>9.797471927253833E-3</v>
      </c>
      <c r="BG8" s="1904"/>
      <c r="BH8" s="1905"/>
      <c r="BI8" s="1900" t="s">
        <v>110</v>
      </c>
      <c r="BJ8" s="1901"/>
      <c r="BK8" s="1904">
        <f t="shared" ref="BK8" si="25">BJ13/((36*3.1415/59)*(177.5/3.281))</f>
        <v>1.0771433211360759E-2</v>
      </c>
      <c r="BL8" s="1904"/>
      <c r="BM8" s="1905"/>
      <c r="BN8" s="1900" t="s">
        <v>110</v>
      </c>
      <c r="BO8" s="1901"/>
      <c r="BP8" s="1904">
        <f t="shared" ref="BP8" si="26">BO13/((36*3.1415/59)*(177.5/3.281))</f>
        <v>4.4069337310580726E-3</v>
      </c>
      <c r="BQ8" s="1904"/>
      <c r="BR8" s="1905"/>
    </row>
    <row r="9" spans="1:83" ht="22.5" customHeight="1" x14ac:dyDescent="0.25">
      <c r="A9" s="1902"/>
      <c r="B9" s="1903"/>
      <c r="C9" s="1906"/>
      <c r="D9" s="1906"/>
      <c r="E9" s="1907"/>
      <c r="F9" s="1902"/>
      <c r="G9" s="1903"/>
      <c r="H9" s="1906"/>
      <c r="I9" s="1906"/>
      <c r="J9" s="1907"/>
      <c r="K9" s="1902"/>
      <c r="L9" s="1903"/>
      <c r="M9" s="1906"/>
      <c r="N9" s="1906"/>
      <c r="O9" s="1907"/>
      <c r="P9" s="1902"/>
      <c r="Q9" s="1903"/>
      <c r="R9" s="1906"/>
      <c r="S9" s="1906"/>
      <c r="T9" s="1907"/>
      <c r="U9" s="1902"/>
      <c r="V9" s="1903"/>
      <c r="W9" s="1906"/>
      <c r="X9" s="1906"/>
      <c r="Y9" s="1907"/>
      <c r="Z9" s="1902"/>
      <c r="AA9" s="1903"/>
      <c r="AB9" s="1906"/>
      <c r="AC9" s="1906"/>
      <c r="AD9" s="1907"/>
      <c r="AE9" s="1902"/>
      <c r="AF9" s="1903"/>
      <c r="AG9" s="1906"/>
      <c r="AH9" s="1906"/>
      <c r="AI9" s="1907"/>
      <c r="AJ9" s="1902"/>
      <c r="AK9" s="1903"/>
      <c r="AL9" s="1906"/>
      <c r="AM9" s="1906"/>
      <c r="AN9" s="1907"/>
      <c r="AO9" s="1902"/>
      <c r="AP9" s="1903"/>
      <c r="AQ9" s="1906"/>
      <c r="AR9" s="1906"/>
      <c r="AS9" s="1907"/>
      <c r="AT9" s="1902"/>
      <c r="AU9" s="1903"/>
      <c r="AV9" s="1906"/>
      <c r="AW9" s="1906"/>
      <c r="AX9" s="1907"/>
      <c r="AY9" s="1902"/>
      <c r="AZ9" s="1903"/>
      <c r="BA9" s="1906"/>
      <c r="BB9" s="1906"/>
      <c r="BC9" s="1907"/>
      <c r="BD9" s="1902"/>
      <c r="BE9" s="1903"/>
      <c r="BF9" s="1906"/>
      <c r="BG9" s="1906"/>
      <c r="BH9" s="1907"/>
      <c r="BI9" s="1902"/>
      <c r="BJ9" s="1903"/>
      <c r="BK9" s="1906"/>
      <c r="BL9" s="1906"/>
      <c r="BM9" s="1907"/>
      <c r="BN9" s="1902"/>
      <c r="BO9" s="1903"/>
      <c r="BP9" s="1906"/>
      <c r="BQ9" s="1906"/>
      <c r="BR9" s="1907"/>
    </row>
    <row r="10" spans="1:83" ht="33" customHeight="1" x14ac:dyDescent="0.25">
      <c r="A10" s="1791" t="s">
        <v>514</v>
      </c>
      <c r="B10" s="1792"/>
      <c r="C10" s="1792"/>
      <c r="D10" s="1792"/>
      <c r="E10" s="1793"/>
      <c r="F10" s="1791" t="s">
        <v>514</v>
      </c>
      <c r="G10" s="1792"/>
      <c r="H10" s="1792"/>
      <c r="I10" s="1792"/>
      <c r="J10" s="1793"/>
      <c r="K10" s="1791" t="s">
        <v>514</v>
      </c>
      <c r="L10" s="1792"/>
      <c r="M10" s="1792"/>
      <c r="N10" s="1792"/>
      <c r="O10" s="1793"/>
      <c r="P10" s="1791" t="s">
        <v>514</v>
      </c>
      <c r="Q10" s="1792"/>
      <c r="R10" s="1792"/>
      <c r="S10" s="1792"/>
      <c r="T10" s="1793"/>
      <c r="U10" s="1791" t="s">
        <v>514</v>
      </c>
      <c r="V10" s="1792"/>
      <c r="W10" s="1792"/>
      <c r="X10" s="1792"/>
      <c r="Y10" s="1793"/>
      <c r="Z10" s="1791" t="s">
        <v>514</v>
      </c>
      <c r="AA10" s="1792"/>
      <c r="AB10" s="1792"/>
      <c r="AC10" s="1792"/>
      <c r="AD10" s="1793"/>
      <c r="AE10" s="1791" t="s">
        <v>514</v>
      </c>
      <c r="AF10" s="1792"/>
      <c r="AG10" s="1792"/>
      <c r="AH10" s="1792"/>
      <c r="AI10" s="1793"/>
      <c r="AJ10" s="1791" t="s">
        <v>514</v>
      </c>
      <c r="AK10" s="1792"/>
      <c r="AL10" s="1792"/>
      <c r="AM10" s="1792"/>
      <c r="AN10" s="1793"/>
      <c r="AO10" s="1791" t="s">
        <v>514</v>
      </c>
      <c r="AP10" s="1792"/>
      <c r="AQ10" s="1792"/>
      <c r="AR10" s="1792"/>
      <c r="AS10" s="1793"/>
      <c r="AT10" s="1791" t="s">
        <v>514</v>
      </c>
      <c r="AU10" s="1792"/>
      <c r="AV10" s="1792"/>
      <c r="AW10" s="1792"/>
      <c r="AX10" s="1793"/>
      <c r="AY10" s="1791" t="s">
        <v>514</v>
      </c>
      <c r="AZ10" s="1792"/>
      <c r="BA10" s="1792"/>
      <c r="BB10" s="1792"/>
      <c r="BC10" s="1793"/>
      <c r="BD10" s="1791" t="s">
        <v>514</v>
      </c>
      <c r="BE10" s="1792"/>
      <c r="BF10" s="1792"/>
      <c r="BG10" s="1792"/>
      <c r="BH10" s="1793"/>
      <c r="BI10" s="1791" t="s">
        <v>514</v>
      </c>
      <c r="BJ10" s="1792"/>
      <c r="BK10" s="1792"/>
      <c r="BL10" s="1792"/>
      <c r="BM10" s="1793"/>
      <c r="BN10" s="1791" t="s">
        <v>514</v>
      </c>
      <c r="BO10" s="1792"/>
      <c r="BP10" s="1792"/>
      <c r="BQ10" s="1792"/>
      <c r="BR10" s="1793"/>
    </row>
    <row r="11" spans="1:83" ht="33" customHeight="1" x14ac:dyDescent="0.25">
      <c r="A11" s="1794"/>
      <c r="B11" s="1795"/>
      <c r="C11" s="1795"/>
      <c r="D11" s="1795"/>
      <c r="E11" s="1796"/>
      <c r="F11" s="1794"/>
      <c r="G11" s="1795"/>
      <c r="H11" s="1795"/>
      <c r="I11" s="1795"/>
      <c r="J11" s="1796"/>
      <c r="K11" s="1794"/>
      <c r="L11" s="1795"/>
      <c r="M11" s="1795"/>
      <c r="N11" s="1795"/>
      <c r="O11" s="1796"/>
      <c r="P11" s="1794"/>
      <c r="Q11" s="1795"/>
      <c r="R11" s="1795"/>
      <c r="S11" s="1795"/>
      <c r="T11" s="1796"/>
      <c r="U11" s="1794"/>
      <c r="V11" s="1795"/>
      <c r="W11" s="1795"/>
      <c r="X11" s="1795"/>
      <c r="Y11" s="1796"/>
      <c r="Z11" s="1794"/>
      <c r="AA11" s="1795"/>
      <c r="AB11" s="1795"/>
      <c r="AC11" s="1795"/>
      <c r="AD11" s="1796"/>
      <c r="AE11" s="1794"/>
      <c r="AF11" s="1795"/>
      <c r="AG11" s="1795"/>
      <c r="AH11" s="1795"/>
      <c r="AI11" s="1796"/>
      <c r="AJ11" s="1794"/>
      <c r="AK11" s="1795"/>
      <c r="AL11" s="1795"/>
      <c r="AM11" s="1795"/>
      <c r="AN11" s="1796"/>
      <c r="AO11" s="1794"/>
      <c r="AP11" s="1795"/>
      <c r="AQ11" s="1795"/>
      <c r="AR11" s="1795"/>
      <c r="AS11" s="1796"/>
      <c r="AT11" s="1794"/>
      <c r="AU11" s="1795"/>
      <c r="AV11" s="1795"/>
      <c r="AW11" s="1795"/>
      <c r="AX11" s="1796"/>
      <c r="AY11" s="1794"/>
      <c r="AZ11" s="1795"/>
      <c r="BA11" s="1795"/>
      <c r="BB11" s="1795"/>
      <c r="BC11" s="1796"/>
      <c r="BD11" s="1794"/>
      <c r="BE11" s="1795"/>
      <c r="BF11" s="1795"/>
      <c r="BG11" s="1795"/>
      <c r="BH11" s="1796"/>
      <c r="BI11" s="1794"/>
      <c r="BJ11" s="1795"/>
      <c r="BK11" s="1795"/>
      <c r="BL11" s="1795"/>
      <c r="BM11" s="1796"/>
      <c r="BN11" s="1794"/>
      <c r="BO11" s="1795"/>
      <c r="BP11" s="1795"/>
      <c r="BQ11" s="1795"/>
      <c r="BR11" s="1796"/>
    </row>
    <row r="12" spans="1:83" s="22" customFormat="1" ht="84.95" customHeight="1" x14ac:dyDescent="1.35">
      <c r="A12" s="1898" t="s">
        <v>506</v>
      </c>
      <c r="B12" s="588">
        <v>35</v>
      </c>
      <c r="C12" s="589"/>
      <c r="D12" s="589"/>
      <c r="E12" s="590"/>
      <c r="F12" s="1898" t="s">
        <v>506</v>
      </c>
      <c r="G12" s="588">
        <v>36</v>
      </c>
      <c r="H12" s="589"/>
      <c r="I12" s="589"/>
      <c r="J12" s="590"/>
      <c r="K12" s="1898" t="s">
        <v>506</v>
      </c>
      <c r="L12" s="588">
        <v>37</v>
      </c>
      <c r="M12" s="589"/>
      <c r="N12" s="589"/>
      <c r="O12" s="590"/>
      <c r="P12" s="1898" t="s">
        <v>506</v>
      </c>
      <c r="Q12" s="588">
        <v>38</v>
      </c>
      <c r="R12" s="589"/>
      <c r="S12" s="589"/>
      <c r="T12" s="590"/>
      <c r="U12" s="1898" t="s">
        <v>506</v>
      </c>
      <c r="V12" s="588">
        <v>39</v>
      </c>
      <c r="W12" s="589"/>
      <c r="X12" s="589"/>
      <c r="Y12" s="590"/>
      <c r="Z12" s="1898" t="s">
        <v>506</v>
      </c>
      <c r="AA12" s="588">
        <v>40</v>
      </c>
      <c r="AB12" s="589"/>
      <c r="AC12" s="589"/>
      <c r="AD12" s="590"/>
      <c r="AE12" s="1898" t="s">
        <v>506</v>
      </c>
      <c r="AF12" s="588">
        <v>41</v>
      </c>
      <c r="AG12" s="589"/>
      <c r="AH12" s="589"/>
      <c r="AI12" s="590"/>
      <c r="AJ12" s="1898" t="s">
        <v>506</v>
      </c>
      <c r="AK12" s="588">
        <v>42</v>
      </c>
      <c r="AL12" s="589"/>
      <c r="AM12" s="589"/>
      <c r="AN12" s="590"/>
      <c r="AO12" s="1898" t="s">
        <v>506</v>
      </c>
      <c r="AP12" s="588">
        <v>43</v>
      </c>
      <c r="AQ12" s="589"/>
      <c r="AR12" s="589"/>
      <c r="AS12" s="590"/>
      <c r="AT12" s="1898" t="s">
        <v>506</v>
      </c>
      <c r="AU12" s="588">
        <v>44</v>
      </c>
      <c r="AV12" s="589"/>
      <c r="AW12" s="589"/>
      <c r="AX12" s="590"/>
      <c r="AY12" s="1898" t="s">
        <v>506</v>
      </c>
      <c r="AZ12" s="588">
        <v>45</v>
      </c>
      <c r="BA12" s="589"/>
      <c r="BB12" s="589"/>
      <c r="BC12" s="590"/>
      <c r="BD12" s="1898" t="s">
        <v>506</v>
      </c>
      <c r="BE12" s="588">
        <v>46</v>
      </c>
      <c r="BF12" s="589"/>
      <c r="BG12" s="589"/>
      <c r="BH12" s="590"/>
      <c r="BI12" s="1898" t="s">
        <v>506</v>
      </c>
      <c r="BJ12" s="588">
        <v>47</v>
      </c>
      <c r="BK12" s="589"/>
      <c r="BL12" s="589"/>
      <c r="BM12" s="590"/>
      <c r="BN12" s="1898" t="s">
        <v>506</v>
      </c>
      <c r="BO12" s="588">
        <v>48</v>
      </c>
      <c r="BP12" s="589"/>
      <c r="BQ12" s="589"/>
      <c r="BR12" s="590"/>
    </row>
    <row r="13" spans="1:83" ht="37.5" customHeight="1" thickBot="1" x14ac:dyDescent="0.3">
      <c r="A13" s="1899"/>
      <c r="B13" s="61">
        <v>4.1147999999999998</v>
      </c>
      <c r="C13" s="62" t="s">
        <v>113</v>
      </c>
      <c r="D13" s="63">
        <v>1</v>
      </c>
      <c r="E13" s="64" t="s">
        <v>114</v>
      </c>
      <c r="F13" s="1899"/>
      <c r="G13" s="61">
        <v>1.8033999999999999</v>
      </c>
      <c r="H13" s="62" t="s">
        <v>113</v>
      </c>
      <c r="I13" s="63"/>
      <c r="J13" s="64" t="s">
        <v>114</v>
      </c>
      <c r="K13" s="1899"/>
      <c r="L13" s="61">
        <v>0.63500000000000001</v>
      </c>
      <c r="M13" s="62" t="s">
        <v>113</v>
      </c>
      <c r="N13" s="63">
        <v>1</v>
      </c>
      <c r="O13" s="64" t="s">
        <v>114</v>
      </c>
      <c r="P13" s="1899"/>
      <c r="Q13" s="61">
        <v>8.4320000000000004</v>
      </c>
      <c r="R13" s="62" t="s">
        <v>113</v>
      </c>
      <c r="S13" s="63">
        <v>1</v>
      </c>
      <c r="T13" s="64" t="s">
        <v>114</v>
      </c>
      <c r="U13" s="1899"/>
      <c r="V13" s="61">
        <v>2.0819999999999999</v>
      </c>
      <c r="W13" s="62" t="s">
        <v>113</v>
      </c>
      <c r="X13" s="63">
        <v>1</v>
      </c>
      <c r="Y13" s="64" t="s">
        <v>114</v>
      </c>
      <c r="Z13" s="1899"/>
      <c r="AA13" s="61">
        <v>1.4730000000000001</v>
      </c>
      <c r="AB13" s="62" t="s">
        <v>113</v>
      </c>
      <c r="AC13" s="63">
        <v>1</v>
      </c>
      <c r="AD13" s="64" t="s">
        <v>114</v>
      </c>
      <c r="AE13" s="1899"/>
      <c r="AF13" s="61">
        <v>0.63500000000000001</v>
      </c>
      <c r="AG13" s="62" t="s">
        <v>113</v>
      </c>
      <c r="AH13" s="63">
        <v>1</v>
      </c>
      <c r="AI13" s="64" t="s">
        <v>114</v>
      </c>
      <c r="AJ13" s="1899"/>
      <c r="AK13" s="61">
        <v>0.20300000000000001</v>
      </c>
      <c r="AL13" s="62" t="s">
        <v>113</v>
      </c>
      <c r="AM13" s="63">
        <v>1</v>
      </c>
      <c r="AN13" s="64" t="s">
        <v>114</v>
      </c>
      <c r="AO13" s="1899"/>
      <c r="AP13" s="61">
        <v>0.91400000000000003</v>
      </c>
      <c r="AQ13" s="62" t="s">
        <v>113</v>
      </c>
      <c r="AR13" s="63"/>
      <c r="AS13" s="64" t="s">
        <v>114</v>
      </c>
      <c r="AT13" s="1899"/>
      <c r="AU13" s="61">
        <v>0.96499999999999997</v>
      </c>
      <c r="AV13" s="62" t="s">
        <v>113</v>
      </c>
      <c r="AW13" s="63">
        <v>1</v>
      </c>
      <c r="AX13" s="64" t="s">
        <v>114</v>
      </c>
      <c r="AY13" s="1899"/>
      <c r="AZ13" s="61">
        <v>0.53300000000000003</v>
      </c>
      <c r="BA13" s="62" t="s">
        <v>113</v>
      </c>
      <c r="BB13" s="63">
        <v>1</v>
      </c>
      <c r="BC13" s="64" t="s">
        <v>114</v>
      </c>
      <c r="BD13" s="1899"/>
      <c r="BE13" s="61">
        <v>1.016</v>
      </c>
      <c r="BF13" s="62" t="s">
        <v>113</v>
      </c>
      <c r="BG13" s="63">
        <v>1</v>
      </c>
      <c r="BH13" s="64" t="s">
        <v>114</v>
      </c>
      <c r="BI13" s="1899"/>
      <c r="BJ13" s="61">
        <v>1.117</v>
      </c>
      <c r="BK13" s="62" t="s">
        <v>113</v>
      </c>
      <c r="BL13" s="63">
        <v>1</v>
      </c>
      <c r="BM13" s="64" t="s">
        <v>114</v>
      </c>
      <c r="BN13" s="1899"/>
      <c r="BO13" s="61">
        <v>0.45700000000000002</v>
      </c>
      <c r="BP13" s="62" t="s">
        <v>113</v>
      </c>
      <c r="BQ13" s="63">
        <v>1</v>
      </c>
      <c r="BR13" s="64" t="s">
        <v>114</v>
      </c>
      <c r="BW13" s="27"/>
      <c r="BX13" s="27"/>
      <c r="BY13" s="27"/>
      <c r="BZ13" s="27"/>
      <c r="CA13" s="27"/>
      <c r="CB13" s="27"/>
      <c r="CC13" s="27"/>
      <c r="CD13" s="27"/>
      <c r="CE13" s="27"/>
    </row>
    <row r="14" spans="1:83" ht="22.5" customHeight="1" thickTop="1" x14ac:dyDescent="0.25">
      <c r="A14" s="1900" t="s">
        <v>110</v>
      </c>
      <c r="B14" s="1901"/>
      <c r="C14" s="1904">
        <f t="shared" ref="C14" si="27">B19/((36*3.1415/59)*(177.5/3.281))</f>
        <v>1.4657635166757704E-3</v>
      </c>
      <c r="D14" s="1904"/>
      <c r="E14" s="1905"/>
      <c r="F14" s="1900" t="s">
        <v>110</v>
      </c>
      <c r="G14" s="1901"/>
      <c r="H14" s="1904">
        <f t="shared" ref="H14" si="28">G19/((36*3.1415/59)*(177.5/3.281))</f>
        <v>9.6431810307616472E-7</v>
      </c>
      <c r="I14" s="1904"/>
      <c r="J14" s="1905"/>
      <c r="K14" s="1900" t="s">
        <v>110</v>
      </c>
      <c r="L14" s="1901"/>
      <c r="M14" s="1904">
        <f t="shared" ref="M14" si="29">L19/((36*3.1415/59)*(177.5/3.281))</f>
        <v>9.7396128410692643E-4</v>
      </c>
      <c r="N14" s="1904"/>
      <c r="O14" s="1905"/>
      <c r="P14" s="1900" t="s">
        <v>110</v>
      </c>
      <c r="Q14" s="1901"/>
      <c r="R14" s="1904">
        <f t="shared" ref="R14" si="30">Q19/((36*3.1415/59)*(177.5/3.281))</f>
        <v>7.8302629969784574E-3</v>
      </c>
      <c r="S14" s="1904"/>
      <c r="T14" s="1905"/>
      <c r="U14" s="1900" t="s">
        <v>110</v>
      </c>
      <c r="V14" s="1901"/>
      <c r="W14" s="1904">
        <f t="shared" ref="W14" si="31">V19/((36*3.1415/59)*(177.5/3.281))</f>
        <v>1.7068430424448115E-3</v>
      </c>
      <c r="X14" s="1904"/>
      <c r="Y14" s="1905"/>
      <c r="Z14" s="1900" t="s">
        <v>110</v>
      </c>
      <c r="AA14" s="1901"/>
      <c r="AB14" s="1904">
        <f t="shared" ref="AB14" si="32">AA19/((36*3.1415/59)*(177.5/3.281))</f>
        <v>3.6740519727201876E-3</v>
      </c>
      <c r="AC14" s="1904"/>
      <c r="AD14" s="1905"/>
      <c r="AE14" s="1900" t="s">
        <v>110</v>
      </c>
      <c r="AF14" s="1901"/>
      <c r="AG14" s="1904">
        <f t="shared" ref="AG14" si="33">AF19/((36*3.1415/59)*(177.5/3.281))</f>
        <v>1.9344221147707862E-2</v>
      </c>
      <c r="AH14" s="1904"/>
      <c r="AI14" s="1905"/>
      <c r="AJ14" s="1900" t="s">
        <v>110</v>
      </c>
      <c r="AK14" s="1901"/>
      <c r="AL14" s="1904">
        <f t="shared" ref="AL14" si="34">AK19/((36*3.1415/59)*(177.5/3.281))</f>
        <v>2.0819627845414395E-2</v>
      </c>
      <c r="AM14" s="1904"/>
      <c r="AN14" s="1905"/>
      <c r="AO14" s="1900" t="s">
        <v>110</v>
      </c>
      <c r="AP14" s="1901"/>
      <c r="AQ14" s="1904">
        <f t="shared" ref="AQ14" si="35">AP19/((36*3.1415/59)*(177.5/3.281))</f>
        <v>3.9189887709015336E-3</v>
      </c>
      <c r="AR14" s="1904"/>
      <c r="AS14" s="1905"/>
      <c r="AT14" s="2370" t="s">
        <v>110</v>
      </c>
      <c r="AU14" s="3181"/>
      <c r="AV14" s="3184">
        <f>AU19/((36*3.1415/59)*(149/3.281))</f>
        <v>6.4101266120254186E-3</v>
      </c>
      <c r="AW14" s="3184"/>
      <c r="AX14" s="3185"/>
      <c r="AY14" s="2370" t="s">
        <v>110</v>
      </c>
      <c r="AZ14" s="3181"/>
      <c r="BA14" s="3184">
        <f t="shared" ref="BA14" si="36">AZ19/((36*3.1415/59)*(149/3.281))</f>
        <v>4.0781271456434114E-3</v>
      </c>
      <c r="BB14" s="3184"/>
      <c r="BC14" s="3185"/>
      <c r="BD14" s="2370" t="s">
        <v>110</v>
      </c>
      <c r="BE14" s="3181"/>
      <c r="BF14" s="3184">
        <f t="shared" ref="BF14" si="37">BE19/((36*3.1415/59)*(149/3.281))</f>
        <v>1.1487682100403977E-7</v>
      </c>
      <c r="BG14" s="3184"/>
      <c r="BH14" s="3185"/>
      <c r="BI14" s="2370" t="s">
        <v>110</v>
      </c>
      <c r="BJ14" s="3181"/>
      <c r="BK14" s="3184">
        <f t="shared" ref="BK14" si="38">BJ19/((36*3.1415/59)*(149/3.281))</f>
        <v>6.4101266120254186E-3</v>
      </c>
      <c r="BL14" s="3184"/>
      <c r="BM14" s="3185"/>
      <c r="BN14" s="2370" t="s">
        <v>110</v>
      </c>
      <c r="BO14" s="3181"/>
      <c r="BP14" s="3184">
        <f t="shared" ref="BP14" si="39">BO19/((36*3.1415/59)*(149/3.281))</f>
        <v>2.1884034401269573E-2</v>
      </c>
      <c r="BQ14" s="3184"/>
      <c r="BR14" s="3185"/>
    </row>
    <row r="15" spans="1:83" ht="22.5" customHeight="1" x14ac:dyDescent="0.25">
      <c r="A15" s="1902"/>
      <c r="B15" s="1903"/>
      <c r="C15" s="1906"/>
      <c r="D15" s="1906"/>
      <c r="E15" s="1907"/>
      <c r="F15" s="1902"/>
      <c r="G15" s="1903"/>
      <c r="H15" s="1906"/>
      <c r="I15" s="1906"/>
      <c r="J15" s="1907"/>
      <c r="K15" s="1902"/>
      <c r="L15" s="1903"/>
      <c r="M15" s="1906"/>
      <c r="N15" s="1906"/>
      <c r="O15" s="1907"/>
      <c r="P15" s="1902"/>
      <c r="Q15" s="1903"/>
      <c r="R15" s="1906"/>
      <c r="S15" s="1906"/>
      <c r="T15" s="1907"/>
      <c r="U15" s="1902"/>
      <c r="V15" s="1903"/>
      <c r="W15" s="1906"/>
      <c r="X15" s="1906"/>
      <c r="Y15" s="1907"/>
      <c r="Z15" s="1902"/>
      <c r="AA15" s="1903"/>
      <c r="AB15" s="1906"/>
      <c r="AC15" s="1906"/>
      <c r="AD15" s="1907"/>
      <c r="AE15" s="1902"/>
      <c r="AF15" s="1903"/>
      <c r="AG15" s="1906"/>
      <c r="AH15" s="1906"/>
      <c r="AI15" s="1907"/>
      <c r="AJ15" s="1902"/>
      <c r="AK15" s="1903"/>
      <c r="AL15" s="1906"/>
      <c r="AM15" s="1906"/>
      <c r="AN15" s="1907"/>
      <c r="AO15" s="1902"/>
      <c r="AP15" s="1903"/>
      <c r="AQ15" s="1906"/>
      <c r="AR15" s="1906"/>
      <c r="AS15" s="1907"/>
      <c r="AT15" s="3182"/>
      <c r="AU15" s="3183"/>
      <c r="AV15" s="3186"/>
      <c r="AW15" s="3186"/>
      <c r="AX15" s="3187"/>
      <c r="AY15" s="3182"/>
      <c r="AZ15" s="3183"/>
      <c r="BA15" s="3186"/>
      <c r="BB15" s="3186"/>
      <c r="BC15" s="3187"/>
      <c r="BD15" s="3182"/>
      <c r="BE15" s="3183"/>
      <c r="BF15" s="3186"/>
      <c r="BG15" s="3186"/>
      <c r="BH15" s="3187"/>
      <c r="BI15" s="3182"/>
      <c r="BJ15" s="3183"/>
      <c r="BK15" s="3186"/>
      <c r="BL15" s="3186"/>
      <c r="BM15" s="3187"/>
      <c r="BN15" s="3182"/>
      <c r="BO15" s="3183"/>
      <c r="BP15" s="3186"/>
      <c r="BQ15" s="3186"/>
      <c r="BR15" s="3187"/>
    </row>
    <row r="16" spans="1:83" ht="33" customHeight="1" x14ac:dyDescent="0.25">
      <c r="A16" s="3167" t="s">
        <v>512</v>
      </c>
      <c r="B16" s="2344"/>
      <c r="C16" s="3169" t="s">
        <v>513</v>
      </c>
      <c r="D16" s="3169"/>
      <c r="E16" s="3170"/>
      <c r="F16" s="3167" t="s">
        <v>512</v>
      </c>
      <c r="G16" s="2344"/>
      <c r="H16" s="3169" t="s">
        <v>513</v>
      </c>
      <c r="I16" s="3169"/>
      <c r="J16" s="3170"/>
      <c r="K16" s="3167" t="s">
        <v>512</v>
      </c>
      <c r="L16" s="2344"/>
      <c r="M16" s="3169" t="s">
        <v>513</v>
      </c>
      <c r="N16" s="3169"/>
      <c r="O16" s="3170"/>
      <c r="P16" s="3167" t="s">
        <v>512</v>
      </c>
      <c r="Q16" s="2344"/>
      <c r="R16" s="3169" t="s">
        <v>513</v>
      </c>
      <c r="S16" s="3169"/>
      <c r="T16" s="3170"/>
      <c r="U16" s="3167" t="s">
        <v>512</v>
      </c>
      <c r="V16" s="2344"/>
      <c r="W16" s="3169" t="s">
        <v>513</v>
      </c>
      <c r="X16" s="3169"/>
      <c r="Y16" s="3170"/>
      <c r="Z16" s="3167" t="s">
        <v>512</v>
      </c>
      <c r="AA16" s="2344"/>
      <c r="AB16" s="3169" t="s">
        <v>513</v>
      </c>
      <c r="AC16" s="3169"/>
      <c r="AD16" s="3170"/>
      <c r="AE16" s="3167" t="s">
        <v>512</v>
      </c>
      <c r="AF16" s="2344"/>
      <c r="AG16" s="3169" t="s">
        <v>513</v>
      </c>
      <c r="AH16" s="3169"/>
      <c r="AI16" s="3170"/>
      <c r="AJ16" s="3167" t="s">
        <v>512</v>
      </c>
      <c r="AK16" s="2344"/>
      <c r="AL16" s="3169" t="s">
        <v>513</v>
      </c>
      <c r="AM16" s="3169"/>
      <c r="AN16" s="3170"/>
      <c r="AO16" s="3167" t="s">
        <v>512</v>
      </c>
      <c r="AP16" s="2344"/>
      <c r="AQ16" s="3169" t="s">
        <v>513</v>
      </c>
      <c r="AR16" s="3169"/>
      <c r="AS16" s="3170"/>
      <c r="AT16" s="1791" t="s">
        <v>514</v>
      </c>
      <c r="AU16" s="1792"/>
      <c r="AV16" s="1792"/>
      <c r="AW16" s="1792"/>
      <c r="AX16" s="1793"/>
      <c r="AY16" s="1791" t="s">
        <v>514</v>
      </c>
      <c r="AZ16" s="1792"/>
      <c r="BA16" s="1792"/>
      <c r="BB16" s="1792"/>
      <c r="BC16" s="1793"/>
      <c r="BD16" s="1791" t="s">
        <v>514</v>
      </c>
      <c r="BE16" s="1792"/>
      <c r="BF16" s="1792"/>
      <c r="BG16" s="1792"/>
      <c r="BH16" s="1793"/>
      <c r="BI16" s="1791" t="s">
        <v>514</v>
      </c>
      <c r="BJ16" s="1792"/>
      <c r="BK16" s="1792"/>
      <c r="BL16" s="1792"/>
      <c r="BM16" s="1793"/>
      <c r="BN16" s="1791" t="s">
        <v>514</v>
      </c>
      <c r="BO16" s="1792"/>
      <c r="BP16" s="1792"/>
      <c r="BQ16" s="1792"/>
      <c r="BR16" s="1793"/>
    </row>
    <row r="17" spans="1:112" ht="33" customHeight="1" x14ac:dyDescent="0.25">
      <c r="A17" s="3168"/>
      <c r="B17" s="2345"/>
      <c r="C17" s="3171"/>
      <c r="D17" s="3171"/>
      <c r="E17" s="3172"/>
      <c r="F17" s="3168"/>
      <c r="G17" s="2345"/>
      <c r="H17" s="3171"/>
      <c r="I17" s="3171"/>
      <c r="J17" s="3172"/>
      <c r="K17" s="3168"/>
      <c r="L17" s="2345"/>
      <c r="M17" s="3171"/>
      <c r="N17" s="3171"/>
      <c r="O17" s="3172"/>
      <c r="P17" s="3168"/>
      <c r="Q17" s="2345"/>
      <c r="R17" s="3171"/>
      <c r="S17" s="3171"/>
      <c r="T17" s="3172"/>
      <c r="U17" s="3168"/>
      <c r="V17" s="2345"/>
      <c r="W17" s="3171"/>
      <c r="X17" s="3171"/>
      <c r="Y17" s="3172"/>
      <c r="Z17" s="3168"/>
      <c r="AA17" s="2345"/>
      <c r="AB17" s="3171"/>
      <c r="AC17" s="3171"/>
      <c r="AD17" s="3172"/>
      <c r="AE17" s="3168"/>
      <c r="AF17" s="2345"/>
      <c r="AG17" s="3171"/>
      <c r="AH17" s="3171"/>
      <c r="AI17" s="3172"/>
      <c r="AJ17" s="3168"/>
      <c r="AK17" s="2345"/>
      <c r="AL17" s="3171"/>
      <c r="AM17" s="3171"/>
      <c r="AN17" s="3172"/>
      <c r="AO17" s="3168"/>
      <c r="AP17" s="2345"/>
      <c r="AQ17" s="3171"/>
      <c r="AR17" s="3171"/>
      <c r="AS17" s="3172"/>
      <c r="AT17" s="1794"/>
      <c r="AU17" s="1795"/>
      <c r="AV17" s="1795"/>
      <c r="AW17" s="1795"/>
      <c r="AX17" s="1796"/>
      <c r="AY17" s="1794"/>
      <c r="AZ17" s="1795"/>
      <c r="BA17" s="1795"/>
      <c r="BB17" s="1795"/>
      <c r="BC17" s="1796"/>
      <c r="BD17" s="1794"/>
      <c r="BE17" s="1795"/>
      <c r="BF17" s="1795"/>
      <c r="BG17" s="1795"/>
      <c r="BH17" s="1796"/>
      <c r="BI17" s="1794"/>
      <c r="BJ17" s="1795"/>
      <c r="BK17" s="1795"/>
      <c r="BL17" s="1795"/>
      <c r="BM17" s="1796"/>
      <c r="BN17" s="1794"/>
      <c r="BO17" s="1795"/>
      <c r="BP17" s="1795"/>
      <c r="BQ17" s="1795"/>
      <c r="BR17" s="1796"/>
    </row>
    <row r="18" spans="1:112" s="22" customFormat="1" ht="103.5" customHeight="1" x14ac:dyDescent="1.35">
      <c r="A18" s="1898" t="s">
        <v>506</v>
      </c>
      <c r="B18" s="588">
        <v>49</v>
      </c>
      <c r="C18" s="589"/>
      <c r="D18" s="589"/>
      <c r="E18" s="590"/>
      <c r="F18" s="1898" t="s">
        <v>506</v>
      </c>
      <c r="G18" s="588">
        <v>50</v>
      </c>
      <c r="H18" s="589"/>
      <c r="I18" s="589"/>
      <c r="J18" s="590"/>
      <c r="K18" s="1898" t="s">
        <v>506</v>
      </c>
      <c r="L18" s="588">
        <v>51</v>
      </c>
      <c r="M18" s="589"/>
      <c r="N18" s="589"/>
      <c r="O18" s="590"/>
      <c r="P18" s="1898" t="s">
        <v>506</v>
      </c>
      <c r="Q18" s="588">
        <v>52</v>
      </c>
      <c r="R18" s="589"/>
      <c r="S18" s="589"/>
      <c r="T18" s="590"/>
      <c r="U18" s="1898" t="s">
        <v>506</v>
      </c>
      <c r="V18" s="588">
        <v>53</v>
      </c>
      <c r="W18" s="589"/>
      <c r="X18" s="589"/>
      <c r="Y18" s="590"/>
      <c r="Z18" s="1898" t="s">
        <v>506</v>
      </c>
      <c r="AA18" s="588">
        <v>54</v>
      </c>
      <c r="AB18" s="589"/>
      <c r="AC18" s="589"/>
      <c r="AD18" s="590"/>
      <c r="AE18" s="1898" t="s">
        <v>506</v>
      </c>
      <c r="AF18" s="588">
        <v>55</v>
      </c>
      <c r="AG18" s="589"/>
      <c r="AH18" s="589"/>
      <c r="AI18" s="590"/>
      <c r="AJ18" s="1898" t="s">
        <v>506</v>
      </c>
      <c r="AK18" s="588">
        <v>56</v>
      </c>
      <c r="AL18" s="589"/>
      <c r="AM18" s="589"/>
      <c r="AN18" s="590"/>
      <c r="AO18" s="1898" t="s">
        <v>506</v>
      </c>
      <c r="AP18" s="588">
        <v>57</v>
      </c>
      <c r="AQ18" s="589"/>
      <c r="AR18" s="589"/>
      <c r="AS18" s="590"/>
      <c r="AT18" s="2356" t="s">
        <v>507</v>
      </c>
      <c r="AU18" s="588">
        <v>1</v>
      </c>
      <c r="AV18" s="589"/>
      <c r="AW18" s="589"/>
      <c r="AX18" s="590"/>
      <c r="AY18" s="2356" t="s">
        <v>507</v>
      </c>
      <c r="AZ18" s="588">
        <v>2</v>
      </c>
      <c r="BA18" s="589"/>
      <c r="BB18" s="589"/>
      <c r="BC18" s="590"/>
      <c r="BD18" s="2356" t="s">
        <v>507</v>
      </c>
      <c r="BE18" s="588">
        <v>4</v>
      </c>
      <c r="BF18" s="589"/>
      <c r="BG18" s="589"/>
      <c r="BH18" s="590"/>
      <c r="BI18" s="2356" t="s">
        <v>507</v>
      </c>
      <c r="BJ18" s="588">
        <v>5</v>
      </c>
      <c r="BK18" s="589"/>
      <c r="BL18" s="589"/>
      <c r="BM18" s="590"/>
      <c r="BN18" s="2356" t="s">
        <v>507</v>
      </c>
      <c r="BO18" s="588">
        <v>6</v>
      </c>
      <c r="BP18" s="589"/>
      <c r="BQ18" s="589"/>
      <c r="BR18" s="590"/>
    </row>
    <row r="19" spans="1:112" ht="37.5" customHeight="1" thickBot="1" x14ac:dyDescent="0.3">
      <c r="A19" s="1899"/>
      <c r="B19" s="61">
        <v>0.152</v>
      </c>
      <c r="C19" s="62" t="s">
        <v>113</v>
      </c>
      <c r="D19" s="63">
        <v>1</v>
      </c>
      <c r="E19" s="64" t="s">
        <v>114</v>
      </c>
      <c r="F19" s="1899"/>
      <c r="G19" s="61">
        <v>1E-4</v>
      </c>
      <c r="H19" s="62" t="s">
        <v>113</v>
      </c>
      <c r="I19" s="63"/>
      <c r="J19" s="64" t="s">
        <v>114</v>
      </c>
      <c r="K19" s="1899"/>
      <c r="L19" s="61">
        <v>0.10100000000000001</v>
      </c>
      <c r="M19" s="62" t="s">
        <v>113</v>
      </c>
      <c r="N19" s="63">
        <v>1</v>
      </c>
      <c r="O19" s="64" t="s">
        <v>114</v>
      </c>
      <c r="P19" s="1899"/>
      <c r="Q19" s="61">
        <v>0.81200000000000006</v>
      </c>
      <c r="R19" s="62" t="s">
        <v>113</v>
      </c>
      <c r="S19" s="63">
        <v>1</v>
      </c>
      <c r="T19" s="64" t="s">
        <v>114</v>
      </c>
      <c r="U19" s="1899"/>
      <c r="V19" s="61">
        <v>0.17699999999999999</v>
      </c>
      <c r="W19" s="62" t="s">
        <v>113</v>
      </c>
      <c r="X19" s="63">
        <v>1</v>
      </c>
      <c r="Y19" s="64" t="s">
        <v>114</v>
      </c>
      <c r="Z19" s="1899"/>
      <c r="AA19" s="61">
        <v>0.38100000000000001</v>
      </c>
      <c r="AB19" s="62" t="s">
        <v>113</v>
      </c>
      <c r="AC19" s="63">
        <v>1</v>
      </c>
      <c r="AD19" s="64" t="s">
        <v>114</v>
      </c>
      <c r="AE19" s="1899"/>
      <c r="AF19" s="61">
        <v>2.0059999999999998</v>
      </c>
      <c r="AG19" s="62" t="s">
        <v>113</v>
      </c>
      <c r="AH19" s="63">
        <v>1</v>
      </c>
      <c r="AI19" s="64" t="s">
        <v>114</v>
      </c>
      <c r="AJ19" s="1899"/>
      <c r="AK19" s="61">
        <v>2.1589999999999998</v>
      </c>
      <c r="AL19" s="62" t="s">
        <v>113</v>
      </c>
      <c r="AM19" s="63">
        <v>1</v>
      </c>
      <c r="AN19" s="64" t="s">
        <v>114</v>
      </c>
      <c r="AO19" s="1899"/>
      <c r="AP19" s="61">
        <v>0.40639999999999998</v>
      </c>
      <c r="AQ19" s="62" t="s">
        <v>113</v>
      </c>
      <c r="AR19" s="63"/>
      <c r="AS19" s="64" t="s">
        <v>114</v>
      </c>
      <c r="AT19" s="2357"/>
      <c r="AU19" s="61">
        <v>0.55800000000000005</v>
      </c>
      <c r="AV19" s="62" t="s">
        <v>113</v>
      </c>
      <c r="AW19" s="63">
        <v>1</v>
      </c>
      <c r="AX19" s="64" t="s">
        <v>114</v>
      </c>
      <c r="AY19" s="2357"/>
      <c r="AZ19" s="61">
        <v>0.35499999999999998</v>
      </c>
      <c r="BA19" s="62" t="s">
        <v>113</v>
      </c>
      <c r="BB19" s="63">
        <v>1</v>
      </c>
      <c r="BC19" s="64" t="s">
        <v>114</v>
      </c>
      <c r="BD19" s="2357"/>
      <c r="BE19" s="61">
        <v>1.0000000000000001E-5</v>
      </c>
      <c r="BF19" s="62" t="s">
        <v>113</v>
      </c>
      <c r="BG19" s="63"/>
      <c r="BH19" s="64" t="s">
        <v>114</v>
      </c>
      <c r="BI19" s="2357"/>
      <c r="BJ19" s="61">
        <v>0.55800000000000005</v>
      </c>
      <c r="BK19" s="62" t="s">
        <v>113</v>
      </c>
      <c r="BL19" s="63">
        <v>1</v>
      </c>
      <c r="BM19" s="64" t="s">
        <v>114</v>
      </c>
      <c r="BN19" s="2357"/>
      <c r="BO19" s="61">
        <v>1.905</v>
      </c>
      <c r="BP19" s="62" t="s">
        <v>113</v>
      </c>
      <c r="BQ19" s="63">
        <v>1</v>
      </c>
      <c r="BR19" s="64" t="s">
        <v>114</v>
      </c>
      <c r="BW19" s="27"/>
      <c r="BX19" s="27"/>
      <c r="BY19" s="27"/>
      <c r="BZ19" s="27"/>
      <c r="CA19" s="27"/>
      <c r="CB19" s="27"/>
      <c r="CC19" s="27"/>
      <c r="CD19" s="27"/>
      <c r="CE19" s="27"/>
    </row>
    <row r="20" spans="1:112" ht="22.5" customHeight="1" thickTop="1" x14ac:dyDescent="0.25">
      <c r="A20" s="2370" t="s">
        <v>110</v>
      </c>
      <c r="B20" s="3181"/>
      <c r="C20" s="3184">
        <f t="shared" ref="C20" si="40">B25/((36*3.1415/59)*(149/3.281))</f>
        <v>1.283174090615124E-2</v>
      </c>
      <c r="D20" s="3184"/>
      <c r="E20" s="3185"/>
      <c r="F20" s="2370" t="s">
        <v>110</v>
      </c>
      <c r="G20" s="3181"/>
      <c r="H20" s="3184">
        <f t="shared" ref="H20" si="41">G25/((36*3.1415/59)*(149/3.281))</f>
        <v>4.3768068802539145E-3</v>
      </c>
      <c r="I20" s="3184"/>
      <c r="J20" s="3185"/>
      <c r="K20" s="2370" t="s">
        <v>110</v>
      </c>
      <c r="L20" s="3181"/>
      <c r="M20" s="3184">
        <f t="shared" ref="M20" si="42">L25/((36*3.1415/59)*(149/3.281))</f>
        <v>1.0786933492279332E-2</v>
      </c>
      <c r="N20" s="3184"/>
      <c r="O20" s="3185"/>
      <c r="P20" s="2370" t="s">
        <v>110</v>
      </c>
      <c r="Q20" s="3181"/>
      <c r="R20" s="3184">
        <f t="shared" ref="R20" si="43">Q25/((36*3.1415/59)*(149/3.281))</f>
        <v>2.3319994663820072E-3</v>
      </c>
      <c r="S20" s="3184"/>
      <c r="T20" s="3185"/>
      <c r="U20" s="2370" t="s">
        <v>110</v>
      </c>
      <c r="V20" s="3181"/>
      <c r="W20" s="3184">
        <f t="shared" ref="W20" si="44">V25/((36*3.1415/59)*(149/3.281))</f>
        <v>1.7794419573525757E-2</v>
      </c>
      <c r="X20" s="3184"/>
      <c r="Y20" s="3185"/>
      <c r="Z20" s="2370" t="s">
        <v>110</v>
      </c>
      <c r="AA20" s="3181"/>
      <c r="AB20" s="3184">
        <f t="shared" ref="AB20" si="45">AA25/((36*3.1415/59)*(149/3.281))</f>
        <v>6.7088063466359208E-3</v>
      </c>
      <c r="AC20" s="3184"/>
      <c r="AD20" s="3185"/>
      <c r="AE20" s="2370" t="s">
        <v>110</v>
      </c>
      <c r="AF20" s="3181"/>
      <c r="AG20" s="3184">
        <f t="shared" ref="AG20" si="46">AF25/((36*3.1415/59)*(149/3.281))</f>
        <v>3.7909350931333119E-3</v>
      </c>
      <c r="AH20" s="3184"/>
      <c r="AI20" s="3185"/>
      <c r="AJ20" s="2370" t="s">
        <v>110</v>
      </c>
      <c r="AK20" s="3181"/>
      <c r="AL20" s="3184">
        <f t="shared" ref="AL20" si="47">AK25/((36*3.1415/59)*(149/3.281))</f>
        <v>4.6639989327640144E-3</v>
      </c>
      <c r="AM20" s="3184"/>
      <c r="AN20" s="3185"/>
      <c r="AO20" s="2370" t="s">
        <v>110</v>
      </c>
      <c r="AP20" s="3181"/>
      <c r="AQ20" s="3184">
        <f t="shared" ref="AQ20" si="48">AP25/((36*3.1415/59)*(149/3.281))</f>
        <v>1.1487682100403975E-13</v>
      </c>
      <c r="AR20" s="3184"/>
      <c r="AS20" s="3185"/>
      <c r="AT20" s="2370" t="s">
        <v>110</v>
      </c>
      <c r="AU20" s="3181"/>
      <c r="AV20" s="3184">
        <f t="shared" ref="AV20" si="49">AU25/((36*3.1415/59)*(149/3.281))</f>
        <v>3.5014455042031317E-3</v>
      </c>
      <c r="AW20" s="3184"/>
      <c r="AX20" s="3185"/>
      <c r="AY20" s="2370" t="s">
        <v>110</v>
      </c>
      <c r="AZ20" s="3181"/>
      <c r="BA20" s="3184">
        <f t="shared" ref="BA20" si="50">AZ25/((36*3.1415/59)*(149/3.281))</f>
        <v>6.4193167577057406E-3</v>
      </c>
      <c r="BB20" s="3184"/>
      <c r="BC20" s="3185"/>
      <c r="BD20" s="2370" t="s">
        <v>110</v>
      </c>
      <c r="BE20" s="3181"/>
      <c r="BF20" s="3184">
        <f t="shared" ref="BF20" si="51">BE25/((36*3.1415/59)*(149/3.281))</f>
        <v>8.753613760507829E-3</v>
      </c>
      <c r="BG20" s="3184"/>
      <c r="BH20" s="3185"/>
      <c r="BI20" s="2370" t="s">
        <v>110</v>
      </c>
      <c r="BJ20" s="3181"/>
      <c r="BK20" s="3184">
        <f t="shared" ref="BK20" si="52">BJ25/((36*3.1415/59)*(149/3.281))</f>
        <v>5.8357425070052196E-3</v>
      </c>
      <c r="BL20" s="3184"/>
      <c r="BM20" s="3185"/>
      <c r="BN20" s="2370" t="s">
        <v>110</v>
      </c>
      <c r="BO20" s="3181"/>
      <c r="BP20" s="3184">
        <f t="shared" ref="BP20" si="53">BO25/((36*3.1415/59)*(149/3.281))</f>
        <v>1.0212549387259134E-2</v>
      </c>
      <c r="BQ20" s="3184"/>
      <c r="BR20" s="3185"/>
    </row>
    <row r="21" spans="1:112" ht="22.5" customHeight="1" x14ac:dyDescent="0.25">
      <c r="A21" s="3182"/>
      <c r="B21" s="3183"/>
      <c r="C21" s="3186"/>
      <c r="D21" s="3186"/>
      <c r="E21" s="3187"/>
      <c r="F21" s="3182"/>
      <c r="G21" s="3183"/>
      <c r="H21" s="3186"/>
      <c r="I21" s="3186"/>
      <c r="J21" s="3187"/>
      <c r="K21" s="3182"/>
      <c r="L21" s="3183"/>
      <c r="M21" s="3186"/>
      <c r="N21" s="3186"/>
      <c r="O21" s="3187"/>
      <c r="P21" s="3182"/>
      <c r="Q21" s="3183"/>
      <c r="R21" s="3186"/>
      <c r="S21" s="3186"/>
      <c r="T21" s="3187"/>
      <c r="U21" s="3182"/>
      <c r="V21" s="3183"/>
      <c r="W21" s="3186"/>
      <c r="X21" s="3186"/>
      <c r="Y21" s="3187"/>
      <c r="Z21" s="3182"/>
      <c r="AA21" s="3183"/>
      <c r="AB21" s="3186"/>
      <c r="AC21" s="3186"/>
      <c r="AD21" s="3187"/>
      <c r="AE21" s="3182"/>
      <c r="AF21" s="3183"/>
      <c r="AG21" s="3186"/>
      <c r="AH21" s="3186"/>
      <c r="AI21" s="3187"/>
      <c r="AJ21" s="3182"/>
      <c r="AK21" s="3183"/>
      <c r="AL21" s="3186"/>
      <c r="AM21" s="3186"/>
      <c r="AN21" s="3187"/>
      <c r="AO21" s="3182"/>
      <c r="AP21" s="3183"/>
      <c r="AQ21" s="3186"/>
      <c r="AR21" s="3186"/>
      <c r="AS21" s="3187"/>
      <c r="AT21" s="3182"/>
      <c r="AU21" s="3183"/>
      <c r="AV21" s="3186"/>
      <c r="AW21" s="3186"/>
      <c r="AX21" s="3187"/>
      <c r="AY21" s="3182"/>
      <c r="AZ21" s="3183"/>
      <c r="BA21" s="3186"/>
      <c r="BB21" s="3186"/>
      <c r="BC21" s="3187"/>
      <c r="BD21" s="3182"/>
      <c r="BE21" s="3183"/>
      <c r="BF21" s="3186"/>
      <c r="BG21" s="3186"/>
      <c r="BH21" s="3187"/>
      <c r="BI21" s="3182"/>
      <c r="BJ21" s="3183"/>
      <c r="BK21" s="3186"/>
      <c r="BL21" s="3186"/>
      <c r="BM21" s="3187"/>
      <c r="BN21" s="3182"/>
      <c r="BO21" s="3183"/>
      <c r="BP21" s="3186"/>
      <c r="BQ21" s="3186"/>
      <c r="BR21" s="3187"/>
    </row>
    <row r="22" spans="1:112" ht="33" customHeight="1" x14ac:dyDescent="0.25">
      <c r="A22" s="1791" t="s">
        <v>514</v>
      </c>
      <c r="B22" s="1792"/>
      <c r="C22" s="1792"/>
      <c r="D22" s="1792"/>
      <c r="E22" s="1793"/>
      <c r="F22" s="1791" t="s">
        <v>514</v>
      </c>
      <c r="G22" s="1792"/>
      <c r="H22" s="1792"/>
      <c r="I22" s="1792"/>
      <c r="J22" s="1793"/>
      <c r="K22" s="1791" t="s">
        <v>514</v>
      </c>
      <c r="L22" s="1792"/>
      <c r="M22" s="1792"/>
      <c r="N22" s="1792"/>
      <c r="O22" s="1793"/>
      <c r="P22" s="1791" t="s">
        <v>514</v>
      </c>
      <c r="Q22" s="1792"/>
      <c r="R22" s="1792"/>
      <c r="S22" s="1792"/>
      <c r="T22" s="1793"/>
      <c r="U22" s="1791" t="s">
        <v>514</v>
      </c>
      <c r="V22" s="1792"/>
      <c r="W22" s="1792"/>
      <c r="X22" s="1792"/>
      <c r="Y22" s="1793"/>
      <c r="Z22" s="1791" t="s">
        <v>514</v>
      </c>
      <c r="AA22" s="1792"/>
      <c r="AB22" s="1792"/>
      <c r="AC22" s="1792"/>
      <c r="AD22" s="1793"/>
      <c r="AE22" s="1791" t="s">
        <v>514</v>
      </c>
      <c r="AF22" s="1792"/>
      <c r="AG22" s="1792"/>
      <c r="AH22" s="1792"/>
      <c r="AI22" s="1793"/>
      <c r="AJ22" s="1791" t="s">
        <v>514</v>
      </c>
      <c r="AK22" s="1792"/>
      <c r="AL22" s="1792"/>
      <c r="AM22" s="1792"/>
      <c r="AN22" s="1793"/>
      <c r="AO22" s="1791" t="s">
        <v>514</v>
      </c>
      <c r="AP22" s="1792"/>
      <c r="AQ22" s="1792"/>
      <c r="AR22" s="1792"/>
      <c r="AS22" s="1793"/>
      <c r="AT22" s="1791" t="s">
        <v>514</v>
      </c>
      <c r="AU22" s="1792"/>
      <c r="AV22" s="1792"/>
      <c r="AW22" s="1792"/>
      <c r="AX22" s="1793"/>
      <c r="AY22" s="1791" t="s">
        <v>514</v>
      </c>
      <c r="AZ22" s="1792"/>
      <c r="BA22" s="1792"/>
      <c r="BB22" s="1792"/>
      <c r="BC22" s="1793"/>
      <c r="BD22" s="1791" t="s">
        <v>514</v>
      </c>
      <c r="BE22" s="1792"/>
      <c r="BF22" s="1792"/>
      <c r="BG22" s="1792"/>
      <c r="BH22" s="1793"/>
      <c r="BI22" s="1791" t="s">
        <v>514</v>
      </c>
      <c r="BJ22" s="1792"/>
      <c r="BK22" s="1792"/>
      <c r="BL22" s="1792"/>
      <c r="BM22" s="1793"/>
      <c r="BN22" s="1791" t="s">
        <v>514</v>
      </c>
      <c r="BO22" s="1792"/>
      <c r="BP22" s="1792"/>
      <c r="BQ22" s="1792"/>
      <c r="BR22" s="1793"/>
    </row>
    <row r="23" spans="1:112" ht="33" customHeight="1" x14ac:dyDescent="0.25">
      <c r="A23" s="1794"/>
      <c r="B23" s="1795"/>
      <c r="C23" s="1795"/>
      <c r="D23" s="1795"/>
      <c r="E23" s="1796"/>
      <c r="F23" s="1794"/>
      <c r="G23" s="1795"/>
      <c r="H23" s="1795"/>
      <c r="I23" s="1795"/>
      <c r="J23" s="1796"/>
      <c r="K23" s="1794"/>
      <c r="L23" s="1795"/>
      <c r="M23" s="1795"/>
      <c r="N23" s="1795"/>
      <c r="O23" s="1796"/>
      <c r="P23" s="1794"/>
      <c r="Q23" s="1795"/>
      <c r="R23" s="1795"/>
      <c r="S23" s="1795"/>
      <c r="T23" s="1796"/>
      <c r="U23" s="1794"/>
      <c r="V23" s="1795"/>
      <c r="W23" s="1795"/>
      <c r="X23" s="1795"/>
      <c r="Y23" s="1796"/>
      <c r="Z23" s="1794"/>
      <c r="AA23" s="1795"/>
      <c r="AB23" s="1795"/>
      <c r="AC23" s="1795"/>
      <c r="AD23" s="1796"/>
      <c r="AE23" s="1794"/>
      <c r="AF23" s="1795"/>
      <c r="AG23" s="1795"/>
      <c r="AH23" s="1795"/>
      <c r="AI23" s="1796"/>
      <c r="AJ23" s="1794"/>
      <c r="AK23" s="1795"/>
      <c r="AL23" s="1795"/>
      <c r="AM23" s="1795"/>
      <c r="AN23" s="1796"/>
      <c r="AO23" s="1794"/>
      <c r="AP23" s="1795"/>
      <c r="AQ23" s="1795"/>
      <c r="AR23" s="1795"/>
      <c r="AS23" s="1796"/>
      <c r="AT23" s="1794"/>
      <c r="AU23" s="1795"/>
      <c r="AV23" s="1795"/>
      <c r="AW23" s="1795"/>
      <c r="AX23" s="1796"/>
      <c r="AY23" s="1794"/>
      <c r="AZ23" s="1795"/>
      <c r="BA23" s="1795"/>
      <c r="BB23" s="1795"/>
      <c r="BC23" s="1796"/>
      <c r="BD23" s="1794"/>
      <c r="BE23" s="1795"/>
      <c r="BF23" s="1795"/>
      <c r="BG23" s="1795"/>
      <c r="BH23" s="1796"/>
      <c r="BI23" s="1794"/>
      <c r="BJ23" s="1795"/>
      <c r="BK23" s="1795"/>
      <c r="BL23" s="1795"/>
      <c r="BM23" s="1796"/>
      <c r="BN23" s="1794"/>
      <c r="BO23" s="1795"/>
      <c r="BP23" s="1795"/>
      <c r="BQ23" s="1795"/>
      <c r="BR23" s="1796"/>
    </row>
    <row r="24" spans="1:112" s="22" customFormat="1" ht="84.95" customHeight="1" x14ac:dyDescent="1.35">
      <c r="A24" s="2356" t="s">
        <v>507</v>
      </c>
      <c r="B24" s="588">
        <v>7</v>
      </c>
      <c r="C24" s="589"/>
      <c r="D24" s="589"/>
      <c r="E24" s="590"/>
      <c r="F24" s="2356" t="s">
        <v>507</v>
      </c>
      <c r="G24" s="588">
        <v>8</v>
      </c>
      <c r="H24" s="589"/>
      <c r="I24" s="589"/>
      <c r="J24" s="590"/>
      <c r="K24" s="2356" t="s">
        <v>507</v>
      </c>
      <c r="L24" s="588">
        <v>9</v>
      </c>
      <c r="M24" s="589"/>
      <c r="N24" s="589"/>
      <c r="O24" s="590"/>
      <c r="P24" s="2356" t="s">
        <v>507</v>
      </c>
      <c r="Q24" s="588">
        <v>10</v>
      </c>
      <c r="R24" s="589"/>
      <c r="S24" s="589"/>
      <c r="T24" s="590"/>
      <c r="U24" s="2356" t="s">
        <v>507</v>
      </c>
      <c r="V24" s="588">
        <v>11</v>
      </c>
      <c r="W24" s="589"/>
      <c r="X24" s="589"/>
      <c r="Y24" s="590"/>
      <c r="Z24" s="2356" t="s">
        <v>507</v>
      </c>
      <c r="AA24" s="588">
        <v>12</v>
      </c>
      <c r="AB24" s="589"/>
      <c r="AC24" s="589"/>
      <c r="AD24" s="590"/>
      <c r="AE24" s="2356" t="s">
        <v>507</v>
      </c>
      <c r="AF24" s="588">
        <v>13</v>
      </c>
      <c r="AG24" s="589"/>
      <c r="AH24" s="589"/>
      <c r="AI24" s="590"/>
      <c r="AJ24" s="2356" t="s">
        <v>507</v>
      </c>
      <c r="AK24" s="588">
        <v>14</v>
      </c>
      <c r="AL24" s="589"/>
      <c r="AM24" s="589"/>
      <c r="AN24" s="590"/>
      <c r="AO24" s="2356" t="s">
        <v>507</v>
      </c>
      <c r="AP24" s="588">
        <v>15</v>
      </c>
      <c r="AQ24" s="589"/>
      <c r="AR24" s="589"/>
      <c r="AS24" s="590"/>
      <c r="AT24" s="2356" t="s">
        <v>507</v>
      </c>
      <c r="AU24" s="588">
        <v>16</v>
      </c>
      <c r="AV24" s="589"/>
      <c r="AW24" s="589"/>
      <c r="AX24" s="590"/>
      <c r="AY24" s="2356" t="s">
        <v>507</v>
      </c>
      <c r="AZ24" s="588">
        <v>17</v>
      </c>
      <c r="BA24" s="589"/>
      <c r="BB24" s="589"/>
      <c r="BC24" s="590"/>
      <c r="BD24" s="2356" t="s">
        <v>507</v>
      </c>
      <c r="BE24" s="588">
        <v>18</v>
      </c>
      <c r="BF24" s="589"/>
      <c r="BG24" s="589"/>
      <c r="BH24" s="590"/>
      <c r="BI24" s="2356" t="s">
        <v>507</v>
      </c>
      <c r="BJ24" s="588">
        <v>19</v>
      </c>
      <c r="BK24" s="589"/>
      <c r="BL24" s="589"/>
      <c r="BM24" s="590"/>
      <c r="BN24" s="2356" t="s">
        <v>507</v>
      </c>
      <c r="BO24" s="588">
        <v>20</v>
      </c>
      <c r="BP24" s="589"/>
      <c r="BQ24" s="589"/>
      <c r="BR24" s="590"/>
    </row>
    <row r="25" spans="1:112" ht="37.5" customHeight="1" thickBot="1" x14ac:dyDescent="0.3">
      <c r="A25" s="2357"/>
      <c r="B25" s="61">
        <v>1.117</v>
      </c>
      <c r="C25" s="62" t="s">
        <v>113</v>
      </c>
      <c r="D25" s="63"/>
      <c r="E25" s="64" t="s">
        <v>114</v>
      </c>
      <c r="F25" s="2357"/>
      <c r="G25" s="61">
        <v>0.38100000000000001</v>
      </c>
      <c r="H25" s="62" t="s">
        <v>113</v>
      </c>
      <c r="I25" s="63">
        <v>1</v>
      </c>
      <c r="J25" s="64" t="s">
        <v>114</v>
      </c>
      <c r="K25" s="2357"/>
      <c r="L25" s="61">
        <v>0.93899999999999995</v>
      </c>
      <c r="M25" s="62" t="s">
        <v>113</v>
      </c>
      <c r="N25" s="63">
        <v>1</v>
      </c>
      <c r="O25" s="64" t="s">
        <v>114</v>
      </c>
      <c r="P25" s="2357"/>
      <c r="Q25" s="61">
        <v>0.20300000000000001</v>
      </c>
      <c r="R25" s="62" t="s">
        <v>113</v>
      </c>
      <c r="S25" s="63">
        <v>1</v>
      </c>
      <c r="T25" s="64" t="s">
        <v>114</v>
      </c>
      <c r="U25" s="2357"/>
      <c r="V25" s="61">
        <v>1.5489999999999999</v>
      </c>
      <c r="W25" s="62" t="s">
        <v>113</v>
      </c>
      <c r="X25" s="63"/>
      <c r="Y25" s="64" t="s">
        <v>114</v>
      </c>
      <c r="Z25" s="2357"/>
      <c r="AA25" s="61">
        <v>0.58399999999999996</v>
      </c>
      <c r="AB25" s="62" t="s">
        <v>113</v>
      </c>
      <c r="AC25" s="63">
        <v>1</v>
      </c>
      <c r="AD25" s="64" t="s">
        <v>114</v>
      </c>
      <c r="AE25" s="2357"/>
      <c r="AF25" s="61">
        <v>0.33</v>
      </c>
      <c r="AG25" s="62" t="s">
        <v>113</v>
      </c>
      <c r="AH25" s="63">
        <v>1</v>
      </c>
      <c r="AI25" s="64" t="s">
        <v>114</v>
      </c>
      <c r="AJ25" s="2357"/>
      <c r="AK25" s="61">
        <v>0.40600000000000003</v>
      </c>
      <c r="AL25" s="62" t="s">
        <v>113</v>
      </c>
      <c r="AM25" s="63">
        <v>1</v>
      </c>
      <c r="AN25" s="64" t="s">
        <v>114</v>
      </c>
      <c r="AO25" s="2357"/>
      <c r="AP25" s="61">
        <v>9.9999999999999994E-12</v>
      </c>
      <c r="AQ25" s="62" t="s">
        <v>113</v>
      </c>
      <c r="AR25" s="63"/>
      <c r="AS25" s="64" t="s">
        <v>114</v>
      </c>
      <c r="AT25" s="2357"/>
      <c r="AU25" s="61">
        <v>0.30480000000000002</v>
      </c>
      <c r="AV25" s="62" t="s">
        <v>113</v>
      </c>
      <c r="AW25" s="63">
        <v>1</v>
      </c>
      <c r="AX25" s="64" t="s">
        <v>114</v>
      </c>
      <c r="AY25" s="2357"/>
      <c r="AZ25" s="61">
        <v>0.55879999999999996</v>
      </c>
      <c r="BA25" s="62" t="s">
        <v>113</v>
      </c>
      <c r="BB25" s="63">
        <v>1</v>
      </c>
      <c r="BC25" s="64" t="s">
        <v>114</v>
      </c>
      <c r="BD25" s="2357"/>
      <c r="BE25" s="61">
        <v>0.76200000000000001</v>
      </c>
      <c r="BF25" s="62" t="s">
        <v>113</v>
      </c>
      <c r="BG25" s="63"/>
      <c r="BH25" s="64" t="s">
        <v>114</v>
      </c>
      <c r="BI25" s="2357"/>
      <c r="BJ25" s="61">
        <v>0.50800000000000001</v>
      </c>
      <c r="BK25" s="62" t="s">
        <v>113</v>
      </c>
      <c r="BL25" s="63">
        <v>1</v>
      </c>
      <c r="BM25" s="64" t="s">
        <v>114</v>
      </c>
      <c r="BN25" s="2357"/>
      <c r="BO25" s="61">
        <v>0.88900000000000001</v>
      </c>
      <c r="BP25" s="62" t="s">
        <v>113</v>
      </c>
      <c r="BQ25" s="63">
        <v>1</v>
      </c>
      <c r="BR25" s="64" t="s">
        <v>114</v>
      </c>
      <c r="BW25" s="27"/>
    </row>
    <row r="26" spans="1:112" ht="22.5" customHeight="1" thickTop="1" x14ac:dyDescent="0.25">
      <c r="A26" s="2370" t="s">
        <v>110</v>
      </c>
      <c r="B26" s="3181"/>
      <c r="C26" s="3184">
        <f>B31/((36*3.1415/59)*(149/3.281))</f>
        <v>1.7507227521015658E-3</v>
      </c>
      <c r="D26" s="3184"/>
      <c r="E26" s="3185"/>
      <c r="F26" s="582" t="s">
        <v>110</v>
      </c>
      <c r="G26" s="3174"/>
      <c r="H26" s="3177">
        <f>G31/((36*3.1415/59)*(114/3.281))</f>
        <v>1.5630200727294388E-2</v>
      </c>
      <c r="I26" s="3177"/>
      <c r="J26" s="3178"/>
      <c r="K26" s="582" t="s">
        <v>110</v>
      </c>
      <c r="L26" s="3174"/>
      <c r="M26" s="3177">
        <f t="shared" ref="M26" si="54">L31/((36*3.1415/59)*(114/3.281))</f>
        <v>1.1816491808242732E-2</v>
      </c>
      <c r="N26" s="3177"/>
      <c r="O26" s="3178"/>
      <c r="P26" s="582" t="s">
        <v>110</v>
      </c>
      <c r="Q26" s="3174"/>
      <c r="R26" s="3177">
        <f t="shared" ref="R26" si="55">Q31/((36*3.1415/59)*(114/3.281))</f>
        <v>3.8137089190516567E-3</v>
      </c>
      <c r="S26" s="3177"/>
      <c r="T26" s="3178"/>
      <c r="U26" s="582" t="s">
        <v>110</v>
      </c>
      <c r="V26" s="3174"/>
      <c r="W26" s="3177">
        <f t="shared" ref="W26" si="56">V31/((36*3.1415/59)*(114/3.281))</f>
        <v>1.1411097553067949E-3</v>
      </c>
      <c r="X26" s="3177"/>
      <c r="Y26" s="3178"/>
      <c r="Z26" s="582" t="s">
        <v>110</v>
      </c>
      <c r="AA26" s="3174"/>
      <c r="AB26" s="3177">
        <f t="shared" ref="AB26" si="57">AA31/((36*3.1415/59)*(114/3.281))</f>
        <v>2.66959624333616E-3</v>
      </c>
      <c r="AC26" s="3177"/>
      <c r="AD26" s="3178"/>
      <c r="AE26" s="582" t="s">
        <v>110</v>
      </c>
      <c r="AF26" s="3174"/>
      <c r="AG26" s="3177">
        <f t="shared" ref="AG26" si="58">AF31/((36*3.1415/59)*(114/3.281))</f>
        <v>1.5014602043510459E-9</v>
      </c>
      <c r="AH26" s="3177"/>
      <c r="AI26" s="3178"/>
      <c r="AJ26" s="582" t="s">
        <v>110</v>
      </c>
      <c r="AK26" s="3174"/>
      <c r="AL26" s="3177">
        <f t="shared" ref="AL26" si="59">AK31/((36*3.1415/59)*(114/3.281))</f>
        <v>8.0027828891910749E-3</v>
      </c>
      <c r="AM26" s="3177"/>
      <c r="AN26" s="3178"/>
      <c r="AO26" s="582" t="s">
        <v>110</v>
      </c>
      <c r="AP26" s="3174"/>
      <c r="AQ26" s="3177">
        <f t="shared" ref="AQ26" si="60">AP31/((36*3.1415/59)*(114/3.281))</f>
        <v>1.5014602043510459E-9</v>
      </c>
      <c r="AR26" s="3177"/>
      <c r="AS26" s="3178"/>
      <c r="AT26" s="582" t="s">
        <v>110</v>
      </c>
      <c r="AU26" s="3174"/>
      <c r="AV26" s="3177">
        <f t="shared" ref="AV26" si="61">AU31/((36*3.1415/59)*(114/3.281))</f>
        <v>8.2745471861786143E-2</v>
      </c>
      <c r="AW26" s="3177"/>
      <c r="AX26" s="3178"/>
      <c r="AY26" s="582" t="s">
        <v>110</v>
      </c>
      <c r="AZ26" s="3174"/>
      <c r="BA26" s="3177">
        <f t="shared" ref="BA26" si="62">AZ31/((36*3.1415/59)*(114/3.281))</f>
        <v>4.1890739701394182E-3</v>
      </c>
      <c r="BB26" s="3177"/>
      <c r="BC26" s="3178"/>
      <c r="BD26" s="582" t="s">
        <v>110</v>
      </c>
      <c r="BE26" s="3174"/>
      <c r="BF26" s="3177">
        <f t="shared" ref="BF26" si="63">BE31/((36*3.1415/59)*(114/3.281))</f>
        <v>4.9548186743584516E-3</v>
      </c>
      <c r="BG26" s="3177"/>
      <c r="BH26" s="3178"/>
      <c r="BI26" s="582" t="s">
        <v>110</v>
      </c>
      <c r="BJ26" s="3174"/>
      <c r="BK26" s="3177">
        <f t="shared" ref="BK26" si="64">BJ31/((36*3.1415/59)*(114/3.281))</f>
        <v>9.9096373487169032E-3</v>
      </c>
      <c r="BL26" s="3177"/>
      <c r="BM26" s="3178"/>
      <c r="BN26" s="582" t="s">
        <v>110</v>
      </c>
      <c r="BO26" s="3174"/>
      <c r="BP26" s="3177">
        <f t="shared" ref="BP26" si="65">BO31/((36*3.1415/59)*(114/3.281))</f>
        <v>1.5014602043510459E-9</v>
      </c>
      <c r="BQ26" s="3177"/>
      <c r="BR26" s="3178"/>
    </row>
    <row r="27" spans="1:112" ht="22.5" customHeight="1" x14ac:dyDescent="0.25">
      <c r="A27" s="3182"/>
      <c r="B27" s="3183"/>
      <c r="C27" s="3186"/>
      <c r="D27" s="3186"/>
      <c r="E27" s="3187"/>
      <c r="F27" s="3175"/>
      <c r="G27" s="3176"/>
      <c r="H27" s="3179"/>
      <c r="I27" s="3179"/>
      <c r="J27" s="3180"/>
      <c r="K27" s="3175"/>
      <c r="L27" s="3176"/>
      <c r="M27" s="3179"/>
      <c r="N27" s="3179"/>
      <c r="O27" s="3180"/>
      <c r="P27" s="3175"/>
      <c r="Q27" s="3176"/>
      <c r="R27" s="3179"/>
      <c r="S27" s="3179"/>
      <c r="T27" s="3180"/>
      <c r="U27" s="3175"/>
      <c r="V27" s="3176"/>
      <c r="W27" s="3179"/>
      <c r="X27" s="3179"/>
      <c r="Y27" s="3180"/>
      <c r="Z27" s="3175"/>
      <c r="AA27" s="3176"/>
      <c r="AB27" s="3179"/>
      <c r="AC27" s="3179"/>
      <c r="AD27" s="3180"/>
      <c r="AE27" s="3175"/>
      <c r="AF27" s="3176"/>
      <c r="AG27" s="3179"/>
      <c r="AH27" s="3179"/>
      <c r="AI27" s="3180"/>
      <c r="AJ27" s="3175"/>
      <c r="AK27" s="3176"/>
      <c r="AL27" s="3179"/>
      <c r="AM27" s="3179"/>
      <c r="AN27" s="3180"/>
      <c r="AO27" s="3175"/>
      <c r="AP27" s="3176"/>
      <c r="AQ27" s="3179"/>
      <c r="AR27" s="3179"/>
      <c r="AS27" s="3180"/>
      <c r="AT27" s="3175"/>
      <c r="AU27" s="3176"/>
      <c r="AV27" s="3179"/>
      <c r="AW27" s="3179"/>
      <c r="AX27" s="3180"/>
      <c r="AY27" s="3175"/>
      <c r="AZ27" s="3176"/>
      <c r="BA27" s="3179"/>
      <c r="BB27" s="3179"/>
      <c r="BC27" s="3180"/>
      <c r="BD27" s="3175"/>
      <c r="BE27" s="3176"/>
      <c r="BF27" s="3179"/>
      <c r="BG27" s="3179"/>
      <c r="BH27" s="3180"/>
      <c r="BI27" s="3175"/>
      <c r="BJ27" s="3176"/>
      <c r="BK27" s="3179"/>
      <c r="BL27" s="3179"/>
      <c r="BM27" s="3180"/>
      <c r="BN27" s="3175"/>
      <c r="BO27" s="3176"/>
      <c r="BP27" s="3179"/>
      <c r="BQ27" s="3179"/>
      <c r="BR27" s="3180"/>
      <c r="DG27" s="13"/>
      <c r="DH27" s="13"/>
    </row>
    <row r="28" spans="1:112" ht="33" customHeight="1" x14ac:dyDescent="0.25">
      <c r="A28" s="1791" t="s">
        <v>514</v>
      </c>
      <c r="B28" s="1792"/>
      <c r="C28" s="1792"/>
      <c r="D28" s="1792"/>
      <c r="E28" s="1793"/>
      <c r="F28" s="1791" t="s">
        <v>514</v>
      </c>
      <c r="G28" s="1792"/>
      <c r="H28" s="1792"/>
      <c r="I28" s="1792"/>
      <c r="J28" s="1793"/>
      <c r="K28" s="3167" t="s">
        <v>512</v>
      </c>
      <c r="L28" s="2344"/>
      <c r="M28" s="3169" t="s">
        <v>513</v>
      </c>
      <c r="N28" s="3169"/>
      <c r="O28" s="3170"/>
      <c r="P28" s="1791" t="s">
        <v>514</v>
      </c>
      <c r="Q28" s="1792"/>
      <c r="R28" s="1792"/>
      <c r="S28" s="1792"/>
      <c r="T28" s="1793"/>
      <c r="U28" s="1791" t="s">
        <v>514</v>
      </c>
      <c r="V28" s="1792"/>
      <c r="W28" s="1792"/>
      <c r="X28" s="1792"/>
      <c r="Y28" s="1793"/>
      <c r="Z28" s="1791" t="s">
        <v>514</v>
      </c>
      <c r="AA28" s="1792"/>
      <c r="AB28" s="1792"/>
      <c r="AC28" s="1792"/>
      <c r="AD28" s="1793"/>
      <c r="AE28" s="1791" t="s">
        <v>514</v>
      </c>
      <c r="AF28" s="1792"/>
      <c r="AG28" s="1792"/>
      <c r="AH28" s="1792"/>
      <c r="AI28" s="1793"/>
      <c r="AJ28" s="1791" t="s">
        <v>514</v>
      </c>
      <c r="AK28" s="1792"/>
      <c r="AL28" s="1792"/>
      <c r="AM28" s="1792"/>
      <c r="AN28" s="1793"/>
      <c r="AO28" s="1791" t="s">
        <v>514</v>
      </c>
      <c r="AP28" s="1792"/>
      <c r="AQ28" s="1792"/>
      <c r="AR28" s="1792"/>
      <c r="AS28" s="1793"/>
      <c r="AT28" s="1791" t="s">
        <v>514</v>
      </c>
      <c r="AU28" s="1792"/>
      <c r="AV28" s="1792"/>
      <c r="AW28" s="1792"/>
      <c r="AX28" s="1793"/>
      <c r="AY28" s="1791" t="s">
        <v>514</v>
      </c>
      <c r="AZ28" s="1792"/>
      <c r="BA28" s="1792"/>
      <c r="BB28" s="1792"/>
      <c r="BC28" s="1793"/>
      <c r="BD28" s="1791" t="s">
        <v>514</v>
      </c>
      <c r="BE28" s="1792"/>
      <c r="BF28" s="1792"/>
      <c r="BG28" s="1792"/>
      <c r="BH28" s="1793"/>
      <c r="BI28" s="1791" t="s">
        <v>514</v>
      </c>
      <c r="BJ28" s="1792"/>
      <c r="BK28" s="1792"/>
      <c r="BL28" s="1792"/>
      <c r="BM28" s="1793"/>
      <c r="BN28" s="1791" t="s">
        <v>514</v>
      </c>
      <c r="BO28" s="1792"/>
      <c r="BP28" s="1792"/>
      <c r="BQ28" s="1792"/>
      <c r="BR28" s="1793"/>
      <c r="DG28" s="13"/>
      <c r="DH28" s="13"/>
    </row>
    <row r="29" spans="1:112" ht="33" customHeight="1" x14ac:dyDescent="0.25">
      <c r="A29" s="1794"/>
      <c r="B29" s="1795"/>
      <c r="C29" s="1795"/>
      <c r="D29" s="1795"/>
      <c r="E29" s="1796"/>
      <c r="F29" s="1794"/>
      <c r="G29" s="1795"/>
      <c r="H29" s="1795"/>
      <c r="I29" s="1795"/>
      <c r="J29" s="1796"/>
      <c r="K29" s="3168"/>
      <c r="L29" s="2345"/>
      <c r="M29" s="3171"/>
      <c r="N29" s="3171"/>
      <c r="O29" s="3172"/>
      <c r="P29" s="1794"/>
      <c r="Q29" s="1795"/>
      <c r="R29" s="1795"/>
      <c r="S29" s="1795"/>
      <c r="T29" s="1796"/>
      <c r="U29" s="1794"/>
      <c r="V29" s="1795"/>
      <c r="W29" s="1795"/>
      <c r="X29" s="1795"/>
      <c r="Y29" s="1796"/>
      <c r="Z29" s="1794"/>
      <c r="AA29" s="1795"/>
      <c r="AB29" s="1795"/>
      <c r="AC29" s="1795"/>
      <c r="AD29" s="1796"/>
      <c r="AE29" s="1794"/>
      <c r="AF29" s="1795"/>
      <c r="AG29" s="1795"/>
      <c r="AH29" s="1795"/>
      <c r="AI29" s="1796"/>
      <c r="AJ29" s="1794"/>
      <c r="AK29" s="1795"/>
      <c r="AL29" s="1795"/>
      <c r="AM29" s="1795"/>
      <c r="AN29" s="1796"/>
      <c r="AO29" s="1794"/>
      <c r="AP29" s="1795"/>
      <c r="AQ29" s="1795"/>
      <c r="AR29" s="1795"/>
      <c r="AS29" s="1796"/>
      <c r="AT29" s="1794"/>
      <c r="AU29" s="1795"/>
      <c r="AV29" s="1795"/>
      <c r="AW29" s="1795"/>
      <c r="AX29" s="1796"/>
      <c r="AY29" s="1794"/>
      <c r="AZ29" s="1795"/>
      <c r="BA29" s="1795"/>
      <c r="BB29" s="1795"/>
      <c r="BC29" s="1796"/>
      <c r="BD29" s="1794"/>
      <c r="BE29" s="1795"/>
      <c r="BF29" s="1795"/>
      <c r="BG29" s="1795"/>
      <c r="BH29" s="1796"/>
      <c r="BI29" s="1794"/>
      <c r="BJ29" s="1795"/>
      <c r="BK29" s="1795"/>
      <c r="BL29" s="1795"/>
      <c r="BM29" s="1796"/>
      <c r="BN29" s="1794"/>
      <c r="BO29" s="1795"/>
      <c r="BP29" s="1795"/>
      <c r="BQ29" s="1795"/>
      <c r="BR29" s="1796"/>
      <c r="DG29" s="13"/>
      <c r="DH29" s="13"/>
    </row>
    <row r="30" spans="1:112" s="22" customFormat="1" ht="85.5" customHeight="1" x14ac:dyDescent="1.35">
      <c r="A30" s="2356" t="s">
        <v>507</v>
      </c>
      <c r="B30" s="588">
        <v>21</v>
      </c>
      <c r="C30" s="589"/>
      <c r="D30" s="589"/>
      <c r="E30" s="590"/>
      <c r="F30" s="586" t="s">
        <v>508</v>
      </c>
      <c r="G30" s="588">
        <v>58</v>
      </c>
      <c r="H30" s="589"/>
      <c r="I30" s="589"/>
      <c r="J30" s="590"/>
      <c r="K30" s="586" t="s">
        <v>508</v>
      </c>
      <c r="L30" s="588">
        <v>59</v>
      </c>
      <c r="M30" s="589"/>
      <c r="N30" s="589"/>
      <c r="O30" s="590"/>
      <c r="P30" s="586" t="s">
        <v>508</v>
      </c>
      <c r="Q30" s="588">
        <v>60</v>
      </c>
      <c r="R30" s="589"/>
      <c r="S30" s="589"/>
      <c r="T30" s="590"/>
      <c r="U30" s="586" t="s">
        <v>508</v>
      </c>
      <c r="V30" s="588">
        <v>61</v>
      </c>
      <c r="W30" s="589"/>
      <c r="X30" s="589"/>
      <c r="Y30" s="590"/>
      <c r="Z30" s="586" t="s">
        <v>508</v>
      </c>
      <c r="AA30" s="588">
        <v>62</v>
      </c>
      <c r="AB30" s="589"/>
      <c r="AC30" s="589"/>
      <c r="AD30" s="590"/>
      <c r="AE30" s="586" t="s">
        <v>508</v>
      </c>
      <c r="AF30" s="588">
        <v>63</v>
      </c>
      <c r="AG30" s="589"/>
      <c r="AH30" s="589"/>
      <c r="AI30" s="590"/>
      <c r="AJ30" s="586" t="s">
        <v>508</v>
      </c>
      <c r="AK30" s="588">
        <v>64</v>
      </c>
      <c r="AL30" s="589"/>
      <c r="AM30" s="589"/>
      <c r="AN30" s="590"/>
      <c r="AO30" s="586" t="s">
        <v>508</v>
      </c>
      <c r="AP30" s="588">
        <v>65</v>
      </c>
      <c r="AQ30" s="589"/>
      <c r="AR30" s="589"/>
      <c r="AS30" s="590"/>
      <c r="AT30" s="586" t="s">
        <v>508</v>
      </c>
      <c r="AU30" s="588">
        <v>66</v>
      </c>
      <c r="AV30" s="589"/>
      <c r="AW30" s="589"/>
      <c r="AX30" s="590"/>
      <c r="AY30" s="586" t="s">
        <v>508</v>
      </c>
      <c r="AZ30" s="588">
        <v>67</v>
      </c>
      <c r="BA30" s="589"/>
      <c r="BB30" s="589"/>
      <c r="BC30" s="590"/>
      <c r="BD30" s="586" t="s">
        <v>508</v>
      </c>
      <c r="BE30" s="588">
        <v>68</v>
      </c>
      <c r="BF30" s="589"/>
      <c r="BG30" s="589"/>
      <c r="BH30" s="590"/>
      <c r="BI30" s="586" t="s">
        <v>508</v>
      </c>
      <c r="BJ30" s="588">
        <v>69</v>
      </c>
      <c r="BK30" s="589"/>
      <c r="BL30" s="589"/>
      <c r="BM30" s="590"/>
      <c r="BN30" s="586" t="s">
        <v>508</v>
      </c>
      <c r="BO30" s="588">
        <v>70</v>
      </c>
      <c r="BP30" s="589"/>
      <c r="BQ30" s="589"/>
      <c r="BR30" s="590"/>
      <c r="DG30" s="317"/>
      <c r="DH30" s="317"/>
    </row>
    <row r="31" spans="1:112" ht="37.5" customHeight="1" thickBot="1" x14ac:dyDescent="0.3">
      <c r="A31" s="2357"/>
      <c r="B31" s="61">
        <v>0.15240000000000001</v>
      </c>
      <c r="C31" s="62" t="s">
        <v>113</v>
      </c>
      <c r="D31" s="63">
        <v>1</v>
      </c>
      <c r="E31" s="64" t="s">
        <v>114</v>
      </c>
      <c r="F31" s="587"/>
      <c r="G31" s="61">
        <v>1.0409999999999999</v>
      </c>
      <c r="H31" s="62" t="s">
        <v>113</v>
      </c>
      <c r="I31" s="63">
        <v>1</v>
      </c>
      <c r="J31" s="64" t="s">
        <v>114</v>
      </c>
      <c r="K31" s="587"/>
      <c r="L31" s="61">
        <v>0.78700000000000003</v>
      </c>
      <c r="M31" s="62" t="s">
        <v>113</v>
      </c>
      <c r="N31" s="63"/>
      <c r="O31" s="64" t="s">
        <v>114</v>
      </c>
      <c r="P31" s="587"/>
      <c r="Q31" s="61">
        <v>0.254</v>
      </c>
      <c r="R31" s="62" t="s">
        <v>113</v>
      </c>
      <c r="S31" s="63">
        <v>1</v>
      </c>
      <c r="T31" s="64" t="s">
        <v>114</v>
      </c>
      <c r="U31" s="587"/>
      <c r="V31" s="61">
        <v>7.5999999999999998E-2</v>
      </c>
      <c r="W31" s="62" t="s">
        <v>113</v>
      </c>
      <c r="X31" s="63">
        <v>1</v>
      </c>
      <c r="Y31" s="64" t="s">
        <v>114</v>
      </c>
      <c r="Z31" s="587"/>
      <c r="AA31" s="61">
        <v>0.17780000000000001</v>
      </c>
      <c r="AB31" s="62" t="s">
        <v>113</v>
      </c>
      <c r="AC31" s="63">
        <v>1</v>
      </c>
      <c r="AD31" s="64" t="s">
        <v>114</v>
      </c>
      <c r="AE31" s="587"/>
      <c r="AF31" s="61">
        <v>9.9999999999999995E-8</v>
      </c>
      <c r="AG31" s="62" t="s">
        <v>113</v>
      </c>
      <c r="AH31" s="63"/>
      <c r="AI31" s="64" t="s">
        <v>114</v>
      </c>
      <c r="AJ31" s="587"/>
      <c r="AK31" s="61">
        <v>0.53300000000000003</v>
      </c>
      <c r="AL31" s="62" t="s">
        <v>113</v>
      </c>
      <c r="AM31" s="63">
        <v>1</v>
      </c>
      <c r="AN31" s="64" t="s">
        <v>114</v>
      </c>
      <c r="AO31" s="587"/>
      <c r="AP31" s="61">
        <v>9.9999999999999995E-8</v>
      </c>
      <c r="AQ31" s="62" t="s">
        <v>113</v>
      </c>
      <c r="AR31" s="63"/>
      <c r="AS31" s="64" t="s">
        <v>114</v>
      </c>
      <c r="AT31" s="587"/>
      <c r="AU31" s="61">
        <v>5.5110000000000001</v>
      </c>
      <c r="AV31" s="62" t="s">
        <v>113</v>
      </c>
      <c r="AW31" s="63">
        <v>1</v>
      </c>
      <c r="AX31" s="64" t="s">
        <v>114</v>
      </c>
      <c r="AY31" s="587"/>
      <c r="AZ31" s="61">
        <v>0.27900000000000003</v>
      </c>
      <c r="BA31" s="62" t="s">
        <v>113</v>
      </c>
      <c r="BB31" s="63"/>
      <c r="BC31" s="64" t="s">
        <v>114</v>
      </c>
      <c r="BD31" s="587"/>
      <c r="BE31" s="61">
        <v>0.33</v>
      </c>
      <c r="BF31" s="62" t="s">
        <v>113</v>
      </c>
      <c r="BG31" s="63">
        <v>1</v>
      </c>
      <c r="BH31" s="64" t="s">
        <v>114</v>
      </c>
      <c r="BI31" s="587"/>
      <c r="BJ31" s="61">
        <v>0.66</v>
      </c>
      <c r="BK31" s="62" t="s">
        <v>113</v>
      </c>
      <c r="BL31" s="63">
        <v>1</v>
      </c>
      <c r="BM31" s="64" t="s">
        <v>114</v>
      </c>
      <c r="BN31" s="587"/>
      <c r="BO31" s="61">
        <v>9.9999999999999995E-8</v>
      </c>
      <c r="BP31" s="62" t="s">
        <v>113</v>
      </c>
      <c r="BQ31" s="63"/>
      <c r="BR31" s="64" t="s">
        <v>114</v>
      </c>
      <c r="BW31" s="27"/>
      <c r="DG31" s="13"/>
      <c r="DH31" s="13"/>
    </row>
    <row r="32" spans="1:112" ht="22.5" customHeight="1" thickTop="1" x14ac:dyDescent="0.25">
      <c r="A32" s="582" t="s">
        <v>110</v>
      </c>
      <c r="B32" s="3174"/>
      <c r="C32" s="3177">
        <f t="shared" ref="C32" si="66">B37/((36*3.1415/59)*(114/3.281))</f>
        <v>3.0479642148326233E-3</v>
      </c>
      <c r="D32" s="3177"/>
      <c r="E32" s="3178"/>
      <c r="F32" s="582" t="s">
        <v>110</v>
      </c>
      <c r="G32" s="3174"/>
      <c r="H32" s="3177">
        <f t="shared" ref="H32" si="67">G37/((36*3.1415/59)*(114/3.281))</f>
        <v>4.5764507028619884E-3</v>
      </c>
      <c r="I32" s="3177"/>
      <c r="J32" s="3178"/>
      <c r="K32" s="582" t="s">
        <v>110</v>
      </c>
      <c r="L32" s="3174"/>
      <c r="M32" s="3177">
        <f t="shared" ref="M32" si="68">L37/((36*3.1415/59)*(114/3.281))</f>
        <v>7.2370381849720415E-3</v>
      </c>
      <c r="N32" s="3177"/>
      <c r="O32" s="3178"/>
      <c r="P32" s="712"/>
      <c r="Q32" s="710"/>
      <c r="R32" s="1804"/>
      <c r="S32" s="1804"/>
      <c r="T32" s="1804"/>
      <c r="U32" s="710"/>
      <c r="V32" s="710"/>
      <c r="W32" s="1804"/>
      <c r="X32" s="1804"/>
      <c r="Y32" s="1804"/>
      <c r="Z32" s="710"/>
      <c r="AA32" s="710"/>
      <c r="AB32" s="1804"/>
      <c r="AC32" s="1804"/>
      <c r="AD32" s="1804"/>
      <c r="AE32" s="710"/>
      <c r="AF32" s="710"/>
      <c r="AG32" s="1804"/>
      <c r="AH32" s="1804"/>
      <c r="AI32" s="1804"/>
      <c r="AJ32" s="710"/>
      <c r="AK32" s="710"/>
      <c r="AL32" s="1804"/>
      <c r="AM32" s="1804"/>
      <c r="AN32" s="1804"/>
      <c r="AO32" s="710"/>
      <c r="AP32" s="710"/>
      <c r="AQ32" s="1804"/>
      <c r="AR32" s="1804"/>
      <c r="AS32" s="1804"/>
      <c r="AT32" s="710"/>
      <c r="AU32" s="710"/>
      <c r="AV32" s="1804"/>
      <c r="AW32" s="1804"/>
      <c r="AX32" s="1804"/>
      <c r="AY32" s="710"/>
      <c r="AZ32" s="710"/>
      <c r="BA32" s="1804"/>
      <c r="BB32" s="1804"/>
      <c r="BC32" s="1804"/>
      <c r="BD32" s="710"/>
      <c r="BE32" s="710"/>
      <c r="BF32" s="1804"/>
      <c r="BG32" s="1804"/>
      <c r="BH32" s="1804"/>
      <c r="BI32" s="710"/>
      <c r="BJ32" s="710"/>
      <c r="BK32" s="1804"/>
      <c r="BL32" s="1804"/>
      <c r="BM32" s="1804"/>
      <c r="BN32" s="710"/>
      <c r="BO32" s="710"/>
      <c r="BP32" s="1804"/>
      <c r="BQ32" s="1804"/>
      <c r="BR32" s="1804"/>
      <c r="DG32" s="57"/>
      <c r="DH32" s="57"/>
    </row>
    <row r="33" spans="1:112" ht="22.5" customHeight="1" x14ac:dyDescent="0.25">
      <c r="A33" s="3175"/>
      <c r="B33" s="3176"/>
      <c r="C33" s="3179"/>
      <c r="D33" s="3179"/>
      <c r="E33" s="3180"/>
      <c r="F33" s="3175"/>
      <c r="G33" s="3176"/>
      <c r="H33" s="3179"/>
      <c r="I33" s="3179"/>
      <c r="J33" s="3180"/>
      <c r="K33" s="3175"/>
      <c r="L33" s="3176"/>
      <c r="M33" s="3179"/>
      <c r="N33" s="3179"/>
      <c r="O33" s="3180"/>
      <c r="P33" s="1859"/>
      <c r="Q33" s="719"/>
      <c r="R33" s="1300"/>
      <c r="S33" s="1300"/>
      <c r="T33" s="1300"/>
      <c r="U33" s="719"/>
      <c r="V33" s="719"/>
      <c r="W33" s="1300"/>
      <c r="X33" s="1300"/>
      <c r="Y33" s="1300"/>
      <c r="Z33" s="719"/>
      <c r="AA33" s="719"/>
      <c r="AB33" s="1300"/>
      <c r="AC33" s="1300"/>
      <c r="AD33" s="1300"/>
      <c r="AE33" s="719"/>
      <c r="AF33" s="719"/>
      <c r="AG33" s="1300"/>
      <c r="AH33" s="1300"/>
      <c r="AI33" s="1300"/>
      <c r="AJ33" s="719"/>
      <c r="AK33" s="719"/>
      <c r="AL33" s="1300"/>
      <c r="AM33" s="1300"/>
      <c r="AN33" s="1300"/>
      <c r="AO33" s="719"/>
      <c r="AP33" s="719"/>
      <c r="AQ33" s="1300"/>
      <c r="AR33" s="1300"/>
      <c r="AS33" s="1300"/>
      <c r="AT33" s="719"/>
      <c r="AU33" s="719"/>
      <c r="AV33" s="1300"/>
      <c r="AW33" s="1300"/>
      <c r="AX33" s="1300"/>
      <c r="AY33" s="719"/>
      <c r="AZ33" s="719"/>
      <c r="BA33" s="1300"/>
      <c r="BB33" s="1300"/>
      <c r="BC33" s="1300"/>
      <c r="BD33" s="719"/>
      <c r="BE33" s="719"/>
      <c r="BF33" s="1300"/>
      <c r="BG33" s="1300"/>
      <c r="BH33" s="1300"/>
      <c r="BI33" s="719"/>
      <c r="BJ33" s="719"/>
      <c r="BK33" s="1300"/>
      <c r="BL33" s="1300"/>
      <c r="BM33" s="1300"/>
      <c r="BN33" s="719"/>
      <c r="BO33" s="719"/>
      <c r="BP33" s="1300"/>
      <c r="BQ33" s="1300"/>
      <c r="BR33" s="1300"/>
      <c r="DG33" s="57"/>
      <c r="DH33" s="57"/>
    </row>
    <row r="34" spans="1:112" ht="33" customHeight="1" x14ac:dyDescent="0.25">
      <c r="A34" s="1791" t="s">
        <v>514</v>
      </c>
      <c r="B34" s="1792"/>
      <c r="C34" s="1792"/>
      <c r="D34" s="1792"/>
      <c r="E34" s="1793"/>
      <c r="F34" s="1791" t="s">
        <v>514</v>
      </c>
      <c r="G34" s="1792"/>
      <c r="H34" s="1792"/>
      <c r="I34" s="1792"/>
      <c r="J34" s="1793"/>
      <c r="K34" s="1791" t="s">
        <v>514</v>
      </c>
      <c r="L34" s="1792"/>
      <c r="M34" s="1792"/>
      <c r="N34" s="1792"/>
      <c r="O34" s="1793"/>
      <c r="P34" s="1859"/>
      <c r="Q34" s="719"/>
      <c r="R34" s="719"/>
      <c r="S34" s="719"/>
      <c r="T34" s="719"/>
      <c r="U34" s="719"/>
      <c r="V34" s="719"/>
      <c r="W34" s="719"/>
      <c r="X34" s="719"/>
      <c r="Y34" s="719"/>
      <c r="Z34" s="719"/>
      <c r="AA34" s="719"/>
      <c r="AB34" s="719"/>
      <c r="AC34" s="719"/>
      <c r="AD34" s="719"/>
      <c r="AE34" s="719"/>
      <c r="AF34" s="719"/>
      <c r="AG34" s="719"/>
      <c r="AH34" s="719"/>
      <c r="AI34" s="719"/>
      <c r="AJ34" s="719"/>
      <c r="AK34" s="719"/>
      <c r="AL34" s="719"/>
      <c r="AM34" s="719"/>
      <c r="AN34" s="719"/>
      <c r="AO34" s="719"/>
      <c r="AP34" s="719"/>
      <c r="AQ34" s="719"/>
      <c r="AR34" s="719"/>
      <c r="AS34" s="719"/>
      <c r="AT34" s="719"/>
      <c r="AU34" s="719"/>
      <c r="AV34" s="719"/>
      <c r="AW34" s="719"/>
      <c r="AX34" s="719"/>
      <c r="AY34" s="719"/>
      <c r="AZ34" s="719"/>
      <c r="BA34" s="719"/>
      <c r="BB34" s="719"/>
      <c r="BC34" s="719"/>
      <c r="BD34" s="719"/>
      <c r="BE34" s="719"/>
      <c r="BF34" s="719"/>
      <c r="BG34" s="719"/>
      <c r="BH34" s="719"/>
      <c r="BI34" s="719"/>
      <c r="BJ34" s="719"/>
      <c r="BK34" s="719"/>
      <c r="BL34" s="719"/>
      <c r="BM34" s="719"/>
      <c r="BN34" s="719"/>
      <c r="BO34" s="719"/>
      <c r="BP34" s="719"/>
      <c r="BQ34" s="719"/>
      <c r="BR34" s="719"/>
      <c r="DG34" s="57"/>
      <c r="DH34" s="57"/>
    </row>
    <row r="35" spans="1:112" ht="33" customHeight="1" x14ac:dyDescent="0.25">
      <c r="A35" s="1794"/>
      <c r="B35" s="1795"/>
      <c r="C35" s="1795"/>
      <c r="D35" s="1795"/>
      <c r="E35" s="1796"/>
      <c r="F35" s="1794"/>
      <c r="G35" s="1795"/>
      <c r="H35" s="1795"/>
      <c r="I35" s="1795"/>
      <c r="J35" s="1796"/>
      <c r="K35" s="1794"/>
      <c r="L35" s="1795"/>
      <c r="M35" s="1795"/>
      <c r="N35" s="1795"/>
      <c r="O35" s="1796"/>
      <c r="P35" s="1859"/>
      <c r="Q35" s="719"/>
      <c r="R35" s="719"/>
      <c r="S35" s="719"/>
      <c r="T35" s="719"/>
      <c r="U35" s="719"/>
      <c r="V35" s="719"/>
      <c r="W35" s="719"/>
      <c r="X35" s="719"/>
      <c r="Y35" s="719"/>
      <c r="Z35" s="719"/>
      <c r="AA35" s="719"/>
      <c r="AB35" s="719"/>
      <c r="AC35" s="719"/>
      <c r="AD35" s="719"/>
      <c r="AE35" s="719"/>
      <c r="AF35" s="719"/>
      <c r="AG35" s="719"/>
      <c r="AH35" s="719"/>
      <c r="AI35" s="719"/>
      <c r="AJ35" s="719"/>
      <c r="AK35" s="719"/>
      <c r="AL35" s="719"/>
      <c r="AM35" s="719"/>
      <c r="AN35" s="719"/>
      <c r="AO35" s="719"/>
      <c r="AP35" s="719"/>
      <c r="AQ35" s="719"/>
      <c r="AR35" s="719"/>
      <c r="AS35" s="719"/>
      <c r="AT35" s="719"/>
      <c r="AU35" s="719"/>
      <c r="AV35" s="719"/>
      <c r="AW35" s="719"/>
      <c r="AX35" s="719"/>
      <c r="AY35" s="719"/>
      <c r="AZ35" s="719"/>
      <c r="BA35" s="719"/>
      <c r="BB35" s="719"/>
      <c r="BC35" s="719"/>
      <c r="BD35" s="719"/>
      <c r="BE35" s="719"/>
      <c r="BF35" s="719"/>
      <c r="BG35" s="719"/>
      <c r="BH35" s="719"/>
      <c r="BI35" s="719"/>
      <c r="BJ35" s="719"/>
      <c r="BK35" s="719"/>
      <c r="BL35" s="719"/>
      <c r="BM35" s="719"/>
      <c r="BN35" s="719"/>
      <c r="BO35" s="719"/>
      <c r="BP35" s="719"/>
      <c r="BQ35" s="719"/>
      <c r="BR35" s="719"/>
      <c r="DG35" s="13"/>
      <c r="DH35" s="13"/>
    </row>
    <row r="36" spans="1:112" s="22" customFormat="1" ht="74.25" customHeight="1" x14ac:dyDescent="1.35">
      <c r="A36" s="586" t="s">
        <v>508</v>
      </c>
      <c r="B36" s="588">
        <v>71</v>
      </c>
      <c r="C36" s="589"/>
      <c r="D36" s="589"/>
      <c r="E36" s="590"/>
      <c r="F36" s="586" t="s">
        <v>508</v>
      </c>
      <c r="G36" s="588">
        <v>72</v>
      </c>
      <c r="H36" s="589"/>
      <c r="I36" s="589"/>
      <c r="J36" s="590"/>
      <c r="K36" s="586" t="s">
        <v>508</v>
      </c>
      <c r="L36" s="588">
        <v>73</v>
      </c>
      <c r="M36" s="589"/>
      <c r="N36" s="589"/>
      <c r="O36" s="590"/>
      <c r="P36" s="718"/>
      <c r="Q36" s="717"/>
      <c r="R36" s="717"/>
      <c r="S36" s="717"/>
      <c r="T36" s="717"/>
      <c r="U36" s="716"/>
      <c r="V36" s="717"/>
      <c r="W36" s="717"/>
      <c r="X36" s="717"/>
      <c r="Y36" s="717"/>
      <c r="Z36" s="716"/>
      <c r="AA36" s="717"/>
      <c r="AB36" s="717"/>
      <c r="AC36" s="717"/>
      <c r="AD36" s="717"/>
      <c r="AE36" s="716"/>
      <c r="AF36" s="717"/>
      <c r="AG36" s="717"/>
      <c r="AH36" s="717"/>
      <c r="AI36" s="717"/>
      <c r="AJ36" s="716"/>
      <c r="AK36" s="717"/>
      <c r="AL36" s="717"/>
      <c r="AM36" s="717"/>
      <c r="AN36" s="717"/>
      <c r="AO36" s="716"/>
      <c r="AP36" s="717"/>
      <c r="AQ36" s="717"/>
      <c r="AR36" s="717"/>
      <c r="AS36" s="717"/>
      <c r="AT36" s="716"/>
      <c r="AU36" s="717"/>
      <c r="AV36" s="717"/>
      <c r="AW36" s="717"/>
      <c r="AX36" s="717"/>
      <c r="AY36" s="716"/>
      <c r="AZ36" s="717"/>
      <c r="BA36" s="717"/>
      <c r="BB36" s="717"/>
      <c r="BC36" s="717"/>
      <c r="BD36" s="716"/>
      <c r="BE36" s="717"/>
      <c r="BF36" s="717"/>
      <c r="BG36" s="717"/>
      <c r="BH36" s="717"/>
      <c r="BI36" s="716"/>
      <c r="BJ36" s="717"/>
      <c r="BK36" s="717"/>
      <c r="BL36" s="717"/>
      <c r="BM36" s="717"/>
      <c r="BN36" s="716"/>
      <c r="BO36" s="717"/>
      <c r="BP36" s="717"/>
      <c r="BQ36" s="717"/>
      <c r="BR36" s="717"/>
      <c r="DG36" s="317"/>
      <c r="DH36" s="317"/>
    </row>
    <row r="37" spans="1:112" ht="37.5" customHeight="1" thickBot="1" x14ac:dyDescent="0.3">
      <c r="A37" s="587"/>
      <c r="B37" s="61">
        <v>0.20300000000000001</v>
      </c>
      <c r="C37" s="62" t="s">
        <v>113</v>
      </c>
      <c r="D37" s="63">
        <v>1</v>
      </c>
      <c r="E37" s="64" t="s">
        <v>114</v>
      </c>
      <c r="F37" s="587"/>
      <c r="G37" s="61">
        <v>0.30480000000000002</v>
      </c>
      <c r="H37" s="62" t="s">
        <v>113</v>
      </c>
      <c r="I37" s="63"/>
      <c r="J37" s="64" t="s">
        <v>114</v>
      </c>
      <c r="K37" s="587"/>
      <c r="L37" s="61">
        <v>0.48199999999999998</v>
      </c>
      <c r="M37" s="62" t="s">
        <v>113</v>
      </c>
      <c r="N37" s="63">
        <v>1</v>
      </c>
      <c r="O37" s="64" t="s">
        <v>114</v>
      </c>
      <c r="P37" s="718"/>
      <c r="Q37" s="32"/>
      <c r="R37" s="33"/>
      <c r="S37" s="34"/>
      <c r="T37" s="35"/>
      <c r="U37" s="716"/>
      <c r="V37" s="32"/>
      <c r="W37" s="33"/>
      <c r="X37" s="34"/>
      <c r="Y37" s="35"/>
      <c r="Z37" s="716"/>
      <c r="AA37" s="32"/>
      <c r="AB37" s="33"/>
      <c r="AC37" s="34"/>
      <c r="AD37" s="35"/>
      <c r="AE37" s="716"/>
      <c r="AF37" s="32"/>
      <c r="AG37" s="33"/>
      <c r="AH37" s="34"/>
      <c r="AI37" s="35"/>
      <c r="AJ37" s="716"/>
      <c r="AK37" s="32"/>
      <c r="AL37" s="33"/>
      <c r="AM37" s="34"/>
      <c r="AN37" s="35"/>
      <c r="AO37" s="716"/>
      <c r="AP37" s="32"/>
      <c r="AQ37" s="33"/>
      <c r="AR37" s="34"/>
      <c r="AS37" s="35"/>
      <c r="AT37" s="716"/>
      <c r="AU37" s="32"/>
      <c r="AV37" s="33"/>
      <c r="AW37" s="34"/>
      <c r="AX37" s="35"/>
      <c r="AY37" s="716"/>
      <c r="AZ37" s="32"/>
      <c r="BA37" s="33"/>
      <c r="BB37" s="34"/>
      <c r="BC37" s="35"/>
      <c r="BD37" s="716"/>
      <c r="BE37" s="32"/>
      <c r="BF37" s="33"/>
      <c r="BG37" s="34"/>
      <c r="BH37" s="35"/>
      <c r="BI37" s="716"/>
      <c r="BJ37" s="32"/>
      <c r="BK37" s="33"/>
      <c r="BL37" s="34"/>
      <c r="BM37" s="35"/>
      <c r="BN37" s="716"/>
      <c r="BO37" s="32"/>
      <c r="BP37" s="33"/>
      <c r="BQ37" s="34"/>
      <c r="BR37" s="35"/>
      <c r="BW37" s="27"/>
      <c r="DG37" s="13"/>
      <c r="DH37" s="13"/>
    </row>
    <row r="38" spans="1:112" ht="18.600000000000001" customHeight="1" thickTop="1" x14ac:dyDescent="0.25">
      <c r="A38" s="710"/>
      <c r="B38" s="710"/>
      <c r="C38" s="1804"/>
      <c r="D38" s="1804"/>
      <c r="E38" s="1804"/>
      <c r="F38" s="710"/>
      <c r="G38" s="710"/>
      <c r="H38" s="1804"/>
      <c r="I38" s="1804"/>
      <c r="J38" s="1804"/>
      <c r="K38" s="710"/>
      <c r="L38" s="710"/>
      <c r="M38" s="1804"/>
      <c r="N38" s="1804"/>
      <c r="O38" s="1804"/>
      <c r="P38" s="719"/>
      <c r="Q38" s="719"/>
      <c r="R38" s="1300"/>
      <c r="S38" s="1300"/>
      <c r="T38" s="1300"/>
      <c r="U38" s="719"/>
      <c r="V38" s="719"/>
      <c r="W38" s="1300"/>
      <c r="X38" s="1300"/>
      <c r="Y38" s="1300"/>
      <c r="Z38" s="719"/>
      <c r="AA38" s="719"/>
      <c r="AB38" s="1300"/>
      <c r="AC38" s="1300"/>
      <c r="AD38" s="1300"/>
      <c r="AE38" s="719"/>
      <c r="AF38" s="719"/>
      <c r="AG38" s="1300"/>
      <c r="AH38" s="1300"/>
      <c r="AI38" s="1300"/>
      <c r="AJ38" s="719"/>
      <c r="AK38" s="719"/>
      <c r="AL38" s="1300"/>
      <c r="AM38" s="1300"/>
      <c r="AN38" s="1300"/>
      <c r="AO38" s="719"/>
      <c r="AP38" s="719"/>
      <c r="AQ38" s="1300"/>
      <c r="AR38" s="1300"/>
      <c r="AS38" s="1300"/>
      <c r="AT38" s="719"/>
      <c r="AU38" s="719"/>
      <c r="AV38" s="1300"/>
      <c r="AW38" s="1300"/>
      <c r="AX38" s="1300"/>
      <c r="AY38" s="719"/>
      <c r="AZ38" s="719"/>
      <c r="BA38" s="1300"/>
      <c r="BB38" s="1300"/>
      <c r="BC38" s="1300"/>
      <c r="BD38" s="719"/>
      <c r="BE38" s="719"/>
      <c r="BF38" s="1300"/>
      <c r="BG38" s="1300"/>
      <c r="BH38" s="1300"/>
      <c r="BI38" s="719"/>
      <c r="BJ38" s="719"/>
      <c r="BK38" s="1300"/>
      <c r="BL38" s="1300"/>
      <c r="BM38" s="1300"/>
      <c r="BN38" s="719"/>
      <c r="BO38" s="719"/>
      <c r="BP38" s="1300"/>
      <c r="BQ38" s="1300"/>
      <c r="BR38" s="1300"/>
      <c r="DG38" s="13"/>
      <c r="DH38" s="13"/>
    </row>
    <row r="39" spans="1:112" ht="18.600000000000001" hidden="1" customHeight="1" x14ac:dyDescent="0.25">
      <c r="A39" s="719"/>
      <c r="B39" s="719"/>
      <c r="C39" s="1300"/>
      <c r="D39" s="1300"/>
      <c r="E39" s="1300"/>
      <c r="F39" s="719"/>
      <c r="G39" s="719"/>
      <c r="H39" s="1300"/>
      <c r="I39" s="1300"/>
      <c r="J39" s="1300"/>
      <c r="K39" s="719"/>
      <c r="L39" s="719"/>
      <c r="M39" s="1300"/>
      <c r="N39" s="1300"/>
      <c r="O39" s="1300"/>
      <c r="P39" s="719"/>
      <c r="Q39" s="719"/>
      <c r="R39" s="1300"/>
      <c r="S39" s="1300"/>
      <c r="T39" s="1300"/>
      <c r="U39" s="719"/>
      <c r="V39" s="719"/>
      <c r="W39" s="1300"/>
      <c r="X39" s="1300"/>
      <c r="Y39" s="1300"/>
      <c r="Z39" s="719"/>
      <c r="AA39" s="719"/>
      <c r="AB39" s="1300"/>
      <c r="AC39" s="1300"/>
      <c r="AD39" s="1300"/>
      <c r="AE39" s="719"/>
      <c r="AF39" s="719"/>
      <c r="AG39" s="1300"/>
      <c r="AH39" s="1300"/>
      <c r="AI39" s="1300"/>
      <c r="AJ39" s="719"/>
      <c r="AK39" s="719"/>
      <c r="AL39" s="1300"/>
      <c r="AM39" s="1300"/>
      <c r="AN39" s="1300"/>
      <c r="AO39" s="719"/>
      <c r="AP39" s="719"/>
      <c r="AQ39" s="1300"/>
      <c r="AR39" s="1300"/>
      <c r="AS39" s="1300"/>
      <c r="AT39" s="719"/>
      <c r="AU39" s="719"/>
      <c r="AV39" s="1300"/>
      <c r="AW39" s="1300"/>
      <c r="AX39" s="1300"/>
      <c r="AY39" s="719"/>
      <c r="AZ39" s="719"/>
      <c r="BA39" s="1300"/>
      <c r="BB39" s="1300"/>
      <c r="BC39" s="1300"/>
      <c r="BD39" s="719"/>
      <c r="BE39" s="719"/>
      <c r="BF39" s="1300"/>
      <c r="BG39" s="1300"/>
      <c r="BH39" s="1300"/>
      <c r="BI39" s="719"/>
      <c r="BJ39" s="719"/>
      <c r="BK39" s="1300"/>
      <c r="BL39" s="1300"/>
      <c r="BM39" s="1300"/>
      <c r="BN39" s="719"/>
      <c r="BO39" s="719"/>
      <c r="BP39" s="1300"/>
      <c r="BQ39" s="1300"/>
      <c r="BR39" s="1300"/>
      <c r="DG39" s="13"/>
      <c r="DH39" s="13"/>
    </row>
    <row r="40" spans="1:112" ht="9.9499999999999993" hidden="1" customHeight="1" x14ac:dyDescent="0.25">
      <c r="A40" s="719"/>
      <c r="B40" s="719"/>
      <c r="C40" s="719"/>
      <c r="D40" s="719"/>
      <c r="E40" s="719"/>
      <c r="F40" s="719"/>
      <c r="G40" s="719"/>
      <c r="H40" s="719"/>
      <c r="I40" s="719"/>
      <c r="J40" s="719"/>
      <c r="K40" s="719"/>
      <c r="L40" s="719"/>
      <c r="M40" s="719"/>
      <c r="N40" s="719"/>
      <c r="O40" s="719"/>
      <c r="P40" s="719"/>
      <c r="Q40" s="719"/>
      <c r="R40" s="719"/>
      <c r="S40" s="719"/>
      <c r="T40" s="719"/>
      <c r="U40" s="719"/>
      <c r="V40" s="719"/>
      <c r="W40" s="719"/>
      <c r="X40" s="719"/>
      <c r="Y40" s="719"/>
      <c r="Z40" s="719"/>
      <c r="AA40" s="719"/>
      <c r="AB40" s="719"/>
      <c r="AC40" s="719"/>
      <c r="AD40" s="719"/>
      <c r="AE40" s="719"/>
      <c r="AF40" s="719"/>
      <c r="AG40" s="719"/>
      <c r="AH40" s="719"/>
      <c r="AI40" s="719"/>
      <c r="AJ40" s="719"/>
      <c r="AK40" s="719"/>
      <c r="AL40" s="719"/>
      <c r="AM40" s="719"/>
      <c r="AN40" s="719"/>
      <c r="AO40" s="719"/>
      <c r="AP40" s="719"/>
      <c r="AQ40" s="719"/>
      <c r="AR40" s="719"/>
      <c r="AS40" s="719"/>
      <c r="AT40" s="719"/>
      <c r="AU40" s="719"/>
      <c r="AV40" s="719"/>
      <c r="AW40" s="719"/>
      <c r="AX40" s="719"/>
      <c r="AY40" s="719"/>
      <c r="AZ40" s="719"/>
      <c r="BA40" s="719"/>
      <c r="BB40" s="719"/>
      <c r="BC40" s="719"/>
      <c r="BD40" s="719"/>
      <c r="BE40" s="719"/>
      <c r="BF40" s="719"/>
      <c r="BG40" s="719"/>
      <c r="BH40" s="719"/>
      <c r="BI40" s="719"/>
      <c r="BJ40" s="719"/>
      <c r="BK40" s="719"/>
      <c r="BL40" s="719"/>
      <c r="BM40" s="719"/>
      <c r="BN40" s="719"/>
      <c r="BO40" s="719"/>
      <c r="BP40" s="719"/>
      <c r="BQ40" s="719"/>
      <c r="BR40" s="719"/>
      <c r="DG40" s="13"/>
      <c r="DH40" s="13"/>
    </row>
    <row r="41" spans="1:112" ht="9.9499999999999993" hidden="1" customHeight="1" x14ac:dyDescent="0.25">
      <c r="A41" s="719"/>
      <c r="B41" s="719"/>
      <c r="C41" s="719"/>
      <c r="D41" s="719"/>
      <c r="E41" s="719"/>
      <c r="F41" s="719"/>
      <c r="G41" s="719"/>
      <c r="H41" s="719"/>
      <c r="I41" s="719"/>
      <c r="J41" s="719"/>
      <c r="K41" s="719"/>
      <c r="L41" s="719"/>
      <c r="M41" s="719"/>
      <c r="N41" s="719"/>
      <c r="O41" s="719"/>
      <c r="P41" s="719"/>
      <c r="Q41" s="719"/>
      <c r="R41" s="719"/>
      <c r="S41" s="719"/>
      <c r="T41" s="719"/>
      <c r="U41" s="719"/>
      <c r="V41" s="719"/>
      <c r="W41" s="719"/>
      <c r="X41" s="719"/>
      <c r="Y41" s="719"/>
      <c r="Z41" s="719"/>
      <c r="AA41" s="719"/>
      <c r="AB41" s="719"/>
      <c r="AC41" s="719"/>
      <c r="AD41" s="719"/>
      <c r="AE41" s="719"/>
      <c r="AF41" s="719"/>
      <c r="AG41" s="719"/>
      <c r="AH41" s="719"/>
      <c r="AI41" s="719"/>
      <c r="AJ41" s="719"/>
      <c r="AK41" s="719"/>
      <c r="AL41" s="719"/>
      <c r="AM41" s="719"/>
      <c r="AN41" s="719"/>
      <c r="AO41" s="719"/>
      <c r="AP41" s="719"/>
      <c r="AQ41" s="719"/>
      <c r="AR41" s="719"/>
      <c r="AS41" s="719"/>
      <c r="AT41" s="719"/>
      <c r="AU41" s="719"/>
      <c r="AV41" s="719"/>
      <c r="AW41" s="719"/>
      <c r="AX41" s="719"/>
      <c r="AY41" s="719"/>
      <c r="AZ41" s="719"/>
      <c r="BA41" s="719"/>
      <c r="BB41" s="719"/>
      <c r="BC41" s="719"/>
      <c r="BD41" s="719"/>
      <c r="BE41" s="719"/>
      <c r="BF41" s="719"/>
      <c r="BG41" s="719"/>
      <c r="BH41" s="719"/>
      <c r="BI41" s="719"/>
      <c r="BJ41" s="719"/>
      <c r="BK41" s="719"/>
      <c r="BL41" s="719"/>
      <c r="BM41" s="719"/>
      <c r="BN41" s="719"/>
      <c r="BO41" s="719"/>
      <c r="BP41" s="719"/>
      <c r="BQ41" s="719"/>
      <c r="BR41" s="719"/>
      <c r="DG41" s="57"/>
      <c r="DH41" s="57"/>
    </row>
    <row r="42" spans="1:112" s="22" customFormat="1" ht="84.95" hidden="1" customHeight="1" x14ac:dyDescent="1.35">
      <c r="A42" s="716"/>
      <c r="B42" s="1797"/>
      <c r="C42" s="1797"/>
      <c r="D42" s="1797"/>
      <c r="E42" s="1797"/>
      <c r="F42" s="716"/>
      <c r="G42" s="1797"/>
      <c r="H42" s="1797"/>
      <c r="I42" s="1797"/>
      <c r="J42" s="1797"/>
      <c r="K42" s="716"/>
      <c r="L42" s="1797"/>
      <c r="M42" s="1797"/>
      <c r="N42" s="1797"/>
      <c r="O42" s="1797"/>
      <c r="P42" s="716"/>
      <c r="Q42" s="1797"/>
      <c r="R42" s="1797"/>
      <c r="S42" s="1797"/>
      <c r="T42" s="1797"/>
      <c r="U42" s="716"/>
      <c r="V42" s="1797"/>
      <c r="W42" s="1797"/>
      <c r="X42" s="1797"/>
      <c r="Y42" s="1797"/>
      <c r="Z42" s="716"/>
      <c r="AA42" s="1797"/>
      <c r="AB42" s="1797"/>
      <c r="AC42" s="1797"/>
      <c r="AD42" s="1797"/>
      <c r="AE42" s="716"/>
      <c r="AF42" s="1797"/>
      <c r="AG42" s="1797"/>
      <c r="AH42" s="1797"/>
      <c r="AI42" s="1797"/>
      <c r="AJ42" s="716"/>
      <c r="AK42" s="1797"/>
      <c r="AL42" s="1797"/>
      <c r="AM42" s="1797"/>
      <c r="AN42" s="1797"/>
      <c r="AO42" s="716"/>
      <c r="AP42" s="1797"/>
      <c r="AQ42" s="1797"/>
      <c r="AR42" s="1797"/>
      <c r="AS42" s="1797"/>
      <c r="AT42" s="716"/>
      <c r="AU42" s="1797"/>
      <c r="AV42" s="1797"/>
      <c r="AW42" s="1797"/>
      <c r="AX42" s="1797"/>
      <c r="AY42" s="716"/>
      <c r="AZ42" s="1797"/>
      <c r="BA42" s="1797"/>
      <c r="BB42" s="1797"/>
      <c r="BC42" s="1797"/>
      <c r="BD42" s="716"/>
      <c r="BE42" s="1797"/>
      <c r="BF42" s="1797"/>
      <c r="BG42" s="1797"/>
      <c r="BH42" s="1797"/>
      <c r="BI42" s="716"/>
      <c r="BJ42" s="1797"/>
      <c r="BK42" s="1797"/>
      <c r="BL42" s="1797"/>
      <c r="BM42" s="1797"/>
      <c r="BN42" s="716"/>
      <c r="BO42" s="1797"/>
      <c r="BP42" s="1797"/>
      <c r="BQ42" s="1797"/>
      <c r="BR42" s="1797"/>
      <c r="DG42" s="57"/>
      <c r="DH42" s="57"/>
    </row>
    <row r="43" spans="1:112" ht="23.1" hidden="1" customHeight="1" x14ac:dyDescent="0.25">
      <c r="A43" s="716"/>
      <c r="B43" s="32"/>
      <c r="C43" s="33"/>
      <c r="D43" s="34"/>
      <c r="E43" s="35"/>
      <c r="F43" s="716"/>
      <c r="G43" s="32"/>
      <c r="H43" s="33"/>
      <c r="I43" s="34"/>
      <c r="J43" s="35"/>
      <c r="K43" s="716"/>
      <c r="L43" s="32"/>
      <c r="M43" s="33"/>
      <c r="N43" s="34"/>
      <c r="O43" s="35"/>
      <c r="P43" s="716"/>
      <c r="Q43" s="32"/>
      <c r="R43" s="33"/>
      <c r="S43" s="34"/>
      <c r="T43" s="35"/>
      <c r="U43" s="716"/>
      <c r="V43" s="32"/>
      <c r="W43" s="33"/>
      <c r="X43" s="34"/>
      <c r="Y43" s="35"/>
      <c r="Z43" s="716"/>
      <c r="AA43" s="32"/>
      <c r="AB43" s="33"/>
      <c r="AC43" s="34"/>
      <c r="AD43" s="35"/>
      <c r="AE43" s="716"/>
      <c r="AF43" s="32"/>
      <c r="AG43" s="33"/>
      <c r="AH43" s="34"/>
      <c r="AI43" s="35"/>
      <c r="AJ43" s="716"/>
      <c r="AK43" s="32"/>
      <c r="AL43" s="33"/>
      <c r="AM43" s="34"/>
      <c r="AN43" s="35"/>
      <c r="AO43" s="716"/>
      <c r="AP43" s="32"/>
      <c r="AQ43" s="33"/>
      <c r="AR43" s="34"/>
      <c r="AS43" s="35"/>
      <c r="AT43" s="716"/>
      <c r="AU43" s="32"/>
      <c r="AV43" s="33"/>
      <c r="AW43" s="34"/>
      <c r="AX43" s="35"/>
      <c r="AY43" s="716"/>
      <c r="AZ43" s="32"/>
      <c r="BA43" s="33"/>
      <c r="BB43" s="34"/>
      <c r="BC43" s="35"/>
      <c r="BD43" s="716"/>
      <c r="BE43" s="32"/>
      <c r="BF43" s="33"/>
      <c r="BG43" s="34"/>
      <c r="BH43" s="35"/>
      <c r="BI43" s="716"/>
      <c r="BJ43" s="32"/>
      <c r="BK43" s="33"/>
      <c r="BL43" s="34"/>
      <c r="BM43" s="35"/>
      <c r="BN43" s="716"/>
      <c r="BO43" s="32"/>
      <c r="BP43" s="33"/>
      <c r="BQ43" s="34"/>
      <c r="BR43" s="35"/>
      <c r="BW43" s="27"/>
      <c r="DG43" s="57"/>
      <c r="DH43" s="57"/>
    </row>
    <row r="44" spans="1:112" ht="18.600000000000001" hidden="1" customHeight="1" x14ac:dyDescent="0.25">
      <c r="A44" s="719"/>
      <c r="B44" s="719"/>
      <c r="C44" s="1300"/>
      <c r="D44" s="1300"/>
      <c r="E44" s="1300"/>
      <c r="F44" s="719"/>
      <c r="G44" s="719"/>
      <c r="H44" s="1300"/>
      <c r="I44" s="1300"/>
      <c r="J44" s="1300"/>
      <c r="K44" s="719"/>
      <c r="L44" s="719"/>
      <c r="M44" s="1300"/>
      <c r="N44" s="1300"/>
      <c r="O44" s="1300"/>
      <c r="P44" s="719"/>
      <c r="Q44" s="719"/>
      <c r="R44" s="1300"/>
      <c r="S44" s="1300"/>
      <c r="T44" s="1300"/>
      <c r="U44" s="719"/>
      <c r="V44" s="719"/>
      <c r="W44" s="1300"/>
      <c r="X44" s="1300"/>
      <c r="Y44" s="1300"/>
      <c r="Z44" s="719"/>
      <c r="AA44" s="719"/>
      <c r="AB44" s="1300"/>
      <c r="AC44" s="1300"/>
      <c r="AD44" s="1300"/>
      <c r="AE44" s="719"/>
      <c r="AF44" s="719"/>
      <c r="AG44" s="1300"/>
      <c r="AH44" s="1300"/>
      <c r="AI44" s="1300"/>
      <c r="AJ44" s="719"/>
      <c r="AK44" s="719"/>
      <c r="AL44" s="1300"/>
      <c r="AM44" s="1300"/>
      <c r="AN44" s="1300"/>
      <c r="AO44" s="719"/>
      <c r="AP44" s="719"/>
      <c r="AQ44" s="1300"/>
      <c r="AR44" s="1300"/>
      <c r="AS44" s="1300"/>
      <c r="AT44" s="719"/>
      <c r="AU44" s="719"/>
      <c r="AV44" s="1300"/>
      <c r="AW44" s="1300"/>
      <c r="AX44" s="1300"/>
      <c r="AY44" s="719"/>
      <c r="AZ44" s="719"/>
      <c r="BA44" s="1300"/>
      <c r="BB44" s="1300"/>
      <c r="BC44" s="1300"/>
      <c r="BD44" s="719"/>
      <c r="BE44" s="719"/>
      <c r="BF44" s="1300"/>
      <c r="BG44" s="1300"/>
      <c r="BH44" s="1300"/>
      <c r="BI44" s="719"/>
      <c r="BJ44" s="719"/>
      <c r="BK44" s="1300"/>
      <c r="BL44" s="1300"/>
      <c r="BM44" s="1300"/>
      <c r="BN44" s="719"/>
      <c r="BO44" s="719"/>
      <c r="BP44" s="1300"/>
      <c r="BQ44" s="1300"/>
      <c r="BR44" s="1300"/>
      <c r="DG44" s="57"/>
      <c r="DH44" s="57"/>
    </row>
    <row r="45" spans="1:112" ht="18.600000000000001" hidden="1" customHeight="1" x14ac:dyDescent="0.25">
      <c r="A45" s="719"/>
      <c r="B45" s="719"/>
      <c r="C45" s="1300"/>
      <c r="D45" s="1300"/>
      <c r="E45" s="1300"/>
      <c r="F45" s="719"/>
      <c r="G45" s="719"/>
      <c r="H45" s="1300"/>
      <c r="I45" s="1300"/>
      <c r="J45" s="1300"/>
      <c r="K45" s="719"/>
      <c r="L45" s="719"/>
      <c r="M45" s="1300"/>
      <c r="N45" s="1300"/>
      <c r="O45" s="1300"/>
      <c r="P45" s="719"/>
      <c r="Q45" s="719"/>
      <c r="R45" s="1300"/>
      <c r="S45" s="1300"/>
      <c r="T45" s="1300"/>
      <c r="U45" s="719"/>
      <c r="V45" s="719"/>
      <c r="W45" s="1300"/>
      <c r="X45" s="1300"/>
      <c r="Y45" s="1300"/>
      <c r="Z45" s="719"/>
      <c r="AA45" s="719"/>
      <c r="AB45" s="1300"/>
      <c r="AC45" s="1300"/>
      <c r="AD45" s="1300"/>
      <c r="AE45" s="719"/>
      <c r="AF45" s="719"/>
      <c r="AG45" s="1300"/>
      <c r="AH45" s="1300"/>
      <c r="AI45" s="1300"/>
      <c r="AJ45" s="719"/>
      <c r="AK45" s="719"/>
      <c r="AL45" s="1300"/>
      <c r="AM45" s="1300"/>
      <c r="AN45" s="1300"/>
      <c r="AO45" s="719"/>
      <c r="AP45" s="719"/>
      <c r="AQ45" s="1300"/>
      <c r="AR45" s="1300"/>
      <c r="AS45" s="1300"/>
      <c r="AT45" s="719"/>
      <c r="AU45" s="719"/>
      <c r="AV45" s="1300"/>
      <c r="AW45" s="1300"/>
      <c r="AX45" s="1300"/>
      <c r="AY45" s="719"/>
      <c r="AZ45" s="719"/>
      <c r="BA45" s="1300"/>
      <c r="BB45" s="1300"/>
      <c r="BC45" s="1300"/>
      <c r="BD45" s="719"/>
      <c r="BE45" s="719"/>
      <c r="BF45" s="1300"/>
      <c r="BG45" s="1300"/>
      <c r="BH45" s="1300"/>
      <c r="BI45" s="719"/>
      <c r="BJ45" s="719"/>
      <c r="BK45" s="1300"/>
      <c r="BL45" s="1300"/>
      <c r="BM45" s="1300"/>
      <c r="BN45" s="719"/>
      <c r="BO45" s="719"/>
      <c r="BP45" s="1300"/>
      <c r="BQ45" s="1300"/>
      <c r="BR45" s="1300"/>
      <c r="DG45" s="57"/>
      <c r="DH45" s="57"/>
    </row>
    <row r="46" spans="1:112" ht="9.9499999999999993" hidden="1" customHeight="1" x14ac:dyDescent="0.25">
      <c r="A46" s="719"/>
      <c r="B46" s="719"/>
      <c r="C46" s="719"/>
      <c r="D46" s="719"/>
      <c r="E46" s="719"/>
      <c r="F46" s="719"/>
      <c r="G46" s="719"/>
      <c r="H46" s="719"/>
      <c r="I46" s="719"/>
      <c r="J46" s="719"/>
      <c r="K46" s="719"/>
      <c r="L46" s="719"/>
      <c r="M46" s="719"/>
      <c r="N46" s="719"/>
      <c r="O46" s="719"/>
      <c r="P46" s="719"/>
      <c r="Q46" s="719"/>
      <c r="R46" s="719"/>
      <c r="S46" s="719"/>
      <c r="T46" s="719"/>
      <c r="U46" s="719"/>
      <c r="V46" s="719"/>
      <c r="W46" s="719"/>
      <c r="X46" s="719"/>
      <c r="Y46" s="719"/>
      <c r="Z46" s="719"/>
      <c r="AA46" s="719"/>
      <c r="AB46" s="719"/>
      <c r="AC46" s="719"/>
      <c r="AD46" s="719"/>
      <c r="AE46" s="719"/>
      <c r="AF46" s="719"/>
      <c r="AG46" s="719"/>
      <c r="AH46" s="719"/>
      <c r="AI46" s="719"/>
      <c r="AJ46" s="719"/>
      <c r="AK46" s="719"/>
      <c r="AL46" s="719"/>
      <c r="AM46" s="719"/>
      <c r="AN46" s="719"/>
      <c r="AO46" s="719"/>
      <c r="AP46" s="719"/>
      <c r="AQ46" s="719"/>
      <c r="AR46" s="719"/>
      <c r="AS46" s="719"/>
      <c r="AT46" s="719"/>
      <c r="AU46" s="719"/>
      <c r="AV46" s="719"/>
      <c r="AW46" s="719"/>
      <c r="AX46" s="719"/>
      <c r="AY46" s="719"/>
      <c r="AZ46" s="719"/>
      <c r="BA46" s="719"/>
      <c r="BB46" s="719"/>
      <c r="BC46" s="719"/>
      <c r="BD46" s="719"/>
      <c r="BE46" s="719"/>
      <c r="BF46" s="719"/>
      <c r="BG46" s="719"/>
      <c r="BH46" s="719"/>
      <c r="BI46" s="719"/>
      <c r="BJ46" s="719"/>
      <c r="BK46" s="719"/>
      <c r="BL46" s="719"/>
      <c r="BM46" s="719"/>
      <c r="BN46" s="719"/>
      <c r="BO46" s="719"/>
      <c r="BP46" s="719"/>
      <c r="BQ46" s="719"/>
      <c r="BR46" s="719"/>
    </row>
    <row r="47" spans="1:112" ht="9.9499999999999993" hidden="1" customHeight="1" x14ac:dyDescent="0.25">
      <c r="A47" s="719"/>
      <c r="B47" s="719"/>
      <c r="C47" s="719"/>
      <c r="D47" s="719"/>
      <c r="E47" s="719"/>
      <c r="F47" s="719"/>
      <c r="G47" s="719"/>
      <c r="H47" s="719"/>
      <c r="I47" s="719"/>
      <c r="J47" s="719"/>
      <c r="K47" s="719"/>
      <c r="L47" s="719"/>
      <c r="M47" s="719"/>
      <c r="N47" s="719"/>
      <c r="O47" s="719"/>
      <c r="P47" s="719"/>
      <c r="Q47" s="719"/>
      <c r="R47" s="719"/>
      <c r="S47" s="719"/>
      <c r="T47" s="719"/>
      <c r="U47" s="719"/>
      <c r="V47" s="719"/>
      <c r="W47" s="719"/>
      <c r="X47" s="719"/>
      <c r="Y47" s="719"/>
      <c r="Z47" s="719"/>
      <c r="AA47" s="719"/>
      <c r="AB47" s="719"/>
      <c r="AC47" s="719"/>
      <c r="AD47" s="719"/>
      <c r="AE47" s="719"/>
      <c r="AF47" s="719"/>
      <c r="AG47" s="719"/>
      <c r="AH47" s="719"/>
      <c r="AI47" s="719"/>
      <c r="AJ47" s="719"/>
      <c r="AK47" s="719"/>
      <c r="AL47" s="719"/>
      <c r="AM47" s="719"/>
      <c r="AN47" s="719"/>
      <c r="AO47" s="719"/>
      <c r="AP47" s="719"/>
      <c r="AQ47" s="719"/>
      <c r="AR47" s="719"/>
      <c r="AS47" s="719"/>
      <c r="AT47" s="719"/>
      <c r="AU47" s="719"/>
      <c r="AV47" s="719"/>
      <c r="AW47" s="719"/>
      <c r="AX47" s="719"/>
      <c r="AY47" s="719"/>
      <c r="AZ47" s="719"/>
      <c r="BA47" s="719"/>
      <c r="BB47" s="719"/>
      <c r="BC47" s="719"/>
      <c r="BD47" s="719"/>
      <c r="BE47" s="719"/>
      <c r="BF47" s="719"/>
      <c r="BG47" s="719"/>
      <c r="BH47" s="719"/>
      <c r="BI47" s="719"/>
      <c r="BJ47" s="719"/>
      <c r="BK47" s="719"/>
      <c r="BL47" s="719"/>
      <c r="BM47" s="719"/>
      <c r="BN47" s="719"/>
      <c r="BO47" s="719"/>
      <c r="BP47" s="719"/>
      <c r="BQ47" s="719"/>
      <c r="BR47" s="719"/>
    </row>
    <row r="48" spans="1:112" s="22" customFormat="1" ht="84.95" hidden="1" customHeight="1" x14ac:dyDescent="1.35">
      <c r="A48" s="716"/>
      <c r="B48" s="1797"/>
      <c r="C48" s="1797"/>
      <c r="D48" s="1797"/>
      <c r="E48" s="1797"/>
      <c r="F48" s="716"/>
      <c r="G48" s="1797"/>
      <c r="H48" s="1797"/>
      <c r="I48" s="1797"/>
      <c r="J48" s="1797"/>
      <c r="K48" s="716"/>
      <c r="L48" s="1797"/>
      <c r="M48" s="1797"/>
      <c r="N48" s="1797"/>
      <c r="O48" s="1797"/>
      <c r="P48" s="716"/>
      <c r="Q48" s="1797"/>
      <c r="R48" s="1797"/>
      <c r="S48" s="1797"/>
      <c r="T48" s="1797"/>
      <c r="U48" s="716"/>
      <c r="V48" s="1797"/>
      <c r="W48" s="1797"/>
      <c r="X48" s="1797"/>
      <c r="Y48" s="1797"/>
      <c r="Z48" s="716"/>
      <c r="AA48" s="1797"/>
      <c r="AB48" s="1797"/>
      <c r="AC48" s="1797"/>
      <c r="AD48" s="1797"/>
      <c r="AE48" s="716"/>
      <c r="AF48" s="1797"/>
      <c r="AG48" s="1797"/>
      <c r="AH48" s="1797"/>
      <c r="AI48" s="1797"/>
      <c r="AJ48" s="716"/>
      <c r="AK48" s="1797"/>
      <c r="AL48" s="1797"/>
      <c r="AM48" s="1797"/>
      <c r="AN48" s="1797"/>
      <c r="AO48" s="716"/>
      <c r="AP48" s="1797"/>
      <c r="AQ48" s="1797"/>
      <c r="AR48" s="1797"/>
      <c r="AS48" s="1797"/>
      <c r="AT48" s="716"/>
      <c r="AU48" s="1797"/>
      <c r="AV48" s="1797"/>
      <c r="AW48" s="1797"/>
      <c r="AX48" s="1797"/>
      <c r="AY48" s="716"/>
      <c r="AZ48" s="1797"/>
      <c r="BA48" s="1797"/>
      <c r="BB48" s="1797"/>
      <c r="BC48" s="1797"/>
      <c r="BD48" s="716"/>
      <c r="BE48" s="1797"/>
      <c r="BF48" s="1797"/>
      <c r="BG48" s="1797"/>
      <c r="BH48" s="1797"/>
      <c r="BI48" s="716"/>
      <c r="BJ48" s="1797"/>
      <c r="BK48" s="1797"/>
      <c r="BL48" s="1797"/>
      <c r="BM48" s="1797"/>
      <c r="BN48" s="716"/>
      <c r="BO48" s="1797"/>
      <c r="BP48" s="1797"/>
      <c r="BQ48" s="1797"/>
      <c r="BR48" s="1797"/>
      <c r="DG48"/>
      <c r="DH48"/>
    </row>
    <row r="49" spans="1:83" ht="23.1" hidden="1" customHeight="1" thickBot="1" x14ac:dyDescent="0.3">
      <c r="A49" s="716"/>
      <c r="B49" s="32"/>
      <c r="C49" s="33"/>
      <c r="D49" s="34"/>
      <c r="E49" s="35"/>
      <c r="F49" s="716"/>
      <c r="G49" s="32"/>
      <c r="H49" s="33"/>
      <c r="I49" s="34"/>
      <c r="J49" s="35"/>
      <c r="K49" s="716"/>
      <c r="L49" s="32"/>
      <c r="M49" s="33"/>
      <c r="N49" s="34"/>
      <c r="O49" s="35"/>
      <c r="P49" s="716"/>
      <c r="Q49" s="32"/>
      <c r="R49" s="33"/>
      <c r="S49" s="34"/>
      <c r="T49" s="35"/>
      <c r="U49" s="716"/>
      <c r="V49" s="32"/>
      <c r="W49" s="33"/>
      <c r="X49" s="34"/>
      <c r="Y49" s="35"/>
      <c r="Z49" s="716"/>
      <c r="AA49" s="32"/>
      <c r="AB49" s="33"/>
      <c r="AC49" s="34"/>
      <c r="AD49" s="35"/>
      <c r="AE49" s="716"/>
      <c r="AF49" s="32"/>
      <c r="AG49" s="33"/>
      <c r="AH49" s="34"/>
      <c r="AI49" s="35"/>
      <c r="AJ49" s="716"/>
      <c r="AK49" s="32"/>
      <c r="AL49" s="33"/>
      <c r="AM49" s="34"/>
      <c r="AN49" s="35"/>
      <c r="AO49" s="716"/>
      <c r="AP49" s="32"/>
      <c r="AQ49" s="33"/>
      <c r="AR49" s="34"/>
      <c r="AS49" s="35"/>
      <c r="AT49" s="716"/>
      <c r="AU49" s="32"/>
      <c r="AV49" s="33"/>
      <c r="AW49" s="34"/>
      <c r="AX49" s="35"/>
      <c r="AY49" s="716"/>
      <c r="AZ49" s="32"/>
      <c r="BA49" s="33"/>
      <c r="BB49" s="34"/>
      <c r="BC49" s="35"/>
      <c r="BD49" s="716"/>
      <c r="BE49" s="32"/>
      <c r="BF49" s="33"/>
      <c r="BG49" s="34"/>
      <c r="BH49" s="35"/>
      <c r="BI49" s="716"/>
      <c r="BJ49" s="32"/>
      <c r="BK49" s="33"/>
      <c r="BL49" s="34"/>
      <c r="BM49" s="35"/>
      <c r="BN49" s="716"/>
      <c r="BO49" s="32"/>
      <c r="BP49" s="33"/>
      <c r="BQ49" s="34"/>
      <c r="BR49" s="35"/>
      <c r="BW49" s="27"/>
    </row>
    <row r="50" spans="1:83" ht="26.1" hidden="1" customHeight="1" thickTop="1" x14ac:dyDescent="0.25">
      <c r="A50" s="719"/>
      <c r="B50" s="719"/>
      <c r="C50" s="1300"/>
      <c r="D50" s="1300"/>
      <c r="E50" s="1300"/>
      <c r="F50" s="719"/>
      <c r="G50" s="719"/>
      <c r="H50" s="1300"/>
      <c r="I50" s="1300"/>
      <c r="J50" s="1300"/>
      <c r="K50" s="719"/>
      <c r="L50" s="719"/>
      <c r="M50" s="1300"/>
      <c r="N50" s="1300"/>
      <c r="O50" s="1300"/>
      <c r="P50" s="719"/>
      <c r="Q50" s="719"/>
      <c r="R50" s="1300"/>
      <c r="S50" s="1300"/>
      <c r="T50" s="1300"/>
      <c r="U50" s="719"/>
      <c r="V50" s="719"/>
      <c r="W50" s="1300"/>
      <c r="X50" s="1300"/>
      <c r="Y50" s="1300"/>
      <c r="Z50" s="719"/>
      <c r="AA50" s="719"/>
      <c r="AB50" s="1300"/>
      <c r="AC50" s="1300"/>
      <c r="AD50" s="1300"/>
      <c r="AE50" s="719"/>
      <c r="AF50" s="719"/>
      <c r="AG50" s="1300"/>
      <c r="AH50" s="1300"/>
      <c r="AI50" s="1300"/>
      <c r="AJ50" s="719"/>
      <c r="AK50" s="719"/>
      <c r="AL50" s="1300"/>
      <c r="AM50" s="1300"/>
      <c r="AN50" s="1300"/>
      <c r="AO50" s="719"/>
      <c r="AP50" s="719"/>
      <c r="AQ50" s="1300"/>
      <c r="AR50" s="1300"/>
      <c r="AS50" s="1300"/>
      <c r="AT50" s="719"/>
      <c r="AU50" s="719"/>
      <c r="AV50" s="1300"/>
      <c r="AW50" s="1300"/>
      <c r="AX50" s="1300"/>
      <c r="AY50" s="719"/>
      <c r="AZ50" s="719"/>
      <c r="BA50" s="1300"/>
      <c r="BB50" s="1300"/>
      <c r="BC50" s="1300"/>
      <c r="BD50" s="719"/>
      <c r="BE50" s="719"/>
      <c r="BF50" s="1300"/>
      <c r="BG50" s="1300"/>
      <c r="BH50" s="1300"/>
      <c r="BI50" s="719"/>
      <c r="BJ50" s="719"/>
      <c r="BK50" s="1300"/>
      <c r="BL50" s="1300"/>
      <c r="BM50" s="1300"/>
      <c r="BN50" s="719"/>
      <c r="BO50" s="719"/>
      <c r="BP50" s="1300"/>
      <c r="BQ50" s="1300"/>
      <c r="BR50" s="1300"/>
    </row>
    <row r="51" spans="1:83" ht="6.75" hidden="1" customHeight="1" x14ac:dyDescent="0.25">
      <c r="A51" s="719"/>
      <c r="B51" s="719"/>
      <c r="C51" s="1300"/>
      <c r="D51" s="1300"/>
      <c r="E51" s="1300"/>
      <c r="F51" s="719"/>
      <c r="G51" s="719"/>
      <c r="H51" s="1300"/>
      <c r="I51" s="1300"/>
      <c r="J51" s="1300"/>
      <c r="K51" s="719"/>
      <c r="L51" s="719"/>
      <c r="M51" s="1300"/>
      <c r="N51" s="1300"/>
      <c r="O51" s="1300"/>
      <c r="P51" s="719"/>
      <c r="Q51" s="719"/>
      <c r="R51" s="1300"/>
      <c r="S51" s="1300"/>
      <c r="T51" s="1300"/>
      <c r="U51" s="719"/>
      <c r="V51" s="719"/>
      <c r="W51" s="1300"/>
      <c r="X51" s="1300"/>
      <c r="Y51" s="1300"/>
      <c r="Z51" s="719"/>
      <c r="AA51" s="719"/>
      <c r="AB51" s="1300"/>
      <c r="AC51" s="1300"/>
      <c r="AD51" s="1300"/>
      <c r="AE51" s="719"/>
      <c r="AF51" s="719"/>
      <c r="AG51" s="1300"/>
      <c r="AH51" s="1300"/>
      <c r="AI51" s="1300"/>
      <c r="AJ51" s="719"/>
      <c r="AK51" s="719"/>
      <c r="AL51" s="1300"/>
      <c r="AM51" s="1300"/>
      <c r="AN51" s="1300"/>
      <c r="AO51" s="719"/>
      <c r="AP51" s="719"/>
      <c r="AQ51" s="1300"/>
      <c r="AR51" s="1300"/>
      <c r="AS51" s="1300"/>
      <c r="AT51" s="719"/>
      <c r="AU51" s="719"/>
      <c r="AV51" s="1300"/>
      <c r="AW51" s="1300"/>
      <c r="AX51" s="1300"/>
      <c r="AY51" s="719"/>
      <c r="AZ51" s="719"/>
      <c r="BA51" s="1300"/>
      <c r="BB51" s="1300"/>
      <c r="BC51" s="1300"/>
      <c r="BD51" s="719"/>
      <c r="BE51" s="719"/>
      <c r="BF51" s="1300"/>
      <c r="BG51" s="1300"/>
      <c r="BH51" s="1300"/>
      <c r="BI51" s="719"/>
      <c r="BJ51" s="719"/>
      <c r="BK51" s="1300"/>
      <c r="BL51" s="1300"/>
      <c r="BM51" s="1300"/>
      <c r="BN51" s="719"/>
      <c r="BO51" s="719"/>
      <c r="BP51" s="1300"/>
      <c r="BQ51" s="1300"/>
      <c r="BR51" s="1300"/>
    </row>
    <row r="52" spans="1:83" ht="21.95" hidden="1" customHeight="1" x14ac:dyDescent="0.25">
      <c r="A52" s="719"/>
      <c r="B52" s="719"/>
      <c r="C52" s="719"/>
      <c r="D52" s="719"/>
      <c r="E52" s="719"/>
      <c r="F52" s="719"/>
      <c r="G52" s="719"/>
      <c r="H52" s="719"/>
      <c r="I52" s="719"/>
      <c r="J52" s="719"/>
      <c r="K52" s="719"/>
      <c r="L52" s="719"/>
      <c r="M52" s="719"/>
      <c r="N52" s="719"/>
      <c r="O52" s="719"/>
      <c r="P52" s="719"/>
      <c r="Q52" s="719"/>
      <c r="R52" s="719"/>
      <c r="S52" s="719"/>
      <c r="T52" s="719"/>
      <c r="U52" s="719"/>
      <c r="V52" s="719"/>
      <c r="W52" s="719"/>
      <c r="X52" s="719"/>
      <c r="Y52" s="719"/>
      <c r="Z52" s="719"/>
      <c r="AA52" s="719"/>
      <c r="AB52" s="719"/>
      <c r="AC52" s="719"/>
      <c r="AD52" s="719"/>
      <c r="AE52" s="719"/>
      <c r="AF52" s="719"/>
      <c r="AG52" s="719"/>
      <c r="AH52" s="719"/>
      <c r="AI52" s="719"/>
      <c r="AJ52" s="719"/>
      <c r="AK52" s="719"/>
      <c r="AL52" s="719"/>
      <c r="AM52" s="719"/>
      <c r="AN52" s="719"/>
      <c r="AO52" s="719"/>
      <c r="AP52" s="719"/>
      <c r="AQ52" s="719"/>
      <c r="AR52" s="719"/>
      <c r="AS52" s="719"/>
      <c r="AT52" s="719"/>
      <c r="AU52" s="719"/>
      <c r="AV52" s="719"/>
      <c r="AW52" s="719"/>
      <c r="AX52" s="719"/>
      <c r="AY52" s="719"/>
      <c r="AZ52" s="719"/>
      <c r="BA52" s="719"/>
      <c r="BB52" s="719"/>
      <c r="BC52" s="719"/>
      <c r="BD52" s="719"/>
      <c r="BE52" s="719"/>
      <c r="BF52" s="719"/>
      <c r="BG52" s="719"/>
      <c r="BH52" s="719"/>
      <c r="BI52" s="719"/>
      <c r="BJ52" s="719"/>
      <c r="BK52" s="719"/>
      <c r="BL52" s="719"/>
      <c r="BM52" s="719"/>
      <c r="BN52" s="719"/>
      <c r="BO52" s="719"/>
      <c r="BP52" s="719"/>
      <c r="BQ52" s="719"/>
      <c r="BR52" s="719"/>
    </row>
    <row r="53" spans="1:83" ht="6" hidden="1" customHeight="1" x14ac:dyDescent="0.25">
      <c r="A53" s="719"/>
      <c r="B53" s="719"/>
      <c r="C53" s="719"/>
      <c r="D53" s="719"/>
      <c r="E53" s="719"/>
      <c r="F53" s="719"/>
      <c r="G53" s="719"/>
      <c r="H53" s="719"/>
      <c r="I53" s="719"/>
      <c r="J53" s="719"/>
      <c r="K53" s="719"/>
      <c r="L53" s="719"/>
      <c r="M53" s="719"/>
      <c r="N53" s="719"/>
      <c r="O53" s="719"/>
      <c r="P53" s="719"/>
      <c r="Q53" s="719"/>
      <c r="R53" s="719"/>
      <c r="S53" s="719"/>
      <c r="T53" s="719"/>
      <c r="U53" s="719"/>
      <c r="V53" s="719"/>
      <c r="W53" s="719"/>
      <c r="X53" s="719"/>
      <c r="Y53" s="719"/>
      <c r="Z53" s="719"/>
      <c r="AA53" s="719"/>
      <c r="AB53" s="719"/>
      <c r="AC53" s="719"/>
      <c r="AD53" s="719"/>
      <c r="AE53" s="719"/>
      <c r="AF53" s="719"/>
      <c r="AG53" s="719"/>
      <c r="AH53" s="719"/>
      <c r="AI53" s="719"/>
      <c r="AJ53" s="719"/>
      <c r="AK53" s="719"/>
      <c r="AL53" s="719"/>
      <c r="AM53" s="719"/>
      <c r="AN53" s="719"/>
      <c r="AO53" s="719"/>
      <c r="AP53" s="719"/>
      <c r="AQ53" s="719"/>
      <c r="AR53" s="719"/>
      <c r="AS53" s="719"/>
      <c r="AT53" s="719"/>
      <c r="AU53" s="719"/>
      <c r="AV53" s="719"/>
      <c r="AW53" s="719"/>
      <c r="AX53" s="719"/>
      <c r="AY53" s="719"/>
      <c r="AZ53" s="719"/>
      <c r="BA53" s="719"/>
      <c r="BB53" s="719"/>
      <c r="BC53" s="719"/>
      <c r="BD53" s="719"/>
      <c r="BE53" s="719"/>
      <c r="BF53" s="719"/>
      <c r="BG53" s="719"/>
      <c r="BH53" s="719"/>
      <c r="BI53" s="719"/>
      <c r="BJ53" s="719"/>
      <c r="BK53" s="719"/>
      <c r="BL53" s="719"/>
      <c r="BM53" s="719"/>
      <c r="BN53" s="719"/>
      <c r="BO53" s="719"/>
      <c r="BP53" s="719"/>
      <c r="BQ53" s="719"/>
      <c r="BR53" s="719"/>
    </row>
    <row r="54" spans="1:83" ht="60" hidden="1" customHeight="1" thickTop="1" thickBot="1" x14ac:dyDescent="0.3">
      <c r="A54" s="716"/>
      <c r="B54" s="1797"/>
      <c r="C54" s="1797"/>
      <c r="D54" s="1797"/>
      <c r="E54" s="1797"/>
      <c r="F54" s="716"/>
      <c r="G54" s="1797"/>
      <c r="H54" s="1797"/>
      <c r="I54" s="1797"/>
      <c r="J54" s="1797"/>
      <c r="K54" s="716"/>
      <c r="L54" s="1797"/>
      <c r="M54" s="1797"/>
      <c r="N54" s="1797"/>
      <c r="O54" s="1797"/>
      <c r="P54" s="716"/>
      <c r="Q54" s="1797"/>
      <c r="R54" s="1797"/>
      <c r="S54" s="1797"/>
      <c r="T54" s="1797"/>
      <c r="U54" s="716"/>
      <c r="V54" s="1797"/>
      <c r="W54" s="1797"/>
      <c r="X54" s="1797"/>
      <c r="Y54" s="1797"/>
      <c r="Z54" s="716"/>
      <c r="AA54" s="1797"/>
      <c r="AB54" s="1797"/>
      <c r="AC54" s="1797"/>
      <c r="AD54" s="1797"/>
      <c r="AE54" s="716"/>
      <c r="AF54" s="1797"/>
      <c r="AG54" s="1797"/>
      <c r="AH54" s="1797"/>
      <c r="AI54" s="1797"/>
      <c r="AJ54" s="716"/>
      <c r="AK54" s="1797"/>
      <c r="AL54" s="1797"/>
      <c r="AM54" s="1797"/>
      <c r="AN54" s="1797"/>
      <c r="AO54" s="716"/>
      <c r="AP54" s="1797"/>
      <c r="AQ54" s="1797"/>
      <c r="AR54" s="1797"/>
      <c r="AS54" s="1797"/>
      <c r="AT54" s="716"/>
      <c r="AU54" s="1797"/>
      <c r="AV54" s="1797"/>
      <c r="AW54" s="1797"/>
      <c r="AX54" s="1797"/>
      <c r="AY54" s="716"/>
      <c r="AZ54" s="1797"/>
      <c r="BA54" s="1797"/>
      <c r="BB54" s="1797"/>
      <c r="BC54" s="1797"/>
      <c r="BD54" s="716"/>
      <c r="BE54" s="1797"/>
      <c r="BF54" s="1797"/>
      <c r="BG54" s="1797"/>
      <c r="BH54" s="1797"/>
      <c r="BI54" s="716"/>
      <c r="BJ54" s="1797"/>
      <c r="BK54" s="1797"/>
      <c r="BL54" s="1797"/>
      <c r="BM54" s="1797"/>
      <c r="BN54" s="716"/>
      <c r="BO54" s="1797"/>
      <c r="BP54" s="1797"/>
      <c r="BQ54" s="1797"/>
      <c r="BR54" s="1797"/>
    </row>
    <row r="55" spans="1:83" ht="27.75" hidden="1" customHeight="1" thickTop="1" thickBot="1" x14ac:dyDescent="0.3">
      <c r="A55" s="716"/>
      <c r="B55" s="32"/>
      <c r="C55" s="33"/>
      <c r="D55" s="34"/>
      <c r="E55" s="35"/>
      <c r="F55" s="716"/>
      <c r="G55" s="32"/>
      <c r="H55" s="33"/>
      <c r="I55" s="34"/>
      <c r="J55" s="35"/>
      <c r="K55" s="716"/>
      <c r="L55" s="32"/>
      <c r="M55" s="33"/>
      <c r="N55" s="34"/>
      <c r="O55" s="35"/>
      <c r="P55" s="716"/>
      <c r="Q55" s="32"/>
      <c r="R55" s="33"/>
      <c r="S55" s="34"/>
      <c r="T55" s="35"/>
      <c r="U55" s="716"/>
      <c r="V55" s="32"/>
      <c r="W55" s="33"/>
      <c r="X55" s="34"/>
      <c r="Y55" s="35"/>
      <c r="Z55" s="716"/>
      <c r="AA55" s="32"/>
      <c r="AB55" s="33"/>
      <c r="AC55" s="34"/>
      <c r="AD55" s="35"/>
      <c r="AE55" s="716"/>
      <c r="AF55" s="32"/>
      <c r="AG55" s="33"/>
      <c r="AH55" s="34"/>
      <c r="AI55" s="35"/>
      <c r="AJ55" s="716"/>
      <c r="AK55" s="32"/>
      <c r="AL55" s="33"/>
      <c r="AM55" s="34"/>
      <c r="AN55" s="35"/>
      <c r="AO55" s="716"/>
      <c r="AP55" s="32"/>
      <c r="AQ55" s="33"/>
      <c r="AR55" s="34"/>
      <c r="AS55" s="35"/>
      <c r="AT55" s="716"/>
      <c r="AU55" s="32"/>
      <c r="AV55" s="33"/>
      <c r="AW55" s="34"/>
      <c r="AX55" s="35"/>
      <c r="AY55" s="716"/>
      <c r="AZ55" s="32"/>
      <c r="BA55" s="33"/>
      <c r="BB55" s="34"/>
      <c r="BC55" s="35"/>
      <c r="BD55" s="716"/>
      <c r="BE55" s="32"/>
      <c r="BF55" s="33"/>
      <c r="BG55" s="34"/>
      <c r="BH55" s="35"/>
      <c r="BI55" s="716"/>
      <c r="BJ55" s="32"/>
      <c r="BK55" s="33"/>
      <c r="BL55" s="34"/>
      <c r="BM55" s="35"/>
      <c r="BN55" s="716"/>
      <c r="BO55" s="32"/>
      <c r="BP55" s="33"/>
      <c r="BQ55" s="34"/>
      <c r="BR55" s="35"/>
      <c r="BW55" s="27"/>
      <c r="BX55" s="27"/>
      <c r="BY55" s="27"/>
      <c r="BZ55" s="27"/>
      <c r="CA55" s="27"/>
      <c r="CB55" s="27"/>
      <c r="CC55" s="27"/>
      <c r="CD55" s="27"/>
      <c r="CE55" s="27"/>
    </row>
    <row r="56" spans="1:83" ht="26.1" hidden="1" customHeight="1" x14ac:dyDescent="0.25">
      <c r="A56" s="719"/>
      <c r="B56" s="719"/>
      <c r="C56" s="1300"/>
      <c r="D56" s="1300"/>
      <c r="E56" s="1300"/>
      <c r="F56" s="719"/>
      <c r="G56" s="719"/>
      <c r="H56" s="1300"/>
      <c r="I56" s="1300"/>
      <c r="J56" s="1300"/>
      <c r="K56" s="719"/>
      <c r="L56" s="719"/>
      <c r="M56" s="1300"/>
      <c r="N56" s="1300"/>
      <c r="O56" s="1300"/>
      <c r="P56" s="719"/>
      <c r="Q56" s="719"/>
      <c r="R56" s="1300"/>
      <c r="S56" s="1300"/>
      <c r="T56" s="1300"/>
      <c r="U56" s="719"/>
      <c r="V56" s="719"/>
      <c r="W56" s="1300"/>
      <c r="X56" s="1300"/>
      <c r="Y56" s="1300"/>
      <c r="Z56" s="719"/>
      <c r="AA56" s="719"/>
      <c r="AB56" s="1300"/>
      <c r="AC56" s="1300"/>
      <c r="AD56" s="1300"/>
      <c r="AE56" s="719"/>
      <c r="AF56" s="719"/>
      <c r="AG56" s="1300"/>
      <c r="AH56" s="1300"/>
      <c r="AI56" s="1300"/>
      <c r="AJ56" s="719"/>
      <c r="AK56" s="719"/>
      <c r="AL56" s="1300"/>
      <c r="AM56" s="1300"/>
      <c r="AN56" s="1300"/>
      <c r="AO56" s="719"/>
      <c r="AP56" s="719"/>
      <c r="AQ56" s="1300"/>
      <c r="AR56" s="1300"/>
      <c r="AS56" s="1300"/>
      <c r="AT56" s="719"/>
      <c r="AU56" s="719"/>
      <c r="AV56" s="1300"/>
      <c r="AW56" s="1300"/>
      <c r="AX56" s="1300"/>
      <c r="AY56" s="719"/>
      <c r="AZ56" s="719"/>
      <c r="BA56" s="1300"/>
      <c r="BB56" s="1300"/>
      <c r="BC56" s="1300"/>
      <c r="BD56" s="719"/>
      <c r="BE56" s="719"/>
      <c r="BF56" s="1300"/>
      <c r="BG56" s="1300"/>
      <c r="BH56" s="1300"/>
      <c r="BI56" s="719"/>
      <c r="BJ56" s="719"/>
      <c r="BK56" s="1300"/>
      <c r="BL56" s="1300"/>
      <c r="BM56" s="1300"/>
      <c r="BN56" s="719"/>
      <c r="BO56" s="719"/>
      <c r="BP56" s="1300"/>
      <c r="BQ56" s="1300"/>
      <c r="BR56" s="1300"/>
    </row>
    <row r="57" spans="1:83" ht="6.75" hidden="1" customHeight="1" x14ac:dyDescent="0.25">
      <c r="A57" s="719"/>
      <c r="B57" s="719"/>
      <c r="C57" s="1300"/>
      <c r="D57" s="1300"/>
      <c r="E57" s="1300"/>
      <c r="F57" s="719"/>
      <c r="G57" s="719"/>
      <c r="H57" s="1300"/>
      <c r="I57" s="1300"/>
      <c r="J57" s="1300"/>
      <c r="K57" s="719"/>
      <c r="L57" s="719"/>
      <c r="M57" s="1300"/>
      <c r="N57" s="1300"/>
      <c r="O57" s="1300"/>
      <c r="P57" s="719"/>
      <c r="Q57" s="719"/>
      <c r="R57" s="1300"/>
      <c r="S57" s="1300"/>
      <c r="T57" s="1300"/>
      <c r="U57" s="719"/>
      <c r="V57" s="719"/>
      <c r="W57" s="1300"/>
      <c r="X57" s="1300"/>
      <c r="Y57" s="1300"/>
      <c r="Z57" s="719"/>
      <c r="AA57" s="719"/>
      <c r="AB57" s="1300"/>
      <c r="AC57" s="1300"/>
      <c r="AD57" s="1300"/>
      <c r="AE57" s="719"/>
      <c r="AF57" s="719"/>
      <c r="AG57" s="1300"/>
      <c r="AH57" s="1300"/>
      <c r="AI57" s="1300"/>
      <c r="AJ57" s="719"/>
      <c r="AK57" s="719"/>
      <c r="AL57" s="1300"/>
      <c r="AM57" s="1300"/>
      <c r="AN57" s="1300"/>
      <c r="AO57" s="719"/>
      <c r="AP57" s="719"/>
      <c r="AQ57" s="1300"/>
      <c r="AR57" s="1300"/>
      <c r="AS57" s="1300"/>
      <c r="AT57" s="719"/>
      <c r="AU57" s="719"/>
      <c r="AV57" s="1300"/>
      <c r="AW57" s="1300"/>
      <c r="AX57" s="1300"/>
      <c r="AY57" s="719"/>
      <c r="AZ57" s="719"/>
      <c r="BA57" s="1300"/>
      <c r="BB57" s="1300"/>
      <c r="BC57" s="1300"/>
      <c r="BD57" s="719"/>
      <c r="BE57" s="719"/>
      <c r="BF57" s="1300"/>
      <c r="BG57" s="1300"/>
      <c r="BH57" s="1300"/>
      <c r="BI57" s="719"/>
      <c r="BJ57" s="719"/>
      <c r="BK57" s="1300"/>
      <c r="BL57" s="1300"/>
      <c r="BM57" s="1300"/>
      <c r="BN57" s="719"/>
      <c r="BO57" s="719"/>
      <c r="BP57" s="1300"/>
      <c r="BQ57" s="1300"/>
      <c r="BR57" s="1300"/>
    </row>
    <row r="58" spans="1:83" ht="21.95" hidden="1" customHeight="1" x14ac:dyDescent="0.25">
      <c r="A58" s="719"/>
      <c r="B58" s="719"/>
      <c r="C58" s="719"/>
      <c r="D58" s="719"/>
      <c r="E58" s="719"/>
      <c r="F58" s="719"/>
      <c r="G58" s="719"/>
      <c r="H58" s="719"/>
      <c r="I58" s="719"/>
      <c r="J58" s="719"/>
      <c r="K58" s="719"/>
      <c r="L58" s="719"/>
      <c r="M58" s="719"/>
      <c r="N58" s="719"/>
      <c r="O58" s="719"/>
      <c r="P58" s="719"/>
      <c r="Q58" s="719"/>
      <c r="R58" s="719"/>
      <c r="S58" s="719"/>
      <c r="T58" s="719"/>
      <c r="U58" s="719"/>
      <c r="V58" s="719"/>
      <c r="W58" s="719"/>
      <c r="X58" s="719"/>
      <c r="Y58" s="719"/>
      <c r="Z58" s="719"/>
      <c r="AA58" s="719"/>
      <c r="AB58" s="719"/>
      <c r="AC58" s="719"/>
      <c r="AD58" s="719"/>
      <c r="AE58" s="719"/>
      <c r="AF58" s="719"/>
      <c r="AG58" s="719"/>
      <c r="AH58" s="719"/>
      <c r="AI58" s="719"/>
      <c r="AJ58" s="719"/>
      <c r="AK58" s="719"/>
      <c r="AL58" s="719"/>
      <c r="AM58" s="719"/>
      <c r="AN58" s="719"/>
      <c r="AO58" s="719"/>
      <c r="AP58" s="719"/>
      <c r="AQ58" s="719"/>
      <c r="AR58" s="719"/>
      <c r="AS58" s="719"/>
      <c r="AT58" s="719"/>
      <c r="AU58" s="719"/>
      <c r="AV58" s="719"/>
      <c r="AW58" s="719"/>
      <c r="AX58" s="719"/>
      <c r="AY58" s="719"/>
      <c r="AZ58" s="719"/>
      <c r="BA58" s="719"/>
      <c r="BB58" s="719"/>
      <c r="BC58" s="719"/>
      <c r="BD58" s="719"/>
      <c r="BE58" s="719"/>
      <c r="BF58" s="719"/>
      <c r="BG58" s="719"/>
      <c r="BH58" s="719"/>
      <c r="BI58" s="719"/>
      <c r="BJ58" s="719"/>
      <c r="BK58" s="719"/>
      <c r="BL58" s="719"/>
      <c r="BM58" s="719"/>
      <c r="BN58" s="719"/>
      <c r="BO58" s="719"/>
      <c r="BP58" s="719"/>
      <c r="BQ58" s="719"/>
      <c r="BR58" s="719"/>
    </row>
    <row r="59" spans="1:83" ht="6" hidden="1" customHeight="1" x14ac:dyDescent="0.25">
      <c r="A59" s="719"/>
      <c r="B59" s="719"/>
      <c r="C59" s="719"/>
      <c r="D59" s="719"/>
      <c r="E59" s="719"/>
      <c r="F59" s="719"/>
      <c r="G59" s="719"/>
      <c r="H59" s="719"/>
      <c r="I59" s="719"/>
      <c r="J59" s="719"/>
      <c r="K59" s="719"/>
      <c r="L59" s="719"/>
      <c r="M59" s="719"/>
      <c r="N59" s="719"/>
      <c r="O59" s="719"/>
      <c r="P59" s="719"/>
      <c r="Q59" s="719"/>
      <c r="R59" s="719"/>
      <c r="S59" s="719"/>
      <c r="T59" s="719"/>
      <c r="U59" s="719"/>
      <c r="V59" s="719"/>
      <c r="W59" s="719"/>
      <c r="X59" s="719"/>
      <c r="Y59" s="719"/>
      <c r="Z59" s="719"/>
      <c r="AA59" s="719"/>
      <c r="AB59" s="719"/>
      <c r="AC59" s="719"/>
      <c r="AD59" s="719"/>
      <c r="AE59" s="719"/>
      <c r="AF59" s="719"/>
      <c r="AG59" s="719"/>
      <c r="AH59" s="719"/>
      <c r="AI59" s="719"/>
      <c r="AJ59" s="719"/>
      <c r="AK59" s="719"/>
      <c r="AL59" s="719"/>
      <c r="AM59" s="719"/>
      <c r="AN59" s="719"/>
      <c r="AO59" s="719"/>
      <c r="AP59" s="719"/>
      <c r="AQ59" s="719"/>
      <c r="AR59" s="719"/>
      <c r="AS59" s="719"/>
      <c r="AT59" s="719"/>
      <c r="AU59" s="719"/>
      <c r="AV59" s="719"/>
      <c r="AW59" s="719"/>
      <c r="AX59" s="719"/>
      <c r="AY59" s="719"/>
      <c r="AZ59" s="719"/>
      <c r="BA59" s="719"/>
      <c r="BB59" s="719"/>
      <c r="BC59" s="719"/>
      <c r="BD59" s="719"/>
      <c r="BE59" s="719"/>
      <c r="BF59" s="719"/>
      <c r="BG59" s="719"/>
      <c r="BH59" s="719"/>
      <c r="BI59" s="719"/>
      <c r="BJ59" s="719"/>
      <c r="BK59" s="719"/>
      <c r="BL59" s="719"/>
      <c r="BM59" s="719"/>
      <c r="BN59" s="719"/>
      <c r="BO59" s="719"/>
      <c r="BP59" s="719"/>
      <c r="BQ59" s="719"/>
      <c r="BR59" s="719"/>
    </row>
    <row r="60" spans="1:83" ht="60" hidden="1" customHeight="1" thickTop="1" thickBot="1" x14ac:dyDescent="0.3">
      <c r="A60" s="716"/>
      <c r="B60" s="1797"/>
      <c r="C60" s="1797"/>
      <c r="D60" s="1797"/>
      <c r="E60" s="1797"/>
      <c r="F60" s="716"/>
      <c r="G60" s="1797"/>
      <c r="H60" s="1797"/>
      <c r="I60" s="1797"/>
      <c r="J60" s="1797"/>
      <c r="K60" s="716"/>
      <c r="L60" s="1797"/>
      <c r="M60" s="1797"/>
      <c r="N60" s="1797"/>
      <c r="O60" s="1797"/>
      <c r="P60" s="716"/>
      <c r="Q60" s="1797"/>
      <c r="R60" s="1797"/>
      <c r="S60" s="1797"/>
      <c r="T60" s="1797"/>
      <c r="U60" s="716"/>
      <c r="V60" s="1797"/>
      <c r="W60" s="1797"/>
      <c r="X60" s="1797"/>
      <c r="Y60" s="1797"/>
      <c r="Z60" s="716"/>
      <c r="AA60" s="1797"/>
      <c r="AB60" s="1797"/>
      <c r="AC60" s="1797"/>
      <c r="AD60" s="1797"/>
      <c r="AE60" s="716"/>
      <c r="AF60" s="1797"/>
      <c r="AG60" s="1797"/>
      <c r="AH60" s="1797"/>
      <c r="AI60" s="1797"/>
      <c r="AJ60" s="716"/>
      <c r="AK60" s="1797"/>
      <c r="AL60" s="1797"/>
      <c r="AM60" s="1797"/>
      <c r="AN60" s="1797"/>
      <c r="AO60" s="716"/>
      <c r="AP60" s="1797"/>
      <c r="AQ60" s="1797"/>
      <c r="AR60" s="1797"/>
      <c r="AS60" s="1797"/>
      <c r="AT60" s="716"/>
      <c r="AU60" s="1797"/>
      <c r="AV60" s="1797"/>
      <c r="AW60" s="1797"/>
      <c r="AX60" s="1797"/>
      <c r="AY60" s="716"/>
      <c r="AZ60" s="1797"/>
      <c r="BA60" s="1797"/>
      <c r="BB60" s="1797"/>
      <c r="BC60" s="1797"/>
      <c r="BD60" s="716"/>
      <c r="BE60" s="1797"/>
      <c r="BF60" s="1797"/>
      <c r="BG60" s="1797"/>
      <c r="BH60" s="1797"/>
      <c r="BI60" s="716"/>
      <c r="BJ60" s="1797"/>
      <c r="BK60" s="1797"/>
      <c r="BL60" s="1797"/>
      <c r="BM60" s="1797"/>
      <c r="BN60" s="716"/>
      <c r="BO60" s="1797"/>
      <c r="BP60" s="1797"/>
      <c r="BQ60" s="1797"/>
      <c r="BR60" s="1797"/>
    </row>
    <row r="61" spans="1:83" ht="27.75" hidden="1" customHeight="1" thickTop="1" thickBot="1" x14ac:dyDescent="0.3">
      <c r="A61" s="716"/>
      <c r="B61" s="32"/>
      <c r="C61" s="33"/>
      <c r="D61" s="34"/>
      <c r="E61" s="35"/>
      <c r="F61" s="716"/>
      <c r="G61" s="32"/>
      <c r="H61" s="33"/>
      <c r="I61" s="34"/>
      <c r="J61" s="35"/>
      <c r="K61" s="716"/>
      <c r="L61" s="32"/>
      <c r="M61" s="33"/>
      <c r="N61" s="34"/>
      <c r="O61" s="35"/>
      <c r="P61" s="716"/>
      <c r="Q61" s="32"/>
      <c r="R61" s="33"/>
      <c r="S61" s="34"/>
      <c r="T61" s="35"/>
      <c r="U61" s="716"/>
      <c r="V61" s="32"/>
      <c r="W61" s="33"/>
      <c r="X61" s="34"/>
      <c r="Y61" s="35"/>
      <c r="Z61" s="716"/>
      <c r="AA61" s="32"/>
      <c r="AB61" s="33"/>
      <c r="AC61" s="34"/>
      <c r="AD61" s="35"/>
      <c r="AE61" s="716"/>
      <c r="AF61" s="32"/>
      <c r="AG61" s="33"/>
      <c r="AH61" s="34"/>
      <c r="AI61" s="35"/>
      <c r="AJ61" s="716"/>
      <c r="AK61" s="32"/>
      <c r="AL61" s="33"/>
      <c r="AM61" s="34"/>
      <c r="AN61" s="35"/>
      <c r="AO61" s="716"/>
      <c r="AP61" s="32"/>
      <c r="AQ61" s="33"/>
      <c r="AR61" s="34"/>
      <c r="AS61" s="35"/>
      <c r="AT61" s="716"/>
      <c r="AU61" s="32"/>
      <c r="AV61" s="33"/>
      <c r="AW61" s="34"/>
      <c r="AX61" s="35"/>
      <c r="AY61" s="716"/>
      <c r="AZ61" s="32"/>
      <c r="BA61" s="33"/>
      <c r="BB61" s="34"/>
      <c r="BC61" s="35"/>
      <c r="BD61" s="716"/>
      <c r="BE61" s="32"/>
      <c r="BF61" s="33"/>
      <c r="BG61" s="34"/>
      <c r="BH61" s="35"/>
      <c r="BI61" s="716"/>
      <c r="BJ61" s="32"/>
      <c r="BK61" s="33"/>
      <c r="BL61" s="34"/>
      <c r="BM61" s="35"/>
      <c r="BN61" s="716"/>
      <c r="BO61" s="32"/>
      <c r="BP61" s="33"/>
      <c r="BQ61" s="34"/>
      <c r="BR61" s="35"/>
      <c r="BW61" s="27"/>
      <c r="BX61" s="27"/>
      <c r="BY61" s="27"/>
      <c r="BZ61" s="27"/>
      <c r="CA61" s="27"/>
      <c r="CB61" s="27"/>
      <c r="CC61" s="27"/>
      <c r="CD61" s="27"/>
      <c r="CE61" s="27"/>
    </row>
    <row r="62" spans="1:83" s="42" customFormat="1" ht="18.600000000000001" hidden="1" customHeight="1" thickTop="1" x14ac:dyDescent="0.25">
      <c r="A62" s="719"/>
      <c r="B62" s="719"/>
      <c r="C62" s="1300"/>
      <c r="D62" s="1300"/>
      <c r="E62" s="1300"/>
      <c r="F62" s="719"/>
      <c r="G62" s="719"/>
      <c r="H62" s="1300"/>
      <c r="I62" s="1300"/>
      <c r="J62" s="1300"/>
      <c r="K62" s="719"/>
      <c r="L62" s="719"/>
      <c r="M62" s="1300"/>
      <c r="N62" s="1300"/>
      <c r="O62" s="1300"/>
      <c r="P62" s="719"/>
      <c r="Q62" s="719"/>
      <c r="R62" s="1300"/>
      <c r="S62" s="1300"/>
      <c r="T62" s="1300"/>
      <c r="U62" s="719"/>
      <c r="V62" s="719"/>
      <c r="W62" s="1300"/>
      <c r="X62" s="1300"/>
      <c r="Y62" s="1300"/>
      <c r="Z62" s="719"/>
      <c r="AA62" s="719"/>
      <c r="AB62" s="1300"/>
      <c r="AC62" s="1300"/>
      <c r="AD62" s="1300"/>
      <c r="AE62" s="719"/>
      <c r="AF62" s="719"/>
      <c r="AG62" s="1300"/>
      <c r="AH62" s="1300"/>
      <c r="AI62" s="1300"/>
      <c r="AJ62" s="719"/>
      <c r="AK62" s="719"/>
      <c r="AL62" s="1300"/>
      <c r="AM62" s="1300"/>
      <c r="AN62" s="1300"/>
      <c r="AO62" s="719"/>
      <c r="AP62" s="719"/>
      <c r="AQ62" s="1300"/>
      <c r="AR62" s="1300"/>
      <c r="AS62" s="1300"/>
      <c r="AT62" s="719"/>
      <c r="AU62" s="719"/>
      <c r="AV62" s="1300"/>
      <c r="AW62" s="1300"/>
      <c r="AX62" s="1300"/>
      <c r="AY62" s="719"/>
      <c r="AZ62" s="719"/>
      <c r="BA62" s="1300"/>
      <c r="BB62" s="1300"/>
      <c r="BC62" s="1300"/>
      <c r="BD62" s="719"/>
      <c r="BE62" s="719"/>
      <c r="BF62" s="1300"/>
      <c r="BG62" s="1300"/>
      <c r="BH62" s="1300"/>
      <c r="BI62" s="719"/>
      <c r="BJ62" s="719"/>
      <c r="BK62" s="1300"/>
      <c r="BL62" s="1300"/>
      <c r="BM62" s="1300"/>
      <c r="BN62" s="719"/>
      <c r="BO62" s="719"/>
      <c r="BP62" s="1300"/>
      <c r="BQ62" s="1300"/>
      <c r="BR62" s="1300"/>
      <c r="BW62" s="43"/>
      <c r="BX62" s="43"/>
      <c r="BY62" s="43"/>
      <c r="BZ62" s="43"/>
      <c r="CA62" s="43"/>
      <c r="CB62" s="43"/>
      <c r="CC62" s="43"/>
      <c r="CD62" s="43"/>
      <c r="CE62" s="43"/>
    </row>
    <row r="63" spans="1:83" ht="18.600000000000001" hidden="1" customHeight="1" x14ac:dyDescent="0.25">
      <c r="A63" s="719"/>
      <c r="B63" s="719"/>
      <c r="C63" s="1300"/>
      <c r="D63" s="1300"/>
      <c r="E63" s="1300"/>
      <c r="F63" s="719"/>
      <c r="G63" s="719"/>
      <c r="H63" s="1300"/>
      <c r="I63" s="1300"/>
      <c r="J63" s="1300"/>
      <c r="K63" s="719"/>
      <c r="L63" s="719"/>
      <c r="M63" s="1300"/>
      <c r="N63" s="1300"/>
      <c r="O63" s="1300"/>
      <c r="P63" s="719"/>
      <c r="Q63" s="719"/>
      <c r="R63" s="1300"/>
      <c r="S63" s="1300"/>
      <c r="T63" s="1300"/>
      <c r="U63" s="719"/>
      <c r="V63" s="719"/>
      <c r="W63" s="1300"/>
      <c r="X63" s="1300"/>
      <c r="Y63" s="1300"/>
      <c r="Z63" s="719"/>
      <c r="AA63" s="719"/>
      <c r="AB63" s="1300"/>
      <c r="AC63" s="1300"/>
      <c r="AD63" s="1300"/>
      <c r="AE63" s="719"/>
      <c r="AF63" s="719"/>
      <c r="AG63" s="1300"/>
      <c r="AH63" s="1300"/>
      <c r="AI63" s="1300"/>
      <c r="AJ63" s="719"/>
      <c r="AK63" s="719"/>
      <c r="AL63" s="1300"/>
      <c r="AM63" s="1300"/>
      <c r="AN63" s="1300"/>
      <c r="AO63" s="719"/>
      <c r="AP63" s="719"/>
      <c r="AQ63" s="1300"/>
      <c r="AR63" s="1300"/>
      <c r="AS63" s="1300"/>
      <c r="AT63" s="719"/>
      <c r="AU63" s="719"/>
      <c r="AV63" s="1300"/>
      <c r="AW63" s="1300"/>
      <c r="AX63" s="1300"/>
      <c r="AY63" s="719"/>
      <c r="AZ63" s="719"/>
      <c r="BA63" s="1300"/>
      <c r="BB63" s="1300"/>
      <c r="BC63" s="1300"/>
      <c r="BD63" s="719"/>
      <c r="BE63" s="719"/>
      <c r="BF63" s="1300"/>
      <c r="BG63" s="1300"/>
      <c r="BH63" s="1300"/>
      <c r="BI63" s="719"/>
      <c r="BJ63" s="719"/>
      <c r="BK63" s="1300"/>
      <c r="BL63" s="1300"/>
      <c r="BM63" s="1300"/>
      <c r="BN63" s="719"/>
      <c r="BO63" s="719"/>
      <c r="BP63" s="1300"/>
      <c r="BQ63" s="1300"/>
      <c r="BR63" s="1300"/>
    </row>
    <row r="64" spans="1:83" ht="9.9499999999999993" hidden="1" customHeight="1" x14ac:dyDescent="0.25">
      <c r="A64" s="719"/>
      <c r="B64" s="719"/>
      <c r="C64" s="719"/>
      <c r="D64" s="719"/>
      <c r="E64" s="719"/>
      <c r="F64" s="719"/>
      <c r="G64" s="719"/>
      <c r="H64" s="719"/>
      <c r="I64" s="719"/>
      <c r="J64" s="719"/>
      <c r="K64" s="719"/>
      <c r="L64" s="719"/>
      <c r="M64" s="719"/>
      <c r="N64" s="719"/>
      <c r="O64" s="719"/>
      <c r="P64" s="719"/>
      <c r="Q64" s="719"/>
      <c r="R64" s="719"/>
      <c r="S64" s="719"/>
      <c r="T64" s="719"/>
      <c r="U64" s="719"/>
      <c r="V64" s="719"/>
      <c r="W64" s="719"/>
      <c r="X64" s="719"/>
      <c r="Y64" s="719"/>
      <c r="Z64" s="719"/>
      <c r="AA64" s="719"/>
      <c r="AB64" s="719"/>
      <c r="AC64" s="719"/>
      <c r="AD64" s="719"/>
      <c r="AE64" s="719"/>
      <c r="AF64" s="719"/>
      <c r="AG64" s="719"/>
      <c r="AH64" s="719"/>
      <c r="AI64" s="719"/>
      <c r="AJ64" s="719"/>
      <c r="AK64" s="719"/>
      <c r="AL64" s="719"/>
      <c r="AM64" s="719"/>
      <c r="AN64" s="719"/>
      <c r="AO64" s="719"/>
      <c r="AP64" s="719"/>
      <c r="AQ64" s="719"/>
      <c r="AR64" s="719"/>
      <c r="AS64" s="719"/>
      <c r="AT64" s="719"/>
      <c r="AU64" s="719"/>
      <c r="AV64" s="719"/>
      <c r="AW64" s="719"/>
      <c r="AX64" s="719"/>
      <c r="AY64" s="719"/>
      <c r="AZ64" s="719"/>
      <c r="BA64" s="719"/>
      <c r="BB64" s="719"/>
      <c r="BC64" s="719"/>
      <c r="BD64" s="719"/>
      <c r="BE64" s="719"/>
      <c r="BF64" s="719"/>
      <c r="BG64" s="719"/>
      <c r="BH64" s="719"/>
      <c r="BI64" s="719"/>
      <c r="BJ64" s="719"/>
      <c r="BK64" s="719"/>
      <c r="BL64" s="719"/>
      <c r="BM64" s="719"/>
      <c r="BN64" s="719"/>
      <c r="BO64" s="719"/>
      <c r="BP64" s="719"/>
      <c r="BQ64" s="719"/>
      <c r="BR64" s="719"/>
    </row>
    <row r="65" spans="1:90" ht="9.9499999999999993" hidden="1" customHeight="1" x14ac:dyDescent="0.25">
      <c r="A65" s="719"/>
      <c r="B65" s="719"/>
      <c r="C65" s="719"/>
      <c r="D65" s="719"/>
      <c r="E65" s="719"/>
      <c r="F65" s="719"/>
      <c r="G65" s="719"/>
      <c r="H65" s="719"/>
      <c r="I65" s="719"/>
      <c r="J65" s="719"/>
      <c r="K65" s="719"/>
      <c r="L65" s="719"/>
      <c r="M65" s="719"/>
      <c r="N65" s="719"/>
      <c r="O65" s="719"/>
      <c r="P65" s="719"/>
      <c r="Q65" s="719"/>
      <c r="R65" s="719"/>
      <c r="S65" s="719"/>
      <c r="T65" s="719"/>
      <c r="U65" s="719"/>
      <c r="V65" s="719"/>
      <c r="W65" s="719"/>
      <c r="X65" s="719"/>
      <c r="Y65" s="719"/>
      <c r="Z65" s="719"/>
      <c r="AA65" s="719"/>
      <c r="AB65" s="719"/>
      <c r="AC65" s="719"/>
      <c r="AD65" s="719"/>
      <c r="AE65" s="719"/>
      <c r="AF65" s="719"/>
      <c r="AG65" s="719"/>
      <c r="AH65" s="719"/>
      <c r="AI65" s="719"/>
      <c r="AJ65" s="719"/>
      <c r="AK65" s="719"/>
      <c r="AL65" s="719"/>
      <c r="AM65" s="719"/>
      <c r="AN65" s="719"/>
      <c r="AO65" s="719"/>
      <c r="AP65" s="719"/>
      <c r="AQ65" s="719"/>
      <c r="AR65" s="719"/>
      <c r="AS65" s="719"/>
      <c r="AT65" s="719"/>
      <c r="AU65" s="719"/>
      <c r="AV65" s="719"/>
      <c r="AW65" s="719"/>
      <c r="AX65" s="719"/>
      <c r="AY65" s="719"/>
      <c r="AZ65" s="719"/>
      <c r="BA65" s="719"/>
      <c r="BB65" s="719"/>
      <c r="BC65" s="719"/>
      <c r="BD65" s="719"/>
      <c r="BE65" s="719"/>
      <c r="BF65" s="719"/>
      <c r="BG65" s="719"/>
      <c r="BH65" s="719"/>
      <c r="BI65" s="719"/>
      <c r="BJ65" s="719"/>
      <c r="BK65" s="719"/>
      <c r="BL65" s="719"/>
      <c r="BM65" s="719"/>
      <c r="BN65" s="719"/>
      <c r="BO65" s="719"/>
      <c r="BP65" s="719"/>
      <c r="BQ65" s="719"/>
      <c r="BR65" s="719"/>
    </row>
    <row r="66" spans="1:90" ht="84.95" hidden="1" customHeight="1" x14ac:dyDescent="0.25">
      <c r="A66" s="716"/>
      <c r="B66" s="1797"/>
      <c r="C66" s="1797"/>
      <c r="D66" s="1797"/>
      <c r="E66" s="1797"/>
      <c r="F66" s="716"/>
      <c r="G66" s="1797"/>
      <c r="H66" s="1797"/>
      <c r="I66" s="1797"/>
      <c r="J66" s="1797"/>
      <c r="K66" s="716"/>
      <c r="L66" s="1797"/>
      <c r="M66" s="1797"/>
      <c r="N66" s="1797"/>
      <c r="O66" s="1797"/>
      <c r="P66" s="716"/>
      <c r="Q66" s="1797"/>
      <c r="R66" s="1797"/>
      <c r="S66" s="1797"/>
      <c r="T66" s="1797"/>
      <c r="U66" s="716"/>
      <c r="V66" s="1797"/>
      <c r="W66" s="1797"/>
      <c r="X66" s="1797"/>
      <c r="Y66" s="1797"/>
      <c r="Z66" s="716"/>
      <c r="AA66" s="1797"/>
      <c r="AB66" s="1797"/>
      <c r="AC66" s="1797"/>
      <c r="AD66" s="1797"/>
      <c r="AE66" s="716"/>
      <c r="AF66" s="1797"/>
      <c r="AG66" s="1797"/>
      <c r="AH66" s="1797"/>
      <c r="AI66" s="1797"/>
      <c r="AJ66" s="716"/>
      <c r="AK66" s="1797"/>
      <c r="AL66" s="1797"/>
      <c r="AM66" s="1797"/>
      <c r="AN66" s="1797"/>
      <c r="AO66" s="716"/>
      <c r="AP66" s="1797"/>
      <c r="AQ66" s="1797"/>
      <c r="AR66" s="1797"/>
      <c r="AS66" s="1797"/>
      <c r="AT66" s="716"/>
      <c r="AU66" s="1797"/>
      <c r="AV66" s="1797"/>
      <c r="AW66" s="1797"/>
      <c r="AX66" s="1797"/>
      <c r="AY66" s="716"/>
      <c r="AZ66" s="1797"/>
      <c r="BA66" s="1797"/>
      <c r="BB66" s="1797"/>
      <c r="BC66" s="1797"/>
      <c r="BD66" s="716"/>
      <c r="BE66" s="1797"/>
      <c r="BF66" s="1797"/>
      <c r="BG66" s="1797"/>
      <c r="BH66" s="1797"/>
      <c r="BI66" s="716"/>
      <c r="BJ66" s="1797"/>
      <c r="BK66" s="1797"/>
      <c r="BL66" s="1797"/>
      <c r="BM66" s="1797"/>
      <c r="BN66" s="716"/>
      <c r="BO66" s="1797"/>
      <c r="BP66" s="1797"/>
      <c r="BQ66" s="1797"/>
      <c r="BR66" s="1797"/>
    </row>
    <row r="67" spans="1:90" ht="23.1" hidden="1" customHeight="1" x14ac:dyDescent="0.25">
      <c r="A67" s="716"/>
      <c r="B67" s="32"/>
      <c r="C67" s="33"/>
      <c r="D67" s="34"/>
      <c r="E67" s="35"/>
      <c r="F67" s="716"/>
      <c r="G67" s="32"/>
      <c r="H67" s="33"/>
      <c r="I67" s="34"/>
      <c r="J67" s="35"/>
      <c r="K67" s="716"/>
      <c r="L67" s="32"/>
      <c r="M67" s="33"/>
      <c r="N67" s="34"/>
      <c r="O67" s="35"/>
      <c r="P67" s="716"/>
      <c r="Q67" s="32"/>
      <c r="R67" s="33"/>
      <c r="S67" s="34"/>
      <c r="T67" s="35"/>
      <c r="U67" s="716"/>
      <c r="V67" s="32"/>
      <c r="W67" s="33"/>
      <c r="X67" s="34"/>
      <c r="Y67" s="35"/>
      <c r="Z67" s="716"/>
      <c r="AA67" s="32"/>
      <c r="AB67" s="33"/>
      <c r="AC67" s="34"/>
      <c r="AD67" s="35"/>
      <c r="AE67" s="716"/>
      <c r="AF67" s="32"/>
      <c r="AG67" s="33"/>
      <c r="AH67" s="34"/>
      <c r="AI67" s="35"/>
      <c r="AJ67" s="716"/>
      <c r="AK67" s="32"/>
      <c r="AL67" s="33"/>
      <c r="AM67" s="34"/>
      <c r="AN67" s="35"/>
      <c r="AO67" s="716"/>
      <c r="AP67" s="32"/>
      <c r="AQ67" s="33"/>
      <c r="AR67" s="34"/>
      <c r="AS67" s="35"/>
      <c r="AT67" s="716"/>
      <c r="AU67" s="32"/>
      <c r="AV67" s="33"/>
      <c r="AW67" s="34"/>
      <c r="AX67" s="35"/>
      <c r="AY67" s="716"/>
      <c r="AZ67" s="32"/>
      <c r="BA67" s="33"/>
      <c r="BB67" s="34"/>
      <c r="BC67" s="35"/>
      <c r="BD67" s="716"/>
      <c r="BE67" s="32"/>
      <c r="BF67" s="33"/>
      <c r="BG67" s="34"/>
      <c r="BH67" s="35"/>
      <c r="BI67" s="716"/>
      <c r="BJ67" s="32"/>
      <c r="BK67" s="33"/>
      <c r="BL67" s="34"/>
      <c r="BM67" s="35"/>
      <c r="BN67" s="716"/>
      <c r="BO67" s="32"/>
      <c r="BP67" s="33"/>
      <c r="BQ67" s="34"/>
      <c r="BR67" s="35"/>
      <c r="BS67" s="50"/>
      <c r="BT67" s="50"/>
      <c r="BW67" s="51"/>
      <c r="BX67" s="51"/>
      <c r="BY67" s="51"/>
      <c r="BZ67" s="51"/>
      <c r="CA67" s="51"/>
      <c r="CB67" s="51"/>
      <c r="CC67" s="27"/>
      <c r="CD67" s="27"/>
      <c r="CE67" s="27"/>
      <c r="CG67" s="27"/>
      <c r="CH67" s="27"/>
      <c r="CI67" s="27"/>
      <c r="CJ67" s="27"/>
      <c r="CK67" s="27"/>
      <c r="CL67" s="27"/>
    </row>
    <row r="68" spans="1:90" ht="18.600000000000001" hidden="1" customHeight="1" x14ac:dyDescent="0.25">
      <c r="A68" s="719"/>
      <c r="B68" s="719"/>
      <c r="C68" s="1300"/>
      <c r="D68" s="1300"/>
      <c r="E68" s="1300"/>
      <c r="F68" s="719"/>
      <c r="G68" s="719"/>
      <c r="H68" s="1300"/>
      <c r="I68" s="1300"/>
      <c r="J68" s="1300"/>
      <c r="K68" s="719"/>
      <c r="L68" s="719"/>
      <c r="M68" s="1300"/>
      <c r="N68" s="1300"/>
      <c r="O68" s="1300"/>
      <c r="P68" s="719"/>
      <c r="Q68" s="719"/>
      <c r="R68" s="1300"/>
      <c r="S68" s="1300"/>
      <c r="T68" s="1300"/>
      <c r="U68" s="719"/>
      <c r="V68" s="719"/>
      <c r="W68" s="1300"/>
      <c r="X68" s="1300"/>
      <c r="Y68" s="1300"/>
      <c r="Z68" s="719"/>
      <c r="AA68" s="719"/>
      <c r="AB68" s="1300"/>
      <c r="AC68" s="1300"/>
      <c r="AD68" s="1300"/>
      <c r="AE68" s="719"/>
      <c r="AF68" s="719"/>
      <c r="AG68" s="1300"/>
      <c r="AH68" s="1300"/>
      <c r="AI68" s="1300"/>
      <c r="AJ68" s="719"/>
      <c r="AK68" s="719"/>
      <c r="AL68" s="1300"/>
      <c r="AM68" s="1300"/>
      <c r="AN68" s="1300"/>
      <c r="AO68" s="719"/>
      <c r="AP68" s="719"/>
      <c r="AQ68" s="1300"/>
      <c r="AR68" s="1300"/>
      <c r="AS68" s="1300"/>
      <c r="AT68" s="719"/>
      <c r="AU68" s="719"/>
      <c r="AV68" s="1300"/>
      <c r="AW68" s="1300"/>
      <c r="AX68" s="1300"/>
      <c r="AY68" s="719"/>
      <c r="AZ68" s="719"/>
      <c r="BA68" s="1300"/>
      <c r="BB68" s="1300"/>
      <c r="BC68" s="1300"/>
      <c r="BD68" s="719"/>
      <c r="BE68" s="719"/>
      <c r="BF68" s="1300"/>
      <c r="BG68" s="1300"/>
      <c r="BH68" s="1300"/>
      <c r="BI68" s="719"/>
      <c r="BJ68" s="719"/>
      <c r="BK68" s="1300"/>
      <c r="BL68" s="1300"/>
      <c r="BM68" s="1300"/>
      <c r="BN68" s="719"/>
      <c r="BO68" s="719"/>
      <c r="BP68" s="1300"/>
      <c r="BQ68" s="1300"/>
      <c r="BR68" s="1300"/>
      <c r="BS68" s="50"/>
      <c r="BT68" s="50"/>
      <c r="BW68" s="27"/>
      <c r="BX68" s="27"/>
      <c r="BY68" s="27"/>
      <c r="BZ68" s="27"/>
      <c r="CA68" s="27"/>
      <c r="CB68" s="27"/>
      <c r="CC68" s="27"/>
      <c r="CD68" s="27"/>
      <c r="CE68" s="27"/>
      <c r="CG68" s="27"/>
      <c r="CH68" s="27"/>
      <c r="CI68" s="27"/>
      <c r="CJ68" s="27"/>
      <c r="CK68" s="27"/>
      <c r="CL68" s="27"/>
    </row>
    <row r="69" spans="1:90" ht="18.600000000000001" hidden="1" customHeight="1" x14ac:dyDescent="0.25">
      <c r="A69" s="719"/>
      <c r="B69" s="719"/>
      <c r="C69" s="1300"/>
      <c r="D69" s="1300"/>
      <c r="E69" s="1300"/>
      <c r="F69" s="719"/>
      <c r="G69" s="719"/>
      <c r="H69" s="1300"/>
      <c r="I69" s="1300"/>
      <c r="J69" s="1300"/>
      <c r="K69" s="719"/>
      <c r="L69" s="719"/>
      <c r="M69" s="1300"/>
      <c r="N69" s="1300"/>
      <c r="O69" s="1300"/>
      <c r="P69" s="719"/>
      <c r="Q69" s="719"/>
      <c r="R69" s="1300"/>
      <c r="S69" s="1300"/>
      <c r="T69" s="1300"/>
      <c r="U69" s="719"/>
      <c r="V69" s="719"/>
      <c r="W69" s="1300"/>
      <c r="X69" s="1300"/>
      <c r="Y69" s="1300"/>
      <c r="Z69" s="719"/>
      <c r="AA69" s="719"/>
      <c r="AB69" s="1300"/>
      <c r="AC69" s="1300"/>
      <c r="AD69" s="1300"/>
      <c r="AE69" s="719"/>
      <c r="AF69" s="719"/>
      <c r="AG69" s="1300"/>
      <c r="AH69" s="1300"/>
      <c r="AI69" s="1300"/>
      <c r="AJ69" s="719"/>
      <c r="AK69" s="719"/>
      <c r="AL69" s="1300"/>
      <c r="AM69" s="1300"/>
      <c r="AN69" s="1300"/>
      <c r="AO69" s="719"/>
      <c r="AP69" s="719"/>
      <c r="AQ69" s="1300"/>
      <c r="AR69" s="1300"/>
      <c r="AS69" s="1300"/>
      <c r="AT69" s="719"/>
      <c r="AU69" s="719"/>
      <c r="AV69" s="1300"/>
      <c r="AW69" s="1300"/>
      <c r="AX69" s="1300"/>
      <c r="AY69" s="719"/>
      <c r="AZ69" s="719"/>
      <c r="BA69" s="1300"/>
      <c r="BB69" s="1300"/>
      <c r="BC69" s="1300"/>
      <c r="BD69" s="719"/>
      <c r="BE69" s="719"/>
      <c r="BF69" s="1300"/>
      <c r="BG69" s="1300"/>
      <c r="BH69" s="1300"/>
      <c r="BI69" s="719"/>
      <c r="BJ69" s="719"/>
      <c r="BK69" s="1300"/>
      <c r="BL69" s="1300"/>
      <c r="BM69" s="1300"/>
      <c r="BN69" s="719"/>
      <c r="BO69" s="719"/>
      <c r="BP69" s="1300"/>
      <c r="BQ69" s="1300"/>
      <c r="BR69" s="1300"/>
      <c r="BS69" s="50"/>
      <c r="BT69" s="50"/>
      <c r="BW69" s="27"/>
      <c r="BX69" s="27"/>
      <c r="BY69" s="27"/>
      <c r="BZ69" s="27"/>
      <c r="CA69" s="27"/>
      <c r="CB69" s="27"/>
      <c r="CC69" s="27"/>
      <c r="CD69" s="27"/>
      <c r="CE69" s="27"/>
      <c r="CG69" s="27"/>
      <c r="CH69" s="27"/>
      <c r="CI69" s="27"/>
      <c r="CJ69" s="27"/>
      <c r="CK69" s="27"/>
      <c r="CL69" s="27"/>
    </row>
    <row r="70" spans="1:90" ht="9.9499999999999993" hidden="1" customHeight="1" x14ac:dyDescent="0.25">
      <c r="A70" s="719"/>
      <c r="B70" s="719"/>
      <c r="C70" s="719"/>
      <c r="D70" s="719"/>
      <c r="E70" s="719"/>
      <c r="F70" s="719"/>
      <c r="G70" s="719"/>
      <c r="H70" s="719"/>
      <c r="I70" s="719"/>
      <c r="J70" s="719"/>
      <c r="K70" s="719"/>
      <c r="L70" s="719"/>
      <c r="M70" s="719"/>
      <c r="N70" s="719"/>
      <c r="O70" s="719"/>
      <c r="P70" s="719"/>
      <c r="Q70" s="719"/>
      <c r="R70" s="719"/>
      <c r="S70" s="719"/>
      <c r="T70" s="719"/>
      <c r="U70" s="719"/>
      <c r="V70" s="719"/>
      <c r="W70" s="719"/>
      <c r="X70" s="719"/>
      <c r="Y70" s="719"/>
      <c r="Z70" s="719"/>
      <c r="AA70" s="719"/>
      <c r="AB70" s="719"/>
      <c r="AC70" s="719"/>
      <c r="AD70" s="719"/>
      <c r="AE70" s="719"/>
      <c r="AF70" s="719"/>
      <c r="AG70" s="719"/>
      <c r="AH70" s="719"/>
      <c r="AI70" s="719"/>
      <c r="AJ70" s="719"/>
      <c r="AK70" s="719"/>
      <c r="AL70" s="719"/>
      <c r="AM70" s="719"/>
      <c r="AN70" s="719"/>
      <c r="AO70" s="719"/>
      <c r="AP70" s="719"/>
      <c r="AQ70" s="719"/>
      <c r="AR70" s="719"/>
      <c r="AS70" s="719"/>
      <c r="AT70" s="719"/>
      <c r="AU70" s="719"/>
      <c r="AV70" s="719"/>
      <c r="AW70" s="719"/>
      <c r="AX70" s="719"/>
      <c r="AY70" s="719"/>
      <c r="AZ70" s="719"/>
      <c r="BA70" s="719"/>
      <c r="BB70" s="719"/>
      <c r="BC70" s="719"/>
      <c r="BD70" s="719"/>
      <c r="BE70" s="719"/>
      <c r="BF70" s="719"/>
      <c r="BG70" s="719"/>
      <c r="BH70" s="719"/>
      <c r="BI70" s="719"/>
      <c r="BJ70" s="719"/>
      <c r="BK70" s="719"/>
      <c r="BL70" s="719"/>
      <c r="BM70" s="719"/>
      <c r="BN70" s="719"/>
      <c r="BO70" s="719"/>
      <c r="BP70" s="719"/>
      <c r="BQ70" s="719"/>
      <c r="BR70" s="719"/>
      <c r="BS70" s="50"/>
      <c r="BT70" s="50"/>
      <c r="BW70" s="27"/>
      <c r="BX70" s="27"/>
      <c r="BY70" s="27"/>
      <c r="BZ70" s="27"/>
      <c r="CA70" s="27"/>
      <c r="CB70" s="27"/>
      <c r="CC70" s="27"/>
      <c r="CD70" s="27"/>
      <c r="CE70" s="27"/>
      <c r="CG70" s="27"/>
      <c r="CH70" s="27"/>
      <c r="CI70" s="27"/>
      <c r="CJ70" s="27"/>
      <c r="CK70" s="27"/>
      <c r="CL70" s="27"/>
    </row>
    <row r="71" spans="1:90" ht="9.9499999999999993" hidden="1" customHeight="1" x14ac:dyDescent="0.25">
      <c r="A71" s="719"/>
      <c r="B71" s="719"/>
      <c r="C71" s="719"/>
      <c r="D71" s="719"/>
      <c r="E71" s="719"/>
      <c r="F71" s="719"/>
      <c r="G71" s="719"/>
      <c r="H71" s="719"/>
      <c r="I71" s="719"/>
      <c r="J71" s="719"/>
      <c r="K71" s="719"/>
      <c r="L71" s="719"/>
      <c r="M71" s="719"/>
      <c r="N71" s="719"/>
      <c r="O71" s="719"/>
      <c r="P71" s="719"/>
      <c r="Q71" s="719"/>
      <c r="R71" s="719"/>
      <c r="S71" s="719"/>
      <c r="T71" s="719"/>
      <c r="U71" s="719"/>
      <c r="V71" s="719"/>
      <c r="W71" s="719"/>
      <c r="X71" s="719"/>
      <c r="Y71" s="719"/>
      <c r="Z71" s="719"/>
      <c r="AA71" s="719"/>
      <c r="AB71" s="719"/>
      <c r="AC71" s="719"/>
      <c r="AD71" s="719"/>
      <c r="AE71" s="719"/>
      <c r="AF71" s="719"/>
      <c r="AG71" s="719"/>
      <c r="AH71" s="719"/>
      <c r="AI71" s="719"/>
      <c r="AJ71" s="719"/>
      <c r="AK71" s="719"/>
      <c r="AL71" s="719"/>
      <c r="AM71" s="719"/>
      <c r="AN71" s="719"/>
      <c r="AO71" s="719"/>
      <c r="AP71" s="719"/>
      <c r="AQ71" s="719"/>
      <c r="AR71" s="719"/>
      <c r="AS71" s="719"/>
      <c r="AT71" s="719"/>
      <c r="AU71" s="719"/>
      <c r="AV71" s="719"/>
      <c r="AW71" s="719"/>
      <c r="AX71" s="719"/>
      <c r="AY71" s="719"/>
      <c r="AZ71" s="719"/>
      <c r="BA71" s="719"/>
      <c r="BB71" s="719"/>
      <c r="BC71" s="719"/>
      <c r="BD71" s="719"/>
      <c r="BE71" s="719"/>
      <c r="BF71" s="719"/>
      <c r="BG71" s="719"/>
      <c r="BH71" s="719"/>
      <c r="BI71" s="719"/>
      <c r="BJ71" s="719"/>
      <c r="BK71" s="719"/>
      <c r="BL71" s="719"/>
      <c r="BM71" s="719"/>
      <c r="BN71" s="719"/>
      <c r="BO71" s="719"/>
      <c r="BP71" s="719"/>
      <c r="BQ71" s="719"/>
      <c r="BR71" s="719"/>
      <c r="BS71" s="53"/>
      <c r="BT71" s="53"/>
    </row>
    <row r="72" spans="1:90" ht="84.95" hidden="1" customHeight="1" x14ac:dyDescent="0.25">
      <c r="A72" s="716"/>
      <c r="B72" s="1797"/>
      <c r="C72" s="1797"/>
      <c r="D72" s="1797"/>
      <c r="E72" s="1797"/>
      <c r="F72" s="716"/>
      <c r="G72" s="1797"/>
      <c r="H72" s="1797"/>
      <c r="I72" s="1797"/>
      <c r="J72" s="1797"/>
      <c r="K72" s="716"/>
      <c r="L72" s="1797"/>
      <c r="M72" s="1797"/>
      <c r="N72" s="1797"/>
      <c r="O72" s="1797"/>
      <c r="P72" s="716"/>
      <c r="Q72" s="1797"/>
      <c r="R72" s="1797"/>
      <c r="S72" s="1797"/>
      <c r="T72" s="1797"/>
      <c r="U72" s="716"/>
      <c r="V72" s="1797"/>
      <c r="W72" s="1797"/>
      <c r="X72" s="1797"/>
      <c r="Y72" s="1797"/>
      <c r="Z72" s="716"/>
      <c r="AA72" s="1797"/>
      <c r="AB72" s="1797"/>
      <c r="AC72" s="1797"/>
      <c r="AD72" s="1797"/>
      <c r="AE72" s="716"/>
      <c r="AF72" s="1797"/>
      <c r="AG72" s="1797"/>
      <c r="AH72" s="1797"/>
      <c r="AI72" s="1797"/>
      <c r="AJ72" s="716"/>
      <c r="AK72" s="1797"/>
      <c r="AL72" s="1797"/>
      <c r="AM72" s="1797"/>
      <c r="AN72" s="1797"/>
      <c r="AO72" s="716"/>
      <c r="AP72" s="1797"/>
      <c r="AQ72" s="1797"/>
      <c r="AR72" s="1797"/>
      <c r="AS72" s="1797"/>
      <c r="AT72" s="716"/>
      <c r="AU72" s="1797"/>
      <c r="AV72" s="1797"/>
      <c r="AW72" s="1797"/>
      <c r="AX72" s="1797"/>
      <c r="AY72" s="716"/>
      <c r="AZ72" s="1797"/>
      <c r="BA72" s="1797"/>
      <c r="BB72" s="1797"/>
      <c r="BC72" s="1797"/>
      <c r="BD72" s="716"/>
      <c r="BE72" s="1797"/>
      <c r="BF72" s="1797"/>
      <c r="BG72" s="1797"/>
      <c r="BH72" s="1797"/>
      <c r="BI72" s="716"/>
      <c r="BJ72" s="1797"/>
      <c r="BK72" s="1797"/>
      <c r="BL72" s="1797"/>
      <c r="BM72" s="1797"/>
      <c r="BN72" s="716"/>
      <c r="BO72" s="1797"/>
      <c r="BP72" s="1797"/>
      <c r="BQ72" s="1797"/>
      <c r="BR72" s="1797"/>
      <c r="BS72" s="53"/>
      <c r="BT72" s="53"/>
    </row>
    <row r="73" spans="1:90" ht="23.1" hidden="1" customHeight="1" x14ac:dyDescent="0.25">
      <c r="A73" s="716"/>
      <c r="B73" s="32"/>
      <c r="C73" s="33"/>
      <c r="D73" s="34"/>
      <c r="E73" s="35"/>
      <c r="F73" s="716"/>
      <c r="G73" s="32"/>
      <c r="H73" s="33"/>
      <c r="I73" s="34"/>
      <c r="J73" s="35"/>
      <c r="K73" s="716"/>
      <c r="L73" s="32"/>
      <c r="M73" s="33"/>
      <c r="N73" s="34"/>
      <c r="O73" s="35"/>
      <c r="P73" s="716"/>
      <c r="Q73" s="32"/>
      <c r="R73" s="33"/>
      <c r="S73" s="34"/>
      <c r="T73" s="35"/>
      <c r="U73" s="716"/>
      <c r="V73" s="32"/>
      <c r="W73" s="33"/>
      <c r="X73" s="34"/>
      <c r="Y73" s="35"/>
      <c r="Z73" s="716"/>
      <c r="AA73" s="32"/>
      <c r="AB73" s="33"/>
      <c r="AC73" s="34"/>
      <c r="AD73" s="35"/>
      <c r="AE73" s="716"/>
      <c r="AF73" s="32"/>
      <c r="AG73" s="33"/>
      <c r="AH73" s="34"/>
      <c r="AI73" s="35"/>
      <c r="AJ73" s="716"/>
      <c r="AK73" s="32"/>
      <c r="AL73" s="33"/>
      <c r="AM73" s="34"/>
      <c r="AN73" s="35"/>
      <c r="AO73" s="716"/>
      <c r="AP73" s="32"/>
      <c r="AQ73" s="33"/>
      <c r="AR73" s="34"/>
      <c r="AS73" s="35"/>
      <c r="AT73" s="716"/>
      <c r="AU73" s="32"/>
      <c r="AV73" s="33"/>
      <c r="AW73" s="34"/>
      <c r="AX73" s="35"/>
      <c r="AY73" s="716"/>
      <c r="AZ73" s="32"/>
      <c r="BA73" s="33"/>
      <c r="BB73" s="34"/>
      <c r="BC73" s="35"/>
      <c r="BD73" s="716"/>
      <c r="BE73" s="32"/>
      <c r="BF73" s="33"/>
      <c r="BG73" s="34"/>
      <c r="BH73" s="35"/>
      <c r="BI73" s="716"/>
      <c r="BJ73" s="32"/>
      <c r="BK73" s="33"/>
      <c r="BL73" s="34"/>
      <c r="BM73" s="35"/>
      <c r="BN73" s="716"/>
      <c r="BO73" s="32"/>
      <c r="BP73" s="33"/>
      <c r="BQ73" s="34"/>
      <c r="BR73" s="35"/>
    </row>
    <row r="74" spans="1:90" ht="18.600000000000001" hidden="1" customHeight="1" x14ac:dyDescent="0.25">
      <c r="A74" s="719"/>
      <c r="B74" s="719"/>
      <c r="C74" s="1300"/>
      <c r="D74" s="1300"/>
      <c r="E74" s="1300"/>
      <c r="F74" s="719"/>
      <c r="G74" s="719"/>
      <c r="H74" s="1300"/>
      <c r="I74" s="1300"/>
      <c r="J74" s="1300"/>
      <c r="K74" s="719"/>
      <c r="L74" s="719"/>
      <c r="M74" s="1300"/>
      <c r="N74" s="1300"/>
      <c r="O74" s="1300"/>
      <c r="P74" s="719"/>
      <c r="Q74" s="719"/>
      <c r="R74" s="1300"/>
      <c r="S74" s="1300"/>
      <c r="T74" s="1300"/>
      <c r="U74" s="719"/>
      <c r="V74" s="719"/>
      <c r="W74" s="1300"/>
      <c r="X74" s="1300"/>
      <c r="Y74" s="1300"/>
      <c r="Z74" s="719"/>
      <c r="AA74" s="719"/>
      <c r="AB74" s="1300"/>
      <c r="AC74" s="1300"/>
      <c r="AD74" s="1300"/>
      <c r="AE74" s="719"/>
      <c r="AF74" s="719"/>
      <c r="AG74" s="1300"/>
      <c r="AH74" s="1300"/>
      <c r="AI74" s="1300"/>
      <c r="AJ74" s="719"/>
      <c r="AK74" s="719"/>
      <c r="AL74" s="1300"/>
      <c r="AM74" s="1300"/>
      <c r="AN74" s="1300"/>
      <c r="AO74" s="719"/>
      <c r="AP74" s="719"/>
      <c r="AQ74" s="1300"/>
      <c r="AR74" s="1300"/>
      <c r="AS74" s="1300"/>
      <c r="AT74" s="719"/>
      <c r="AU74" s="719"/>
      <c r="AV74" s="1300"/>
      <c r="AW74" s="1300"/>
      <c r="AX74" s="1300"/>
      <c r="AY74" s="719"/>
      <c r="AZ74" s="719"/>
      <c r="BA74" s="1300"/>
      <c r="BB74" s="1300"/>
      <c r="BC74" s="1300"/>
      <c r="BD74" s="719"/>
      <c r="BE74" s="719"/>
      <c r="BF74" s="1300"/>
      <c r="BG74" s="1300"/>
      <c r="BH74" s="1300"/>
      <c r="BI74" s="719"/>
      <c r="BJ74" s="719"/>
      <c r="BK74" s="1300"/>
      <c r="BL74" s="1300"/>
      <c r="BM74" s="1300"/>
      <c r="BN74" s="719"/>
      <c r="BO74" s="719"/>
      <c r="BP74" s="1300"/>
      <c r="BQ74" s="1300"/>
      <c r="BR74" s="1300"/>
    </row>
    <row r="75" spans="1:90" ht="18.600000000000001" hidden="1" customHeight="1" x14ac:dyDescent="0.25">
      <c r="A75" s="719"/>
      <c r="B75" s="719"/>
      <c r="C75" s="1300"/>
      <c r="D75" s="1300"/>
      <c r="E75" s="1300"/>
      <c r="F75" s="719"/>
      <c r="G75" s="719"/>
      <c r="H75" s="1300"/>
      <c r="I75" s="1300"/>
      <c r="J75" s="1300"/>
      <c r="K75" s="719"/>
      <c r="L75" s="719"/>
      <c r="M75" s="1300"/>
      <c r="N75" s="1300"/>
      <c r="O75" s="1300"/>
      <c r="P75" s="719"/>
      <c r="Q75" s="719"/>
      <c r="R75" s="1300"/>
      <c r="S75" s="1300"/>
      <c r="T75" s="1300"/>
      <c r="U75" s="719"/>
      <c r="V75" s="719"/>
      <c r="W75" s="1300"/>
      <c r="X75" s="1300"/>
      <c r="Y75" s="1300"/>
      <c r="Z75" s="719"/>
      <c r="AA75" s="719"/>
      <c r="AB75" s="1300"/>
      <c r="AC75" s="1300"/>
      <c r="AD75" s="1300"/>
      <c r="AE75" s="719"/>
      <c r="AF75" s="719"/>
      <c r="AG75" s="1300"/>
      <c r="AH75" s="1300"/>
      <c r="AI75" s="1300"/>
      <c r="AJ75" s="719"/>
      <c r="AK75" s="719"/>
      <c r="AL75" s="1300"/>
      <c r="AM75" s="1300"/>
      <c r="AN75" s="1300"/>
      <c r="AO75" s="719"/>
      <c r="AP75" s="719"/>
      <c r="AQ75" s="1300"/>
      <c r="AR75" s="1300"/>
      <c r="AS75" s="1300"/>
      <c r="AT75" s="719"/>
      <c r="AU75" s="719"/>
      <c r="AV75" s="1300"/>
      <c r="AW75" s="1300"/>
      <c r="AX75" s="1300"/>
      <c r="AY75" s="719"/>
      <c r="AZ75" s="719"/>
      <c r="BA75" s="1300"/>
      <c r="BB75" s="1300"/>
      <c r="BC75" s="1300"/>
      <c r="BD75" s="719"/>
      <c r="BE75" s="719"/>
      <c r="BF75" s="1300"/>
      <c r="BG75" s="1300"/>
      <c r="BH75" s="1300"/>
      <c r="BI75" s="719"/>
      <c r="BJ75" s="719"/>
      <c r="BK75" s="1300"/>
      <c r="BL75" s="1300"/>
      <c r="BM75" s="1300"/>
      <c r="BN75" s="719"/>
      <c r="BO75" s="719"/>
      <c r="BP75" s="1300"/>
      <c r="BQ75" s="1300"/>
      <c r="BR75" s="1300"/>
    </row>
    <row r="76" spans="1:90" ht="9.9499999999999993" hidden="1" customHeight="1" x14ac:dyDescent="0.25">
      <c r="A76" s="719"/>
      <c r="B76" s="719"/>
      <c r="C76" s="719"/>
      <c r="D76" s="719"/>
      <c r="E76" s="719"/>
      <c r="F76" s="719"/>
      <c r="G76" s="719"/>
      <c r="H76" s="719"/>
      <c r="I76" s="719"/>
      <c r="J76" s="719"/>
      <c r="K76" s="719"/>
      <c r="L76" s="719"/>
      <c r="M76" s="719"/>
      <c r="N76" s="719"/>
      <c r="O76" s="719"/>
      <c r="P76" s="719"/>
      <c r="Q76" s="719"/>
      <c r="R76" s="719"/>
      <c r="S76" s="719"/>
      <c r="T76" s="719"/>
      <c r="U76" s="719"/>
      <c r="V76" s="719"/>
      <c r="W76" s="719"/>
      <c r="X76" s="719"/>
      <c r="Y76" s="719"/>
      <c r="Z76" s="719"/>
      <c r="AA76" s="719"/>
      <c r="AB76" s="719"/>
      <c r="AC76" s="719"/>
      <c r="AD76" s="719"/>
      <c r="AE76" s="719"/>
      <c r="AF76" s="719"/>
      <c r="AG76" s="719"/>
      <c r="AH76" s="719"/>
      <c r="AI76" s="719"/>
      <c r="AJ76" s="719"/>
      <c r="AK76" s="719"/>
      <c r="AL76" s="719"/>
      <c r="AM76" s="719"/>
      <c r="AN76" s="719"/>
      <c r="AO76" s="719"/>
      <c r="AP76" s="719"/>
      <c r="AQ76" s="719"/>
      <c r="AR76" s="719"/>
      <c r="AS76" s="719"/>
      <c r="AT76" s="719"/>
      <c r="AU76" s="719"/>
      <c r="AV76" s="719"/>
      <c r="AW76" s="719"/>
      <c r="AX76" s="719"/>
      <c r="AY76" s="719"/>
      <c r="AZ76" s="719"/>
      <c r="BA76" s="719"/>
      <c r="BB76" s="719"/>
      <c r="BC76" s="719"/>
      <c r="BD76" s="719"/>
      <c r="BE76" s="719"/>
      <c r="BF76" s="719"/>
      <c r="BG76" s="719"/>
      <c r="BH76" s="719"/>
      <c r="BI76" s="719"/>
      <c r="BJ76" s="719"/>
      <c r="BK76" s="719"/>
      <c r="BL76" s="719"/>
      <c r="BM76" s="719"/>
      <c r="BN76" s="719"/>
      <c r="BO76" s="719"/>
      <c r="BP76" s="719"/>
      <c r="BQ76" s="719"/>
      <c r="BR76" s="719"/>
    </row>
    <row r="77" spans="1:90" ht="9.9499999999999993" hidden="1" customHeight="1" x14ac:dyDescent="0.25">
      <c r="A77" s="719"/>
      <c r="B77" s="719"/>
      <c r="C77" s="719"/>
      <c r="D77" s="719"/>
      <c r="E77" s="719"/>
      <c r="F77" s="719"/>
      <c r="G77" s="719"/>
      <c r="H77" s="719"/>
      <c r="I77" s="719"/>
      <c r="J77" s="719"/>
      <c r="K77" s="719"/>
      <c r="L77" s="719"/>
      <c r="M77" s="719"/>
      <c r="N77" s="719"/>
      <c r="O77" s="719"/>
      <c r="P77" s="719"/>
      <c r="Q77" s="719"/>
      <c r="R77" s="719"/>
      <c r="S77" s="719"/>
      <c r="T77" s="719"/>
      <c r="U77" s="719"/>
      <c r="V77" s="719"/>
      <c r="W77" s="719"/>
      <c r="X77" s="719"/>
      <c r="Y77" s="719"/>
      <c r="Z77" s="719"/>
      <c r="AA77" s="719"/>
      <c r="AB77" s="719"/>
      <c r="AC77" s="719"/>
      <c r="AD77" s="719"/>
      <c r="AE77" s="719"/>
      <c r="AF77" s="719"/>
      <c r="AG77" s="719"/>
      <c r="AH77" s="719"/>
      <c r="AI77" s="719"/>
      <c r="AJ77" s="719"/>
      <c r="AK77" s="719"/>
      <c r="AL77" s="719"/>
      <c r="AM77" s="719"/>
      <c r="AN77" s="719"/>
      <c r="AO77" s="719"/>
      <c r="AP77" s="719"/>
      <c r="AQ77" s="719"/>
      <c r="AR77" s="719"/>
      <c r="AS77" s="719"/>
      <c r="AT77" s="719"/>
      <c r="AU77" s="719"/>
      <c r="AV77" s="719"/>
      <c r="AW77" s="719"/>
      <c r="AX77" s="719"/>
      <c r="AY77" s="719"/>
      <c r="AZ77" s="719"/>
      <c r="BA77" s="719"/>
      <c r="BB77" s="719"/>
      <c r="BC77" s="719"/>
      <c r="BD77" s="719"/>
      <c r="BE77" s="719"/>
      <c r="BF77" s="719"/>
      <c r="BG77" s="719"/>
      <c r="BH77" s="719"/>
      <c r="BI77" s="719"/>
      <c r="BJ77" s="719"/>
      <c r="BK77" s="719"/>
      <c r="BL77" s="719"/>
      <c r="BM77" s="719"/>
      <c r="BN77" s="719"/>
      <c r="BO77" s="719"/>
      <c r="BP77" s="719"/>
      <c r="BQ77" s="719"/>
      <c r="BR77" s="719"/>
    </row>
    <row r="78" spans="1:90" ht="84.95" hidden="1" customHeight="1" x14ac:dyDescent="0.25">
      <c r="A78" s="716"/>
      <c r="B78" s="1797"/>
      <c r="C78" s="1797"/>
      <c r="D78" s="1797"/>
      <c r="E78" s="1797"/>
      <c r="F78" s="716"/>
      <c r="G78" s="1797"/>
      <c r="H78" s="1797"/>
      <c r="I78" s="1797"/>
      <c r="J78" s="1797"/>
      <c r="K78" s="716"/>
      <c r="L78" s="1797"/>
      <c r="M78" s="1797"/>
      <c r="N78" s="1797"/>
      <c r="O78" s="1797"/>
      <c r="P78" s="716"/>
      <c r="Q78" s="1797"/>
      <c r="R78" s="1797"/>
      <c r="S78" s="1797"/>
      <c r="T78" s="1797"/>
      <c r="U78" s="716"/>
      <c r="V78" s="1797"/>
      <c r="W78" s="1797"/>
      <c r="X78" s="1797"/>
      <c r="Y78" s="1797"/>
      <c r="Z78" s="716"/>
      <c r="AA78" s="1797"/>
      <c r="AB78" s="1797"/>
      <c r="AC78" s="1797"/>
      <c r="AD78" s="1797"/>
      <c r="AE78" s="716"/>
      <c r="AF78" s="1797"/>
      <c r="AG78" s="1797"/>
      <c r="AH78" s="1797"/>
      <c r="AI78" s="1797"/>
      <c r="AJ78" s="716"/>
      <c r="AK78" s="1797"/>
      <c r="AL78" s="1797"/>
      <c r="AM78" s="1797"/>
      <c r="AN78" s="1797"/>
      <c r="AO78" s="716"/>
      <c r="AP78" s="1797"/>
      <c r="AQ78" s="1797"/>
      <c r="AR78" s="1797"/>
      <c r="AS78" s="1797"/>
      <c r="AT78" s="716"/>
      <c r="AU78" s="1797"/>
      <c r="AV78" s="1797"/>
      <c r="AW78" s="1797"/>
      <c r="AX78" s="1797"/>
      <c r="AY78" s="716"/>
      <c r="AZ78" s="1797"/>
      <c r="BA78" s="1797"/>
      <c r="BB78" s="1797"/>
      <c r="BC78" s="1797"/>
      <c r="BD78" s="716"/>
      <c r="BE78" s="1797"/>
      <c r="BF78" s="1797"/>
      <c r="BG78" s="1797"/>
      <c r="BH78" s="1797"/>
      <c r="BI78" s="716"/>
      <c r="BJ78" s="1797"/>
      <c r="BK78" s="1797"/>
      <c r="BL78" s="1797"/>
      <c r="BM78" s="1797"/>
      <c r="BN78" s="716"/>
      <c r="BO78" s="1797"/>
      <c r="BP78" s="1797"/>
      <c r="BQ78" s="1797"/>
      <c r="BR78" s="1797"/>
    </row>
    <row r="79" spans="1:90" ht="23.1" hidden="1" customHeight="1" x14ac:dyDescent="0.25">
      <c r="A79" s="716"/>
      <c r="B79" s="32"/>
      <c r="C79" s="33"/>
      <c r="D79" s="34"/>
      <c r="E79" s="35"/>
      <c r="F79" s="716"/>
      <c r="G79" s="32"/>
      <c r="H79" s="33"/>
      <c r="I79" s="34"/>
      <c r="J79" s="35"/>
      <c r="K79" s="716"/>
      <c r="L79" s="32"/>
      <c r="M79" s="33"/>
      <c r="N79" s="34"/>
      <c r="O79" s="35"/>
      <c r="P79" s="716"/>
      <c r="Q79" s="32"/>
      <c r="R79" s="33"/>
      <c r="S79" s="34"/>
      <c r="T79" s="35"/>
      <c r="U79" s="716"/>
      <c r="V79" s="32"/>
      <c r="W79" s="33"/>
      <c r="X79" s="34"/>
      <c r="Y79" s="35"/>
      <c r="Z79" s="716"/>
      <c r="AA79" s="32"/>
      <c r="AB79" s="33"/>
      <c r="AC79" s="34"/>
      <c r="AD79" s="35"/>
      <c r="AE79" s="716"/>
      <c r="AF79" s="32"/>
      <c r="AG79" s="33"/>
      <c r="AH79" s="34"/>
      <c r="AI79" s="35"/>
      <c r="AJ79" s="716"/>
      <c r="AK79" s="32"/>
      <c r="AL79" s="33"/>
      <c r="AM79" s="34"/>
      <c r="AN79" s="35"/>
      <c r="AO79" s="716"/>
      <c r="AP79" s="32"/>
      <c r="AQ79" s="33"/>
      <c r="AR79" s="34"/>
      <c r="AS79" s="35"/>
      <c r="AT79" s="716"/>
      <c r="AU79" s="32"/>
      <c r="AV79" s="33"/>
      <c r="AW79" s="34"/>
      <c r="AX79" s="35"/>
      <c r="AY79" s="716"/>
      <c r="AZ79" s="32"/>
      <c r="BA79" s="33"/>
      <c r="BB79" s="34"/>
      <c r="BC79" s="35"/>
      <c r="BD79" s="716"/>
      <c r="BE79" s="32"/>
      <c r="BF79" s="33"/>
      <c r="BG79" s="34"/>
      <c r="BH79" s="35"/>
      <c r="BI79" s="716"/>
      <c r="BJ79" s="32"/>
      <c r="BK79" s="33"/>
      <c r="BL79" s="34"/>
      <c r="BM79" s="35"/>
      <c r="BN79" s="716"/>
      <c r="BO79" s="32"/>
      <c r="BP79" s="33"/>
      <c r="BQ79" s="34"/>
      <c r="BR79" s="35"/>
    </row>
    <row r="80" spans="1:90" ht="18.600000000000001" hidden="1" customHeight="1" x14ac:dyDescent="0.25">
      <c r="A80" s="719"/>
      <c r="B80" s="719"/>
      <c r="C80" s="1300"/>
      <c r="D80" s="1300"/>
      <c r="E80" s="1300"/>
      <c r="F80" s="719"/>
      <c r="G80" s="719"/>
      <c r="H80" s="1300"/>
      <c r="I80" s="1300"/>
      <c r="J80" s="1300"/>
      <c r="K80" s="719"/>
      <c r="L80" s="719"/>
      <c r="M80" s="1300"/>
      <c r="N80" s="1300"/>
      <c r="O80" s="1300"/>
      <c r="P80" s="719"/>
      <c r="Q80" s="719"/>
      <c r="R80" s="1300"/>
      <c r="S80" s="1300"/>
      <c r="T80" s="1300"/>
      <c r="U80" s="719"/>
      <c r="V80" s="719"/>
      <c r="W80" s="1300"/>
      <c r="X80" s="1300"/>
      <c r="Y80" s="1300"/>
      <c r="Z80" s="719"/>
      <c r="AA80" s="719"/>
      <c r="AB80" s="1300"/>
      <c r="AC80" s="1300"/>
      <c r="AD80" s="1300"/>
      <c r="AE80" s="719"/>
      <c r="AF80" s="719"/>
      <c r="AG80" s="1300"/>
      <c r="AH80" s="1300"/>
      <c r="AI80" s="1300"/>
      <c r="AJ80" s="719"/>
      <c r="AK80" s="719"/>
      <c r="AL80" s="1300"/>
      <c r="AM80" s="1300"/>
      <c r="AN80" s="1300"/>
      <c r="AO80" s="719"/>
      <c r="AP80" s="719"/>
      <c r="AQ80" s="1300"/>
      <c r="AR80" s="1300"/>
      <c r="AS80" s="1300"/>
      <c r="AT80" s="719"/>
      <c r="AU80" s="719"/>
      <c r="AV80" s="1300"/>
      <c r="AW80" s="1300"/>
      <c r="AX80" s="1300"/>
      <c r="AY80" s="719"/>
      <c r="AZ80" s="719"/>
      <c r="BA80" s="1300"/>
      <c r="BB80" s="1300"/>
      <c r="BC80" s="1300"/>
      <c r="BD80" s="719"/>
      <c r="BE80" s="719"/>
      <c r="BF80" s="1300"/>
      <c r="BG80" s="1300"/>
      <c r="BH80" s="1300"/>
      <c r="BI80" s="719"/>
      <c r="BJ80" s="719"/>
      <c r="BK80" s="1300"/>
      <c r="BL80" s="1300"/>
      <c r="BM80" s="1300"/>
      <c r="BN80" s="719"/>
      <c r="BO80" s="719"/>
      <c r="BP80" s="1300"/>
      <c r="BQ80" s="1300"/>
      <c r="BR80" s="1300"/>
    </row>
    <row r="81" spans="1:70" ht="18.600000000000001" hidden="1" customHeight="1" x14ac:dyDescent="0.25">
      <c r="A81" s="719"/>
      <c r="B81" s="719"/>
      <c r="C81" s="1300"/>
      <c r="D81" s="1300"/>
      <c r="E81" s="1300"/>
      <c r="F81" s="719"/>
      <c r="G81" s="719"/>
      <c r="H81" s="1300"/>
      <c r="I81" s="1300"/>
      <c r="J81" s="1300"/>
      <c r="K81" s="719"/>
      <c r="L81" s="719"/>
      <c r="M81" s="1300"/>
      <c r="N81" s="1300"/>
      <c r="O81" s="1300"/>
      <c r="P81" s="719"/>
      <c r="Q81" s="719"/>
      <c r="R81" s="1300"/>
      <c r="S81" s="1300"/>
      <c r="T81" s="1300"/>
      <c r="U81" s="719"/>
      <c r="V81" s="719"/>
      <c r="W81" s="1300"/>
      <c r="X81" s="1300"/>
      <c r="Y81" s="1300"/>
      <c r="Z81" s="719"/>
      <c r="AA81" s="719"/>
      <c r="AB81" s="1300"/>
      <c r="AC81" s="1300"/>
      <c r="AD81" s="1300"/>
      <c r="AE81" s="719"/>
      <c r="AF81" s="719"/>
      <c r="AG81" s="1300"/>
      <c r="AH81" s="1300"/>
      <c r="AI81" s="1300"/>
      <c r="AJ81" s="719"/>
      <c r="AK81" s="719"/>
      <c r="AL81" s="1300"/>
      <c r="AM81" s="1300"/>
      <c r="AN81" s="1300"/>
      <c r="AO81" s="719"/>
      <c r="AP81" s="719"/>
      <c r="AQ81" s="1300"/>
      <c r="AR81" s="1300"/>
      <c r="AS81" s="1300"/>
      <c r="AT81" s="719"/>
      <c r="AU81" s="719"/>
      <c r="AV81" s="1300"/>
      <c r="AW81" s="1300"/>
      <c r="AX81" s="1300"/>
      <c r="AY81" s="719"/>
      <c r="AZ81" s="719"/>
      <c r="BA81" s="1300"/>
      <c r="BB81" s="1300"/>
      <c r="BC81" s="1300"/>
      <c r="BD81" s="719"/>
      <c r="BE81" s="719"/>
      <c r="BF81" s="1300"/>
      <c r="BG81" s="1300"/>
      <c r="BH81" s="1300"/>
      <c r="BI81" s="719"/>
      <c r="BJ81" s="719"/>
      <c r="BK81" s="1300"/>
      <c r="BL81" s="1300"/>
      <c r="BM81" s="1300"/>
      <c r="BN81" s="719"/>
      <c r="BO81" s="719"/>
      <c r="BP81" s="1300"/>
      <c r="BQ81" s="1300"/>
      <c r="BR81" s="1300"/>
    </row>
    <row r="82" spans="1:70" ht="9.9499999999999993" hidden="1" customHeight="1" x14ac:dyDescent="0.25">
      <c r="A82" s="719"/>
      <c r="B82" s="719"/>
      <c r="C82" s="719"/>
      <c r="D82" s="719"/>
      <c r="E82" s="719"/>
      <c r="F82" s="719"/>
      <c r="G82" s="719"/>
      <c r="H82" s="719"/>
      <c r="I82" s="719"/>
      <c r="J82" s="719"/>
      <c r="K82" s="719"/>
      <c r="L82" s="719"/>
      <c r="M82" s="719"/>
      <c r="N82" s="719"/>
      <c r="O82" s="719"/>
      <c r="P82" s="719"/>
      <c r="Q82" s="719"/>
      <c r="R82" s="719"/>
      <c r="S82" s="719"/>
      <c r="T82" s="719"/>
      <c r="U82" s="719"/>
      <c r="V82" s="719"/>
      <c r="W82" s="719"/>
      <c r="X82" s="719"/>
      <c r="Y82" s="719"/>
      <c r="Z82" s="719"/>
      <c r="AA82" s="719"/>
      <c r="AB82" s="719"/>
      <c r="AC82" s="719"/>
      <c r="AD82" s="719"/>
      <c r="AE82" s="719"/>
      <c r="AF82" s="719"/>
      <c r="AG82" s="719"/>
      <c r="AH82" s="719"/>
      <c r="AI82" s="719"/>
      <c r="AJ82" s="719"/>
      <c r="AK82" s="719"/>
      <c r="AL82" s="719"/>
      <c r="AM82" s="719"/>
      <c r="AN82" s="719"/>
      <c r="AO82" s="719"/>
      <c r="AP82" s="719"/>
      <c r="AQ82" s="719"/>
      <c r="AR82" s="719"/>
      <c r="AS82" s="719"/>
      <c r="AT82" s="719"/>
      <c r="AU82" s="719"/>
      <c r="AV82" s="719"/>
      <c r="AW82" s="719"/>
      <c r="AX82" s="719"/>
      <c r="AY82" s="719"/>
      <c r="AZ82" s="719"/>
      <c r="BA82" s="719"/>
      <c r="BB82" s="719"/>
      <c r="BC82" s="719"/>
      <c r="BD82" s="719"/>
      <c r="BE82" s="719"/>
      <c r="BF82" s="719"/>
      <c r="BG82" s="719"/>
      <c r="BH82" s="719"/>
      <c r="BI82" s="719"/>
      <c r="BJ82" s="719"/>
      <c r="BK82" s="719"/>
      <c r="BL82" s="719"/>
      <c r="BM82" s="719"/>
      <c r="BN82" s="719"/>
      <c r="BO82" s="719"/>
      <c r="BP82" s="719"/>
      <c r="BQ82" s="719"/>
      <c r="BR82" s="719"/>
    </row>
    <row r="83" spans="1:70" ht="9.9499999999999993" hidden="1" customHeight="1" x14ac:dyDescent="0.25">
      <c r="A83" s="719"/>
      <c r="B83" s="719"/>
      <c r="C83" s="719"/>
      <c r="D83" s="719"/>
      <c r="E83" s="719"/>
      <c r="F83" s="719"/>
      <c r="G83" s="719"/>
      <c r="H83" s="719"/>
      <c r="I83" s="719"/>
      <c r="J83" s="719"/>
      <c r="K83" s="719"/>
      <c r="L83" s="719"/>
      <c r="M83" s="719"/>
      <c r="N83" s="719"/>
      <c r="O83" s="719"/>
      <c r="P83" s="719"/>
      <c r="Q83" s="719"/>
      <c r="R83" s="719"/>
      <c r="S83" s="719"/>
      <c r="T83" s="719"/>
      <c r="U83" s="719"/>
      <c r="V83" s="719"/>
      <c r="W83" s="719"/>
      <c r="X83" s="719"/>
      <c r="Y83" s="719"/>
      <c r="Z83" s="719"/>
      <c r="AA83" s="719"/>
      <c r="AB83" s="719"/>
      <c r="AC83" s="719"/>
      <c r="AD83" s="719"/>
      <c r="AE83" s="719"/>
      <c r="AF83" s="719"/>
      <c r="AG83" s="719"/>
      <c r="AH83" s="719"/>
      <c r="AI83" s="719"/>
      <c r="AJ83" s="719"/>
      <c r="AK83" s="719"/>
      <c r="AL83" s="719"/>
      <c r="AM83" s="719"/>
      <c r="AN83" s="719"/>
      <c r="AO83" s="719"/>
      <c r="AP83" s="719"/>
      <c r="AQ83" s="719"/>
      <c r="AR83" s="719"/>
      <c r="AS83" s="719"/>
      <c r="AT83" s="719"/>
      <c r="AU83" s="719"/>
      <c r="AV83" s="719"/>
      <c r="AW83" s="719"/>
      <c r="AX83" s="719"/>
      <c r="AY83" s="719"/>
      <c r="AZ83" s="719"/>
      <c r="BA83" s="719"/>
      <c r="BB83" s="719"/>
      <c r="BC83" s="719"/>
      <c r="BD83" s="719"/>
      <c r="BE83" s="719"/>
      <c r="BF83" s="719"/>
      <c r="BG83" s="719"/>
      <c r="BH83" s="719"/>
      <c r="BI83" s="719"/>
      <c r="BJ83" s="719"/>
      <c r="BK83" s="719"/>
      <c r="BL83" s="719"/>
      <c r="BM83" s="719"/>
      <c r="BN83" s="719"/>
      <c r="BO83" s="719"/>
      <c r="BP83" s="719"/>
      <c r="BQ83" s="719"/>
      <c r="BR83" s="719"/>
    </row>
    <row r="84" spans="1:70" ht="84.95" hidden="1" customHeight="1" x14ac:dyDescent="0.25">
      <c r="A84" s="716"/>
      <c r="B84" s="1797"/>
      <c r="C84" s="1797"/>
      <c r="D84" s="1797"/>
      <c r="E84" s="1797"/>
      <c r="F84" s="716"/>
      <c r="G84" s="1797"/>
      <c r="H84" s="1797"/>
      <c r="I84" s="1797"/>
      <c r="J84" s="1797"/>
      <c r="K84" s="716"/>
      <c r="L84" s="1797"/>
      <c r="M84" s="1797"/>
      <c r="N84" s="1797"/>
      <c r="O84" s="1797"/>
      <c r="P84" s="716"/>
      <c r="Q84" s="1797"/>
      <c r="R84" s="1797"/>
      <c r="S84" s="1797"/>
      <c r="T84" s="1797"/>
      <c r="U84" s="716"/>
      <c r="V84" s="1797"/>
      <c r="W84" s="1797"/>
      <c r="X84" s="1797"/>
      <c r="Y84" s="1797"/>
      <c r="Z84" s="716"/>
      <c r="AA84" s="1797"/>
      <c r="AB84" s="1797"/>
      <c r="AC84" s="1797"/>
      <c r="AD84" s="1797"/>
      <c r="AE84" s="716"/>
      <c r="AF84" s="1797"/>
      <c r="AG84" s="1797"/>
      <c r="AH84" s="1797"/>
      <c r="AI84" s="1797"/>
      <c r="AJ84" s="716"/>
      <c r="AK84" s="1797"/>
      <c r="AL84" s="1797"/>
      <c r="AM84" s="1797"/>
      <c r="AN84" s="1797"/>
      <c r="AO84" s="716"/>
      <c r="AP84" s="1797"/>
      <c r="AQ84" s="1797"/>
      <c r="AR84" s="1797"/>
      <c r="AS84" s="1797"/>
      <c r="AT84" s="716"/>
      <c r="AU84" s="1797"/>
      <c r="AV84" s="1797"/>
      <c r="AW84" s="1797"/>
      <c r="AX84" s="1797"/>
      <c r="AY84" s="716"/>
      <c r="AZ84" s="1797"/>
      <c r="BA84" s="1797"/>
      <c r="BB84" s="1797"/>
      <c r="BC84" s="1797"/>
      <c r="BD84" s="716"/>
      <c r="BE84" s="1797"/>
      <c r="BF84" s="1797"/>
      <c r="BG84" s="1797"/>
      <c r="BH84" s="1797"/>
      <c r="BI84" s="716"/>
      <c r="BJ84" s="1797"/>
      <c r="BK84" s="1797"/>
      <c r="BL84" s="1797"/>
      <c r="BM84" s="1797"/>
      <c r="BN84" s="716"/>
      <c r="BO84" s="1797"/>
      <c r="BP84" s="1797"/>
      <c r="BQ84" s="1797"/>
      <c r="BR84" s="1797"/>
    </row>
    <row r="85" spans="1:70" ht="23.1" hidden="1" customHeight="1" x14ac:dyDescent="0.25">
      <c r="A85" s="716"/>
      <c r="B85" s="32"/>
      <c r="C85" s="33"/>
      <c r="D85" s="34"/>
      <c r="E85" s="35"/>
      <c r="F85" s="716"/>
      <c r="G85" s="32"/>
      <c r="H85" s="33"/>
      <c r="I85" s="34"/>
      <c r="J85" s="35"/>
      <c r="K85" s="716"/>
      <c r="L85" s="32"/>
      <c r="M85" s="33"/>
      <c r="N85" s="34"/>
      <c r="O85" s="35"/>
      <c r="P85" s="716"/>
      <c r="Q85" s="32"/>
      <c r="R85" s="33"/>
      <c r="S85" s="34"/>
      <c r="T85" s="35"/>
      <c r="U85" s="716"/>
      <c r="V85" s="32"/>
      <c r="W85" s="33"/>
      <c r="X85" s="34"/>
      <c r="Y85" s="35"/>
      <c r="Z85" s="716"/>
      <c r="AA85" s="32"/>
      <c r="AB85" s="33"/>
      <c r="AC85" s="34"/>
      <c r="AD85" s="35"/>
      <c r="AE85" s="716"/>
      <c r="AF85" s="32"/>
      <c r="AG85" s="33"/>
      <c r="AH85" s="34"/>
      <c r="AI85" s="35"/>
      <c r="AJ85" s="716"/>
      <c r="AK85" s="32"/>
      <c r="AL85" s="33"/>
      <c r="AM85" s="34"/>
      <c r="AN85" s="35"/>
      <c r="AO85" s="716"/>
      <c r="AP85" s="32"/>
      <c r="AQ85" s="33"/>
      <c r="AR85" s="34"/>
      <c r="AS85" s="35"/>
      <c r="AT85" s="716"/>
      <c r="AU85" s="32"/>
      <c r="AV85" s="33"/>
      <c r="AW85" s="34"/>
      <c r="AX85" s="35"/>
      <c r="AY85" s="716"/>
      <c r="AZ85" s="32"/>
      <c r="BA85" s="33"/>
      <c r="BB85" s="34"/>
      <c r="BC85" s="35"/>
      <c r="BD85" s="716"/>
      <c r="BE85" s="32"/>
      <c r="BF85" s="33"/>
      <c r="BG85" s="34"/>
      <c r="BH85" s="35"/>
      <c r="BI85" s="716"/>
      <c r="BJ85" s="32"/>
      <c r="BK85" s="33"/>
      <c r="BL85" s="34"/>
      <c r="BM85" s="35"/>
      <c r="BN85" s="716"/>
      <c r="BO85" s="32"/>
      <c r="BP85" s="33"/>
      <c r="BQ85" s="34"/>
      <c r="BR85" s="35"/>
    </row>
    <row r="86" spans="1:70" ht="18.600000000000001" hidden="1" customHeight="1" x14ac:dyDescent="0.25">
      <c r="A86" s="719"/>
      <c r="B86" s="719"/>
      <c r="C86" s="1300"/>
      <c r="D86" s="1300"/>
      <c r="E86" s="1300"/>
      <c r="F86" s="719"/>
      <c r="G86" s="719"/>
      <c r="H86" s="1300"/>
      <c r="I86" s="1300"/>
      <c r="J86" s="1300"/>
      <c r="K86" s="719"/>
      <c r="L86" s="719"/>
      <c r="M86" s="1300"/>
      <c r="N86" s="1300"/>
      <c r="O86" s="1300"/>
      <c r="P86" s="719"/>
      <c r="Q86" s="719"/>
      <c r="R86" s="1300"/>
      <c r="S86" s="1300"/>
      <c r="T86" s="1300"/>
      <c r="U86" s="719"/>
      <c r="V86" s="719"/>
      <c r="W86" s="1300"/>
      <c r="X86" s="1300"/>
      <c r="Y86" s="1300"/>
      <c r="Z86" s="719"/>
      <c r="AA86" s="719"/>
      <c r="AB86" s="1300"/>
      <c r="AC86" s="1300"/>
      <c r="AD86" s="1300"/>
      <c r="AE86" s="719"/>
      <c r="AF86" s="719"/>
      <c r="AG86" s="1300"/>
      <c r="AH86" s="1300"/>
      <c r="AI86" s="1300"/>
      <c r="AJ86" s="719"/>
      <c r="AK86" s="719"/>
      <c r="AL86" s="1300"/>
      <c r="AM86" s="1300"/>
      <c r="AN86" s="1300"/>
      <c r="AO86" s="719"/>
      <c r="AP86" s="719"/>
      <c r="AQ86" s="1300"/>
      <c r="AR86" s="1300"/>
      <c r="AS86" s="1300"/>
      <c r="AT86" s="719"/>
      <c r="AU86" s="719"/>
      <c r="AV86" s="1300"/>
      <c r="AW86" s="1300"/>
      <c r="AX86" s="1300"/>
      <c r="AY86" s="719"/>
      <c r="AZ86" s="719"/>
      <c r="BA86" s="1300"/>
      <c r="BB86" s="1300"/>
      <c r="BC86" s="1300"/>
      <c r="BD86" s="719"/>
      <c r="BE86" s="719"/>
      <c r="BF86" s="1300"/>
      <c r="BG86" s="1300"/>
      <c r="BH86" s="1300"/>
      <c r="BI86" s="719"/>
      <c r="BJ86" s="719"/>
      <c r="BK86" s="1300"/>
      <c r="BL86" s="1300"/>
      <c r="BM86" s="1300"/>
      <c r="BN86" s="719"/>
      <c r="BO86" s="719"/>
      <c r="BP86" s="1300"/>
      <c r="BQ86" s="1300"/>
      <c r="BR86" s="1300"/>
    </row>
    <row r="87" spans="1:70" ht="18.600000000000001" hidden="1" customHeight="1" x14ac:dyDescent="0.25">
      <c r="A87" s="719"/>
      <c r="B87" s="719"/>
      <c r="C87" s="1300"/>
      <c r="D87" s="1300"/>
      <c r="E87" s="1300"/>
      <c r="F87" s="719"/>
      <c r="G87" s="719"/>
      <c r="H87" s="1300"/>
      <c r="I87" s="1300"/>
      <c r="J87" s="1300"/>
      <c r="K87" s="719"/>
      <c r="L87" s="719"/>
      <c r="M87" s="1300"/>
      <c r="N87" s="1300"/>
      <c r="O87" s="1300"/>
      <c r="P87" s="719"/>
      <c r="Q87" s="719"/>
      <c r="R87" s="1300"/>
      <c r="S87" s="1300"/>
      <c r="T87" s="1300"/>
      <c r="U87" s="719"/>
      <c r="V87" s="719"/>
      <c r="W87" s="1300"/>
      <c r="X87" s="1300"/>
      <c r="Y87" s="1300"/>
      <c r="Z87" s="719"/>
      <c r="AA87" s="719"/>
      <c r="AB87" s="1300"/>
      <c r="AC87" s="1300"/>
      <c r="AD87" s="1300"/>
      <c r="AE87" s="719"/>
      <c r="AF87" s="719"/>
      <c r="AG87" s="1300"/>
      <c r="AH87" s="1300"/>
      <c r="AI87" s="1300"/>
      <c r="AJ87" s="719"/>
      <c r="AK87" s="719"/>
      <c r="AL87" s="1300"/>
      <c r="AM87" s="1300"/>
      <c r="AN87" s="1300"/>
      <c r="AO87" s="719"/>
      <c r="AP87" s="719"/>
      <c r="AQ87" s="1300"/>
      <c r="AR87" s="1300"/>
      <c r="AS87" s="1300"/>
      <c r="AT87" s="719"/>
      <c r="AU87" s="719"/>
      <c r="AV87" s="1300"/>
      <c r="AW87" s="1300"/>
      <c r="AX87" s="1300"/>
      <c r="AY87" s="719"/>
      <c r="AZ87" s="719"/>
      <c r="BA87" s="1300"/>
      <c r="BB87" s="1300"/>
      <c r="BC87" s="1300"/>
      <c r="BD87" s="719"/>
      <c r="BE87" s="719"/>
      <c r="BF87" s="1300"/>
      <c r="BG87" s="1300"/>
      <c r="BH87" s="1300"/>
      <c r="BI87" s="719"/>
      <c r="BJ87" s="719"/>
      <c r="BK87" s="1300"/>
      <c r="BL87" s="1300"/>
      <c r="BM87" s="1300"/>
      <c r="BN87" s="719"/>
      <c r="BO87" s="719"/>
      <c r="BP87" s="1300"/>
      <c r="BQ87" s="1300"/>
      <c r="BR87" s="1300"/>
    </row>
    <row r="88" spans="1:70" ht="9.9499999999999993" hidden="1" customHeight="1" x14ac:dyDescent="0.25">
      <c r="A88" s="719"/>
      <c r="B88" s="719"/>
      <c r="C88" s="719"/>
      <c r="D88" s="719"/>
      <c r="E88" s="719"/>
      <c r="F88" s="719"/>
      <c r="G88" s="719"/>
      <c r="H88" s="719"/>
      <c r="I88" s="719"/>
      <c r="J88" s="719"/>
      <c r="K88" s="719"/>
      <c r="L88" s="719"/>
      <c r="M88" s="719"/>
      <c r="N88" s="719"/>
      <c r="O88" s="719"/>
      <c r="P88" s="719"/>
      <c r="Q88" s="719"/>
      <c r="R88" s="719"/>
      <c r="S88" s="719"/>
      <c r="T88" s="719"/>
      <c r="U88" s="719"/>
      <c r="V88" s="719"/>
      <c r="W88" s="719"/>
      <c r="X88" s="719"/>
      <c r="Y88" s="719"/>
      <c r="Z88" s="719"/>
      <c r="AA88" s="719"/>
      <c r="AB88" s="719"/>
      <c r="AC88" s="719"/>
      <c r="AD88" s="719"/>
      <c r="AE88" s="719"/>
      <c r="AF88" s="719"/>
      <c r="AG88" s="719"/>
      <c r="AH88" s="719"/>
      <c r="AI88" s="719"/>
      <c r="AJ88" s="719"/>
      <c r="AK88" s="719"/>
      <c r="AL88" s="719"/>
      <c r="AM88" s="719"/>
      <c r="AN88" s="719"/>
      <c r="AO88" s="719"/>
      <c r="AP88" s="719"/>
      <c r="AQ88" s="719"/>
      <c r="AR88" s="719"/>
      <c r="AS88" s="719"/>
      <c r="AT88" s="719"/>
      <c r="AU88" s="719"/>
      <c r="AV88" s="719"/>
      <c r="AW88" s="719"/>
      <c r="AX88" s="719"/>
      <c r="AY88" s="719"/>
      <c r="AZ88" s="719"/>
      <c r="BA88" s="719"/>
      <c r="BB88" s="719"/>
      <c r="BC88" s="719"/>
      <c r="BD88" s="719"/>
      <c r="BE88" s="719"/>
      <c r="BF88" s="719"/>
      <c r="BG88" s="719"/>
      <c r="BH88" s="719"/>
      <c r="BI88" s="719"/>
      <c r="BJ88" s="719"/>
      <c r="BK88" s="719"/>
      <c r="BL88" s="719"/>
      <c r="BM88" s="719"/>
      <c r="BN88" s="719"/>
      <c r="BO88" s="719"/>
      <c r="BP88" s="719"/>
      <c r="BQ88" s="719"/>
      <c r="BR88" s="719"/>
    </row>
    <row r="89" spans="1:70" ht="9.9499999999999993" hidden="1" customHeight="1" x14ac:dyDescent="0.25">
      <c r="A89" s="719"/>
      <c r="B89" s="719"/>
      <c r="C89" s="719"/>
      <c r="D89" s="719"/>
      <c r="E89" s="719"/>
      <c r="F89" s="719"/>
      <c r="G89" s="719"/>
      <c r="H89" s="719"/>
      <c r="I89" s="719"/>
      <c r="J89" s="719"/>
      <c r="K89" s="719"/>
      <c r="L89" s="719"/>
      <c r="M89" s="719"/>
      <c r="N89" s="719"/>
      <c r="O89" s="719"/>
      <c r="P89" s="719"/>
      <c r="Q89" s="719"/>
      <c r="R89" s="719"/>
      <c r="S89" s="719"/>
      <c r="T89" s="719"/>
      <c r="U89" s="719"/>
      <c r="V89" s="719"/>
      <c r="W89" s="719"/>
      <c r="X89" s="719"/>
      <c r="Y89" s="719"/>
      <c r="Z89" s="719"/>
      <c r="AA89" s="719"/>
      <c r="AB89" s="719"/>
      <c r="AC89" s="719"/>
      <c r="AD89" s="719"/>
      <c r="AE89" s="719"/>
      <c r="AF89" s="719"/>
      <c r="AG89" s="719"/>
      <c r="AH89" s="719"/>
      <c r="AI89" s="719"/>
      <c r="AJ89" s="719"/>
      <c r="AK89" s="719"/>
      <c r="AL89" s="719"/>
      <c r="AM89" s="719"/>
      <c r="AN89" s="719"/>
      <c r="AO89" s="719"/>
      <c r="AP89" s="719"/>
      <c r="AQ89" s="719"/>
      <c r="AR89" s="719"/>
      <c r="AS89" s="719"/>
      <c r="AT89" s="719"/>
      <c r="AU89" s="719"/>
      <c r="AV89" s="719"/>
      <c r="AW89" s="719"/>
      <c r="AX89" s="719"/>
      <c r="AY89" s="719"/>
      <c r="AZ89" s="719"/>
      <c r="BA89" s="719"/>
      <c r="BB89" s="719"/>
      <c r="BC89" s="719"/>
      <c r="BD89" s="719"/>
      <c r="BE89" s="719"/>
      <c r="BF89" s="719"/>
      <c r="BG89" s="719"/>
      <c r="BH89" s="719"/>
      <c r="BI89" s="719"/>
      <c r="BJ89" s="719"/>
      <c r="BK89" s="719"/>
      <c r="BL89" s="719"/>
      <c r="BM89" s="719"/>
      <c r="BN89" s="719"/>
      <c r="BO89" s="719"/>
      <c r="BP89" s="719"/>
      <c r="BQ89" s="719"/>
      <c r="BR89" s="719"/>
    </row>
    <row r="90" spans="1:70" ht="84.95" hidden="1" customHeight="1" x14ac:dyDescent="0.25">
      <c r="A90" s="716"/>
      <c r="B90" s="1797"/>
      <c r="C90" s="1797"/>
      <c r="D90" s="1797"/>
      <c r="E90" s="1797"/>
      <c r="F90" s="716"/>
      <c r="G90" s="1797"/>
      <c r="H90" s="1797"/>
      <c r="I90" s="1797"/>
      <c r="J90" s="1797"/>
      <c r="K90" s="716"/>
      <c r="L90" s="1797"/>
      <c r="M90" s="1797"/>
      <c r="N90" s="1797"/>
      <c r="O90" s="1797"/>
      <c r="P90" s="716"/>
      <c r="Q90" s="1797"/>
      <c r="R90" s="1797"/>
      <c r="S90" s="1797"/>
      <c r="T90" s="1797"/>
      <c r="U90" s="716"/>
      <c r="V90" s="1797"/>
      <c r="W90" s="1797"/>
      <c r="X90" s="1797"/>
      <c r="Y90" s="1797"/>
      <c r="Z90" s="716"/>
      <c r="AA90" s="1797"/>
      <c r="AB90" s="1797"/>
      <c r="AC90" s="1797"/>
      <c r="AD90" s="1797"/>
      <c r="AE90" s="716"/>
      <c r="AF90" s="1797"/>
      <c r="AG90" s="1797"/>
      <c r="AH90" s="1797"/>
      <c r="AI90" s="1797"/>
      <c r="AJ90" s="716"/>
      <c r="AK90" s="1797"/>
      <c r="AL90" s="1797"/>
      <c r="AM90" s="1797"/>
      <c r="AN90" s="1797"/>
      <c r="AO90" s="716"/>
      <c r="AP90" s="1797"/>
      <c r="AQ90" s="1797"/>
      <c r="AR90" s="1797"/>
      <c r="AS90" s="1797"/>
      <c r="AT90" s="716"/>
      <c r="AU90" s="1797"/>
      <c r="AV90" s="1797"/>
      <c r="AW90" s="1797"/>
      <c r="AX90" s="1797"/>
      <c r="AY90" s="716"/>
      <c r="AZ90" s="1797"/>
      <c r="BA90" s="1797"/>
      <c r="BB90" s="1797"/>
      <c r="BC90" s="1797"/>
      <c r="BD90" s="716"/>
      <c r="BE90" s="1797"/>
      <c r="BF90" s="1797"/>
      <c r="BG90" s="1797"/>
      <c r="BH90" s="1797"/>
      <c r="BI90" s="716"/>
      <c r="BJ90" s="1797"/>
      <c r="BK90" s="1797"/>
      <c r="BL90" s="1797"/>
      <c r="BM90" s="1797"/>
      <c r="BN90" s="716"/>
      <c r="BO90" s="1797"/>
      <c r="BP90" s="1797"/>
      <c r="BQ90" s="1797"/>
      <c r="BR90" s="1797"/>
    </row>
    <row r="91" spans="1:70" ht="23.1" hidden="1" customHeight="1" x14ac:dyDescent="0.25">
      <c r="A91" s="716"/>
      <c r="B91" s="32"/>
      <c r="C91" s="33"/>
      <c r="D91" s="34"/>
      <c r="E91" s="35"/>
      <c r="F91" s="716"/>
      <c r="G91" s="32"/>
      <c r="H91" s="33"/>
      <c r="I91" s="34"/>
      <c r="J91" s="35"/>
      <c r="K91" s="716"/>
      <c r="L91" s="32"/>
      <c r="M91" s="33"/>
      <c r="N91" s="34"/>
      <c r="O91" s="35"/>
      <c r="P91" s="716"/>
      <c r="Q91" s="32"/>
      <c r="R91" s="33"/>
      <c r="S91" s="34"/>
      <c r="T91" s="35"/>
      <c r="U91" s="716"/>
      <c r="V91" s="32"/>
      <c r="W91" s="33"/>
      <c r="X91" s="34"/>
      <c r="Y91" s="35"/>
      <c r="Z91" s="716"/>
      <c r="AA91" s="32"/>
      <c r="AB91" s="33"/>
      <c r="AC91" s="34"/>
      <c r="AD91" s="35"/>
      <c r="AE91" s="716"/>
      <c r="AF91" s="32"/>
      <c r="AG91" s="33"/>
      <c r="AH91" s="34"/>
      <c r="AI91" s="35"/>
      <c r="AJ91" s="716"/>
      <c r="AK91" s="32"/>
      <c r="AL91" s="33"/>
      <c r="AM91" s="34"/>
      <c r="AN91" s="35"/>
      <c r="AO91" s="716"/>
      <c r="AP91" s="32"/>
      <c r="AQ91" s="33"/>
      <c r="AR91" s="34"/>
      <c r="AS91" s="35"/>
      <c r="AT91" s="716"/>
      <c r="AU91" s="32"/>
      <c r="AV91" s="33"/>
      <c r="AW91" s="34"/>
      <c r="AX91" s="35"/>
      <c r="AY91" s="716"/>
      <c r="AZ91" s="32"/>
      <c r="BA91" s="33"/>
      <c r="BB91" s="34"/>
      <c r="BC91" s="35"/>
      <c r="BD91" s="716"/>
      <c r="BE91" s="32"/>
      <c r="BF91" s="33"/>
      <c r="BG91" s="34"/>
      <c r="BH91" s="35"/>
      <c r="BI91" s="716"/>
      <c r="BJ91" s="32"/>
      <c r="BK91" s="33"/>
      <c r="BL91" s="34"/>
      <c r="BM91" s="35"/>
      <c r="BN91" s="716"/>
      <c r="BO91" s="32"/>
      <c r="BP91" s="33"/>
      <c r="BQ91" s="34"/>
      <c r="BR91" s="35"/>
    </row>
    <row r="92" spans="1:70" ht="18.600000000000001" hidden="1" customHeight="1" x14ac:dyDescent="0.25">
      <c r="A92" s="719"/>
      <c r="B92" s="719"/>
      <c r="C92" s="1300"/>
      <c r="D92" s="1300"/>
      <c r="E92" s="1300"/>
      <c r="F92" s="719"/>
      <c r="G92" s="719"/>
      <c r="H92" s="1300"/>
      <c r="I92" s="1300"/>
      <c r="J92" s="1300"/>
      <c r="K92" s="719"/>
      <c r="L92" s="719"/>
      <c r="M92" s="1300"/>
      <c r="N92" s="1300"/>
      <c r="O92" s="1300"/>
      <c r="P92" s="719"/>
      <c r="Q92" s="719"/>
      <c r="R92" s="1300"/>
      <c r="S92" s="1300"/>
      <c r="T92" s="1300"/>
      <c r="U92" s="719"/>
      <c r="V92" s="719"/>
      <c r="W92" s="1300"/>
      <c r="X92" s="1300"/>
      <c r="Y92" s="1300"/>
      <c r="Z92" s="719"/>
      <c r="AA92" s="719"/>
      <c r="AB92" s="1300"/>
      <c r="AC92" s="1300"/>
      <c r="AD92" s="1300"/>
      <c r="AE92" s="719"/>
      <c r="AF92" s="719"/>
      <c r="AG92" s="1300"/>
      <c r="AH92" s="1300"/>
      <c r="AI92" s="1300"/>
      <c r="AJ92" s="719"/>
      <c r="AK92" s="719"/>
      <c r="AL92" s="1300"/>
      <c r="AM92" s="1300"/>
      <c r="AN92" s="1300"/>
      <c r="AO92" s="719"/>
      <c r="AP92" s="719"/>
      <c r="AQ92" s="1300"/>
      <c r="AR92" s="1300"/>
      <c r="AS92" s="1300"/>
      <c r="AT92" s="719"/>
      <c r="AU92" s="719"/>
      <c r="AV92" s="1300"/>
      <c r="AW92" s="1300"/>
      <c r="AX92" s="1300"/>
      <c r="AY92" s="719"/>
      <c r="AZ92" s="719"/>
      <c r="BA92" s="1300"/>
      <c r="BB92" s="1300"/>
      <c r="BC92" s="1300"/>
      <c r="BD92" s="719"/>
      <c r="BE92" s="719"/>
      <c r="BF92" s="1300"/>
      <c r="BG92" s="1300"/>
      <c r="BH92" s="1300"/>
      <c r="BI92" s="719"/>
      <c r="BJ92" s="719"/>
      <c r="BK92" s="1300"/>
      <c r="BL92" s="1300"/>
      <c r="BM92" s="1300"/>
      <c r="BN92" s="719"/>
      <c r="BO92" s="719"/>
      <c r="BP92" s="1300"/>
      <c r="BQ92" s="1300"/>
      <c r="BR92" s="1300"/>
    </row>
    <row r="93" spans="1:70" ht="18.600000000000001" hidden="1" customHeight="1" x14ac:dyDescent="0.25">
      <c r="A93" s="719"/>
      <c r="B93" s="719"/>
      <c r="C93" s="1300"/>
      <c r="D93" s="1300"/>
      <c r="E93" s="1300"/>
      <c r="F93" s="719"/>
      <c r="G93" s="719"/>
      <c r="H93" s="1300"/>
      <c r="I93" s="1300"/>
      <c r="J93" s="1300"/>
      <c r="K93" s="719"/>
      <c r="L93" s="719"/>
      <c r="M93" s="1300"/>
      <c r="N93" s="1300"/>
      <c r="O93" s="1300"/>
      <c r="P93" s="719"/>
      <c r="Q93" s="719"/>
      <c r="R93" s="1300"/>
      <c r="S93" s="1300"/>
      <c r="T93" s="1300"/>
      <c r="U93" s="719"/>
      <c r="V93" s="719"/>
      <c r="W93" s="1300"/>
      <c r="X93" s="1300"/>
      <c r="Y93" s="1300"/>
      <c r="Z93" s="719"/>
      <c r="AA93" s="719"/>
      <c r="AB93" s="1300"/>
      <c r="AC93" s="1300"/>
      <c r="AD93" s="1300"/>
      <c r="AE93" s="719"/>
      <c r="AF93" s="719"/>
      <c r="AG93" s="1300"/>
      <c r="AH93" s="1300"/>
      <c r="AI93" s="1300"/>
      <c r="AJ93" s="719"/>
      <c r="AK93" s="719"/>
      <c r="AL93" s="1300"/>
      <c r="AM93" s="1300"/>
      <c r="AN93" s="1300"/>
      <c r="AO93" s="719"/>
      <c r="AP93" s="719"/>
      <c r="AQ93" s="1300"/>
      <c r="AR93" s="1300"/>
      <c r="AS93" s="1300"/>
      <c r="AT93" s="719"/>
      <c r="AU93" s="719"/>
      <c r="AV93" s="1300"/>
      <c r="AW93" s="1300"/>
      <c r="AX93" s="1300"/>
      <c r="AY93" s="719"/>
      <c r="AZ93" s="719"/>
      <c r="BA93" s="1300"/>
      <c r="BB93" s="1300"/>
      <c r="BC93" s="1300"/>
      <c r="BD93" s="719"/>
      <c r="BE93" s="719"/>
      <c r="BF93" s="1300"/>
      <c r="BG93" s="1300"/>
      <c r="BH93" s="1300"/>
      <c r="BI93" s="719"/>
      <c r="BJ93" s="719"/>
      <c r="BK93" s="1300"/>
      <c r="BL93" s="1300"/>
      <c r="BM93" s="1300"/>
      <c r="BN93" s="719"/>
      <c r="BO93" s="719"/>
      <c r="BP93" s="1300"/>
      <c r="BQ93" s="1300"/>
      <c r="BR93" s="1300"/>
    </row>
    <row r="94" spans="1:70" ht="9.9499999999999993" hidden="1" customHeight="1" x14ac:dyDescent="0.25">
      <c r="A94" s="719"/>
      <c r="B94" s="719"/>
      <c r="C94" s="719"/>
      <c r="D94" s="719"/>
      <c r="E94" s="719"/>
      <c r="F94" s="719"/>
      <c r="G94" s="719"/>
      <c r="H94" s="719"/>
      <c r="I94" s="719"/>
      <c r="J94" s="719"/>
      <c r="K94" s="719"/>
      <c r="L94" s="719"/>
      <c r="M94" s="719"/>
      <c r="N94" s="719"/>
      <c r="O94" s="719"/>
      <c r="P94" s="719"/>
      <c r="Q94" s="719"/>
      <c r="R94" s="719"/>
      <c r="S94" s="719"/>
      <c r="T94" s="719"/>
      <c r="U94" s="719"/>
      <c r="V94" s="719"/>
      <c r="W94" s="719"/>
      <c r="X94" s="719"/>
      <c r="Y94" s="719"/>
      <c r="Z94" s="719"/>
      <c r="AA94" s="719"/>
      <c r="AB94" s="719"/>
      <c r="AC94" s="719"/>
      <c r="AD94" s="719"/>
      <c r="AE94" s="719"/>
      <c r="AF94" s="719"/>
      <c r="AG94" s="719"/>
      <c r="AH94" s="719"/>
      <c r="AI94" s="719"/>
      <c r="AJ94" s="719"/>
      <c r="AK94" s="719"/>
      <c r="AL94" s="719"/>
      <c r="AM94" s="719"/>
      <c r="AN94" s="719"/>
      <c r="AO94" s="719"/>
      <c r="AP94" s="719"/>
      <c r="AQ94" s="719"/>
      <c r="AR94" s="719"/>
      <c r="AS94" s="719"/>
      <c r="AT94" s="719"/>
      <c r="AU94" s="719"/>
      <c r="AV94" s="719"/>
      <c r="AW94" s="719"/>
      <c r="AX94" s="719"/>
      <c r="AY94" s="719"/>
      <c r="AZ94" s="719"/>
      <c r="BA94" s="719"/>
      <c r="BB94" s="719"/>
      <c r="BC94" s="719"/>
      <c r="BD94" s="719"/>
      <c r="BE94" s="719"/>
      <c r="BF94" s="719"/>
      <c r="BG94" s="719"/>
      <c r="BH94" s="719"/>
      <c r="BI94" s="719"/>
      <c r="BJ94" s="719"/>
      <c r="BK94" s="719"/>
      <c r="BL94" s="719"/>
      <c r="BM94" s="719"/>
      <c r="BN94" s="719"/>
      <c r="BO94" s="719"/>
      <c r="BP94" s="719"/>
      <c r="BQ94" s="719"/>
      <c r="BR94" s="719"/>
    </row>
    <row r="95" spans="1:70" ht="9.9499999999999993" hidden="1" customHeight="1" x14ac:dyDescent="0.25">
      <c r="A95" s="719"/>
      <c r="B95" s="719"/>
      <c r="C95" s="719"/>
      <c r="D95" s="719"/>
      <c r="E95" s="719"/>
      <c r="F95" s="719"/>
      <c r="G95" s="719"/>
      <c r="H95" s="719"/>
      <c r="I95" s="719"/>
      <c r="J95" s="719"/>
      <c r="K95" s="719"/>
      <c r="L95" s="719"/>
      <c r="M95" s="719"/>
      <c r="N95" s="719"/>
      <c r="O95" s="719"/>
      <c r="P95" s="719"/>
      <c r="Q95" s="719"/>
      <c r="R95" s="719"/>
      <c r="S95" s="719"/>
      <c r="T95" s="719"/>
      <c r="U95" s="719"/>
      <c r="V95" s="719"/>
      <c r="W95" s="719"/>
      <c r="X95" s="719"/>
      <c r="Y95" s="719"/>
      <c r="Z95" s="719"/>
      <c r="AA95" s="719"/>
      <c r="AB95" s="719"/>
      <c r="AC95" s="719"/>
      <c r="AD95" s="719"/>
      <c r="AE95" s="719"/>
      <c r="AF95" s="719"/>
      <c r="AG95" s="719"/>
      <c r="AH95" s="719"/>
      <c r="AI95" s="719"/>
      <c r="AJ95" s="719"/>
      <c r="AK95" s="719"/>
      <c r="AL95" s="719"/>
      <c r="AM95" s="719"/>
      <c r="AN95" s="719"/>
      <c r="AO95" s="719"/>
      <c r="AP95" s="719"/>
      <c r="AQ95" s="719"/>
      <c r="AR95" s="719"/>
      <c r="AS95" s="719"/>
      <c r="AT95" s="719"/>
      <c r="AU95" s="719"/>
      <c r="AV95" s="719"/>
      <c r="AW95" s="719"/>
      <c r="AX95" s="719"/>
      <c r="AY95" s="719"/>
      <c r="AZ95" s="719"/>
      <c r="BA95" s="719"/>
      <c r="BB95" s="719"/>
      <c r="BC95" s="719"/>
      <c r="BD95" s="719"/>
      <c r="BE95" s="719"/>
      <c r="BF95" s="719"/>
      <c r="BG95" s="719"/>
      <c r="BH95" s="719"/>
      <c r="BI95" s="719"/>
      <c r="BJ95" s="719"/>
      <c r="BK95" s="719"/>
      <c r="BL95" s="719"/>
      <c r="BM95" s="719"/>
      <c r="BN95" s="719"/>
      <c r="BO95" s="719"/>
      <c r="BP95" s="719"/>
      <c r="BQ95" s="719"/>
      <c r="BR95" s="719"/>
    </row>
    <row r="96" spans="1:70" ht="84.95" hidden="1" customHeight="1" x14ac:dyDescent="0.25">
      <c r="A96" s="716"/>
      <c r="B96" s="1797"/>
      <c r="C96" s="1797"/>
      <c r="D96" s="1797"/>
      <c r="E96" s="1797"/>
      <c r="F96" s="716"/>
      <c r="G96" s="1797"/>
      <c r="H96" s="1797"/>
      <c r="I96" s="1797"/>
      <c r="J96" s="1797"/>
      <c r="K96" s="716"/>
      <c r="L96" s="1797"/>
      <c r="M96" s="1797"/>
      <c r="N96" s="1797"/>
      <c r="O96" s="1797"/>
      <c r="P96" s="716"/>
      <c r="Q96" s="1797"/>
      <c r="R96" s="1797"/>
      <c r="S96" s="1797"/>
      <c r="T96" s="1797"/>
      <c r="U96" s="716"/>
      <c r="V96" s="1797"/>
      <c r="W96" s="1797"/>
      <c r="X96" s="1797"/>
      <c r="Y96" s="1797"/>
      <c r="Z96" s="716"/>
      <c r="AA96" s="1797"/>
      <c r="AB96" s="1797"/>
      <c r="AC96" s="1797"/>
      <c r="AD96" s="1797"/>
      <c r="AE96" s="716"/>
      <c r="AF96" s="1797"/>
      <c r="AG96" s="1797"/>
      <c r="AH96" s="1797"/>
      <c r="AI96" s="1797"/>
      <c r="AJ96" s="716"/>
      <c r="AK96" s="1797"/>
      <c r="AL96" s="1797"/>
      <c r="AM96" s="1797"/>
      <c r="AN96" s="1797"/>
      <c r="AO96" s="716"/>
      <c r="AP96" s="1797"/>
      <c r="AQ96" s="1797"/>
      <c r="AR96" s="1797"/>
      <c r="AS96" s="1797"/>
      <c r="AT96" s="716"/>
      <c r="AU96" s="1797"/>
      <c r="AV96" s="1797"/>
      <c r="AW96" s="1797"/>
      <c r="AX96" s="1797"/>
      <c r="AY96" s="716"/>
      <c r="AZ96" s="1797"/>
      <c r="BA96" s="1797"/>
      <c r="BB96" s="1797"/>
      <c r="BC96" s="1797"/>
      <c r="BD96" s="716"/>
      <c r="BE96" s="1797"/>
      <c r="BF96" s="1797"/>
      <c r="BG96" s="1797"/>
      <c r="BH96" s="1797"/>
      <c r="BI96" s="716"/>
      <c r="BJ96" s="1797"/>
      <c r="BK96" s="1797"/>
      <c r="BL96" s="1797"/>
      <c r="BM96" s="1797"/>
      <c r="BN96" s="716"/>
      <c r="BO96" s="1797"/>
      <c r="BP96" s="1797"/>
      <c r="BQ96" s="1797"/>
      <c r="BR96" s="1797"/>
    </row>
    <row r="97" spans="1:72" ht="23.1" hidden="1" customHeight="1" x14ac:dyDescent="0.25">
      <c r="A97" s="716"/>
      <c r="B97" s="32"/>
      <c r="C97" s="33"/>
      <c r="D97" s="34"/>
      <c r="E97" s="35"/>
      <c r="F97" s="716"/>
      <c r="G97" s="32"/>
      <c r="H97" s="33"/>
      <c r="I97" s="34"/>
      <c r="J97" s="35"/>
      <c r="K97" s="716"/>
      <c r="L97" s="32"/>
      <c r="M97" s="33"/>
      <c r="N97" s="34"/>
      <c r="O97" s="35"/>
      <c r="P97" s="716"/>
      <c r="Q97" s="32"/>
      <c r="R97" s="33"/>
      <c r="S97" s="34"/>
      <c r="T97" s="35"/>
      <c r="U97" s="716"/>
      <c r="V97" s="32"/>
      <c r="W97" s="33"/>
      <c r="X97" s="34"/>
      <c r="Y97" s="35"/>
      <c r="Z97" s="716"/>
      <c r="AA97" s="32"/>
      <c r="AB97" s="33"/>
      <c r="AC97" s="34"/>
      <c r="AD97" s="35"/>
      <c r="AE97" s="716"/>
      <c r="AF97" s="32"/>
      <c r="AG97" s="33"/>
      <c r="AH97" s="34"/>
      <c r="AI97" s="35"/>
      <c r="AJ97" s="716"/>
      <c r="AK97" s="32"/>
      <c r="AL97" s="33"/>
      <c r="AM97" s="34"/>
      <c r="AN97" s="35"/>
      <c r="AO97" s="716"/>
      <c r="AP97" s="32"/>
      <c r="AQ97" s="33"/>
      <c r="AR97" s="34"/>
      <c r="AS97" s="35"/>
      <c r="AT97" s="716"/>
      <c r="AU97" s="32"/>
      <c r="AV97" s="33"/>
      <c r="AW97" s="34"/>
      <c r="AX97" s="35"/>
      <c r="AY97" s="716"/>
      <c r="AZ97" s="32"/>
      <c r="BA97" s="33"/>
      <c r="BB97" s="34"/>
      <c r="BC97" s="35"/>
      <c r="BD97" s="716"/>
      <c r="BE97" s="32"/>
      <c r="BF97" s="33"/>
      <c r="BG97" s="34"/>
      <c r="BH97" s="35"/>
      <c r="BI97" s="716"/>
      <c r="BJ97" s="32"/>
      <c r="BK97" s="33"/>
      <c r="BL97" s="34"/>
      <c r="BM97" s="35"/>
      <c r="BN97" s="716"/>
      <c r="BO97" s="32"/>
      <c r="BP97" s="33"/>
      <c r="BQ97" s="34"/>
      <c r="BR97" s="35"/>
    </row>
    <row r="98" spans="1:72" ht="15" customHeight="1" x14ac:dyDescent="0.25"/>
    <row r="99" spans="1:72" ht="15" customHeight="1" x14ac:dyDescent="0.25"/>
    <row r="100" spans="1:72" ht="15" customHeight="1" x14ac:dyDescent="0.25"/>
    <row r="101" spans="1:72" ht="15" customHeight="1" x14ac:dyDescent="0.25"/>
    <row r="102" spans="1:72" ht="15" customHeight="1" x14ac:dyDescent="0.25"/>
    <row r="103" spans="1:72" ht="15" customHeight="1" x14ac:dyDescent="0.25"/>
    <row r="104" spans="1:72" ht="15" customHeight="1" x14ac:dyDescent="0.25"/>
    <row r="105" spans="1:72" ht="15" customHeight="1" x14ac:dyDescent="0.25">
      <c r="B105" s="70"/>
      <c r="C105" s="72"/>
      <c r="D105" s="72"/>
      <c r="E105" s="72"/>
      <c r="F105" s="72"/>
      <c r="G105" s="70"/>
      <c r="H105" s="72"/>
      <c r="I105" s="72"/>
      <c r="J105" s="72"/>
      <c r="K105" s="72"/>
      <c r="L105" s="70"/>
      <c r="M105" s="72"/>
      <c r="N105" s="72"/>
      <c r="O105" s="72"/>
      <c r="P105" s="72"/>
      <c r="Q105" s="70"/>
      <c r="R105" s="72"/>
      <c r="S105" s="72"/>
      <c r="T105" s="72"/>
      <c r="U105" s="72"/>
      <c r="V105" s="70"/>
      <c r="W105" s="72"/>
      <c r="X105" s="724" t="s">
        <v>461</v>
      </c>
      <c r="Y105" s="724"/>
      <c r="Z105" s="724"/>
      <c r="AA105" s="724"/>
      <c r="AB105" s="724"/>
      <c r="AC105" s="724"/>
      <c r="AD105" s="724"/>
      <c r="AE105" s="724"/>
      <c r="AF105" s="724"/>
      <c r="AG105" s="724"/>
      <c r="AH105" s="724"/>
      <c r="AI105" s="724"/>
      <c r="AJ105" s="724"/>
      <c r="AK105" s="318"/>
      <c r="AL105" s="319"/>
      <c r="AM105" s="320"/>
      <c r="AN105" s="321"/>
      <c r="AO105" s="320"/>
      <c r="AP105" s="318"/>
      <c r="AQ105" s="319"/>
      <c r="AR105" s="320"/>
      <c r="AS105" s="321"/>
      <c r="AT105" s="320"/>
      <c r="AU105" s="318"/>
      <c r="AV105" s="319"/>
      <c r="AW105" s="320"/>
      <c r="AX105" s="321"/>
      <c r="AY105" s="320"/>
      <c r="AZ105" s="318"/>
      <c r="BA105" s="319"/>
      <c r="BB105" s="320"/>
      <c r="BC105" s="321"/>
      <c r="BD105" s="320"/>
      <c r="BE105" s="318"/>
      <c r="BF105" s="319"/>
      <c r="BG105" s="320"/>
      <c r="BH105" s="40"/>
      <c r="BI105" s="41"/>
      <c r="BJ105" s="37"/>
      <c r="BK105" s="38"/>
      <c r="BL105" s="39"/>
      <c r="BM105" s="40"/>
      <c r="BN105" s="41"/>
      <c r="BO105" s="37"/>
      <c r="BP105" s="38"/>
      <c r="BQ105" s="39"/>
      <c r="BR105" s="40"/>
      <c r="BS105" s="41"/>
    </row>
    <row r="106" spans="1:72" ht="15" customHeight="1" x14ac:dyDescent="0.25">
      <c r="B106" s="70"/>
      <c r="C106" s="32"/>
      <c r="D106" s="33"/>
      <c r="E106" s="34"/>
      <c r="F106" s="35"/>
      <c r="G106" s="70"/>
      <c r="H106" s="1801" cm="1">
        <f t="array" aca="1" ref="H106" ca="1">SUM(COUNTIF(INDIRECT({"B6","G6","L6","Q6","V6","AA6","AF6","AK6","AP6","AU6","AZ6","BE6","BJ6","BO6","B12","G12","L12","Q12","V12","AA12","AF12","AK12","AP12","AU12","AZ12","BE12","BJ12","BO12","B18","G18","L18","Q18","V18","AA18","AF18","AK18","AP18","AU18","AZ18","BE18","BJ18","BO18","B24","G24","L24","Q24","V24","AA24","AF24","AK24","AP24","AU24","AZ24","BE24","BJ24","BO24","B30","G30","L30","Q30","V30","AA30","AF30","AK30","AP30","AU30","AZ30","BE30","BJ30","BO30","B36","G36","L36","Q36","V36","AA36","AF36","AK36","AP36","AU36"}),"&gt;0"))</f>
        <v>73</v>
      </c>
      <c r="I106" s="1801"/>
      <c r="J106" s="1801"/>
      <c r="K106" s="1801"/>
      <c r="L106" s="70"/>
      <c r="M106" s="32"/>
      <c r="N106" s="33"/>
      <c r="O106" s="34"/>
      <c r="P106" s="35"/>
      <c r="Q106" s="70"/>
      <c r="R106" s="32"/>
      <c r="S106" s="33"/>
      <c r="T106" s="34"/>
      <c r="U106" s="35"/>
      <c r="V106" s="70"/>
      <c r="W106" s="32"/>
      <c r="X106" s="724"/>
      <c r="Y106" s="724"/>
      <c r="Z106" s="724"/>
      <c r="AA106" s="724"/>
      <c r="AB106" s="724"/>
      <c r="AC106" s="724"/>
      <c r="AD106" s="724"/>
      <c r="AE106" s="724"/>
      <c r="AF106" s="724"/>
      <c r="AG106" s="724"/>
      <c r="AH106" s="724"/>
      <c r="AI106" s="724"/>
      <c r="AJ106" s="724"/>
      <c r="AK106" s="724" t="s">
        <v>117</v>
      </c>
      <c r="AL106" s="724"/>
      <c r="AM106" s="724"/>
      <c r="AN106" s="724"/>
      <c r="AO106" s="724"/>
      <c r="AP106" s="724"/>
      <c r="AQ106" s="724"/>
      <c r="AR106" s="724"/>
      <c r="AS106" s="724"/>
      <c r="AT106" s="724"/>
      <c r="AU106" s="724"/>
      <c r="AV106" s="725" t="s">
        <v>118</v>
      </c>
      <c r="AW106" s="725"/>
      <c r="AX106" s="725"/>
      <c r="AY106" s="725"/>
      <c r="AZ106" s="725"/>
      <c r="BA106" s="725"/>
      <c r="BB106" s="725"/>
      <c r="BC106" s="725"/>
      <c r="BD106" s="725"/>
      <c r="BE106" s="725"/>
      <c r="BF106" s="725"/>
      <c r="BG106" s="725"/>
      <c r="BH106" s="724" t="s">
        <v>119</v>
      </c>
      <c r="BI106" s="724"/>
      <c r="BJ106" s="724"/>
      <c r="BK106" s="724"/>
      <c r="BL106" s="724"/>
      <c r="BM106" s="1802">
        <f>D7+I7+N7+S7+X7+AC7+AH7+AM7+AR7+AW7+BB7+BG7+BL7+BQ7+
D13+I13+N13+S13+X13+AC13+AH13+AM13+AR13+AW13+BB13+BG13+BL13+BQ13+
D19+I19+N19+S19+X19+AC19+AH19+AM19+AR19+AW19+BB19+BG19+BL19+BQ19+
D25+I25+N25+S25+X25+AC25+AH25+AM25+AR25+AW25+BB25+BG25+BL25+BQ25+
D31+I31+N31+S31+X31+AC31+AH31+AM31+AR31+AW31+BB31+BG31+BL31+BQ31+
D37+I37+N37+S37+X37+AC37+AH37+AM37+AR37+AW37</f>
        <v>56</v>
      </c>
      <c r="BN106" s="1802"/>
      <c r="BO106" s="1802"/>
      <c r="BP106" s="1802"/>
      <c r="BQ106" s="701" t="s">
        <v>120</v>
      </c>
      <c r="BR106" s="701"/>
      <c r="BS106" s="701"/>
    </row>
    <row r="107" spans="1:72" ht="15" customHeight="1" x14ac:dyDescent="0.25">
      <c r="B107" s="44"/>
      <c r="C107" s="44"/>
      <c r="D107" s="44"/>
      <c r="E107" s="69"/>
      <c r="F107" s="69"/>
      <c r="G107" s="44"/>
      <c r="H107" s="1801"/>
      <c r="I107" s="1801"/>
      <c r="J107" s="1801"/>
      <c r="K107" s="1801"/>
      <c r="L107" s="44"/>
      <c r="M107" s="44"/>
      <c r="N107" s="44"/>
      <c r="O107" s="69"/>
      <c r="P107" s="69"/>
      <c r="Q107" s="44"/>
      <c r="R107" s="44"/>
      <c r="S107" s="44"/>
      <c r="T107" s="69"/>
      <c r="U107" s="69"/>
      <c r="V107" s="44"/>
      <c r="W107" s="44"/>
      <c r="X107" s="724"/>
      <c r="Y107" s="724"/>
      <c r="Z107" s="724"/>
      <c r="AA107" s="724"/>
      <c r="AB107" s="724"/>
      <c r="AC107" s="724"/>
      <c r="AD107" s="724"/>
      <c r="AE107" s="724"/>
      <c r="AF107" s="724"/>
      <c r="AG107" s="724"/>
      <c r="AH107" s="724"/>
      <c r="AI107" s="724"/>
      <c r="AJ107" s="724"/>
      <c r="AK107" s="724"/>
      <c r="AL107" s="724"/>
      <c r="AM107" s="724"/>
      <c r="AN107" s="724"/>
      <c r="AO107" s="724"/>
      <c r="AP107" s="724"/>
      <c r="AQ107" s="724"/>
      <c r="AR107" s="724"/>
      <c r="AS107" s="724"/>
      <c r="AT107" s="724"/>
      <c r="AU107" s="724"/>
      <c r="AV107" s="725"/>
      <c r="AW107" s="725"/>
      <c r="AX107" s="725"/>
      <c r="AY107" s="725"/>
      <c r="AZ107" s="725"/>
      <c r="BA107" s="725"/>
      <c r="BB107" s="725"/>
      <c r="BC107" s="725"/>
      <c r="BD107" s="725"/>
      <c r="BE107" s="725"/>
      <c r="BF107" s="725"/>
      <c r="BG107" s="725"/>
      <c r="BH107" s="724"/>
      <c r="BI107" s="724"/>
      <c r="BJ107" s="724"/>
      <c r="BK107" s="724"/>
      <c r="BL107" s="724"/>
      <c r="BM107" s="1802"/>
      <c r="BN107" s="1802"/>
      <c r="BO107" s="1802"/>
      <c r="BP107" s="1802"/>
      <c r="BQ107" s="701"/>
      <c r="BR107" s="701"/>
      <c r="BS107" s="701"/>
    </row>
    <row r="108" spans="1:72" ht="24" customHeight="1" x14ac:dyDescent="0.25">
      <c r="B108" s="47"/>
      <c r="C108" s="47"/>
      <c r="D108" s="47"/>
      <c r="E108" s="69"/>
      <c r="F108" s="69"/>
      <c r="G108" s="47"/>
      <c r="H108" s="1801"/>
      <c r="I108" s="1801"/>
      <c r="J108" s="1801"/>
      <c r="K108" s="1801"/>
      <c r="L108" s="47"/>
      <c r="M108" s="47"/>
      <c r="N108" s="47"/>
      <c r="O108" s="69"/>
      <c r="P108" s="69"/>
      <c r="Q108" s="47"/>
      <c r="R108" s="47"/>
      <c r="S108" s="47"/>
      <c r="T108" s="69"/>
      <c r="U108" s="69"/>
      <c r="V108" s="47"/>
      <c r="W108" s="47"/>
      <c r="X108" s="724"/>
      <c r="Y108" s="724"/>
      <c r="Z108" s="724"/>
      <c r="AA108" s="724"/>
      <c r="AB108" s="724"/>
      <c r="AC108" s="724"/>
      <c r="AD108" s="724"/>
      <c r="AE108" s="724"/>
      <c r="AF108" s="724"/>
      <c r="AG108" s="724"/>
      <c r="AH108" s="724"/>
      <c r="AI108" s="724"/>
      <c r="AJ108" s="724"/>
      <c r="AK108" s="724"/>
      <c r="AL108" s="724"/>
      <c r="AM108" s="724"/>
      <c r="AN108" s="724"/>
      <c r="AO108" s="724"/>
      <c r="AP108" s="724"/>
      <c r="AQ108" s="724"/>
      <c r="AR108" s="724"/>
      <c r="AS108" s="724"/>
      <c r="AT108" s="724"/>
      <c r="AU108" s="724"/>
      <c r="AV108" s="725"/>
      <c r="AW108" s="725"/>
      <c r="AX108" s="725"/>
      <c r="AY108" s="725"/>
      <c r="AZ108" s="725"/>
      <c r="BA108" s="725"/>
      <c r="BB108" s="725"/>
      <c r="BC108" s="725"/>
      <c r="BD108" s="725"/>
      <c r="BE108" s="725"/>
      <c r="BF108" s="725"/>
      <c r="BG108" s="725"/>
      <c r="BH108" s="724"/>
      <c r="BI108" s="724"/>
      <c r="BJ108" s="724"/>
      <c r="BK108" s="724"/>
      <c r="BL108" s="724"/>
      <c r="BM108" s="1802"/>
      <c r="BN108" s="1802"/>
      <c r="BO108" s="1802"/>
      <c r="BP108" s="1802"/>
      <c r="BQ108" s="701"/>
      <c r="BR108" s="701"/>
      <c r="BS108" s="701"/>
    </row>
    <row r="109" spans="1:72" ht="27.75" customHeight="1" x14ac:dyDescent="0.25">
      <c r="B109" s="47"/>
      <c r="C109" s="47"/>
      <c r="D109" s="47"/>
      <c r="E109" s="101"/>
      <c r="F109" s="69"/>
      <c r="G109" s="47"/>
      <c r="H109" s="1803" cm="1">
        <f t="array" aca="1" ref="H109" ca="1">SUM(COUNTIF(INDIRECT({"B7","G7","L7","Q7","V7","AA7","AF7","AK7","AP7","AU7","AZ7","BE7","BJ7","BO7","B13","G13","L13","Q13","V13","AA13","AF13","AK13","AP13","AU13","AZ13","BE13","BJ13","BO13","B19","G19","L19","Q19","V19","AA19","AF19","AK19","AP19","AU19","AZ19","BE19","BJ19","BO19","B25","G25","L25","Q25","V25","AA25","AF25","AK25","AP25","AU25","AZ25","BE25","BJ25","BO25","B31","G31","L31","Q31","V31","AA31","AF31","AK31","AP31","AU31","AZ31","BE31","BJ31","BO31","B37","G37","L37","Q37","V37","AA37","AF37","AK37","AP37","AU37"}),"&gt;0"))</f>
        <v>73</v>
      </c>
      <c r="I109" s="1803"/>
      <c r="J109" s="1803"/>
      <c r="K109" s="1803"/>
      <c r="L109" s="47"/>
      <c r="M109" s="47"/>
      <c r="N109" s="47"/>
      <c r="O109" s="101"/>
      <c r="P109" s="69"/>
      <c r="Q109" s="47"/>
      <c r="R109" s="47"/>
      <c r="S109" s="47"/>
      <c r="T109" s="101"/>
      <c r="U109" s="69"/>
      <c r="V109" s="47"/>
      <c r="W109" s="47"/>
      <c r="X109" s="724"/>
      <c r="Y109" s="724"/>
      <c r="Z109" s="724"/>
      <c r="AA109" s="724"/>
      <c r="AB109" s="724"/>
      <c r="AC109" s="724"/>
      <c r="AD109" s="724"/>
      <c r="AE109" s="724"/>
      <c r="AF109" s="724"/>
      <c r="AG109" s="724"/>
      <c r="AH109" s="724"/>
      <c r="AI109" s="724"/>
      <c r="AJ109" s="724"/>
      <c r="AK109" s="724"/>
      <c r="AL109" s="724"/>
      <c r="AM109" s="724"/>
      <c r="AN109" s="724"/>
      <c r="AO109" s="724"/>
      <c r="AP109" s="724"/>
      <c r="AQ109" s="724"/>
      <c r="AR109" s="724"/>
      <c r="AS109" s="724"/>
      <c r="AT109" s="724"/>
      <c r="AU109" s="724"/>
      <c r="AV109" s="725"/>
      <c r="AW109" s="725"/>
      <c r="AX109" s="725"/>
      <c r="AY109" s="725"/>
      <c r="AZ109" s="725"/>
      <c r="BA109" s="725"/>
      <c r="BB109" s="725"/>
      <c r="BC109" s="725"/>
      <c r="BD109" s="725"/>
      <c r="BE109" s="725"/>
      <c r="BF109" s="725"/>
      <c r="BG109" s="725"/>
      <c r="BH109" s="724"/>
      <c r="BI109" s="724"/>
      <c r="BJ109" s="724"/>
      <c r="BK109" s="724"/>
      <c r="BL109" s="724"/>
      <c r="BM109" s="1802"/>
      <c r="BN109" s="1802"/>
      <c r="BO109" s="1802"/>
      <c r="BP109" s="1802"/>
      <c r="BQ109" s="701"/>
      <c r="BR109" s="701"/>
      <c r="BS109" s="701"/>
    </row>
    <row r="110" spans="1:72" ht="24" customHeight="1" x14ac:dyDescent="0.25">
      <c r="B110" s="47"/>
      <c r="C110" s="47"/>
      <c r="D110" s="47"/>
      <c r="E110" s="69"/>
      <c r="F110" s="69"/>
      <c r="G110" s="47"/>
      <c r="H110" s="1803"/>
      <c r="I110" s="1803"/>
      <c r="J110" s="1803"/>
      <c r="K110" s="1803"/>
      <c r="L110" s="47"/>
      <c r="M110" s="47"/>
      <c r="N110" s="47"/>
      <c r="O110" s="69"/>
      <c r="P110" s="69"/>
      <c r="Q110" s="47"/>
      <c r="R110" s="47"/>
      <c r="S110" s="47"/>
      <c r="T110" s="69"/>
      <c r="U110" s="69"/>
      <c r="V110" s="47"/>
      <c r="W110" s="47"/>
      <c r="X110" s="704" t="s">
        <v>13</v>
      </c>
      <c r="Y110" s="704"/>
      <c r="Z110" s="704"/>
      <c r="AA110" s="704"/>
      <c r="AB110" s="704"/>
      <c r="AC110" s="704"/>
      <c r="AD110" s="704"/>
      <c r="AE110" s="704"/>
      <c r="AF110" s="704"/>
      <c r="AG110" s="704"/>
      <c r="AH110" s="704"/>
      <c r="AI110" s="704"/>
      <c r="AJ110" s="704"/>
      <c r="AK110" s="723">
        <f>AV110-AB127</f>
        <v>4.3103110100091158E-3</v>
      </c>
      <c r="AL110" s="723"/>
      <c r="AM110" s="723"/>
      <c r="AN110" s="723"/>
      <c r="AO110" s="723"/>
      <c r="AP110" s="723"/>
      <c r="AQ110" s="723"/>
      <c r="AR110" s="723"/>
      <c r="AS110" s="723"/>
      <c r="AT110" s="723"/>
      <c r="AU110" s="723"/>
      <c r="AV110" s="707">
        <f>B7+G7+L7+Q7+V7+AA7+AF7+AK7+AP7+AU7+AZ7+BE7+BJ7+BO7+
B13+G13+L13+Q13+V13+AA13+AF13+AK13+AP13+AU13+AZ13+BE13+BJ13+BO13+
B19+G19+L19+Q19+V19+AA19+AF19+AK19+AP19+AU19+AZ19+BE19+BJ19+BO19+
B25+G25+L25+Q25+V25+AA25+AF25+AK25+AP25+AU25+AZ25+BE25+BJ25+BO25+
B31+G31+L31+Q31+V31+AA31+AF31+AK31+AP31+AU31+AZ31+BE31+BJ31+BO31+
B37+G37+L37+Q37+V37+AA37+AF37+AK37+AP37+AU37</f>
        <v>62.874310311010007</v>
      </c>
      <c r="AW110" s="707"/>
      <c r="AX110" s="707"/>
      <c r="AY110" s="707"/>
      <c r="AZ110" s="707"/>
      <c r="BA110" s="707"/>
      <c r="BB110" s="707"/>
      <c r="BC110" s="707"/>
      <c r="BD110" s="707"/>
      <c r="BE110" s="707"/>
      <c r="BF110" s="707"/>
      <c r="BG110" s="707"/>
      <c r="BH110" s="724"/>
      <c r="BI110" s="724"/>
      <c r="BJ110" s="724"/>
      <c r="BK110" s="724"/>
      <c r="BL110" s="724"/>
      <c r="BM110" s="708">
        <f>BM106*1.5</f>
        <v>84</v>
      </c>
      <c r="BN110" s="708"/>
      <c r="BO110" s="708"/>
      <c r="BP110" s="708"/>
      <c r="BQ110" s="708"/>
      <c r="BR110" s="708"/>
      <c r="BS110" s="708"/>
    </row>
    <row r="111" spans="1:72" ht="87" x14ac:dyDescent="0.5">
      <c r="B111" s="70"/>
      <c r="C111" s="72"/>
      <c r="D111" s="72"/>
      <c r="E111" s="72"/>
      <c r="F111" s="72"/>
      <c r="G111" s="70"/>
      <c r="H111" s="1803"/>
      <c r="I111" s="1803"/>
      <c r="J111" s="1803"/>
      <c r="K111" s="1803"/>
      <c r="L111" s="70"/>
      <c r="M111" s="72"/>
      <c r="N111" s="72"/>
      <c r="O111" s="72"/>
      <c r="P111" s="72"/>
      <c r="Q111" s="70"/>
      <c r="R111" s="72"/>
      <c r="S111" s="72"/>
      <c r="T111" s="72"/>
      <c r="U111" s="72"/>
      <c r="V111" s="70"/>
      <c r="W111" s="72"/>
      <c r="X111" s="704"/>
      <c r="Y111" s="704"/>
      <c r="Z111" s="704"/>
      <c r="AA111" s="704"/>
      <c r="AB111" s="704"/>
      <c r="AC111" s="704"/>
      <c r="AD111" s="704"/>
      <c r="AE111" s="704"/>
      <c r="AF111" s="704"/>
      <c r="AG111" s="704"/>
      <c r="AH111" s="704"/>
      <c r="AI111" s="704"/>
      <c r="AJ111" s="704"/>
      <c r="AK111" s="723"/>
      <c r="AL111" s="723"/>
      <c r="AM111" s="723"/>
      <c r="AN111" s="723"/>
      <c r="AO111" s="723"/>
      <c r="AP111" s="723"/>
      <c r="AQ111" s="723"/>
      <c r="AR111" s="723"/>
      <c r="AS111" s="723"/>
      <c r="AT111" s="723"/>
      <c r="AU111" s="723"/>
      <c r="AV111" s="707"/>
      <c r="AW111" s="707"/>
      <c r="AX111" s="707"/>
      <c r="AY111" s="707"/>
      <c r="AZ111" s="707"/>
      <c r="BA111" s="707"/>
      <c r="BB111" s="707"/>
      <c r="BC111" s="707"/>
      <c r="BD111" s="707"/>
      <c r="BE111" s="707"/>
      <c r="BF111" s="707"/>
      <c r="BG111" s="707"/>
      <c r="BH111" s="724"/>
      <c r="BI111" s="724"/>
      <c r="BJ111" s="724"/>
      <c r="BK111" s="724"/>
      <c r="BL111" s="724"/>
      <c r="BM111" s="708"/>
      <c r="BN111" s="708"/>
      <c r="BO111" s="708"/>
      <c r="BP111" s="708"/>
      <c r="BQ111" s="708"/>
      <c r="BR111" s="708"/>
      <c r="BS111" s="708"/>
      <c r="BT111" s="228"/>
    </row>
    <row r="112" spans="1:72" ht="26.25" customHeight="1" x14ac:dyDescent="0.25">
      <c r="B112" s="3173"/>
      <c r="C112" s="3173"/>
      <c r="D112" s="3173"/>
      <c r="E112" s="3173"/>
      <c r="F112" s="3173"/>
      <c r="G112" s="3173"/>
      <c r="H112" s="3173"/>
      <c r="I112" s="3173"/>
      <c r="J112" s="3173"/>
      <c r="K112" s="3173"/>
      <c r="L112" s="3173"/>
      <c r="M112" s="3173"/>
      <c r="N112" s="3173"/>
      <c r="O112" s="3173"/>
      <c r="P112" s="3173"/>
      <c r="Q112" s="70"/>
      <c r="R112" s="32"/>
      <c r="S112" s="33"/>
      <c r="T112" s="34"/>
      <c r="U112" s="35"/>
      <c r="V112" s="70"/>
      <c r="W112" s="32"/>
      <c r="X112" s="704"/>
      <c r="Y112" s="704"/>
      <c r="Z112" s="704"/>
      <c r="AA112" s="704"/>
      <c r="AB112" s="704"/>
      <c r="AC112" s="704"/>
      <c r="AD112" s="704"/>
      <c r="AE112" s="704"/>
      <c r="AF112" s="704"/>
      <c r="AG112" s="704"/>
      <c r="AH112" s="704"/>
      <c r="AI112" s="704"/>
      <c r="AJ112" s="704"/>
      <c r="AK112" s="723"/>
      <c r="AL112" s="723"/>
      <c r="AM112" s="723"/>
      <c r="AN112" s="723"/>
      <c r="AO112" s="723"/>
      <c r="AP112" s="723"/>
      <c r="AQ112" s="723"/>
      <c r="AR112" s="723"/>
      <c r="AS112" s="723"/>
      <c r="AT112" s="723"/>
      <c r="AU112" s="723"/>
      <c r="AV112" s="707"/>
      <c r="AW112" s="707"/>
      <c r="AX112" s="707"/>
      <c r="AY112" s="707"/>
      <c r="AZ112" s="707"/>
      <c r="BA112" s="707"/>
      <c r="BB112" s="707"/>
      <c r="BC112" s="707"/>
      <c r="BD112" s="707"/>
      <c r="BE112" s="707"/>
      <c r="BF112" s="707"/>
      <c r="BG112" s="707"/>
      <c r="BH112" s="724"/>
      <c r="BI112" s="724"/>
      <c r="BJ112" s="724"/>
      <c r="BK112" s="724"/>
      <c r="BL112" s="724"/>
      <c r="BM112" s="708"/>
      <c r="BN112" s="708"/>
      <c r="BO112" s="708"/>
      <c r="BP112" s="708"/>
      <c r="BQ112" s="708"/>
      <c r="BR112" s="708"/>
      <c r="BS112" s="708"/>
    </row>
    <row r="113" spans="2:71" ht="24" customHeight="1" x14ac:dyDescent="0.25">
      <c r="B113" s="3173"/>
      <c r="C113" s="3173"/>
      <c r="D113" s="3173"/>
      <c r="E113" s="3173"/>
      <c r="F113" s="3173"/>
      <c r="G113" s="3173"/>
      <c r="H113" s="3173"/>
      <c r="I113" s="3173"/>
      <c r="J113" s="3173"/>
      <c r="K113" s="3173"/>
      <c r="L113" s="3173"/>
      <c r="M113" s="3173"/>
      <c r="N113" s="3173"/>
      <c r="O113" s="3173"/>
      <c r="P113" s="3173"/>
      <c r="Q113" s="44"/>
      <c r="R113" s="44"/>
      <c r="S113" s="44"/>
      <c r="T113" s="69"/>
      <c r="U113" s="69"/>
      <c r="V113" s="44"/>
      <c r="W113" s="44"/>
      <c r="X113" s="704"/>
      <c r="Y113" s="704"/>
      <c r="Z113" s="704"/>
      <c r="AA113" s="704"/>
      <c r="AB113" s="704"/>
      <c r="AC113" s="704"/>
      <c r="AD113" s="704"/>
      <c r="AE113" s="704"/>
      <c r="AF113" s="704"/>
      <c r="AG113" s="704"/>
      <c r="AH113" s="704"/>
      <c r="AI113" s="704"/>
      <c r="AJ113" s="704"/>
      <c r="AK113" s="723"/>
      <c r="AL113" s="723"/>
      <c r="AM113" s="723"/>
      <c r="AN113" s="723"/>
      <c r="AO113" s="723"/>
      <c r="AP113" s="723"/>
      <c r="AQ113" s="723"/>
      <c r="AR113" s="723"/>
      <c r="AS113" s="723"/>
      <c r="AT113" s="723"/>
      <c r="AU113" s="723"/>
      <c r="AV113" s="707"/>
      <c r="AW113" s="707"/>
      <c r="AX113" s="707"/>
      <c r="AY113" s="707"/>
      <c r="AZ113" s="707"/>
      <c r="BA113" s="707"/>
      <c r="BB113" s="707"/>
      <c r="BC113" s="707"/>
      <c r="BD113" s="707"/>
      <c r="BE113" s="707"/>
      <c r="BF113" s="707"/>
      <c r="BG113" s="707"/>
      <c r="BH113" s="724"/>
      <c r="BI113" s="724"/>
      <c r="BJ113" s="724"/>
      <c r="BK113" s="724"/>
      <c r="BL113" s="724"/>
      <c r="BM113" s="708"/>
      <c r="BN113" s="708"/>
      <c r="BO113" s="708"/>
      <c r="BP113" s="708"/>
      <c r="BQ113" s="708"/>
      <c r="BR113" s="708"/>
      <c r="BS113" s="708"/>
    </row>
    <row r="114" spans="2:71" ht="24" customHeight="1" x14ac:dyDescent="0.25">
      <c r="B114" s="3173"/>
      <c r="C114" s="3173"/>
      <c r="D114" s="3173"/>
      <c r="E114" s="3173"/>
      <c r="F114" s="3173"/>
      <c r="G114" s="3173"/>
      <c r="H114" s="3173"/>
      <c r="I114" s="3173"/>
      <c r="J114" s="3173"/>
      <c r="K114" s="3173"/>
      <c r="L114" s="3173"/>
      <c r="M114" s="3173"/>
      <c r="N114" s="3173"/>
      <c r="O114" s="3173"/>
      <c r="P114" s="3173"/>
      <c r="Q114" s="47"/>
      <c r="R114" s="47"/>
      <c r="S114" s="47"/>
      <c r="T114" s="69"/>
      <c r="U114" s="69"/>
      <c r="V114" s="47"/>
      <c r="W114" s="47"/>
      <c r="X114" s="704"/>
      <c r="Y114" s="704"/>
      <c r="Z114" s="704"/>
      <c r="AA114" s="704"/>
      <c r="AB114" s="704"/>
      <c r="AC114" s="704"/>
      <c r="AD114" s="704"/>
      <c r="AE114" s="704"/>
      <c r="AF114" s="704"/>
      <c r="AG114" s="704"/>
      <c r="AH114" s="704"/>
      <c r="AI114" s="704"/>
      <c r="AJ114" s="704"/>
      <c r="AK114" s="723"/>
      <c r="AL114" s="723"/>
      <c r="AM114" s="723"/>
      <c r="AN114" s="723"/>
      <c r="AO114" s="723"/>
      <c r="AP114" s="723"/>
      <c r="AQ114" s="723"/>
      <c r="AR114" s="723"/>
      <c r="AS114" s="723"/>
      <c r="AT114" s="723"/>
      <c r="AU114" s="723"/>
      <c r="AV114" s="707"/>
      <c r="AW114" s="707"/>
      <c r="AX114" s="707"/>
      <c r="AY114" s="707"/>
      <c r="AZ114" s="707"/>
      <c r="BA114" s="707"/>
      <c r="BB114" s="707"/>
      <c r="BC114" s="707"/>
      <c r="BD114" s="707"/>
      <c r="BE114" s="707"/>
      <c r="BF114" s="707"/>
      <c r="BG114" s="707"/>
      <c r="BH114" s="724"/>
      <c r="BI114" s="724"/>
      <c r="BJ114" s="724"/>
      <c r="BK114" s="724"/>
      <c r="BL114" s="724"/>
      <c r="BM114" s="699" t="s">
        <v>121</v>
      </c>
      <c r="BN114" s="699"/>
      <c r="BO114" s="699"/>
      <c r="BP114" s="699"/>
      <c r="BQ114" s="699"/>
      <c r="BR114" s="699"/>
      <c r="BS114" s="699"/>
    </row>
    <row r="115" spans="2:71" ht="27.75" customHeight="1" x14ac:dyDescent="0.25">
      <c r="B115" s="3173"/>
      <c r="C115" s="3173"/>
      <c r="D115" s="3173"/>
      <c r="E115" s="3173"/>
      <c r="F115" s="3173"/>
      <c r="G115" s="3173"/>
      <c r="H115" s="3173"/>
      <c r="I115" s="3173"/>
      <c r="J115" s="3173"/>
      <c r="K115" s="3173"/>
      <c r="L115" s="3173"/>
      <c r="M115" s="3173"/>
      <c r="N115" s="3173"/>
      <c r="O115" s="3173"/>
      <c r="P115" s="3173"/>
      <c r="Q115" s="47"/>
      <c r="R115" s="47"/>
      <c r="S115" s="47"/>
      <c r="T115" s="101"/>
      <c r="U115" s="69"/>
      <c r="V115" s="47"/>
      <c r="W115" s="47"/>
      <c r="X115" s="704"/>
      <c r="Y115" s="704"/>
      <c r="Z115" s="704"/>
      <c r="AA115" s="704"/>
      <c r="AB115" s="704"/>
      <c r="AC115" s="704"/>
      <c r="AD115" s="704"/>
      <c r="AE115" s="704"/>
      <c r="AF115" s="704"/>
      <c r="AG115" s="704"/>
      <c r="AH115" s="704"/>
      <c r="AI115" s="704"/>
      <c r="AJ115" s="704"/>
      <c r="AK115" s="723"/>
      <c r="AL115" s="723"/>
      <c r="AM115" s="723"/>
      <c r="AN115" s="723"/>
      <c r="AO115" s="723"/>
      <c r="AP115" s="723"/>
      <c r="AQ115" s="723"/>
      <c r="AR115" s="723"/>
      <c r="AS115" s="723"/>
      <c r="AT115" s="723"/>
      <c r="AU115" s="723"/>
      <c r="AV115" s="707"/>
      <c r="AW115" s="707"/>
      <c r="AX115" s="707"/>
      <c r="AY115" s="707"/>
      <c r="AZ115" s="707"/>
      <c r="BA115" s="707"/>
      <c r="BB115" s="707"/>
      <c r="BC115" s="707"/>
      <c r="BD115" s="707"/>
      <c r="BE115" s="707"/>
      <c r="BF115" s="707"/>
      <c r="BG115" s="707"/>
      <c r="BH115" s="724"/>
      <c r="BI115" s="724"/>
      <c r="BJ115" s="724"/>
      <c r="BK115" s="724"/>
      <c r="BL115" s="724"/>
      <c r="BM115" s="699"/>
      <c r="BN115" s="699"/>
      <c r="BO115" s="699"/>
      <c r="BP115" s="699"/>
      <c r="BQ115" s="699"/>
      <c r="BR115" s="699"/>
      <c r="BS115" s="699"/>
    </row>
    <row r="116" spans="2:71" ht="15" customHeight="1" x14ac:dyDescent="0.25">
      <c r="M116" s="1798"/>
      <c r="N116" s="1798"/>
      <c r="O116" s="1798"/>
      <c r="P116" s="1798"/>
    </row>
    <row r="117" spans="2:71" ht="15" customHeight="1" x14ac:dyDescent="0.25">
      <c r="M117" s="1798"/>
      <c r="N117" s="1798"/>
      <c r="O117" s="1798"/>
      <c r="P117" s="1798"/>
    </row>
    <row r="118" spans="2:71" ht="15" customHeight="1" x14ac:dyDescent="0.25">
      <c r="M118" s="1798"/>
      <c r="N118" s="1798"/>
      <c r="O118" s="1798"/>
      <c r="P118" s="1798"/>
    </row>
    <row r="119" spans="2:71" ht="15" customHeight="1" x14ac:dyDescent="0.25">
      <c r="M119" s="1798"/>
      <c r="N119" s="1798"/>
      <c r="O119" s="1798"/>
      <c r="P119" s="1798"/>
      <c r="BE119" t="s">
        <v>464</v>
      </c>
    </row>
    <row r="120" spans="2:71" ht="15" customHeight="1" x14ac:dyDescent="0.25">
      <c r="M120" s="1798"/>
      <c r="N120" s="1798"/>
      <c r="O120" s="1798"/>
      <c r="P120" s="1798"/>
    </row>
    <row r="125" spans="2:71" x14ac:dyDescent="0.25">
      <c r="AA125" s="27"/>
      <c r="AB125" s="27"/>
      <c r="AC125" s="27"/>
      <c r="AD125" s="27"/>
      <c r="AE125" s="27"/>
      <c r="AF125" s="27"/>
      <c r="AG125" s="27"/>
      <c r="AH125" s="27"/>
    </row>
    <row r="126" spans="2:71" ht="15.75" thickBot="1" x14ac:dyDescent="0.3"/>
    <row r="127" spans="2:71" ht="15.75" thickTop="1" x14ac:dyDescent="0.25">
      <c r="AB127" s="775">
        <v>62.87</v>
      </c>
      <c r="AC127" s="776"/>
      <c r="AD127" s="776"/>
      <c r="AE127" s="776"/>
      <c r="AF127" s="777"/>
      <c r="AJ127" s="727" t="s">
        <v>122</v>
      </c>
      <c r="AK127" s="727"/>
      <c r="AL127" s="727"/>
      <c r="AM127" s="727" t="s">
        <v>123</v>
      </c>
      <c r="AN127" s="727"/>
      <c r="AO127" s="727"/>
      <c r="AP127" s="727" t="s">
        <v>124</v>
      </c>
      <c r="AQ127" s="727"/>
      <c r="AR127" s="727" t="s">
        <v>125</v>
      </c>
      <c r="AS127" s="727"/>
      <c r="AW127" s="739" t="s">
        <v>126</v>
      </c>
      <c r="AX127" s="740"/>
      <c r="AY127" s="740"/>
      <c r="AZ127" s="740"/>
      <c r="BA127" s="740"/>
      <c r="BB127" s="740"/>
      <c r="BC127" s="740"/>
      <c r="BD127" s="740"/>
      <c r="BE127" s="740"/>
      <c r="BF127" s="741"/>
      <c r="BG127" s="13"/>
      <c r="BH127" s="13"/>
      <c r="BI127" s="13"/>
    </row>
    <row r="128" spans="2:71" x14ac:dyDescent="0.25">
      <c r="AB128" s="778"/>
      <c r="AC128" s="779"/>
      <c r="AD128" s="779"/>
      <c r="AE128" s="779"/>
      <c r="AF128" s="780"/>
      <c r="AJ128" s="727"/>
      <c r="AK128" s="727"/>
      <c r="AL128" s="727"/>
      <c r="AM128" s="727"/>
      <c r="AN128" s="727"/>
      <c r="AO128" s="727"/>
      <c r="AP128" s="727"/>
      <c r="AQ128" s="727"/>
      <c r="AR128" s="727"/>
      <c r="AS128" s="727"/>
      <c r="AW128" s="750"/>
      <c r="AX128" s="751"/>
      <c r="AY128" s="751"/>
      <c r="AZ128" s="751"/>
      <c r="BA128" s="751"/>
      <c r="BB128" s="751"/>
      <c r="BC128" s="751"/>
      <c r="BD128" s="751"/>
      <c r="BE128" s="751"/>
      <c r="BF128" s="752"/>
      <c r="BG128" s="13"/>
      <c r="BH128" s="13"/>
      <c r="BI128" s="13"/>
    </row>
    <row r="129" spans="28:96" x14ac:dyDescent="0.25">
      <c r="AB129" s="778"/>
      <c r="AC129" s="779"/>
      <c r="AD129" s="779"/>
      <c r="AE129" s="779"/>
      <c r="AF129" s="780"/>
      <c r="AJ129" s="727"/>
      <c r="AK129" s="727"/>
      <c r="AL129" s="727"/>
      <c r="AM129" s="727"/>
      <c r="AN129" s="727"/>
      <c r="AO129" s="727"/>
      <c r="AP129" s="727"/>
      <c r="AQ129" s="727"/>
      <c r="AR129" s="727"/>
      <c r="AS129" s="727"/>
      <c r="AW129" s="742"/>
      <c r="AX129" s="743"/>
      <c r="AY129" s="743"/>
      <c r="AZ129" s="743"/>
      <c r="BA129" s="743"/>
      <c r="BB129" s="743"/>
      <c r="BC129" s="743"/>
      <c r="BD129" s="743"/>
      <c r="BE129" s="743"/>
      <c r="BF129" s="744"/>
      <c r="BG129" s="13"/>
      <c r="BH129" s="13"/>
      <c r="BI129" s="13"/>
    </row>
    <row r="130" spans="28:96" x14ac:dyDescent="0.25">
      <c r="AB130" s="778"/>
      <c r="AC130" s="779"/>
      <c r="AD130" s="779"/>
      <c r="AE130" s="779"/>
      <c r="AF130" s="780"/>
      <c r="AJ130" s="774">
        <v>11371.5</v>
      </c>
      <c r="AK130" s="774"/>
      <c r="AL130" s="774"/>
      <c r="AM130" s="774">
        <f>AR146</f>
        <v>11371.5</v>
      </c>
      <c r="AN130" s="774"/>
      <c r="AO130" s="774"/>
      <c r="AP130" s="726">
        <f>AV110</f>
        <v>62.874310311010007</v>
      </c>
      <c r="AQ130" s="726"/>
      <c r="AR130" s="726">
        <f>AV110+BM110</f>
        <v>146.87431031100999</v>
      </c>
      <c r="AS130" s="726"/>
      <c r="AW130" s="727" t="s">
        <v>128</v>
      </c>
      <c r="AX130" s="727"/>
      <c r="AY130" s="727"/>
      <c r="AZ130" s="727"/>
      <c r="BA130" s="727"/>
      <c r="BB130" s="727"/>
      <c r="BC130" s="727"/>
      <c r="BD130" s="727"/>
      <c r="BE130" s="727"/>
      <c r="BF130" s="727"/>
      <c r="BG130" s="13"/>
      <c r="BH130" s="13"/>
      <c r="BI130" s="13"/>
    </row>
    <row r="131" spans="28:96" x14ac:dyDescent="0.25">
      <c r="AB131" s="778"/>
      <c r="AC131" s="779"/>
      <c r="AD131" s="779"/>
      <c r="AE131" s="779"/>
      <c r="AF131" s="780"/>
      <c r="AJ131" s="774"/>
      <c r="AK131" s="774"/>
      <c r="AL131" s="774"/>
      <c r="AM131" s="774"/>
      <c r="AN131" s="774"/>
      <c r="AO131" s="774"/>
      <c r="AP131" s="726"/>
      <c r="AQ131" s="726"/>
      <c r="AR131" s="726"/>
      <c r="AS131" s="726"/>
      <c r="AW131" s="727"/>
      <c r="AX131" s="727"/>
      <c r="AY131" s="727"/>
      <c r="AZ131" s="727"/>
      <c r="BA131" s="727"/>
      <c r="BB131" s="727"/>
      <c r="BC131" s="727"/>
      <c r="BD131" s="727"/>
      <c r="BE131" s="727"/>
      <c r="BF131" s="727"/>
      <c r="BG131" s="13"/>
      <c r="BH131" s="13"/>
      <c r="BI131" s="13"/>
    </row>
    <row r="132" spans="28:96" ht="26.25" x14ac:dyDescent="0.25">
      <c r="AB132" s="778"/>
      <c r="AC132" s="779"/>
      <c r="AD132" s="779"/>
      <c r="AE132" s="779"/>
      <c r="AF132" s="780"/>
      <c r="AJ132" s="774"/>
      <c r="AK132" s="774"/>
      <c r="AL132" s="774"/>
      <c r="AM132" s="774"/>
      <c r="AN132" s="774"/>
      <c r="AO132" s="774"/>
      <c r="AP132" s="726"/>
      <c r="AQ132" s="726"/>
      <c r="AR132" s="726"/>
      <c r="AS132" s="726"/>
      <c r="AW132" s="728">
        <f>AP130/((36*3.1415/59)*(AM130/3.281))</f>
        <v>9.4639874494235748E-3</v>
      </c>
      <c r="AX132" s="729"/>
      <c r="AY132" s="729"/>
      <c r="AZ132" s="729"/>
      <c r="BA132" s="729"/>
      <c r="BB132" s="729"/>
      <c r="BC132" s="729"/>
      <c r="BD132" s="729"/>
      <c r="BE132" s="729"/>
      <c r="BF132" s="730"/>
      <c r="BG132" s="57"/>
      <c r="BH132" s="57"/>
      <c r="BI132" s="57"/>
    </row>
    <row r="133" spans="28:96" ht="27" thickBot="1" x14ac:dyDescent="0.3">
      <c r="AB133" s="781"/>
      <c r="AC133" s="782"/>
      <c r="AD133" s="782"/>
      <c r="AE133" s="782"/>
      <c r="AF133" s="783"/>
      <c r="AJ133" s="774"/>
      <c r="AK133" s="774"/>
      <c r="AL133" s="774"/>
      <c r="AM133" s="774"/>
      <c r="AN133" s="774"/>
      <c r="AO133" s="774"/>
      <c r="AP133" s="726"/>
      <c r="AQ133" s="726"/>
      <c r="AR133" s="726"/>
      <c r="AS133" s="726"/>
      <c r="AW133" s="731"/>
      <c r="AX133" s="732"/>
      <c r="AY133" s="732"/>
      <c r="AZ133" s="732"/>
      <c r="BA133" s="732"/>
      <c r="BB133" s="732"/>
      <c r="BC133" s="732"/>
      <c r="BD133" s="732"/>
      <c r="BE133" s="732"/>
      <c r="BF133" s="733"/>
      <c r="BG133" s="57"/>
      <c r="BH133" s="57"/>
      <c r="BI133" s="57"/>
      <c r="BV133" s="1800"/>
      <c r="BW133" s="1800"/>
      <c r="BX133" s="1800"/>
      <c r="BY133" s="1800"/>
    </row>
    <row r="134" spans="28:96" ht="27" thickTop="1" x14ac:dyDescent="0.25">
      <c r="AW134" s="734"/>
      <c r="AX134" s="735"/>
      <c r="AY134" s="735"/>
      <c r="AZ134" s="735"/>
      <c r="BA134" s="735"/>
      <c r="BB134" s="735"/>
      <c r="BC134" s="735"/>
      <c r="BD134" s="735"/>
      <c r="BE134" s="735"/>
      <c r="BF134" s="736"/>
      <c r="BG134" s="57"/>
      <c r="BH134" s="57"/>
      <c r="BI134" s="57"/>
      <c r="BV134" s="1800"/>
      <c r="BW134" s="1800"/>
      <c r="BX134" s="1800"/>
      <c r="BY134" s="1800"/>
    </row>
    <row r="135" spans="28:96" x14ac:dyDescent="0.25">
      <c r="AW135" s="739" t="s">
        <v>129</v>
      </c>
      <c r="AX135" s="740"/>
      <c r="AY135" s="740"/>
      <c r="AZ135" s="740"/>
      <c r="BA135" s="740"/>
      <c r="BB135" s="740"/>
      <c r="BC135" s="740"/>
      <c r="BD135" s="740"/>
      <c r="BE135" s="740"/>
      <c r="BF135" s="741"/>
      <c r="BG135" s="13"/>
      <c r="BH135" s="13"/>
      <c r="BI135" s="13"/>
    </row>
    <row r="136" spans="28:96" ht="15" customHeight="1" x14ac:dyDescent="0.25">
      <c r="AW136" s="742"/>
      <c r="AX136" s="743"/>
      <c r="AY136" s="743"/>
      <c r="AZ136" s="743"/>
      <c r="BA136" s="743"/>
      <c r="BB136" s="743"/>
      <c r="BC136" s="743"/>
      <c r="BD136" s="743"/>
      <c r="BE136" s="743"/>
      <c r="BF136" s="744"/>
      <c r="BG136" s="13"/>
      <c r="BH136" s="13"/>
      <c r="BI136" s="13"/>
    </row>
    <row r="137" spans="28:96" ht="15" customHeight="1" x14ac:dyDescent="0.25">
      <c r="AL137" s="1255">
        <v>177.5</v>
      </c>
      <c r="AM137" s="1255"/>
      <c r="AN137" s="1255"/>
      <c r="AO137" s="746">
        <v>37</v>
      </c>
      <c r="AP137" s="746"/>
      <c r="AQ137" s="746"/>
      <c r="AR137" s="747">
        <f>AO137*AL137</f>
        <v>6567.5</v>
      </c>
      <c r="AS137" s="748"/>
      <c r="AT137" s="748"/>
      <c r="AU137" s="749"/>
      <c r="AW137" s="739" t="s">
        <v>130</v>
      </c>
      <c r="AX137" s="740"/>
      <c r="AY137" s="740"/>
      <c r="AZ137" s="740"/>
      <c r="BA137" s="740"/>
      <c r="BB137" s="740"/>
      <c r="BC137" s="740"/>
      <c r="BD137" s="740"/>
      <c r="BE137" s="740"/>
      <c r="BF137" s="741"/>
      <c r="BG137" s="13"/>
      <c r="BH137" s="13"/>
      <c r="BI137" s="13"/>
    </row>
    <row r="138" spans="28:96" x14ac:dyDescent="0.25">
      <c r="AL138" s="1255"/>
      <c r="AM138" s="1255"/>
      <c r="AN138" s="1255"/>
      <c r="AO138" s="746"/>
      <c r="AP138" s="746"/>
      <c r="AQ138" s="746"/>
      <c r="AR138" s="747"/>
      <c r="AS138" s="748"/>
      <c r="AT138" s="748"/>
      <c r="AU138" s="749"/>
      <c r="AW138" s="750"/>
      <c r="AX138" s="751"/>
      <c r="AY138" s="751"/>
      <c r="AZ138" s="751"/>
      <c r="BA138" s="751"/>
      <c r="BB138" s="751"/>
      <c r="BC138" s="751"/>
      <c r="BD138" s="751"/>
      <c r="BE138" s="751"/>
      <c r="BF138" s="752"/>
      <c r="BG138" s="13"/>
      <c r="BH138" s="13"/>
      <c r="BI138" s="13"/>
      <c r="BV138" s="727" t="s">
        <v>122</v>
      </c>
      <c r="BW138" s="727"/>
      <c r="BX138" s="727"/>
      <c r="BY138" s="727" t="s">
        <v>123</v>
      </c>
      <c r="BZ138" s="727"/>
      <c r="CA138" s="727"/>
      <c r="CB138" s="727" t="s">
        <v>124</v>
      </c>
      <c r="CC138" s="727"/>
      <c r="CD138" s="727" t="s">
        <v>125</v>
      </c>
      <c r="CE138" s="727"/>
      <c r="CI138" s="739" t="s">
        <v>126</v>
      </c>
      <c r="CJ138" s="740"/>
      <c r="CK138" s="740"/>
      <c r="CL138" s="740"/>
      <c r="CM138" s="740"/>
      <c r="CN138" s="740"/>
      <c r="CO138" s="740"/>
      <c r="CP138" s="740"/>
      <c r="CQ138" s="740"/>
      <c r="CR138" s="741"/>
    </row>
    <row r="139" spans="28:96" x14ac:dyDescent="0.25">
      <c r="AL139" s="1255"/>
      <c r="AM139" s="1255"/>
      <c r="AN139" s="1255"/>
      <c r="AO139" s="746"/>
      <c r="AP139" s="746"/>
      <c r="AQ139" s="746"/>
      <c r="AR139" s="747"/>
      <c r="AS139" s="748"/>
      <c r="AT139" s="748"/>
      <c r="AU139" s="749"/>
      <c r="AW139" s="750"/>
      <c r="AX139" s="751"/>
      <c r="AY139" s="751"/>
      <c r="AZ139" s="751"/>
      <c r="BA139" s="751"/>
      <c r="BB139" s="751"/>
      <c r="BC139" s="751"/>
      <c r="BD139" s="751"/>
      <c r="BE139" s="751"/>
      <c r="BF139" s="752"/>
      <c r="BG139" s="13"/>
      <c r="BH139" s="13"/>
      <c r="BI139" s="13"/>
      <c r="BV139" s="727"/>
      <c r="BW139" s="727"/>
      <c r="BX139" s="727"/>
      <c r="BY139" s="727"/>
      <c r="BZ139" s="727"/>
      <c r="CA139" s="727"/>
      <c r="CB139" s="727"/>
      <c r="CC139" s="727"/>
      <c r="CD139" s="727"/>
      <c r="CE139" s="727"/>
      <c r="CI139" s="750"/>
      <c r="CJ139" s="751"/>
      <c r="CK139" s="751"/>
      <c r="CL139" s="751"/>
      <c r="CM139" s="751"/>
      <c r="CN139" s="751"/>
      <c r="CO139" s="751"/>
      <c r="CP139" s="751"/>
      <c r="CQ139" s="751"/>
      <c r="CR139" s="752"/>
    </row>
    <row r="140" spans="28:96" x14ac:dyDescent="0.25">
      <c r="AL140" s="1255">
        <v>149</v>
      </c>
      <c r="AM140" s="1255"/>
      <c r="AN140" s="1255"/>
      <c r="AO140" s="746">
        <v>20</v>
      </c>
      <c r="AP140" s="746"/>
      <c r="AQ140" s="746"/>
      <c r="AR140" s="747">
        <f>AO140*AL140</f>
        <v>2980</v>
      </c>
      <c r="AS140" s="748"/>
      <c r="AT140" s="748"/>
      <c r="AU140" s="749"/>
      <c r="AW140" s="742"/>
      <c r="AX140" s="743"/>
      <c r="AY140" s="743"/>
      <c r="AZ140" s="743"/>
      <c r="BA140" s="743"/>
      <c r="BB140" s="743"/>
      <c r="BC140" s="743"/>
      <c r="BD140" s="743"/>
      <c r="BE140" s="743"/>
      <c r="BF140" s="744"/>
      <c r="BG140" s="13"/>
      <c r="BH140" s="13"/>
      <c r="BI140" s="13"/>
      <c r="BV140" s="727"/>
      <c r="BW140" s="727"/>
      <c r="BX140" s="727"/>
      <c r="BY140" s="727"/>
      <c r="BZ140" s="727"/>
      <c r="CA140" s="727"/>
      <c r="CB140" s="727"/>
      <c r="CC140" s="727"/>
      <c r="CD140" s="727"/>
      <c r="CE140" s="727"/>
      <c r="CI140" s="742"/>
      <c r="CJ140" s="743"/>
      <c r="CK140" s="743"/>
      <c r="CL140" s="743"/>
      <c r="CM140" s="743"/>
      <c r="CN140" s="743"/>
      <c r="CO140" s="743"/>
      <c r="CP140" s="743"/>
      <c r="CQ140" s="743"/>
      <c r="CR140" s="744"/>
    </row>
    <row r="141" spans="28:96" ht="26.25" x14ac:dyDescent="0.25">
      <c r="AL141" s="1255"/>
      <c r="AM141" s="1255"/>
      <c r="AN141" s="1255"/>
      <c r="AO141" s="746"/>
      <c r="AP141" s="746"/>
      <c r="AQ141" s="746"/>
      <c r="AR141" s="747"/>
      <c r="AS141" s="748"/>
      <c r="AT141" s="748"/>
      <c r="AU141" s="749"/>
      <c r="AW141" s="728">
        <f>AR130/((36*3.1415/59)*(AM130/3.281))</f>
        <v>2.2107862854485013E-2</v>
      </c>
      <c r="AX141" s="729"/>
      <c r="AY141" s="729"/>
      <c r="AZ141" s="729"/>
      <c r="BA141" s="729"/>
      <c r="BB141" s="729"/>
      <c r="BC141" s="729"/>
      <c r="BD141" s="729"/>
      <c r="BE141" s="729"/>
      <c r="BF141" s="730"/>
      <c r="BG141" s="57"/>
      <c r="BH141" s="57"/>
      <c r="BI141" s="57"/>
      <c r="BV141" s="774">
        <f>AJ130+AJ157</f>
        <v>11371.5</v>
      </c>
      <c r="BW141" s="774"/>
      <c r="BX141" s="774"/>
      <c r="BY141" s="774">
        <f>AM130+AM157</f>
        <v>11371.5</v>
      </c>
      <c r="BZ141" s="774"/>
      <c r="CA141" s="774"/>
      <c r="CB141" s="726">
        <f>AP130+AP157</f>
        <v>62.874310311010007</v>
      </c>
      <c r="CC141" s="726"/>
      <c r="CD141" s="726">
        <f>AR130+AR157</f>
        <v>146.87431031100999</v>
      </c>
      <c r="CE141" s="726"/>
      <c r="CI141" s="727" t="s">
        <v>128</v>
      </c>
      <c r="CJ141" s="727"/>
      <c r="CK141" s="727"/>
      <c r="CL141" s="727"/>
      <c r="CM141" s="727"/>
      <c r="CN141" s="727"/>
      <c r="CO141" s="727"/>
      <c r="CP141" s="727"/>
      <c r="CQ141" s="727"/>
      <c r="CR141" s="727"/>
    </row>
    <row r="142" spans="28:96" ht="26.25" x14ac:dyDescent="0.25">
      <c r="AL142" s="1255"/>
      <c r="AM142" s="1255"/>
      <c r="AN142" s="1255"/>
      <c r="AO142" s="746"/>
      <c r="AP142" s="746"/>
      <c r="AQ142" s="746"/>
      <c r="AR142" s="747"/>
      <c r="AS142" s="748"/>
      <c r="AT142" s="748"/>
      <c r="AU142" s="749"/>
      <c r="AW142" s="731"/>
      <c r="AX142" s="732"/>
      <c r="AY142" s="732"/>
      <c r="AZ142" s="732"/>
      <c r="BA142" s="732"/>
      <c r="BB142" s="732"/>
      <c r="BC142" s="732"/>
      <c r="BD142" s="732"/>
      <c r="BE142" s="732"/>
      <c r="BF142" s="733"/>
      <c r="BG142" s="57"/>
      <c r="BH142" s="57"/>
      <c r="BI142" s="57"/>
      <c r="BV142" s="774"/>
      <c r="BW142" s="774"/>
      <c r="BX142" s="774"/>
      <c r="BY142" s="774"/>
      <c r="BZ142" s="774"/>
      <c r="CA142" s="774"/>
      <c r="CB142" s="726"/>
      <c r="CC142" s="726"/>
      <c r="CD142" s="726"/>
      <c r="CE142" s="726"/>
      <c r="CI142" s="727"/>
      <c r="CJ142" s="727"/>
      <c r="CK142" s="727"/>
      <c r="CL142" s="727"/>
      <c r="CM142" s="727"/>
      <c r="CN142" s="727"/>
      <c r="CO142" s="727"/>
      <c r="CP142" s="727"/>
      <c r="CQ142" s="727"/>
      <c r="CR142" s="727"/>
    </row>
    <row r="143" spans="28:96" ht="26.25" x14ac:dyDescent="0.25">
      <c r="AL143" s="1779">
        <v>114</v>
      </c>
      <c r="AM143" s="1780"/>
      <c r="AN143" s="1781"/>
      <c r="AO143" s="1457">
        <v>16</v>
      </c>
      <c r="AP143" s="1458"/>
      <c r="AQ143" s="1459"/>
      <c r="AR143" s="1457">
        <f>AO143*AL143</f>
        <v>1824</v>
      </c>
      <c r="AS143" s="1458"/>
      <c r="AT143" s="1458"/>
      <c r="AU143" s="1459"/>
      <c r="AW143" s="731"/>
      <c r="AX143" s="732"/>
      <c r="AY143" s="732"/>
      <c r="AZ143" s="732"/>
      <c r="BA143" s="732"/>
      <c r="BB143" s="732"/>
      <c r="BC143" s="732"/>
      <c r="BD143" s="732"/>
      <c r="BE143" s="732"/>
      <c r="BF143" s="733"/>
      <c r="BG143" s="57"/>
      <c r="BH143" s="57"/>
      <c r="BI143" s="57"/>
      <c r="BV143" s="774"/>
      <c r="BW143" s="774"/>
      <c r="BX143" s="774"/>
      <c r="BY143" s="774"/>
      <c r="BZ143" s="774"/>
      <c r="CA143" s="774"/>
      <c r="CB143" s="726"/>
      <c r="CC143" s="726"/>
      <c r="CD143" s="726"/>
      <c r="CE143" s="726"/>
      <c r="CI143" s="728">
        <f>CB141/((36*3.1415/59)*(BY141/3.281))</f>
        <v>9.4639874494235748E-3</v>
      </c>
      <c r="CJ143" s="729"/>
      <c r="CK143" s="729"/>
      <c r="CL143" s="729"/>
      <c r="CM143" s="729"/>
      <c r="CN143" s="729"/>
      <c r="CO143" s="729"/>
      <c r="CP143" s="729"/>
      <c r="CQ143" s="729"/>
      <c r="CR143" s="730"/>
    </row>
    <row r="144" spans="28:96" ht="26.25" x14ac:dyDescent="0.25">
      <c r="AL144" s="1782"/>
      <c r="AM144" s="1783"/>
      <c r="AN144" s="1784"/>
      <c r="AO144" s="1785"/>
      <c r="AP144" s="1786"/>
      <c r="AQ144" s="1787"/>
      <c r="AR144" s="1785"/>
      <c r="AS144" s="1786"/>
      <c r="AT144" s="1786"/>
      <c r="AU144" s="1787"/>
      <c r="AW144" s="731"/>
      <c r="AX144" s="732"/>
      <c r="AY144" s="732"/>
      <c r="AZ144" s="732"/>
      <c r="BA144" s="732"/>
      <c r="BB144" s="732"/>
      <c r="BC144" s="732"/>
      <c r="BD144" s="732"/>
      <c r="BE144" s="732"/>
      <c r="BF144" s="733"/>
      <c r="BG144" s="57"/>
      <c r="BH144" s="57"/>
      <c r="BI144" s="57"/>
      <c r="BV144" s="774"/>
      <c r="BW144" s="774"/>
      <c r="BX144" s="774"/>
      <c r="BY144" s="774"/>
      <c r="BZ144" s="774"/>
      <c r="CA144" s="774"/>
      <c r="CB144" s="726"/>
      <c r="CC144" s="726"/>
      <c r="CD144" s="726"/>
      <c r="CE144" s="726"/>
      <c r="CI144" s="731"/>
      <c r="CJ144" s="732"/>
      <c r="CK144" s="732"/>
      <c r="CL144" s="732"/>
      <c r="CM144" s="732"/>
      <c r="CN144" s="732"/>
      <c r="CO144" s="732"/>
      <c r="CP144" s="732"/>
      <c r="CQ144" s="732"/>
      <c r="CR144" s="733"/>
    </row>
    <row r="145" spans="35:96" ht="26.25" x14ac:dyDescent="0.25">
      <c r="AL145" s="2034">
        <v>0</v>
      </c>
      <c r="AM145" s="2035"/>
      <c r="AN145" s="2036"/>
      <c r="AO145" s="747">
        <v>0</v>
      </c>
      <c r="AP145" s="748"/>
      <c r="AQ145" s="749"/>
      <c r="AR145" s="747">
        <f>AO145*AL145</f>
        <v>0</v>
      </c>
      <c r="AS145" s="748"/>
      <c r="AT145" s="748"/>
      <c r="AU145" s="749"/>
      <c r="AW145" s="734"/>
      <c r="AX145" s="735"/>
      <c r="AY145" s="735"/>
      <c r="AZ145" s="735"/>
      <c r="BA145" s="735"/>
      <c r="BB145" s="735"/>
      <c r="BC145" s="735"/>
      <c r="BD145" s="735"/>
      <c r="BE145" s="735"/>
      <c r="BF145" s="736"/>
      <c r="BG145" s="57"/>
      <c r="BH145" s="57"/>
      <c r="BI145" s="57"/>
      <c r="CI145" s="734"/>
      <c r="CJ145" s="735"/>
      <c r="CK145" s="735"/>
      <c r="CL145" s="735"/>
      <c r="CM145" s="735"/>
      <c r="CN145" s="735"/>
      <c r="CO145" s="735"/>
      <c r="CP145" s="735"/>
      <c r="CQ145" s="735"/>
      <c r="CR145" s="736"/>
    </row>
    <row r="146" spans="35:96" ht="15" customHeight="1" x14ac:dyDescent="0.25">
      <c r="AO146" s="1254">
        <f>AO143+AO140+AO137+AO145</f>
        <v>73</v>
      </c>
      <c r="AP146" s="1254"/>
      <c r="AQ146" s="1254"/>
      <c r="AR146" s="747">
        <f>AR140+AR137+AR143+AR145</f>
        <v>11371.5</v>
      </c>
      <c r="AS146" s="748"/>
      <c r="AT146" s="748"/>
      <c r="AU146" s="749"/>
      <c r="CI146" s="739" t="s">
        <v>129</v>
      </c>
      <c r="CJ146" s="740"/>
      <c r="CK146" s="740"/>
      <c r="CL146" s="740"/>
      <c r="CM146" s="740"/>
      <c r="CN146" s="740"/>
      <c r="CO146" s="740"/>
      <c r="CP146" s="740"/>
      <c r="CQ146" s="740"/>
      <c r="CR146" s="741"/>
    </row>
    <row r="147" spans="35:96" x14ac:dyDescent="0.25">
      <c r="AO147" s="1254"/>
      <c r="AP147" s="1254"/>
      <c r="AQ147" s="1254"/>
      <c r="AR147" s="747"/>
      <c r="AS147" s="748"/>
      <c r="AT147" s="748"/>
      <c r="AU147" s="749"/>
      <c r="CI147" s="742"/>
      <c r="CJ147" s="743"/>
      <c r="CK147" s="743"/>
      <c r="CL147" s="743"/>
      <c r="CM147" s="743"/>
      <c r="CN147" s="743"/>
      <c r="CO147" s="743"/>
      <c r="CP147" s="743"/>
      <c r="CQ147" s="743"/>
      <c r="CR147" s="744"/>
    </row>
    <row r="148" spans="35:96" x14ac:dyDescent="0.25">
      <c r="AO148" s="1254"/>
      <c r="AP148" s="1254"/>
      <c r="AQ148" s="1254"/>
      <c r="AR148" s="747"/>
      <c r="AS148" s="748"/>
      <c r="AT148" s="748"/>
      <c r="AU148" s="749"/>
      <c r="BX148" s="1255"/>
      <c r="BY148" s="1255"/>
      <c r="BZ148" s="1255"/>
      <c r="CA148" s="746"/>
      <c r="CB148" s="746"/>
      <c r="CC148" s="746"/>
      <c r="CD148" s="747"/>
      <c r="CE148" s="748"/>
      <c r="CF148" s="748"/>
      <c r="CG148" s="749"/>
      <c r="CI148" s="739" t="s">
        <v>130</v>
      </c>
      <c r="CJ148" s="740"/>
      <c r="CK148" s="740"/>
      <c r="CL148" s="740"/>
      <c r="CM148" s="740"/>
      <c r="CN148" s="740"/>
      <c r="CO148" s="740"/>
      <c r="CP148" s="740"/>
      <c r="CQ148" s="740"/>
      <c r="CR148" s="741"/>
    </row>
    <row r="149" spans="35:96" x14ac:dyDescent="0.25">
      <c r="BX149" s="1255"/>
      <c r="BY149" s="1255"/>
      <c r="BZ149" s="1255"/>
      <c r="CA149" s="746"/>
      <c r="CB149" s="746"/>
      <c r="CC149" s="746"/>
      <c r="CD149" s="747"/>
      <c r="CE149" s="748"/>
      <c r="CF149" s="748"/>
      <c r="CG149" s="749"/>
      <c r="CI149" s="750"/>
      <c r="CJ149" s="751"/>
      <c r="CK149" s="751"/>
      <c r="CL149" s="751"/>
      <c r="CM149" s="751"/>
      <c r="CN149" s="751"/>
      <c r="CO149" s="751"/>
      <c r="CP149" s="751"/>
      <c r="CQ149" s="751"/>
      <c r="CR149" s="752"/>
    </row>
    <row r="150" spans="35:96" ht="15" customHeight="1" x14ac:dyDescent="0.25">
      <c r="AI150" s="1799"/>
      <c r="AJ150" s="1799"/>
      <c r="AK150" s="1799"/>
      <c r="AL150" s="1799"/>
      <c r="BX150" s="1255"/>
      <c r="BY150" s="1255"/>
      <c r="BZ150" s="1255"/>
      <c r="CA150" s="746"/>
      <c r="CB150" s="746"/>
      <c r="CC150" s="746"/>
      <c r="CD150" s="747"/>
      <c r="CE150" s="748"/>
      <c r="CF150" s="748"/>
      <c r="CG150" s="749"/>
      <c r="CI150" s="750"/>
      <c r="CJ150" s="751"/>
      <c r="CK150" s="751"/>
      <c r="CL150" s="751"/>
      <c r="CM150" s="751"/>
      <c r="CN150" s="751"/>
      <c r="CO150" s="751"/>
      <c r="CP150" s="751"/>
      <c r="CQ150" s="751"/>
      <c r="CR150" s="752"/>
    </row>
    <row r="151" spans="35:96" ht="15" customHeight="1" x14ac:dyDescent="0.25">
      <c r="AI151" s="1799"/>
      <c r="AJ151" s="1799"/>
      <c r="AK151" s="1799"/>
      <c r="AL151" s="1799"/>
      <c r="BX151" s="727"/>
      <c r="BY151" s="727"/>
      <c r="BZ151" s="727"/>
      <c r="CA151" s="746"/>
      <c r="CB151" s="746"/>
      <c r="CC151" s="746"/>
      <c r="CD151" s="747"/>
      <c r="CE151" s="748"/>
      <c r="CF151" s="748"/>
      <c r="CG151" s="749"/>
      <c r="CI151" s="742"/>
      <c r="CJ151" s="743"/>
      <c r="CK151" s="743"/>
      <c r="CL151" s="743"/>
      <c r="CM151" s="743"/>
      <c r="CN151" s="743"/>
      <c r="CO151" s="743"/>
      <c r="CP151" s="743"/>
      <c r="CQ151" s="743"/>
      <c r="CR151" s="744"/>
    </row>
    <row r="152" spans="35:96" ht="15" customHeight="1" x14ac:dyDescent="0.25">
      <c r="AI152" s="1799"/>
      <c r="AJ152" s="1799"/>
      <c r="AK152" s="1799"/>
      <c r="AL152" s="1799"/>
      <c r="BX152" s="727"/>
      <c r="BY152" s="727"/>
      <c r="BZ152" s="727"/>
      <c r="CA152" s="746"/>
      <c r="CB152" s="746"/>
      <c r="CC152" s="746"/>
      <c r="CD152" s="747"/>
      <c r="CE152" s="748"/>
      <c r="CF152" s="748"/>
      <c r="CG152" s="749"/>
      <c r="CI152" s="728">
        <f>CD141/((36*3.1415/59)*(BY141/3.281))</f>
        <v>2.2107862854485013E-2</v>
      </c>
      <c r="CJ152" s="729"/>
      <c r="CK152" s="729"/>
      <c r="CL152" s="729"/>
      <c r="CM152" s="729"/>
      <c r="CN152" s="729"/>
      <c r="CO152" s="729"/>
      <c r="CP152" s="729"/>
      <c r="CQ152" s="729"/>
      <c r="CR152" s="730"/>
    </row>
    <row r="153" spans="35:96" x14ac:dyDescent="0.25">
      <c r="BX153" s="727"/>
      <c r="BY153" s="727"/>
      <c r="BZ153" s="727"/>
      <c r="CA153" s="746"/>
      <c r="CB153" s="746"/>
      <c r="CC153" s="746"/>
      <c r="CD153" s="747"/>
      <c r="CE153" s="748"/>
      <c r="CF153" s="748"/>
      <c r="CG153" s="749"/>
      <c r="CI153" s="731"/>
      <c r="CJ153" s="732"/>
      <c r="CK153" s="732"/>
      <c r="CL153" s="732"/>
      <c r="CM153" s="732"/>
      <c r="CN153" s="732"/>
      <c r="CO153" s="732"/>
      <c r="CP153" s="732"/>
      <c r="CQ153" s="732"/>
      <c r="CR153" s="733"/>
    </row>
    <row r="154" spans="35:96" ht="15" customHeight="1" x14ac:dyDescent="0.25">
      <c r="AJ154" s="727"/>
      <c r="AK154" s="727"/>
      <c r="AL154" s="727"/>
      <c r="AM154" s="727"/>
      <c r="AN154" s="727"/>
      <c r="AO154" s="727"/>
      <c r="AP154" s="727"/>
      <c r="AQ154" s="727"/>
      <c r="AR154" s="727"/>
      <c r="AS154" s="727"/>
      <c r="AW154" s="739"/>
      <c r="AX154" s="740"/>
      <c r="AY154" s="740"/>
      <c r="AZ154" s="740"/>
      <c r="BA154" s="740"/>
      <c r="BB154" s="740"/>
      <c r="BC154" s="740"/>
      <c r="BD154" s="740"/>
      <c r="BE154" s="740"/>
      <c r="BF154" s="741"/>
      <c r="BX154" s="727"/>
      <c r="BY154" s="727"/>
      <c r="BZ154" s="727"/>
      <c r="CA154" s="746"/>
      <c r="CB154" s="746"/>
      <c r="CC154" s="746"/>
      <c r="CD154" s="747"/>
      <c r="CE154" s="748"/>
      <c r="CF154" s="748"/>
      <c r="CG154" s="749"/>
      <c r="CI154" s="731"/>
      <c r="CJ154" s="732"/>
      <c r="CK154" s="732"/>
      <c r="CL154" s="732"/>
      <c r="CM154" s="732"/>
      <c r="CN154" s="732"/>
      <c r="CO154" s="732"/>
      <c r="CP154" s="732"/>
      <c r="CQ154" s="732"/>
      <c r="CR154" s="733"/>
    </row>
    <row r="155" spans="35:96" ht="15" customHeight="1" x14ac:dyDescent="0.25">
      <c r="AJ155" s="727"/>
      <c r="AK155" s="727"/>
      <c r="AL155" s="727"/>
      <c r="AM155" s="727"/>
      <c r="AN155" s="727"/>
      <c r="AO155" s="727"/>
      <c r="AP155" s="727"/>
      <c r="AQ155" s="727"/>
      <c r="AR155" s="727"/>
      <c r="AS155" s="727"/>
      <c r="AW155" s="750"/>
      <c r="AX155" s="751"/>
      <c r="AY155" s="751"/>
      <c r="AZ155" s="751"/>
      <c r="BA155" s="751"/>
      <c r="BB155" s="751"/>
      <c r="BC155" s="751"/>
      <c r="BD155" s="751"/>
      <c r="BE155" s="751"/>
      <c r="BF155" s="752"/>
      <c r="BX155" s="727"/>
      <c r="BY155" s="727"/>
      <c r="BZ155" s="727"/>
      <c r="CA155" s="746"/>
      <c r="CB155" s="746"/>
      <c r="CC155" s="746"/>
      <c r="CD155" s="747"/>
      <c r="CE155" s="748"/>
      <c r="CF155" s="748"/>
      <c r="CG155" s="749"/>
      <c r="CI155" s="731"/>
      <c r="CJ155" s="732"/>
      <c r="CK155" s="732"/>
      <c r="CL155" s="732"/>
      <c r="CM155" s="732"/>
      <c r="CN155" s="732"/>
      <c r="CO155" s="732"/>
      <c r="CP155" s="732"/>
      <c r="CQ155" s="732"/>
      <c r="CR155" s="733"/>
    </row>
    <row r="156" spans="35:96" ht="15" customHeight="1" x14ac:dyDescent="0.25">
      <c r="AJ156" s="727"/>
      <c r="AK156" s="727"/>
      <c r="AL156" s="727"/>
      <c r="AM156" s="727"/>
      <c r="AN156" s="727"/>
      <c r="AO156" s="727"/>
      <c r="AP156" s="727"/>
      <c r="AQ156" s="727"/>
      <c r="AR156" s="727"/>
      <c r="AS156" s="727"/>
      <c r="AW156" s="742"/>
      <c r="AX156" s="743"/>
      <c r="AY156" s="743"/>
      <c r="AZ156" s="743"/>
      <c r="BA156" s="743"/>
      <c r="BB156" s="743"/>
      <c r="BC156" s="743"/>
      <c r="BD156" s="743"/>
      <c r="BE156" s="743"/>
      <c r="BF156" s="744"/>
      <c r="BX156" s="727"/>
      <c r="BY156" s="727"/>
      <c r="BZ156" s="727"/>
      <c r="CA156" s="746"/>
      <c r="CB156" s="746"/>
      <c r="CC156" s="746"/>
      <c r="CD156" s="747"/>
      <c r="CE156" s="748"/>
      <c r="CF156" s="748"/>
      <c r="CG156" s="749"/>
      <c r="CI156" s="734"/>
      <c r="CJ156" s="735"/>
      <c r="CK156" s="735"/>
      <c r="CL156" s="735"/>
      <c r="CM156" s="735"/>
      <c r="CN156" s="735"/>
      <c r="CO156" s="735"/>
      <c r="CP156" s="735"/>
      <c r="CQ156" s="735"/>
      <c r="CR156" s="736"/>
    </row>
    <row r="157" spans="35:96" ht="15" customHeight="1" x14ac:dyDescent="0.25">
      <c r="AJ157" s="774"/>
      <c r="AK157" s="774"/>
      <c r="AL157" s="774"/>
      <c r="AM157" s="774"/>
      <c r="AN157" s="774"/>
      <c r="AO157" s="774"/>
      <c r="AP157" s="726"/>
      <c r="AQ157" s="726"/>
      <c r="AR157" s="726"/>
      <c r="AS157" s="726"/>
      <c r="AW157" s="727"/>
      <c r="AX157" s="727"/>
      <c r="AY157" s="727"/>
      <c r="AZ157" s="727"/>
      <c r="BA157" s="727"/>
      <c r="BB157" s="727"/>
      <c r="BC157" s="727"/>
      <c r="BD157" s="727"/>
      <c r="BE157" s="727"/>
      <c r="BF157" s="727"/>
      <c r="CA157" s="1254"/>
      <c r="CB157" s="1254"/>
      <c r="CC157" s="1254"/>
      <c r="CD157" s="747"/>
      <c r="CE157" s="748"/>
      <c r="CF157" s="748"/>
      <c r="CG157" s="749"/>
    </row>
    <row r="158" spans="35:96" ht="15" customHeight="1" x14ac:dyDescent="0.25">
      <c r="AJ158" s="774"/>
      <c r="AK158" s="774"/>
      <c r="AL158" s="774"/>
      <c r="AM158" s="774"/>
      <c r="AN158" s="774"/>
      <c r="AO158" s="774"/>
      <c r="AP158" s="726"/>
      <c r="AQ158" s="726"/>
      <c r="AR158" s="726"/>
      <c r="AS158" s="726"/>
      <c r="AW158" s="727"/>
      <c r="AX158" s="727"/>
      <c r="AY158" s="727"/>
      <c r="AZ158" s="727"/>
      <c r="BA158" s="727"/>
      <c r="BB158" s="727"/>
      <c r="BC158" s="727"/>
      <c r="BD158" s="727"/>
      <c r="BE158" s="727"/>
      <c r="BF158" s="727"/>
      <c r="CA158" s="1254"/>
      <c r="CB158" s="1254"/>
      <c r="CC158" s="1254"/>
      <c r="CD158" s="747"/>
      <c r="CE158" s="748"/>
      <c r="CF158" s="748"/>
      <c r="CG158" s="749"/>
    </row>
    <row r="159" spans="35:96" ht="15" customHeight="1" x14ac:dyDescent="0.25">
      <c r="AJ159" s="774"/>
      <c r="AK159" s="774"/>
      <c r="AL159" s="774"/>
      <c r="AM159" s="774"/>
      <c r="AN159" s="774"/>
      <c r="AO159" s="774"/>
      <c r="AP159" s="726"/>
      <c r="AQ159" s="726"/>
      <c r="AR159" s="726"/>
      <c r="AS159" s="726"/>
      <c r="AW159" s="728"/>
      <c r="AX159" s="729"/>
      <c r="AY159" s="729"/>
      <c r="AZ159" s="729"/>
      <c r="BA159" s="729"/>
      <c r="BB159" s="729"/>
      <c r="BC159" s="729"/>
      <c r="BD159" s="729"/>
      <c r="BE159" s="729"/>
      <c r="BF159" s="730"/>
      <c r="CA159" s="1254"/>
      <c r="CB159" s="1254"/>
      <c r="CC159" s="1254"/>
      <c r="CD159" s="747"/>
      <c r="CE159" s="748"/>
      <c r="CF159" s="748"/>
      <c r="CG159" s="749"/>
    </row>
    <row r="160" spans="35:96" ht="15" customHeight="1" x14ac:dyDescent="0.25">
      <c r="AJ160" s="774"/>
      <c r="AK160" s="774"/>
      <c r="AL160" s="774"/>
      <c r="AM160" s="774"/>
      <c r="AN160" s="774"/>
      <c r="AO160" s="774"/>
      <c r="AP160" s="726"/>
      <c r="AQ160" s="726"/>
      <c r="AR160" s="726"/>
      <c r="AS160" s="726"/>
      <c r="AW160" s="731"/>
      <c r="AX160" s="732"/>
      <c r="AY160" s="732"/>
      <c r="AZ160" s="732"/>
      <c r="BA160" s="732"/>
      <c r="BB160" s="732"/>
      <c r="BC160" s="732"/>
      <c r="BD160" s="732"/>
      <c r="BE160" s="732"/>
      <c r="BF160" s="733"/>
    </row>
    <row r="161" spans="38:58" x14ac:dyDescent="0.25">
      <c r="AW161" s="734"/>
      <c r="AX161" s="735"/>
      <c r="AY161" s="735"/>
      <c r="AZ161" s="735"/>
      <c r="BA161" s="735"/>
      <c r="BB161" s="735"/>
      <c r="BC161" s="735"/>
      <c r="BD161" s="735"/>
      <c r="BE161" s="735"/>
      <c r="BF161" s="736"/>
    </row>
    <row r="162" spans="38:58" x14ac:dyDescent="0.25">
      <c r="AW162" s="739"/>
      <c r="AX162" s="740"/>
      <c r="AY162" s="740"/>
      <c r="AZ162" s="740"/>
      <c r="BA162" s="740"/>
      <c r="BB162" s="740"/>
      <c r="BC162" s="740"/>
      <c r="BD162" s="740"/>
      <c r="BE162" s="740"/>
      <c r="BF162" s="741"/>
    </row>
    <row r="163" spans="38:58" ht="15" customHeight="1" x14ac:dyDescent="0.25">
      <c r="AW163" s="742"/>
      <c r="AX163" s="743"/>
      <c r="AY163" s="743"/>
      <c r="AZ163" s="743"/>
      <c r="BA163" s="743"/>
      <c r="BB163" s="743"/>
      <c r="BC163" s="743"/>
      <c r="BD163" s="743"/>
      <c r="BE163" s="743"/>
      <c r="BF163" s="744"/>
    </row>
    <row r="164" spans="38:58" ht="15" customHeight="1" x14ac:dyDescent="0.25">
      <c r="AL164" s="1255"/>
      <c r="AM164" s="1255"/>
      <c r="AN164" s="1255"/>
      <c r="AO164" s="746"/>
      <c r="AP164" s="746"/>
      <c r="AQ164" s="746"/>
      <c r="AR164" s="747"/>
      <c r="AS164" s="748"/>
      <c r="AT164" s="748"/>
      <c r="AU164" s="749"/>
      <c r="AW164" s="739"/>
      <c r="AX164" s="740"/>
      <c r="AY164" s="740"/>
      <c r="AZ164" s="740"/>
      <c r="BA164" s="740"/>
      <c r="BB164" s="740"/>
      <c r="BC164" s="740"/>
      <c r="BD164" s="740"/>
      <c r="BE164" s="740"/>
      <c r="BF164" s="741"/>
    </row>
    <row r="165" spans="38:58" ht="15" customHeight="1" x14ac:dyDescent="0.25">
      <c r="AL165" s="1255"/>
      <c r="AM165" s="1255"/>
      <c r="AN165" s="1255"/>
      <c r="AO165" s="746"/>
      <c r="AP165" s="746"/>
      <c r="AQ165" s="746"/>
      <c r="AR165" s="747"/>
      <c r="AS165" s="748"/>
      <c r="AT165" s="748"/>
      <c r="AU165" s="749"/>
      <c r="AW165" s="750"/>
      <c r="AX165" s="751"/>
      <c r="AY165" s="751"/>
      <c r="AZ165" s="751"/>
      <c r="BA165" s="751"/>
      <c r="BB165" s="751"/>
      <c r="BC165" s="751"/>
      <c r="BD165" s="751"/>
      <c r="BE165" s="751"/>
      <c r="BF165" s="752"/>
    </row>
    <row r="166" spans="38:58" x14ac:dyDescent="0.25">
      <c r="AL166" s="1255"/>
      <c r="AM166" s="1255"/>
      <c r="AN166" s="1255"/>
      <c r="AO166" s="746"/>
      <c r="AP166" s="746"/>
      <c r="AQ166" s="746"/>
      <c r="AR166" s="747"/>
      <c r="AS166" s="748"/>
      <c r="AT166" s="748"/>
      <c r="AU166" s="749"/>
      <c r="AW166" s="750"/>
      <c r="AX166" s="751"/>
      <c r="AY166" s="751"/>
      <c r="AZ166" s="751"/>
      <c r="BA166" s="751"/>
      <c r="BB166" s="751"/>
      <c r="BC166" s="751"/>
      <c r="BD166" s="751"/>
      <c r="BE166" s="751"/>
      <c r="BF166" s="752"/>
    </row>
    <row r="167" spans="38:58" x14ac:dyDescent="0.25">
      <c r="AL167" s="727"/>
      <c r="AM167" s="727"/>
      <c r="AN167" s="727"/>
      <c r="AO167" s="746"/>
      <c r="AP167" s="746"/>
      <c r="AQ167" s="746"/>
      <c r="AR167" s="747"/>
      <c r="AS167" s="748"/>
      <c r="AT167" s="748"/>
      <c r="AU167" s="749"/>
      <c r="AW167" s="742"/>
      <c r="AX167" s="743"/>
      <c r="AY167" s="743"/>
      <c r="AZ167" s="743"/>
      <c r="BA167" s="743"/>
      <c r="BB167" s="743"/>
      <c r="BC167" s="743"/>
      <c r="BD167" s="743"/>
      <c r="BE167" s="743"/>
      <c r="BF167" s="744"/>
    </row>
    <row r="168" spans="38:58" x14ac:dyDescent="0.25">
      <c r="AL168" s="727"/>
      <c r="AM168" s="727"/>
      <c r="AN168" s="727"/>
      <c r="AO168" s="746"/>
      <c r="AP168" s="746"/>
      <c r="AQ168" s="746"/>
      <c r="AR168" s="747"/>
      <c r="AS168" s="748"/>
      <c r="AT168" s="748"/>
      <c r="AU168" s="749"/>
      <c r="AW168" s="728"/>
      <c r="AX168" s="729"/>
      <c r="AY168" s="729"/>
      <c r="AZ168" s="729"/>
      <c r="BA168" s="729"/>
      <c r="BB168" s="729"/>
      <c r="BC168" s="729"/>
      <c r="BD168" s="729"/>
      <c r="BE168" s="729"/>
      <c r="BF168" s="730"/>
    </row>
    <row r="169" spans="38:58" x14ac:dyDescent="0.25">
      <c r="AL169" s="727"/>
      <c r="AM169" s="727"/>
      <c r="AN169" s="727"/>
      <c r="AO169" s="746"/>
      <c r="AP169" s="746"/>
      <c r="AQ169" s="746"/>
      <c r="AR169" s="747"/>
      <c r="AS169" s="748"/>
      <c r="AT169" s="748"/>
      <c r="AU169" s="749"/>
      <c r="AW169" s="731"/>
      <c r="AX169" s="732"/>
      <c r="AY169" s="732"/>
      <c r="AZ169" s="732"/>
      <c r="BA169" s="732"/>
      <c r="BB169" s="732"/>
      <c r="BC169" s="732"/>
      <c r="BD169" s="732"/>
      <c r="BE169" s="732"/>
      <c r="BF169" s="733"/>
    </row>
    <row r="170" spans="38:58" x14ac:dyDescent="0.25">
      <c r="AL170" s="727"/>
      <c r="AM170" s="727"/>
      <c r="AN170" s="727"/>
      <c r="AO170" s="746"/>
      <c r="AP170" s="746"/>
      <c r="AQ170" s="746"/>
      <c r="AR170" s="747"/>
      <c r="AS170" s="748"/>
      <c r="AT170" s="748"/>
      <c r="AU170" s="749"/>
      <c r="AW170" s="731"/>
      <c r="AX170" s="732"/>
      <c r="AY170" s="732"/>
      <c r="AZ170" s="732"/>
      <c r="BA170" s="732"/>
      <c r="BB170" s="732"/>
      <c r="BC170" s="732"/>
      <c r="BD170" s="732"/>
      <c r="BE170" s="732"/>
      <c r="BF170" s="733"/>
    </row>
    <row r="171" spans="38:58" x14ac:dyDescent="0.25">
      <c r="AL171" s="727"/>
      <c r="AM171" s="727"/>
      <c r="AN171" s="727"/>
      <c r="AO171" s="746"/>
      <c r="AP171" s="746"/>
      <c r="AQ171" s="746"/>
      <c r="AR171" s="747"/>
      <c r="AS171" s="748"/>
      <c r="AT171" s="748"/>
      <c r="AU171" s="749"/>
      <c r="AW171" s="731"/>
      <c r="AX171" s="732"/>
      <c r="AY171" s="732"/>
      <c r="AZ171" s="732"/>
      <c r="BA171" s="732"/>
      <c r="BB171" s="732"/>
      <c r="BC171" s="732"/>
      <c r="BD171" s="732"/>
      <c r="BE171" s="732"/>
      <c r="BF171" s="733"/>
    </row>
    <row r="172" spans="38:58" x14ac:dyDescent="0.25">
      <c r="AL172" s="727"/>
      <c r="AM172" s="727"/>
      <c r="AN172" s="727"/>
      <c r="AO172" s="746"/>
      <c r="AP172" s="746"/>
      <c r="AQ172" s="746"/>
      <c r="AR172" s="747"/>
      <c r="AS172" s="748"/>
      <c r="AT172" s="748"/>
      <c r="AU172" s="749"/>
      <c r="AW172" s="734"/>
      <c r="AX172" s="735"/>
      <c r="AY172" s="735"/>
      <c r="AZ172" s="735"/>
      <c r="BA172" s="735"/>
      <c r="BB172" s="735"/>
      <c r="BC172" s="735"/>
      <c r="BD172" s="735"/>
      <c r="BE172" s="735"/>
      <c r="BF172" s="736"/>
    </row>
    <row r="173" spans="38:58" x14ac:dyDescent="0.25">
      <c r="AO173" s="1254"/>
      <c r="AP173" s="1254"/>
      <c r="AQ173" s="1254"/>
      <c r="AR173" s="747"/>
      <c r="AS173" s="748"/>
      <c r="AT173" s="748"/>
      <c r="AU173" s="749"/>
    </row>
    <row r="174" spans="38:58" x14ac:dyDescent="0.25">
      <c r="AO174" s="1254"/>
      <c r="AP174" s="1254"/>
      <c r="AQ174" s="1254"/>
      <c r="AR174" s="747"/>
      <c r="AS174" s="748"/>
      <c r="AT174" s="748"/>
      <c r="AU174" s="749"/>
    </row>
    <row r="175" spans="38:58" x14ac:dyDescent="0.25">
      <c r="AO175" s="1254"/>
      <c r="AP175" s="1254"/>
      <c r="AQ175" s="1254"/>
      <c r="AR175" s="747"/>
      <c r="AS175" s="748"/>
      <c r="AT175" s="748"/>
      <c r="AU175" s="749"/>
    </row>
    <row r="189" spans="37:47" x14ac:dyDescent="0.25">
      <c r="AK189" s="727"/>
      <c r="AL189" s="727"/>
      <c r="AM189" s="727"/>
      <c r="AN189" s="727"/>
      <c r="AO189" s="727"/>
      <c r="AP189" s="727"/>
      <c r="AQ189" s="727"/>
      <c r="AR189" s="727"/>
      <c r="AS189" s="727"/>
      <c r="AT189" s="727"/>
    </row>
    <row r="190" spans="37:47" x14ac:dyDescent="0.25">
      <c r="AK190" s="727"/>
      <c r="AL190" s="727"/>
      <c r="AM190" s="727"/>
      <c r="AN190" s="727"/>
      <c r="AO190" s="727"/>
      <c r="AP190" s="727"/>
      <c r="AQ190" s="727"/>
      <c r="AR190" s="727"/>
      <c r="AS190" s="727"/>
      <c r="AT190" s="727"/>
    </row>
    <row r="191" spans="37:47" x14ac:dyDescent="0.25">
      <c r="AK191" s="727"/>
      <c r="AL191" s="727"/>
      <c r="AM191" s="727"/>
      <c r="AN191" s="727"/>
      <c r="AO191" s="727"/>
      <c r="AP191" s="727"/>
      <c r="AQ191" s="727"/>
      <c r="AR191" s="727"/>
      <c r="AS191" s="727"/>
      <c r="AT191" s="727"/>
    </row>
    <row r="192" spans="37:47" ht="15" customHeight="1" x14ac:dyDescent="0.25">
      <c r="AK192" s="774"/>
      <c r="AL192" s="774"/>
      <c r="AM192" s="774"/>
      <c r="AN192" s="774"/>
      <c r="AO192" s="774"/>
      <c r="AP192" s="774"/>
      <c r="AQ192" s="726"/>
      <c r="AR192" s="726"/>
      <c r="AS192" s="1777"/>
      <c r="AT192" s="1778"/>
      <c r="AU192" s="1778"/>
    </row>
    <row r="193" spans="37:47" ht="15" customHeight="1" x14ac:dyDescent="0.25">
      <c r="AK193" s="774"/>
      <c r="AL193" s="774"/>
      <c r="AM193" s="774"/>
      <c r="AN193" s="774"/>
      <c r="AO193" s="774"/>
      <c r="AP193" s="774"/>
      <c r="AQ193" s="726"/>
      <c r="AR193" s="726"/>
      <c r="AS193" s="1777"/>
      <c r="AT193" s="1778"/>
      <c r="AU193" s="1778"/>
    </row>
    <row r="194" spans="37:47" ht="15" customHeight="1" x14ac:dyDescent="0.25">
      <c r="AK194" s="774"/>
      <c r="AL194" s="774"/>
      <c r="AM194" s="774"/>
      <c r="AN194" s="774"/>
      <c r="AO194" s="774"/>
      <c r="AP194" s="774"/>
      <c r="AQ194" s="726"/>
      <c r="AR194" s="726"/>
      <c r="AS194" s="1777"/>
      <c r="AT194" s="1778"/>
      <c r="AU194" s="1778"/>
    </row>
    <row r="195" spans="37:47" ht="15" customHeight="1" x14ac:dyDescent="0.25">
      <c r="AK195" s="774"/>
      <c r="AL195" s="774"/>
      <c r="AM195" s="774"/>
      <c r="AN195" s="774"/>
      <c r="AO195" s="774"/>
      <c r="AP195" s="774"/>
      <c r="AQ195" s="726"/>
      <c r="AR195" s="726"/>
      <c r="AS195" s="1777"/>
      <c r="AT195" s="1778"/>
      <c r="AU195" s="1778"/>
    </row>
  </sheetData>
  <mergeCells count="1234">
    <mergeCell ref="A10:E11"/>
    <mergeCell ref="BP2:BR3"/>
    <mergeCell ref="AT2:AU3"/>
    <mergeCell ref="AV2:AX3"/>
    <mergeCell ref="AY2:AZ3"/>
    <mergeCell ref="BA2:BC3"/>
    <mergeCell ref="BD2:BE3"/>
    <mergeCell ref="BF2:BH3"/>
    <mergeCell ref="AE2:AF3"/>
    <mergeCell ref="AG2:AI3"/>
    <mergeCell ref="AJ2:AK3"/>
    <mergeCell ref="AL2:AN3"/>
    <mergeCell ref="AO2:AP3"/>
    <mergeCell ref="AQ2:AS3"/>
    <mergeCell ref="BN4:BR5"/>
    <mergeCell ref="A16:B17"/>
    <mergeCell ref="C16:E17"/>
    <mergeCell ref="F16:G17"/>
    <mergeCell ref="H16:J17"/>
    <mergeCell ref="K16:L17"/>
    <mergeCell ref="M16:O17"/>
    <mergeCell ref="P16:Q17"/>
    <mergeCell ref="R16:T17"/>
    <mergeCell ref="U16:V17"/>
    <mergeCell ref="W16:Y17"/>
    <mergeCell ref="A2:B3"/>
    <mergeCell ref="C2:E3"/>
    <mergeCell ref="F2:G3"/>
    <mergeCell ref="H2:J3"/>
    <mergeCell ref="K2:L3"/>
    <mergeCell ref="M2:O3"/>
    <mergeCell ref="K6:K7"/>
    <mergeCell ref="L6:O6"/>
    <mergeCell ref="U6:U7"/>
    <mergeCell ref="V6:Y6"/>
    <mergeCell ref="Z6:Z7"/>
    <mergeCell ref="AA6:AD6"/>
    <mergeCell ref="AE6:AE7"/>
    <mergeCell ref="AF6:AI6"/>
    <mergeCell ref="A6:A7"/>
    <mergeCell ref="B6:E6"/>
    <mergeCell ref="AY4:BC5"/>
    <mergeCell ref="BD4:BH5"/>
    <mergeCell ref="BI4:BM5"/>
    <mergeCell ref="AJ4:AN5"/>
    <mergeCell ref="AO4:AS5"/>
    <mergeCell ref="AT4:AX5"/>
    <mergeCell ref="AE4:AI5"/>
    <mergeCell ref="BI2:BJ3"/>
    <mergeCell ref="BK2:BM3"/>
    <mergeCell ref="P6:P7"/>
    <mergeCell ref="Q6:T6"/>
    <mergeCell ref="P2:Q3"/>
    <mergeCell ref="R2:T3"/>
    <mergeCell ref="U2:V3"/>
    <mergeCell ref="W2:Y3"/>
    <mergeCell ref="F6:F7"/>
    <mergeCell ref="G6:J6"/>
    <mergeCell ref="BN10:BR11"/>
    <mergeCell ref="BN8:BO9"/>
    <mergeCell ref="BP8:BR9"/>
    <mergeCell ref="AY8:AZ9"/>
    <mergeCell ref="BA8:BC9"/>
    <mergeCell ref="BD8:BE9"/>
    <mergeCell ref="BF8:BH9"/>
    <mergeCell ref="BI8:BJ9"/>
    <mergeCell ref="BK8:BM9"/>
    <mergeCell ref="AJ8:AK9"/>
    <mergeCell ref="AL8:AN9"/>
    <mergeCell ref="AO8:AP9"/>
    <mergeCell ref="AQ8:AS9"/>
    <mergeCell ref="AT8:AU9"/>
    <mergeCell ref="AV8:AX9"/>
    <mergeCell ref="Z2:AA3"/>
    <mergeCell ref="AB2:AD3"/>
    <mergeCell ref="BN6:BN7"/>
    <mergeCell ref="BO6:BR6"/>
    <mergeCell ref="AY6:AY7"/>
    <mergeCell ref="AZ6:BC6"/>
    <mergeCell ref="BD6:BD7"/>
    <mergeCell ref="BE6:BH6"/>
    <mergeCell ref="BI6:BI7"/>
    <mergeCell ref="BJ6:BM6"/>
    <mergeCell ref="AJ6:AJ7"/>
    <mergeCell ref="AK6:AN6"/>
    <mergeCell ref="AO6:AO7"/>
    <mergeCell ref="AP6:AS6"/>
    <mergeCell ref="AT6:AT7"/>
    <mergeCell ref="AU6:AX6"/>
    <mergeCell ref="BN2:BO3"/>
    <mergeCell ref="BN12:BN13"/>
    <mergeCell ref="BO12:BR12"/>
    <mergeCell ref="A14:B15"/>
    <mergeCell ref="C14:E15"/>
    <mergeCell ref="F14:G15"/>
    <mergeCell ref="H14:J15"/>
    <mergeCell ref="K14:L15"/>
    <mergeCell ref="M14:O15"/>
    <mergeCell ref="AT12:AT13"/>
    <mergeCell ref="AU12:AX12"/>
    <mergeCell ref="AY12:AY13"/>
    <mergeCell ref="AZ12:BC12"/>
    <mergeCell ref="BD12:BD13"/>
    <mergeCell ref="BE12:BH12"/>
    <mergeCell ref="AE12:AE13"/>
    <mergeCell ref="AF12:AI12"/>
    <mergeCell ref="AJ12:AJ13"/>
    <mergeCell ref="AK12:AN12"/>
    <mergeCell ref="AO12:AO13"/>
    <mergeCell ref="AP12:AS12"/>
    <mergeCell ref="P12:P13"/>
    <mergeCell ref="Q12:T12"/>
    <mergeCell ref="U12:U13"/>
    <mergeCell ref="V12:Y12"/>
    <mergeCell ref="Z12:Z13"/>
    <mergeCell ref="AA12:AD12"/>
    <mergeCell ref="A12:A13"/>
    <mergeCell ref="B12:E12"/>
    <mergeCell ref="F12:F13"/>
    <mergeCell ref="G12:J12"/>
    <mergeCell ref="K12:K13"/>
    <mergeCell ref="L12:O12"/>
    <mergeCell ref="K18:K19"/>
    <mergeCell ref="L18:O18"/>
    <mergeCell ref="P18:P19"/>
    <mergeCell ref="Q18:T18"/>
    <mergeCell ref="AY16:BC17"/>
    <mergeCell ref="BD16:BH17"/>
    <mergeCell ref="BI16:BM17"/>
    <mergeCell ref="AT16:AX17"/>
    <mergeCell ref="BI14:BJ15"/>
    <mergeCell ref="BK14:BM15"/>
    <mergeCell ref="AQ16:AS17"/>
    <mergeCell ref="Z8:AA9"/>
    <mergeCell ref="AB8:AD9"/>
    <mergeCell ref="AE8:AF9"/>
    <mergeCell ref="AG8:AI9"/>
    <mergeCell ref="AB14:AD15"/>
    <mergeCell ref="BI12:BI13"/>
    <mergeCell ref="BJ12:BM12"/>
    <mergeCell ref="AT10:AX11"/>
    <mergeCell ref="AY10:BC11"/>
    <mergeCell ref="BD10:BH11"/>
    <mergeCell ref="BI10:BM11"/>
    <mergeCell ref="AO10:AS11"/>
    <mergeCell ref="P8:Q9"/>
    <mergeCell ref="R8:T9"/>
    <mergeCell ref="U8:V9"/>
    <mergeCell ref="W8:Y9"/>
    <mergeCell ref="A8:B9"/>
    <mergeCell ref="C8:E9"/>
    <mergeCell ref="F8:G9"/>
    <mergeCell ref="H8:J9"/>
    <mergeCell ref="K8:L9"/>
    <mergeCell ref="M8:O9"/>
    <mergeCell ref="BN14:BO15"/>
    <mergeCell ref="BP14:BR15"/>
    <mergeCell ref="AT14:AU15"/>
    <mergeCell ref="AV14:AX15"/>
    <mergeCell ref="AY14:AZ15"/>
    <mergeCell ref="BA14:BC15"/>
    <mergeCell ref="BD14:BE15"/>
    <mergeCell ref="BF14:BH15"/>
    <mergeCell ref="AE14:AF15"/>
    <mergeCell ref="AG14:AI15"/>
    <mergeCell ref="AJ14:AK15"/>
    <mergeCell ref="AL14:AN15"/>
    <mergeCell ref="AO14:AP15"/>
    <mergeCell ref="AQ14:AS15"/>
    <mergeCell ref="P14:Q15"/>
    <mergeCell ref="R14:T15"/>
    <mergeCell ref="U14:V15"/>
    <mergeCell ref="W14:Y15"/>
    <mergeCell ref="Z14:AA15"/>
    <mergeCell ref="F10:J11"/>
    <mergeCell ref="K10:O11"/>
    <mergeCell ref="P10:T11"/>
    <mergeCell ref="U10:Y11"/>
    <mergeCell ref="Z10:AD11"/>
    <mergeCell ref="AE10:AI11"/>
    <mergeCell ref="AJ10:AN11"/>
    <mergeCell ref="BN18:BN19"/>
    <mergeCell ref="BO18:BR18"/>
    <mergeCell ref="A20:B21"/>
    <mergeCell ref="C20:E21"/>
    <mergeCell ref="F20:G21"/>
    <mergeCell ref="H20:J21"/>
    <mergeCell ref="K20:L21"/>
    <mergeCell ref="M20:O21"/>
    <mergeCell ref="P20:Q21"/>
    <mergeCell ref="R20:T21"/>
    <mergeCell ref="AY18:AY19"/>
    <mergeCell ref="AZ18:BC18"/>
    <mergeCell ref="BD18:BD19"/>
    <mergeCell ref="BE18:BH18"/>
    <mergeCell ref="BI18:BI19"/>
    <mergeCell ref="BJ18:BM18"/>
    <mergeCell ref="AJ18:AJ19"/>
    <mergeCell ref="AK18:AN18"/>
    <mergeCell ref="AO18:AO19"/>
    <mergeCell ref="AP18:AS18"/>
    <mergeCell ref="AT18:AT19"/>
    <mergeCell ref="AU18:AX18"/>
    <mergeCell ref="U18:U19"/>
    <mergeCell ref="V18:Y18"/>
    <mergeCell ref="Z18:Z19"/>
    <mergeCell ref="AA18:AD18"/>
    <mergeCell ref="AE18:AE19"/>
    <mergeCell ref="AF18:AI18"/>
    <mergeCell ref="A18:A19"/>
    <mergeCell ref="B18:E18"/>
    <mergeCell ref="F18:F19"/>
    <mergeCell ref="G18:J18"/>
    <mergeCell ref="G24:J24"/>
    <mergeCell ref="K24:K25"/>
    <mergeCell ref="L24:O24"/>
    <mergeCell ref="AT22:AX23"/>
    <mergeCell ref="AY22:BC23"/>
    <mergeCell ref="BD22:BH23"/>
    <mergeCell ref="BI22:BM23"/>
    <mergeCell ref="BN22:BR23"/>
    <mergeCell ref="BN20:BO21"/>
    <mergeCell ref="BP20:BR21"/>
    <mergeCell ref="AY20:AZ21"/>
    <mergeCell ref="BA20:BC21"/>
    <mergeCell ref="BD20:BE21"/>
    <mergeCell ref="BF20:BH21"/>
    <mergeCell ref="BI20:BJ21"/>
    <mergeCell ref="BK20:BM21"/>
    <mergeCell ref="AJ20:AK21"/>
    <mergeCell ref="AL20:AN21"/>
    <mergeCell ref="AO20:AP21"/>
    <mergeCell ref="AQ20:AS21"/>
    <mergeCell ref="AT20:AU21"/>
    <mergeCell ref="AV20:AX21"/>
    <mergeCell ref="U20:V21"/>
    <mergeCell ref="W20:Y21"/>
    <mergeCell ref="Z20:AA21"/>
    <mergeCell ref="AB20:AD21"/>
    <mergeCell ref="AE20:AF21"/>
    <mergeCell ref="AG20:AI21"/>
    <mergeCell ref="AB26:AD27"/>
    <mergeCell ref="BI24:BI25"/>
    <mergeCell ref="BJ24:BM24"/>
    <mergeCell ref="BN24:BN25"/>
    <mergeCell ref="BO24:BR24"/>
    <mergeCell ref="A26:B27"/>
    <mergeCell ref="C26:E27"/>
    <mergeCell ref="F26:G27"/>
    <mergeCell ref="H26:J27"/>
    <mergeCell ref="K26:L27"/>
    <mergeCell ref="M26:O27"/>
    <mergeCell ref="AT24:AT25"/>
    <mergeCell ref="AU24:AX24"/>
    <mergeCell ref="AY24:AY25"/>
    <mergeCell ref="AZ24:BC24"/>
    <mergeCell ref="BD24:BD25"/>
    <mergeCell ref="BE24:BH24"/>
    <mergeCell ref="AE24:AE25"/>
    <mergeCell ref="AF24:AI24"/>
    <mergeCell ref="AJ24:AJ25"/>
    <mergeCell ref="AK24:AN24"/>
    <mergeCell ref="AO24:AO25"/>
    <mergeCell ref="AP24:AS24"/>
    <mergeCell ref="P24:P25"/>
    <mergeCell ref="Q24:T24"/>
    <mergeCell ref="U24:U25"/>
    <mergeCell ref="V24:Y24"/>
    <mergeCell ref="Z24:Z25"/>
    <mergeCell ref="AA24:AD24"/>
    <mergeCell ref="A24:A25"/>
    <mergeCell ref="B24:E24"/>
    <mergeCell ref="F24:F25"/>
    <mergeCell ref="K30:K31"/>
    <mergeCell ref="L30:O30"/>
    <mergeCell ref="P30:P31"/>
    <mergeCell ref="Q30:T30"/>
    <mergeCell ref="AY28:BC29"/>
    <mergeCell ref="BD28:BH29"/>
    <mergeCell ref="BI28:BM29"/>
    <mergeCell ref="AJ28:AN29"/>
    <mergeCell ref="AO28:AS29"/>
    <mergeCell ref="AT28:AX29"/>
    <mergeCell ref="AE28:AI29"/>
    <mergeCell ref="BI26:BJ27"/>
    <mergeCell ref="BK26:BM27"/>
    <mergeCell ref="BN26:BO27"/>
    <mergeCell ref="BP26:BR27"/>
    <mergeCell ref="AT26:AU27"/>
    <mergeCell ref="AV26:AX27"/>
    <mergeCell ref="AY26:AZ27"/>
    <mergeCell ref="BA26:BC27"/>
    <mergeCell ref="BD26:BE27"/>
    <mergeCell ref="BF26:BH27"/>
    <mergeCell ref="AE26:AF27"/>
    <mergeCell ref="AG26:AI27"/>
    <mergeCell ref="AJ26:AK27"/>
    <mergeCell ref="AL26:AN27"/>
    <mergeCell ref="AO26:AP27"/>
    <mergeCell ref="AQ26:AS27"/>
    <mergeCell ref="P26:Q27"/>
    <mergeCell ref="R26:T27"/>
    <mergeCell ref="U26:V27"/>
    <mergeCell ref="W26:Y27"/>
    <mergeCell ref="Z26:AA27"/>
    <mergeCell ref="BN30:BN31"/>
    <mergeCell ref="BO30:BR30"/>
    <mergeCell ref="A32:B33"/>
    <mergeCell ref="C32:E33"/>
    <mergeCell ref="F32:G33"/>
    <mergeCell ref="H32:J33"/>
    <mergeCell ref="K32:L33"/>
    <mergeCell ref="M32:O33"/>
    <mergeCell ref="P32:Q33"/>
    <mergeCell ref="R32:T33"/>
    <mergeCell ref="AY30:AY31"/>
    <mergeCell ref="AZ30:BC30"/>
    <mergeCell ref="BD30:BD31"/>
    <mergeCell ref="BE30:BH30"/>
    <mergeCell ref="BI30:BI31"/>
    <mergeCell ref="BJ30:BM30"/>
    <mergeCell ref="AJ30:AJ31"/>
    <mergeCell ref="AK30:AN30"/>
    <mergeCell ref="AO30:AO31"/>
    <mergeCell ref="AP30:AS30"/>
    <mergeCell ref="AT30:AT31"/>
    <mergeCell ref="AU30:AX30"/>
    <mergeCell ref="U30:U31"/>
    <mergeCell ref="V30:Y30"/>
    <mergeCell ref="Z30:Z31"/>
    <mergeCell ref="AA30:AD30"/>
    <mergeCell ref="AE30:AE31"/>
    <mergeCell ref="AF30:AI30"/>
    <mergeCell ref="A30:A31"/>
    <mergeCell ref="B30:E30"/>
    <mergeCell ref="F30:F31"/>
    <mergeCell ref="G30:J30"/>
    <mergeCell ref="BP32:BR33"/>
    <mergeCell ref="AY32:AZ33"/>
    <mergeCell ref="BA32:BC33"/>
    <mergeCell ref="BD32:BE33"/>
    <mergeCell ref="BF32:BH33"/>
    <mergeCell ref="BI32:BJ33"/>
    <mergeCell ref="BK32:BM33"/>
    <mergeCell ref="AJ32:AK33"/>
    <mergeCell ref="AL32:AN33"/>
    <mergeCell ref="AO32:AP33"/>
    <mergeCell ref="AQ32:AS33"/>
    <mergeCell ref="AT32:AU33"/>
    <mergeCell ref="AV32:AX33"/>
    <mergeCell ref="U32:V33"/>
    <mergeCell ref="W32:Y33"/>
    <mergeCell ref="Z32:AA33"/>
    <mergeCell ref="AB32:AD33"/>
    <mergeCell ref="AE32:AF33"/>
    <mergeCell ref="AG32:AI33"/>
    <mergeCell ref="AO36:AO37"/>
    <mergeCell ref="AP36:AS36"/>
    <mergeCell ref="P36:P37"/>
    <mergeCell ref="Q36:T36"/>
    <mergeCell ref="U36:U37"/>
    <mergeCell ref="V36:Y36"/>
    <mergeCell ref="Z36:Z37"/>
    <mergeCell ref="AA36:AD36"/>
    <mergeCell ref="A36:A37"/>
    <mergeCell ref="B36:E36"/>
    <mergeCell ref="F36:F37"/>
    <mergeCell ref="G36:J36"/>
    <mergeCell ref="K36:K37"/>
    <mergeCell ref="L36:O36"/>
    <mergeCell ref="AY34:BC35"/>
    <mergeCell ref="BD34:BH35"/>
    <mergeCell ref="BI34:BM35"/>
    <mergeCell ref="AT34:AX35"/>
    <mergeCell ref="AE38:AF39"/>
    <mergeCell ref="AG38:AI39"/>
    <mergeCell ref="AJ38:AK39"/>
    <mergeCell ref="AL38:AN39"/>
    <mergeCell ref="AO38:AP39"/>
    <mergeCell ref="AQ38:AS39"/>
    <mergeCell ref="P38:Q39"/>
    <mergeCell ref="R38:T39"/>
    <mergeCell ref="U38:V39"/>
    <mergeCell ref="W38:Y39"/>
    <mergeCell ref="Z38:AA39"/>
    <mergeCell ref="AB38:AD39"/>
    <mergeCell ref="BI36:BI37"/>
    <mergeCell ref="BJ36:BM36"/>
    <mergeCell ref="BN36:BN37"/>
    <mergeCell ref="BO36:BR36"/>
    <mergeCell ref="A38:B39"/>
    <mergeCell ref="C38:E39"/>
    <mergeCell ref="F38:G39"/>
    <mergeCell ref="H38:J39"/>
    <mergeCell ref="K38:L39"/>
    <mergeCell ref="M38:O39"/>
    <mergeCell ref="AT36:AT37"/>
    <mergeCell ref="AU36:AX36"/>
    <mergeCell ref="AY36:AY37"/>
    <mergeCell ref="AZ36:BC36"/>
    <mergeCell ref="BD36:BD37"/>
    <mergeCell ref="BE36:BH36"/>
    <mergeCell ref="AE36:AE37"/>
    <mergeCell ref="AF36:AI36"/>
    <mergeCell ref="AJ36:AJ37"/>
    <mergeCell ref="AK36:AN36"/>
    <mergeCell ref="BI40:BM41"/>
    <mergeCell ref="BN40:BR41"/>
    <mergeCell ref="A42:A43"/>
    <mergeCell ref="B42:E42"/>
    <mergeCell ref="F42:F43"/>
    <mergeCell ref="G42:J42"/>
    <mergeCell ref="K42:K43"/>
    <mergeCell ref="L42:O42"/>
    <mergeCell ref="P42:P43"/>
    <mergeCell ref="Q42:T42"/>
    <mergeCell ref="AE40:AI41"/>
    <mergeCell ref="AJ40:AN41"/>
    <mergeCell ref="AO40:AS41"/>
    <mergeCell ref="AT40:AX41"/>
    <mergeCell ref="AY40:BC41"/>
    <mergeCell ref="BD40:BH41"/>
    <mergeCell ref="BI38:BJ39"/>
    <mergeCell ref="BK38:BM39"/>
    <mergeCell ref="BN38:BO39"/>
    <mergeCell ref="BP38:BR39"/>
    <mergeCell ref="A40:E41"/>
    <mergeCell ref="F40:J41"/>
    <mergeCell ref="K40:O41"/>
    <mergeCell ref="P40:T41"/>
    <mergeCell ref="U40:Y41"/>
    <mergeCell ref="Z40:AD41"/>
    <mergeCell ref="AT38:AU39"/>
    <mergeCell ref="AV38:AX39"/>
    <mergeCell ref="AY38:AZ39"/>
    <mergeCell ref="BA38:BC39"/>
    <mergeCell ref="BD38:BE39"/>
    <mergeCell ref="BF38:BH39"/>
    <mergeCell ref="BN42:BN43"/>
    <mergeCell ref="BO42:BR42"/>
    <mergeCell ref="A44:B45"/>
    <mergeCell ref="C44:E45"/>
    <mergeCell ref="F44:G45"/>
    <mergeCell ref="H44:J45"/>
    <mergeCell ref="K44:L45"/>
    <mergeCell ref="M44:O45"/>
    <mergeCell ref="P44:Q45"/>
    <mergeCell ref="R44:T45"/>
    <mergeCell ref="AY42:AY43"/>
    <mergeCell ref="AZ42:BC42"/>
    <mergeCell ref="BD42:BD43"/>
    <mergeCell ref="BE42:BH42"/>
    <mergeCell ref="BI42:BI43"/>
    <mergeCell ref="BJ42:BM42"/>
    <mergeCell ref="AJ42:AJ43"/>
    <mergeCell ref="AK42:AN42"/>
    <mergeCell ref="AO42:AO43"/>
    <mergeCell ref="AP42:AS42"/>
    <mergeCell ref="AT42:AT43"/>
    <mergeCell ref="AU42:AX42"/>
    <mergeCell ref="U42:U43"/>
    <mergeCell ref="V42:Y42"/>
    <mergeCell ref="Z42:Z43"/>
    <mergeCell ref="AA42:AD42"/>
    <mergeCell ref="AE42:AE43"/>
    <mergeCell ref="AF42:AI42"/>
    <mergeCell ref="BD46:BH47"/>
    <mergeCell ref="BI46:BM47"/>
    <mergeCell ref="BN46:BR47"/>
    <mergeCell ref="BN44:BO45"/>
    <mergeCell ref="BP44:BR45"/>
    <mergeCell ref="A46:E47"/>
    <mergeCell ref="F46:J47"/>
    <mergeCell ref="K46:O47"/>
    <mergeCell ref="P46:T47"/>
    <mergeCell ref="U46:Y47"/>
    <mergeCell ref="Z46:AD47"/>
    <mergeCell ref="AE46:AI47"/>
    <mergeCell ref="AJ46:AN47"/>
    <mergeCell ref="AY44:AZ45"/>
    <mergeCell ref="BA44:BC45"/>
    <mergeCell ref="BD44:BE45"/>
    <mergeCell ref="BF44:BH45"/>
    <mergeCell ref="BI44:BJ45"/>
    <mergeCell ref="BK44:BM45"/>
    <mergeCell ref="AJ44:AK45"/>
    <mergeCell ref="AL44:AN45"/>
    <mergeCell ref="AO44:AP45"/>
    <mergeCell ref="AQ44:AS45"/>
    <mergeCell ref="AT44:AU45"/>
    <mergeCell ref="AV44:AX45"/>
    <mergeCell ref="U44:V45"/>
    <mergeCell ref="W44:Y45"/>
    <mergeCell ref="Z44:AA45"/>
    <mergeCell ref="AB44:AD45"/>
    <mergeCell ref="AE44:AF45"/>
    <mergeCell ref="AG44:AI45"/>
    <mergeCell ref="AO48:AO49"/>
    <mergeCell ref="AP48:AS48"/>
    <mergeCell ref="P48:P49"/>
    <mergeCell ref="Q48:T48"/>
    <mergeCell ref="U48:U49"/>
    <mergeCell ref="V48:Y48"/>
    <mergeCell ref="Z48:Z49"/>
    <mergeCell ref="AA48:AD48"/>
    <mergeCell ref="A48:A49"/>
    <mergeCell ref="B48:E48"/>
    <mergeCell ref="F48:F49"/>
    <mergeCell ref="G48:J48"/>
    <mergeCell ref="K48:K49"/>
    <mergeCell ref="L48:O48"/>
    <mergeCell ref="AO46:AS47"/>
    <mergeCell ref="AT46:AX47"/>
    <mergeCell ref="AY46:BC47"/>
    <mergeCell ref="AE50:AF51"/>
    <mergeCell ref="AG50:AI51"/>
    <mergeCell ref="AJ50:AK51"/>
    <mergeCell ref="AL50:AN51"/>
    <mergeCell ref="AO50:AP51"/>
    <mergeCell ref="AQ50:AS51"/>
    <mergeCell ref="P50:Q51"/>
    <mergeCell ref="R50:T51"/>
    <mergeCell ref="U50:V51"/>
    <mergeCell ref="W50:Y51"/>
    <mergeCell ref="Z50:AA51"/>
    <mergeCell ref="AB50:AD51"/>
    <mergeCell ref="BI48:BI49"/>
    <mergeCell ref="BJ48:BM48"/>
    <mergeCell ref="BN48:BN49"/>
    <mergeCell ref="BO48:BR48"/>
    <mergeCell ref="A50:B51"/>
    <mergeCell ref="C50:E51"/>
    <mergeCell ref="F50:G51"/>
    <mergeCell ref="H50:J51"/>
    <mergeCell ref="K50:L51"/>
    <mergeCell ref="M50:O51"/>
    <mergeCell ref="AT48:AT49"/>
    <mergeCell ref="AU48:AX48"/>
    <mergeCell ref="AY48:AY49"/>
    <mergeCell ref="AZ48:BC48"/>
    <mergeCell ref="BD48:BD49"/>
    <mergeCell ref="BE48:BH48"/>
    <mergeCell ref="AE48:AE49"/>
    <mergeCell ref="AF48:AI48"/>
    <mergeCell ref="AJ48:AJ49"/>
    <mergeCell ref="AK48:AN48"/>
    <mergeCell ref="BI52:BM53"/>
    <mergeCell ref="BN52:BR53"/>
    <mergeCell ref="A54:A55"/>
    <mergeCell ref="B54:E54"/>
    <mergeCell ref="F54:F55"/>
    <mergeCell ref="G54:J54"/>
    <mergeCell ref="K54:K55"/>
    <mergeCell ref="L54:O54"/>
    <mergeCell ref="P54:P55"/>
    <mergeCell ref="Q54:T54"/>
    <mergeCell ref="AE52:AI53"/>
    <mergeCell ref="AJ52:AN53"/>
    <mergeCell ref="AO52:AS53"/>
    <mergeCell ref="AT52:AX53"/>
    <mergeCell ref="AY52:BC53"/>
    <mergeCell ref="BD52:BH53"/>
    <mergeCell ref="BI50:BJ51"/>
    <mergeCell ref="BK50:BM51"/>
    <mergeCell ref="BN50:BO51"/>
    <mergeCell ref="BP50:BR51"/>
    <mergeCell ref="A52:E53"/>
    <mergeCell ref="F52:J53"/>
    <mergeCell ref="K52:O53"/>
    <mergeCell ref="P52:T53"/>
    <mergeCell ref="U52:Y53"/>
    <mergeCell ref="Z52:AD53"/>
    <mergeCell ref="AT50:AU51"/>
    <mergeCell ref="AV50:AX51"/>
    <mergeCell ref="AY50:AZ51"/>
    <mergeCell ref="BA50:BC51"/>
    <mergeCell ref="BD50:BE51"/>
    <mergeCell ref="BF50:BH51"/>
    <mergeCell ref="BN54:BN55"/>
    <mergeCell ref="BO54:BR54"/>
    <mergeCell ref="A56:B57"/>
    <mergeCell ref="C56:E57"/>
    <mergeCell ref="F56:G57"/>
    <mergeCell ref="H56:J57"/>
    <mergeCell ref="K56:L57"/>
    <mergeCell ref="M56:O57"/>
    <mergeCell ref="P56:Q57"/>
    <mergeCell ref="R56:T57"/>
    <mergeCell ref="AY54:AY55"/>
    <mergeCell ref="AZ54:BC54"/>
    <mergeCell ref="BD54:BD55"/>
    <mergeCell ref="BE54:BH54"/>
    <mergeCell ref="BI54:BI55"/>
    <mergeCell ref="BJ54:BM54"/>
    <mergeCell ref="AJ54:AJ55"/>
    <mergeCell ref="AK54:AN54"/>
    <mergeCell ref="AO54:AO55"/>
    <mergeCell ref="AP54:AS54"/>
    <mergeCell ref="AT54:AT55"/>
    <mergeCell ref="AU54:AX54"/>
    <mergeCell ref="U54:U55"/>
    <mergeCell ref="V54:Y54"/>
    <mergeCell ref="Z54:Z55"/>
    <mergeCell ref="AA54:AD54"/>
    <mergeCell ref="AE54:AE55"/>
    <mergeCell ref="AF54:AI54"/>
    <mergeCell ref="BD58:BH59"/>
    <mergeCell ref="BI58:BM59"/>
    <mergeCell ref="BN58:BR59"/>
    <mergeCell ref="BN56:BO57"/>
    <mergeCell ref="BP56:BR57"/>
    <mergeCell ref="A58:E59"/>
    <mergeCell ref="F58:J59"/>
    <mergeCell ref="K58:O59"/>
    <mergeCell ref="P58:T59"/>
    <mergeCell ref="U58:Y59"/>
    <mergeCell ref="Z58:AD59"/>
    <mergeCell ref="AE58:AI59"/>
    <mergeCell ref="AJ58:AN59"/>
    <mergeCell ref="AY56:AZ57"/>
    <mergeCell ref="BA56:BC57"/>
    <mergeCell ref="BD56:BE57"/>
    <mergeCell ref="BF56:BH57"/>
    <mergeCell ref="BI56:BJ57"/>
    <mergeCell ref="BK56:BM57"/>
    <mergeCell ref="AJ56:AK57"/>
    <mergeCell ref="AL56:AN57"/>
    <mergeCell ref="AO56:AP57"/>
    <mergeCell ref="AQ56:AS57"/>
    <mergeCell ref="AT56:AU57"/>
    <mergeCell ref="AV56:AX57"/>
    <mergeCell ref="U56:V57"/>
    <mergeCell ref="W56:Y57"/>
    <mergeCell ref="Z56:AA57"/>
    <mergeCell ref="AB56:AD57"/>
    <mergeCell ref="AE56:AF57"/>
    <mergeCell ref="AG56:AI57"/>
    <mergeCell ref="AO60:AO61"/>
    <mergeCell ref="AP60:AS60"/>
    <mergeCell ref="P60:P61"/>
    <mergeCell ref="Q60:T60"/>
    <mergeCell ref="U60:U61"/>
    <mergeCell ref="V60:Y60"/>
    <mergeCell ref="Z60:Z61"/>
    <mergeCell ref="AA60:AD60"/>
    <mergeCell ref="A60:A61"/>
    <mergeCell ref="B60:E60"/>
    <mergeCell ref="F60:F61"/>
    <mergeCell ref="G60:J60"/>
    <mergeCell ref="K60:K61"/>
    <mergeCell ref="L60:O60"/>
    <mergeCell ref="AO58:AS59"/>
    <mergeCell ref="AT58:AX59"/>
    <mergeCell ref="AY58:BC59"/>
    <mergeCell ref="AE62:AF63"/>
    <mergeCell ref="AG62:AI63"/>
    <mergeCell ref="AJ62:AK63"/>
    <mergeCell ref="AL62:AN63"/>
    <mergeCell ref="AO62:AP63"/>
    <mergeCell ref="AQ62:AS63"/>
    <mergeCell ref="P62:Q63"/>
    <mergeCell ref="R62:T63"/>
    <mergeCell ref="U62:V63"/>
    <mergeCell ref="W62:Y63"/>
    <mergeCell ref="Z62:AA63"/>
    <mergeCell ref="AB62:AD63"/>
    <mergeCell ref="BI60:BI61"/>
    <mergeCell ref="BJ60:BM60"/>
    <mergeCell ref="BN60:BN61"/>
    <mergeCell ref="BO60:BR60"/>
    <mergeCell ref="A62:B63"/>
    <mergeCell ref="C62:E63"/>
    <mergeCell ref="F62:G63"/>
    <mergeCell ref="H62:J63"/>
    <mergeCell ref="K62:L63"/>
    <mergeCell ref="M62:O63"/>
    <mergeCell ref="AT60:AT61"/>
    <mergeCell ref="AU60:AX60"/>
    <mergeCell ref="AY60:AY61"/>
    <mergeCell ref="AZ60:BC60"/>
    <mergeCell ref="BD60:BD61"/>
    <mergeCell ref="BE60:BH60"/>
    <mergeCell ref="AE60:AE61"/>
    <mergeCell ref="AF60:AI60"/>
    <mergeCell ref="AJ60:AJ61"/>
    <mergeCell ref="AK60:AN60"/>
    <mergeCell ref="BI64:BM65"/>
    <mergeCell ref="BN64:BR65"/>
    <mergeCell ref="A66:A67"/>
    <mergeCell ref="B66:E66"/>
    <mergeCell ref="F66:F67"/>
    <mergeCell ref="G66:J66"/>
    <mergeCell ref="K66:K67"/>
    <mergeCell ref="L66:O66"/>
    <mergeCell ref="P66:P67"/>
    <mergeCell ref="Q66:T66"/>
    <mergeCell ref="AE64:AI65"/>
    <mergeCell ref="AJ64:AN65"/>
    <mergeCell ref="AO64:AS65"/>
    <mergeCell ref="AT64:AX65"/>
    <mergeCell ref="AY64:BC65"/>
    <mergeCell ref="BD64:BH65"/>
    <mergeCell ref="BI62:BJ63"/>
    <mergeCell ref="BK62:BM63"/>
    <mergeCell ref="BN62:BO63"/>
    <mergeCell ref="BP62:BR63"/>
    <mergeCell ref="A64:E65"/>
    <mergeCell ref="F64:J65"/>
    <mergeCell ref="K64:O65"/>
    <mergeCell ref="P64:T65"/>
    <mergeCell ref="U64:Y65"/>
    <mergeCell ref="Z64:AD65"/>
    <mergeCell ref="AT62:AU63"/>
    <mergeCell ref="AV62:AX63"/>
    <mergeCell ref="AY62:AZ63"/>
    <mergeCell ref="BA62:BC63"/>
    <mergeCell ref="BD62:BE63"/>
    <mergeCell ref="BF62:BH63"/>
    <mergeCell ref="BN66:BN67"/>
    <mergeCell ref="BO66:BR66"/>
    <mergeCell ref="A68:B69"/>
    <mergeCell ref="C68:E69"/>
    <mergeCell ref="F68:G69"/>
    <mergeCell ref="H68:J69"/>
    <mergeCell ref="K68:L69"/>
    <mergeCell ref="M68:O69"/>
    <mergeCell ref="P68:Q69"/>
    <mergeCell ref="R68:T69"/>
    <mergeCell ref="AY66:AY67"/>
    <mergeCell ref="AZ66:BC66"/>
    <mergeCell ref="BD66:BD67"/>
    <mergeCell ref="BE66:BH66"/>
    <mergeCell ref="BI66:BI67"/>
    <mergeCell ref="BJ66:BM66"/>
    <mergeCell ref="AJ66:AJ67"/>
    <mergeCell ref="AK66:AN66"/>
    <mergeCell ref="AO66:AO67"/>
    <mergeCell ref="AP66:AS66"/>
    <mergeCell ref="AT66:AT67"/>
    <mergeCell ref="AU66:AX66"/>
    <mergeCell ref="U66:U67"/>
    <mergeCell ref="V66:Y66"/>
    <mergeCell ref="Z66:Z67"/>
    <mergeCell ref="AA66:AD66"/>
    <mergeCell ref="AE66:AE67"/>
    <mergeCell ref="AF66:AI66"/>
    <mergeCell ref="BD70:BH71"/>
    <mergeCell ref="BI70:BM71"/>
    <mergeCell ref="BN70:BR71"/>
    <mergeCell ref="BN68:BO69"/>
    <mergeCell ref="BP68:BR69"/>
    <mergeCell ref="A70:E71"/>
    <mergeCell ref="F70:J71"/>
    <mergeCell ref="K70:O71"/>
    <mergeCell ref="P70:T71"/>
    <mergeCell ref="U70:Y71"/>
    <mergeCell ref="Z70:AD71"/>
    <mergeCell ref="AE70:AI71"/>
    <mergeCell ref="AJ70:AN71"/>
    <mergeCell ref="AY68:AZ69"/>
    <mergeCell ref="BA68:BC69"/>
    <mergeCell ref="BD68:BE69"/>
    <mergeCell ref="BF68:BH69"/>
    <mergeCell ref="BI68:BJ69"/>
    <mergeCell ref="BK68:BM69"/>
    <mergeCell ref="AJ68:AK69"/>
    <mergeCell ref="AL68:AN69"/>
    <mergeCell ref="AO68:AP69"/>
    <mergeCell ref="AQ68:AS69"/>
    <mergeCell ref="AT68:AU69"/>
    <mergeCell ref="AV68:AX69"/>
    <mergeCell ref="U68:V69"/>
    <mergeCell ref="W68:Y69"/>
    <mergeCell ref="Z68:AA69"/>
    <mergeCell ref="AB68:AD69"/>
    <mergeCell ref="AE68:AF69"/>
    <mergeCell ref="AG68:AI69"/>
    <mergeCell ref="AO72:AO73"/>
    <mergeCell ref="AP72:AS72"/>
    <mergeCell ref="P72:P73"/>
    <mergeCell ref="Q72:T72"/>
    <mergeCell ref="U72:U73"/>
    <mergeCell ref="V72:Y72"/>
    <mergeCell ref="Z72:Z73"/>
    <mergeCell ref="AA72:AD72"/>
    <mergeCell ref="A72:A73"/>
    <mergeCell ref="B72:E72"/>
    <mergeCell ref="F72:F73"/>
    <mergeCell ref="G72:J72"/>
    <mergeCell ref="K72:K73"/>
    <mergeCell ref="L72:O72"/>
    <mergeCell ref="AO70:AS71"/>
    <mergeCell ref="AT70:AX71"/>
    <mergeCell ref="AY70:BC71"/>
    <mergeCell ref="AE74:AF75"/>
    <mergeCell ref="AG74:AI75"/>
    <mergeCell ref="AJ74:AK75"/>
    <mergeCell ref="AL74:AN75"/>
    <mergeCell ref="AO74:AP75"/>
    <mergeCell ref="AQ74:AS75"/>
    <mergeCell ref="P74:Q75"/>
    <mergeCell ref="R74:T75"/>
    <mergeCell ref="U74:V75"/>
    <mergeCell ref="W74:Y75"/>
    <mergeCell ref="Z74:AA75"/>
    <mergeCell ref="AB74:AD75"/>
    <mergeCell ref="BI72:BI73"/>
    <mergeCell ref="BJ72:BM72"/>
    <mergeCell ref="BN72:BN73"/>
    <mergeCell ref="BO72:BR72"/>
    <mergeCell ref="A74:B75"/>
    <mergeCell ref="C74:E75"/>
    <mergeCell ref="F74:G75"/>
    <mergeCell ref="H74:J75"/>
    <mergeCell ref="K74:L75"/>
    <mergeCell ref="M74:O75"/>
    <mergeCell ref="AT72:AT73"/>
    <mergeCell ref="AU72:AX72"/>
    <mergeCell ref="AY72:AY73"/>
    <mergeCell ref="AZ72:BC72"/>
    <mergeCell ref="BD72:BD73"/>
    <mergeCell ref="BE72:BH72"/>
    <mergeCell ref="AE72:AE73"/>
    <mergeCell ref="AF72:AI72"/>
    <mergeCell ref="AJ72:AJ73"/>
    <mergeCell ref="AK72:AN72"/>
    <mergeCell ref="BI76:BM77"/>
    <mergeCell ref="BN76:BR77"/>
    <mergeCell ref="A78:A79"/>
    <mergeCell ref="B78:E78"/>
    <mergeCell ref="F78:F79"/>
    <mergeCell ref="G78:J78"/>
    <mergeCell ref="K78:K79"/>
    <mergeCell ref="L78:O78"/>
    <mergeCell ref="P78:P79"/>
    <mergeCell ref="Q78:T78"/>
    <mergeCell ref="AE76:AI77"/>
    <mergeCell ref="AJ76:AN77"/>
    <mergeCell ref="AO76:AS77"/>
    <mergeCell ref="AT76:AX77"/>
    <mergeCell ref="AY76:BC77"/>
    <mergeCell ref="BD76:BH77"/>
    <mergeCell ref="BI74:BJ75"/>
    <mergeCell ref="BK74:BM75"/>
    <mergeCell ref="BN74:BO75"/>
    <mergeCell ref="BP74:BR75"/>
    <mergeCell ref="A76:E77"/>
    <mergeCell ref="F76:J77"/>
    <mergeCell ref="K76:O77"/>
    <mergeCell ref="P76:T77"/>
    <mergeCell ref="U76:Y77"/>
    <mergeCell ref="Z76:AD77"/>
    <mergeCell ref="AT74:AU75"/>
    <mergeCell ref="AV74:AX75"/>
    <mergeCell ref="AY74:AZ75"/>
    <mergeCell ref="BA74:BC75"/>
    <mergeCell ref="BD74:BE75"/>
    <mergeCell ref="BF74:BH75"/>
    <mergeCell ref="BN78:BN79"/>
    <mergeCell ref="BO78:BR78"/>
    <mergeCell ref="A80:B81"/>
    <mergeCell ref="C80:E81"/>
    <mergeCell ref="F80:G81"/>
    <mergeCell ref="H80:J81"/>
    <mergeCell ref="K80:L81"/>
    <mergeCell ref="M80:O81"/>
    <mergeCell ref="P80:Q81"/>
    <mergeCell ref="R80:T81"/>
    <mergeCell ref="AY78:AY79"/>
    <mergeCell ref="AZ78:BC78"/>
    <mergeCell ref="BD78:BD79"/>
    <mergeCell ref="BE78:BH78"/>
    <mergeCell ref="BI78:BI79"/>
    <mergeCell ref="BJ78:BM78"/>
    <mergeCell ref="AJ78:AJ79"/>
    <mergeCell ref="AK78:AN78"/>
    <mergeCell ref="AO78:AO79"/>
    <mergeCell ref="AP78:AS78"/>
    <mergeCell ref="AT78:AT79"/>
    <mergeCell ref="AU78:AX78"/>
    <mergeCell ref="U78:U79"/>
    <mergeCell ref="V78:Y78"/>
    <mergeCell ref="Z78:Z79"/>
    <mergeCell ref="AA78:AD78"/>
    <mergeCell ref="AE78:AE79"/>
    <mergeCell ref="AF78:AI78"/>
    <mergeCell ref="BD82:BH83"/>
    <mergeCell ref="BI82:BM83"/>
    <mergeCell ref="BN82:BR83"/>
    <mergeCell ref="BN80:BO81"/>
    <mergeCell ref="BP80:BR81"/>
    <mergeCell ref="A82:E83"/>
    <mergeCell ref="F82:J83"/>
    <mergeCell ref="K82:O83"/>
    <mergeCell ref="P82:T83"/>
    <mergeCell ref="U82:Y83"/>
    <mergeCell ref="Z82:AD83"/>
    <mergeCell ref="AE82:AI83"/>
    <mergeCell ref="AJ82:AN83"/>
    <mergeCell ref="AY80:AZ81"/>
    <mergeCell ref="BA80:BC81"/>
    <mergeCell ref="BD80:BE81"/>
    <mergeCell ref="BF80:BH81"/>
    <mergeCell ref="BI80:BJ81"/>
    <mergeCell ref="BK80:BM81"/>
    <mergeCell ref="AJ80:AK81"/>
    <mergeCell ref="AL80:AN81"/>
    <mergeCell ref="AO80:AP81"/>
    <mergeCell ref="AQ80:AS81"/>
    <mergeCell ref="AT80:AU81"/>
    <mergeCell ref="AV80:AX81"/>
    <mergeCell ref="U80:V81"/>
    <mergeCell ref="W80:Y81"/>
    <mergeCell ref="Z80:AA81"/>
    <mergeCell ref="AB80:AD81"/>
    <mergeCell ref="AE80:AF81"/>
    <mergeCell ref="AG80:AI81"/>
    <mergeCell ref="AO84:AO85"/>
    <mergeCell ref="AP84:AS84"/>
    <mergeCell ref="P84:P85"/>
    <mergeCell ref="Q84:T84"/>
    <mergeCell ref="U84:U85"/>
    <mergeCell ref="V84:Y84"/>
    <mergeCell ref="Z84:Z85"/>
    <mergeCell ref="AA84:AD84"/>
    <mergeCell ref="A84:A85"/>
    <mergeCell ref="B84:E84"/>
    <mergeCell ref="F84:F85"/>
    <mergeCell ref="G84:J84"/>
    <mergeCell ref="K84:K85"/>
    <mergeCell ref="L84:O84"/>
    <mergeCell ref="AO82:AS83"/>
    <mergeCell ref="AT82:AX83"/>
    <mergeCell ref="AY82:BC83"/>
    <mergeCell ref="AE86:AF87"/>
    <mergeCell ref="AG86:AI87"/>
    <mergeCell ref="AJ86:AK87"/>
    <mergeCell ref="AL86:AN87"/>
    <mergeCell ref="AO86:AP87"/>
    <mergeCell ref="AQ86:AS87"/>
    <mergeCell ref="P86:Q87"/>
    <mergeCell ref="R86:T87"/>
    <mergeCell ref="U86:V87"/>
    <mergeCell ref="W86:Y87"/>
    <mergeCell ref="Z86:AA87"/>
    <mergeCell ref="AB86:AD87"/>
    <mergeCell ref="BI84:BI85"/>
    <mergeCell ref="BJ84:BM84"/>
    <mergeCell ref="BN84:BN85"/>
    <mergeCell ref="BO84:BR84"/>
    <mergeCell ref="A86:B87"/>
    <mergeCell ref="C86:E87"/>
    <mergeCell ref="F86:G87"/>
    <mergeCell ref="H86:J87"/>
    <mergeCell ref="K86:L87"/>
    <mergeCell ref="M86:O87"/>
    <mergeCell ref="AT84:AT85"/>
    <mergeCell ref="AU84:AX84"/>
    <mergeCell ref="AY84:AY85"/>
    <mergeCell ref="AZ84:BC84"/>
    <mergeCell ref="BD84:BD85"/>
    <mergeCell ref="BE84:BH84"/>
    <mergeCell ref="AE84:AE85"/>
    <mergeCell ref="AF84:AI84"/>
    <mergeCell ref="AJ84:AJ85"/>
    <mergeCell ref="AK84:AN84"/>
    <mergeCell ref="BI88:BM89"/>
    <mergeCell ref="BN88:BR89"/>
    <mergeCell ref="A90:A91"/>
    <mergeCell ref="B90:E90"/>
    <mergeCell ref="F90:F91"/>
    <mergeCell ref="G90:J90"/>
    <mergeCell ref="K90:K91"/>
    <mergeCell ref="L90:O90"/>
    <mergeCell ref="P90:P91"/>
    <mergeCell ref="Q90:T90"/>
    <mergeCell ref="AE88:AI89"/>
    <mergeCell ref="AJ88:AN89"/>
    <mergeCell ref="AO88:AS89"/>
    <mergeCell ref="AT88:AX89"/>
    <mergeCell ref="AY88:BC89"/>
    <mergeCell ref="BD88:BH89"/>
    <mergeCell ref="BI86:BJ87"/>
    <mergeCell ref="BK86:BM87"/>
    <mergeCell ref="BN86:BO87"/>
    <mergeCell ref="BP86:BR87"/>
    <mergeCell ref="A88:E89"/>
    <mergeCell ref="F88:J89"/>
    <mergeCell ref="K88:O89"/>
    <mergeCell ref="P88:T89"/>
    <mergeCell ref="U88:Y89"/>
    <mergeCell ref="Z88:AD89"/>
    <mergeCell ref="AT86:AU87"/>
    <mergeCell ref="AV86:AX87"/>
    <mergeCell ref="AY86:AZ87"/>
    <mergeCell ref="BA86:BC87"/>
    <mergeCell ref="BD86:BE87"/>
    <mergeCell ref="BF86:BH87"/>
    <mergeCell ref="AE92:AF93"/>
    <mergeCell ref="AG92:AI93"/>
    <mergeCell ref="BN90:BN91"/>
    <mergeCell ref="BO90:BR90"/>
    <mergeCell ref="A92:B93"/>
    <mergeCell ref="C92:E93"/>
    <mergeCell ref="F92:G93"/>
    <mergeCell ref="H92:J93"/>
    <mergeCell ref="K92:L93"/>
    <mergeCell ref="M92:O93"/>
    <mergeCell ref="P92:Q93"/>
    <mergeCell ref="R92:T93"/>
    <mergeCell ref="AY90:AY91"/>
    <mergeCell ref="AZ90:BC90"/>
    <mergeCell ref="BD90:BD91"/>
    <mergeCell ref="BE90:BH90"/>
    <mergeCell ref="BI90:BI91"/>
    <mergeCell ref="BJ90:BM90"/>
    <mergeCell ref="AJ90:AJ91"/>
    <mergeCell ref="AK90:AN90"/>
    <mergeCell ref="AO90:AO91"/>
    <mergeCell ref="AP90:AS90"/>
    <mergeCell ref="AT90:AT91"/>
    <mergeCell ref="AU90:AX90"/>
    <mergeCell ref="U90:U91"/>
    <mergeCell ref="V90:Y90"/>
    <mergeCell ref="Z90:Z91"/>
    <mergeCell ref="AA90:AD90"/>
    <mergeCell ref="AE90:AE91"/>
    <mergeCell ref="AF90:AI90"/>
    <mergeCell ref="AO94:AS95"/>
    <mergeCell ref="AT94:AX95"/>
    <mergeCell ref="AY94:BC95"/>
    <mergeCell ref="BD94:BH95"/>
    <mergeCell ref="BI94:BM95"/>
    <mergeCell ref="BN94:BR95"/>
    <mergeCell ref="BN92:BO93"/>
    <mergeCell ref="BP92:BR93"/>
    <mergeCell ref="A94:E95"/>
    <mergeCell ref="F94:J95"/>
    <mergeCell ref="K94:O95"/>
    <mergeCell ref="P94:T95"/>
    <mergeCell ref="U94:Y95"/>
    <mergeCell ref="Z94:AD95"/>
    <mergeCell ref="AE94:AI95"/>
    <mergeCell ref="AJ94:AN95"/>
    <mergeCell ref="AY92:AZ93"/>
    <mergeCell ref="BA92:BC93"/>
    <mergeCell ref="BD92:BE93"/>
    <mergeCell ref="BF92:BH93"/>
    <mergeCell ref="BI92:BJ93"/>
    <mergeCell ref="BK92:BM93"/>
    <mergeCell ref="AJ92:AK93"/>
    <mergeCell ref="AL92:AN93"/>
    <mergeCell ref="AO92:AP93"/>
    <mergeCell ref="AQ92:AS93"/>
    <mergeCell ref="AT92:AU93"/>
    <mergeCell ref="AV92:AX93"/>
    <mergeCell ref="U92:V93"/>
    <mergeCell ref="W92:Y93"/>
    <mergeCell ref="Z92:AA93"/>
    <mergeCell ref="AB92:AD93"/>
    <mergeCell ref="BI96:BI97"/>
    <mergeCell ref="BJ96:BM96"/>
    <mergeCell ref="BN96:BN97"/>
    <mergeCell ref="BO96:BR96"/>
    <mergeCell ref="H106:K108"/>
    <mergeCell ref="AK106:AU109"/>
    <mergeCell ref="AV106:BG109"/>
    <mergeCell ref="BH106:BL115"/>
    <mergeCell ref="BM106:BP109"/>
    <mergeCell ref="AT96:AT97"/>
    <mergeCell ref="AU96:AX96"/>
    <mergeCell ref="AY96:AY97"/>
    <mergeCell ref="AZ96:BC96"/>
    <mergeCell ref="BD96:BD97"/>
    <mergeCell ref="BE96:BH96"/>
    <mergeCell ref="AE96:AE97"/>
    <mergeCell ref="AF96:AI96"/>
    <mergeCell ref="AJ96:AJ97"/>
    <mergeCell ref="AK96:AN96"/>
    <mergeCell ref="AO96:AO97"/>
    <mergeCell ref="AP96:AS96"/>
    <mergeCell ref="P96:P97"/>
    <mergeCell ref="Q96:T96"/>
    <mergeCell ref="U96:U97"/>
    <mergeCell ref="V96:Y96"/>
    <mergeCell ref="Z96:Z97"/>
    <mergeCell ref="AA96:AD96"/>
    <mergeCell ref="G96:J96"/>
    <mergeCell ref="K96:K97"/>
    <mergeCell ref="L96:O96"/>
    <mergeCell ref="AW127:BF129"/>
    <mergeCell ref="AJ130:AL133"/>
    <mergeCell ref="AM130:AO133"/>
    <mergeCell ref="AP130:AQ133"/>
    <mergeCell ref="AR130:AS133"/>
    <mergeCell ref="AW130:BF131"/>
    <mergeCell ref="AW132:BF134"/>
    <mergeCell ref="M116:P120"/>
    <mergeCell ref="AB127:AF133"/>
    <mergeCell ref="AJ127:AL129"/>
    <mergeCell ref="AM127:AO129"/>
    <mergeCell ref="AP127:AQ129"/>
    <mergeCell ref="AR127:AS129"/>
    <mergeCell ref="BQ106:BS109"/>
    <mergeCell ref="H109:K111"/>
    <mergeCell ref="AK110:AU115"/>
    <mergeCell ref="AV110:BG115"/>
    <mergeCell ref="BM110:BS113"/>
    <mergeCell ref="B112:P115"/>
    <mergeCell ref="BM114:BS115"/>
    <mergeCell ref="CB138:CC140"/>
    <mergeCell ref="CD138:CE140"/>
    <mergeCell ref="CI138:CR140"/>
    <mergeCell ref="AL140:AN142"/>
    <mergeCell ref="AO140:AQ142"/>
    <mergeCell ref="AR140:AU142"/>
    <mergeCell ref="AW141:BF145"/>
    <mergeCell ref="BV141:BX144"/>
    <mergeCell ref="BY141:CA144"/>
    <mergeCell ref="CB141:CC144"/>
    <mergeCell ref="BV133:BY134"/>
    <mergeCell ref="AW135:BF136"/>
    <mergeCell ref="AL137:AN139"/>
    <mergeCell ref="AO137:AQ139"/>
    <mergeCell ref="AR137:AU139"/>
    <mergeCell ref="AW137:BF140"/>
    <mergeCell ref="BV138:BX140"/>
    <mergeCell ref="BY138:CA140"/>
    <mergeCell ref="BX151:BZ153"/>
    <mergeCell ref="CA151:CC153"/>
    <mergeCell ref="CD151:CG153"/>
    <mergeCell ref="CI152:CR156"/>
    <mergeCell ref="AJ154:AL156"/>
    <mergeCell ref="AM154:AO156"/>
    <mergeCell ref="AP154:AQ156"/>
    <mergeCell ref="AR154:AS156"/>
    <mergeCell ref="AW154:BF156"/>
    <mergeCell ref="AO146:AQ148"/>
    <mergeCell ref="AR146:AU148"/>
    <mergeCell ref="CI146:CR147"/>
    <mergeCell ref="BX148:BZ150"/>
    <mergeCell ref="CA148:CC150"/>
    <mergeCell ref="CD148:CG150"/>
    <mergeCell ref="CI148:CR151"/>
    <mergeCell ref="CD141:CE144"/>
    <mergeCell ref="CI141:CR142"/>
    <mergeCell ref="AL143:AN144"/>
    <mergeCell ref="AO143:AQ144"/>
    <mergeCell ref="AR143:AU144"/>
    <mergeCell ref="CI143:CR145"/>
    <mergeCell ref="AL145:AN145"/>
    <mergeCell ref="AO145:AQ145"/>
    <mergeCell ref="AR145:AU145"/>
    <mergeCell ref="AW164:BF167"/>
    <mergeCell ref="AL167:AN169"/>
    <mergeCell ref="AO167:AQ169"/>
    <mergeCell ref="AR167:AU169"/>
    <mergeCell ref="AW168:BF172"/>
    <mergeCell ref="BX154:BZ156"/>
    <mergeCell ref="CA154:CC156"/>
    <mergeCell ref="CD154:CG156"/>
    <mergeCell ref="AJ157:AL160"/>
    <mergeCell ref="AM157:AO160"/>
    <mergeCell ref="AP157:AQ160"/>
    <mergeCell ref="AR157:AS160"/>
    <mergeCell ref="AW157:BF158"/>
    <mergeCell ref="CA157:CC159"/>
    <mergeCell ref="CD157:CG159"/>
    <mergeCell ref="AW159:BF161"/>
    <mergeCell ref="AW162:BF163"/>
    <mergeCell ref="AK192:AM195"/>
    <mergeCell ref="AN192:AP195"/>
    <mergeCell ref="AQ192:AR195"/>
    <mergeCell ref="AS192:AU195"/>
    <mergeCell ref="A4:E5"/>
    <mergeCell ref="F4:J5"/>
    <mergeCell ref="K4:O5"/>
    <mergeCell ref="P4:T5"/>
    <mergeCell ref="U4:Y5"/>
    <mergeCell ref="Z4:AD5"/>
    <mergeCell ref="AL170:AN172"/>
    <mergeCell ref="AO170:AQ172"/>
    <mergeCell ref="AR170:AU172"/>
    <mergeCell ref="AO173:AQ175"/>
    <mergeCell ref="AR173:AU175"/>
    <mergeCell ref="AK189:AM191"/>
    <mergeCell ref="AN189:AP191"/>
    <mergeCell ref="AQ189:AR191"/>
    <mergeCell ref="AS189:AT191"/>
    <mergeCell ref="AL164:AN166"/>
    <mergeCell ref="AG16:AI17"/>
    <mergeCell ref="AJ16:AK17"/>
    <mergeCell ref="AL16:AN17"/>
    <mergeCell ref="AO16:AP17"/>
    <mergeCell ref="X110:AJ115"/>
    <mergeCell ref="X105:AJ109"/>
    <mergeCell ref="AO164:AQ166"/>
    <mergeCell ref="AR164:AU166"/>
    <mergeCell ref="AI150:AL152"/>
    <mergeCell ref="A96:A97"/>
    <mergeCell ref="B96:E96"/>
    <mergeCell ref="F96:F97"/>
    <mergeCell ref="BN28:BR29"/>
    <mergeCell ref="A34:E35"/>
    <mergeCell ref="F34:J35"/>
    <mergeCell ref="K34:O35"/>
    <mergeCell ref="P34:T35"/>
    <mergeCell ref="U34:Y35"/>
    <mergeCell ref="Z34:AD35"/>
    <mergeCell ref="AE34:AI35"/>
    <mergeCell ref="AJ34:AN35"/>
    <mergeCell ref="AO34:AS35"/>
    <mergeCell ref="A28:E29"/>
    <mergeCell ref="F28:J29"/>
    <mergeCell ref="P28:T29"/>
    <mergeCell ref="U28:Y29"/>
    <mergeCell ref="Z28:AD29"/>
    <mergeCell ref="BN16:BR17"/>
    <mergeCell ref="A22:E23"/>
    <mergeCell ref="F22:J23"/>
    <mergeCell ref="K22:O23"/>
    <mergeCell ref="P22:T23"/>
    <mergeCell ref="U22:Y23"/>
    <mergeCell ref="Z22:AD23"/>
    <mergeCell ref="AE22:AI23"/>
    <mergeCell ref="AJ22:AN23"/>
    <mergeCell ref="AO22:AS23"/>
    <mergeCell ref="K28:L29"/>
    <mergeCell ref="M28:O29"/>
    <mergeCell ref="Z16:AA17"/>
    <mergeCell ref="AB16:AD17"/>
    <mergeCell ref="AE16:AF17"/>
    <mergeCell ref="BN34:BR35"/>
    <mergeCell ref="BN32:BO33"/>
  </mergeCells>
  <pageMargins left="0.25" right="0" top="0.4" bottom="0" header="0.3" footer="0.3"/>
  <pageSetup scale="26" orientation="landscape" r:id="rId1"/>
  <rowBreaks count="1" manualBreakCount="1">
    <brk id="67" max="69" man="1"/>
  </rowBreaks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06C50-B482-4137-B671-FDEE7474F1D2}">
  <sheetPr>
    <pageSetUpPr fitToPage="1"/>
  </sheetPr>
  <dimension ref="A1:CB77"/>
  <sheetViews>
    <sheetView view="pageBreakPreview" topLeftCell="A35" zoomScale="55" zoomScaleNormal="70" zoomScaleSheetLayoutView="55" zoomScalePageLayoutView="55" workbookViewId="0">
      <selection activeCell="AA64" sqref="AA64:AF71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140625" customWidth="1"/>
    <col min="47" max="47" width="10.71093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1" customWidth="1"/>
    <col min="62" max="62" width="56.7109375" customWidth="1"/>
    <col min="63" max="63" width="13" customWidth="1"/>
    <col min="64" max="64" width="7" customWidth="1"/>
  </cols>
  <sheetData>
    <row r="1" spans="1:80" ht="249.75" customHeight="1" thickBot="1" x14ac:dyDescent="0.3"/>
    <row r="2" spans="1:80" ht="36" customHeight="1" thickTop="1" x14ac:dyDescent="0.25">
      <c r="A2" s="1371"/>
      <c r="B2" s="1371"/>
      <c r="C2" s="1371"/>
      <c r="D2" s="1371"/>
      <c r="E2" s="1370"/>
      <c r="F2" s="1371"/>
      <c r="G2" s="1371"/>
      <c r="H2" s="1371"/>
      <c r="I2" s="1371"/>
      <c r="J2" s="1370"/>
      <c r="K2" s="3124" t="s">
        <v>250</v>
      </c>
      <c r="L2" s="3125"/>
      <c r="M2" s="3125"/>
      <c r="N2" s="3126">
        <f>L7/((72*3.1415/59)*(95/3.281))</f>
        <v>3.4323380271464908E-3</v>
      </c>
      <c r="O2" s="3127"/>
      <c r="P2" s="3124" t="s">
        <v>250</v>
      </c>
      <c r="Q2" s="3125"/>
      <c r="R2" s="3125"/>
      <c r="S2" s="3126">
        <f t="shared" ref="S2" si="0">Q7/((72*3.1415/59)*(95/3.281))</f>
        <v>3.043339717403222E-2</v>
      </c>
      <c r="T2" s="3127"/>
      <c r="U2" s="3124" t="s">
        <v>250</v>
      </c>
      <c r="V2" s="3125"/>
      <c r="W2" s="3125"/>
      <c r="X2" s="3126">
        <f t="shared" ref="X2" si="1">V7/((72*3.1415/59)*(95/3.281))</f>
        <v>2.7386634127363075E-3</v>
      </c>
      <c r="Y2" s="3127"/>
      <c r="Z2" s="3124" t="s">
        <v>250</v>
      </c>
      <c r="AA2" s="3125"/>
      <c r="AB2" s="3125"/>
      <c r="AC2" s="3126">
        <f t="shared" ref="AC2" si="2">AA7/((72*3.1415/59)*(95/3.281))</f>
        <v>1.3500529573442863E-2</v>
      </c>
      <c r="AD2" s="3127"/>
      <c r="AE2" s="3124" t="s">
        <v>250</v>
      </c>
      <c r="AF2" s="3125"/>
      <c r="AG2" s="3125"/>
      <c r="AH2" s="3126">
        <f t="shared" ref="AH2" si="3">AF7/((72*3.1415/59)*(95/3.281))</f>
        <v>2.9512701776724156E-2</v>
      </c>
      <c r="AI2" s="3127"/>
      <c r="AJ2" s="1371"/>
      <c r="AK2" s="1371"/>
      <c r="AL2" s="1371"/>
      <c r="AM2" s="1371"/>
      <c r="AN2" s="1370"/>
      <c r="AO2" s="1371"/>
      <c r="AP2" s="1371"/>
      <c r="AQ2" s="1371"/>
      <c r="AR2" s="1371"/>
      <c r="AS2" s="1370"/>
      <c r="AT2" s="1371"/>
      <c r="AU2" s="1371"/>
      <c r="AV2" s="1371"/>
      <c r="AW2" s="1371"/>
      <c r="AX2" s="1370"/>
      <c r="AY2" s="674"/>
      <c r="AZ2" s="674"/>
      <c r="BA2" s="674"/>
      <c r="BB2" s="1300"/>
      <c r="BC2" s="1300"/>
      <c r="BD2" s="674"/>
      <c r="BE2" s="674"/>
      <c r="BF2" s="674"/>
      <c r="BG2" s="1300"/>
      <c r="BH2" s="1300"/>
      <c r="BM2" s="27"/>
      <c r="BN2" s="27"/>
      <c r="BO2" s="27"/>
      <c r="BP2" s="27"/>
      <c r="BQ2" s="27"/>
      <c r="BR2" s="27"/>
      <c r="BW2" s="27"/>
      <c r="BX2" s="27"/>
      <c r="BY2" s="27"/>
      <c r="BZ2" s="27"/>
      <c r="CA2" s="27"/>
      <c r="CB2" s="27"/>
    </row>
    <row r="3" spans="1:80" ht="9.9499999999999993" hidden="1" customHeight="1" x14ac:dyDescent="0.25">
      <c r="A3" s="32"/>
      <c r="B3" s="33"/>
      <c r="C3" s="34"/>
      <c r="D3" s="35"/>
      <c r="E3" s="1370"/>
      <c r="F3" s="32"/>
      <c r="G3" s="33"/>
      <c r="H3" s="34"/>
      <c r="I3" s="35"/>
      <c r="J3" s="1370"/>
      <c r="K3" s="1680" t="s">
        <v>111</v>
      </c>
      <c r="L3" s="1681"/>
      <c r="M3" s="1681"/>
      <c r="N3" s="1681"/>
      <c r="O3" s="1682"/>
      <c r="P3" s="1680" t="s">
        <v>111</v>
      </c>
      <c r="Q3" s="1681"/>
      <c r="R3" s="1681"/>
      <c r="S3" s="1681"/>
      <c r="T3" s="1682"/>
      <c r="U3" s="1680" t="s">
        <v>111</v>
      </c>
      <c r="V3" s="1681"/>
      <c r="W3" s="1681"/>
      <c r="X3" s="1681"/>
      <c r="Y3" s="1682"/>
      <c r="Z3" s="1680" t="s">
        <v>111</v>
      </c>
      <c r="AA3" s="1681"/>
      <c r="AB3" s="1681"/>
      <c r="AC3" s="1681"/>
      <c r="AD3" s="1682"/>
      <c r="AE3" s="1680" t="s">
        <v>111</v>
      </c>
      <c r="AF3" s="1681"/>
      <c r="AG3" s="1681"/>
      <c r="AH3" s="1681"/>
      <c r="AI3" s="1682"/>
      <c r="AJ3" s="32"/>
      <c r="AK3" s="33"/>
      <c r="AL3" s="34"/>
      <c r="AM3" s="35"/>
      <c r="AN3" s="1370"/>
      <c r="AO3" s="32"/>
      <c r="AP3" s="33"/>
      <c r="AQ3" s="34"/>
      <c r="AR3" s="35"/>
      <c r="AS3" s="1370"/>
      <c r="AT3" s="32"/>
      <c r="AU3" s="33"/>
      <c r="AV3" s="34"/>
      <c r="AW3" s="35"/>
      <c r="AX3" s="1370"/>
      <c r="AY3" s="676"/>
      <c r="AZ3" s="676"/>
      <c r="BA3" s="676"/>
      <c r="BB3" s="36"/>
      <c r="BC3" s="36"/>
      <c r="BD3" s="676"/>
      <c r="BE3" s="676"/>
      <c r="BF3" s="676"/>
      <c r="BG3" s="36"/>
      <c r="BH3" s="36"/>
    </row>
    <row r="4" spans="1:80" ht="24.95" hidden="1" customHeight="1" x14ac:dyDescent="0.25">
      <c r="A4" s="1371"/>
      <c r="B4" s="1371"/>
      <c r="C4" s="1371"/>
      <c r="D4" s="1371"/>
      <c r="E4" s="1370"/>
      <c r="F4" s="1371"/>
      <c r="G4" s="1371"/>
      <c r="H4" s="1371"/>
      <c r="I4" s="1371"/>
      <c r="J4" s="1370"/>
      <c r="K4" s="1683"/>
      <c r="L4" s="1684"/>
      <c r="M4" s="1684"/>
      <c r="N4" s="1684"/>
      <c r="O4" s="1685"/>
      <c r="P4" s="1683"/>
      <c r="Q4" s="1684"/>
      <c r="R4" s="1684"/>
      <c r="S4" s="1684"/>
      <c r="T4" s="1685"/>
      <c r="U4" s="1683"/>
      <c r="V4" s="1684"/>
      <c r="W4" s="1684"/>
      <c r="X4" s="1684"/>
      <c r="Y4" s="1685"/>
      <c r="Z4" s="1683"/>
      <c r="AA4" s="1684"/>
      <c r="AB4" s="1684"/>
      <c r="AC4" s="1684"/>
      <c r="AD4" s="1685"/>
      <c r="AE4" s="1683"/>
      <c r="AF4" s="1684"/>
      <c r="AG4" s="1684"/>
      <c r="AH4" s="1684"/>
      <c r="AI4" s="1685"/>
      <c r="AJ4" s="1371"/>
      <c r="AK4" s="1371"/>
      <c r="AL4" s="1371"/>
      <c r="AM4" s="1371"/>
      <c r="AN4" s="1370"/>
      <c r="AO4" s="1371"/>
      <c r="AP4" s="1371"/>
      <c r="AQ4" s="1371"/>
      <c r="AR4" s="1371"/>
      <c r="AS4" s="1370"/>
      <c r="AT4" s="1371"/>
      <c r="AU4" s="1371"/>
      <c r="AV4" s="1371"/>
      <c r="AW4" s="1371"/>
      <c r="AX4" s="1370"/>
      <c r="AY4" s="676"/>
      <c r="AZ4" s="676"/>
      <c r="BA4" s="676"/>
      <c r="BB4" s="36"/>
      <c r="BC4" s="36"/>
      <c r="BD4" s="676"/>
      <c r="BE4" s="676"/>
      <c r="BF4" s="676"/>
      <c r="BG4" s="36"/>
      <c r="BH4" s="36"/>
    </row>
    <row r="5" spans="1:80" ht="25.5" customHeight="1" x14ac:dyDescent="0.25">
      <c r="A5" s="32"/>
      <c r="B5" s="33"/>
      <c r="C5" s="34"/>
      <c r="D5" s="35"/>
      <c r="E5" s="1370"/>
      <c r="F5" s="32"/>
      <c r="G5" s="33"/>
      <c r="H5" s="34"/>
      <c r="I5" s="35"/>
      <c r="J5" s="1370"/>
      <c r="K5" s="1686"/>
      <c r="L5" s="1687"/>
      <c r="M5" s="1687"/>
      <c r="N5" s="1687"/>
      <c r="O5" s="1688"/>
      <c r="P5" s="1686"/>
      <c r="Q5" s="1687"/>
      <c r="R5" s="1687"/>
      <c r="S5" s="1687"/>
      <c r="T5" s="1688"/>
      <c r="U5" s="1686"/>
      <c r="V5" s="1687"/>
      <c r="W5" s="1687"/>
      <c r="X5" s="1687"/>
      <c r="Y5" s="1688"/>
      <c r="Z5" s="1686"/>
      <c r="AA5" s="1687"/>
      <c r="AB5" s="1687"/>
      <c r="AC5" s="1687"/>
      <c r="AD5" s="1688"/>
      <c r="AE5" s="1686"/>
      <c r="AF5" s="1687"/>
      <c r="AG5" s="1687"/>
      <c r="AH5" s="1687"/>
      <c r="AI5" s="1688"/>
      <c r="AJ5" s="32"/>
      <c r="AK5" s="33"/>
      <c r="AL5" s="34"/>
      <c r="AM5" s="35"/>
      <c r="AN5" s="1370"/>
      <c r="AO5" s="32"/>
      <c r="AP5" s="33"/>
      <c r="AQ5" s="34"/>
      <c r="AR5" s="35"/>
      <c r="AS5" s="1370"/>
      <c r="AT5" s="32"/>
      <c r="AU5" s="33"/>
      <c r="AV5" s="34"/>
      <c r="AW5" s="35"/>
      <c r="AX5" s="1370"/>
      <c r="AY5" s="676"/>
      <c r="AZ5" s="676"/>
      <c r="BA5" s="676"/>
      <c r="BB5" s="36"/>
      <c r="BC5" s="36"/>
      <c r="BD5" s="676"/>
      <c r="BE5" s="676"/>
      <c r="BF5" s="676"/>
      <c r="BG5" s="36"/>
      <c r="BH5" s="36"/>
    </row>
    <row r="6" spans="1:80" ht="72" customHeight="1" x14ac:dyDescent="0.25">
      <c r="A6" s="1371"/>
      <c r="B6" s="1371"/>
      <c r="C6" s="1371"/>
      <c r="D6" s="1371"/>
      <c r="E6" s="1370"/>
      <c r="F6" s="1371"/>
      <c r="G6" s="1371"/>
      <c r="H6" s="1371"/>
      <c r="I6" s="1371"/>
      <c r="J6" s="1370"/>
      <c r="K6" s="3141" t="s">
        <v>447</v>
      </c>
      <c r="L6" s="1714">
        <v>1</v>
      </c>
      <c r="M6" s="1715"/>
      <c r="N6" s="1715"/>
      <c r="O6" s="1716"/>
      <c r="P6" s="3141" t="s">
        <v>447</v>
      </c>
      <c r="Q6" s="1714">
        <v>2</v>
      </c>
      <c r="R6" s="1715"/>
      <c r="S6" s="1715"/>
      <c r="T6" s="1716"/>
      <c r="U6" s="3141" t="s">
        <v>447</v>
      </c>
      <c r="V6" s="1714">
        <v>3</v>
      </c>
      <c r="W6" s="1715"/>
      <c r="X6" s="1715"/>
      <c r="Y6" s="1716"/>
      <c r="Z6" s="3141" t="s">
        <v>447</v>
      </c>
      <c r="AA6" s="1714">
        <v>4</v>
      </c>
      <c r="AB6" s="1715"/>
      <c r="AC6" s="1715"/>
      <c r="AD6" s="1716"/>
      <c r="AE6" s="3141" t="s">
        <v>447</v>
      </c>
      <c r="AF6" s="1714">
        <v>5</v>
      </c>
      <c r="AG6" s="1715"/>
      <c r="AH6" s="1715"/>
      <c r="AI6" s="1716"/>
      <c r="AJ6" s="254"/>
      <c r="AK6" s="254"/>
      <c r="AL6" s="254"/>
      <c r="AM6" s="254"/>
      <c r="AN6" s="291"/>
      <c r="AO6" s="1371"/>
      <c r="AP6" s="1371"/>
      <c r="AQ6" s="1371"/>
      <c r="AR6" s="1371"/>
      <c r="AS6" s="1370"/>
      <c r="AT6" s="1371"/>
      <c r="AU6" s="1371"/>
      <c r="AV6" s="1371"/>
      <c r="AW6" s="1371"/>
      <c r="AX6" s="1370"/>
      <c r="AY6" s="677"/>
      <c r="AZ6" s="1332"/>
      <c r="BA6" s="1332"/>
      <c r="BB6" s="1332"/>
      <c r="BC6" s="1332"/>
      <c r="BD6" s="677"/>
      <c r="BE6" s="1332"/>
      <c r="BF6" s="1332"/>
      <c r="BG6" s="1332"/>
      <c r="BH6" s="1332"/>
      <c r="BM6" s="27"/>
      <c r="BN6" s="27"/>
      <c r="BO6" s="27"/>
      <c r="BP6" s="27"/>
      <c r="BQ6" s="27"/>
      <c r="BR6" s="27"/>
      <c r="BW6" s="27"/>
      <c r="BX6" s="27"/>
      <c r="BY6" s="27"/>
      <c r="BZ6" s="27"/>
      <c r="CA6" s="27"/>
      <c r="CB6" s="27"/>
    </row>
    <row r="7" spans="1:80" ht="35.1" customHeight="1" thickBot="1" x14ac:dyDescent="0.3">
      <c r="A7" s="32"/>
      <c r="B7" s="33"/>
      <c r="C7" s="34"/>
      <c r="D7" s="35"/>
      <c r="E7" s="1370"/>
      <c r="F7" s="32"/>
      <c r="G7" s="33"/>
      <c r="H7" s="34"/>
      <c r="I7" s="35"/>
      <c r="J7" s="1370"/>
      <c r="K7" s="3142"/>
      <c r="L7" s="241">
        <v>0.38100000000000001</v>
      </c>
      <c r="M7" s="242" t="s">
        <v>113</v>
      </c>
      <c r="N7" s="243">
        <v>1</v>
      </c>
      <c r="O7" s="244" t="s">
        <v>114</v>
      </c>
      <c r="P7" s="3142"/>
      <c r="Q7" s="241">
        <v>3.3782000000000001</v>
      </c>
      <c r="R7" s="242" t="s">
        <v>113</v>
      </c>
      <c r="S7" s="243">
        <v>1</v>
      </c>
      <c r="T7" s="244" t="s">
        <v>114</v>
      </c>
      <c r="U7" s="3142"/>
      <c r="V7" s="241">
        <v>0.30399999999999999</v>
      </c>
      <c r="W7" s="242" t="s">
        <v>113</v>
      </c>
      <c r="X7" s="243">
        <v>1</v>
      </c>
      <c r="Y7" s="244" t="s">
        <v>114</v>
      </c>
      <c r="Z7" s="3142"/>
      <c r="AA7" s="241">
        <v>1.4985999999999999</v>
      </c>
      <c r="AB7" s="242" t="s">
        <v>113</v>
      </c>
      <c r="AC7" s="243">
        <v>1</v>
      </c>
      <c r="AD7" s="244" t="s">
        <v>114</v>
      </c>
      <c r="AE7" s="3142"/>
      <c r="AF7" s="241">
        <v>3.2759999999999998</v>
      </c>
      <c r="AG7" s="242" t="s">
        <v>113</v>
      </c>
      <c r="AH7" s="243">
        <v>2</v>
      </c>
      <c r="AI7" s="244" t="s">
        <v>114</v>
      </c>
      <c r="AJ7" s="32"/>
      <c r="AK7" s="33"/>
      <c r="AL7" s="34"/>
      <c r="AM7" s="35"/>
      <c r="AN7" s="291"/>
      <c r="AO7" s="32"/>
      <c r="AP7" s="33"/>
      <c r="AQ7" s="34"/>
      <c r="AR7" s="35"/>
      <c r="AS7" s="1370"/>
      <c r="AT7" s="32"/>
      <c r="AU7" s="33"/>
      <c r="AV7" s="34"/>
      <c r="AW7" s="35"/>
      <c r="AX7" s="1370"/>
      <c r="AY7" s="677"/>
      <c r="AZ7" s="137"/>
      <c r="BA7" s="33"/>
      <c r="BB7" s="138"/>
      <c r="BC7" s="35"/>
      <c r="BD7" s="677"/>
      <c r="BE7" s="137"/>
      <c r="BF7" s="33"/>
      <c r="BG7" s="138"/>
      <c r="BH7" s="35"/>
      <c r="BM7" s="27"/>
      <c r="BN7" s="27"/>
      <c r="BO7" s="27"/>
      <c r="BP7" s="27"/>
      <c r="BQ7" s="27"/>
      <c r="BR7" s="27"/>
      <c r="BW7" s="27"/>
      <c r="BX7" s="27"/>
      <c r="BY7" s="27"/>
      <c r="BZ7" s="27"/>
      <c r="CA7" s="27"/>
      <c r="CB7" s="27"/>
    </row>
    <row r="8" spans="1:80" ht="121.5" customHeight="1" thickTop="1" thickBot="1" x14ac:dyDescent="0.3">
      <c r="A8" s="1371"/>
      <c r="B8" s="1371"/>
      <c r="C8" s="1371"/>
      <c r="D8" s="1371"/>
      <c r="E8" s="1370"/>
      <c r="F8" s="1371"/>
      <c r="G8" s="1371"/>
      <c r="H8" s="1371"/>
      <c r="I8" s="1371"/>
      <c r="J8" s="1370"/>
      <c r="K8" s="1371"/>
      <c r="L8" s="1371"/>
      <c r="M8" s="1371"/>
      <c r="N8" s="1371"/>
      <c r="O8" s="1370"/>
      <c r="P8" s="1371"/>
      <c r="Q8" s="1371"/>
      <c r="R8" s="1371"/>
      <c r="S8" s="1371"/>
      <c r="T8" s="1370"/>
      <c r="U8" s="376"/>
      <c r="V8" s="376"/>
      <c r="W8" s="376"/>
      <c r="X8" s="376"/>
      <c r="Y8" s="377"/>
      <c r="Z8" s="1371"/>
      <c r="AA8" s="1371"/>
      <c r="AB8" s="1371"/>
      <c r="AC8" s="1371"/>
      <c r="AD8" s="1370"/>
      <c r="AE8" s="1371"/>
      <c r="AF8" s="1371"/>
      <c r="AG8" s="1371"/>
      <c r="AH8" s="1371"/>
      <c r="AI8" s="1370"/>
      <c r="AJ8" s="1371"/>
      <c r="AK8" s="1371"/>
      <c r="AL8" s="1371"/>
      <c r="AM8" s="1371"/>
      <c r="AN8" s="1370"/>
      <c r="AO8" s="165"/>
      <c r="AP8" s="1997"/>
      <c r="AQ8" s="1998"/>
      <c r="AR8" s="1998"/>
      <c r="AS8" s="1998"/>
      <c r="AT8" s="1998"/>
      <c r="AU8" s="1998"/>
      <c r="AV8" s="1998"/>
      <c r="AW8" s="1998"/>
      <c r="AX8" s="165"/>
      <c r="AY8" s="674"/>
      <c r="AZ8" s="674"/>
      <c r="BA8" s="674"/>
      <c r="BB8" s="1300"/>
      <c r="BC8" s="1300"/>
      <c r="BD8" s="674"/>
      <c r="BE8" s="674"/>
      <c r="BF8" s="674"/>
      <c r="BG8" s="1300"/>
      <c r="BH8" s="1300"/>
      <c r="BM8" s="27"/>
      <c r="BN8" s="27"/>
      <c r="BO8" s="27"/>
      <c r="BP8" s="27"/>
      <c r="BQ8" s="27"/>
      <c r="BR8" s="27"/>
      <c r="BW8" s="27"/>
      <c r="BX8" s="27"/>
      <c r="BY8" s="27"/>
      <c r="BZ8" s="27"/>
      <c r="CA8" s="27"/>
      <c r="CB8" s="27"/>
    </row>
    <row r="9" spans="1:80" ht="30" customHeight="1" thickTop="1" x14ac:dyDescent="0.25">
      <c r="A9" s="32"/>
      <c r="B9" s="33"/>
      <c r="C9" s="34"/>
      <c r="D9" s="35"/>
      <c r="E9" s="1370"/>
      <c r="F9" s="32"/>
      <c r="G9" s="33"/>
      <c r="H9" s="34"/>
      <c r="I9" s="35"/>
      <c r="J9" s="1370"/>
      <c r="K9" s="32"/>
      <c r="L9" s="33"/>
      <c r="M9" s="34"/>
      <c r="N9" s="35"/>
      <c r="O9" s="1370"/>
      <c r="P9" s="32"/>
      <c r="Q9" s="33"/>
      <c r="R9" s="34"/>
      <c r="S9" s="35"/>
      <c r="T9" s="1370"/>
      <c r="U9" s="2601" t="s">
        <v>250</v>
      </c>
      <c r="V9" s="2602"/>
      <c r="W9" s="2602"/>
      <c r="X9" s="2603">
        <f>V14/((30*3.1415/44)*(106/3.281))</f>
        <v>4.3930718510666192E-3</v>
      </c>
      <c r="Y9" s="2604"/>
      <c r="Z9" s="32"/>
      <c r="AA9" s="33"/>
      <c r="AB9" s="34"/>
      <c r="AC9" s="35"/>
      <c r="AD9" s="1370"/>
      <c r="AE9" s="32"/>
      <c r="AF9" s="33"/>
      <c r="AG9" s="34"/>
      <c r="AH9" s="35"/>
      <c r="AI9" s="1370"/>
      <c r="AJ9" s="32"/>
      <c r="AK9" s="33"/>
      <c r="AL9" s="34"/>
      <c r="AM9" s="35"/>
      <c r="AN9" s="1370"/>
      <c r="AO9" s="165"/>
      <c r="AP9" s="1998"/>
      <c r="AQ9" s="1998"/>
      <c r="AR9" s="1998"/>
      <c r="AS9" s="1998"/>
      <c r="AT9" s="1998"/>
      <c r="AU9" s="1998"/>
      <c r="AV9" s="1998"/>
      <c r="AW9" s="1998"/>
      <c r="AX9" s="165"/>
      <c r="AY9" s="676"/>
      <c r="AZ9" s="676"/>
      <c r="BA9" s="676"/>
      <c r="BB9" s="36"/>
      <c r="BC9" s="36"/>
      <c r="BD9" s="676"/>
      <c r="BE9" s="676"/>
      <c r="BF9" s="676"/>
      <c r="BG9" s="36"/>
      <c r="BH9" s="36"/>
    </row>
    <row r="10" spans="1:80" ht="30" customHeight="1" x14ac:dyDescent="0.25">
      <c r="A10" s="1371"/>
      <c r="B10" s="1371"/>
      <c r="C10" s="1371"/>
      <c r="D10" s="1371"/>
      <c r="E10" s="1370"/>
      <c r="F10" s="1371"/>
      <c r="G10" s="1371"/>
      <c r="H10" s="1371"/>
      <c r="I10" s="1371"/>
      <c r="J10" s="1370"/>
      <c r="K10" s="1371"/>
      <c r="L10" s="1371"/>
      <c r="M10" s="1371"/>
      <c r="N10" s="1371"/>
      <c r="O10" s="1370"/>
      <c r="P10" s="1371"/>
      <c r="Q10" s="1371"/>
      <c r="R10" s="1371"/>
      <c r="S10" s="1371"/>
      <c r="T10" s="1370"/>
      <c r="U10" s="1680" t="s">
        <v>111</v>
      </c>
      <c r="V10" s="1681"/>
      <c r="W10" s="1681"/>
      <c r="X10" s="1681"/>
      <c r="Y10" s="1682"/>
      <c r="Z10" s="1371"/>
      <c r="AA10" s="1371"/>
      <c r="AB10" s="1371"/>
      <c r="AC10" s="1371"/>
      <c r="AD10" s="1370"/>
      <c r="AE10" s="1371"/>
      <c r="AF10" s="1371"/>
      <c r="AG10" s="1371"/>
      <c r="AH10" s="1371"/>
      <c r="AI10" s="1370"/>
      <c r="AJ10" s="1371"/>
      <c r="AK10" s="1371"/>
      <c r="AL10" s="1371"/>
      <c r="AM10" s="1371"/>
      <c r="AN10" s="1370"/>
      <c r="AO10" s="165"/>
      <c r="AP10" s="1998"/>
      <c r="AQ10" s="1998"/>
      <c r="AR10" s="1998"/>
      <c r="AS10" s="1998"/>
      <c r="AT10" s="1998"/>
      <c r="AU10" s="1998"/>
      <c r="AV10" s="1998"/>
      <c r="AW10" s="1998"/>
      <c r="AX10" s="165"/>
      <c r="AY10" s="676"/>
      <c r="AZ10" s="676"/>
      <c r="BA10" s="676"/>
      <c r="BB10" s="36"/>
      <c r="BC10" s="36"/>
      <c r="BD10" s="676"/>
      <c r="BE10" s="676"/>
      <c r="BF10" s="676"/>
      <c r="BG10" s="36"/>
      <c r="BH10" s="36"/>
    </row>
    <row r="11" spans="1:80" ht="51.75" customHeight="1" x14ac:dyDescent="0.25">
      <c r="A11" s="32"/>
      <c r="B11" s="33"/>
      <c r="C11" s="34"/>
      <c r="D11" s="35"/>
      <c r="E11" s="1370"/>
      <c r="F11" s="32"/>
      <c r="G11" s="33"/>
      <c r="H11" s="34"/>
      <c r="I11" s="35"/>
      <c r="J11" s="1370"/>
      <c r="K11" s="32"/>
      <c r="L11" s="33"/>
      <c r="M11" s="34"/>
      <c r="N11" s="35"/>
      <c r="O11" s="1370"/>
      <c r="P11" s="32"/>
      <c r="Q11" s="33"/>
      <c r="R11" s="34"/>
      <c r="S11" s="35"/>
      <c r="T11" s="1370"/>
      <c r="U11" s="2607" t="s">
        <v>496</v>
      </c>
      <c r="V11" s="1718">
        <v>1</v>
      </c>
      <c r="W11" s="3150"/>
      <c r="X11" s="3150"/>
      <c r="Y11" s="3151"/>
      <c r="Z11" s="32"/>
      <c r="AA11" s="33"/>
      <c r="AB11" s="34"/>
      <c r="AC11" s="35"/>
      <c r="AD11" s="1370"/>
      <c r="AE11" s="32"/>
      <c r="AF11" s="33"/>
      <c r="AG11" s="34"/>
      <c r="AH11" s="35"/>
      <c r="AI11" s="1370"/>
      <c r="AJ11" s="32"/>
      <c r="AK11" s="33"/>
      <c r="AL11" s="34"/>
      <c r="AM11" s="35"/>
      <c r="AN11" s="1370"/>
      <c r="AO11" s="165"/>
      <c r="AP11" s="1998"/>
      <c r="AQ11" s="1998"/>
      <c r="AR11" s="1998"/>
      <c r="AS11" s="1998"/>
      <c r="AT11" s="1998"/>
      <c r="AU11" s="1998"/>
      <c r="AV11" s="1998"/>
      <c r="AW11" s="1998"/>
      <c r="AX11" s="165"/>
      <c r="AY11" s="676"/>
      <c r="AZ11" s="676"/>
      <c r="BA11" s="676"/>
      <c r="BB11" s="36"/>
      <c r="BC11" s="36"/>
      <c r="BD11" s="676"/>
      <c r="BE11" s="676"/>
      <c r="BF11" s="676"/>
      <c r="BG11" s="36"/>
      <c r="BH11" s="36"/>
    </row>
    <row r="12" spans="1:80" ht="30" customHeight="1" x14ac:dyDescent="0.25">
      <c r="A12" s="1371"/>
      <c r="B12" s="1371"/>
      <c r="C12" s="1371"/>
      <c r="D12" s="1371"/>
      <c r="E12" s="1370"/>
      <c r="F12" s="1371"/>
      <c r="G12" s="1371"/>
      <c r="H12" s="1371"/>
      <c r="I12" s="1371"/>
      <c r="J12" s="1370"/>
      <c r="K12" s="1371"/>
      <c r="L12" s="1371"/>
      <c r="M12" s="1371"/>
      <c r="N12" s="1371"/>
      <c r="O12" s="1370"/>
      <c r="P12" s="1371"/>
      <c r="Q12" s="1371"/>
      <c r="R12" s="1371"/>
      <c r="S12" s="1371"/>
      <c r="T12" s="1370"/>
      <c r="U12" s="3149"/>
      <c r="V12" s="3152"/>
      <c r="W12" s="3153"/>
      <c r="X12" s="3153"/>
      <c r="Y12" s="3154"/>
      <c r="Z12" s="1371"/>
      <c r="AA12" s="1371"/>
      <c r="AB12" s="1371"/>
      <c r="AC12" s="1371"/>
      <c r="AD12" s="1370"/>
      <c r="AE12" s="1371"/>
      <c r="AF12" s="1371"/>
      <c r="AG12" s="1371"/>
      <c r="AH12" s="1371"/>
      <c r="AI12" s="1370"/>
      <c r="AJ12" s="1371"/>
      <c r="AK12" s="1371"/>
      <c r="AL12" s="1371"/>
      <c r="AM12" s="1371"/>
      <c r="AN12" s="1370"/>
      <c r="AO12" s="165"/>
      <c r="AP12" s="165"/>
      <c r="AQ12" s="165"/>
      <c r="AR12" s="165"/>
      <c r="AS12" s="165"/>
      <c r="AT12" s="165"/>
      <c r="AU12" s="165"/>
      <c r="AV12" s="165"/>
      <c r="AW12" s="165"/>
      <c r="AX12" s="165"/>
      <c r="AY12" s="677"/>
      <c r="AZ12" s="1332"/>
      <c r="BA12" s="1332"/>
      <c r="BB12" s="1332"/>
      <c r="BC12" s="1332"/>
      <c r="BD12" s="677"/>
      <c r="BE12" s="1332"/>
      <c r="BF12" s="1332"/>
      <c r="BG12" s="1332"/>
      <c r="BH12" s="1332"/>
      <c r="BM12" s="51"/>
      <c r="BN12" s="51"/>
      <c r="BO12" s="51"/>
      <c r="BP12" s="51"/>
      <c r="BQ12" s="51"/>
      <c r="BR12" s="51"/>
      <c r="BW12" s="27"/>
      <c r="BX12" s="27"/>
      <c r="BY12" s="27"/>
      <c r="BZ12" s="27"/>
      <c r="CA12" s="27"/>
      <c r="CB12" s="27"/>
    </row>
    <row r="13" spans="1:80" ht="30" customHeight="1" thickBot="1" x14ac:dyDescent="0.3">
      <c r="A13" s="32"/>
      <c r="B13" s="33"/>
      <c r="C13" s="34"/>
      <c r="D13" s="35"/>
      <c r="E13" s="1370"/>
      <c r="F13" s="32"/>
      <c r="G13" s="33"/>
      <c r="H13" s="34"/>
      <c r="I13" s="35"/>
      <c r="J13" s="1370"/>
      <c r="K13" s="32"/>
      <c r="L13" s="33"/>
      <c r="M13" s="34"/>
      <c r="N13" s="35"/>
      <c r="O13" s="1370"/>
      <c r="P13" s="32"/>
      <c r="Q13" s="33"/>
      <c r="R13" s="34"/>
      <c r="S13" s="35"/>
      <c r="T13" s="1370"/>
      <c r="U13" s="3149"/>
      <c r="V13" s="241">
        <v>1.7272000000000001</v>
      </c>
      <c r="W13" s="242" t="s">
        <v>113</v>
      </c>
      <c r="X13" s="243"/>
      <c r="Y13" s="244" t="s">
        <v>114</v>
      </c>
      <c r="Z13" s="32"/>
      <c r="AA13" s="33"/>
      <c r="AB13" s="34"/>
      <c r="AC13" s="35"/>
      <c r="AD13" s="1370"/>
      <c r="AE13" s="32"/>
      <c r="AF13" s="33"/>
      <c r="AG13" s="34"/>
      <c r="AH13" s="35"/>
      <c r="AI13" s="1370"/>
      <c r="AJ13" s="32"/>
      <c r="AK13" s="33"/>
      <c r="AL13" s="34"/>
      <c r="AM13" s="35"/>
      <c r="AN13" s="1370"/>
      <c r="AO13" s="165"/>
      <c r="AP13" s="165"/>
      <c r="AQ13" s="165"/>
      <c r="AR13" s="165"/>
      <c r="AS13" s="165"/>
      <c r="AT13" s="165"/>
      <c r="AU13" s="165"/>
      <c r="AV13" s="165"/>
      <c r="AW13" s="165"/>
      <c r="AX13" s="165"/>
      <c r="AY13" s="677"/>
      <c r="AZ13" s="137"/>
      <c r="BA13" s="33"/>
      <c r="BB13" s="138"/>
      <c r="BC13" s="35"/>
      <c r="BD13" s="677"/>
      <c r="BE13" s="137"/>
      <c r="BF13" s="33"/>
      <c r="BG13" s="138"/>
      <c r="BH13" s="35"/>
      <c r="BM13" s="51"/>
      <c r="BN13" s="51"/>
      <c r="BO13" s="51"/>
      <c r="BP13" s="51"/>
      <c r="BQ13" s="51"/>
      <c r="BR13" s="51"/>
      <c r="BW13" s="27"/>
      <c r="BX13" s="27"/>
      <c r="BY13" s="27"/>
      <c r="BZ13" s="27"/>
      <c r="CA13" s="27"/>
      <c r="CB13" s="27"/>
    </row>
    <row r="14" spans="1:80" ht="39.950000000000003" hidden="1" customHeight="1" thickTop="1" x14ac:dyDescent="0.25">
      <c r="A14" s="1695" t="s">
        <v>250</v>
      </c>
      <c r="B14" s="1696"/>
      <c r="C14" s="1696"/>
      <c r="D14" s="1697">
        <f>B19/((42*3.1415/59)*(30/3.281))</f>
        <v>0</v>
      </c>
      <c r="E14" s="1698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2608"/>
      <c r="V14" s="133">
        <v>0.30399999999999999</v>
      </c>
      <c r="W14" s="134" t="s">
        <v>113</v>
      </c>
      <c r="X14" s="135">
        <v>1</v>
      </c>
      <c r="Y14" s="136" t="s">
        <v>114</v>
      </c>
      <c r="Z14" s="44"/>
      <c r="AA14" s="44"/>
      <c r="AB14" s="44"/>
      <c r="AC14" s="44"/>
      <c r="AD14" s="44"/>
      <c r="AE14" s="44"/>
      <c r="AF14" s="44"/>
      <c r="AG14" s="44"/>
      <c r="AH14" s="69"/>
      <c r="AI14" s="69"/>
      <c r="AJ14" s="44"/>
      <c r="AK14" s="44"/>
      <c r="AL14" s="44"/>
      <c r="AM14" s="69"/>
      <c r="AN14" s="69"/>
      <c r="AO14" s="674"/>
      <c r="AP14" s="674"/>
      <c r="AQ14" s="674"/>
      <c r="AR14" s="1300"/>
      <c r="AS14" s="1300"/>
      <c r="AT14" s="1389"/>
      <c r="AU14" s="1389"/>
      <c r="AV14" s="1389"/>
      <c r="AW14" s="1390"/>
      <c r="AX14" s="1390"/>
      <c r="AY14" s="674"/>
      <c r="AZ14" s="674"/>
      <c r="BA14" s="674"/>
      <c r="BB14" s="1300"/>
      <c r="BC14" s="1300"/>
      <c r="BD14" s="674"/>
      <c r="BE14" s="674"/>
      <c r="BF14" s="674"/>
      <c r="BG14" s="1300"/>
      <c r="BH14" s="1300"/>
      <c r="BM14" s="51"/>
      <c r="BN14" s="51"/>
      <c r="BO14" s="51"/>
      <c r="BP14" s="51"/>
      <c r="BQ14" s="51"/>
      <c r="BR14" s="51"/>
      <c r="BW14" s="27"/>
      <c r="BX14" s="27"/>
      <c r="BY14" s="27"/>
      <c r="BZ14" s="27"/>
      <c r="CA14" s="27"/>
      <c r="CB14" s="27"/>
    </row>
    <row r="15" spans="1:80" ht="9.9499999999999993" hidden="1" customHeight="1" x14ac:dyDescent="0.25">
      <c r="A15" s="1379" t="s">
        <v>252</v>
      </c>
      <c r="B15" s="1380"/>
      <c r="C15" s="1380"/>
      <c r="D15" s="1380"/>
      <c r="E15" s="1381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Z15" s="47"/>
      <c r="AA15" s="47"/>
      <c r="AB15" s="47"/>
      <c r="AC15" s="47"/>
      <c r="AD15" s="47"/>
      <c r="AE15" s="47"/>
      <c r="AF15" s="47"/>
      <c r="AG15" s="47"/>
      <c r="AH15" s="36"/>
      <c r="AI15" s="36"/>
      <c r="AJ15" s="47"/>
      <c r="AK15" s="47"/>
      <c r="AL15" s="47"/>
      <c r="AM15" s="36"/>
      <c r="AN15" s="36"/>
      <c r="AO15" s="676"/>
      <c r="AP15" s="676"/>
      <c r="AQ15" s="676"/>
      <c r="AR15" s="36"/>
      <c r="AS15" s="36"/>
      <c r="AT15" s="1388"/>
      <c r="AU15" s="1388"/>
      <c r="AV15" s="1388"/>
      <c r="AW15" s="139"/>
      <c r="AX15" s="139"/>
      <c r="AY15" s="676"/>
      <c r="AZ15" s="676"/>
      <c r="BA15" s="676"/>
      <c r="BB15" s="36"/>
      <c r="BC15" s="36"/>
      <c r="BD15" s="676"/>
      <c r="BE15" s="676"/>
      <c r="BF15" s="676"/>
      <c r="BG15" s="36"/>
      <c r="BH15" s="36"/>
    </row>
    <row r="16" spans="1:80" ht="24.95" hidden="1" customHeight="1" x14ac:dyDescent="0.25">
      <c r="A16" s="1382"/>
      <c r="B16" s="1383"/>
      <c r="C16" s="1383"/>
      <c r="D16" s="1383"/>
      <c r="E16" s="1384"/>
      <c r="F16" s="47"/>
      <c r="G16" s="47"/>
      <c r="H16" s="47"/>
      <c r="I16" s="47"/>
      <c r="J16" s="47"/>
      <c r="K16" s="47"/>
      <c r="L16" s="47"/>
      <c r="M16" s="285"/>
      <c r="N16" s="285"/>
      <c r="O16" s="285"/>
      <c r="P16" s="285"/>
      <c r="Q16" s="285"/>
      <c r="R16" s="47"/>
      <c r="S16" s="47"/>
      <c r="T16" s="47"/>
      <c r="Z16" s="47"/>
      <c r="AA16" s="47"/>
      <c r="AB16" s="47"/>
      <c r="AC16" s="47"/>
      <c r="AD16" s="47"/>
      <c r="AE16" s="47"/>
      <c r="AF16" s="47"/>
      <c r="AG16" s="47"/>
      <c r="AH16" s="140"/>
      <c r="AI16" s="36"/>
      <c r="AJ16" s="47"/>
      <c r="AK16" s="47"/>
      <c r="AL16" s="47"/>
      <c r="AM16" s="140"/>
      <c r="AN16" s="36"/>
      <c r="AO16" s="676"/>
      <c r="AP16" s="676"/>
      <c r="AQ16" s="676"/>
      <c r="AR16" s="140"/>
      <c r="AS16" s="36"/>
      <c r="AT16" s="1388"/>
      <c r="AU16" s="1388"/>
      <c r="AV16" s="1388"/>
      <c r="AW16" s="141"/>
      <c r="AX16" s="139"/>
      <c r="AY16" s="676"/>
      <c r="AZ16" s="676"/>
      <c r="BA16" s="676"/>
      <c r="BB16" s="36"/>
      <c r="BC16" s="36"/>
      <c r="BD16" s="676"/>
      <c r="BE16" s="676"/>
      <c r="BF16" s="676"/>
      <c r="BG16" s="36"/>
      <c r="BH16" s="36"/>
    </row>
    <row r="17" spans="1:80" ht="9.9499999999999993" hidden="1" customHeight="1" x14ac:dyDescent="0.25">
      <c r="A17" s="1385"/>
      <c r="B17" s="1386"/>
      <c r="C17" s="1386"/>
      <c r="D17" s="1386"/>
      <c r="E17" s="138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Z17" s="47"/>
      <c r="AA17" s="47"/>
      <c r="AB17" s="47"/>
      <c r="AC17" s="47"/>
      <c r="AD17" s="47"/>
      <c r="AE17" s="47"/>
      <c r="AF17" s="47"/>
      <c r="AG17" s="47"/>
      <c r="AH17" s="36"/>
      <c r="AI17" s="36"/>
      <c r="AJ17" s="47"/>
      <c r="AK17" s="47"/>
      <c r="AL17" s="47"/>
      <c r="AM17" s="36"/>
      <c r="AN17" s="36"/>
      <c r="AO17" s="676"/>
      <c r="AP17" s="676"/>
      <c r="AQ17" s="676"/>
      <c r="AR17" s="36"/>
      <c r="AS17" s="36"/>
      <c r="AT17" s="1388"/>
      <c r="AU17" s="1388"/>
      <c r="AV17" s="1388"/>
      <c r="AW17" s="139"/>
      <c r="AX17" s="139"/>
      <c r="AY17" s="676"/>
      <c r="AZ17" s="676"/>
      <c r="BA17" s="676"/>
      <c r="BB17" s="36"/>
      <c r="BC17" s="36"/>
      <c r="BD17" s="676"/>
      <c r="BE17" s="676"/>
      <c r="BF17" s="676"/>
      <c r="BG17" s="36"/>
      <c r="BH17" s="36"/>
    </row>
    <row r="18" spans="1:80" ht="72" hidden="1" customHeight="1" x14ac:dyDescent="0.25">
      <c r="A18" s="1374" t="s">
        <v>253</v>
      </c>
      <c r="B18" s="1376"/>
      <c r="C18" s="1377"/>
      <c r="D18" s="1377"/>
      <c r="E18" s="1378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3"/>
      <c r="AU18" s="143"/>
      <c r="AV18" s="143"/>
      <c r="AW18" s="143"/>
      <c r="AX18" s="143"/>
      <c r="AY18" s="677"/>
      <c r="AZ18" s="1332"/>
      <c r="BA18" s="1332"/>
      <c r="BB18" s="1332"/>
      <c r="BC18" s="1332"/>
      <c r="BD18" s="677"/>
      <c r="BE18" s="1332" t="s">
        <v>16</v>
      </c>
      <c r="BF18" s="1332"/>
      <c r="BG18" s="1332"/>
      <c r="BH18" s="1332"/>
      <c r="BM18" s="51"/>
      <c r="BN18" s="51"/>
      <c r="BO18" s="51"/>
      <c r="BP18" s="51"/>
      <c r="BQ18" s="51"/>
      <c r="BR18" s="51"/>
      <c r="BW18" s="27"/>
      <c r="BX18" s="27"/>
      <c r="BY18" s="27"/>
      <c r="BZ18" s="27"/>
      <c r="CA18" s="27"/>
      <c r="CB18" s="27"/>
    </row>
    <row r="19" spans="1:80" ht="35.1" hidden="1" customHeight="1" thickBot="1" x14ac:dyDescent="0.3">
      <c r="A19" s="1375"/>
      <c r="B19" s="144"/>
      <c r="C19" s="145" t="s">
        <v>113</v>
      </c>
      <c r="D19" s="146"/>
      <c r="E19" s="147" t="s">
        <v>114</v>
      </c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148"/>
      <c r="AU19" s="148"/>
      <c r="AV19" s="148"/>
      <c r="AW19" s="148"/>
      <c r="AX19" s="148"/>
      <c r="AY19" s="677"/>
      <c r="AZ19" s="137"/>
      <c r="BA19" s="33"/>
      <c r="BB19" s="138"/>
      <c r="BC19" s="35"/>
      <c r="BD19" s="677"/>
      <c r="BE19" s="137"/>
      <c r="BF19" s="33"/>
      <c r="BG19" s="138"/>
      <c r="BH19" s="35"/>
      <c r="BM19" s="51"/>
      <c r="BN19" s="51"/>
      <c r="BO19" s="51"/>
      <c r="BP19" s="51"/>
      <c r="BQ19" s="51"/>
      <c r="BR19" s="51"/>
      <c r="BW19" s="27"/>
      <c r="BX19" s="27"/>
      <c r="BY19" s="27"/>
      <c r="BZ19" s="27"/>
      <c r="CA19" s="27"/>
      <c r="CB19" s="27"/>
    </row>
    <row r="20" spans="1:80" ht="26.25" hidden="1" customHeight="1" x14ac:dyDescent="0.25">
      <c r="A20" s="1396"/>
      <c r="B20" s="1396"/>
      <c r="C20" s="1396"/>
      <c r="D20" s="1397"/>
      <c r="E20" s="1397"/>
      <c r="F20" s="674"/>
      <c r="G20" s="674"/>
      <c r="H20" s="674"/>
      <c r="I20" s="1300"/>
      <c r="J20" s="1300"/>
      <c r="K20" s="44"/>
      <c r="L20" s="44"/>
      <c r="M20" s="44"/>
      <c r="N20" s="69"/>
      <c r="O20" s="69"/>
      <c r="P20" s="44"/>
      <c r="Q20" s="44"/>
      <c r="R20" s="44"/>
      <c r="S20" s="69"/>
      <c r="T20" s="69"/>
      <c r="U20" s="44"/>
      <c r="V20" s="44"/>
      <c r="W20" s="44"/>
      <c r="X20" s="69"/>
      <c r="Y20" s="69"/>
      <c r="Z20" s="44"/>
      <c r="AA20" s="44"/>
      <c r="AB20" s="44"/>
      <c r="AC20" s="69"/>
      <c r="AD20" s="69"/>
      <c r="AE20" s="44"/>
      <c r="AF20" s="44"/>
      <c r="AG20" s="44"/>
      <c r="AH20" s="69"/>
      <c r="AI20" s="69"/>
      <c r="AJ20" s="44"/>
      <c r="AK20" s="44"/>
      <c r="AL20" s="44"/>
      <c r="AM20" s="69"/>
      <c r="AN20" s="69"/>
      <c r="AO20" s="674"/>
      <c r="AP20" s="674"/>
      <c r="AQ20" s="674"/>
      <c r="AR20" s="1300"/>
      <c r="AS20" s="1300"/>
      <c r="AT20" s="1389"/>
      <c r="AU20" s="1389"/>
      <c r="AV20" s="1389"/>
      <c r="AW20" s="1390"/>
      <c r="AX20" s="1390"/>
      <c r="AY20" s="674"/>
      <c r="AZ20" s="674"/>
      <c r="BA20" s="674"/>
      <c r="BB20" s="1300"/>
      <c r="BC20" s="1300"/>
      <c r="BD20" s="674"/>
      <c r="BE20" s="674"/>
      <c r="BF20" s="674"/>
      <c r="BG20" s="1300"/>
      <c r="BH20" s="1300"/>
      <c r="BM20" s="51"/>
      <c r="BN20" s="51"/>
      <c r="BO20" s="51"/>
      <c r="BP20" s="51"/>
      <c r="BQ20" s="51"/>
      <c r="BR20" s="51"/>
      <c r="BW20" s="27"/>
      <c r="BX20" s="27"/>
      <c r="BY20" s="27"/>
      <c r="BZ20" s="27"/>
      <c r="CA20" s="27"/>
      <c r="CB20" s="27"/>
    </row>
    <row r="21" spans="1:80" ht="18.75" hidden="1" customHeight="1" x14ac:dyDescent="0.25">
      <c r="A21" s="1395"/>
      <c r="B21" s="1395"/>
      <c r="C21" s="1395"/>
      <c r="D21" s="149"/>
      <c r="E21" s="149"/>
      <c r="F21" s="676"/>
      <c r="G21" s="676"/>
      <c r="H21" s="676"/>
      <c r="I21" s="36"/>
      <c r="J21" s="36"/>
      <c r="K21" s="47"/>
      <c r="L21" s="47"/>
      <c r="M21" s="47"/>
      <c r="N21" s="36"/>
      <c r="O21" s="36"/>
      <c r="P21" s="47"/>
      <c r="Q21" s="47"/>
      <c r="R21" s="47"/>
      <c r="S21" s="36"/>
      <c r="T21" s="36"/>
      <c r="U21" s="47"/>
      <c r="V21" s="47"/>
      <c r="W21" s="47"/>
      <c r="X21" s="36"/>
      <c r="Y21" s="36"/>
      <c r="Z21" s="47"/>
      <c r="AA21" s="47"/>
      <c r="AB21" s="47"/>
      <c r="AC21" s="36"/>
      <c r="AD21" s="36"/>
      <c r="AE21" s="47"/>
      <c r="AF21" s="47"/>
      <c r="AG21" s="47"/>
      <c r="AH21" s="36"/>
      <c r="AI21" s="36"/>
      <c r="AJ21" s="47"/>
      <c r="AK21" s="47"/>
      <c r="AL21" s="47"/>
      <c r="AM21" s="36"/>
      <c r="AN21" s="36"/>
      <c r="AO21" s="676"/>
      <c r="AP21" s="676"/>
      <c r="AQ21" s="676"/>
      <c r="AR21" s="36"/>
      <c r="AS21" s="36"/>
      <c r="AT21" s="1388"/>
      <c r="AU21" s="1388"/>
      <c r="AV21" s="1388"/>
      <c r="AW21" s="139"/>
      <c r="AX21" s="139"/>
      <c r="AY21" s="676"/>
      <c r="AZ21" s="676"/>
      <c r="BA21" s="676"/>
      <c r="BB21" s="36"/>
      <c r="BC21" s="36"/>
      <c r="BD21" s="676"/>
      <c r="BE21" s="676"/>
      <c r="BF21" s="676"/>
      <c r="BG21" s="36"/>
      <c r="BH21" s="36"/>
    </row>
    <row r="22" spans="1:80" ht="36" hidden="1" customHeight="1" x14ac:dyDescent="0.25">
      <c r="A22" s="1395"/>
      <c r="B22" s="1395"/>
      <c r="C22" s="1395"/>
      <c r="D22" s="150"/>
      <c r="E22" s="149"/>
      <c r="F22" s="676"/>
      <c r="G22" s="676"/>
      <c r="H22" s="676"/>
      <c r="I22" s="140"/>
      <c r="J22" s="36"/>
      <c r="K22" s="47"/>
      <c r="L22" s="47"/>
      <c r="M22" s="47"/>
      <c r="N22" s="140"/>
      <c r="O22" s="36"/>
      <c r="P22" s="47"/>
      <c r="Q22" s="47"/>
      <c r="R22" s="47"/>
      <c r="S22" s="140"/>
      <c r="T22" s="36"/>
      <c r="U22" s="47"/>
      <c r="V22" s="47"/>
      <c r="W22" s="47"/>
      <c r="X22" s="140"/>
      <c r="Y22" s="36"/>
      <c r="Z22" s="47"/>
      <c r="AA22" s="47"/>
      <c r="AB22" s="47"/>
      <c r="AC22" s="140"/>
      <c r="AD22" s="36"/>
      <c r="AE22" s="47"/>
      <c r="AF22" s="47"/>
      <c r="AG22" s="47"/>
      <c r="AH22" s="140"/>
      <c r="AI22" s="36"/>
      <c r="AJ22" s="47"/>
      <c r="AK22" s="47"/>
      <c r="AL22" s="47"/>
      <c r="AM22" s="140"/>
      <c r="AN22" s="36"/>
      <c r="AO22" s="676"/>
      <c r="AP22" s="676"/>
      <c r="AQ22" s="676"/>
      <c r="AR22" s="140"/>
      <c r="AS22" s="36"/>
      <c r="AT22" s="1388"/>
      <c r="AU22" s="1388"/>
      <c r="AV22" s="1388"/>
      <c r="AW22" s="141"/>
      <c r="AX22" s="139"/>
      <c r="AY22" s="676"/>
      <c r="AZ22" s="676"/>
      <c r="BA22" s="676"/>
      <c r="BB22" s="36"/>
      <c r="BC22" s="36"/>
      <c r="BD22" s="676"/>
      <c r="BE22" s="676"/>
      <c r="BF22" s="676"/>
      <c r="BG22" s="36"/>
      <c r="BH22" s="36"/>
    </row>
    <row r="23" spans="1:80" ht="18.75" hidden="1" customHeight="1" x14ac:dyDescent="0.25">
      <c r="A23" s="1395"/>
      <c r="B23" s="1395"/>
      <c r="C23" s="1395"/>
      <c r="D23" s="149"/>
      <c r="E23" s="149"/>
      <c r="F23" s="676"/>
      <c r="G23" s="676"/>
      <c r="H23" s="676"/>
      <c r="I23" s="36"/>
      <c r="J23" s="36"/>
      <c r="K23" s="47"/>
      <c r="L23" s="47"/>
      <c r="M23" s="47"/>
      <c r="N23" s="36"/>
      <c r="O23" s="36"/>
      <c r="P23" s="47"/>
      <c r="Q23" s="47"/>
      <c r="R23" s="47"/>
      <c r="S23" s="36"/>
      <c r="T23" s="36"/>
      <c r="U23" s="47"/>
      <c r="V23" s="47"/>
      <c r="W23" s="47"/>
      <c r="X23" s="36"/>
      <c r="Y23" s="36"/>
      <c r="Z23" s="47"/>
      <c r="AA23" s="47"/>
      <c r="AB23" s="47"/>
      <c r="AC23" s="36"/>
      <c r="AD23" s="36"/>
      <c r="AE23" s="47"/>
      <c r="AF23" s="47"/>
      <c r="AG23" s="47"/>
      <c r="AH23" s="36"/>
      <c r="AI23" s="36"/>
      <c r="AJ23" s="47"/>
      <c r="AK23" s="47"/>
      <c r="AL23" s="47"/>
      <c r="AM23" s="36"/>
      <c r="AN23" s="36"/>
      <c r="AO23" s="676"/>
      <c r="AP23" s="676"/>
      <c r="AQ23" s="676"/>
      <c r="AR23" s="36"/>
      <c r="AS23" s="36"/>
      <c r="AT23" s="1388"/>
      <c r="AU23" s="1388"/>
      <c r="AV23" s="1388"/>
      <c r="AW23" s="139"/>
      <c r="AX23" s="139"/>
      <c r="AY23" s="676"/>
      <c r="AZ23" s="676"/>
      <c r="BA23" s="676"/>
      <c r="BB23" s="36"/>
      <c r="BC23" s="36"/>
      <c r="BD23" s="676"/>
      <c r="BE23" s="676"/>
      <c r="BF23" s="676"/>
      <c r="BG23" s="36"/>
      <c r="BH23" s="36"/>
    </row>
    <row r="24" spans="1:80" ht="77.25" hidden="1" customHeight="1" x14ac:dyDescent="0.25">
      <c r="A24" s="1398"/>
      <c r="B24" s="1399"/>
      <c r="C24" s="1399"/>
      <c r="D24" s="1399"/>
      <c r="E24" s="1399"/>
      <c r="F24" s="1370"/>
      <c r="G24" s="1371"/>
      <c r="H24" s="1371"/>
      <c r="I24" s="1371"/>
      <c r="J24" s="1371"/>
      <c r="K24" s="230"/>
      <c r="L24" s="142"/>
      <c r="M24" s="142"/>
      <c r="N24" s="142"/>
      <c r="O24" s="142"/>
      <c r="P24" s="230"/>
      <c r="Q24" s="142"/>
      <c r="R24" s="142"/>
      <c r="S24" s="142"/>
      <c r="T24" s="142"/>
      <c r="U24" s="230"/>
      <c r="V24" s="142"/>
      <c r="W24" s="142"/>
      <c r="X24" s="142"/>
      <c r="Y24" s="142"/>
      <c r="Z24" s="230"/>
      <c r="AA24" s="142"/>
      <c r="AB24" s="142"/>
      <c r="AC24" s="142"/>
      <c r="AD24" s="142"/>
      <c r="AE24" s="230"/>
      <c r="AF24" s="142"/>
      <c r="AG24" s="142"/>
      <c r="AH24" s="142"/>
      <c r="AI24" s="142"/>
      <c r="AJ24" s="230"/>
      <c r="AK24" s="142"/>
      <c r="AL24" s="142"/>
      <c r="AM24" s="142"/>
      <c r="AN24" s="142"/>
      <c r="AO24" s="1370"/>
      <c r="AP24" s="1371"/>
      <c r="AQ24" s="1371"/>
      <c r="AR24" s="1371"/>
      <c r="AS24" s="1371"/>
      <c r="AT24" s="1439"/>
      <c r="AU24" s="1440"/>
      <c r="AV24" s="1440"/>
      <c r="AW24" s="1440"/>
      <c r="AX24" s="1440"/>
      <c r="AY24" s="677"/>
      <c r="AZ24" s="1332"/>
      <c r="BA24" s="1332"/>
      <c r="BB24" s="1332"/>
      <c r="BC24" s="1332"/>
      <c r="BD24" s="677"/>
      <c r="BE24" s="1332"/>
      <c r="BF24" s="1332"/>
      <c r="BG24" s="1332"/>
      <c r="BH24" s="1332"/>
      <c r="BM24" s="51"/>
      <c r="BN24" s="51"/>
      <c r="BO24" s="51"/>
      <c r="BP24" s="51"/>
      <c r="BQ24" s="51"/>
      <c r="BR24" s="51"/>
      <c r="BW24" s="27"/>
      <c r="BX24" s="27"/>
      <c r="BY24" s="27"/>
      <c r="BZ24" s="27"/>
      <c r="CA24" s="27"/>
      <c r="CB24" s="27"/>
    </row>
    <row r="25" spans="1:80" ht="26.25" hidden="1" customHeight="1" x14ac:dyDescent="0.25">
      <c r="A25" s="1398"/>
      <c r="B25" s="151"/>
      <c r="C25" s="152"/>
      <c r="D25" s="153"/>
      <c r="E25" s="154"/>
      <c r="F25" s="1370"/>
      <c r="G25" s="32"/>
      <c r="H25" s="33"/>
      <c r="I25" s="34"/>
      <c r="J25" s="35"/>
      <c r="K25" s="230"/>
      <c r="L25" s="32"/>
      <c r="M25" s="33"/>
      <c r="N25" s="34"/>
      <c r="O25" s="35"/>
      <c r="P25" s="230"/>
      <c r="Q25" s="32"/>
      <c r="R25" s="33"/>
      <c r="S25" s="34"/>
      <c r="T25" s="35"/>
      <c r="U25" s="230"/>
      <c r="V25" s="32"/>
      <c r="W25" s="33"/>
      <c r="X25" s="34"/>
      <c r="Y25" s="35"/>
      <c r="Z25" s="230"/>
      <c r="AA25" s="32"/>
      <c r="AB25" s="33"/>
      <c r="AC25" s="34"/>
      <c r="AD25" s="35"/>
      <c r="AE25" s="230"/>
      <c r="AF25" s="32"/>
      <c r="AG25" s="33"/>
      <c r="AH25" s="34"/>
      <c r="AI25" s="35"/>
      <c r="AJ25" s="230"/>
      <c r="AK25" s="32"/>
      <c r="AL25" s="33"/>
      <c r="AM25" s="34"/>
      <c r="AN25" s="35"/>
      <c r="AO25" s="1370"/>
      <c r="AP25" s="32"/>
      <c r="AQ25" s="33"/>
      <c r="AR25" s="34"/>
      <c r="AS25" s="35"/>
      <c r="AT25" s="1439"/>
      <c r="AU25" s="155"/>
      <c r="AV25" s="148"/>
      <c r="AW25" s="156"/>
      <c r="AX25" s="157"/>
      <c r="AY25" s="677"/>
      <c r="AZ25" s="137"/>
      <c r="BA25" s="33"/>
      <c r="BB25" s="138"/>
      <c r="BC25" s="35"/>
      <c r="BD25" s="677"/>
      <c r="BE25" s="137"/>
      <c r="BF25" s="33"/>
      <c r="BG25" s="138"/>
      <c r="BH25" s="35"/>
      <c r="BM25" s="51"/>
      <c r="BN25" s="51"/>
      <c r="BO25" s="51"/>
      <c r="BP25" s="51"/>
      <c r="BQ25" s="51"/>
      <c r="BR25" s="51"/>
      <c r="BW25" s="27"/>
      <c r="BX25" s="27"/>
      <c r="BY25" s="27"/>
      <c r="BZ25" s="27"/>
      <c r="CA25" s="27"/>
      <c r="CB25" s="27"/>
    </row>
    <row r="26" spans="1:80" ht="26.25" hidden="1" customHeight="1" x14ac:dyDescent="0.25">
      <c r="A26" s="1396"/>
      <c r="B26" s="1396"/>
      <c r="C26" s="1396"/>
      <c r="D26" s="1397"/>
      <c r="E26" s="1397"/>
      <c r="F26" s="674"/>
      <c r="G26" s="674"/>
      <c r="H26" s="674"/>
      <c r="I26" s="1300"/>
      <c r="J26" s="1300"/>
      <c r="K26" s="44"/>
      <c r="L26" s="44"/>
      <c r="M26" s="44"/>
      <c r="N26" s="69"/>
      <c r="O26" s="69"/>
      <c r="P26" s="44"/>
      <c r="Q26" s="44"/>
      <c r="R26" s="44"/>
      <c r="S26" s="69"/>
      <c r="T26" s="69"/>
      <c r="U26" s="44"/>
      <c r="V26" s="44"/>
      <c r="W26" s="44"/>
      <c r="X26" s="69"/>
      <c r="Y26" s="69"/>
      <c r="Z26" s="44"/>
      <c r="AA26" s="44"/>
      <c r="AB26" s="44"/>
      <c r="AC26" s="69"/>
      <c r="AD26" s="69"/>
      <c r="AE26" s="44"/>
      <c r="AF26" s="44"/>
      <c r="AG26" s="44"/>
      <c r="AH26" s="69"/>
      <c r="AI26" s="69"/>
      <c r="AJ26" s="44"/>
      <c r="AK26" s="44"/>
      <c r="AP26" s="44"/>
      <c r="AQ26" s="44"/>
      <c r="AT26" s="1389"/>
      <c r="AU26" s="1389"/>
      <c r="AV26" s="1389"/>
      <c r="AW26" s="1390"/>
      <c r="AX26" s="1390"/>
      <c r="AY26" s="674"/>
      <c r="AZ26" s="674"/>
      <c r="BA26" s="674"/>
      <c r="BB26" s="1300"/>
      <c r="BC26" s="1300"/>
      <c r="BD26" s="674"/>
      <c r="BE26" s="674"/>
      <c r="BF26" s="674"/>
      <c r="BG26" s="1300"/>
      <c r="BH26" s="1300"/>
      <c r="BM26" s="51"/>
      <c r="BN26" s="51"/>
      <c r="BO26" s="51"/>
      <c r="BP26" s="51"/>
      <c r="BQ26" s="51"/>
      <c r="BR26" s="51"/>
      <c r="BW26" s="27"/>
      <c r="BX26" s="27"/>
      <c r="BY26" s="27"/>
      <c r="BZ26" s="27"/>
      <c r="CA26" s="27"/>
      <c r="CB26" s="27"/>
    </row>
    <row r="27" spans="1:80" ht="21" hidden="1" customHeight="1" x14ac:dyDescent="0.25">
      <c r="A27" s="1395"/>
      <c r="B27" s="1395"/>
      <c r="C27" s="1395"/>
      <c r="D27" s="149"/>
      <c r="E27" s="149"/>
      <c r="F27" s="676"/>
      <c r="G27" s="676"/>
      <c r="H27" s="676"/>
      <c r="I27" s="36"/>
      <c r="J27" s="36"/>
      <c r="K27" s="47"/>
      <c r="L27" s="47"/>
      <c r="M27" s="47"/>
      <c r="N27" s="36"/>
      <c r="O27" s="36"/>
      <c r="P27" s="47"/>
      <c r="Q27" s="47"/>
      <c r="R27" s="47"/>
      <c r="S27" s="36"/>
      <c r="T27" s="36"/>
      <c r="U27" s="47"/>
      <c r="V27" s="47"/>
      <c r="W27" s="47"/>
      <c r="X27" s="36"/>
      <c r="Y27" s="36"/>
      <c r="Z27" s="47"/>
      <c r="AA27" s="47"/>
      <c r="AB27" s="47"/>
      <c r="AC27" s="36"/>
      <c r="AD27" s="36"/>
      <c r="AE27" s="47"/>
      <c r="AF27" s="47"/>
      <c r="AG27" s="47"/>
      <c r="AH27" s="36"/>
      <c r="AI27" s="36"/>
      <c r="AJ27" s="47"/>
      <c r="AK27" s="47"/>
      <c r="AP27" s="47"/>
      <c r="AQ27" s="47"/>
      <c r="AT27" s="1388"/>
      <c r="AU27" s="1388"/>
      <c r="AV27" s="1388"/>
      <c r="AW27" s="139"/>
      <c r="AX27" s="139"/>
      <c r="AY27" s="676"/>
      <c r="AZ27" s="676"/>
      <c r="BA27" s="676"/>
      <c r="BB27" s="36"/>
      <c r="BC27" s="36"/>
      <c r="BD27" s="676"/>
      <c r="BE27" s="676"/>
      <c r="BF27" s="676"/>
      <c r="BG27" s="36"/>
      <c r="BH27" s="36"/>
    </row>
    <row r="28" spans="1:80" ht="20.25" hidden="1" customHeight="1" thickTop="1" x14ac:dyDescent="0.25">
      <c r="A28" s="1395"/>
      <c r="B28" s="1395"/>
      <c r="C28" s="1395"/>
      <c r="D28" s="150"/>
      <c r="E28" s="149"/>
      <c r="F28" s="676"/>
      <c r="G28" s="676"/>
      <c r="H28" s="676"/>
      <c r="I28" s="140"/>
      <c r="J28" s="36"/>
      <c r="K28" s="47"/>
      <c r="L28" s="47"/>
      <c r="M28" s="47"/>
      <c r="N28" s="140"/>
      <c r="O28" s="36"/>
      <c r="P28" s="47"/>
      <c r="Q28" s="47"/>
      <c r="R28" s="47"/>
      <c r="S28" s="140"/>
      <c r="T28" s="36"/>
      <c r="U28" s="47"/>
      <c r="V28" s="47"/>
      <c r="W28" s="47"/>
      <c r="X28" s="140"/>
      <c r="Y28" s="36"/>
      <c r="Z28" s="47"/>
      <c r="AA28" s="47"/>
      <c r="AB28" s="47"/>
      <c r="AC28" s="140"/>
      <c r="AD28" s="36"/>
      <c r="AE28" s="47"/>
      <c r="AF28" s="47"/>
      <c r="AG28" s="47"/>
      <c r="AH28" s="36"/>
      <c r="AI28" s="36"/>
      <c r="AJ28" s="47"/>
      <c r="AK28" s="47"/>
      <c r="AP28" s="47"/>
      <c r="AQ28" s="47"/>
      <c r="AT28" s="1388"/>
      <c r="AU28" s="1388"/>
      <c r="AV28" s="1388"/>
      <c r="AW28" s="139"/>
      <c r="AX28" s="139"/>
      <c r="AY28" s="676"/>
      <c r="AZ28" s="676"/>
      <c r="BA28" s="676"/>
      <c r="BB28" s="36"/>
      <c r="BC28" s="36"/>
      <c r="BD28" s="676"/>
      <c r="BE28" s="676"/>
      <c r="BF28" s="676"/>
      <c r="BG28" s="36"/>
      <c r="BH28" s="36"/>
    </row>
    <row r="29" spans="1:80" ht="26.25" hidden="1" customHeight="1" x14ac:dyDescent="0.25">
      <c r="A29" s="1395"/>
      <c r="B29" s="1395"/>
      <c r="C29" s="1395"/>
      <c r="D29" s="149"/>
      <c r="E29" s="149"/>
      <c r="F29" s="676"/>
      <c r="G29" s="676"/>
      <c r="H29" s="676"/>
      <c r="I29" s="36"/>
      <c r="J29" s="36"/>
      <c r="K29" s="47"/>
      <c r="L29" s="47"/>
      <c r="M29" s="47"/>
      <c r="N29" s="36"/>
      <c r="O29" s="36"/>
      <c r="P29" s="47"/>
      <c r="Q29" s="47"/>
      <c r="R29" s="47"/>
      <c r="S29" s="36"/>
      <c r="T29" s="36"/>
      <c r="U29" s="47"/>
      <c r="V29" s="47"/>
      <c r="W29" s="47"/>
      <c r="X29" s="36"/>
      <c r="Y29" s="36"/>
      <c r="Z29" s="47"/>
      <c r="AA29" s="47"/>
      <c r="AB29" s="47"/>
      <c r="AC29" s="36"/>
      <c r="AD29" s="36"/>
      <c r="AE29" s="47"/>
      <c r="AF29" s="47"/>
      <c r="AG29" s="47"/>
      <c r="AH29" s="36"/>
      <c r="AI29" s="36"/>
      <c r="AJ29" s="47"/>
      <c r="AK29" s="47"/>
      <c r="AP29" s="47"/>
      <c r="AQ29" s="47"/>
      <c r="AR29" s="36"/>
      <c r="AS29" s="36"/>
      <c r="AT29" s="1388"/>
      <c r="AU29" s="1388"/>
      <c r="AV29" s="1388"/>
      <c r="AW29" s="139"/>
      <c r="AX29" s="139"/>
      <c r="AY29" s="676"/>
      <c r="AZ29" s="676"/>
      <c r="BA29" s="676"/>
      <c r="BB29" s="36"/>
      <c r="BC29" s="36"/>
      <c r="BD29" s="676"/>
      <c r="BE29" s="676"/>
      <c r="BF29" s="676"/>
      <c r="BG29" s="36"/>
      <c r="BH29" s="36"/>
    </row>
    <row r="30" spans="1:80" ht="60.75" customHeight="1" thickTop="1" x14ac:dyDescent="0.25">
      <c r="A30" s="1400"/>
      <c r="B30" s="1401"/>
      <c r="C30" s="1401"/>
      <c r="D30" s="1401"/>
      <c r="E30" s="1401"/>
      <c r="F30" s="1370"/>
      <c r="G30" s="1371"/>
      <c r="H30" s="1371"/>
      <c r="I30" s="1371"/>
      <c r="J30" s="1371"/>
      <c r="K30" s="230"/>
      <c r="L30" s="142"/>
      <c r="M30" s="142"/>
      <c r="N30" s="142"/>
      <c r="O30" s="142"/>
      <c r="P30" s="230"/>
      <c r="Q30" s="142"/>
      <c r="R30" s="142"/>
      <c r="S30" s="142"/>
      <c r="T30" s="142"/>
      <c r="U30" s="230"/>
      <c r="V30" s="142"/>
      <c r="W30" s="142"/>
      <c r="X30" s="142"/>
      <c r="Y30" s="142"/>
      <c r="Z30" s="230"/>
      <c r="AA30" s="142"/>
      <c r="AB30" s="142"/>
      <c r="AC30" s="142"/>
      <c r="AD30" s="142"/>
      <c r="AE30" s="70"/>
      <c r="AF30" s="231"/>
      <c r="AG30" s="231"/>
      <c r="AH30" s="231"/>
      <c r="AI30" s="231"/>
      <c r="AJ30" s="70"/>
      <c r="AR30" s="132"/>
      <c r="AS30" s="132"/>
      <c r="AT30" s="677"/>
      <c r="AU30" s="1332"/>
      <c r="AV30" s="1332"/>
      <c r="AW30" s="1332"/>
      <c r="AX30" s="1332"/>
      <c r="AY30" s="677"/>
      <c r="AZ30" s="1332"/>
      <c r="BA30" s="1332"/>
      <c r="BB30" s="1332"/>
      <c r="BC30" s="1332"/>
      <c r="BD30" s="677" t="s">
        <v>254</v>
      </c>
      <c r="BE30" s="1332"/>
      <c r="BF30" s="1332"/>
      <c r="BG30" s="1332"/>
      <c r="BH30" s="1332"/>
      <c r="BM30" s="51"/>
      <c r="BN30" s="51"/>
      <c r="BO30" s="51"/>
      <c r="BP30" s="51"/>
      <c r="BQ30" s="51"/>
      <c r="BR30" s="51"/>
      <c r="BW30" s="27"/>
      <c r="BX30" s="27"/>
      <c r="BY30" s="27"/>
      <c r="BZ30" s="27"/>
      <c r="CA30" s="27"/>
      <c r="CB30" s="27"/>
    </row>
    <row r="31" spans="1:80" ht="54.75" customHeight="1" x14ac:dyDescent="0.25">
      <c r="A31" s="1400"/>
      <c r="B31" s="158"/>
      <c r="C31" s="159"/>
      <c r="D31" s="160"/>
      <c r="E31" s="161"/>
      <c r="F31" s="1370"/>
      <c r="G31" s="32"/>
      <c r="H31" s="33"/>
      <c r="I31" s="34"/>
      <c r="J31" s="35"/>
      <c r="K31" s="230"/>
      <c r="L31" s="32"/>
      <c r="M31" s="33"/>
      <c r="N31" s="34"/>
      <c r="O31" s="35"/>
      <c r="P31" s="230"/>
      <c r="Q31" s="32"/>
      <c r="R31" s="33"/>
      <c r="S31" s="34"/>
      <c r="T31" s="35"/>
      <c r="U31" s="230"/>
      <c r="V31" s="32"/>
      <c r="W31" s="33"/>
      <c r="X31" s="34"/>
      <c r="Y31" s="35"/>
      <c r="Z31" s="230"/>
      <c r="AA31" s="32"/>
      <c r="AB31" s="33"/>
      <c r="AC31" s="34"/>
      <c r="AD31" s="35"/>
      <c r="AE31" s="70"/>
      <c r="AF31" s="137"/>
      <c r="AG31" s="33"/>
      <c r="AH31" s="138"/>
      <c r="AI31" s="35"/>
      <c r="AJ31" s="70"/>
      <c r="AK31" s="137"/>
      <c r="AL31" s="33"/>
      <c r="AM31" s="138"/>
      <c r="AN31" s="35"/>
      <c r="AO31" s="70"/>
      <c r="AP31" s="137"/>
      <c r="AQ31" s="33"/>
      <c r="AR31" s="138"/>
      <c r="AS31" s="35"/>
      <c r="AT31" s="677"/>
      <c r="AU31" s="137"/>
      <c r="AV31" s="33"/>
      <c r="AW31" s="138"/>
      <c r="AX31" s="35"/>
      <c r="AY31" s="677"/>
      <c r="AZ31" s="137" t="s">
        <v>16</v>
      </c>
      <c r="BA31" s="33"/>
      <c r="BB31" s="138"/>
      <c r="BC31" s="35"/>
      <c r="BD31" s="677"/>
      <c r="BE31" s="137" t="s">
        <v>15</v>
      </c>
      <c r="BF31" s="33"/>
      <c r="BG31" s="138"/>
      <c r="BH31" s="35"/>
      <c r="BM31" s="51"/>
      <c r="BN31" s="51"/>
      <c r="BO31" s="51"/>
      <c r="BP31" s="51"/>
      <c r="BQ31" s="51"/>
      <c r="BR31" s="51"/>
      <c r="BW31" s="27"/>
      <c r="BX31" s="27"/>
      <c r="BY31" s="27"/>
      <c r="BZ31" s="27"/>
      <c r="CA31" s="27"/>
      <c r="CB31" s="27"/>
    </row>
    <row r="32" spans="1:80" ht="59.25" customHeight="1" x14ac:dyDescent="0.25">
      <c r="A32" s="31"/>
      <c r="B32" s="162"/>
      <c r="C32" s="162"/>
      <c r="D32" s="162"/>
      <c r="F32" s="163"/>
      <c r="G32" s="163"/>
      <c r="H32" s="1413">
        <v>6</v>
      </c>
      <c r="I32" s="1413"/>
      <c r="J32" s="1413"/>
      <c r="K32" s="164"/>
      <c r="L32" s="160"/>
      <c r="M32" s="160"/>
      <c r="N32" s="160"/>
      <c r="O32" s="160"/>
      <c r="P32" s="160"/>
      <c r="Q32" s="1414" t="s">
        <v>255</v>
      </c>
      <c r="R32" s="1414"/>
      <c r="S32" s="1414"/>
      <c r="T32" s="1414"/>
      <c r="U32" s="1414"/>
      <c r="V32" s="1414"/>
      <c r="W32" s="165"/>
      <c r="X32" s="1690" t="s">
        <v>256</v>
      </c>
      <c r="Y32" s="1690"/>
      <c r="Z32" s="1690"/>
      <c r="AA32" s="1690"/>
      <c r="AB32" s="1690"/>
      <c r="AC32" s="1691">
        <f>L7+Q7+V7+AA7+AF7+V13</f>
        <v>10.565</v>
      </c>
      <c r="AD32" s="1691"/>
      <c r="AE32" s="1691"/>
      <c r="AF32" s="1691"/>
      <c r="AG32" s="1691"/>
      <c r="AH32" s="1691"/>
      <c r="AI32" s="166"/>
      <c r="AJ32" s="1416" t="s">
        <v>119</v>
      </c>
      <c r="AK32" s="1416"/>
      <c r="AL32" s="1416"/>
      <c r="AM32" s="1416"/>
      <c r="AN32" s="1416"/>
      <c r="AO32" s="1417">
        <f>N7+S7+X7+AC7+AH7+AM7</f>
        <v>6</v>
      </c>
      <c r="AP32" s="1417"/>
      <c r="AQ32" s="1417"/>
      <c r="AR32" s="1417"/>
      <c r="AS32" s="1417"/>
      <c r="AT32" s="1402" t="s">
        <v>120</v>
      </c>
      <c r="AU32" s="1402"/>
      <c r="AV32" s="1402"/>
      <c r="AW32" s="1402"/>
      <c r="AX32" s="127"/>
      <c r="AY32" s="72"/>
      <c r="AZ32" s="72"/>
      <c r="BA32" s="72"/>
      <c r="BB32" s="72"/>
      <c r="BC32" s="72"/>
      <c r="BD32" s="72"/>
      <c r="BE32" t="s">
        <v>16</v>
      </c>
      <c r="BF32" s="167"/>
      <c r="BG32" s="167"/>
      <c r="BH32" s="167"/>
      <c r="BM32" s="51"/>
      <c r="BN32" s="51"/>
      <c r="BO32" s="51"/>
      <c r="BP32" s="51"/>
      <c r="BQ32" s="51"/>
      <c r="BR32" s="51"/>
      <c r="BW32" s="27"/>
      <c r="BX32" s="27"/>
      <c r="BY32" s="27"/>
      <c r="BZ32" s="27"/>
      <c r="CA32" s="27"/>
      <c r="CB32" s="27"/>
    </row>
    <row r="33" spans="1:80" ht="19.5" customHeight="1" x14ac:dyDescent="0.25">
      <c r="B33" s="162"/>
      <c r="C33" s="162"/>
      <c r="D33" s="162"/>
      <c r="E33" s="163"/>
      <c r="F33" s="163"/>
      <c r="G33" s="163"/>
      <c r="H33" s="1413"/>
      <c r="I33" s="1413"/>
      <c r="J33" s="1413"/>
      <c r="K33" s="168"/>
      <c r="L33" s="160"/>
      <c r="M33" s="160"/>
      <c r="N33" s="160"/>
      <c r="O33" s="160"/>
      <c r="P33" s="160"/>
      <c r="Q33" s="1414"/>
      <c r="R33" s="1414"/>
      <c r="S33" s="1414"/>
      <c r="T33" s="1414"/>
      <c r="U33" s="1414"/>
      <c r="V33" s="1414"/>
      <c r="W33" s="169"/>
      <c r="X33" s="1690"/>
      <c r="Y33" s="1690"/>
      <c r="Z33" s="1690"/>
      <c r="AA33" s="1690"/>
      <c r="AB33" s="1690"/>
      <c r="AC33" s="1691"/>
      <c r="AD33" s="1691"/>
      <c r="AE33" s="1691"/>
      <c r="AF33" s="1691"/>
      <c r="AG33" s="1691"/>
      <c r="AH33" s="1691"/>
      <c r="AI33" s="166"/>
      <c r="AJ33" s="1416"/>
      <c r="AK33" s="1416"/>
      <c r="AL33" s="1416"/>
      <c r="AM33" s="1416"/>
      <c r="AN33" s="1416"/>
      <c r="AO33" s="1417"/>
      <c r="AP33" s="1417"/>
      <c r="AQ33" s="1417"/>
      <c r="AR33" s="1417"/>
      <c r="AS33" s="1417"/>
      <c r="AT33" s="1402"/>
      <c r="AU33" s="1402"/>
      <c r="AV33" s="1402"/>
      <c r="AW33" s="1402"/>
      <c r="BI33" s="50"/>
      <c r="BJ33" s="50"/>
      <c r="BM33" s="51"/>
      <c r="BN33" s="51"/>
      <c r="BO33" s="51"/>
      <c r="BP33" s="51"/>
      <c r="BQ33" s="51"/>
      <c r="BR33" s="51"/>
      <c r="BS33" s="27"/>
      <c r="BT33" s="27"/>
      <c r="BU33" s="27"/>
      <c r="BW33" s="27"/>
      <c r="BX33" s="27"/>
      <c r="BY33" s="27"/>
      <c r="BZ33" s="27"/>
      <c r="CA33" s="27"/>
      <c r="CB33" s="27"/>
    </row>
    <row r="34" spans="1:80" ht="2.25" hidden="1" customHeight="1" x14ac:dyDescent="0.25">
      <c r="B34" s="162"/>
      <c r="C34" s="162"/>
      <c r="D34" s="162"/>
      <c r="E34" s="163"/>
      <c r="F34" s="163"/>
      <c r="G34" s="163"/>
      <c r="H34" s="168"/>
      <c r="I34" s="168"/>
      <c r="J34" s="168"/>
      <c r="K34" s="168"/>
      <c r="L34" s="160"/>
      <c r="M34" s="160"/>
      <c r="N34" s="160"/>
      <c r="O34" s="160"/>
      <c r="P34" s="160"/>
      <c r="Q34" s="1414"/>
      <c r="R34" s="1414"/>
      <c r="S34" s="1414"/>
      <c r="T34" s="1414"/>
      <c r="U34" s="1414"/>
      <c r="V34" s="1414"/>
      <c r="W34" s="169"/>
      <c r="X34" s="1690"/>
      <c r="Y34" s="1690"/>
      <c r="Z34" s="1690"/>
      <c r="AA34" s="1690"/>
      <c r="AB34" s="1690"/>
      <c r="AC34" s="1691"/>
      <c r="AD34" s="1691"/>
      <c r="AE34" s="1691"/>
      <c r="AF34" s="1691"/>
      <c r="AG34" s="1691"/>
      <c r="AH34" s="1691"/>
      <c r="AI34" s="166"/>
      <c r="AJ34" s="1416"/>
      <c r="AK34" s="1416"/>
      <c r="AL34" s="1416"/>
      <c r="AM34" s="1416"/>
      <c r="AN34" s="1416"/>
      <c r="AO34" s="1403">
        <f>AO32*1.5</f>
        <v>9</v>
      </c>
      <c r="AP34" s="1403"/>
      <c r="AQ34" s="1403"/>
      <c r="AR34" s="1403"/>
      <c r="AS34" s="1403"/>
      <c r="AT34" s="1403"/>
      <c r="AU34" s="1403"/>
      <c r="AV34" s="1404" t="s">
        <v>121</v>
      </c>
      <c r="AW34" s="1404"/>
      <c r="BI34" s="50"/>
      <c r="BJ34" s="50"/>
      <c r="BM34" s="27"/>
      <c r="BN34" s="27"/>
      <c r="BO34" s="27"/>
      <c r="BP34" s="27"/>
      <c r="BQ34" s="27"/>
      <c r="BR34" s="27"/>
      <c r="BS34" s="27"/>
      <c r="BT34" s="27"/>
      <c r="BU34" s="27"/>
      <c r="BW34" s="27"/>
      <c r="BX34" s="27"/>
      <c r="BY34" s="27"/>
      <c r="BZ34" s="27"/>
      <c r="CA34" s="27"/>
      <c r="CB34" s="27"/>
    </row>
    <row r="35" spans="1:80" ht="54.75" customHeight="1" x14ac:dyDescent="0.25">
      <c r="B35" s="162"/>
      <c r="C35" s="162"/>
      <c r="D35" s="162"/>
      <c r="E35" s="163"/>
      <c r="F35" s="163"/>
      <c r="G35" s="163"/>
      <c r="H35" s="1405">
        <v>6</v>
      </c>
      <c r="I35" s="1405"/>
      <c r="J35" s="1405"/>
      <c r="K35" s="168"/>
      <c r="L35" s="160"/>
      <c r="M35" s="160"/>
      <c r="N35" s="160"/>
      <c r="O35" s="160"/>
      <c r="P35" s="160"/>
      <c r="Q35" s="3158" t="s">
        <v>13</v>
      </c>
      <c r="R35" s="3159"/>
      <c r="S35" s="3159"/>
      <c r="T35" s="3159"/>
      <c r="U35" s="3159"/>
      <c r="V35" s="3159"/>
      <c r="W35" s="169"/>
      <c r="X35" s="1690"/>
      <c r="Y35" s="1690"/>
      <c r="Z35" s="1690"/>
      <c r="AA35" s="1690"/>
      <c r="AB35" s="1690"/>
      <c r="AC35" s="1691"/>
      <c r="AD35" s="1691"/>
      <c r="AE35" s="1691"/>
      <c r="AF35" s="1691"/>
      <c r="AG35" s="1691"/>
      <c r="AH35" s="1691"/>
      <c r="AI35" s="166"/>
      <c r="AJ35" s="1416"/>
      <c r="AK35" s="1416"/>
      <c r="AL35" s="1416"/>
      <c r="AM35" s="1416"/>
      <c r="AN35" s="1416"/>
      <c r="AO35" s="1403"/>
      <c r="AP35" s="1403"/>
      <c r="AQ35" s="1403"/>
      <c r="AR35" s="1403"/>
      <c r="AS35" s="1403"/>
      <c r="AT35" s="1403"/>
      <c r="AU35" s="1403"/>
      <c r="AV35" s="1404"/>
      <c r="AW35" s="1404"/>
      <c r="BI35" s="50"/>
      <c r="BJ35" s="50"/>
      <c r="BM35" s="27"/>
      <c r="BN35" s="27"/>
      <c r="BO35" s="27"/>
      <c r="BP35" s="27"/>
      <c r="BQ35" s="27"/>
      <c r="BR35" s="27"/>
      <c r="BS35" s="27"/>
      <c r="BT35" s="27"/>
      <c r="BU35" s="27"/>
      <c r="BW35" s="27"/>
      <c r="BX35" s="27"/>
      <c r="BY35" s="27"/>
      <c r="BZ35" s="27"/>
      <c r="CA35" s="27"/>
      <c r="CB35" s="27"/>
    </row>
    <row r="36" spans="1:80" ht="93" customHeight="1" x14ac:dyDescent="0.25">
      <c r="B36" s="162"/>
      <c r="C36" s="162"/>
      <c r="D36" s="162"/>
      <c r="E36" s="162"/>
      <c r="F36" s="162"/>
      <c r="G36" s="164"/>
      <c r="H36" s="1408"/>
      <c r="I36" s="1408"/>
      <c r="J36" s="1408"/>
      <c r="K36" s="168"/>
      <c r="L36" s="160"/>
      <c r="M36" s="160"/>
      <c r="N36" s="160"/>
      <c r="O36" s="160"/>
      <c r="P36" s="160"/>
      <c r="Q36" s="3159"/>
      <c r="R36" s="3159"/>
      <c r="S36" s="3159"/>
      <c r="T36" s="3159"/>
      <c r="U36" s="3159"/>
      <c r="V36" s="3159"/>
      <c r="W36" s="169"/>
      <c r="X36" s="1690"/>
      <c r="Y36" s="1690"/>
      <c r="Z36" s="1690"/>
      <c r="AA36" s="1690"/>
      <c r="AB36" s="1690"/>
      <c r="AC36" s="1691"/>
      <c r="AD36" s="1691"/>
      <c r="AE36" s="1691"/>
      <c r="AF36" s="1691"/>
      <c r="AG36" s="1691"/>
      <c r="AH36" s="1691"/>
      <c r="AI36" s="166"/>
      <c r="AJ36" s="1416"/>
      <c r="AK36" s="1416"/>
      <c r="AL36" s="1416"/>
      <c r="AM36" s="1416"/>
      <c r="AN36" s="1416"/>
      <c r="AO36" s="1403"/>
      <c r="AP36" s="1403"/>
      <c r="AQ36" s="1403"/>
      <c r="AR36" s="1403"/>
      <c r="AS36" s="1403"/>
      <c r="AT36" s="1403"/>
      <c r="AU36" s="1403"/>
      <c r="AV36" s="1404"/>
      <c r="AW36" s="1404"/>
      <c r="BI36" s="50"/>
      <c r="BJ36" s="50"/>
      <c r="BM36" s="27"/>
      <c r="BN36" s="27"/>
      <c r="BO36" s="27"/>
      <c r="BP36" s="27"/>
      <c r="BQ36" s="27"/>
      <c r="BR36" s="27"/>
      <c r="BS36" s="27"/>
      <c r="BT36" s="27"/>
      <c r="BU36" s="27"/>
      <c r="BW36" s="27"/>
      <c r="BX36" s="27"/>
      <c r="BY36" s="27"/>
      <c r="BZ36" s="27"/>
      <c r="CA36" s="27"/>
      <c r="CB36" s="27"/>
    </row>
    <row r="37" spans="1:80" ht="15" customHeight="1" x14ac:dyDescent="0.25">
      <c r="B37" s="162"/>
      <c r="C37" s="162"/>
      <c r="D37" s="162"/>
      <c r="E37" s="162"/>
      <c r="F37" s="162"/>
      <c r="G37" s="164"/>
      <c r="H37" s="1408"/>
      <c r="I37" s="1408"/>
      <c r="J37" s="1408"/>
      <c r="K37" s="164"/>
      <c r="L37" s="165"/>
      <c r="M37" s="165"/>
      <c r="N37" s="165"/>
      <c r="O37" s="165"/>
      <c r="P37" s="165"/>
      <c r="Q37" s="3159"/>
      <c r="R37" s="3159"/>
      <c r="S37" s="3159"/>
      <c r="T37" s="3159"/>
      <c r="U37" s="3159"/>
      <c r="V37" s="3159"/>
      <c r="W37" s="165"/>
      <c r="X37" s="1409" t="s">
        <v>257</v>
      </c>
      <c r="Y37" s="1409"/>
      <c r="Z37" s="1409"/>
      <c r="AA37" s="1409"/>
      <c r="AB37" s="1409"/>
      <c r="AC37" s="2424">
        <f>AC32-AD45</f>
        <v>-5.0000000000007816E-3</v>
      </c>
      <c r="AD37" s="2424"/>
      <c r="AE37" s="2424"/>
      <c r="AF37" s="2424"/>
      <c r="AG37" s="2424"/>
      <c r="AH37" s="2424"/>
      <c r="AI37" s="166"/>
      <c r="AJ37" s="1416"/>
      <c r="AK37" s="1416"/>
      <c r="AL37" s="1416"/>
      <c r="AM37" s="1416"/>
      <c r="AN37" s="1416"/>
      <c r="AO37" s="1403"/>
      <c r="AP37" s="1403"/>
      <c r="AQ37" s="1403"/>
      <c r="AR37" s="1403"/>
      <c r="AS37" s="1403"/>
      <c r="AT37" s="1403"/>
      <c r="AU37" s="1403"/>
      <c r="AV37" s="1404"/>
      <c r="AW37" s="1404"/>
      <c r="BI37" s="53"/>
      <c r="BJ37" s="53"/>
    </row>
    <row r="38" spans="1:80" ht="28.5" customHeight="1" x14ac:dyDescent="0.25">
      <c r="B38" s="162"/>
      <c r="C38" s="162"/>
      <c r="D38" s="162"/>
      <c r="E38" s="162"/>
      <c r="F38" s="162"/>
      <c r="G38" s="164"/>
      <c r="H38" s="1411"/>
      <c r="I38" s="1411"/>
      <c r="J38" s="1411"/>
      <c r="K38" s="168"/>
      <c r="L38" s="165"/>
      <c r="M38" s="165"/>
      <c r="N38" s="165"/>
      <c r="O38" s="165"/>
      <c r="P38" s="165"/>
      <c r="Q38" s="3159"/>
      <c r="R38" s="3159"/>
      <c r="S38" s="3159"/>
      <c r="T38" s="3159"/>
      <c r="U38" s="3159"/>
      <c r="V38" s="3159"/>
      <c r="W38" s="165"/>
      <c r="X38" s="1409"/>
      <c r="Y38" s="1409"/>
      <c r="Z38" s="1409"/>
      <c r="AA38" s="1409"/>
      <c r="AB38" s="1409"/>
      <c r="AC38" s="2424"/>
      <c r="AD38" s="2424"/>
      <c r="AE38" s="2424"/>
      <c r="AF38" s="2424"/>
      <c r="AG38" s="2424"/>
      <c r="AH38" s="2424"/>
      <c r="AI38" s="166"/>
      <c r="AJ38" s="1416"/>
      <c r="AK38" s="1416"/>
      <c r="AL38" s="1416"/>
      <c r="AM38" s="1416"/>
      <c r="AN38" s="1416"/>
      <c r="AO38" s="1403"/>
      <c r="AP38" s="1403"/>
      <c r="AQ38" s="1403"/>
      <c r="AR38" s="1403"/>
      <c r="AS38" s="1403"/>
      <c r="AT38" s="1403"/>
      <c r="AU38" s="1403"/>
      <c r="AV38" s="1404"/>
      <c r="AW38" s="1404"/>
      <c r="BI38" s="53"/>
      <c r="BJ38" s="53"/>
    </row>
    <row r="39" spans="1:80" ht="15" customHeight="1" x14ac:dyDescent="0.25">
      <c r="B39" s="162"/>
      <c r="C39" s="162"/>
      <c r="D39" s="162"/>
      <c r="E39" s="162"/>
      <c r="F39" s="162"/>
      <c r="G39" s="164"/>
      <c r="H39" s="1411"/>
      <c r="I39" s="1411"/>
      <c r="J39" s="1411"/>
      <c r="K39" s="168"/>
      <c r="L39" s="165"/>
      <c r="M39" s="165"/>
      <c r="N39" s="165"/>
      <c r="O39" s="165"/>
      <c r="P39" s="165"/>
      <c r="Q39" s="3159"/>
      <c r="R39" s="3159"/>
      <c r="S39" s="3159"/>
      <c r="T39" s="3159"/>
      <c r="U39" s="3159"/>
      <c r="V39" s="3159"/>
      <c r="W39" s="165"/>
      <c r="X39" s="1409"/>
      <c r="Y39" s="1409"/>
      <c r="Z39" s="1409"/>
      <c r="AA39" s="1409"/>
      <c r="AB39" s="1409"/>
      <c r="AC39" s="2424"/>
      <c r="AD39" s="2424"/>
      <c r="AE39" s="2424"/>
      <c r="AF39" s="2424"/>
      <c r="AG39" s="2424"/>
      <c r="AH39" s="2424"/>
      <c r="AI39" s="166"/>
      <c r="AJ39" s="1416"/>
      <c r="AK39" s="1416"/>
      <c r="AL39" s="1416"/>
      <c r="AM39" s="1416"/>
      <c r="AN39" s="1416"/>
      <c r="AO39" s="1403"/>
      <c r="AP39" s="1403"/>
      <c r="AQ39" s="1403"/>
      <c r="AR39" s="1403"/>
      <c r="AS39" s="1403"/>
      <c r="AT39" s="1403"/>
      <c r="AU39" s="1403"/>
      <c r="AV39" s="1404"/>
      <c r="AW39" s="1404"/>
      <c r="BI39" s="53"/>
      <c r="BJ39" s="53"/>
    </row>
    <row r="40" spans="1:80" ht="42.75" customHeight="1" x14ac:dyDescent="0.35">
      <c r="A40" s="54"/>
      <c r="B40" s="162"/>
      <c r="C40" s="162"/>
      <c r="D40" s="162"/>
      <c r="E40" s="162"/>
      <c r="F40" s="162"/>
      <c r="G40" s="164"/>
      <c r="H40" s="1411"/>
      <c r="I40" s="1411"/>
      <c r="J40" s="1411"/>
      <c r="K40" s="168"/>
      <c r="L40" s="165"/>
      <c r="M40" s="165"/>
      <c r="N40" s="165"/>
      <c r="O40" s="165"/>
      <c r="P40" s="165"/>
      <c r="Q40" s="3159"/>
      <c r="R40" s="3159"/>
      <c r="S40" s="3159"/>
      <c r="T40" s="3159"/>
      <c r="U40" s="3159"/>
      <c r="V40" s="3159"/>
      <c r="W40" s="165"/>
      <c r="X40" s="1409"/>
      <c r="Y40" s="1409"/>
      <c r="Z40" s="1409"/>
      <c r="AA40" s="1409"/>
      <c r="AB40" s="1409"/>
      <c r="AC40" s="2424"/>
      <c r="AD40" s="2424"/>
      <c r="AE40" s="2424"/>
      <c r="AF40" s="2424"/>
      <c r="AG40" s="2424"/>
      <c r="AH40" s="2424"/>
      <c r="AI40" s="166"/>
      <c r="AJ40" s="1416"/>
      <c r="AK40" s="1416"/>
      <c r="AL40" s="1416"/>
      <c r="AM40" s="1416"/>
      <c r="AN40" s="1416"/>
      <c r="AO40" s="1403"/>
      <c r="AP40" s="1403"/>
      <c r="AQ40" s="1403"/>
      <c r="AR40" s="1403"/>
      <c r="AS40" s="1403"/>
      <c r="AT40" s="1403"/>
      <c r="AU40" s="1403"/>
      <c r="AV40" s="1404"/>
      <c r="AW40" s="1404"/>
      <c r="BI40" s="53"/>
      <c r="BJ40" s="53"/>
    </row>
    <row r="41" spans="1:80" ht="38.25" customHeight="1" x14ac:dyDescent="0.35">
      <c r="A41" s="54"/>
      <c r="B41" s="162"/>
      <c r="C41" s="162"/>
      <c r="D41" s="162"/>
      <c r="E41" s="162"/>
      <c r="F41" s="162"/>
      <c r="G41" s="164"/>
      <c r="H41" s="1412"/>
      <c r="I41" s="1412"/>
      <c r="J41" s="1412"/>
      <c r="K41" s="168"/>
      <c r="L41" s="175"/>
      <c r="M41" s="175"/>
      <c r="N41" s="175"/>
      <c r="O41" s="175"/>
      <c r="P41" s="175"/>
      <c r="Q41" s="3159"/>
      <c r="R41" s="3159"/>
      <c r="S41" s="3159"/>
      <c r="T41" s="3159"/>
      <c r="U41" s="3159"/>
      <c r="V41" s="3159"/>
      <c r="W41" s="176"/>
      <c r="X41" s="1409"/>
      <c r="Y41" s="1409"/>
      <c r="Z41" s="1409"/>
      <c r="AA41" s="1409"/>
      <c r="AB41" s="1409"/>
      <c r="AC41" s="2424"/>
      <c r="AD41" s="2424"/>
      <c r="AE41" s="2424"/>
      <c r="AF41" s="2424"/>
      <c r="AG41" s="2424"/>
      <c r="AH41" s="2424"/>
      <c r="AI41" s="166"/>
      <c r="AJ41" s="1416"/>
      <c r="AK41" s="1416"/>
      <c r="AL41" s="1416"/>
      <c r="AM41" s="1416"/>
      <c r="AN41" s="1416"/>
      <c r="AO41" s="1418"/>
      <c r="AP41" s="1418"/>
      <c r="AQ41" s="1418"/>
      <c r="AR41" s="1418"/>
      <c r="AS41" s="1418"/>
      <c r="AT41" s="1418"/>
      <c r="AU41" s="1418"/>
      <c r="AV41" s="1418"/>
      <c r="AW41" s="1418"/>
      <c r="AX41" s="54"/>
      <c r="AY41" s="54"/>
      <c r="BI41" s="170"/>
      <c r="BJ41" s="170"/>
    </row>
    <row r="42" spans="1:80" ht="60" customHeight="1" x14ac:dyDescent="0.35">
      <c r="H42" s="1412"/>
      <c r="I42" s="1412"/>
      <c r="J42" s="1412"/>
      <c r="L42" s="175"/>
      <c r="M42" s="175"/>
      <c r="N42" s="175"/>
      <c r="O42" s="175"/>
      <c r="P42" s="175"/>
      <c r="Q42" s="3159"/>
      <c r="R42" s="3159"/>
      <c r="S42" s="3159"/>
      <c r="T42" s="3159"/>
      <c r="U42" s="3159"/>
      <c r="V42" s="3159"/>
      <c r="W42" s="176"/>
      <c r="X42" s="1409"/>
      <c r="Y42" s="1409"/>
      <c r="Z42" s="1409"/>
      <c r="AA42" s="1409"/>
      <c r="AB42" s="1409"/>
      <c r="AC42" s="2424"/>
      <c r="AD42" s="2424"/>
      <c r="AE42" s="2424"/>
      <c r="AF42" s="2424"/>
      <c r="AG42" s="2424"/>
      <c r="AH42" s="2424"/>
      <c r="AI42" s="166"/>
      <c r="AJ42" s="1416"/>
      <c r="AK42" s="1416"/>
      <c r="AL42" s="1416"/>
      <c r="AM42" s="1416"/>
      <c r="AN42" s="1416"/>
      <c r="AO42" s="1418"/>
      <c r="AP42" s="1418"/>
      <c r="AQ42" s="1418"/>
      <c r="AR42" s="1418"/>
      <c r="AS42" s="1418"/>
      <c r="AT42" s="1418"/>
      <c r="AU42" s="1418"/>
      <c r="AV42" s="1418"/>
      <c r="AW42" s="1418"/>
      <c r="AX42" s="54"/>
      <c r="AY42" s="54"/>
      <c r="BI42" s="170"/>
      <c r="BJ42" s="170"/>
    </row>
    <row r="43" spans="1:80" ht="15" customHeight="1" x14ac:dyDescent="0.35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1"/>
      <c r="AI43" s="171"/>
      <c r="AJ43" s="171"/>
      <c r="AK43" s="171"/>
      <c r="AL43" s="171"/>
      <c r="AM43" s="171"/>
      <c r="AN43" s="171"/>
      <c r="AO43" s="172"/>
      <c r="AP43" s="172"/>
      <c r="AQ43" s="172"/>
      <c r="AR43" s="172"/>
      <c r="AS43" s="172"/>
      <c r="AT43" s="172"/>
      <c r="AU43" s="172"/>
      <c r="AV43" s="172"/>
      <c r="AW43" s="172"/>
    </row>
    <row r="44" spans="1:80" ht="15.75" customHeight="1" thickBot="1" x14ac:dyDescent="0.4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3"/>
      <c r="Y44" s="171"/>
      <c r="Z44" s="171"/>
      <c r="AA44" s="171"/>
      <c r="AB44" s="171"/>
      <c r="AC44" s="171"/>
      <c r="AD44" s="171"/>
      <c r="AE44" s="171"/>
      <c r="AF44" s="171"/>
      <c r="AG44" s="171"/>
      <c r="AH44" s="171"/>
      <c r="AI44" s="171"/>
      <c r="AJ44" s="171"/>
      <c r="AK44" s="171"/>
      <c r="AL44" s="171"/>
      <c r="AM44" s="171"/>
      <c r="AN44" s="171"/>
      <c r="AO44" s="172"/>
      <c r="AP44" s="172"/>
      <c r="AQ44" s="172"/>
      <c r="AR44" s="172"/>
      <c r="AS44" s="172"/>
      <c r="AT44" s="172"/>
      <c r="AU44" s="172"/>
      <c r="AV44" s="172"/>
      <c r="AW44" s="172"/>
    </row>
    <row r="45" spans="1:80" ht="15.75" thickTop="1" x14ac:dyDescent="0.25">
      <c r="J45" t="s">
        <v>16</v>
      </c>
      <c r="AD45" s="775">
        <v>10.57</v>
      </c>
      <c r="AE45" s="776"/>
      <c r="AF45" s="776"/>
      <c r="AG45" s="776"/>
      <c r="AH45" s="777"/>
      <c r="AL45" s="727" t="s">
        <v>122</v>
      </c>
      <c r="AM45" s="727"/>
      <c r="AN45" s="727"/>
      <c r="AO45" s="727" t="s">
        <v>123</v>
      </c>
      <c r="AP45" s="727"/>
      <c r="AQ45" s="727"/>
      <c r="AR45" s="727" t="s">
        <v>124</v>
      </c>
      <c r="AS45" s="727"/>
      <c r="AT45" s="727" t="s">
        <v>125</v>
      </c>
      <c r="AU45" s="727"/>
      <c r="AY45" s="739" t="s">
        <v>126</v>
      </c>
      <c r="AZ45" s="740"/>
      <c r="BA45" s="740"/>
      <c r="BB45" s="740"/>
      <c r="BC45" s="740"/>
      <c r="BD45" s="740"/>
      <c r="BE45" s="740"/>
      <c r="BF45" s="740"/>
      <c r="BG45" s="740"/>
      <c r="BH45" s="741"/>
    </row>
    <row r="46" spans="1:80" x14ac:dyDescent="0.25">
      <c r="AD46" s="778"/>
      <c r="AE46" s="779"/>
      <c r="AF46" s="779"/>
      <c r="AG46" s="779"/>
      <c r="AH46" s="780"/>
      <c r="AL46" s="727"/>
      <c r="AM46" s="727"/>
      <c r="AN46" s="727"/>
      <c r="AO46" s="727"/>
      <c r="AP46" s="727"/>
      <c r="AQ46" s="727"/>
      <c r="AR46" s="727"/>
      <c r="AS46" s="727"/>
      <c r="AT46" s="727"/>
      <c r="AU46" s="727"/>
      <c r="AY46" s="750"/>
      <c r="AZ46" s="751"/>
      <c r="BA46" s="751"/>
      <c r="BB46" s="751"/>
      <c r="BC46" s="751"/>
      <c r="BD46" s="751"/>
      <c r="BE46" s="751"/>
      <c r="BF46" s="751"/>
      <c r="BG46" s="751"/>
      <c r="BH46" s="752"/>
    </row>
    <row r="47" spans="1:80" x14ac:dyDescent="0.25">
      <c r="AA47" s="56"/>
      <c r="AD47" s="778"/>
      <c r="AE47" s="779"/>
      <c r="AF47" s="779"/>
      <c r="AG47" s="779"/>
      <c r="AH47" s="780"/>
      <c r="AL47" s="727"/>
      <c r="AM47" s="727"/>
      <c r="AN47" s="727"/>
      <c r="AO47" s="727"/>
      <c r="AP47" s="727"/>
      <c r="AQ47" s="727"/>
      <c r="AR47" s="727"/>
      <c r="AS47" s="727"/>
      <c r="AT47" s="727"/>
      <c r="AU47" s="727"/>
      <c r="AY47" s="742"/>
      <c r="AZ47" s="743"/>
      <c r="BA47" s="743"/>
      <c r="BB47" s="743"/>
      <c r="BC47" s="743"/>
      <c r="BD47" s="743"/>
      <c r="BE47" s="743"/>
      <c r="BF47" s="743"/>
      <c r="BG47" s="743"/>
      <c r="BH47" s="744"/>
    </row>
    <row r="48" spans="1:80" x14ac:dyDescent="0.25">
      <c r="K48" t="s">
        <v>258</v>
      </c>
      <c r="AD48" s="778"/>
      <c r="AE48" s="779"/>
      <c r="AF48" s="779"/>
      <c r="AG48" s="779"/>
      <c r="AH48" s="780"/>
      <c r="AL48" s="727">
        <v>475</v>
      </c>
      <c r="AM48" s="727"/>
      <c r="AN48" s="727"/>
      <c r="AO48" s="727">
        <f ca="1">AT70</f>
        <v>475</v>
      </c>
      <c r="AP48" s="727"/>
      <c r="AQ48" s="727"/>
      <c r="AR48" s="1689">
        <f>AC32</f>
        <v>10.565</v>
      </c>
      <c r="AS48" s="1689"/>
      <c r="AT48" s="1689">
        <f>AC32+AO34</f>
        <v>19.564999999999998</v>
      </c>
      <c r="AU48" s="1689"/>
      <c r="AY48" s="727" t="s">
        <v>128</v>
      </c>
      <c r="AZ48" s="727"/>
      <c r="BA48" s="727"/>
      <c r="BB48" s="727"/>
      <c r="BC48" s="727"/>
      <c r="BD48" s="727"/>
      <c r="BE48" s="727"/>
      <c r="BF48" s="727"/>
      <c r="BG48" s="727"/>
      <c r="BH48" s="727"/>
    </row>
    <row r="49" spans="7:60" x14ac:dyDescent="0.25">
      <c r="G49" t="s">
        <v>16</v>
      </c>
      <c r="AD49" s="778"/>
      <c r="AE49" s="779"/>
      <c r="AF49" s="779"/>
      <c r="AG49" s="779"/>
      <c r="AH49" s="780"/>
      <c r="AL49" s="727"/>
      <c r="AM49" s="727"/>
      <c r="AN49" s="727"/>
      <c r="AO49" s="727"/>
      <c r="AP49" s="727"/>
      <c r="AQ49" s="727"/>
      <c r="AR49" s="1689"/>
      <c r="AS49" s="1689"/>
      <c r="AT49" s="1689"/>
      <c r="AU49" s="1689"/>
      <c r="AY49" s="727"/>
      <c r="AZ49" s="727"/>
      <c r="BA49" s="727"/>
      <c r="BB49" s="727"/>
      <c r="BC49" s="727"/>
      <c r="BD49" s="727"/>
      <c r="BE49" s="727"/>
      <c r="BF49" s="727"/>
      <c r="BG49" s="727"/>
      <c r="BH49" s="727"/>
    </row>
    <row r="50" spans="7:60" ht="15" customHeight="1" x14ac:dyDescent="0.25">
      <c r="AD50" s="778"/>
      <c r="AE50" s="779"/>
      <c r="AF50" s="779"/>
      <c r="AG50" s="779"/>
      <c r="AH50" s="780"/>
      <c r="AL50" s="727"/>
      <c r="AM50" s="727"/>
      <c r="AN50" s="727"/>
      <c r="AO50" s="727"/>
      <c r="AP50" s="727"/>
      <c r="AQ50" s="727"/>
      <c r="AR50" s="1689"/>
      <c r="AS50" s="1689"/>
      <c r="AT50" s="1689"/>
      <c r="AU50" s="1689"/>
      <c r="AY50" s="728">
        <f ca="1">AR48/((72*3.1415/59)*(AO48/3.281)+((30*3.1415/44)*(106/3.281)))</f>
        <v>1.6925254467569217E-2</v>
      </c>
      <c r="AZ50" s="729"/>
      <c r="BA50" s="729"/>
      <c r="BB50" s="729"/>
      <c r="BC50" s="729"/>
      <c r="BD50" s="729"/>
      <c r="BE50" s="729"/>
      <c r="BF50" s="729"/>
      <c r="BG50" s="729"/>
      <c r="BH50" s="730"/>
    </row>
    <row r="51" spans="7:60" ht="15.75" customHeight="1" thickBot="1" x14ac:dyDescent="0.3">
      <c r="AD51" s="781"/>
      <c r="AE51" s="782"/>
      <c r="AF51" s="782"/>
      <c r="AG51" s="782"/>
      <c r="AH51" s="783"/>
      <c r="AL51" s="727"/>
      <c r="AM51" s="727"/>
      <c r="AN51" s="727"/>
      <c r="AO51" s="727"/>
      <c r="AP51" s="727"/>
      <c r="AQ51" s="727"/>
      <c r="AR51" s="1689"/>
      <c r="AS51" s="1689"/>
      <c r="AT51" s="1689"/>
      <c r="AU51" s="1689"/>
      <c r="AY51" s="731"/>
      <c r="AZ51" s="732"/>
      <c r="BA51" s="732"/>
      <c r="BB51" s="732"/>
      <c r="BC51" s="732"/>
      <c r="BD51" s="732"/>
      <c r="BE51" s="732"/>
      <c r="BF51" s="732"/>
      <c r="BG51" s="732"/>
      <c r="BH51" s="733"/>
    </row>
    <row r="52" spans="7:60" ht="15.75" customHeight="1" thickTop="1" x14ac:dyDescent="0.25">
      <c r="AY52" s="734"/>
      <c r="AZ52" s="735"/>
      <c r="BA52" s="735"/>
      <c r="BB52" s="735"/>
      <c r="BC52" s="735"/>
      <c r="BD52" s="735"/>
      <c r="BE52" s="735"/>
      <c r="BF52" s="735"/>
      <c r="BG52" s="735"/>
      <c r="BH52" s="736"/>
    </row>
    <row r="53" spans="7:60" x14ac:dyDescent="0.25">
      <c r="AY53" s="739" t="s">
        <v>129</v>
      </c>
      <c r="AZ53" s="740"/>
      <c r="BA53" s="740"/>
      <c r="BB53" s="740"/>
      <c r="BC53" s="740"/>
      <c r="BD53" s="740"/>
      <c r="BE53" s="740"/>
      <c r="BF53" s="740"/>
      <c r="BG53" s="740"/>
      <c r="BH53" s="741"/>
    </row>
    <row r="54" spans="7:60" x14ac:dyDescent="0.25">
      <c r="AY54" s="742"/>
      <c r="AZ54" s="743"/>
      <c r="BA54" s="743"/>
      <c r="BB54" s="743"/>
      <c r="BC54" s="743"/>
      <c r="BD54" s="743"/>
      <c r="BE54" s="743"/>
      <c r="BF54" s="743"/>
      <c r="BG54" s="743"/>
      <c r="BH54" s="744"/>
    </row>
    <row r="55" spans="7:60" x14ac:dyDescent="0.25">
      <c r="AN55" s="727">
        <v>95</v>
      </c>
      <c r="AO55" s="727"/>
      <c r="AP55" s="727"/>
      <c r="AQ55" s="746" cm="1">
        <f t="array" aca="1" ref="AQ55" ca="1">SUM(COUNTIF(INDIRECT({"L7","Q7","V7","AA7","AF7","AK7"}),"&gt;0"))</f>
        <v>5</v>
      </c>
      <c r="AR55" s="746"/>
      <c r="AS55" s="746"/>
      <c r="AT55" s="747">
        <f ca="1">AQ55*AN55</f>
        <v>475</v>
      </c>
      <c r="AU55" s="748"/>
      <c r="AV55" s="748"/>
      <c r="AW55" s="749"/>
      <c r="AY55" s="739" t="s">
        <v>130</v>
      </c>
      <c r="AZ55" s="740"/>
      <c r="BA55" s="740"/>
      <c r="BB55" s="740"/>
      <c r="BC55" s="740"/>
      <c r="BD55" s="740"/>
      <c r="BE55" s="740"/>
      <c r="BF55" s="740"/>
      <c r="BG55" s="740"/>
      <c r="BH55" s="741"/>
    </row>
    <row r="56" spans="7:60" x14ac:dyDescent="0.25">
      <c r="AN56" s="727"/>
      <c r="AO56" s="727"/>
      <c r="AP56" s="727"/>
      <c r="AQ56" s="746"/>
      <c r="AR56" s="746"/>
      <c r="AS56" s="746"/>
      <c r="AT56" s="747"/>
      <c r="AU56" s="748"/>
      <c r="AV56" s="748"/>
      <c r="AW56" s="749"/>
      <c r="AY56" s="750"/>
      <c r="AZ56" s="751"/>
      <c r="BA56" s="751"/>
      <c r="BB56" s="751"/>
      <c r="BC56" s="751"/>
      <c r="BD56" s="751"/>
      <c r="BE56" s="751"/>
      <c r="BF56" s="751"/>
      <c r="BG56" s="751"/>
      <c r="BH56" s="752"/>
    </row>
    <row r="57" spans="7:60" ht="15" customHeight="1" x14ac:dyDescent="0.25">
      <c r="AN57" s="727"/>
      <c r="AO57" s="727"/>
      <c r="AP57" s="727"/>
      <c r="AQ57" s="746"/>
      <c r="AR57" s="746"/>
      <c r="AS57" s="746"/>
      <c r="AT57" s="747"/>
      <c r="AU57" s="748"/>
      <c r="AV57" s="748"/>
      <c r="AW57" s="749"/>
      <c r="AY57" s="750"/>
      <c r="AZ57" s="751"/>
      <c r="BA57" s="751"/>
      <c r="BB57" s="751"/>
      <c r="BC57" s="751"/>
      <c r="BD57" s="751"/>
      <c r="BE57" s="751"/>
      <c r="BF57" s="751"/>
      <c r="BG57" s="751"/>
      <c r="BH57" s="752"/>
    </row>
    <row r="58" spans="7:60" x14ac:dyDescent="0.25">
      <c r="T58">
        <f ca="1">(72*3.1415/59)*(AO48/3.281)</f>
        <v>555.01526508557242</v>
      </c>
      <c r="AN58" s="727"/>
      <c r="AO58" s="727"/>
      <c r="AP58" s="727"/>
      <c r="AQ58" s="746"/>
      <c r="AR58" s="746"/>
      <c r="AS58" s="746"/>
      <c r="AT58" s="747"/>
      <c r="AU58" s="748"/>
      <c r="AV58" s="748"/>
      <c r="AW58" s="749"/>
      <c r="AY58" s="742"/>
      <c r="AZ58" s="743"/>
      <c r="BA58" s="743"/>
      <c r="BB58" s="743"/>
      <c r="BC58" s="743"/>
      <c r="BD58" s="743"/>
      <c r="BE58" s="743"/>
      <c r="BF58" s="743"/>
      <c r="BG58" s="743"/>
      <c r="BH58" s="744"/>
    </row>
    <row r="59" spans="7:60" x14ac:dyDescent="0.25">
      <c r="T59">
        <f>(30*3.1415/44)*(106/3.281)</f>
        <v>69.199869773627782</v>
      </c>
      <c r="AN59" s="727"/>
      <c r="AO59" s="727"/>
      <c r="AP59" s="727"/>
      <c r="AQ59" s="746"/>
      <c r="AR59" s="746"/>
      <c r="AS59" s="746"/>
      <c r="AT59" s="747"/>
      <c r="AU59" s="748"/>
      <c r="AV59" s="748"/>
      <c r="AW59" s="749"/>
      <c r="AY59" s="728">
        <f ca="1">AT48/((72*3.1415/59)*(AO48/3.281)+((30*3.1415/44)*(106/3.281)))</f>
        <v>3.1343360497680238E-2</v>
      </c>
      <c r="AZ59" s="729"/>
      <c r="BA59" s="729"/>
      <c r="BB59" s="729"/>
      <c r="BC59" s="729"/>
      <c r="BD59" s="729"/>
      <c r="BE59" s="729"/>
      <c r="BF59" s="729"/>
      <c r="BG59" s="729"/>
      <c r="BH59" s="730"/>
    </row>
    <row r="60" spans="7:60" x14ac:dyDescent="0.25">
      <c r="AN60" s="727"/>
      <c r="AO60" s="727"/>
      <c r="AP60" s="727"/>
      <c r="AQ60" s="746"/>
      <c r="AR60" s="746"/>
      <c r="AS60" s="746"/>
      <c r="AT60" s="747"/>
      <c r="AU60" s="748"/>
      <c r="AV60" s="748"/>
      <c r="AW60" s="749"/>
      <c r="AY60" s="731"/>
      <c r="AZ60" s="732"/>
      <c r="BA60" s="732"/>
      <c r="BB60" s="732"/>
      <c r="BC60" s="732"/>
      <c r="BD60" s="732"/>
      <c r="BE60" s="732"/>
      <c r="BF60" s="732"/>
      <c r="BG60" s="732"/>
      <c r="BH60" s="733"/>
    </row>
    <row r="61" spans="7:60" ht="15" customHeight="1" x14ac:dyDescent="0.25">
      <c r="AN61" s="727"/>
      <c r="AO61" s="727"/>
      <c r="AP61" s="727"/>
      <c r="AQ61" s="746"/>
      <c r="AR61" s="746"/>
      <c r="AS61" s="746"/>
      <c r="AT61" s="747"/>
      <c r="AU61" s="748"/>
      <c r="AV61" s="748"/>
      <c r="AW61" s="749"/>
      <c r="AY61" s="731"/>
      <c r="AZ61" s="732"/>
      <c r="BA61" s="732"/>
      <c r="BB61" s="732"/>
      <c r="BC61" s="732"/>
      <c r="BD61" s="732"/>
      <c r="BE61" s="732"/>
      <c r="BF61" s="732"/>
      <c r="BG61" s="732"/>
      <c r="BH61" s="733"/>
    </row>
    <row r="62" spans="7:60" ht="15" customHeight="1" x14ac:dyDescent="0.25">
      <c r="AN62" s="727"/>
      <c r="AO62" s="727"/>
      <c r="AP62" s="727"/>
      <c r="AQ62" s="746"/>
      <c r="AR62" s="746"/>
      <c r="AS62" s="746"/>
      <c r="AT62" s="747"/>
      <c r="AU62" s="748"/>
      <c r="AV62" s="748"/>
      <c r="AW62" s="749"/>
      <c r="AY62" s="731"/>
      <c r="AZ62" s="732"/>
      <c r="BA62" s="732"/>
      <c r="BB62" s="732"/>
      <c r="BC62" s="732"/>
      <c r="BD62" s="732"/>
      <c r="BE62" s="732"/>
      <c r="BF62" s="732"/>
      <c r="BG62" s="732"/>
      <c r="BH62" s="733"/>
    </row>
    <row r="63" spans="7:60" ht="15" customHeight="1" x14ac:dyDescent="0.25">
      <c r="AN63" s="727"/>
      <c r="AO63" s="727"/>
      <c r="AP63" s="727"/>
      <c r="AQ63" s="746"/>
      <c r="AR63" s="746"/>
      <c r="AS63" s="746"/>
      <c r="AT63" s="747"/>
      <c r="AU63" s="748"/>
      <c r="AV63" s="748"/>
      <c r="AW63" s="749"/>
      <c r="AY63" s="734"/>
      <c r="AZ63" s="735"/>
      <c r="BA63" s="735"/>
      <c r="BB63" s="735"/>
      <c r="BC63" s="735"/>
      <c r="BD63" s="735"/>
      <c r="BE63" s="735"/>
      <c r="BF63" s="735"/>
      <c r="BG63" s="735"/>
      <c r="BH63" s="736"/>
    </row>
    <row r="64" spans="7:60" ht="15" customHeight="1" x14ac:dyDescent="0.25">
      <c r="AA64" s="3188"/>
      <c r="AB64" s="3188"/>
      <c r="AC64" s="3188"/>
      <c r="AD64" s="3188"/>
      <c r="AE64" s="3188"/>
      <c r="AF64" s="3188"/>
      <c r="AN64" s="727"/>
      <c r="AO64" s="727"/>
      <c r="AP64" s="727"/>
      <c r="AQ64" s="746"/>
      <c r="AR64" s="746"/>
      <c r="AS64" s="746"/>
      <c r="AT64" s="747"/>
      <c r="AU64" s="748"/>
      <c r="AV64" s="748"/>
      <c r="AW64" s="749"/>
    </row>
    <row r="65" spans="27:49" ht="15" customHeight="1" x14ac:dyDescent="0.25">
      <c r="AA65" s="3188"/>
      <c r="AB65" s="3188"/>
      <c r="AC65" s="3188"/>
      <c r="AD65" s="3188"/>
      <c r="AE65" s="3188"/>
      <c r="AF65" s="3188"/>
      <c r="AN65" s="727"/>
      <c r="AO65" s="727"/>
      <c r="AP65" s="727"/>
      <c r="AQ65" s="746"/>
      <c r="AR65" s="746"/>
      <c r="AS65" s="746"/>
      <c r="AT65" s="747"/>
      <c r="AU65" s="748"/>
      <c r="AV65" s="748"/>
      <c r="AW65" s="749"/>
    </row>
    <row r="66" spans="27:49" ht="15" customHeight="1" x14ac:dyDescent="0.25">
      <c r="AA66" s="3188"/>
      <c r="AB66" s="3188"/>
      <c r="AC66" s="3188"/>
      <c r="AD66" s="3188"/>
      <c r="AE66" s="3188"/>
      <c r="AF66" s="3188"/>
      <c r="AN66" s="727"/>
      <c r="AO66" s="727"/>
      <c r="AP66" s="727"/>
      <c r="AQ66" s="746"/>
      <c r="AR66" s="746"/>
      <c r="AS66" s="746"/>
      <c r="AT66" s="747"/>
      <c r="AU66" s="748"/>
      <c r="AV66" s="748"/>
      <c r="AW66" s="749"/>
    </row>
    <row r="67" spans="27:49" ht="15" customHeight="1" x14ac:dyDescent="0.25">
      <c r="AA67" s="3188"/>
      <c r="AB67" s="3188"/>
      <c r="AC67" s="3188"/>
      <c r="AD67" s="3188"/>
      <c r="AE67" s="3188"/>
      <c r="AF67" s="3188"/>
      <c r="AN67" s="727"/>
      <c r="AO67" s="727"/>
      <c r="AP67" s="727"/>
      <c r="AQ67" s="746"/>
      <c r="AR67" s="746"/>
      <c r="AS67" s="746"/>
      <c r="AT67" s="747"/>
      <c r="AU67" s="748"/>
      <c r="AV67" s="748"/>
      <c r="AW67" s="749"/>
    </row>
    <row r="68" spans="27:49" ht="15" customHeight="1" x14ac:dyDescent="0.25">
      <c r="AA68" s="3188"/>
      <c r="AB68" s="3188"/>
      <c r="AC68" s="3188"/>
      <c r="AD68" s="3188"/>
      <c r="AE68" s="3188"/>
      <c r="AF68" s="3188"/>
      <c r="AN68" s="727"/>
      <c r="AO68" s="727"/>
      <c r="AP68" s="727"/>
      <c r="AQ68" s="746"/>
      <c r="AR68" s="746"/>
      <c r="AS68" s="746"/>
      <c r="AT68" s="747"/>
      <c r="AU68" s="748"/>
      <c r="AV68" s="748"/>
      <c r="AW68" s="749"/>
    </row>
    <row r="69" spans="27:49" ht="15" customHeight="1" x14ac:dyDescent="0.25">
      <c r="AA69" s="3188"/>
      <c r="AB69" s="3188"/>
      <c r="AC69" s="3188"/>
      <c r="AD69" s="3188"/>
      <c r="AE69" s="3188"/>
      <c r="AF69" s="3188"/>
      <c r="AN69" s="727"/>
      <c r="AO69" s="727"/>
      <c r="AP69" s="727"/>
      <c r="AQ69" s="746"/>
      <c r="AR69" s="746"/>
      <c r="AS69" s="746"/>
      <c r="AT69" s="747"/>
      <c r="AU69" s="748"/>
      <c r="AV69" s="748"/>
      <c r="AW69" s="749"/>
    </row>
    <row r="70" spans="27:49" ht="15" customHeight="1" x14ac:dyDescent="0.25">
      <c r="AA70" s="3188"/>
      <c r="AB70" s="3188"/>
      <c r="AC70" s="3188"/>
      <c r="AD70" s="3188"/>
      <c r="AE70" s="3188"/>
      <c r="AF70" s="3188"/>
      <c r="AQ70" s="1254">
        <f ca="1">AQ55+AQ58+AQ61+AQ64+AQ67</f>
        <v>5</v>
      </c>
      <c r="AR70" s="1254"/>
      <c r="AS70" s="1254"/>
      <c r="AT70" s="747">
        <f ca="1">AT55+AT58+AT61</f>
        <v>475</v>
      </c>
      <c r="AU70" s="748"/>
      <c r="AV70" s="748"/>
      <c r="AW70" s="749"/>
    </row>
    <row r="71" spans="27:49" ht="15" customHeight="1" x14ac:dyDescent="0.25">
      <c r="AA71" s="3188"/>
      <c r="AB71" s="3188"/>
      <c r="AC71" s="3188"/>
      <c r="AD71" s="3188"/>
      <c r="AE71" s="3188"/>
      <c r="AF71" s="3188"/>
      <c r="AQ71" s="1254"/>
      <c r="AR71" s="1254"/>
      <c r="AS71" s="1254"/>
      <c r="AT71" s="747"/>
      <c r="AU71" s="748"/>
      <c r="AV71" s="748"/>
      <c r="AW71" s="749"/>
    </row>
    <row r="72" spans="27:49" ht="15" customHeight="1" x14ac:dyDescent="0.25">
      <c r="AQ72" s="1254"/>
      <c r="AR72" s="1254"/>
      <c r="AS72" s="1254"/>
      <c r="AT72" s="747"/>
      <c r="AU72" s="748"/>
      <c r="AV72" s="748"/>
      <c r="AW72" s="749"/>
    </row>
    <row r="73" spans="27:49" ht="15" customHeight="1" x14ac:dyDescent="0.25"/>
    <row r="74" spans="27:49" ht="15" customHeight="1" x14ac:dyDescent="0.25"/>
    <row r="75" spans="27:49" ht="15" customHeight="1" x14ac:dyDescent="0.25"/>
    <row r="76" spans="27:49" ht="15" customHeight="1" x14ac:dyDescent="0.25"/>
    <row r="77" spans="27:49" ht="15" customHeight="1" x14ac:dyDescent="0.25">
      <c r="AS77" s="27"/>
      <c r="AT77" s="27"/>
      <c r="AU77" s="27"/>
    </row>
  </sheetData>
  <mergeCells count="247">
    <mergeCell ref="AA64:AF71"/>
    <mergeCell ref="U10:Y10"/>
    <mergeCell ref="U11:U14"/>
    <mergeCell ref="V11:Y12"/>
    <mergeCell ref="AD12:AD13"/>
    <mergeCell ref="AE12:AH12"/>
    <mergeCell ref="AI12:AI13"/>
    <mergeCell ref="AJ12:AM12"/>
    <mergeCell ref="Z10:AC10"/>
    <mergeCell ref="AD10:AD11"/>
    <mergeCell ref="AE10:AH10"/>
    <mergeCell ref="AI10:AI11"/>
    <mergeCell ref="AQ70:AS72"/>
    <mergeCell ref="AT70:AW72"/>
    <mergeCell ref="U3:Y5"/>
    <mergeCell ref="Z3:AD5"/>
    <mergeCell ref="K8:N8"/>
    <mergeCell ref="K10:N10"/>
    <mergeCell ref="K12:N12"/>
    <mergeCell ref="O8:O9"/>
    <mergeCell ref="O10:O11"/>
    <mergeCell ref="O12:O13"/>
    <mergeCell ref="AQ61:AS63"/>
    <mergeCell ref="AT61:AW63"/>
    <mergeCell ref="AN64:AP66"/>
    <mergeCell ref="AQ64:AS66"/>
    <mergeCell ref="AT64:AW66"/>
    <mergeCell ref="AN67:AP69"/>
    <mergeCell ref="AQ67:AS69"/>
    <mergeCell ref="AT67:AW69"/>
    <mergeCell ref="AT32:AW33"/>
    <mergeCell ref="AO34:AU40"/>
    <mergeCell ref="AV34:AW40"/>
    <mergeCell ref="AT24:AT25"/>
    <mergeCell ref="AU24:AX24"/>
    <mergeCell ref="T10:T11"/>
    <mergeCell ref="AY53:BH54"/>
    <mergeCell ref="AN55:AP57"/>
    <mergeCell ref="AQ55:AS57"/>
    <mergeCell ref="AT55:AW57"/>
    <mergeCell ref="AY55:BH58"/>
    <mergeCell ref="AN58:AP60"/>
    <mergeCell ref="AQ58:AS60"/>
    <mergeCell ref="AT58:AW60"/>
    <mergeCell ref="AY59:BH63"/>
    <mergeCell ref="AN61:AP63"/>
    <mergeCell ref="AY45:BH47"/>
    <mergeCell ref="AL48:AN51"/>
    <mergeCell ref="AO48:AQ51"/>
    <mergeCell ref="AR48:AS51"/>
    <mergeCell ref="AT48:AU51"/>
    <mergeCell ref="AY48:BH49"/>
    <mergeCell ref="AY50:BH52"/>
    <mergeCell ref="AO41:AW42"/>
    <mergeCell ref="AD45:AH51"/>
    <mergeCell ref="AL45:AN47"/>
    <mergeCell ref="AO45:AQ47"/>
    <mergeCell ref="AR45:AS47"/>
    <mergeCell ref="AT45:AU47"/>
    <mergeCell ref="BD30:BD31"/>
    <mergeCell ref="BE30:BH30"/>
    <mergeCell ref="H32:J33"/>
    <mergeCell ref="Q32:V34"/>
    <mergeCell ref="X32:AB36"/>
    <mergeCell ref="AC32:AH36"/>
    <mergeCell ref="AJ32:AN42"/>
    <mergeCell ref="AO32:AS33"/>
    <mergeCell ref="A30:A31"/>
    <mergeCell ref="B30:E30"/>
    <mergeCell ref="F30:F31"/>
    <mergeCell ref="G30:J30"/>
    <mergeCell ref="AT30:AT31"/>
    <mergeCell ref="AU30:AX30"/>
    <mergeCell ref="H35:J35"/>
    <mergeCell ref="Q35:V42"/>
    <mergeCell ref="H36:J37"/>
    <mergeCell ref="X37:AB42"/>
    <mergeCell ref="AC37:AH42"/>
    <mergeCell ref="H38:J40"/>
    <mergeCell ref="H41:J42"/>
    <mergeCell ref="AY30:AY31"/>
    <mergeCell ref="AZ30:BC30"/>
    <mergeCell ref="AY26:BA26"/>
    <mergeCell ref="BB26:BC26"/>
    <mergeCell ref="BD26:BF26"/>
    <mergeCell ref="BG26:BH26"/>
    <mergeCell ref="A27:C29"/>
    <mergeCell ref="F27:H29"/>
    <mergeCell ref="AT27:AV29"/>
    <mergeCell ref="AY27:BA29"/>
    <mergeCell ref="BD27:BF29"/>
    <mergeCell ref="A26:C26"/>
    <mergeCell ref="D26:E26"/>
    <mergeCell ref="F26:H26"/>
    <mergeCell ref="I26:J26"/>
    <mergeCell ref="AT26:AV26"/>
    <mergeCell ref="AW26:AX26"/>
    <mergeCell ref="AY24:AY25"/>
    <mergeCell ref="AZ24:BC24"/>
    <mergeCell ref="BD24:BD25"/>
    <mergeCell ref="BE24:BH24"/>
    <mergeCell ref="A24:A25"/>
    <mergeCell ref="B24:E24"/>
    <mergeCell ref="F24:F25"/>
    <mergeCell ref="G24:J24"/>
    <mergeCell ref="AO24:AO25"/>
    <mergeCell ref="AP24:AS24"/>
    <mergeCell ref="A21:C23"/>
    <mergeCell ref="F21:H23"/>
    <mergeCell ref="AO21:AQ23"/>
    <mergeCell ref="AT21:AV23"/>
    <mergeCell ref="AY21:BA23"/>
    <mergeCell ref="BD21:BF23"/>
    <mergeCell ref="AT20:AV20"/>
    <mergeCell ref="AW20:AX20"/>
    <mergeCell ref="AY20:BA20"/>
    <mergeCell ref="BB20:BC20"/>
    <mergeCell ref="BD20:BF20"/>
    <mergeCell ref="A15:E17"/>
    <mergeCell ref="AO15:AQ17"/>
    <mergeCell ref="AT15:AV17"/>
    <mergeCell ref="AY15:BA17"/>
    <mergeCell ref="BD15:BF17"/>
    <mergeCell ref="BG20:BH20"/>
    <mergeCell ref="A20:C20"/>
    <mergeCell ref="D20:E20"/>
    <mergeCell ref="F20:H20"/>
    <mergeCell ref="I20:J20"/>
    <mergeCell ref="AO20:AQ20"/>
    <mergeCell ref="AR20:AS20"/>
    <mergeCell ref="A18:A19"/>
    <mergeCell ref="B18:E18"/>
    <mergeCell ref="AY18:AY19"/>
    <mergeCell ref="AZ18:BC18"/>
    <mergeCell ref="BD18:BD19"/>
    <mergeCell ref="BE18:BH18"/>
    <mergeCell ref="AY12:AY13"/>
    <mergeCell ref="AZ12:BC12"/>
    <mergeCell ref="BD12:BD13"/>
    <mergeCell ref="BE12:BH12"/>
    <mergeCell ref="A14:C14"/>
    <mergeCell ref="D14:E14"/>
    <mergeCell ref="AO14:AQ14"/>
    <mergeCell ref="AR14:AS14"/>
    <mergeCell ref="AT14:AV14"/>
    <mergeCell ref="AW14:AX14"/>
    <mergeCell ref="A12:D12"/>
    <mergeCell ref="E12:E13"/>
    <mergeCell ref="F12:I12"/>
    <mergeCell ref="J12:J13"/>
    <mergeCell ref="AY14:BA14"/>
    <mergeCell ref="BB14:BC14"/>
    <mergeCell ref="BD14:BF14"/>
    <mergeCell ref="BG14:BH14"/>
    <mergeCell ref="AN12:AN13"/>
    <mergeCell ref="P12:S12"/>
    <mergeCell ref="T12:T13"/>
    <mergeCell ref="Z12:AC12"/>
    <mergeCell ref="A10:D10"/>
    <mergeCell ref="E10:E11"/>
    <mergeCell ref="F10:I10"/>
    <mergeCell ref="J10:J11"/>
    <mergeCell ref="AP8:AW11"/>
    <mergeCell ref="AY8:BA8"/>
    <mergeCell ref="AI8:AI9"/>
    <mergeCell ref="AJ8:AM8"/>
    <mergeCell ref="AN8:AN9"/>
    <mergeCell ref="AJ10:AM10"/>
    <mergeCell ref="Z8:AC8"/>
    <mergeCell ref="AD8:AD9"/>
    <mergeCell ref="AE8:AH8"/>
    <mergeCell ref="P8:S8"/>
    <mergeCell ref="T8:T9"/>
    <mergeCell ref="P10:S10"/>
    <mergeCell ref="A8:D8"/>
    <mergeCell ref="AN10:AN11"/>
    <mergeCell ref="E8:E9"/>
    <mergeCell ref="F8:I8"/>
    <mergeCell ref="J8:J9"/>
    <mergeCell ref="AY9:BA11"/>
    <mergeCell ref="U9:W9"/>
    <mergeCell ref="X9:Y9"/>
    <mergeCell ref="AA6:AD6"/>
    <mergeCell ref="BB8:BC8"/>
    <mergeCell ref="BD8:BF8"/>
    <mergeCell ref="BG8:BH8"/>
    <mergeCell ref="AT6:AW6"/>
    <mergeCell ref="AX6:AX7"/>
    <mergeCell ref="AY6:AY7"/>
    <mergeCell ref="AZ6:BC6"/>
    <mergeCell ref="BD6:BD7"/>
    <mergeCell ref="BE6:BH6"/>
    <mergeCell ref="AE6:AE7"/>
    <mergeCell ref="AF6:AI6"/>
    <mergeCell ref="AO6:AR6"/>
    <mergeCell ref="AS6:AS7"/>
    <mergeCell ref="P2:R2"/>
    <mergeCell ref="S2:T2"/>
    <mergeCell ref="U2:W2"/>
    <mergeCell ref="X2:Y2"/>
    <mergeCell ref="Z2:AB2"/>
    <mergeCell ref="AC2:AD2"/>
    <mergeCell ref="BD9:BF11"/>
    <mergeCell ref="A6:D6"/>
    <mergeCell ref="E6:E7"/>
    <mergeCell ref="F6:I6"/>
    <mergeCell ref="J6:J7"/>
    <mergeCell ref="K6:K7"/>
    <mergeCell ref="L6:O6"/>
    <mergeCell ref="J4:J5"/>
    <mergeCell ref="AO4:AR4"/>
    <mergeCell ref="AS4:AS5"/>
    <mergeCell ref="P3:T5"/>
    <mergeCell ref="AE3:AI5"/>
    <mergeCell ref="AY3:BA5"/>
    <mergeCell ref="P6:P7"/>
    <mergeCell ref="Q6:T6"/>
    <mergeCell ref="U6:U7"/>
    <mergeCell ref="V6:Y6"/>
    <mergeCell ref="Z6:Z7"/>
    <mergeCell ref="BB2:BC2"/>
    <mergeCell ref="BD2:BF2"/>
    <mergeCell ref="BG2:BH2"/>
    <mergeCell ref="BD3:BF5"/>
    <mergeCell ref="AE2:AG2"/>
    <mergeCell ref="AH2:AI2"/>
    <mergeCell ref="AO2:AR2"/>
    <mergeCell ref="AS2:AS3"/>
    <mergeCell ref="AJ2:AM2"/>
    <mergeCell ref="AN2:AN3"/>
    <mergeCell ref="AJ4:AM4"/>
    <mergeCell ref="AN4:AN5"/>
    <mergeCell ref="AT4:AW4"/>
    <mergeCell ref="AX4:AX5"/>
    <mergeCell ref="AT2:AW2"/>
    <mergeCell ref="AX2:AX3"/>
    <mergeCell ref="AY2:BA2"/>
    <mergeCell ref="A2:D2"/>
    <mergeCell ref="E2:E3"/>
    <mergeCell ref="F2:I2"/>
    <mergeCell ref="J2:J3"/>
    <mergeCell ref="K2:M2"/>
    <mergeCell ref="N2:O2"/>
    <mergeCell ref="K3:O5"/>
    <mergeCell ref="A4:D4"/>
    <mergeCell ref="E4:E5"/>
    <mergeCell ref="F4:I4"/>
  </mergeCells>
  <pageMargins left="0.21" right="0" top="0.5" bottom="0" header="0.3" footer="0.3"/>
  <pageSetup scale="44" orientation="landscape" r:id="rId1"/>
  <colBreaks count="1" manualBreakCount="1">
    <brk id="60" max="50" man="1"/>
  </colBreaks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8C994-C82D-4A0A-AA41-19E943608C80}">
  <sheetPr>
    <tabColor rgb="FFFFC000"/>
  </sheetPr>
  <dimension ref="A1:CL107"/>
  <sheetViews>
    <sheetView view="pageBreakPreview" zoomScale="55" zoomScaleNormal="115" zoomScaleSheetLayoutView="55" workbookViewId="0">
      <selection activeCell="O31" sqref="O31:R31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140625" customWidth="1"/>
    <col min="47" max="47" width="10.71093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4.140625" customWidth="1"/>
    <col min="62" max="62" width="10.7109375" customWidth="1"/>
    <col min="63" max="63" width="4.28515625" customWidth="1"/>
    <col min="64" max="65" width="5.5703125" customWidth="1"/>
    <col min="66" max="66" width="4.140625" customWidth="1"/>
    <col min="67" max="67" width="10.7109375" customWidth="1"/>
    <col min="68" max="68" width="4.28515625" customWidth="1"/>
    <col min="69" max="70" width="5.5703125" customWidth="1"/>
    <col min="71" max="71" width="1" customWidth="1"/>
    <col min="72" max="72" width="56.7109375" customWidth="1"/>
    <col min="73" max="73" width="13" customWidth="1"/>
    <col min="74" max="74" width="7" customWidth="1"/>
  </cols>
  <sheetData>
    <row r="1" spans="1:83" ht="132.75" customHeight="1" x14ac:dyDescent="0.25"/>
    <row r="2" spans="1:83" ht="36" customHeight="1" x14ac:dyDescent="0.25">
      <c r="A2" s="3202" t="s">
        <v>110</v>
      </c>
      <c r="B2" s="3202"/>
      <c r="C2" s="3203">
        <f>B7/((60*3.1415/59)*(82.5/3.281))</f>
        <v>7.9047784867616166E-3</v>
      </c>
      <c r="D2" s="3203"/>
      <c r="E2" s="3203"/>
      <c r="F2" s="3202" t="s">
        <v>110</v>
      </c>
      <c r="G2" s="3202"/>
      <c r="H2" s="3203">
        <f>G7/((60*3.1415/59)*(82.5/3.281))</f>
        <v>5.3652905949515854E-3</v>
      </c>
      <c r="I2" s="3203"/>
      <c r="J2" s="3203"/>
      <c r="K2" s="3202" t="s">
        <v>110</v>
      </c>
      <c r="L2" s="3202"/>
      <c r="M2" s="3203">
        <f>L7/((60*3.1415/59)*(82.5/3.281))</f>
        <v>4.4192068705517697E-3</v>
      </c>
      <c r="N2" s="3203"/>
      <c r="O2" s="3203"/>
      <c r="P2" s="2041" t="s">
        <v>110</v>
      </c>
      <c r="Q2" s="2041"/>
      <c r="R2" s="2042">
        <f>Q7/((60*3.1415/59)*(72.5/3.281))</f>
        <v>2.4095516198609276E-2</v>
      </c>
      <c r="S2" s="2042"/>
      <c r="T2" s="2042"/>
      <c r="U2" s="2041" t="s">
        <v>110</v>
      </c>
      <c r="V2" s="2041"/>
      <c r="W2" s="2042">
        <f>V7/((60*3.1415/59)*(72.5/3.281))</f>
        <v>7.1960742086381608E-3</v>
      </c>
      <c r="X2" s="2042"/>
      <c r="Y2" s="2042"/>
      <c r="Z2" s="2041" t="s">
        <v>110</v>
      </c>
      <c r="AA2" s="2041"/>
      <c r="AB2" s="2042">
        <f>AA7/((60*3.1415/59)*(72.5/3.281))</f>
        <v>3.0937452896979811E-2</v>
      </c>
      <c r="AC2" s="2042"/>
      <c r="AD2" s="2042"/>
      <c r="AE2" s="2041" t="s">
        <v>110</v>
      </c>
      <c r="AF2" s="2041"/>
      <c r="AG2" s="2042">
        <f>AF7/((60*3.1415/59)*(72.5/3.281))</f>
        <v>3.5980371043190804E-3</v>
      </c>
      <c r="AH2" s="2042"/>
      <c r="AI2" s="2042"/>
      <c r="AJ2" s="2041" t="s">
        <v>110</v>
      </c>
      <c r="AK2" s="2041"/>
      <c r="AL2" s="2042">
        <f>AK7/((60*3.1415/59)*(72.5/3.281))</f>
        <v>5.0287526458002892E-3</v>
      </c>
      <c r="AM2" s="2042"/>
      <c r="AN2" s="2042"/>
      <c r="AO2" s="2041" t="s">
        <v>110</v>
      </c>
      <c r="AP2" s="2041"/>
      <c r="AQ2" s="2042">
        <f>AP7/((60*3.1415/59)*(72.5/3.281))</f>
        <v>5.3970556564786202E-3</v>
      </c>
      <c r="AR2" s="2042"/>
      <c r="AS2" s="2042"/>
      <c r="AT2" s="2041" t="s">
        <v>110</v>
      </c>
      <c r="AU2" s="2041"/>
      <c r="AV2" s="2042">
        <f t="shared" ref="AV2" si="0">AU7/((60*3.1415/59)*(72.5/3.281))</f>
        <v>1.079411131295724E-2</v>
      </c>
      <c r="AW2" s="2042"/>
      <c r="AX2" s="2042"/>
      <c r="AY2" s="2041" t="s">
        <v>110</v>
      </c>
      <c r="AZ2" s="2041"/>
      <c r="BA2" s="2042">
        <f t="shared" ref="BA2" si="1">AZ7/((60*3.1415/59)*(72.5/3.281))</f>
        <v>1.0071670792011283E-2</v>
      </c>
      <c r="BB2" s="2042"/>
      <c r="BC2" s="2042"/>
      <c r="BD2" s="2041" t="s">
        <v>110</v>
      </c>
      <c r="BE2" s="2041"/>
      <c r="BF2" s="2042">
        <f t="shared" ref="BF2" si="2">BE7/((60*3.1415/59)*(72.5/3.281))</f>
        <v>4.8927638418575212E-2</v>
      </c>
      <c r="BG2" s="2042"/>
      <c r="BH2" s="2042"/>
      <c r="BI2" s="2041" t="s">
        <v>110</v>
      </c>
      <c r="BJ2" s="2041"/>
      <c r="BK2" s="2042">
        <f t="shared" ref="BK2" si="3">BJ7/((60*3.1415/59)*(72.5/3.281))</f>
        <v>1.079411131295724E-2</v>
      </c>
      <c r="BL2" s="2042"/>
      <c r="BM2" s="2042"/>
      <c r="BN2" s="2041" t="s">
        <v>110</v>
      </c>
      <c r="BO2" s="2041"/>
      <c r="BP2" s="2042">
        <f t="shared" ref="BP2" si="4">BO7/((60*3.1415/59)*(72.5/3.281))</f>
        <v>6.331978683585153E-2</v>
      </c>
      <c r="BQ2" s="2042"/>
      <c r="BR2" s="2042"/>
    </row>
    <row r="3" spans="1:83" ht="6.75" customHeight="1" x14ac:dyDescent="0.25">
      <c r="A3" s="3202"/>
      <c r="B3" s="3202"/>
      <c r="C3" s="3203"/>
      <c r="D3" s="3203"/>
      <c r="E3" s="3203"/>
      <c r="F3" s="3202"/>
      <c r="G3" s="3202"/>
      <c r="H3" s="3203"/>
      <c r="I3" s="3203"/>
      <c r="J3" s="3203"/>
      <c r="K3" s="3202"/>
      <c r="L3" s="3202"/>
      <c r="M3" s="3203"/>
      <c r="N3" s="3203"/>
      <c r="O3" s="3203"/>
      <c r="P3" s="2041"/>
      <c r="Q3" s="2041"/>
      <c r="R3" s="2042"/>
      <c r="S3" s="2042"/>
      <c r="T3" s="2042"/>
      <c r="U3" s="2041"/>
      <c r="V3" s="2041"/>
      <c r="W3" s="2042"/>
      <c r="X3" s="2042"/>
      <c r="Y3" s="2042"/>
      <c r="Z3" s="2041"/>
      <c r="AA3" s="2041"/>
      <c r="AB3" s="2042"/>
      <c r="AC3" s="2042"/>
      <c r="AD3" s="2042"/>
      <c r="AE3" s="2041"/>
      <c r="AF3" s="2041"/>
      <c r="AG3" s="2042"/>
      <c r="AH3" s="2042"/>
      <c r="AI3" s="2042"/>
      <c r="AJ3" s="2041"/>
      <c r="AK3" s="2041"/>
      <c r="AL3" s="2042"/>
      <c r="AM3" s="2042"/>
      <c r="AN3" s="2042"/>
      <c r="AO3" s="2041"/>
      <c r="AP3" s="2041"/>
      <c r="AQ3" s="2042"/>
      <c r="AR3" s="2042"/>
      <c r="AS3" s="2042"/>
      <c r="AT3" s="2041"/>
      <c r="AU3" s="2041"/>
      <c r="AV3" s="2042"/>
      <c r="AW3" s="2042"/>
      <c r="AX3" s="2042"/>
      <c r="AY3" s="2041"/>
      <c r="AZ3" s="2041"/>
      <c r="BA3" s="2042"/>
      <c r="BB3" s="2042"/>
      <c r="BC3" s="2042"/>
      <c r="BD3" s="2041"/>
      <c r="BE3" s="2041"/>
      <c r="BF3" s="2042"/>
      <c r="BG3" s="2042"/>
      <c r="BH3" s="2042"/>
      <c r="BI3" s="2041"/>
      <c r="BJ3" s="2041"/>
      <c r="BK3" s="2042"/>
      <c r="BL3" s="2042"/>
      <c r="BM3" s="2042"/>
      <c r="BN3" s="2041"/>
      <c r="BO3" s="2041"/>
      <c r="BP3" s="2042"/>
      <c r="BQ3" s="2042"/>
      <c r="BR3" s="2042"/>
    </row>
    <row r="4" spans="1:83" ht="21.95" customHeight="1" x14ac:dyDescent="0.25">
      <c r="A4" s="3192" t="s">
        <v>111</v>
      </c>
      <c r="B4" s="3193"/>
      <c r="C4" s="3192" t="s">
        <v>25</v>
      </c>
      <c r="D4" s="3196"/>
      <c r="E4" s="3193"/>
      <c r="F4" s="3192" t="s">
        <v>111</v>
      </c>
      <c r="G4" s="3193"/>
      <c r="H4" s="3192" t="s">
        <v>25</v>
      </c>
      <c r="I4" s="3196"/>
      <c r="J4" s="3193"/>
      <c r="K4" s="3192" t="s">
        <v>111</v>
      </c>
      <c r="L4" s="3193"/>
      <c r="M4" s="3192" t="s">
        <v>25</v>
      </c>
      <c r="N4" s="3196"/>
      <c r="O4" s="3193"/>
      <c r="P4" s="3192" t="s">
        <v>111</v>
      </c>
      <c r="Q4" s="3193"/>
      <c r="R4" s="3192" t="s">
        <v>25</v>
      </c>
      <c r="S4" s="3196"/>
      <c r="T4" s="3193"/>
      <c r="U4" s="3192" t="s">
        <v>111</v>
      </c>
      <c r="V4" s="3193"/>
      <c r="W4" s="3192" t="s">
        <v>25</v>
      </c>
      <c r="X4" s="3196"/>
      <c r="Y4" s="3193"/>
      <c r="Z4" s="3192" t="s">
        <v>111</v>
      </c>
      <c r="AA4" s="3193"/>
      <c r="AB4" s="3192" t="s">
        <v>25</v>
      </c>
      <c r="AC4" s="3196"/>
      <c r="AD4" s="3193"/>
      <c r="AE4" s="3192" t="s">
        <v>111</v>
      </c>
      <c r="AF4" s="3193"/>
      <c r="AG4" s="3192" t="s">
        <v>25</v>
      </c>
      <c r="AH4" s="3196"/>
      <c r="AI4" s="3193"/>
      <c r="AJ4" s="3192" t="s">
        <v>111</v>
      </c>
      <c r="AK4" s="3193"/>
      <c r="AL4" s="3192" t="s">
        <v>25</v>
      </c>
      <c r="AM4" s="3196"/>
      <c r="AN4" s="3193"/>
      <c r="AO4" s="3192" t="s">
        <v>111</v>
      </c>
      <c r="AP4" s="3193"/>
      <c r="AQ4" s="3192" t="s">
        <v>25</v>
      </c>
      <c r="AR4" s="3196"/>
      <c r="AS4" s="3193"/>
      <c r="AT4" s="3192" t="s">
        <v>111</v>
      </c>
      <c r="AU4" s="3193"/>
      <c r="AV4" s="3192" t="s">
        <v>25</v>
      </c>
      <c r="AW4" s="3196"/>
      <c r="AX4" s="3193"/>
      <c r="AY4" s="3192" t="s">
        <v>111</v>
      </c>
      <c r="AZ4" s="3193"/>
      <c r="BA4" s="3192" t="s">
        <v>25</v>
      </c>
      <c r="BB4" s="3196"/>
      <c r="BC4" s="3193"/>
      <c r="BD4" s="3192" t="s">
        <v>111</v>
      </c>
      <c r="BE4" s="3193"/>
      <c r="BF4" s="3192" t="s">
        <v>25</v>
      </c>
      <c r="BG4" s="3196"/>
      <c r="BH4" s="3193"/>
      <c r="BI4" s="3192" t="s">
        <v>111</v>
      </c>
      <c r="BJ4" s="3193"/>
      <c r="BK4" s="3192" t="s">
        <v>25</v>
      </c>
      <c r="BL4" s="3196"/>
      <c r="BM4" s="3193"/>
      <c r="BN4" s="3192" t="s">
        <v>111</v>
      </c>
      <c r="BO4" s="3193"/>
      <c r="BP4" s="3192" t="s">
        <v>25</v>
      </c>
      <c r="BQ4" s="3196"/>
      <c r="BR4" s="3193"/>
    </row>
    <row r="5" spans="1:83" ht="6" customHeight="1" x14ac:dyDescent="0.25">
      <c r="A5" s="3194"/>
      <c r="B5" s="3195"/>
      <c r="C5" s="3194"/>
      <c r="D5" s="3197"/>
      <c r="E5" s="3195"/>
      <c r="F5" s="3194"/>
      <c r="G5" s="3195"/>
      <c r="H5" s="3194"/>
      <c r="I5" s="3197"/>
      <c r="J5" s="3195"/>
      <c r="K5" s="3194"/>
      <c r="L5" s="3195"/>
      <c r="M5" s="3194"/>
      <c r="N5" s="3197"/>
      <c r="O5" s="3195"/>
      <c r="P5" s="3194"/>
      <c r="Q5" s="3195"/>
      <c r="R5" s="3194"/>
      <c r="S5" s="3197"/>
      <c r="T5" s="3195"/>
      <c r="U5" s="3194"/>
      <c r="V5" s="3195"/>
      <c r="W5" s="3194"/>
      <c r="X5" s="3197"/>
      <c r="Y5" s="3195"/>
      <c r="Z5" s="3194"/>
      <c r="AA5" s="3195"/>
      <c r="AB5" s="3194"/>
      <c r="AC5" s="3197"/>
      <c r="AD5" s="3195"/>
      <c r="AE5" s="3194"/>
      <c r="AF5" s="3195"/>
      <c r="AG5" s="3194"/>
      <c r="AH5" s="3197"/>
      <c r="AI5" s="3195"/>
      <c r="AJ5" s="3194"/>
      <c r="AK5" s="3195"/>
      <c r="AL5" s="3194"/>
      <c r="AM5" s="3197"/>
      <c r="AN5" s="3195"/>
      <c r="AO5" s="3194"/>
      <c r="AP5" s="3195"/>
      <c r="AQ5" s="3194"/>
      <c r="AR5" s="3197"/>
      <c r="AS5" s="3195"/>
      <c r="AT5" s="3194"/>
      <c r="AU5" s="3195"/>
      <c r="AV5" s="3194"/>
      <c r="AW5" s="3197"/>
      <c r="AX5" s="3195"/>
      <c r="AY5" s="3194"/>
      <c r="AZ5" s="3195"/>
      <c r="BA5" s="3194"/>
      <c r="BB5" s="3197"/>
      <c r="BC5" s="3195"/>
      <c r="BD5" s="3194"/>
      <c r="BE5" s="3195"/>
      <c r="BF5" s="3194"/>
      <c r="BG5" s="3197"/>
      <c r="BH5" s="3195"/>
      <c r="BI5" s="3194"/>
      <c r="BJ5" s="3195"/>
      <c r="BK5" s="3194"/>
      <c r="BL5" s="3197"/>
      <c r="BM5" s="3195"/>
      <c r="BN5" s="3194"/>
      <c r="BO5" s="3195"/>
      <c r="BP5" s="3194"/>
      <c r="BQ5" s="3197"/>
      <c r="BR5" s="3195"/>
    </row>
    <row r="6" spans="1:83" s="22" customFormat="1" ht="80.099999999999994" customHeight="1" x14ac:dyDescent="1.35">
      <c r="A6" s="3201" t="s">
        <v>289</v>
      </c>
      <c r="B6" s="3189">
        <v>1</v>
      </c>
      <c r="C6" s="3190"/>
      <c r="D6" s="3190"/>
      <c r="E6" s="240" t="s">
        <v>313</v>
      </c>
      <c r="F6" s="3201" t="s">
        <v>289</v>
      </c>
      <c r="G6" s="3189">
        <v>56</v>
      </c>
      <c r="H6" s="3190"/>
      <c r="I6" s="3190"/>
      <c r="J6" s="240" t="s">
        <v>313</v>
      </c>
      <c r="K6" s="3201" t="s">
        <v>289</v>
      </c>
      <c r="L6" s="3189">
        <v>57</v>
      </c>
      <c r="M6" s="3190"/>
      <c r="N6" s="3190"/>
      <c r="O6" s="240" t="s">
        <v>313</v>
      </c>
      <c r="P6" s="2044" t="s">
        <v>288</v>
      </c>
      <c r="Q6" s="3189">
        <v>2</v>
      </c>
      <c r="R6" s="3190"/>
      <c r="S6" s="3190"/>
      <c r="T6" s="240" t="s">
        <v>313</v>
      </c>
      <c r="U6" s="2044" t="s">
        <v>288</v>
      </c>
      <c r="V6" s="3189">
        <v>3</v>
      </c>
      <c r="W6" s="3190"/>
      <c r="X6" s="3190"/>
      <c r="Y6" s="240" t="s">
        <v>313</v>
      </c>
      <c r="Z6" s="2044" t="s">
        <v>288</v>
      </c>
      <c r="AA6" s="3189">
        <v>4</v>
      </c>
      <c r="AB6" s="3190"/>
      <c r="AC6" s="3190"/>
      <c r="AD6" s="240" t="s">
        <v>313</v>
      </c>
      <c r="AE6" s="2044" t="s">
        <v>288</v>
      </c>
      <c r="AF6" s="3189">
        <v>5</v>
      </c>
      <c r="AG6" s="3190"/>
      <c r="AH6" s="3190"/>
      <c r="AI6" s="240" t="s">
        <v>313</v>
      </c>
      <c r="AJ6" s="2044" t="s">
        <v>288</v>
      </c>
      <c r="AK6" s="3189">
        <v>6</v>
      </c>
      <c r="AL6" s="3190"/>
      <c r="AM6" s="3190"/>
      <c r="AN6" s="240" t="s">
        <v>313</v>
      </c>
      <c r="AO6" s="2044" t="s">
        <v>288</v>
      </c>
      <c r="AP6" s="3189">
        <v>7</v>
      </c>
      <c r="AQ6" s="3190"/>
      <c r="AR6" s="3190"/>
      <c r="AS6" s="240" t="s">
        <v>313</v>
      </c>
      <c r="AT6" s="2044" t="s">
        <v>288</v>
      </c>
      <c r="AU6" s="3189">
        <v>8</v>
      </c>
      <c r="AV6" s="3190"/>
      <c r="AW6" s="3190"/>
      <c r="AX6" s="240" t="s">
        <v>313</v>
      </c>
      <c r="AY6" s="2044" t="s">
        <v>288</v>
      </c>
      <c r="AZ6" s="3189">
        <v>9</v>
      </c>
      <c r="BA6" s="3190"/>
      <c r="BB6" s="3190"/>
      <c r="BC6" s="240" t="s">
        <v>313</v>
      </c>
      <c r="BD6" s="2044" t="s">
        <v>288</v>
      </c>
      <c r="BE6" s="3189">
        <v>10</v>
      </c>
      <c r="BF6" s="3190"/>
      <c r="BG6" s="3190"/>
      <c r="BH6" s="240" t="s">
        <v>313</v>
      </c>
      <c r="BI6" s="2044" t="s">
        <v>288</v>
      </c>
      <c r="BJ6" s="3189">
        <v>11</v>
      </c>
      <c r="BK6" s="3190"/>
      <c r="BL6" s="3190"/>
      <c r="BM6" s="240" t="s">
        <v>313</v>
      </c>
      <c r="BN6" s="2044" t="s">
        <v>288</v>
      </c>
      <c r="BO6" s="3189">
        <v>12</v>
      </c>
      <c r="BP6" s="3190"/>
      <c r="BQ6" s="3190"/>
      <c r="BR6" s="240" t="s">
        <v>313</v>
      </c>
      <c r="BT6" s="22" t="s">
        <v>16</v>
      </c>
    </row>
    <row r="7" spans="1:83" ht="27" customHeight="1" x14ac:dyDescent="0.25">
      <c r="A7" s="3201"/>
      <c r="B7" s="122">
        <v>0.63500000000000001</v>
      </c>
      <c r="C7" s="123" t="s">
        <v>113</v>
      </c>
      <c r="D7" s="124"/>
      <c r="E7" s="227" t="s">
        <v>114</v>
      </c>
      <c r="F7" s="3201"/>
      <c r="G7" s="122">
        <v>0.43099999999999999</v>
      </c>
      <c r="H7" s="123" t="s">
        <v>113</v>
      </c>
      <c r="I7" s="124"/>
      <c r="J7" s="227" t="s">
        <v>114</v>
      </c>
      <c r="K7" s="3201"/>
      <c r="L7" s="122">
        <v>0.35499999999999998</v>
      </c>
      <c r="M7" s="123" t="s">
        <v>113</v>
      </c>
      <c r="N7" s="124">
        <v>1</v>
      </c>
      <c r="O7" s="227" t="s">
        <v>114</v>
      </c>
      <c r="P7" s="2044"/>
      <c r="Q7" s="122">
        <v>1.7010000000000001</v>
      </c>
      <c r="R7" s="123" t="s">
        <v>113</v>
      </c>
      <c r="S7" s="124">
        <v>1</v>
      </c>
      <c r="T7" s="226" t="s">
        <v>114</v>
      </c>
      <c r="U7" s="2044"/>
      <c r="V7" s="122">
        <v>0.50800000000000001</v>
      </c>
      <c r="W7" s="123" t="s">
        <v>113</v>
      </c>
      <c r="X7" s="124"/>
      <c r="Y7" s="226" t="s">
        <v>114</v>
      </c>
      <c r="Z7" s="2044"/>
      <c r="AA7" s="122">
        <v>2.1840000000000002</v>
      </c>
      <c r="AB7" s="123" t="s">
        <v>113</v>
      </c>
      <c r="AC7" s="124">
        <v>1</v>
      </c>
      <c r="AD7" s="226" t="s">
        <v>114</v>
      </c>
      <c r="AE7" s="2044"/>
      <c r="AF7" s="122">
        <v>0.254</v>
      </c>
      <c r="AG7" s="123" t="s">
        <v>113</v>
      </c>
      <c r="AH7" s="124"/>
      <c r="AI7" s="226" t="s">
        <v>114</v>
      </c>
      <c r="AJ7" s="2044"/>
      <c r="AK7" s="122">
        <v>0.35499999999999998</v>
      </c>
      <c r="AL7" s="123" t="s">
        <v>113</v>
      </c>
      <c r="AM7" s="124">
        <v>1</v>
      </c>
      <c r="AN7" s="226" t="s">
        <v>114</v>
      </c>
      <c r="AO7" s="2044"/>
      <c r="AP7" s="122">
        <v>0.38100000000000001</v>
      </c>
      <c r="AQ7" s="123" t="s">
        <v>113</v>
      </c>
      <c r="AR7" s="124"/>
      <c r="AS7" s="226" t="s">
        <v>114</v>
      </c>
      <c r="AT7" s="2044"/>
      <c r="AU7" s="122">
        <v>0.76200000000000001</v>
      </c>
      <c r="AV7" s="123" t="s">
        <v>113</v>
      </c>
      <c r="AW7" s="124">
        <v>1</v>
      </c>
      <c r="AX7" s="226" t="s">
        <v>114</v>
      </c>
      <c r="AY7" s="2044"/>
      <c r="AZ7" s="122">
        <v>0.71099999999999997</v>
      </c>
      <c r="BA7" s="123" t="s">
        <v>113</v>
      </c>
      <c r="BB7" s="124"/>
      <c r="BC7" s="226" t="s">
        <v>114</v>
      </c>
      <c r="BD7" s="2044"/>
      <c r="BE7" s="122">
        <v>3.4540000000000002</v>
      </c>
      <c r="BF7" s="123" t="s">
        <v>113</v>
      </c>
      <c r="BG7" s="124">
        <v>1</v>
      </c>
      <c r="BH7" s="226" t="s">
        <v>114</v>
      </c>
      <c r="BI7" s="2044"/>
      <c r="BJ7" s="122">
        <v>0.76200000000000001</v>
      </c>
      <c r="BK7" s="123" t="s">
        <v>113</v>
      </c>
      <c r="BL7" s="124"/>
      <c r="BM7" s="226" t="s">
        <v>114</v>
      </c>
      <c r="BN7" s="2044"/>
      <c r="BO7" s="122">
        <v>4.47</v>
      </c>
      <c r="BP7" s="123" t="s">
        <v>113</v>
      </c>
      <c r="BQ7" s="124">
        <v>1</v>
      </c>
      <c r="BR7" s="226" t="s">
        <v>114</v>
      </c>
      <c r="BW7" s="27"/>
      <c r="BX7" s="27"/>
      <c r="BY7" s="27"/>
      <c r="BZ7" s="27"/>
      <c r="CA7" s="27"/>
      <c r="CB7" s="27"/>
      <c r="CC7" s="27"/>
      <c r="CD7" s="27"/>
      <c r="CE7" s="27"/>
    </row>
    <row r="8" spans="1:83" ht="27.95" customHeight="1" x14ac:dyDescent="0.25">
      <c r="A8" s="2041" t="s">
        <v>110</v>
      </c>
      <c r="B8" s="2041"/>
      <c r="C8" s="2042">
        <f t="shared" ref="C8" si="5">B13/((60*3.1415/59)*(72.5/3.281))</f>
        <v>5.3970556564786202E-3</v>
      </c>
      <c r="D8" s="2042"/>
      <c r="E8" s="2042"/>
      <c r="F8" s="2041" t="s">
        <v>110</v>
      </c>
      <c r="G8" s="2041"/>
      <c r="H8" s="2042">
        <f t="shared" ref="H8" si="6">G13/((60*3.1415/59)*(72.5/3.281))</f>
        <v>3.7396921084261306E-2</v>
      </c>
      <c r="I8" s="2042"/>
      <c r="J8" s="2042"/>
      <c r="K8" s="2041" t="s">
        <v>110</v>
      </c>
      <c r="L8" s="2041"/>
      <c r="M8" s="2042">
        <f t="shared" ref="M8" si="7">L13/((60*3.1415/59)*(72.5/3.281))</f>
        <v>7.5502117189057867E-3</v>
      </c>
      <c r="N8" s="2042"/>
      <c r="O8" s="2042"/>
      <c r="P8" s="2041" t="s">
        <v>110</v>
      </c>
      <c r="Q8" s="2041"/>
      <c r="R8" s="2042">
        <f t="shared" ref="R8" si="8">Q13/((60*3.1415/59)*(72.5/3.281))</f>
        <v>5.4678831585321455E-2</v>
      </c>
      <c r="S8" s="2042"/>
      <c r="T8" s="2042"/>
      <c r="U8" s="2041" t="s">
        <v>110</v>
      </c>
      <c r="V8" s="2041"/>
      <c r="W8" s="2042">
        <f t="shared" ref="W8" si="9">V13/((60*3.1415/59)*(72.5/3.281))</f>
        <v>2.7339415792660728E-2</v>
      </c>
      <c r="X8" s="2042"/>
      <c r="Y8" s="2042"/>
      <c r="Z8" s="2041" t="s">
        <v>110</v>
      </c>
      <c r="AA8" s="2041"/>
      <c r="AB8" s="2042">
        <f t="shared" ref="AB8" si="10">AA13/((60*3.1415/59)*(72.5/3.281))</f>
        <v>1.4165500410705041E-6</v>
      </c>
      <c r="AC8" s="2042"/>
      <c r="AD8" s="2042"/>
      <c r="AE8" s="2041" t="s">
        <v>110</v>
      </c>
      <c r="AF8" s="2041"/>
      <c r="AG8" s="2042">
        <f t="shared" ref="AG8" si="11">AF13/((60*3.1415/59)*(72.5/3.281))</f>
        <v>7.9043492291734126E-3</v>
      </c>
      <c r="AH8" s="2042"/>
      <c r="AI8" s="2042"/>
      <c r="AJ8" s="2041" t="s">
        <v>110</v>
      </c>
      <c r="AK8" s="2041"/>
      <c r="AL8" s="2042">
        <f t="shared" ref="AL8" si="12">AK13/((60*3.1415/59)*(72.5/3.281))</f>
        <v>3.5980371043190804E-3</v>
      </c>
      <c r="AM8" s="2042"/>
      <c r="AN8" s="2042"/>
      <c r="AO8" s="2041" t="s">
        <v>110</v>
      </c>
      <c r="AP8" s="2041"/>
      <c r="AQ8" s="2042">
        <f t="shared" ref="AQ8" si="13">AP13/((60*3.1415/59)*(72.5/3.281))</f>
        <v>7.1960742086381608E-3</v>
      </c>
      <c r="AR8" s="2042"/>
      <c r="AS8" s="2042"/>
      <c r="AT8" s="2041" t="s">
        <v>110</v>
      </c>
      <c r="AU8" s="2041"/>
      <c r="AV8" s="2042">
        <f t="shared" ref="AV8" si="14">AU13/((60*3.1415/59)*(72.5/3.281))</f>
        <v>0.19123425554451803</v>
      </c>
      <c r="AW8" s="2042"/>
      <c r="AX8" s="2042"/>
      <c r="AY8" s="2041" t="s">
        <v>110</v>
      </c>
      <c r="AZ8" s="2041"/>
      <c r="BA8" s="2042">
        <f t="shared" ref="BA8" si="15">AZ13/((60*3.1415/59)*(72.5/3.281))</f>
        <v>2.301893816739569E-2</v>
      </c>
      <c r="BB8" s="2042"/>
      <c r="BC8" s="2042"/>
      <c r="BD8" s="2041" t="s">
        <v>110</v>
      </c>
      <c r="BE8" s="2041"/>
      <c r="BF8" s="2042">
        <f t="shared" ref="BF8" si="16">BE13/((60*3.1415/59)*(72.5/3.281))</f>
        <v>1.4165500410705041E-6</v>
      </c>
      <c r="BG8" s="2042"/>
      <c r="BH8" s="2042"/>
      <c r="BI8" s="2041" t="s">
        <v>110</v>
      </c>
      <c r="BJ8" s="2041"/>
      <c r="BK8" s="2042">
        <f t="shared" ref="BK8" si="17">BJ13/((60*3.1415/59)*(72.5/3.281))</f>
        <v>5.217153801262666E-2</v>
      </c>
      <c r="BL8" s="2042"/>
      <c r="BM8" s="2042"/>
      <c r="BN8" s="2041" t="s">
        <v>110</v>
      </c>
      <c r="BO8" s="2041"/>
      <c r="BP8" s="2042">
        <f t="shared" ref="BP8" si="18">BO13/((60*3.1415/59)*(72.5/3.281))</f>
        <v>3.9932545657777506E-2</v>
      </c>
      <c r="BQ8" s="2042"/>
      <c r="BR8" s="2042"/>
    </row>
    <row r="9" spans="1:83" ht="18" customHeight="1" x14ac:dyDescent="0.25">
      <c r="A9" s="2041"/>
      <c r="B9" s="2041"/>
      <c r="C9" s="2042"/>
      <c r="D9" s="2042"/>
      <c r="E9" s="2042"/>
      <c r="F9" s="2041"/>
      <c r="G9" s="2041"/>
      <c r="H9" s="2042"/>
      <c r="I9" s="2042"/>
      <c r="J9" s="2042"/>
      <c r="K9" s="2041"/>
      <c r="L9" s="2041"/>
      <c r="M9" s="2042"/>
      <c r="N9" s="2042"/>
      <c r="O9" s="2042"/>
      <c r="P9" s="2041"/>
      <c r="Q9" s="2041"/>
      <c r="R9" s="2042"/>
      <c r="S9" s="2042"/>
      <c r="T9" s="2042"/>
      <c r="U9" s="2041"/>
      <c r="V9" s="2041"/>
      <c r="W9" s="2042"/>
      <c r="X9" s="2042"/>
      <c r="Y9" s="2042"/>
      <c r="Z9" s="2041"/>
      <c r="AA9" s="2041"/>
      <c r="AB9" s="2042"/>
      <c r="AC9" s="2042"/>
      <c r="AD9" s="2042"/>
      <c r="AE9" s="2041"/>
      <c r="AF9" s="2041"/>
      <c r="AG9" s="2042"/>
      <c r="AH9" s="2042"/>
      <c r="AI9" s="2042"/>
      <c r="AJ9" s="2041"/>
      <c r="AK9" s="2041"/>
      <c r="AL9" s="2042"/>
      <c r="AM9" s="2042"/>
      <c r="AN9" s="2042"/>
      <c r="AO9" s="2041"/>
      <c r="AP9" s="2041"/>
      <c r="AQ9" s="2042"/>
      <c r="AR9" s="2042"/>
      <c r="AS9" s="2042"/>
      <c r="AT9" s="2041"/>
      <c r="AU9" s="2041"/>
      <c r="AV9" s="2042"/>
      <c r="AW9" s="2042"/>
      <c r="AX9" s="2042"/>
      <c r="AY9" s="2041"/>
      <c r="AZ9" s="2041"/>
      <c r="BA9" s="2042"/>
      <c r="BB9" s="2042"/>
      <c r="BC9" s="2042"/>
      <c r="BD9" s="2041"/>
      <c r="BE9" s="2041"/>
      <c r="BF9" s="2042"/>
      <c r="BG9" s="2042"/>
      <c r="BH9" s="2042"/>
      <c r="BI9" s="2041"/>
      <c r="BJ9" s="2041"/>
      <c r="BK9" s="2042"/>
      <c r="BL9" s="2042"/>
      <c r="BM9" s="2042"/>
      <c r="BN9" s="2041"/>
      <c r="BO9" s="2041"/>
      <c r="BP9" s="2042"/>
      <c r="BQ9" s="2042"/>
      <c r="BR9" s="2042"/>
    </row>
    <row r="10" spans="1:83" ht="21.95" customHeight="1" x14ac:dyDescent="0.25">
      <c r="A10" s="3192" t="s">
        <v>111</v>
      </c>
      <c r="B10" s="3193"/>
      <c r="C10" s="3192" t="s">
        <v>25</v>
      </c>
      <c r="D10" s="3196"/>
      <c r="E10" s="3193"/>
      <c r="F10" s="3192" t="s">
        <v>111</v>
      </c>
      <c r="G10" s="3193"/>
      <c r="H10" s="3192" t="s">
        <v>25</v>
      </c>
      <c r="I10" s="3196"/>
      <c r="J10" s="3193"/>
      <c r="K10" s="3192" t="s">
        <v>111</v>
      </c>
      <c r="L10" s="3193"/>
      <c r="M10" s="3192" t="s">
        <v>25</v>
      </c>
      <c r="N10" s="3196"/>
      <c r="O10" s="3193"/>
      <c r="P10" s="3192" t="s">
        <v>111</v>
      </c>
      <c r="Q10" s="3193"/>
      <c r="R10" s="3192" t="s">
        <v>25</v>
      </c>
      <c r="S10" s="3196"/>
      <c r="T10" s="3193"/>
      <c r="U10" s="3192" t="s">
        <v>111</v>
      </c>
      <c r="V10" s="3193"/>
      <c r="W10" s="3192" t="s">
        <v>25</v>
      </c>
      <c r="X10" s="3196"/>
      <c r="Y10" s="3193"/>
      <c r="Z10" s="3192" t="s">
        <v>111</v>
      </c>
      <c r="AA10" s="3193"/>
      <c r="AB10" s="3192" t="s">
        <v>25</v>
      </c>
      <c r="AC10" s="3196"/>
      <c r="AD10" s="3193"/>
      <c r="AE10" s="3192" t="s">
        <v>111</v>
      </c>
      <c r="AF10" s="3193"/>
      <c r="AG10" s="3192" t="s">
        <v>25</v>
      </c>
      <c r="AH10" s="3196"/>
      <c r="AI10" s="3193"/>
      <c r="AJ10" s="3192" t="s">
        <v>111</v>
      </c>
      <c r="AK10" s="3193"/>
      <c r="AL10" s="3192" t="s">
        <v>25</v>
      </c>
      <c r="AM10" s="3196"/>
      <c r="AN10" s="3193"/>
      <c r="AO10" s="3192" t="s">
        <v>111</v>
      </c>
      <c r="AP10" s="3193"/>
      <c r="AQ10" s="3192" t="s">
        <v>25</v>
      </c>
      <c r="AR10" s="3196"/>
      <c r="AS10" s="3193"/>
      <c r="AT10" s="3192" t="s">
        <v>111</v>
      </c>
      <c r="AU10" s="3193"/>
      <c r="AV10" s="3192" t="s">
        <v>25</v>
      </c>
      <c r="AW10" s="3196"/>
      <c r="AX10" s="3193"/>
      <c r="AY10" s="3192" t="s">
        <v>111</v>
      </c>
      <c r="AZ10" s="3193"/>
      <c r="BA10" s="3192" t="s">
        <v>25</v>
      </c>
      <c r="BB10" s="3196"/>
      <c r="BC10" s="3193"/>
      <c r="BD10" s="3192" t="s">
        <v>111</v>
      </c>
      <c r="BE10" s="3193"/>
      <c r="BF10" s="3192" t="s">
        <v>25</v>
      </c>
      <c r="BG10" s="3196"/>
      <c r="BH10" s="3193"/>
      <c r="BI10" s="3192" t="s">
        <v>111</v>
      </c>
      <c r="BJ10" s="3193"/>
      <c r="BK10" s="3192" t="s">
        <v>25</v>
      </c>
      <c r="BL10" s="3196"/>
      <c r="BM10" s="3193"/>
      <c r="BN10" s="3192" t="s">
        <v>111</v>
      </c>
      <c r="BO10" s="3193"/>
      <c r="BP10" s="3192" t="s">
        <v>25</v>
      </c>
      <c r="BQ10" s="3196"/>
      <c r="BR10" s="3193"/>
    </row>
    <row r="11" spans="1:83" ht="6" customHeight="1" x14ac:dyDescent="0.25">
      <c r="A11" s="3194"/>
      <c r="B11" s="3195"/>
      <c r="C11" s="3194"/>
      <c r="D11" s="3197"/>
      <c r="E11" s="3195"/>
      <c r="F11" s="3194"/>
      <c r="G11" s="3195"/>
      <c r="H11" s="3194"/>
      <c r="I11" s="3197"/>
      <c r="J11" s="3195"/>
      <c r="K11" s="3194"/>
      <c r="L11" s="3195"/>
      <c r="M11" s="3194"/>
      <c r="N11" s="3197"/>
      <c r="O11" s="3195"/>
      <c r="P11" s="3194"/>
      <c r="Q11" s="3195"/>
      <c r="R11" s="3194"/>
      <c r="S11" s="3197"/>
      <c r="T11" s="3195"/>
      <c r="U11" s="3194"/>
      <c r="V11" s="3195"/>
      <c r="W11" s="3194"/>
      <c r="X11" s="3197"/>
      <c r="Y11" s="3195"/>
      <c r="Z11" s="3194"/>
      <c r="AA11" s="3195"/>
      <c r="AB11" s="3194"/>
      <c r="AC11" s="3197"/>
      <c r="AD11" s="3195"/>
      <c r="AE11" s="3194"/>
      <c r="AF11" s="3195"/>
      <c r="AG11" s="3194"/>
      <c r="AH11" s="3197"/>
      <c r="AI11" s="3195"/>
      <c r="AJ11" s="3194"/>
      <c r="AK11" s="3195"/>
      <c r="AL11" s="3194"/>
      <c r="AM11" s="3197"/>
      <c r="AN11" s="3195"/>
      <c r="AO11" s="3194"/>
      <c r="AP11" s="3195"/>
      <c r="AQ11" s="3194"/>
      <c r="AR11" s="3197"/>
      <c r="AS11" s="3195"/>
      <c r="AT11" s="3194"/>
      <c r="AU11" s="3195"/>
      <c r="AV11" s="3194"/>
      <c r="AW11" s="3197"/>
      <c r="AX11" s="3195"/>
      <c r="AY11" s="3194"/>
      <c r="AZ11" s="3195"/>
      <c r="BA11" s="3194"/>
      <c r="BB11" s="3197"/>
      <c r="BC11" s="3195"/>
      <c r="BD11" s="3194"/>
      <c r="BE11" s="3195"/>
      <c r="BF11" s="3194"/>
      <c r="BG11" s="3197"/>
      <c r="BH11" s="3195"/>
      <c r="BI11" s="3194"/>
      <c r="BJ11" s="3195"/>
      <c r="BK11" s="3194"/>
      <c r="BL11" s="3197"/>
      <c r="BM11" s="3195"/>
      <c r="BN11" s="3194"/>
      <c r="BO11" s="3195"/>
      <c r="BP11" s="3194"/>
      <c r="BQ11" s="3197"/>
      <c r="BR11" s="3195"/>
    </row>
    <row r="12" spans="1:83" s="22" customFormat="1" ht="80.099999999999994" customHeight="1" x14ac:dyDescent="1.35">
      <c r="A12" s="2044" t="s">
        <v>288</v>
      </c>
      <c r="B12" s="3189">
        <v>13</v>
      </c>
      <c r="C12" s="3190"/>
      <c r="D12" s="3190"/>
      <c r="E12" s="240" t="s">
        <v>313</v>
      </c>
      <c r="F12" s="2044" t="s">
        <v>288</v>
      </c>
      <c r="G12" s="3189">
        <v>14</v>
      </c>
      <c r="H12" s="3190"/>
      <c r="I12" s="3190"/>
      <c r="J12" s="240" t="s">
        <v>313</v>
      </c>
      <c r="K12" s="2044" t="s">
        <v>288</v>
      </c>
      <c r="L12" s="3189">
        <v>15</v>
      </c>
      <c r="M12" s="3190"/>
      <c r="N12" s="3190"/>
      <c r="O12" s="240" t="s">
        <v>313</v>
      </c>
      <c r="P12" s="2044" t="s">
        <v>288</v>
      </c>
      <c r="Q12" s="3189">
        <v>16</v>
      </c>
      <c r="R12" s="3190"/>
      <c r="S12" s="3190"/>
      <c r="T12" s="240" t="s">
        <v>313</v>
      </c>
      <c r="U12" s="2044" t="s">
        <v>288</v>
      </c>
      <c r="V12" s="3189">
        <v>17</v>
      </c>
      <c r="W12" s="3190"/>
      <c r="X12" s="3190"/>
      <c r="Y12" s="240" t="s">
        <v>313</v>
      </c>
      <c r="Z12" s="2044" t="s">
        <v>288</v>
      </c>
      <c r="AA12" s="3189">
        <v>18</v>
      </c>
      <c r="AB12" s="3190"/>
      <c r="AC12" s="3190"/>
      <c r="AD12" s="240" t="s">
        <v>313</v>
      </c>
      <c r="AE12" s="2044" t="s">
        <v>288</v>
      </c>
      <c r="AF12" s="3189">
        <v>19</v>
      </c>
      <c r="AG12" s="3190"/>
      <c r="AH12" s="3190"/>
      <c r="AI12" s="240" t="s">
        <v>313</v>
      </c>
      <c r="AJ12" s="2044" t="s">
        <v>288</v>
      </c>
      <c r="AK12" s="3189">
        <v>20</v>
      </c>
      <c r="AL12" s="3190"/>
      <c r="AM12" s="3190"/>
      <c r="AN12" s="240" t="s">
        <v>313</v>
      </c>
      <c r="AO12" s="2044" t="s">
        <v>288</v>
      </c>
      <c r="AP12" s="3189">
        <v>21</v>
      </c>
      <c r="AQ12" s="3190"/>
      <c r="AR12" s="3190"/>
      <c r="AS12" s="240" t="s">
        <v>313</v>
      </c>
      <c r="AT12" s="2044" t="s">
        <v>288</v>
      </c>
      <c r="AU12" s="3189">
        <v>22</v>
      </c>
      <c r="AV12" s="3190"/>
      <c r="AW12" s="3190"/>
      <c r="AX12" s="240" t="s">
        <v>313</v>
      </c>
      <c r="AY12" s="2044" t="s">
        <v>288</v>
      </c>
      <c r="AZ12" s="3189">
        <v>23</v>
      </c>
      <c r="BA12" s="3190"/>
      <c r="BB12" s="3190"/>
      <c r="BC12" s="240" t="s">
        <v>313</v>
      </c>
      <c r="BD12" s="2044" t="s">
        <v>288</v>
      </c>
      <c r="BE12" s="3189">
        <v>24</v>
      </c>
      <c r="BF12" s="3190"/>
      <c r="BG12" s="3190"/>
      <c r="BH12" s="240" t="s">
        <v>313</v>
      </c>
      <c r="BI12" s="2044" t="s">
        <v>288</v>
      </c>
      <c r="BJ12" s="3189">
        <v>25</v>
      </c>
      <c r="BK12" s="3190"/>
      <c r="BL12" s="3190"/>
      <c r="BM12" s="240" t="s">
        <v>313</v>
      </c>
      <c r="BN12" s="2044" t="s">
        <v>288</v>
      </c>
      <c r="BO12" s="3189">
        <v>26</v>
      </c>
      <c r="BP12" s="3190"/>
      <c r="BQ12" s="3190"/>
      <c r="BR12" s="240" t="s">
        <v>313</v>
      </c>
      <c r="BT12" s="322" t="s">
        <v>472</v>
      </c>
    </row>
    <row r="13" spans="1:83" ht="27" customHeight="1" x14ac:dyDescent="0.25">
      <c r="A13" s="2044"/>
      <c r="B13" s="122">
        <v>0.38100000000000001</v>
      </c>
      <c r="C13" s="123" t="s">
        <v>113</v>
      </c>
      <c r="D13" s="124"/>
      <c r="E13" s="226" t="s">
        <v>114</v>
      </c>
      <c r="F13" s="2044"/>
      <c r="G13" s="386">
        <v>2.64</v>
      </c>
      <c r="H13" s="123" t="s">
        <v>113</v>
      </c>
      <c r="I13" s="124">
        <v>1</v>
      </c>
      <c r="J13" s="226" t="s">
        <v>114</v>
      </c>
      <c r="K13" s="2044"/>
      <c r="L13" s="122">
        <v>0.53300000000000003</v>
      </c>
      <c r="M13" s="123" t="s">
        <v>113</v>
      </c>
      <c r="N13" s="124"/>
      <c r="O13" s="226" t="s">
        <v>114</v>
      </c>
      <c r="P13" s="2044"/>
      <c r="Q13" s="122">
        <v>3.86</v>
      </c>
      <c r="R13" s="123" t="s">
        <v>113</v>
      </c>
      <c r="S13" s="124">
        <v>1</v>
      </c>
      <c r="T13" s="226" t="s">
        <v>114</v>
      </c>
      <c r="U13" s="2044"/>
      <c r="V13" s="122">
        <v>1.93</v>
      </c>
      <c r="W13" s="123" t="s">
        <v>113</v>
      </c>
      <c r="X13" s="124">
        <v>1</v>
      </c>
      <c r="Y13" s="226" t="s">
        <v>114</v>
      </c>
      <c r="Z13" s="2044"/>
      <c r="AA13" s="122">
        <v>1E-4</v>
      </c>
      <c r="AB13" s="123" t="s">
        <v>113</v>
      </c>
      <c r="AC13" s="124"/>
      <c r="AD13" s="226" t="s">
        <v>114</v>
      </c>
      <c r="AE13" s="2044"/>
      <c r="AF13" s="122">
        <v>0.55800000000000005</v>
      </c>
      <c r="AG13" s="123" t="s">
        <v>113</v>
      </c>
      <c r="AH13" s="124">
        <v>1</v>
      </c>
      <c r="AI13" s="226" t="s">
        <v>114</v>
      </c>
      <c r="AJ13" s="2044"/>
      <c r="AK13" s="122">
        <v>0.254</v>
      </c>
      <c r="AL13" s="123" t="s">
        <v>113</v>
      </c>
      <c r="AM13" s="124"/>
      <c r="AN13" s="226" t="s">
        <v>114</v>
      </c>
      <c r="AO13" s="2044"/>
      <c r="AP13" s="122">
        <v>0.50800000000000001</v>
      </c>
      <c r="AQ13" s="123" t="s">
        <v>113</v>
      </c>
      <c r="AR13" s="124">
        <v>1</v>
      </c>
      <c r="AS13" s="226" t="s">
        <v>114</v>
      </c>
      <c r="AT13" s="2044"/>
      <c r="AU13" s="122">
        <v>13.5</v>
      </c>
      <c r="AV13" s="123" t="s">
        <v>113</v>
      </c>
      <c r="AW13" s="124"/>
      <c r="AX13" s="226" t="s">
        <v>114</v>
      </c>
      <c r="AY13" s="2044"/>
      <c r="AZ13" s="122">
        <v>1.625</v>
      </c>
      <c r="BA13" s="123" t="s">
        <v>113</v>
      </c>
      <c r="BB13" s="124">
        <v>1</v>
      </c>
      <c r="BC13" s="226" t="s">
        <v>114</v>
      </c>
      <c r="BD13" s="2044"/>
      <c r="BE13" s="122">
        <v>1E-4</v>
      </c>
      <c r="BF13" s="123" t="s">
        <v>113</v>
      </c>
      <c r="BG13" s="124"/>
      <c r="BH13" s="226" t="s">
        <v>114</v>
      </c>
      <c r="BI13" s="2044"/>
      <c r="BJ13" s="122">
        <v>3.6829999999999998</v>
      </c>
      <c r="BK13" s="123" t="s">
        <v>113</v>
      </c>
      <c r="BL13" s="124">
        <v>1</v>
      </c>
      <c r="BM13" s="226" t="s">
        <v>114</v>
      </c>
      <c r="BN13" s="2044"/>
      <c r="BO13" s="122">
        <v>2.819</v>
      </c>
      <c r="BP13" s="123" t="s">
        <v>113</v>
      </c>
      <c r="BQ13" s="124"/>
      <c r="BR13" s="226" t="s">
        <v>114</v>
      </c>
      <c r="BW13" s="27"/>
      <c r="BX13" s="27"/>
      <c r="BY13" s="27"/>
      <c r="BZ13" s="27"/>
      <c r="CA13" s="27"/>
      <c r="CB13" s="27"/>
      <c r="CC13" s="27"/>
      <c r="CD13" s="27"/>
      <c r="CE13" s="27"/>
    </row>
    <row r="14" spans="1:83" ht="27.95" customHeight="1" x14ac:dyDescent="0.25">
      <c r="A14" s="2041" t="s">
        <v>110</v>
      </c>
      <c r="B14" s="2041"/>
      <c r="C14" s="2042">
        <f t="shared" ref="C14" si="19">B19/((60*3.1415/59)*(72.5/3.281))</f>
        <v>2.4095516198609276E-2</v>
      </c>
      <c r="D14" s="2042"/>
      <c r="E14" s="2042"/>
      <c r="F14" s="2041" t="s">
        <v>110</v>
      </c>
      <c r="G14" s="2041"/>
      <c r="H14" s="2042">
        <f t="shared" ref="H14" si="20">G19/((60*3.1415/59)*(72.5/3.281))</f>
        <v>8.6267897501193687E-3</v>
      </c>
      <c r="I14" s="2042"/>
      <c r="J14" s="2042"/>
      <c r="K14" s="2041" t="s">
        <v>110</v>
      </c>
      <c r="L14" s="2041"/>
      <c r="M14" s="2042">
        <f t="shared" ref="M14" si="21">L19/((60*3.1415/59)*(72.5/3.281))</f>
        <v>1.7621882510917071E-2</v>
      </c>
      <c r="N14" s="2042"/>
      <c r="O14" s="2042"/>
      <c r="P14" s="2041" t="s">
        <v>110</v>
      </c>
      <c r="Q14" s="2041"/>
      <c r="R14" s="2042">
        <f t="shared" ref="R14" si="22">Q19/((60*3.1415/59)*(72.5/3.281))</f>
        <v>1.4165500410705041E-6</v>
      </c>
      <c r="S14" s="2042"/>
      <c r="T14" s="2042"/>
      <c r="U14" s="2041" t="s">
        <v>110</v>
      </c>
      <c r="V14" s="2041"/>
      <c r="W14" s="2042">
        <f t="shared" ref="W14" si="23">V19/((60*3.1415/59)*(72.5/3.281))</f>
        <v>5.5047134595999789E-2</v>
      </c>
      <c r="X14" s="2042"/>
      <c r="Y14" s="2042"/>
      <c r="Z14" s="2041" t="s">
        <v>110</v>
      </c>
      <c r="AA14" s="2041"/>
      <c r="AB14" s="2042">
        <f t="shared" ref="AB14" si="24">AA19/((60*3.1415/59)*(72.5/3.281))</f>
        <v>1.5822863958757531E-2</v>
      </c>
      <c r="AC14" s="2042"/>
      <c r="AD14" s="2042"/>
      <c r="AE14" s="2041" t="s">
        <v>110</v>
      </c>
      <c r="AF14" s="2041"/>
      <c r="AG14" s="2042">
        <f t="shared" ref="AG14" si="25">AF19/((60*3.1415/59)*(72.5/3.281))</f>
        <v>3.1659893417925765E-2</v>
      </c>
      <c r="AH14" s="2042"/>
      <c r="AI14" s="2042"/>
      <c r="AJ14" s="2041" t="s">
        <v>110</v>
      </c>
      <c r="AK14" s="2041"/>
      <c r="AL14" s="2042">
        <f t="shared" ref="AL14" si="26">AK19/((60*3.1415/59)*(72.5/3.281))</f>
        <v>3.5980371043190804E-3</v>
      </c>
      <c r="AM14" s="2042"/>
      <c r="AN14" s="2042"/>
      <c r="AO14" s="2041" t="s">
        <v>110</v>
      </c>
      <c r="AP14" s="2041"/>
      <c r="AQ14" s="2042">
        <f t="shared" ref="AQ14" si="27">AP19/((60*3.1415/59)*(72.5/3.281))</f>
        <v>1.7267745000649447E-2</v>
      </c>
      <c r="AR14" s="2042"/>
      <c r="AS14" s="2042"/>
      <c r="AT14" s="2041" t="s">
        <v>110</v>
      </c>
      <c r="AU14" s="2041"/>
      <c r="AV14" s="2042">
        <f t="shared" ref="AV14" si="28">AU19/((60*3.1415/59)*(72.5/3.281))</f>
        <v>1.5822863958757531E-2</v>
      </c>
      <c r="AW14" s="2042"/>
      <c r="AX14" s="2042"/>
      <c r="AY14" s="2041" t="s">
        <v>110</v>
      </c>
      <c r="AZ14" s="2041"/>
      <c r="BA14" s="2042">
        <f t="shared" ref="BA14" si="29">AZ19/((60*3.1415/59)*(72.5/3.281))</f>
        <v>5.3970556564786202E-3</v>
      </c>
      <c r="BB14" s="2042"/>
      <c r="BC14" s="2042"/>
      <c r="BD14" s="2041" t="s">
        <v>110</v>
      </c>
      <c r="BE14" s="2041"/>
      <c r="BF14" s="2042">
        <f t="shared" ref="BF14" si="30">BE19/((60*3.1415/59)*(72.5/3.281))</f>
        <v>1.7621882510917071E-2</v>
      </c>
      <c r="BG14" s="2042"/>
      <c r="BH14" s="2042"/>
      <c r="BI14" s="2041" t="s">
        <v>110</v>
      </c>
      <c r="BJ14" s="2041"/>
      <c r="BK14" s="2042">
        <f t="shared" ref="BK14" si="31">BJ19/((60*3.1415/59)*(72.5/3.281))</f>
        <v>3.5612068032512469E-2</v>
      </c>
      <c r="BL14" s="2042"/>
      <c r="BM14" s="2042"/>
      <c r="BN14" s="2041" t="s">
        <v>110</v>
      </c>
      <c r="BO14" s="2041"/>
      <c r="BP14" s="2042">
        <f t="shared" ref="BP14" si="32">BO19/((60*3.1415/59)*(72.5/3.281))</f>
        <v>2.0497479094290193E-2</v>
      </c>
      <c r="BQ14" s="2042"/>
      <c r="BR14" s="2042"/>
    </row>
    <row r="15" spans="1:83" ht="18" customHeight="1" x14ac:dyDescent="0.25">
      <c r="A15" s="2041"/>
      <c r="B15" s="2041"/>
      <c r="C15" s="2042"/>
      <c r="D15" s="2042"/>
      <c r="E15" s="2042"/>
      <c r="F15" s="2041"/>
      <c r="G15" s="2041"/>
      <c r="H15" s="2042"/>
      <c r="I15" s="2042"/>
      <c r="J15" s="2042"/>
      <c r="K15" s="2041"/>
      <c r="L15" s="2041"/>
      <c r="M15" s="2042"/>
      <c r="N15" s="2042"/>
      <c r="O15" s="2042"/>
      <c r="P15" s="2041"/>
      <c r="Q15" s="2041"/>
      <c r="R15" s="2042"/>
      <c r="S15" s="2042"/>
      <c r="T15" s="2042"/>
      <c r="U15" s="2041"/>
      <c r="V15" s="2041"/>
      <c r="W15" s="2042"/>
      <c r="X15" s="2042"/>
      <c r="Y15" s="2042"/>
      <c r="Z15" s="2041"/>
      <c r="AA15" s="2041"/>
      <c r="AB15" s="2042"/>
      <c r="AC15" s="2042"/>
      <c r="AD15" s="2042"/>
      <c r="AE15" s="2041"/>
      <c r="AF15" s="2041"/>
      <c r="AG15" s="2042"/>
      <c r="AH15" s="2042"/>
      <c r="AI15" s="2042"/>
      <c r="AJ15" s="2041"/>
      <c r="AK15" s="2041"/>
      <c r="AL15" s="2042"/>
      <c r="AM15" s="2042"/>
      <c r="AN15" s="2042"/>
      <c r="AO15" s="2041"/>
      <c r="AP15" s="2041"/>
      <c r="AQ15" s="2042"/>
      <c r="AR15" s="2042"/>
      <c r="AS15" s="2042"/>
      <c r="AT15" s="2041"/>
      <c r="AU15" s="2041"/>
      <c r="AV15" s="2042"/>
      <c r="AW15" s="2042"/>
      <c r="AX15" s="2042"/>
      <c r="AY15" s="2041"/>
      <c r="AZ15" s="2041"/>
      <c r="BA15" s="2042"/>
      <c r="BB15" s="2042"/>
      <c r="BC15" s="2042"/>
      <c r="BD15" s="2041"/>
      <c r="BE15" s="2041"/>
      <c r="BF15" s="2042"/>
      <c r="BG15" s="2042"/>
      <c r="BH15" s="2042"/>
      <c r="BI15" s="2041"/>
      <c r="BJ15" s="2041"/>
      <c r="BK15" s="2042"/>
      <c r="BL15" s="2042"/>
      <c r="BM15" s="2042"/>
      <c r="BN15" s="2041"/>
      <c r="BO15" s="2041"/>
      <c r="BP15" s="2042"/>
      <c r="BQ15" s="2042"/>
      <c r="BR15" s="2042"/>
    </row>
    <row r="16" spans="1:83" ht="21.95" customHeight="1" thickBot="1" x14ac:dyDescent="0.3">
      <c r="A16" s="3192" t="s">
        <v>111</v>
      </c>
      <c r="B16" s="3193"/>
      <c r="C16" s="3192" t="s">
        <v>25</v>
      </c>
      <c r="D16" s="3196"/>
      <c r="E16" s="3193"/>
      <c r="F16" s="3192" t="s">
        <v>111</v>
      </c>
      <c r="G16" s="3193"/>
      <c r="H16" s="3192" t="s">
        <v>25</v>
      </c>
      <c r="I16" s="3196"/>
      <c r="J16" s="3193"/>
      <c r="K16" s="3192" t="s">
        <v>111</v>
      </c>
      <c r="L16" s="3193"/>
      <c r="M16" s="3198" t="s">
        <v>25</v>
      </c>
      <c r="N16" s="3199"/>
      <c r="O16" s="3200"/>
      <c r="P16" s="3198" t="s">
        <v>111</v>
      </c>
      <c r="Q16" s="3200"/>
      <c r="R16" s="3192" t="s">
        <v>25</v>
      </c>
      <c r="S16" s="3196"/>
      <c r="T16" s="3193"/>
      <c r="U16" s="3192" t="s">
        <v>111</v>
      </c>
      <c r="V16" s="3193"/>
      <c r="W16" s="3192" t="s">
        <v>25</v>
      </c>
      <c r="X16" s="3196"/>
      <c r="Y16" s="3193"/>
      <c r="Z16" s="3192" t="s">
        <v>111</v>
      </c>
      <c r="AA16" s="3193"/>
      <c r="AB16" s="3192" t="s">
        <v>25</v>
      </c>
      <c r="AC16" s="3196"/>
      <c r="AD16" s="3193"/>
      <c r="AE16" s="3192" t="s">
        <v>111</v>
      </c>
      <c r="AF16" s="3193"/>
      <c r="AG16" s="3192" t="s">
        <v>25</v>
      </c>
      <c r="AH16" s="3196"/>
      <c r="AI16" s="3193"/>
      <c r="AJ16" s="3192" t="s">
        <v>111</v>
      </c>
      <c r="AK16" s="3193"/>
      <c r="AL16" s="3192" t="s">
        <v>25</v>
      </c>
      <c r="AM16" s="3196"/>
      <c r="AN16" s="3193"/>
      <c r="AO16" s="3192" t="s">
        <v>111</v>
      </c>
      <c r="AP16" s="3193"/>
      <c r="AQ16" s="3192" t="s">
        <v>25</v>
      </c>
      <c r="AR16" s="3196"/>
      <c r="AS16" s="3193"/>
      <c r="AT16" s="3192" t="s">
        <v>111</v>
      </c>
      <c r="AU16" s="3193"/>
      <c r="AV16" s="3192" t="s">
        <v>25</v>
      </c>
      <c r="AW16" s="3196"/>
      <c r="AX16" s="3193"/>
      <c r="AY16" s="3192" t="s">
        <v>111</v>
      </c>
      <c r="AZ16" s="3193"/>
      <c r="BA16" s="3192" t="s">
        <v>25</v>
      </c>
      <c r="BB16" s="3196"/>
      <c r="BC16" s="3193"/>
      <c r="BD16" s="3192" t="s">
        <v>111</v>
      </c>
      <c r="BE16" s="3193"/>
      <c r="BF16" s="3192" t="s">
        <v>25</v>
      </c>
      <c r="BG16" s="3196"/>
      <c r="BH16" s="3193"/>
      <c r="BI16" s="3192" t="s">
        <v>111</v>
      </c>
      <c r="BJ16" s="3193"/>
      <c r="BK16" s="3192" t="s">
        <v>25</v>
      </c>
      <c r="BL16" s="3196"/>
      <c r="BM16" s="3193"/>
      <c r="BN16" s="3192" t="s">
        <v>111</v>
      </c>
      <c r="BO16" s="3193"/>
      <c r="BP16" s="3192" t="s">
        <v>25</v>
      </c>
      <c r="BQ16" s="3196"/>
      <c r="BR16" s="3193"/>
    </row>
    <row r="17" spans="1:83" ht="6" customHeight="1" x14ac:dyDescent="0.25">
      <c r="A17" s="3194"/>
      <c r="B17" s="3195"/>
      <c r="C17" s="3194"/>
      <c r="D17" s="3197"/>
      <c r="E17" s="3195"/>
      <c r="F17" s="3194"/>
      <c r="G17" s="3195"/>
      <c r="H17" s="3194"/>
      <c r="I17" s="3197"/>
      <c r="J17" s="3195"/>
      <c r="K17" s="3194"/>
      <c r="L17" s="3195"/>
      <c r="M17" s="3194"/>
      <c r="N17" s="3197"/>
      <c r="O17" s="3195"/>
      <c r="P17" s="3194"/>
      <c r="Q17" s="3195"/>
      <c r="R17" s="3194"/>
      <c r="S17" s="3197"/>
      <c r="T17" s="3195"/>
      <c r="U17" s="3194"/>
      <c r="V17" s="3195"/>
      <c r="W17" s="3194"/>
      <c r="X17" s="3197"/>
      <c r="Y17" s="3195"/>
      <c r="Z17" s="3194"/>
      <c r="AA17" s="3195"/>
      <c r="AB17" s="3194"/>
      <c r="AC17" s="3197"/>
      <c r="AD17" s="3195"/>
      <c r="AE17" s="3194"/>
      <c r="AF17" s="3195"/>
      <c r="AG17" s="3194"/>
      <c r="AH17" s="3197"/>
      <c r="AI17" s="3195"/>
      <c r="AJ17" s="3194"/>
      <c r="AK17" s="3195"/>
      <c r="AL17" s="3194"/>
      <c r="AM17" s="3197"/>
      <c r="AN17" s="3195"/>
      <c r="AO17" s="3194"/>
      <c r="AP17" s="3195"/>
      <c r="AQ17" s="3194"/>
      <c r="AR17" s="3197"/>
      <c r="AS17" s="3195"/>
      <c r="AT17" s="3194"/>
      <c r="AU17" s="3195"/>
      <c r="AV17" s="3194"/>
      <c r="AW17" s="3197"/>
      <c r="AX17" s="3195"/>
      <c r="AY17" s="3194"/>
      <c r="AZ17" s="3195"/>
      <c r="BA17" s="3194"/>
      <c r="BB17" s="3197"/>
      <c r="BC17" s="3195"/>
      <c r="BD17" s="3194"/>
      <c r="BE17" s="3195"/>
      <c r="BF17" s="3194"/>
      <c r="BG17" s="3197"/>
      <c r="BH17" s="3195"/>
      <c r="BI17" s="3194"/>
      <c r="BJ17" s="3195"/>
      <c r="BK17" s="3194"/>
      <c r="BL17" s="3197"/>
      <c r="BM17" s="3195"/>
      <c r="BN17" s="3194"/>
      <c r="BO17" s="3195"/>
      <c r="BP17" s="3194"/>
      <c r="BQ17" s="3197"/>
      <c r="BR17" s="3195"/>
    </row>
    <row r="18" spans="1:83" s="22" customFormat="1" ht="80.099999999999994" customHeight="1" x14ac:dyDescent="1.35">
      <c r="A18" s="2044" t="s">
        <v>288</v>
      </c>
      <c r="B18" s="3189">
        <v>27</v>
      </c>
      <c r="C18" s="3190"/>
      <c r="D18" s="3190"/>
      <c r="E18" s="240" t="s">
        <v>313</v>
      </c>
      <c r="F18" s="2044" t="s">
        <v>288</v>
      </c>
      <c r="G18" s="3189">
        <v>28</v>
      </c>
      <c r="H18" s="3190"/>
      <c r="I18" s="3190"/>
      <c r="J18" s="240" t="s">
        <v>313</v>
      </c>
      <c r="K18" s="2044" t="s">
        <v>288</v>
      </c>
      <c r="L18" s="3189">
        <v>29</v>
      </c>
      <c r="M18" s="3190"/>
      <c r="N18" s="3190"/>
      <c r="O18" s="240" t="s">
        <v>313</v>
      </c>
      <c r="P18" s="2044" t="s">
        <v>288</v>
      </c>
      <c r="Q18" s="3189">
        <v>30</v>
      </c>
      <c r="R18" s="3190"/>
      <c r="S18" s="3190"/>
      <c r="T18" s="240" t="s">
        <v>313</v>
      </c>
      <c r="U18" s="2044" t="s">
        <v>288</v>
      </c>
      <c r="V18" s="3189">
        <v>31</v>
      </c>
      <c r="W18" s="3190"/>
      <c r="X18" s="3190"/>
      <c r="Y18" s="240" t="s">
        <v>313</v>
      </c>
      <c r="Z18" s="2044" t="s">
        <v>288</v>
      </c>
      <c r="AA18" s="3189">
        <v>32</v>
      </c>
      <c r="AB18" s="3190"/>
      <c r="AC18" s="3190"/>
      <c r="AD18" s="240" t="s">
        <v>313</v>
      </c>
      <c r="AE18" s="2044" t="s">
        <v>288</v>
      </c>
      <c r="AF18" s="3189">
        <v>33</v>
      </c>
      <c r="AG18" s="3190"/>
      <c r="AH18" s="3190"/>
      <c r="AI18" s="240" t="s">
        <v>313</v>
      </c>
      <c r="AJ18" s="2044" t="s">
        <v>288</v>
      </c>
      <c r="AK18" s="3189">
        <v>34</v>
      </c>
      <c r="AL18" s="3190"/>
      <c r="AM18" s="3190"/>
      <c r="AN18" s="240" t="s">
        <v>313</v>
      </c>
      <c r="AO18" s="2044" t="s">
        <v>288</v>
      </c>
      <c r="AP18" s="3189">
        <v>35</v>
      </c>
      <c r="AQ18" s="3190"/>
      <c r="AR18" s="3190"/>
      <c r="AS18" s="240" t="s">
        <v>313</v>
      </c>
      <c r="AT18" s="2044" t="s">
        <v>288</v>
      </c>
      <c r="AU18" s="3189">
        <v>36</v>
      </c>
      <c r="AV18" s="3190"/>
      <c r="AW18" s="3190"/>
      <c r="AX18" s="240" t="s">
        <v>313</v>
      </c>
      <c r="AY18" s="2044" t="s">
        <v>288</v>
      </c>
      <c r="AZ18" s="3189">
        <v>37</v>
      </c>
      <c r="BA18" s="3190"/>
      <c r="BB18" s="3190"/>
      <c r="BC18" s="240" t="s">
        <v>313</v>
      </c>
      <c r="BD18" s="2044" t="s">
        <v>288</v>
      </c>
      <c r="BE18" s="3189">
        <v>38</v>
      </c>
      <c r="BF18" s="3190"/>
      <c r="BG18" s="3190"/>
      <c r="BH18" s="240" t="s">
        <v>313</v>
      </c>
      <c r="BI18" s="2044" t="s">
        <v>288</v>
      </c>
      <c r="BJ18" s="3189">
        <v>39</v>
      </c>
      <c r="BK18" s="3190"/>
      <c r="BL18" s="3190"/>
      <c r="BM18" s="240" t="s">
        <v>313</v>
      </c>
      <c r="BN18" s="2044" t="s">
        <v>288</v>
      </c>
      <c r="BO18" s="3189">
        <v>40</v>
      </c>
      <c r="BP18" s="3190"/>
      <c r="BQ18" s="3190"/>
      <c r="BR18" s="240" t="s">
        <v>313</v>
      </c>
    </row>
    <row r="19" spans="1:83" ht="26.25" x14ac:dyDescent="0.25">
      <c r="A19" s="2044"/>
      <c r="B19" s="122">
        <v>1.7010000000000001</v>
      </c>
      <c r="C19" s="123" t="s">
        <v>113</v>
      </c>
      <c r="D19" s="124">
        <v>1</v>
      </c>
      <c r="E19" s="226" t="s">
        <v>114</v>
      </c>
      <c r="F19" s="2044"/>
      <c r="G19" s="122">
        <v>0.60899999999999999</v>
      </c>
      <c r="H19" s="123" t="s">
        <v>113</v>
      </c>
      <c r="I19" s="124"/>
      <c r="J19" s="226" t="s">
        <v>114</v>
      </c>
      <c r="K19" s="2044"/>
      <c r="L19" s="122">
        <v>1.244</v>
      </c>
      <c r="M19" s="123" t="s">
        <v>113</v>
      </c>
      <c r="N19" s="124">
        <v>1</v>
      </c>
      <c r="O19" s="226" t="s">
        <v>114</v>
      </c>
      <c r="P19" s="2044"/>
      <c r="Q19" s="122">
        <v>1E-4</v>
      </c>
      <c r="R19" s="123" t="s">
        <v>113</v>
      </c>
      <c r="S19" s="124"/>
      <c r="T19" s="226" t="s">
        <v>114</v>
      </c>
      <c r="U19" s="2044"/>
      <c r="V19" s="122">
        <v>3.8860000000000001</v>
      </c>
      <c r="W19" s="123" t="s">
        <v>113</v>
      </c>
      <c r="X19" s="124">
        <v>1</v>
      </c>
      <c r="Y19" s="226" t="s">
        <v>114</v>
      </c>
      <c r="Z19" s="2044"/>
      <c r="AA19" s="122">
        <v>1.117</v>
      </c>
      <c r="AB19" s="123" t="s">
        <v>113</v>
      </c>
      <c r="AC19" s="124"/>
      <c r="AD19" s="226" t="s">
        <v>114</v>
      </c>
      <c r="AE19" s="2044"/>
      <c r="AF19" s="122">
        <v>2.2349999999999999</v>
      </c>
      <c r="AG19" s="123" t="s">
        <v>113</v>
      </c>
      <c r="AH19" s="124">
        <v>1</v>
      </c>
      <c r="AI19" s="226" t="s">
        <v>114</v>
      </c>
      <c r="AJ19" s="2044"/>
      <c r="AK19" s="122">
        <v>0.254</v>
      </c>
      <c r="AL19" s="123" t="s">
        <v>113</v>
      </c>
      <c r="AM19" s="124"/>
      <c r="AN19" s="226" t="s">
        <v>114</v>
      </c>
      <c r="AO19" s="2044"/>
      <c r="AP19" s="122">
        <v>1.2190000000000001</v>
      </c>
      <c r="AQ19" s="123" t="s">
        <v>113</v>
      </c>
      <c r="AR19" s="124">
        <v>1</v>
      </c>
      <c r="AS19" s="226" t="s">
        <v>114</v>
      </c>
      <c r="AT19" s="2044"/>
      <c r="AU19" s="122">
        <v>1.117</v>
      </c>
      <c r="AV19" s="123" t="s">
        <v>113</v>
      </c>
      <c r="AW19" s="124"/>
      <c r="AX19" s="226" t="s">
        <v>114</v>
      </c>
      <c r="AY19" s="2044"/>
      <c r="AZ19" s="122">
        <v>0.38100000000000001</v>
      </c>
      <c r="BA19" s="123" t="s">
        <v>113</v>
      </c>
      <c r="BB19" s="124">
        <v>1</v>
      </c>
      <c r="BC19" s="226" t="s">
        <v>114</v>
      </c>
      <c r="BD19" s="2044"/>
      <c r="BE19" s="122">
        <v>1.244</v>
      </c>
      <c r="BF19" s="123" t="s">
        <v>113</v>
      </c>
      <c r="BG19" s="124"/>
      <c r="BH19" s="226" t="s">
        <v>114</v>
      </c>
      <c r="BI19" s="2044"/>
      <c r="BJ19" s="122">
        <v>2.5139999999999998</v>
      </c>
      <c r="BK19" s="123" t="s">
        <v>113</v>
      </c>
      <c r="BL19" s="124">
        <v>1</v>
      </c>
      <c r="BM19" s="226" t="s">
        <v>114</v>
      </c>
      <c r="BN19" s="2044"/>
      <c r="BO19" s="122">
        <v>1.4470000000000001</v>
      </c>
      <c r="BP19" s="123" t="s">
        <v>113</v>
      </c>
      <c r="BQ19" s="124"/>
      <c r="BR19" s="226" t="s">
        <v>114</v>
      </c>
      <c r="BW19" s="27"/>
      <c r="BX19" s="27"/>
      <c r="BY19" s="27"/>
      <c r="BZ19" s="27"/>
      <c r="CA19" s="27"/>
      <c r="CB19" s="27"/>
      <c r="CC19" s="27"/>
      <c r="CD19" s="27"/>
      <c r="CE19" s="27"/>
    </row>
    <row r="20" spans="1:83" ht="27.95" customHeight="1" x14ac:dyDescent="0.25">
      <c r="A20" s="2041" t="s">
        <v>110</v>
      </c>
      <c r="B20" s="2041"/>
      <c r="C20" s="2042">
        <f t="shared" ref="C20" si="33">B25/((60*3.1415/59)*(72.5/3.281))</f>
        <v>7.0515861044489689E-2</v>
      </c>
      <c r="D20" s="2042"/>
      <c r="E20" s="2042"/>
      <c r="F20" s="2041" t="s">
        <v>110</v>
      </c>
      <c r="G20" s="2041"/>
      <c r="H20" s="2042">
        <f t="shared" ref="H20" si="34">G25/((60*3.1415/59)*(72.5/3.281))</f>
        <v>8.8151909055817462E-2</v>
      </c>
      <c r="I20" s="2042"/>
      <c r="J20" s="2042"/>
      <c r="K20" s="2041" t="s">
        <v>110</v>
      </c>
      <c r="L20" s="2041"/>
      <c r="M20" s="2042">
        <f t="shared" ref="M20" si="35">L25/((60*3.1415/59)*(72.5/3.281))</f>
        <v>8.2726522398517428E-3</v>
      </c>
      <c r="N20" s="2042"/>
      <c r="O20" s="2042"/>
      <c r="P20" s="2041" t="s">
        <v>110</v>
      </c>
      <c r="Q20" s="2041"/>
      <c r="R20" s="2042">
        <f t="shared" ref="R20" si="36">Q25/((60*3.1415/59)*(72.5/3.281))</f>
        <v>1.5100423437811573E-2</v>
      </c>
      <c r="S20" s="2042"/>
      <c r="T20" s="2042"/>
      <c r="U20" s="2041" t="s">
        <v>110</v>
      </c>
      <c r="V20" s="2041"/>
      <c r="W20" s="2042">
        <f t="shared" ref="W20" si="37">V25/((60*3.1415/59)*(72.5/3.281))</f>
        <v>2.338724117807402E-2</v>
      </c>
      <c r="X20" s="2042"/>
      <c r="Y20" s="2042"/>
      <c r="Z20" s="2041" t="s">
        <v>110</v>
      </c>
      <c r="AA20" s="2041"/>
      <c r="AB20" s="2042">
        <f>AA25/((60*3.1415/59)*(72.5/3.281))</f>
        <v>1.4165500410705041E-6</v>
      </c>
      <c r="AC20" s="2042"/>
      <c r="AD20" s="2042"/>
      <c r="AE20" s="2041" t="s">
        <v>110</v>
      </c>
      <c r="AF20" s="2041"/>
      <c r="AG20" s="2042">
        <f t="shared" ref="AG20" si="38">AF25/((60*3.1415/59)*(72.5/3.281))</f>
        <v>1.6191166969435861E-2</v>
      </c>
      <c r="AH20" s="2042"/>
      <c r="AI20" s="2042"/>
      <c r="AJ20" s="2041" t="s">
        <v>110</v>
      </c>
      <c r="AK20" s="2041"/>
      <c r="AL20" s="2042">
        <f t="shared" ref="AL20" si="39">AK25/((60*3.1415/59)*(72.5/3.281))</f>
        <v>1.4165500410705041E-6</v>
      </c>
      <c r="AM20" s="2042"/>
      <c r="AN20" s="2042"/>
      <c r="AO20" s="2041" t="s">
        <v>110</v>
      </c>
      <c r="AP20" s="2041"/>
      <c r="AQ20" s="2042">
        <f t="shared" ref="AQ20" si="40">AP25/((60*3.1415/59)*(72.5/3.281))</f>
        <v>1.9789204073754941E-2</v>
      </c>
      <c r="AR20" s="2042"/>
      <c r="AS20" s="2042"/>
      <c r="AT20" s="2041" t="s">
        <v>110</v>
      </c>
      <c r="AU20" s="2041"/>
      <c r="AV20" s="2042">
        <f t="shared" ref="AV20" si="41">AU25/((60*3.1415/59)*(72.5/3.281))</f>
        <v>4.3063121248543322E-3</v>
      </c>
      <c r="AW20" s="2042"/>
      <c r="AX20" s="2042"/>
      <c r="AY20" s="2041" t="s">
        <v>110</v>
      </c>
      <c r="AZ20" s="2041"/>
      <c r="BA20" s="2042">
        <f t="shared" ref="BA20" si="42">AZ25/((60*3.1415/59)*(72.5/3.281))</f>
        <v>5.6477850137480995E-2</v>
      </c>
      <c r="BB20" s="2042"/>
      <c r="BC20" s="2042"/>
      <c r="BD20" s="2041" t="s">
        <v>110</v>
      </c>
      <c r="BE20" s="2041"/>
      <c r="BF20" s="2042">
        <f t="shared" ref="BF20" si="43">BE25/((60*3.1415/59)*(72.5/3.281))</f>
        <v>4.3063121248543322E-3</v>
      </c>
      <c r="BG20" s="2042"/>
      <c r="BH20" s="2042"/>
      <c r="BI20" s="2041" t="s">
        <v>110</v>
      </c>
      <c r="BJ20" s="2041"/>
      <c r="BK20" s="2042">
        <f t="shared" ref="BK20" si="44">BJ25/((60*3.1415/59)*(72.5/3.281))</f>
        <v>1.8344323031863025E-2</v>
      </c>
      <c r="BL20" s="2042"/>
      <c r="BM20" s="2042"/>
      <c r="BN20" s="2041" t="s">
        <v>110</v>
      </c>
      <c r="BO20" s="2041"/>
      <c r="BP20" s="2042">
        <f t="shared" ref="BP20" si="45">BO25/((60*3.1415/59)*(72.5/3.281))</f>
        <v>8.6267897501193687E-3</v>
      </c>
      <c r="BQ20" s="2042"/>
      <c r="BR20" s="2042"/>
    </row>
    <row r="21" spans="1:83" ht="20.25" customHeight="1" x14ac:dyDescent="0.25">
      <c r="A21" s="2041"/>
      <c r="B21" s="2041"/>
      <c r="C21" s="2042"/>
      <c r="D21" s="2042"/>
      <c r="E21" s="2042"/>
      <c r="F21" s="2041"/>
      <c r="G21" s="2041"/>
      <c r="H21" s="2042"/>
      <c r="I21" s="2042"/>
      <c r="J21" s="2042"/>
      <c r="K21" s="2041"/>
      <c r="L21" s="2041"/>
      <c r="M21" s="2042"/>
      <c r="N21" s="2042"/>
      <c r="O21" s="2042"/>
      <c r="P21" s="2041"/>
      <c r="Q21" s="2041"/>
      <c r="R21" s="2042"/>
      <c r="S21" s="2042"/>
      <c r="T21" s="2042"/>
      <c r="U21" s="2041"/>
      <c r="V21" s="2041"/>
      <c r="W21" s="2042"/>
      <c r="X21" s="2042"/>
      <c r="Y21" s="2042"/>
      <c r="Z21" s="2041"/>
      <c r="AA21" s="2041"/>
      <c r="AB21" s="2042"/>
      <c r="AC21" s="2042"/>
      <c r="AD21" s="2042"/>
      <c r="AE21" s="2041"/>
      <c r="AF21" s="2041"/>
      <c r="AG21" s="2042"/>
      <c r="AH21" s="2042"/>
      <c r="AI21" s="2042"/>
      <c r="AJ21" s="2041"/>
      <c r="AK21" s="2041"/>
      <c r="AL21" s="2042"/>
      <c r="AM21" s="2042"/>
      <c r="AN21" s="2042"/>
      <c r="AO21" s="2041"/>
      <c r="AP21" s="2041"/>
      <c r="AQ21" s="2042"/>
      <c r="AR21" s="2042"/>
      <c r="AS21" s="2042"/>
      <c r="AT21" s="2041"/>
      <c r="AU21" s="2041"/>
      <c r="AV21" s="2042"/>
      <c r="AW21" s="2042"/>
      <c r="AX21" s="2042"/>
      <c r="AY21" s="2041"/>
      <c r="AZ21" s="2041"/>
      <c r="BA21" s="2042"/>
      <c r="BB21" s="2042"/>
      <c r="BC21" s="2042"/>
      <c r="BD21" s="2041"/>
      <c r="BE21" s="2041"/>
      <c r="BF21" s="2042"/>
      <c r="BG21" s="2042"/>
      <c r="BH21" s="2042"/>
      <c r="BI21" s="2041"/>
      <c r="BJ21" s="2041"/>
      <c r="BK21" s="2042"/>
      <c r="BL21" s="2042"/>
      <c r="BM21" s="2042"/>
      <c r="BN21" s="2041"/>
      <c r="BO21" s="2041"/>
      <c r="BP21" s="2042"/>
      <c r="BQ21" s="2042"/>
      <c r="BR21" s="2042"/>
    </row>
    <row r="22" spans="1:83" ht="21.95" customHeight="1" x14ac:dyDescent="0.25">
      <c r="A22" s="3192" t="s">
        <v>111</v>
      </c>
      <c r="B22" s="3193"/>
      <c r="C22" s="3192" t="s">
        <v>25</v>
      </c>
      <c r="D22" s="3196"/>
      <c r="E22" s="3193"/>
      <c r="F22" s="3192" t="s">
        <v>111</v>
      </c>
      <c r="G22" s="3193"/>
      <c r="H22" s="3192" t="s">
        <v>25</v>
      </c>
      <c r="I22" s="3196"/>
      <c r="J22" s="3193"/>
      <c r="K22" s="3192" t="s">
        <v>111</v>
      </c>
      <c r="L22" s="3193"/>
      <c r="M22" s="3192" t="s">
        <v>25</v>
      </c>
      <c r="N22" s="3196"/>
      <c r="O22" s="3193"/>
      <c r="P22" s="3192" t="s">
        <v>111</v>
      </c>
      <c r="Q22" s="3193"/>
      <c r="R22" s="3192" t="s">
        <v>25</v>
      </c>
      <c r="S22" s="3196"/>
      <c r="T22" s="3193"/>
      <c r="U22" s="3192" t="s">
        <v>111</v>
      </c>
      <c r="V22" s="3193"/>
      <c r="W22" s="3192" t="s">
        <v>25</v>
      </c>
      <c r="X22" s="3196"/>
      <c r="Y22" s="3193"/>
      <c r="Z22" s="3192" t="s">
        <v>111</v>
      </c>
      <c r="AA22" s="3193"/>
      <c r="AB22" s="3192" t="s">
        <v>25</v>
      </c>
      <c r="AC22" s="3196"/>
      <c r="AD22" s="3193"/>
      <c r="AE22" s="3192" t="s">
        <v>111</v>
      </c>
      <c r="AF22" s="3193"/>
      <c r="AG22" s="3192" t="s">
        <v>25</v>
      </c>
      <c r="AH22" s="3196"/>
      <c r="AI22" s="3193"/>
      <c r="AJ22" s="3192" t="s">
        <v>111</v>
      </c>
      <c r="AK22" s="3193"/>
      <c r="AL22" s="3192" t="s">
        <v>25</v>
      </c>
      <c r="AM22" s="3196"/>
      <c r="AN22" s="3193"/>
      <c r="AO22" s="3192" t="s">
        <v>111</v>
      </c>
      <c r="AP22" s="3193"/>
      <c r="AQ22" s="3192" t="s">
        <v>25</v>
      </c>
      <c r="AR22" s="3196"/>
      <c r="AS22" s="3193"/>
      <c r="AT22" s="3192" t="s">
        <v>111</v>
      </c>
      <c r="AU22" s="3193"/>
      <c r="AV22" s="3192" t="s">
        <v>25</v>
      </c>
      <c r="AW22" s="3196"/>
      <c r="AX22" s="3193"/>
      <c r="AY22" s="3192" t="s">
        <v>111</v>
      </c>
      <c r="AZ22" s="3193"/>
      <c r="BA22" s="3192" t="s">
        <v>25</v>
      </c>
      <c r="BB22" s="3196"/>
      <c r="BC22" s="3193"/>
      <c r="BD22" s="3192" t="s">
        <v>111</v>
      </c>
      <c r="BE22" s="3193"/>
      <c r="BF22" s="3192" t="s">
        <v>25</v>
      </c>
      <c r="BG22" s="3196"/>
      <c r="BH22" s="3193"/>
      <c r="BI22" s="3192" t="s">
        <v>111</v>
      </c>
      <c r="BJ22" s="3193"/>
      <c r="BK22" s="3192" t="s">
        <v>25</v>
      </c>
      <c r="BL22" s="3196"/>
      <c r="BM22" s="3193"/>
      <c r="BN22" s="3192" t="s">
        <v>111</v>
      </c>
      <c r="BO22" s="3193"/>
      <c r="BP22" s="3192" t="s">
        <v>25</v>
      </c>
      <c r="BQ22" s="3196"/>
      <c r="BR22" s="3193"/>
    </row>
    <row r="23" spans="1:83" ht="6" customHeight="1" x14ac:dyDescent="0.25">
      <c r="A23" s="3194"/>
      <c r="B23" s="3195"/>
      <c r="C23" s="3194"/>
      <c r="D23" s="3197"/>
      <c r="E23" s="3195"/>
      <c r="F23" s="3194"/>
      <c r="G23" s="3195"/>
      <c r="H23" s="3194"/>
      <c r="I23" s="3197"/>
      <c r="J23" s="3195"/>
      <c r="K23" s="3194"/>
      <c r="L23" s="3195"/>
      <c r="M23" s="3194"/>
      <c r="N23" s="3197"/>
      <c r="O23" s="3195"/>
      <c r="P23" s="3194"/>
      <c r="Q23" s="3195"/>
      <c r="R23" s="3194"/>
      <c r="S23" s="3197"/>
      <c r="T23" s="3195"/>
      <c r="U23" s="3194"/>
      <c r="V23" s="3195"/>
      <c r="W23" s="3194"/>
      <c r="X23" s="3197"/>
      <c r="Y23" s="3195"/>
      <c r="Z23" s="3194"/>
      <c r="AA23" s="3195"/>
      <c r="AB23" s="3194"/>
      <c r="AC23" s="3197"/>
      <c r="AD23" s="3195"/>
      <c r="AE23" s="3194"/>
      <c r="AF23" s="3195"/>
      <c r="AG23" s="3194"/>
      <c r="AH23" s="3197"/>
      <c r="AI23" s="3195"/>
      <c r="AJ23" s="3194"/>
      <c r="AK23" s="3195"/>
      <c r="AL23" s="3194"/>
      <c r="AM23" s="3197"/>
      <c r="AN23" s="3195"/>
      <c r="AO23" s="3194"/>
      <c r="AP23" s="3195"/>
      <c r="AQ23" s="3194"/>
      <c r="AR23" s="3197"/>
      <c r="AS23" s="3195"/>
      <c r="AT23" s="3194"/>
      <c r="AU23" s="3195"/>
      <c r="AV23" s="3194"/>
      <c r="AW23" s="3197"/>
      <c r="AX23" s="3195"/>
      <c r="AY23" s="3194"/>
      <c r="AZ23" s="3195"/>
      <c r="BA23" s="3194"/>
      <c r="BB23" s="3197"/>
      <c r="BC23" s="3195"/>
      <c r="BD23" s="3194"/>
      <c r="BE23" s="3195"/>
      <c r="BF23" s="3194"/>
      <c r="BG23" s="3197"/>
      <c r="BH23" s="3195"/>
      <c r="BI23" s="3194"/>
      <c r="BJ23" s="3195"/>
      <c r="BK23" s="3194"/>
      <c r="BL23" s="3197"/>
      <c r="BM23" s="3195"/>
      <c r="BN23" s="3194"/>
      <c r="BO23" s="3195"/>
      <c r="BP23" s="3194"/>
      <c r="BQ23" s="3197"/>
      <c r="BR23" s="3195"/>
    </row>
    <row r="24" spans="1:83" s="22" customFormat="1" ht="80.099999999999994" customHeight="1" x14ac:dyDescent="1.35">
      <c r="A24" s="2044" t="s">
        <v>288</v>
      </c>
      <c r="B24" s="3189">
        <v>41</v>
      </c>
      <c r="C24" s="3190"/>
      <c r="D24" s="3190"/>
      <c r="E24" s="240" t="s">
        <v>313</v>
      </c>
      <c r="F24" s="2044" t="s">
        <v>288</v>
      </c>
      <c r="G24" s="3189">
        <v>42</v>
      </c>
      <c r="H24" s="3190"/>
      <c r="I24" s="3191"/>
      <c r="J24" s="240" t="s">
        <v>313</v>
      </c>
      <c r="K24" s="2044" t="s">
        <v>288</v>
      </c>
      <c r="L24" s="3189">
        <v>43</v>
      </c>
      <c r="M24" s="3190"/>
      <c r="N24" s="3191"/>
      <c r="O24" s="240" t="s">
        <v>313</v>
      </c>
      <c r="P24" s="2044" t="s">
        <v>288</v>
      </c>
      <c r="Q24" s="3189">
        <v>44</v>
      </c>
      <c r="R24" s="3190"/>
      <c r="S24" s="3190"/>
      <c r="T24" s="240" t="s">
        <v>313</v>
      </c>
      <c r="U24" s="2044" t="s">
        <v>288</v>
      </c>
      <c r="V24" s="3189">
        <v>45</v>
      </c>
      <c r="W24" s="3190"/>
      <c r="X24" s="3191"/>
      <c r="Y24" s="240" t="s">
        <v>313</v>
      </c>
      <c r="Z24" s="2044" t="s">
        <v>288</v>
      </c>
      <c r="AA24" s="3189">
        <v>46</v>
      </c>
      <c r="AB24" s="3190"/>
      <c r="AC24" s="3191"/>
      <c r="AD24" s="240" t="s">
        <v>313</v>
      </c>
      <c r="AE24" s="2044" t="s">
        <v>288</v>
      </c>
      <c r="AF24" s="3189">
        <v>47</v>
      </c>
      <c r="AG24" s="3190"/>
      <c r="AH24" s="3191"/>
      <c r="AI24" s="240" t="s">
        <v>313</v>
      </c>
      <c r="AJ24" s="2044" t="s">
        <v>288</v>
      </c>
      <c r="AK24" s="3189">
        <v>48</v>
      </c>
      <c r="AL24" s="3190"/>
      <c r="AM24" s="3191"/>
      <c r="AN24" s="240" t="s">
        <v>313</v>
      </c>
      <c r="AO24" s="2044" t="s">
        <v>288</v>
      </c>
      <c r="AP24" s="3189">
        <v>49</v>
      </c>
      <c r="AQ24" s="3190"/>
      <c r="AR24" s="3191"/>
      <c r="AS24" s="240" t="s">
        <v>313</v>
      </c>
      <c r="AT24" s="2044" t="s">
        <v>288</v>
      </c>
      <c r="AU24" s="3189">
        <v>50</v>
      </c>
      <c r="AV24" s="3190"/>
      <c r="AW24" s="3191"/>
      <c r="AX24" s="240" t="s">
        <v>313</v>
      </c>
      <c r="AY24" s="2044" t="s">
        <v>288</v>
      </c>
      <c r="AZ24" s="3189">
        <v>51</v>
      </c>
      <c r="BA24" s="3190"/>
      <c r="BB24" s="3191"/>
      <c r="BC24" s="240" t="s">
        <v>313</v>
      </c>
      <c r="BD24" s="2044" t="s">
        <v>288</v>
      </c>
      <c r="BE24" s="3189">
        <v>52</v>
      </c>
      <c r="BF24" s="3190"/>
      <c r="BG24" s="3191"/>
      <c r="BH24" s="240" t="s">
        <v>313</v>
      </c>
      <c r="BI24" s="2044" t="s">
        <v>288</v>
      </c>
      <c r="BJ24" s="3189">
        <v>53</v>
      </c>
      <c r="BK24" s="3190"/>
      <c r="BL24" s="3191"/>
      <c r="BM24" s="240" t="s">
        <v>313</v>
      </c>
      <c r="BN24" s="2044" t="s">
        <v>288</v>
      </c>
      <c r="BO24" s="3189">
        <v>54</v>
      </c>
      <c r="BP24" s="3190"/>
      <c r="BQ24" s="3191"/>
      <c r="BR24" s="240" t="s">
        <v>313</v>
      </c>
    </row>
    <row r="25" spans="1:83" ht="27" customHeight="1" x14ac:dyDescent="0.25">
      <c r="A25" s="2044"/>
      <c r="B25" s="122">
        <v>4.9779999999999998</v>
      </c>
      <c r="C25" s="123" t="s">
        <v>113</v>
      </c>
      <c r="D25" s="124">
        <v>1</v>
      </c>
      <c r="E25" s="226" t="s">
        <v>114</v>
      </c>
      <c r="F25" s="2044"/>
      <c r="G25" s="122">
        <v>6.2229999999999999</v>
      </c>
      <c r="H25" s="123" t="s">
        <v>113</v>
      </c>
      <c r="I25" s="124"/>
      <c r="J25" s="226" t="s">
        <v>114</v>
      </c>
      <c r="K25" s="2044"/>
      <c r="L25" s="122">
        <v>0.58399999999999996</v>
      </c>
      <c r="M25" s="123" t="s">
        <v>113</v>
      </c>
      <c r="N25" s="124">
        <v>1</v>
      </c>
      <c r="O25" s="226" t="s">
        <v>114</v>
      </c>
      <c r="P25" s="2044"/>
      <c r="Q25" s="122">
        <v>1.0660000000000001</v>
      </c>
      <c r="R25" s="123" t="s">
        <v>113</v>
      </c>
      <c r="S25" s="124"/>
      <c r="T25" s="226" t="s">
        <v>114</v>
      </c>
      <c r="U25" s="2044"/>
      <c r="V25" s="122">
        <v>1.651</v>
      </c>
      <c r="W25" s="123" t="s">
        <v>113</v>
      </c>
      <c r="X25" s="124">
        <v>1</v>
      </c>
      <c r="Y25" s="226" t="s">
        <v>114</v>
      </c>
      <c r="Z25" s="2044"/>
      <c r="AA25" s="122">
        <v>1E-4</v>
      </c>
      <c r="AB25" s="123" t="s">
        <v>113</v>
      </c>
      <c r="AC25" s="124"/>
      <c r="AD25" s="226" t="s">
        <v>114</v>
      </c>
      <c r="AE25" s="2044"/>
      <c r="AF25" s="122">
        <v>1.143</v>
      </c>
      <c r="AG25" s="123" t="s">
        <v>113</v>
      </c>
      <c r="AH25" s="124">
        <v>1</v>
      </c>
      <c r="AI25" s="226" t="s">
        <v>114</v>
      </c>
      <c r="AJ25" s="2044"/>
      <c r="AK25" s="122">
        <v>1E-4</v>
      </c>
      <c r="AL25" s="123" t="s">
        <v>113</v>
      </c>
      <c r="AM25" s="124"/>
      <c r="AN25" s="226" t="s">
        <v>114</v>
      </c>
      <c r="AO25" s="2044"/>
      <c r="AP25" s="122">
        <v>1.397</v>
      </c>
      <c r="AQ25" s="123" t="s">
        <v>113</v>
      </c>
      <c r="AR25" s="124">
        <v>1</v>
      </c>
      <c r="AS25" s="226" t="s">
        <v>114</v>
      </c>
      <c r="AT25" s="2044"/>
      <c r="AU25" s="122">
        <v>0.30399999999999999</v>
      </c>
      <c r="AV25" s="123" t="s">
        <v>113</v>
      </c>
      <c r="AW25" s="124"/>
      <c r="AX25" s="226" t="s">
        <v>114</v>
      </c>
      <c r="AY25" s="2044"/>
      <c r="AZ25" s="122">
        <v>3.9870000000000001</v>
      </c>
      <c r="BA25" s="123" t="s">
        <v>113</v>
      </c>
      <c r="BB25" s="124">
        <v>1</v>
      </c>
      <c r="BC25" s="226" t="s">
        <v>114</v>
      </c>
      <c r="BD25" s="2044"/>
      <c r="BE25" s="122">
        <v>0.30399999999999999</v>
      </c>
      <c r="BF25" s="123" t="s">
        <v>113</v>
      </c>
      <c r="BG25" s="124"/>
      <c r="BH25" s="226" t="s">
        <v>114</v>
      </c>
      <c r="BI25" s="2044"/>
      <c r="BJ25" s="122">
        <v>1.2949999999999999</v>
      </c>
      <c r="BK25" s="123" t="s">
        <v>113</v>
      </c>
      <c r="BL25" s="124">
        <v>1</v>
      </c>
      <c r="BM25" s="226" t="s">
        <v>114</v>
      </c>
      <c r="BN25" s="2044"/>
      <c r="BO25" s="122">
        <v>0.60899999999999999</v>
      </c>
      <c r="BP25" s="123" t="s">
        <v>113</v>
      </c>
      <c r="BQ25" s="124"/>
      <c r="BR25" s="226" t="s">
        <v>114</v>
      </c>
      <c r="BW25" s="27"/>
      <c r="BX25" s="27"/>
      <c r="BY25" s="27"/>
      <c r="BZ25" s="27"/>
      <c r="CA25" s="27"/>
      <c r="CB25" s="27"/>
      <c r="CC25" s="27"/>
      <c r="CD25" s="27"/>
      <c r="CE25" s="27"/>
    </row>
    <row r="26" spans="1:83" ht="27.95" customHeight="1" x14ac:dyDescent="0.25">
      <c r="A26" s="2041" t="s">
        <v>110</v>
      </c>
      <c r="B26" s="2041"/>
      <c r="C26" s="2042">
        <f>B31/((60*3.1415/59)*(72.5/3.281))</f>
        <v>6.5841245908957027E-2</v>
      </c>
      <c r="D26" s="2042"/>
      <c r="E26" s="2042"/>
      <c r="F26" s="33"/>
      <c r="G26" s="32"/>
      <c r="H26" s="33"/>
      <c r="I26" s="32"/>
      <c r="J26" s="33"/>
      <c r="K26" s="32"/>
      <c r="L26" s="33"/>
      <c r="M26" s="32"/>
      <c r="N26" s="33"/>
      <c r="O26" s="32"/>
      <c r="P26" s="32"/>
      <c r="Q26" s="33"/>
      <c r="R26" s="32"/>
      <c r="S26" s="33"/>
      <c r="T26" s="32"/>
      <c r="U26" s="33"/>
      <c r="V26" s="32"/>
      <c r="W26" s="33"/>
      <c r="X26" s="32"/>
      <c r="Y26" s="33"/>
      <c r="Z26" s="32"/>
      <c r="AA26" s="33"/>
      <c r="AB26" s="32"/>
      <c r="AC26" s="33"/>
      <c r="AD26" s="32"/>
      <c r="AE26" s="33"/>
      <c r="AF26" s="32"/>
      <c r="AG26" s="33"/>
      <c r="AH26" s="32"/>
      <c r="AI26" s="33"/>
      <c r="AJ26" s="32"/>
      <c r="AK26" s="33"/>
      <c r="AL26" s="32"/>
      <c r="AM26" s="33"/>
      <c r="AN26" s="32"/>
      <c r="AO26" s="33"/>
      <c r="AP26" s="32"/>
      <c r="AQ26" s="33"/>
      <c r="AR26" s="32"/>
      <c r="AS26" s="33"/>
      <c r="AT26" s="32"/>
      <c r="AU26" s="33"/>
      <c r="AV26" s="32"/>
      <c r="AW26" s="33"/>
      <c r="AX26" s="32"/>
      <c r="AY26" s="33"/>
      <c r="AZ26" s="32"/>
      <c r="BA26" s="33"/>
      <c r="BB26" s="32"/>
      <c r="BC26" s="33"/>
      <c r="BD26" s="32"/>
      <c r="BE26" s="33"/>
      <c r="BF26" s="32"/>
      <c r="BG26" s="33"/>
      <c r="BH26" s="32"/>
      <c r="BI26" s="33"/>
      <c r="BJ26" s="32"/>
      <c r="BK26" s="33"/>
      <c r="BL26" s="32"/>
      <c r="BM26" s="33"/>
      <c r="BN26" s="32"/>
      <c r="BO26" s="33"/>
      <c r="BP26" s="32"/>
      <c r="BQ26" s="33"/>
      <c r="BR26" s="32"/>
    </row>
    <row r="27" spans="1:83" ht="21.75" customHeight="1" x14ac:dyDescent="0.25">
      <c r="A27" s="2041"/>
      <c r="B27" s="2041"/>
      <c r="C27" s="2042"/>
      <c r="D27" s="2042"/>
      <c r="E27" s="2042"/>
      <c r="F27" s="33"/>
      <c r="G27" s="32"/>
      <c r="H27" s="33"/>
      <c r="I27" s="32"/>
      <c r="J27" s="33"/>
      <c r="K27" s="32"/>
      <c r="L27" s="33"/>
      <c r="M27" s="32"/>
      <c r="N27" s="33"/>
      <c r="O27" s="32"/>
      <c r="P27" s="32"/>
      <c r="Q27" s="33"/>
      <c r="R27" s="32"/>
      <c r="S27" s="33"/>
      <c r="T27" s="32"/>
      <c r="U27" s="33"/>
      <c r="V27" s="32"/>
      <c r="W27" s="33"/>
      <c r="X27" s="32"/>
      <c r="Y27" s="33"/>
      <c r="Z27" s="32"/>
      <c r="AA27" s="33"/>
      <c r="AB27" s="32"/>
      <c r="AC27" s="33"/>
      <c r="AD27" s="32"/>
      <c r="AE27" s="33"/>
      <c r="AF27" s="32"/>
      <c r="AG27" s="33"/>
      <c r="AH27" s="32"/>
      <c r="AI27" s="33"/>
      <c r="AJ27" s="32"/>
      <c r="AK27" s="33"/>
      <c r="AL27" s="32"/>
      <c r="AM27" s="33"/>
      <c r="AN27" s="32"/>
      <c r="AO27" s="33"/>
      <c r="AP27" s="32"/>
      <c r="AQ27" s="33"/>
      <c r="AR27" s="32"/>
      <c r="AS27" s="33"/>
      <c r="AT27" s="32"/>
      <c r="AU27" s="33"/>
      <c r="AV27" s="32"/>
      <c r="AW27" s="33"/>
      <c r="AX27" s="32"/>
      <c r="AY27" s="33"/>
      <c r="AZ27" s="32"/>
      <c r="BA27" s="33"/>
      <c r="BB27" s="32"/>
      <c r="BC27" s="33"/>
      <c r="BD27" s="32"/>
      <c r="BE27" s="33"/>
      <c r="BF27" s="32"/>
      <c r="BG27" s="33"/>
      <c r="BH27" s="32"/>
      <c r="BI27" s="33"/>
      <c r="BJ27" s="32"/>
      <c r="BK27" s="33"/>
      <c r="BL27" s="32"/>
      <c r="BM27" s="33"/>
      <c r="BN27" s="32"/>
      <c r="BO27" s="33"/>
      <c r="BP27" s="32"/>
      <c r="BQ27" s="33"/>
      <c r="BR27" s="32"/>
    </row>
    <row r="28" spans="1:83" ht="21.95" customHeight="1" x14ac:dyDescent="0.25">
      <c r="A28" s="3192" t="s">
        <v>111</v>
      </c>
      <c r="B28" s="3193"/>
      <c r="C28" s="3192" t="s">
        <v>25</v>
      </c>
      <c r="D28" s="3196"/>
      <c r="E28" s="3193"/>
      <c r="F28" s="33"/>
      <c r="G28" s="32"/>
      <c r="H28" s="33"/>
      <c r="I28" s="32"/>
      <c r="J28" s="33"/>
      <c r="K28" s="32"/>
      <c r="L28" s="33"/>
      <c r="M28" s="32"/>
      <c r="N28" s="33"/>
      <c r="O28" s="32"/>
      <c r="P28" s="32"/>
      <c r="Q28" s="33"/>
      <c r="R28" s="32"/>
      <c r="S28" s="33"/>
      <c r="T28" s="32"/>
      <c r="U28" s="33"/>
      <c r="V28" s="32"/>
      <c r="W28" s="33"/>
      <c r="X28" s="32"/>
      <c r="Y28" s="33"/>
      <c r="Z28" s="32"/>
      <c r="AA28" s="33"/>
      <c r="AB28" s="32"/>
      <c r="AC28" s="33"/>
      <c r="AD28" s="32"/>
      <c r="AE28" s="33"/>
      <c r="AF28" s="32"/>
      <c r="AG28" s="33"/>
      <c r="AH28" s="32"/>
      <c r="AI28" s="33"/>
      <c r="AJ28" s="32"/>
      <c r="AK28" s="33"/>
      <c r="AL28" s="32"/>
      <c r="AM28" s="33"/>
      <c r="AN28" s="32"/>
      <c r="AO28" s="33"/>
      <c r="AP28" s="32"/>
      <c r="AQ28" s="33"/>
      <c r="AR28" s="32"/>
      <c r="AS28" s="33"/>
      <c r="AT28" s="32"/>
      <c r="AU28" s="33"/>
      <c r="AV28" s="32"/>
      <c r="AW28" s="33"/>
      <c r="AX28" s="32"/>
      <c r="AY28" s="33"/>
      <c r="AZ28" s="32"/>
      <c r="BA28" s="33"/>
      <c r="BB28" s="32"/>
      <c r="BC28" s="33"/>
      <c r="BD28" s="32"/>
      <c r="BE28" s="33"/>
      <c r="BF28" s="32"/>
      <c r="BG28" s="33"/>
      <c r="BH28" s="32"/>
      <c r="BI28" s="33"/>
      <c r="BJ28" s="32"/>
      <c r="BK28" s="33"/>
      <c r="BL28" s="32"/>
      <c r="BM28" s="33"/>
      <c r="BN28" s="32"/>
      <c r="BO28" s="33"/>
      <c r="BP28" s="32"/>
      <c r="BQ28" s="33"/>
      <c r="BR28" s="32"/>
    </row>
    <row r="29" spans="1:83" ht="6" customHeight="1" x14ac:dyDescent="0.25">
      <c r="A29" s="3194"/>
      <c r="B29" s="3195"/>
      <c r="C29" s="3194"/>
      <c r="D29" s="3197"/>
      <c r="E29" s="3195"/>
      <c r="F29" s="33"/>
      <c r="G29" s="32"/>
      <c r="H29" s="33"/>
      <c r="I29" s="32"/>
      <c r="J29" s="33"/>
      <c r="K29" s="32"/>
      <c r="L29" s="33"/>
      <c r="M29" s="32"/>
      <c r="N29" s="33"/>
      <c r="O29" s="32"/>
      <c r="P29" s="32"/>
      <c r="Q29" s="33"/>
      <c r="R29" s="32"/>
      <c r="S29" s="33"/>
      <c r="T29" s="32"/>
      <c r="U29" s="33"/>
      <c r="V29" s="32"/>
      <c r="W29" s="33"/>
      <c r="X29" s="32"/>
      <c r="Y29" s="33"/>
      <c r="AA29" s="33"/>
      <c r="AB29" s="32"/>
      <c r="AC29" s="33"/>
      <c r="AD29" s="32"/>
      <c r="AE29" s="33"/>
      <c r="AF29" s="32"/>
      <c r="AG29" s="33"/>
      <c r="AH29" s="32"/>
      <c r="AI29" s="33"/>
      <c r="AJ29" s="32"/>
      <c r="AK29" s="33"/>
      <c r="AL29" s="32"/>
      <c r="AM29" s="33"/>
      <c r="AN29" s="32"/>
      <c r="AO29" s="33"/>
      <c r="AP29" s="32"/>
      <c r="AQ29" s="33"/>
      <c r="AR29" s="32"/>
      <c r="AS29" s="33"/>
      <c r="AT29" s="32"/>
      <c r="AU29" s="33"/>
      <c r="AV29" s="32"/>
      <c r="AW29" s="33"/>
      <c r="AX29" s="32"/>
      <c r="AY29" s="33"/>
      <c r="AZ29" s="32"/>
      <c r="BA29" s="33"/>
      <c r="BB29" s="32"/>
      <c r="BC29" s="33"/>
      <c r="BD29" s="32"/>
      <c r="BE29" s="33"/>
      <c r="BF29" s="32"/>
      <c r="BG29" s="33"/>
      <c r="BH29" s="32"/>
      <c r="BI29" s="33"/>
      <c r="BJ29" s="32"/>
      <c r="BK29" s="33"/>
      <c r="BL29" s="32"/>
      <c r="BM29" s="33"/>
      <c r="BN29" s="32"/>
      <c r="BO29" s="33"/>
      <c r="BP29" s="32"/>
      <c r="BQ29" s="33"/>
      <c r="BR29" s="32"/>
    </row>
    <row r="30" spans="1:83" s="22" customFormat="1" ht="75.75" customHeight="1" x14ac:dyDescent="1.35">
      <c r="A30" s="2044" t="s">
        <v>288</v>
      </c>
      <c r="B30" s="3189">
        <v>55</v>
      </c>
      <c r="C30" s="3190"/>
      <c r="D30" s="3191"/>
      <c r="E30" s="240" t="s">
        <v>313</v>
      </c>
      <c r="F30" s="33"/>
      <c r="G30" s="32"/>
      <c r="H30" s="33"/>
      <c r="I30" s="32"/>
      <c r="J30" s="33"/>
      <c r="K30" s="32"/>
      <c r="L30" s="33"/>
      <c r="M30" s="32"/>
      <c r="N30" s="33"/>
      <c r="O30" s="32"/>
      <c r="P30" s="32"/>
      <c r="Q30" s="33"/>
      <c r="R30" s="32"/>
      <c r="S30" s="33"/>
      <c r="T30" s="32"/>
      <c r="U30" s="33"/>
      <c r="V30" s="32"/>
      <c r="W30" s="33"/>
      <c r="X30" s="32"/>
      <c r="Y30" s="33"/>
      <c r="Z30" s="32"/>
      <c r="AA30" s="33"/>
      <c r="AB30" s="32"/>
      <c r="AC30" s="33"/>
      <c r="AD30" s="32"/>
      <c r="AE30" s="33"/>
      <c r="AF30" s="32"/>
      <c r="AG30" s="33"/>
      <c r="AH30" s="32"/>
      <c r="AI30" s="33"/>
      <c r="AJ30" s="32"/>
      <c r="AK30" s="33"/>
      <c r="AL30" s="32"/>
      <c r="AM30" s="33"/>
      <c r="AN30" s="32"/>
      <c r="AO30" s="33"/>
      <c r="AP30" s="32"/>
      <c r="AQ30" s="33"/>
      <c r="AR30" s="32"/>
      <c r="AS30" s="33"/>
      <c r="AT30" s="32"/>
      <c r="AU30" s="33"/>
      <c r="AV30" s="32"/>
      <c r="AW30" s="33"/>
      <c r="AX30" s="32"/>
      <c r="AY30" s="33"/>
      <c r="AZ30" s="32"/>
      <c r="BA30" s="33"/>
      <c r="BB30" s="32"/>
      <c r="BC30" s="33"/>
      <c r="BD30" s="32"/>
      <c r="BE30" s="33"/>
      <c r="BF30" s="32"/>
      <c r="BG30" s="33"/>
      <c r="BI30" s="32"/>
      <c r="BJ30" s="32"/>
      <c r="BK30" s="33"/>
      <c r="BL30" s="32"/>
      <c r="BM30" s="33"/>
      <c r="BN30" s="32"/>
      <c r="BO30" s="33"/>
      <c r="BP30" s="32"/>
      <c r="BQ30" s="33"/>
      <c r="BR30" s="32"/>
    </row>
    <row r="31" spans="1:83" ht="31.5" customHeight="1" x14ac:dyDescent="0.25">
      <c r="A31" s="2044"/>
      <c r="B31" s="122">
        <v>4.6479999999999997</v>
      </c>
      <c r="C31" s="123" t="s">
        <v>113</v>
      </c>
      <c r="D31" s="124">
        <v>1</v>
      </c>
      <c r="E31" s="226" t="s">
        <v>114</v>
      </c>
      <c r="F31" s="33"/>
      <c r="G31" s="32"/>
      <c r="H31" s="33"/>
      <c r="I31" s="32"/>
      <c r="J31" s="33"/>
      <c r="K31" s="32"/>
      <c r="L31" s="33"/>
      <c r="M31" s="32"/>
      <c r="N31" s="33"/>
      <c r="O31" s="32"/>
      <c r="P31" s="32"/>
      <c r="Q31" s="33"/>
      <c r="R31" s="32"/>
      <c r="S31" s="33"/>
      <c r="T31" s="32"/>
      <c r="U31" s="33"/>
      <c r="V31" s="32"/>
      <c r="W31" s="33"/>
      <c r="X31" s="32"/>
      <c r="Y31" s="33"/>
      <c r="Z31" s="32"/>
      <c r="AA31" s="33"/>
      <c r="AB31" s="32"/>
      <c r="AC31" s="33"/>
      <c r="AD31" s="32"/>
      <c r="AE31" s="33"/>
      <c r="AF31" s="32"/>
      <c r="AG31" s="33"/>
      <c r="AH31" s="32"/>
      <c r="AI31" s="33"/>
      <c r="AJ31" s="32"/>
      <c r="AK31" s="33"/>
      <c r="AL31" s="32"/>
      <c r="AM31" s="33"/>
      <c r="AN31" s="32"/>
      <c r="AO31" s="33"/>
      <c r="AP31" s="32"/>
      <c r="AQ31" s="33"/>
      <c r="AR31" s="32"/>
      <c r="AS31" s="33"/>
      <c r="AT31" s="32"/>
      <c r="AU31" s="33"/>
      <c r="AV31" s="32"/>
      <c r="AW31" s="33"/>
      <c r="AX31" s="32"/>
      <c r="AY31" s="33"/>
      <c r="AZ31" s="32"/>
      <c r="BA31" s="33"/>
      <c r="BB31" s="32"/>
      <c r="BC31" s="33"/>
      <c r="BD31" s="32"/>
      <c r="BE31" s="33"/>
      <c r="BF31" s="32"/>
      <c r="BG31" s="33"/>
      <c r="BH31" s="32"/>
      <c r="BI31" s="33"/>
      <c r="BJ31" s="32"/>
      <c r="BK31" s="33"/>
      <c r="BL31" s="32"/>
      <c r="BM31" s="33"/>
      <c r="BN31" s="32"/>
      <c r="BO31" s="33"/>
      <c r="BP31" s="32"/>
      <c r="BQ31" s="33"/>
      <c r="BR31" s="32"/>
      <c r="BW31" s="27"/>
      <c r="BX31" s="27"/>
      <c r="BY31" s="27"/>
      <c r="BZ31" s="27"/>
      <c r="CA31" s="27"/>
      <c r="CB31" s="27"/>
      <c r="CC31" s="27"/>
      <c r="CD31" s="27"/>
      <c r="CE31" s="27"/>
    </row>
    <row r="32" spans="1:83" ht="21" customHeight="1" x14ac:dyDescent="0.25">
      <c r="A32" s="30"/>
      <c r="B32" s="29"/>
      <c r="C32" s="28"/>
      <c r="D32" s="28"/>
      <c r="E32" s="28"/>
      <c r="F32" s="30"/>
      <c r="G32" s="29"/>
      <c r="H32" s="28"/>
      <c r="I32" s="28"/>
      <c r="J32" s="28"/>
      <c r="K32" s="30"/>
      <c r="L32" s="29"/>
      <c r="M32" s="28"/>
      <c r="N32" s="28"/>
      <c r="O32" s="28"/>
      <c r="P32" s="30"/>
      <c r="Q32" s="29"/>
      <c r="R32" s="28"/>
      <c r="S32" s="28"/>
      <c r="T32" s="28"/>
      <c r="U32" s="36"/>
      <c r="V32" s="29"/>
      <c r="W32" s="29"/>
      <c r="X32" s="36"/>
      <c r="Y32" s="36"/>
      <c r="Z32" s="36"/>
      <c r="AA32" s="29"/>
      <c r="AB32" s="29"/>
      <c r="AC32" s="36"/>
      <c r="AD32" s="36"/>
      <c r="AE32" s="36"/>
      <c r="AF32" s="29"/>
      <c r="AG32" s="29"/>
      <c r="AH32" s="36"/>
      <c r="AI32" s="36"/>
      <c r="AJ32" s="36"/>
      <c r="AK32" s="29"/>
      <c r="AL32" s="29"/>
      <c r="AM32" s="36"/>
      <c r="AN32" s="36"/>
      <c r="AO32" s="36"/>
      <c r="AP32" s="29"/>
      <c r="AQ32" s="29"/>
      <c r="AR32" s="36"/>
      <c r="AS32" s="36"/>
      <c r="AT32" s="36"/>
      <c r="AU32" s="29"/>
      <c r="AV32" s="29"/>
      <c r="AW32" s="36"/>
      <c r="AX32" s="36"/>
      <c r="AY32" s="36"/>
      <c r="AZ32" s="29"/>
      <c r="BA32" s="29"/>
      <c r="BB32" s="36"/>
      <c r="BC32" s="36"/>
      <c r="BD32" s="36"/>
      <c r="BE32" s="36"/>
      <c r="BF32" s="29"/>
      <c r="BG32" s="29"/>
      <c r="BH32" s="36"/>
      <c r="BI32" s="36"/>
      <c r="BJ32" s="36"/>
      <c r="BK32" s="29"/>
      <c r="BL32" s="29"/>
      <c r="BM32" s="36"/>
      <c r="BN32" s="36"/>
      <c r="BO32" s="36"/>
      <c r="BP32" s="29"/>
      <c r="BQ32" s="29"/>
      <c r="BR32" s="36"/>
    </row>
    <row r="33" spans="1:83" ht="21" customHeight="1" x14ac:dyDescent="0.25">
      <c r="A33" s="29"/>
      <c r="B33" s="29"/>
      <c r="C33" s="28"/>
      <c r="D33" s="28"/>
      <c r="E33" s="28"/>
      <c r="F33" s="29"/>
      <c r="G33" s="29"/>
      <c r="H33" s="28"/>
      <c r="I33" s="28"/>
      <c r="J33" s="28"/>
      <c r="K33" s="29"/>
      <c r="L33" s="29"/>
      <c r="M33" s="28"/>
      <c r="N33" s="28"/>
      <c r="O33" s="28"/>
      <c r="P33" s="29"/>
      <c r="Q33" s="29"/>
      <c r="R33" s="28"/>
      <c r="S33" s="28"/>
      <c r="T33" s="28"/>
      <c r="U33" s="28"/>
      <c r="V33" s="29"/>
      <c r="W33" s="29"/>
      <c r="X33" s="28"/>
      <c r="Y33" s="28"/>
      <c r="Z33" s="28"/>
      <c r="AA33" s="29"/>
      <c r="AB33" s="29"/>
      <c r="AC33" s="28"/>
      <c r="AD33" s="28"/>
      <c r="AE33" s="28"/>
      <c r="AF33" s="29"/>
      <c r="AG33" s="29"/>
      <c r="AH33" s="28"/>
      <c r="AI33" s="28"/>
      <c r="AJ33" s="28"/>
      <c r="AK33" s="29"/>
      <c r="AL33" s="29"/>
      <c r="AM33" s="28"/>
      <c r="AN33" s="28"/>
      <c r="AO33" s="28"/>
      <c r="AP33" s="29"/>
      <c r="AQ33" s="29"/>
      <c r="AR33" s="28"/>
      <c r="AS33" s="28"/>
      <c r="AT33" s="28"/>
      <c r="AU33" s="29"/>
      <c r="AV33" s="29"/>
      <c r="AW33" s="28"/>
      <c r="AX33" s="28"/>
      <c r="AY33" s="28"/>
      <c r="AZ33" s="29"/>
      <c r="BA33" s="29"/>
      <c r="BB33" s="28"/>
      <c r="BC33" s="28"/>
      <c r="BD33" s="28"/>
      <c r="BE33" s="28"/>
      <c r="BF33" s="29"/>
      <c r="BG33" s="29"/>
      <c r="BH33" s="28"/>
      <c r="BI33" s="28"/>
      <c r="BJ33" s="28"/>
      <c r="BK33" s="29"/>
      <c r="BL33" s="29"/>
      <c r="BM33" s="28"/>
      <c r="BN33" s="28"/>
      <c r="BO33" s="28"/>
      <c r="BP33" s="29"/>
      <c r="BQ33" s="29"/>
      <c r="BR33" s="28"/>
    </row>
    <row r="34" spans="1:83" ht="18" customHeight="1" x14ac:dyDescent="0.25">
      <c r="A34" s="121"/>
      <c r="B34" s="121"/>
      <c r="C34" s="31"/>
      <c r="D34" s="121"/>
      <c r="E34" s="121"/>
      <c r="F34" s="121"/>
      <c r="G34" s="121"/>
      <c r="H34" s="31"/>
      <c r="I34" s="121"/>
      <c r="J34" s="121"/>
      <c r="K34" s="121"/>
      <c r="L34" s="121"/>
      <c r="M34" s="31"/>
      <c r="N34" s="121"/>
      <c r="O34" s="121"/>
      <c r="P34" s="121"/>
      <c r="Q34" s="121"/>
      <c r="R34" s="31"/>
      <c r="S34" s="121"/>
      <c r="T34" s="121"/>
      <c r="U34" s="28"/>
      <c r="V34" s="30"/>
      <c r="W34" s="29"/>
      <c r="X34" s="28"/>
      <c r="Y34" s="28"/>
      <c r="Z34" s="28"/>
      <c r="AA34" s="30"/>
      <c r="AB34" s="29"/>
      <c r="AC34" s="28"/>
      <c r="AD34" s="28"/>
      <c r="AE34" s="28"/>
      <c r="AF34" s="30"/>
      <c r="AG34" s="29"/>
      <c r="AH34" s="28"/>
      <c r="AI34" s="28"/>
      <c r="AJ34" s="28"/>
      <c r="AK34" s="30"/>
      <c r="AL34" s="29"/>
      <c r="AM34" s="28"/>
      <c r="AN34" s="28"/>
      <c r="AO34" s="28"/>
      <c r="AP34" s="30"/>
      <c r="AQ34" s="29"/>
      <c r="AR34" s="28"/>
      <c r="AS34" s="28"/>
      <c r="AT34" s="28"/>
      <c r="AU34" s="30"/>
      <c r="AV34" s="29"/>
      <c r="AW34" s="28"/>
      <c r="AX34" s="28"/>
      <c r="AY34" s="28"/>
      <c r="AZ34" s="30"/>
      <c r="BA34" s="29"/>
      <c r="BB34" s="28"/>
      <c r="BC34" s="28"/>
      <c r="BD34" s="28"/>
      <c r="BE34" s="28"/>
      <c r="BF34" s="30"/>
      <c r="BG34" s="29"/>
      <c r="BH34" s="28"/>
      <c r="BI34" s="28"/>
      <c r="BJ34" s="28"/>
      <c r="BK34" s="30"/>
      <c r="BL34" s="29"/>
      <c r="BM34" s="28"/>
      <c r="BN34" s="28"/>
      <c r="BO34" s="28"/>
      <c r="BP34" s="30"/>
      <c r="BQ34" s="29"/>
      <c r="BR34" s="28"/>
    </row>
    <row r="35" spans="1:83" ht="6" customHeight="1" x14ac:dyDescent="0.25">
      <c r="A35" s="35"/>
      <c r="B35" s="31"/>
      <c r="C35" s="32"/>
      <c r="D35" s="33"/>
      <c r="E35" s="34"/>
      <c r="F35" s="35"/>
      <c r="G35" s="31"/>
      <c r="H35" s="32"/>
      <c r="I35" s="33"/>
      <c r="J35" s="34"/>
      <c r="K35" s="35"/>
      <c r="L35" s="31"/>
      <c r="M35" s="32"/>
      <c r="N35" s="33"/>
      <c r="O35" s="34"/>
      <c r="P35" s="35"/>
      <c r="Q35" s="31"/>
      <c r="R35" s="32"/>
      <c r="S35" s="33"/>
      <c r="T35" s="34"/>
      <c r="U35" s="28"/>
      <c r="V35" s="697" t="s">
        <v>116</v>
      </c>
      <c r="W35" s="697"/>
      <c r="X35" s="697"/>
      <c r="Y35" s="697"/>
      <c r="Z35" s="697"/>
      <c r="AA35" s="697"/>
      <c r="AB35" s="697"/>
      <c r="AC35" s="697"/>
      <c r="AD35" s="697"/>
      <c r="AE35" s="697"/>
      <c r="AF35" s="697"/>
      <c r="AG35" s="697"/>
      <c r="AH35" s="697" t="s">
        <v>117</v>
      </c>
      <c r="AI35" s="697"/>
      <c r="AJ35" s="697"/>
      <c r="AK35" s="697"/>
      <c r="AL35" s="697"/>
      <c r="AM35" s="697"/>
      <c r="AN35" s="697"/>
      <c r="AO35" s="697"/>
      <c r="AP35" s="697"/>
      <c r="AQ35" s="697"/>
      <c r="AR35" s="697"/>
      <c r="AS35" s="698" t="s">
        <v>118</v>
      </c>
      <c r="AT35" s="698"/>
      <c r="AU35" s="698"/>
      <c r="AV35" s="698"/>
      <c r="AW35" s="698"/>
      <c r="AX35" s="698"/>
      <c r="AY35" s="698"/>
      <c r="AZ35" s="698"/>
      <c r="BA35" s="698"/>
      <c r="BB35" s="698"/>
      <c r="BC35" s="698"/>
      <c r="BD35" s="698"/>
      <c r="BE35" s="699" t="s">
        <v>119</v>
      </c>
      <c r="BF35" s="699"/>
      <c r="BG35" s="699"/>
      <c r="BH35" s="699"/>
      <c r="BI35" s="699"/>
      <c r="BJ35" s="1802">
        <f>D7+I7+N7+S7+X7+AC7+AH7+AM7+AR7+AW7+BB7+BG7+BL7+BQ7+D13+I13+N13+S13+X13+AC13+AH13+AM13+AR13+AW13+BB13+BG13+BL13+BQ13+D19+I19+N19+S19+X19+AC19+AH19+AM19+AR19+AW19+BB19+BG19+BL19+BQ19+D25+I25+N25+S25+X25+AC25+AH25+AM25+AR25+AW25+BB25+BG25+BL25+BQ25+D31</f>
        <v>29</v>
      </c>
      <c r="BK35" s="1802"/>
      <c r="BL35" s="1802"/>
      <c r="BM35" s="1802"/>
      <c r="BN35" s="701" t="s">
        <v>120</v>
      </c>
      <c r="BO35" s="701"/>
      <c r="BP35" s="701"/>
      <c r="BQ35" s="29"/>
      <c r="BR35" s="28"/>
    </row>
    <row r="36" spans="1:83" s="22" customFormat="1" ht="30.75" customHeight="1" x14ac:dyDescent="1.35">
      <c r="A36" s="35"/>
      <c r="B36" s="31"/>
      <c r="C36" s="32"/>
      <c r="D36" s="33"/>
      <c r="E36" s="34"/>
      <c r="F36" s="35"/>
      <c r="G36" s="31"/>
      <c r="H36" s="32"/>
      <c r="I36" s="33"/>
      <c r="J36" s="34"/>
      <c r="K36" s="35"/>
      <c r="L36" s="31"/>
      <c r="M36" s="32"/>
      <c r="N36" s="33"/>
      <c r="O36" s="34"/>
      <c r="P36" s="35"/>
      <c r="Q36" s="31"/>
      <c r="R36" s="32"/>
      <c r="S36" s="33"/>
      <c r="T36" s="34"/>
      <c r="U36" s="121"/>
      <c r="V36" s="697"/>
      <c r="W36" s="697"/>
      <c r="X36" s="697"/>
      <c r="Y36" s="697"/>
      <c r="Z36" s="697"/>
      <c r="AA36" s="697"/>
      <c r="AB36" s="697"/>
      <c r="AC36" s="697"/>
      <c r="AD36" s="697"/>
      <c r="AE36" s="697"/>
      <c r="AF36" s="697"/>
      <c r="AG36" s="697"/>
      <c r="AH36" s="697"/>
      <c r="AI36" s="697"/>
      <c r="AJ36" s="697"/>
      <c r="AK36" s="697"/>
      <c r="AL36" s="697"/>
      <c r="AM36" s="697"/>
      <c r="AN36" s="697"/>
      <c r="AO36" s="697"/>
      <c r="AP36" s="697"/>
      <c r="AQ36" s="697"/>
      <c r="AR36" s="697"/>
      <c r="AS36" s="698"/>
      <c r="AT36" s="698"/>
      <c r="AU36" s="698"/>
      <c r="AV36" s="698"/>
      <c r="AW36" s="698"/>
      <c r="AX36" s="698"/>
      <c r="AY36" s="698"/>
      <c r="AZ36" s="698"/>
      <c r="BA36" s="698"/>
      <c r="BB36" s="698"/>
      <c r="BC36" s="698"/>
      <c r="BD36" s="698"/>
      <c r="BE36" s="699"/>
      <c r="BF36" s="699"/>
      <c r="BG36" s="699"/>
      <c r="BH36" s="699"/>
      <c r="BI36" s="699"/>
      <c r="BJ36" s="1802"/>
      <c r="BK36" s="1802"/>
      <c r="BL36" s="1802"/>
      <c r="BM36" s="1802"/>
      <c r="BN36" s="701"/>
      <c r="BO36" s="701"/>
      <c r="BP36" s="701"/>
      <c r="BQ36" s="121"/>
      <c r="BR36" s="31"/>
    </row>
    <row r="37" spans="1:83" ht="26.25" customHeight="1" x14ac:dyDescent="0.25">
      <c r="A37" s="34"/>
      <c r="B37" s="35"/>
      <c r="C37" s="31"/>
      <c r="D37" s="32"/>
      <c r="E37" s="33"/>
      <c r="F37" s="34"/>
      <c r="G37" s="34"/>
      <c r="H37" s="35"/>
      <c r="I37" s="31"/>
      <c r="J37" s="32"/>
      <c r="K37" s="33"/>
      <c r="L37" s="34"/>
      <c r="M37" s="34"/>
      <c r="N37" s="35"/>
      <c r="O37" s="31"/>
      <c r="P37" s="32"/>
      <c r="Q37" s="33"/>
      <c r="R37" s="34"/>
      <c r="S37" s="34"/>
      <c r="T37" s="35"/>
      <c r="U37" s="31"/>
      <c r="V37" s="697"/>
      <c r="W37" s="697"/>
      <c r="X37" s="697"/>
      <c r="Y37" s="697"/>
      <c r="Z37" s="697"/>
      <c r="AA37" s="697"/>
      <c r="AB37" s="697"/>
      <c r="AC37" s="697"/>
      <c r="AD37" s="697"/>
      <c r="AE37" s="697"/>
      <c r="AF37" s="697"/>
      <c r="AG37" s="697"/>
      <c r="AH37" s="697"/>
      <c r="AI37" s="697"/>
      <c r="AJ37" s="697"/>
      <c r="AK37" s="697"/>
      <c r="AL37" s="697"/>
      <c r="AM37" s="697"/>
      <c r="AN37" s="697"/>
      <c r="AO37" s="697"/>
      <c r="AP37" s="697"/>
      <c r="AQ37" s="697"/>
      <c r="AR37" s="697"/>
      <c r="AS37" s="698"/>
      <c r="AT37" s="698"/>
      <c r="AU37" s="698"/>
      <c r="AV37" s="698"/>
      <c r="AW37" s="698"/>
      <c r="AX37" s="698"/>
      <c r="AY37" s="698"/>
      <c r="AZ37" s="698"/>
      <c r="BA37" s="698"/>
      <c r="BB37" s="698"/>
      <c r="BC37" s="698"/>
      <c r="BD37" s="698"/>
      <c r="BE37" s="699"/>
      <c r="BF37" s="699"/>
      <c r="BG37" s="699"/>
      <c r="BH37" s="699"/>
      <c r="BI37" s="699"/>
      <c r="BJ37" s="1802"/>
      <c r="BK37" s="1802"/>
      <c r="BL37" s="1802"/>
      <c r="BM37" s="1802"/>
      <c r="BN37" s="701"/>
      <c r="BO37" s="701"/>
      <c r="BP37" s="701"/>
      <c r="BQ37" s="32"/>
      <c r="BR37" s="33"/>
      <c r="BW37" s="27"/>
      <c r="BX37" s="27"/>
      <c r="BY37" s="27"/>
      <c r="BZ37" s="27"/>
      <c r="CA37" s="27"/>
      <c r="CB37" s="27"/>
      <c r="CC37" s="27"/>
      <c r="CD37" s="27"/>
      <c r="CE37" s="27"/>
    </row>
    <row r="38" spans="1:83" ht="26.1" customHeight="1" x14ac:dyDescent="0.25">
      <c r="A38" s="34"/>
      <c r="B38" s="35"/>
      <c r="C38" s="31"/>
      <c r="D38" s="32"/>
      <c r="E38" s="33"/>
      <c r="F38" s="34"/>
      <c r="G38" s="34"/>
      <c r="H38" s="35"/>
      <c r="I38" s="31"/>
      <c r="J38" s="32"/>
      <c r="K38" s="33"/>
      <c r="L38" s="34"/>
      <c r="M38" s="34"/>
      <c r="N38" s="35"/>
      <c r="O38" s="31"/>
      <c r="P38" s="32"/>
      <c r="Q38" s="33"/>
      <c r="R38" s="34"/>
      <c r="S38" s="34"/>
      <c r="T38" s="35"/>
      <c r="U38" s="31"/>
      <c r="V38" s="697"/>
      <c r="W38" s="697"/>
      <c r="X38" s="697"/>
      <c r="Y38" s="697"/>
      <c r="Z38" s="697"/>
      <c r="AA38" s="697"/>
      <c r="AB38" s="697"/>
      <c r="AC38" s="697"/>
      <c r="AD38" s="697"/>
      <c r="AE38" s="697"/>
      <c r="AF38" s="697"/>
      <c r="AG38" s="697"/>
      <c r="AH38" s="697"/>
      <c r="AI38" s="697"/>
      <c r="AJ38" s="697"/>
      <c r="AK38" s="697"/>
      <c r="AL38" s="697"/>
      <c r="AM38" s="697"/>
      <c r="AN38" s="697"/>
      <c r="AO38" s="697"/>
      <c r="AP38" s="697"/>
      <c r="AQ38" s="697"/>
      <c r="AR38" s="697"/>
      <c r="AS38" s="698"/>
      <c r="AT38" s="698"/>
      <c r="AU38" s="698"/>
      <c r="AV38" s="698"/>
      <c r="AW38" s="698"/>
      <c r="AX38" s="698"/>
      <c r="AY38" s="698"/>
      <c r="AZ38" s="698"/>
      <c r="BA38" s="698"/>
      <c r="BB38" s="698"/>
      <c r="BC38" s="698"/>
      <c r="BD38" s="698"/>
      <c r="BE38" s="699"/>
      <c r="BF38" s="699"/>
      <c r="BG38" s="699"/>
      <c r="BH38" s="699"/>
      <c r="BI38" s="699"/>
      <c r="BJ38" s="1802"/>
      <c r="BK38" s="1802"/>
      <c r="BL38" s="1802"/>
      <c r="BM38" s="1802"/>
      <c r="BN38" s="701"/>
      <c r="BO38" s="701"/>
      <c r="BP38" s="701"/>
      <c r="BQ38" s="32"/>
      <c r="BR38" s="33"/>
    </row>
    <row r="39" spans="1:83" ht="6.75" customHeight="1" x14ac:dyDescent="0.25">
      <c r="A39" s="28"/>
      <c r="B39" s="28"/>
      <c r="C39" s="28"/>
      <c r="D39" s="29"/>
      <c r="E39" s="29"/>
      <c r="F39" s="28"/>
      <c r="G39" s="28"/>
      <c r="H39" s="28"/>
      <c r="I39" s="29"/>
      <c r="J39" s="29"/>
      <c r="K39" s="28"/>
      <c r="L39" s="28"/>
      <c r="M39" s="28"/>
      <c r="N39" s="29"/>
      <c r="O39" s="29"/>
      <c r="P39" s="28"/>
      <c r="Q39" s="28"/>
      <c r="R39" s="28"/>
      <c r="S39" s="29"/>
      <c r="T39" s="29"/>
      <c r="U39" s="28"/>
      <c r="V39" s="704" t="s">
        <v>13</v>
      </c>
      <c r="W39" s="704"/>
      <c r="X39" s="704"/>
      <c r="Y39" s="704"/>
      <c r="Z39" s="704"/>
      <c r="AA39" s="704"/>
      <c r="AB39" s="704"/>
      <c r="AC39" s="704"/>
      <c r="AD39" s="704"/>
      <c r="AE39" s="704"/>
      <c r="AF39" s="704"/>
      <c r="AG39" s="704"/>
      <c r="AH39" s="706">
        <f>AS39-AD75</f>
        <v>1.5000000000071623E-3</v>
      </c>
      <c r="AI39" s="706"/>
      <c r="AJ39" s="706"/>
      <c r="AK39" s="706"/>
      <c r="AL39" s="706"/>
      <c r="AM39" s="706"/>
      <c r="AN39" s="706"/>
      <c r="AO39" s="706"/>
      <c r="AP39" s="706"/>
      <c r="AQ39" s="706"/>
      <c r="AR39" s="706"/>
      <c r="AS39" s="707">
        <f>B7+G7+L7+Q7+V7+AA7+AF7+AK7+AP7+AU7+AZ7+BE7+BJ7+BO7+B13+G13+L13+Q13+V13+AA13+AF13+AK13+AP13+AU13+AZ13+BE13+BJ13+BO13+B19+G19+L19+Q19+V19+AA19+AF19+AK19+AP19+AU19+AZ19+BE19+BJ19+BO19+B25+G25+L25+Q25+V25+AA25+AF25+AK25+AP25+AU25+AZ25+BE25+BJ25+BO25+B31+G31+L31+Q31+V31+AA31+AF31+AK31+AP31+AU31+AZ31+BE31+BJ31+BO31</f>
        <v>96.411500000000004</v>
      </c>
      <c r="AT39" s="707"/>
      <c r="AU39" s="707"/>
      <c r="AV39" s="707"/>
      <c r="AW39" s="707"/>
      <c r="AX39" s="707"/>
      <c r="AY39" s="707"/>
      <c r="AZ39" s="707"/>
      <c r="BA39" s="707"/>
      <c r="BB39" s="707"/>
      <c r="BC39" s="707"/>
      <c r="BD39" s="707"/>
      <c r="BE39" s="699"/>
      <c r="BF39" s="699"/>
      <c r="BG39" s="699"/>
      <c r="BH39" s="699"/>
      <c r="BI39" s="699"/>
      <c r="BJ39" s="1802"/>
      <c r="BK39" s="1802"/>
      <c r="BL39" s="1802"/>
      <c r="BM39" s="1802"/>
      <c r="BN39" s="701"/>
      <c r="BO39" s="701"/>
      <c r="BP39" s="701"/>
      <c r="BQ39" s="29"/>
      <c r="BR39" s="29"/>
    </row>
    <row r="40" spans="1:83" ht="21.95" customHeight="1" x14ac:dyDescent="0.25">
      <c r="A40" s="28"/>
      <c r="B40" s="28"/>
      <c r="C40" s="28"/>
      <c r="D40" s="30"/>
      <c r="E40" s="29"/>
      <c r="F40" s="28"/>
      <c r="G40" s="28"/>
      <c r="H40" s="28"/>
      <c r="I40" s="30"/>
      <c r="J40" s="29"/>
      <c r="K40" s="28"/>
      <c r="L40" s="28"/>
      <c r="M40" s="28"/>
      <c r="N40" s="30"/>
      <c r="O40" s="29"/>
      <c r="P40" s="28"/>
      <c r="Q40" s="28"/>
      <c r="R40" s="28"/>
      <c r="S40" s="30"/>
      <c r="T40" s="29"/>
      <c r="U40" s="28"/>
      <c r="V40" s="704"/>
      <c r="W40" s="704"/>
      <c r="X40" s="704"/>
      <c r="Y40" s="704"/>
      <c r="Z40" s="704"/>
      <c r="AA40" s="704"/>
      <c r="AB40" s="704"/>
      <c r="AC40" s="704"/>
      <c r="AD40" s="704"/>
      <c r="AE40" s="704"/>
      <c r="AF40" s="704"/>
      <c r="AG40" s="704"/>
      <c r="AH40" s="706"/>
      <c r="AI40" s="706"/>
      <c r="AJ40" s="706"/>
      <c r="AK40" s="706"/>
      <c r="AL40" s="706"/>
      <c r="AM40" s="706"/>
      <c r="AN40" s="706"/>
      <c r="AO40" s="706"/>
      <c r="AP40" s="706"/>
      <c r="AQ40" s="706"/>
      <c r="AR40" s="706"/>
      <c r="AS40" s="707"/>
      <c r="AT40" s="707"/>
      <c r="AU40" s="707"/>
      <c r="AV40" s="707"/>
      <c r="AW40" s="707"/>
      <c r="AX40" s="707"/>
      <c r="AY40" s="707"/>
      <c r="AZ40" s="707"/>
      <c r="BA40" s="707"/>
      <c r="BB40" s="707"/>
      <c r="BC40" s="707"/>
      <c r="BD40" s="707"/>
      <c r="BE40" s="699"/>
      <c r="BF40" s="699"/>
      <c r="BG40" s="699"/>
      <c r="BH40" s="699"/>
      <c r="BI40" s="699"/>
      <c r="BJ40" s="1802"/>
      <c r="BK40" s="1802"/>
      <c r="BL40" s="1802"/>
      <c r="BM40" s="1802"/>
      <c r="BN40" s="701"/>
      <c r="BO40" s="701"/>
      <c r="BP40" s="701"/>
      <c r="BQ40" s="30"/>
      <c r="BR40" s="29"/>
    </row>
    <row r="41" spans="1:83" ht="6" customHeight="1" x14ac:dyDescent="0.25">
      <c r="A41" s="28"/>
      <c r="B41" s="28"/>
      <c r="C41" s="28"/>
      <c r="D41" s="29"/>
      <c r="E41" s="29"/>
      <c r="F41" s="28"/>
      <c r="G41" s="28"/>
      <c r="H41" s="28"/>
      <c r="I41" s="29"/>
      <c r="J41" s="29"/>
      <c r="K41" s="28"/>
      <c r="L41" s="28"/>
      <c r="M41" s="28"/>
      <c r="N41" s="29"/>
      <c r="O41" s="29"/>
      <c r="P41" s="28"/>
      <c r="Q41" s="28"/>
      <c r="R41" s="28"/>
      <c r="S41" s="29"/>
      <c r="T41" s="29"/>
      <c r="U41" s="28"/>
      <c r="V41" s="704"/>
      <c r="W41" s="704"/>
      <c r="X41" s="704"/>
      <c r="Y41" s="704"/>
      <c r="Z41" s="704"/>
      <c r="AA41" s="704"/>
      <c r="AB41" s="704"/>
      <c r="AC41" s="704"/>
      <c r="AD41" s="704"/>
      <c r="AE41" s="704"/>
      <c r="AF41" s="704"/>
      <c r="AG41" s="704"/>
      <c r="AH41" s="706"/>
      <c r="AI41" s="706"/>
      <c r="AJ41" s="706"/>
      <c r="AK41" s="706"/>
      <c r="AL41" s="706"/>
      <c r="AM41" s="706"/>
      <c r="AN41" s="706"/>
      <c r="AO41" s="706"/>
      <c r="AP41" s="706"/>
      <c r="AQ41" s="706"/>
      <c r="AR41" s="706"/>
      <c r="AS41" s="707"/>
      <c r="AT41" s="707"/>
      <c r="AU41" s="707"/>
      <c r="AV41" s="707"/>
      <c r="AW41" s="707"/>
      <c r="AX41" s="707"/>
      <c r="AY41" s="707"/>
      <c r="AZ41" s="707"/>
      <c r="BA41" s="707"/>
      <c r="BB41" s="707"/>
      <c r="BC41" s="707"/>
      <c r="BD41" s="707"/>
      <c r="BE41" s="699"/>
      <c r="BF41" s="699"/>
      <c r="BG41" s="699"/>
      <c r="BH41" s="699"/>
      <c r="BI41" s="699"/>
      <c r="BJ41" s="708">
        <f>BJ35*1.5</f>
        <v>43.5</v>
      </c>
      <c r="BK41" s="708"/>
      <c r="BL41" s="708"/>
      <c r="BM41" s="708"/>
      <c r="BN41" s="708"/>
      <c r="BO41" s="708"/>
      <c r="BP41" s="708"/>
      <c r="BQ41" s="29"/>
      <c r="BR41" s="29"/>
    </row>
    <row r="42" spans="1:83" s="22" customFormat="1" ht="80.099999999999994" customHeight="1" x14ac:dyDescent="1.35">
      <c r="A42" s="31"/>
      <c r="B42" s="121"/>
      <c r="C42" s="121"/>
      <c r="D42" s="121"/>
      <c r="E42" s="121"/>
      <c r="F42" s="702" cm="1">
        <f t="array" aca="1" ref="F42" ca="1">SUM(COUNTIF(INDIRECT({"B6","G6","L6","Q6","V6","AA6","AF6","AK6","AP6","AU6","AZ6","BE6","BJ6","BO6","B12","G12","L12","Q12","V12","AA12","AF12","AK12","AP12","AU12","AZ12","BE12","BJ12","BO12","B18","G18","L18","Q18","V18","AA18","AF18","AK18","AP18","AU18","AZ18","BE18","BJ18","BO18","B24","G24","L24","Q24","V24","AA24","AF24","AK24","AP24","AU24","AZ24","BE24","BJ24","BO24","B30","G30","L30","Q30","V30","AA30","AF30","AK30","AP30","AU30","AZ30","BE30","BJ30","BO30"}),"&gt;0"))</f>
        <v>57</v>
      </c>
      <c r="G42" s="702"/>
      <c r="H42" s="702"/>
      <c r="I42" s="121"/>
      <c r="J42" s="121"/>
      <c r="K42" s="31"/>
      <c r="L42" s="121"/>
      <c r="M42" s="121"/>
      <c r="N42" s="121"/>
      <c r="O42" s="121"/>
      <c r="P42" s="31"/>
      <c r="Q42" s="121"/>
      <c r="R42" s="121"/>
      <c r="S42" s="121"/>
      <c r="T42" s="121"/>
      <c r="U42" s="31"/>
      <c r="V42" s="704"/>
      <c r="W42" s="704"/>
      <c r="X42" s="704"/>
      <c r="Y42" s="704"/>
      <c r="Z42" s="704"/>
      <c r="AA42" s="704"/>
      <c r="AB42" s="704"/>
      <c r="AC42" s="704"/>
      <c r="AD42" s="704"/>
      <c r="AE42" s="704"/>
      <c r="AF42" s="704"/>
      <c r="AG42" s="704"/>
      <c r="AH42" s="706"/>
      <c r="AI42" s="706"/>
      <c r="AJ42" s="706"/>
      <c r="AK42" s="706"/>
      <c r="AL42" s="706"/>
      <c r="AM42" s="706"/>
      <c r="AN42" s="706"/>
      <c r="AO42" s="706"/>
      <c r="AP42" s="706"/>
      <c r="AQ42" s="706"/>
      <c r="AR42" s="706"/>
      <c r="AS42" s="707"/>
      <c r="AT42" s="707"/>
      <c r="AU42" s="707"/>
      <c r="AV42" s="707"/>
      <c r="AW42" s="707"/>
      <c r="AX42" s="707"/>
      <c r="AY42" s="707"/>
      <c r="AZ42" s="707"/>
      <c r="BA42" s="707"/>
      <c r="BB42" s="707"/>
      <c r="BC42" s="707"/>
      <c r="BD42" s="707"/>
      <c r="BE42" s="699"/>
      <c r="BF42" s="699"/>
      <c r="BG42" s="699"/>
      <c r="BH42" s="699"/>
      <c r="BI42" s="699"/>
      <c r="BJ42" s="708"/>
      <c r="BK42" s="708"/>
      <c r="BL42" s="708"/>
      <c r="BM42" s="708"/>
      <c r="BN42" s="708"/>
      <c r="BO42" s="708"/>
      <c r="BP42" s="708"/>
      <c r="BQ42" s="121"/>
      <c r="BR42" s="121"/>
    </row>
    <row r="43" spans="1:83" ht="26.25" customHeight="1" x14ac:dyDescent="0.25">
      <c r="A43" s="34"/>
      <c r="B43" s="35"/>
      <c r="C43" s="31"/>
      <c r="D43" s="32"/>
      <c r="E43" s="33"/>
      <c r="F43" s="703" cm="1">
        <f t="array" aca="1" ref="F43" ca="1">SUM(COUNTIF(INDIRECT({"B7","G7","L7","Q7","V7","AA7","AF7","AK7","AP7","AU7","AZ7","BE7","BJ7","BO7","B13","G13","L13","Q13","V13","AA13","AF13","AK13","AP13","AU13","AZ13","BE13","BJ13","BO13","B19","G19","L19","Q19","V19","AA19","AF19","AK19","AP19","AU19","AZ19","BE19","BJ19","BO19","B25","G25","L25","Q25","V25","AA25","AF25","AK25","AP25","AU25","AZ25","BE25","BJ25","BO25","B31","G31","L31","Q31","V31","AA31","AF31","AK31","AP31","AU31","AZ31","BE31","BJ31","BO31"}),"&gt;0"))</f>
        <v>57</v>
      </c>
      <c r="G43" s="703"/>
      <c r="H43" s="703"/>
      <c r="I43" s="32"/>
      <c r="J43" s="33"/>
      <c r="K43" s="34"/>
      <c r="L43" s="35"/>
      <c r="M43" s="31"/>
      <c r="N43" s="32"/>
      <c r="O43" s="33"/>
      <c r="P43" s="34"/>
      <c r="Q43" s="35"/>
      <c r="R43" s="31"/>
      <c r="S43" s="32"/>
      <c r="T43" s="33"/>
      <c r="U43" s="34"/>
      <c r="V43" s="704"/>
      <c r="W43" s="704"/>
      <c r="X43" s="704"/>
      <c r="Y43" s="704"/>
      <c r="Z43" s="704"/>
      <c r="AA43" s="704"/>
      <c r="AB43" s="704"/>
      <c r="AC43" s="704"/>
      <c r="AD43" s="704"/>
      <c r="AE43" s="704"/>
      <c r="AF43" s="704"/>
      <c r="AG43" s="704"/>
      <c r="AH43" s="706"/>
      <c r="AI43" s="706"/>
      <c r="AJ43" s="706"/>
      <c r="AK43" s="706"/>
      <c r="AL43" s="706"/>
      <c r="AM43" s="706"/>
      <c r="AN43" s="706"/>
      <c r="AO43" s="706"/>
      <c r="AP43" s="706"/>
      <c r="AQ43" s="706"/>
      <c r="AR43" s="706"/>
      <c r="AS43" s="707"/>
      <c r="AT43" s="707"/>
      <c r="AU43" s="707"/>
      <c r="AV43" s="707"/>
      <c r="AW43" s="707"/>
      <c r="AX43" s="707"/>
      <c r="AY43" s="707"/>
      <c r="AZ43" s="707"/>
      <c r="BA43" s="707"/>
      <c r="BB43" s="707"/>
      <c r="BC43" s="707"/>
      <c r="BD43" s="707"/>
      <c r="BE43" s="699"/>
      <c r="BF43" s="699"/>
      <c r="BG43" s="699"/>
      <c r="BH43" s="699"/>
      <c r="BI43" s="699"/>
      <c r="BJ43" s="708"/>
      <c r="BK43" s="708"/>
      <c r="BL43" s="708"/>
      <c r="BM43" s="708"/>
      <c r="BN43" s="708"/>
      <c r="BO43" s="708"/>
      <c r="BP43" s="708"/>
      <c r="BQ43" s="31"/>
      <c r="BR43" s="32"/>
      <c r="BW43" s="27"/>
      <c r="BX43" s="27"/>
      <c r="BY43" s="27"/>
      <c r="BZ43" s="27"/>
      <c r="CA43" s="27"/>
      <c r="CB43" s="27"/>
      <c r="CC43" s="27"/>
      <c r="CD43" s="27"/>
      <c r="CE43" s="27"/>
    </row>
    <row r="44" spans="1:83" ht="26.1" customHeight="1" x14ac:dyDescent="0.25">
      <c r="A44" s="34"/>
      <c r="B44" s="35"/>
      <c r="C44" s="31"/>
      <c r="D44" s="32"/>
      <c r="E44" s="33"/>
      <c r="F44" s="703"/>
      <c r="G44" s="703"/>
      <c r="H44" s="703"/>
      <c r="I44" s="32"/>
      <c r="J44" s="33"/>
      <c r="K44" s="34"/>
      <c r="L44" s="35"/>
      <c r="M44" s="31"/>
      <c r="N44" s="32"/>
      <c r="O44" s="33"/>
      <c r="P44" s="34"/>
      <c r="Q44" s="35"/>
      <c r="R44" s="31"/>
      <c r="S44" s="32"/>
      <c r="T44" s="33"/>
      <c r="U44" s="34"/>
      <c r="V44" s="704"/>
      <c r="W44" s="704"/>
      <c r="X44" s="704"/>
      <c r="Y44" s="704"/>
      <c r="Z44" s="704"/>
      <c r="AA44" s="704"/>
      <c r="AB44" s="704"/>
      <c r="AC44" s="704"/>
      <c r="AD44" s="704"/>
      <c r="AE44" s="704"/>
      <c r="AF44" s="704"/>
      <c r="AG44" s="704"/>
      <c r="AH44" s="706"/>
      <c r="AI44" s="706"/>
      <c r="AJ44" s="706"/>
      <c r="AK44" s="706"/>
      <c r="AL44" s="706"/>
      <c r="AM44" s="706"/>
      <c r="AN44" s="706"/>
      <c r="AO44" s="706"/>
      <c r="AP44" s="706"/>
      <c r="AQ44" s="706"/>
      <c r="AR44" s="706"/>
      <c r="AS44" s="707"/>
      <c r="AT44" s="707"/>
      <c r="AU44" s="707"/>
      <c r="AV44" s="707"/>
      <c r="AW44" s="707"/>
      <c r="AX44" s="707"/>
      <c r="AY44" s="707"/>
      <c r="AZ44" s="707"/>
      <c r="BA44" s="707"/>
      <c r="BB44" s="707"/>
      <c r="BC44" s="707"/>
      <c r="BD44" s="707"/>
      <c r="BE44" s="699"/>
      <c r="BF44" s="699"/>
      <c r="BG44" s="699"/>
      <c r="BH44" s="699"/>
      <c r="BI44" s="699"/>
      <c r="BJ44" s="708"/>
      <c r="BK44" s="708"/>
      <c r="BL44" s="708"/>
      <c r="BM44" s="708"/>
      <c r="BN44" s="708"/>
      <c r="BO44" s="708"/>
      <c r="BP44" s="708"/>
      <c r="BQ44" s="31"/>
      <c r="BR44" s="32"/>
    </row>
    <row r="45" spans="1:83" ht="6.75" customHeight="1" x14ac:dyDescent="0.25">
      <c r="A45" s="28"/>
      <c r="B45" s="28"/>
      <c r="C45" s="28"/>
      <c r="D45" s="29"/>
      <c r="E45" s="29"/>
      <c r="F45" s="703"/>
      <c r="G45" s="703"/>
      <c r="H45" s="703"/>
      <c r="I45" s="29"/>
      <c r="J45" s="29"/>
      <c r="K45" s="28"/>
      <c r="L45" s="28"/>
      <c r="M45" s="28"/>
      <c r="N45" s="29"/>
      <c r="O45" s="29"/>
      <c r="P45" s="28"/>
      <c r="Q45" s="28"/>
      <c r="R45" s="28"/>
      <c r="S45" s="29"/>
      <c r="T45" s="29"/>
      <c r="U45" s="28"/>
      <c r="V45" s="704"/>
      <c r="W45" s="704"/>
      <c r="X45" s="704"/>
      <c r="Y45" s="704"/>
      <c r="Z45" s="704"/>
      <c r="AA45" s="704"/>
      <c r="AB45" s="704"/>
      <c r="AC45" s="704"/>
      <c r="AD45" s="704"/>
      <c r="AE45" s="704"/>
      <c r="AF45" s="704"/>
      <c r="AG45" s="704"/>
      <c r="AH45" s="706"/>
      <c r="AI45" s="706"/>
      <c r="AJ45" s="706"/>
      <c r="AK45" s="706"/>
      <c r="AL45" s="706"/>
      <c r="AM45" s="706"/>
      <c r="AN45" s="706"/>
      <c r="AO45" s="706"/>
      <c r="AP45" s="706"/>
      <c r="AQ45" s="706"/>
      <c r="AR45" s="706"/>
      <c r="AS45" s="707"/>
      <c r="AT45" s="707"/>
      <c r="AU45" s="707"/>
      <c r="AV45" s="707"/>
      <c r="AW45" s="707"/>
      <c r="AX45" s="707"/>
      <c r="AY45" s="707"/>
      <c r="AZ45" s="707"/>
      <c r="BA45" s="707"/>
      <c r="BB45" s="707"/>
      <c r="BC45" s="707"/>
      <c r="BD45" s="707"/>
      <c r="BE45" s="699"/>
      <c r="BF45" s="699"/>
      <c r="BG45" s="699"/>
      <c r="BH45" s="699"/>
      <c r="BI45" s="699"/>
      <c r="BJ45" s="699" t="s">
        <v>121</v>
      </c>
      <c r="BK45" s="699"/>
      <c r="BL45" s="699"/>
      <c r="BM45" s="699"/>
      <c r="BN45" s="699"/>
      <c r="BO45" s="699"/>
      <c r="BP45" s="699"/>
      <c r="BQ45" s="31"/>
      <c r="BR45" s="32"/>
    </row>
    <row r="46" spans="1:83" ht="21.95" customHeight="1" x14ac:dyDescent="0.25">
      <c r="A46" s="28"/>
      <c r="B46" s="28"/>
      <c r="C46" s="28"/>
      <c r="D46" s="30"/>
      <c r="E46" s="29"/>
      <c r="F46" s="703"/>
      <c r="G46" s="703"/>
      <c r="H46" s="703"/>
      <c r="I46" s="30"/>
      <c r="J46" s="29"/>
      <c r="K46" s="28"/>
      <c r="L46" s="28"/>
      <c r="M46" s="28"/>
      <c r="N46" s="30"/>
      <c r="O46" s="29"/>
      <c r="P46" s="28"/>
      <c r="Q46" s="28"/>
      <c r="R46" s="28"/>
      <c r="S46" s="30"/>
      <c r="T46" s="29"/>
      <c r="U46" s="28"/>
      <c r="V46" s="704"/>
      <c r="W46" s="704"/>
      <c r="X46" s="704"/>
      <c r="Y46" s="704"/>
      <c r="Z46" s="704"/>
      <c r="AA46" s="704"/>
      <c r="AB46" s="704"/>
      <c r="AC46" s="704"/>
      <c r="AD46" s="704"/>
      <c r="AE46" s="704"/>
      <c r="AF46" s="704"/>
      <c r="AG46" s="704"/>
      <c r="AH46" s="706"/>
      <c r="AI46" s="706"/>
      <c r="AJ46" s="706"/>
      <c r="AK46" s="706"/>
      <c r="AL46" s="706"/>
      <c r="AM46" s="706"/>
      <c r="AN46" s="706"/>
      <c r="AO46" s="706"/>
      <c r="AP46" s="706"/>
      <c r="AQ46" s="706"/>
      <c r="AR46" s="706"/>
      <c r="AS46" s="707"/>
      <c r="AT46" s="707"/>
      <c r="AU46" s="707"/>
      <c r="AV46" s="707"/>
      <c r="AW46" s="707"/>
      <c r="AX46" s="707"/>
      <c r="AY46" s="707"/>
      <c r="AZ46" s="707"/>
      <c r="BA46" s="707"/>
      <c r="BB46" s="707"/>
      <c r="BC46" s="707"/>
      <c r="BD46" s="707"/>
      <c r="BE46" s="699"/>
      <c r="BF46" s="699"/>
      <c r="BG46" s="699"/>
      <c r="BH46" s="699"/>
      <c r="BI46" s="699"/>
      <c r="BJ46" s="699"/>
      <c r="BK46" s="699"/>
      <c r="BL46" s="699"/>
      <c r="BM46" s="699"/>
      <c r="BN46" s="699"/>
      <c r="BO46" s="699"/>
      <c r="BP46" s="699"/>
      <c r="BQ46" s="30"/>
      <c r="BR46" s="29"/>
    </row>
    <row r="47" spans="1:83" ht="24" customHeight="1" x14ac:dyDescent="0.25">
      <c r="A47" s="28"/>
      <c r="B47" s="28"/>
      <c r="C47" s="28"/>
      <c r="D47" s="29"/>
      <c r="E47" s="29"/>
      <c r="F47" s="28"/>
      <c r="G47" s="28"/>
      <c r="H47" s="28"/>
      <c r="I47" s="29"/>
      <c r="J47" s="29"/>
      <c r="K47" s="28"/>
      <c r="L47" s="28"/>
      <c r="M47" s="28"/>
      <c r="N47" s="29"/>
      <c r="O47" s="29"/>
      <c r="P47" s="28"/>
      <c r="Q47" s="28"/>
      <c r="R47" s="28"/>
      <c r="S47" s="29"/>
      <c r="T47" s="29"/>
      <c r="U47" s="28"/>
      <c r="V47" s="28"/>
      <c r="W47" s="28"/>
      <c r="X47" s="29"/>
      <c r="Y47" s="29"/>
      <c r="Z47" s="28"/>
      <c r="AA47" s="28"/>
      <c r="AB47" s="28"/>
      <c r="AC47" s="29"/>
      <c r="AD47" s="29"/>
      <c r="AE47" s="28"/>
      <c r="AF47" s="28"/>
      <c r="AG47" s="28"/>
      <c r="AH47" s="29"/>
      <c r="AI47" s="29"/>
      <c r="AJ47" s="28"/>
      <c r="AK47" s="28"/>
      <c r="AL47" s="28"/>
      <c r="AM47" s="29"/>
      <c r="AN47" s="29"/>
      <c r="AO47" s="28"/>
      <c r="AP47" s="28"/>
      <c r="AQ47" s="28"/>
      <c r="AR47" s="29"/>
      <c r="AS47" s="29"/>
      <c r="AT47" s="28"/>
      <c r="AU47" s="28"/>
      <c r="AV47" s="28"/>
      <c r="AW47" s="29"/>
      <c r="AX47" s="29"/>
      <c r="AY47" s="28"/>
      <c r="AZ47" s="28"/>
      <c r="BA47" s="28"/>
      <c r="BB47" s="29"/>
      <c r="BC47" s="29"/>
      <c r="BD47" s="28"/>
      <c r="BE47" s="28"/>
      <c r="BF47" s="28"/>
      <c r="BG47" s="29"/>
      <c r="BH47" s="29"/>
      <c r="BI47" s="28"/>
      <c r="BJ47" s="699"/>
      <c r="BK47" s="699"/>
      <c r="BL47" s="699"/>
      <c r="BM47" s="699"/>
      <c r="BN47" s="699"/>
      <c r="BO47" s="699"/>
      <c r="BP47" s="699"/>
      <c r="BQ47" s="29"/>
      <c r="BR47" s="29"/>
    </row>
    <row r="48" spans="1:83" s="22" customFormat="1" ht="80.099999999999994" customHeight="1" x14ac:dyDescent="1.35">
      <c r="A48" s="31"/>
      <c r="B48" s="31"/>
      <c r="C48" s="32"/>
      <c r="D48" s="33"/>
      <c r="E48" s="34"/>
      <c r="F48" s="35"/>
      <c r="G48" s="31"/>
      <c r="H48" s="32"/>
      <c r="I48" s="33"/>
      <c r="J48" s="34"/>
      <c r="K48" s="35"/>
      <c r="L48" s="31"/>
      <c r="M48" s="32"/>
      <c r="N48" s="33"/>
      <c r="O48" s="121"/>
      <c r="P48" s="31"/>
      <c r="Q48" s="121"/>
      <c r="R48" s="121"/>
      <c r="S48" s="121"/>
      <c r="T48" s="121"/>
      <c r="U48" s="31"/>
      <c r="V48" s="121"/>
      <c r="W48" s="121"/>
      <c r="X48" s="121"/>
      <c r="Y48" s="121"/>
      <c r="Z48" s="31"/>
      <c r="AA48" s="121"/>
      <c r="AB48" s="121"/>
      <c r="AC48" s="121"/>
      <c r="AD48" s="121"/>
      <c r="AE48" s="31"/>
      <c r="AF48" s="121"/>
      <c r="AG48" s="121"/>
      <c r="AH48" s="121"/>
      <c r="AI48" s="121"/>
      <c r="AJ48" s="31"/>
      <c r="AK48" s="121"/>
      <c r="AL48" s="121"/>
      <c r="AM48" s="121"/>
      <c r="AN48" s="121"/>
      <c r="AO48" s="31"/>
      <c r="AP48" s="121"/>
      <c r="AQ48" s="121"/>
      <c r="AR48" s="121"/>
      <c r="AS48" s="121"/>
      <c r="AT48" s="31"/>
      <c r="AU48" s="121"/>
      <c r="AV48" s="121"/>
      <c r="AW48" s="121"/>
      <c r="AX48" s="121"/>
      <c r="AY48" s="31"/>
      <c r="AZ48" s="121"/>
      <c r="BA48" s="121"/>
      <c r="BB48" s="121"/>
      <c r="BC48" s="121"/>
      <c r="BD48" s="31"/>
      <c r="BE48" s="121"/>
      <c r="BF48" s="121"/>
      <c r="BG48" s="121"/>
      <c r="BH48" s="121"/>
      <c r="BI48" s="31"/>
      <c r="BJ48" s="121"/>
      <c r="BK48" s="121"/>
      <c r="BL48" s="121"/>
      <c r="BM48" s="121"/>
      <c r="BN48" s="31"/>
      <c r="BO48" s="121"/>
      <c r="BP48" s="121"/>
      <c r="BQ48" s="121"/>
      <c r="BR48" s="121"/>
    </row>
    <row r="49" spans="1:83" ht="27" thickBot="1" x14ac:dyDescent="0.3">
      <c r="A49" s="31"/>
      <c r="B49" s="32"/>
      <c r="C49" s="33"/>
      <c r="D49" s="34"/>
      <c r="E49" s="35"/>
      <c r="F49" s="31"/>
      <c r="G49" s="32"/>
      <c r="H49" s="33"/>
      <c r="I49" s="34"/>
      <c r="J49" s="35"/>
      <c r="K49" s="31"/>
      <c r="L49" s="32"/>
      <c r="M49" s="33"/>
      <c r="N49" s="34"/>
      <c r="O49" s="35"/>
      <c r="P49" s="31"/>
      <c r="Q49" s="32"/>
      <c r="R49" s="33"/>
      <c r="S49" s="34"/>
      <c r="T49" s="35"/>
      <c r="U49" s="31"/>
      <c r="V49" s="32"/>
      <c r="W49" s="33"/>
      <c r="X49" s="34"/>
      <c r="Y49" s="35"/>
      <c r="Z49" s="31"/>
      <c r="AA49" s="32"/>
      <c r="AB49" s="33"/>
      <c r="AC49" s="34"/>
      <c r="AD49" s="35"/>
      <c r="AE49" s="31"/>
      <c r="AF49" s="32"/>
      <c r="AG49" s="33"/>
      <c r="AH49" s="34"/>
      <c r="AI49" s="35"/>
      <c r="AJ49" s="31"/>
      <c r="AK49" s="32"/>
      <c r="AL49" s="33"/>
      <c r="AM49" s="34"/>
      <c r="AN49" s="35"/>
      <c r="AO49" s="31"/>
      <c r="AP49" s="32"/>
      <c r="AQ49" s="33"/>
      <c r="AR49" s="34"/>
      <c r="AS49" s="35"/>
      <c r="AT49" s="31"/>
      <c r="AU49" s="32"/>
      <c r="AV49" s="33"/>
      <c r="AW49" s="34"/>
      <c r="AX49" s="35"/>
      <c r="AY49" s="31"/>
      <c r="AZ49" s="32"/>
      <c r="BA49" s="33"/>
      <c r="BB49" s="34"/>
      <c r="BC49" s="35"/>
      <c r="BD49" s="31"/>
      <c r="BE49" s="32"/>
      <c r="BF49" s="33"/>
      <c r="BG49" s="34"/>
      <c r="BH49" s="35"/>
      <c r="BI49" s="31"/>
      <c r="BJ49" s="32"/>
      <c r="BK49" s="33"/>
      <c r="BL49" s="34"/>
      <c r="BM49" s="35"/>
      <c r="BN49" s="31"/>
      <c r="BO49" s="32"/>
      <c r="BP49" s="33"/>
      <c r="BQ49" s="34"/>
      <c r="BR49" s="35"/>
      <c r="BW49" s="27"/>
      <c r="BX49" s="27"/>
      <c r="BY49" s="27"/>
      <c r="BZ49" s="27"/>
      <c r="CA49" s="27"/>
      <c r="CB49" s="27"/>
      <c r="CC49" s="27"/>
      <c r="CD49" s="27"/>
      <c r="CE49" s="27"/>
    </row>
    <row r="50" spans="1:83" ht="26.1" hidden="1" customHeight="1" thickTop="1" x14ac:dyDescent="0.25">
      <c r="A50" s="672"/>
      <c r="B50" s="672"/>
      <c r="C50" s="672"/>
      <c r="D50" s="673"/>
      <c r="E50" s="673"/>
      <c r="F50" s="672"/>
      <c r="G50" s="672"/>
      <c r="H50" s="672"/>
      <c r="I50" s="673"/>
      <c r="J50" s="673"/>
      <c r="K50" s="672"/>
      <c r="L50" s="672"/>
      <c r="M50" s="672"/>
      <c r="N50" s="673"/>
      <c r="O50" s="673"/>
      <c r="P50" s="672"/>
      <c r="Q50" s="672"/>
      <c r="R50" s="672"/>
      <c r="S50" s="673"/>
      <c r="T50" s="673"/>
      <c r="U50" s="674"/>
      <c r="V50" s="674"/>
      <c r="W50" s="674"/>
      <c r="X50" s="675"/>
      <c r="Y50" s="675"/>
      <c r="Z50" s="674"/>
      <c r="AA50" s="674"/>
      <c r="AB50" s="674"/>
      <c r="AC50" s="675"/>
      <c r="AD50" s="675"/>
      <c r="AE50" s="674"/>
      <c r="AF50" s="674"/>
      <c r="AG50" s="674"/>
      <c r="AH50" s="675"/>
      <c r="AI50" s="675"/>
      <c r="AJ50" s="674"/>
      <c r="AK50" s="674"/>
      <c r="AL50" s="674"/>
      <c r="AM50" s="675"/>
      <c r="AN50" s="675"/>
      <c r="AO50" s="674"/>
      <c r="AP50" s="674"/>
      <c r="AQ50" s="674"/>
      <c r="AR50" s="675"/>
      <c r="AS50" s="675"/>
      <c r="AT50" s="674"/>
      <c r="AU50" s="674"/>
      <c r="AV50" s="674"/>
      <c r="AW50" s="675"/>
      <c r="AX50" s="675"/>
      <c r="AY50" s="674"/>
      <c r="AZ50" s="674"/>
      <c r="BA50" s="674"/>
      <c r="BB50" s="675"/>
      <c r="BC50" s="675"/>
      <c r="BD50" s="674"/>
      <c r="BE50" s="674"/>
      <c r="BF50" s="674"/>
      <c r="BG50" s="675"/>
      <c r="BH50" s="675"/>
      <c r="BI50" s="674"/>
      <c r="BJ50" s="674"/>
      <c r="BK50" s="674"/>
      <c r="BL50" s="675"/>
      <c r="BM50" s="675"/>
      <c r="BN50" s="674"/>
      <c r="BO50" s="674"/>
      <c r="BP50" s="674"/>
      <c r="BQ50" s="675"/>
      <c r="BR50" s="675"/>
    </row>
    <row r="51" spans="1:83" ht="6.75" hidden="1" customHeight="1" x14ac:dyDescent="0.25">
      <c r="A51" s="676"/>
      <c r="B51" s="676"/>
      <c r="C51" s="676"/>
      <c r="D51" s="29"/>
      <c r="E51" s="29"/>
      <c r="F51" s="676"/>
      <c r="G51" s="676"/>
      <c r="H51" s="676"/>
      <c r="I51" s="29"/>
      <c r="J51" s="29"/>
      <c r="K51" s="676"/>
      <c r="L51" s="676"/>
      <c r="M51" s="676"/>
      <c r="N51" s="29"/>
      <c r="O51" s="29"/>
      <c r="P51" s="676"/>
      <c r="Q51" s="676"/>
      <c r="R51" s="676"/>
      <c r="S51" s="29"/>
      <c r="T51" s="29"/>
      <c r="U51" s="676"/>
      <c r="V51" s="676"/>
      <c r="W51" s="676"/>
      <c r="X51" s="29"/>
      <c r="Y51" s="29"/>
      <c r="Z51" s="676"/>
      <c r="AA51" s="676"/>
      <c r="AB51" s="676"/>
      <c r="AC51" s="29"/>
      <c r="AD51" s="29"/>
      <c r="AE51" s="676"/>
      <c r="AF51" s="676"/>
      <c r="AG51" s="676"/>
      <c r="AH51" s="29"/>
      <c r="AI51" s="29"/>
      <c r="AJ51" s="676"/>
      <c r="AK51" s="676"/>
      <c r="AL51" s="676"/>
      <c r="AM51" s="29"/>
      <c r="AN51" s="29"/>
      <c r="AO51" s="676"/>
      <c r="AP51" s="676"/>
      <c r="AQ51" s="676"/>
      <c r="AR51" s="29"/>
      <c r="AS51" s="29"/>
      <c r="AT51" s="676"/>
      <c r="AU51" s="676"/>
      <c r="AV51" s="676"/>
      <c r="AW51" s="29"/>
      <c r="AX51" s="29"/>
      <c r="AY51" s="676"/>
      <c r="AZ51" s="676"/>
      <c r="BA51" s="676"/>
      <c r="BB51" s="29"/>
      <c r="BC51" s="29"/>
      <c r="BD51" s="676"/>
      <c r="BE51" s="676"/>
      <c r="BF51" s="676"/>
      <c r="BG51" s="29"/>
      <c r="BH51" s="29"/>
      <c r="BI51" s="676"/>
      <c r="BJ51" s="676"/>
      <c r="BK51" s="676"/>
      <c r="BL51" s="29"/>
      <c r="BM51" s="29"/>
      <c r="BN51" s="676"/>
      <c r="BO51" s="676"/>
      <c r="BP51" s="676"/>
      <c r="BQ51" s="29"/>
      <c r="BR51" s="29"/>
    </row>
    <row r="52" spans="1:83" ht="21.95" hidden="1" customHeight="1" x14ac:dyDescent="0.25">
      <c r="A52" s="676"/>
      <c r="B52" s="676"/>
      <c r="C52" s="676"/>
      <c r="D52" s="30"/>
      <c r="E52" s="29"/>
      <c r="F52" s="676"/>
      <c r="G52" s="676"/>
      <c r="H52" s="676"/>
      <c r="I52" s="30"/>
      <c r="J52" s="29"/>
      <c r="K52" s="676"/>
      <c r="L52" s="676"/>
      <c r="M52" s="676"/>
      <c r="N52" s="30"/>
      <c r="O52" s="29"/>
      <c r="P52" s="676"/>
      <c r="Q52" s="676"/>
      <c r="R52" s="676"/>
      <c r="S52" s="30"/>
      <c r="T52" s="29"/>
      <c r="U52" s="676"/>
      <c r="V52" s="676"/>
      <c r="W52" s="676"/>
      <c r="X52" s="30"/>
      <c r="Y52" s="29"/>
      <c r="Z52" s="676"/>
      <c r="AA52" s="676"/>
      <c r="AB52" s="676"/>
      <c r="AC52" s="30"/>
      <c r="AD52" s="29"/>
      <c r="AE52" s="676"/>
      <c r="AF52" s="676"/>
      <c r="AG52" s="676"/>
      <c r="AH52" s="30"/>
      <c r="AI52" s="29"/>
      <c r="AJ52" s="676"/>
      <c r="AK52" s="676"/>
      <c r="AL52" s="676"/>
      <c r="AM52" s="30"/>
      <c r="AN52" s="29"/>
      <c r="AO52" s="676"/>
      <c r="AP52" s="676"/>
      <c r="AQ52" s="676"/>
      <c r="AR52" s="30"/>
      <c r="AS52" s="29"/>
      <c r="AT52" s="676"/>
      <c r="AU52" s="676"/>
      <c r="AV52" s="676"/>
      <c r="AW52" s="30"/>
      <c r="AX52" s="29"/>
      <c r="AY52" s="676"/>
      <c r="AZ52" s="676"/>
      <c r="BA52" s="676"/>
      <c r="BB52" s="30"/>
      <c r="BC52" s="29"/>
      <c r="BD52" s="676"/>
      <c r="BE52" s="676"/>
      <c r="BF52" s="676"/>
      <c r="BG52" s="30"/>
      <c r="BH52" s="29"/>
      <c r="BI52" s="676"/>
      <c r="BJ52" s="676"/>
      <c r="BK52" s="676"/>
      <c r="BL52" s="30"/>
      <c r="BM52" s="29"/>
      <c r="BN52" s="676"/>
      <c r="BO52" s="676"/>
      <c r="BP52" s="676"/>
      <c r="BQ52" s="30"/>
      <c r="BR52" s="29"/>
    </row>
    <row r="53" spans="1:83" ht="6" hidden="1" customHeight="1" x14ac:dyDescent="0.25">
      <c r="A53" s="676"/>
      <c r="B53" s="676"/>
      <c r="C53" s="676"/>
      <c r="D53" s="675"/>
      <c r="E53" s="675"/>
      <c r="F53" s="676"/>
      <c r="G53" s="676"/>
      <c r="H53" s="676"/>
      <c r="I53" s="675"/>
      <c r="J53" s="675"/>
      <c r="K53" s="676"/>
      <c r="L53" s="676"/>
      <c r="M53" s="676"/>
      <c r="N53" s="675"/>
      <c r="O53" s="675"/>
      <c r="P53" s="676"/>
      <c r="Q53" s="676"/>
      <c r="R53" s="676"/>
      <c r="S53" s="675"/>
      <c r="T53" s="675"/>
      <c r="U53" s="676"/>
      <c r="V53" s="676"/>
      <c r="W53" s="676"/>
      <c r="X53" s="675"/>
      <c r="Y53" s="675"/>
      <c r="Z53" s="676"/>
      <c r="AA53" s="676"/>
      <c r="AB53" s="676"/>
      <c r="AC53" s="675"/>
      <c r="AD53" s="675"/>
      <c r="AE53" s="676"/>
      <c r="AF53" s="676"/>
      <c r="AG53" s="676"/>
      <c r="AH53" s="675"/>
      <c r="AI53" s="675"/>
      <c r="AJ53" s="676"/>
      <c r="AK53" s="676"/>
      <c r="AL53" s="676"/>
      <c r="AM53" s="675"/>
      <c r="AN53" s="675"/>
      <c r="AO53" s="676"/>
      <c r="AP53" s="676"/>
      <c r="AQ53" s="676"/>
      <c r="AR53" s="675"/>
      <c r="AS53" s="675"/>
      <c r="AT53" s="676"/>
      <c r="AU53" s="676"/>
      <c r="AV53" s="676"/>
      <c r="AW53" s="675"/>
      <c r="AX53" s="675"/>
      <c r="AY53" s="676"/>
      <c r="AZ53" s="676"/>
      <c r="BA53" s="676"/>
      <c r="BB53" s="675"/>
      <c r="BC53" s="675"/>
      <c r="BD53" s="676"/>
      <c r="BE53" s="676"/>
      <c r="BF53" s="676"/>
      <c r="BG53" s="675"/>
      <c r="BH53" s="675"/>
      <c r="BI53" s="676"/>
      <c r="BJ53" s="676"/>
      <c r="BK53" s="676"/>
      <c r="BL53" s="675"/>
      <c r="BM53" s="675"/>
      <c r="BN53" s="676"/>
      <c r="BO53" s="676"/>
      <c r="BP53" s="676"/>
      <c r="BQ53" s="675"/>
      <c r="BR53" s="675"/>
    </row>
    <row r="54" spans="1:83" ht="59.25" hidden="1" thickBot="1" x14ac:dyDescent="0.3">
      <c r="A54" s="677"/>
      <c r="B54" s="678"/>
      <c r="C54" s="678"/>
      <c r="D54" s="678"/>
      <c r="E54" s="678"/>
      <c r="F54" s="677"/>
      <c r="G54" s="678"/>
      <c r="H54" s="678"/>
      <c r="I54" s="678"/>
      <c r="J54" s="678"/>
      <c r="K54" s="677"/>
      <c r="L54" s="678"/>
      <c r="M54" s="678"/>
      <c r="N54" s="678"/>
      <c r="O54" s="678"/>
      <c r="P54" s="677"/>
      <c r="Q54" s="678"/>
      <c r="R54" s="678"/>
      <c r="S54" s="678"/>
      <c r="T54" s="678"/>
      <c r="U54" s="677"/>
      <c r="V54" s="678"/>
      <c r="W54" s="678"/>
      <c r="X54" s="678"/>
      <c r="Y54" s="678"/>
      <c r="Z54" s="677"/>
      <c r="AA54" s="678"/>
      <c r="AB54" s="678"/>
      <c r="AC54" s="678"/>
      <c r="AD54" s="678"/>
      <c r="AE54" s="677"/>
      <c r="AF54" s="678"/>
      <c r="AG54" s="678"/>
      <c r="AH54" s="678"/>
      <c r="AI54" s="678"/>
      <c r="AJ54" s="677"/>
      <c r="AK54" s="678"/>
      <c r="AL54" s="678"/>
      <c r="AM54" s="678"/>
      <c r="AN54" s="678"/>
      <c r="AO54" s="677"/>
      <c r="AP54" s="678"/>
      <c r="AQ54" s="678"/>
      <c r="AR54" s="678"/>
      <c r="AS54" s="678"/>
      <c r="AT54" s="677"/>
      <c r="AU54" s="678"/>
      <c r="AV54" s="678"/>
      <c r="AW54" s="678"/>
      <c r="AX54" s="678"/>
      <c r="AY54" s="677"/>
      <c r="AZ54" s="678"/>
      <c r="BA54" s="678"/>
      <c r="BB54" s="678"/>
      <c r="BC54" s="678"/>
      <c r="BD54" s="677"/>
      <c r="BE54" s="678"/>
      <c r="BF54" s="678"/>
      <c r="BG54" s="678"/>
      <c r="BH54" s="678"/>
      <c r="BI54" s="677"/>
      <c r="BJ54" s="678"/>
      <c r="BK54" s="678"/>
      <c r="BL54" s="678"/>
      <c r="BM54" s="678"/>
      <c r="BN54" s="677"/>
      <c r="BO54" s="678"/>
      <c r="BP54" s="678"/>
      <c r="BQ54" s="678"/>
      <c r="BR54" s="678"/>
    </row>
    <row r="55" spans="1:83" ht="27" hidden="1" thickBot="1" x14ac:dyDescent="0.3">
      <c r="A55" s="677"/>
      <c r="B55" s="32"/>
      <c r="C55" s="33"/>
      <c r="D55" s="34"/>
      <c r="E55" s="35"/>
      <c r="F55" s="677"/>
      <c r="G55" s="32"/>
      <c r="H55" s="33"/>
      <c r="I55" s="34"/>
      <c r="J55" s="35"/>
      <c r="K55" s="677"/>
      <c r="L55" s="32"/>
      <c r="M55" s="33"/>
      <c r="N55" s="34"/>
      <c r="O55" s="35"/>
      <c r="P55" s="677"/>
      <c r="Q55" s="32"/>
      <c r="R55" s="33"/>
      <c r="S55" s="34"/>
      <c r="T55" s="35"/>
      <c r="U55" s="677"/>
      <c r="V55" s="32"/>
      <c r="W55" s="33"/>
      <c r="X55" s="34"/>
      <c r="Y55" s="35"/>
      <c r="Z55" s="677"/>
      <c r="AA55" s="32"/>
      <c r="AB55" s="33"/>
      <c r="AC55" s="34"/>
      <c r="AD55" s="35"/>
      <c r="AE55" s="677"/>
      <c r="AF55" s="32"/>
      <c r="AG55" s="33"/>
      <c r="AH55" s="34"/>
      <c r="AI55" s="35"/>
      <c r="AJ55" s="677"/>
      <c r="AK55" s="32"/>
      <c r="AL55" s="33"/>
      <c r="AM55" s="34"/>
      <c r="AN55" s="35"/>
      <c r="AO55" s="677"/>
      <c r="AP55" s="32"/>
      <c r="AQ55" s="33"/>
      <c r="AR55" s="34"/>
      <c r="AS55" s="35"/>
      <c r="AT55" s="677"/>
      <c r="AU55" s="32"/>
      <c r="AV55" s="33"/>
      <c r="AW55" s="34"/>
      <c r="AX55" s="35"/>
      <c r="AY55" s="677"/>
      <c r="AZ55" s="32"/>
      <c r="BA55" s="33"/>
      <c r="BB55" s="34"/>
      <c r="BC55" s="35"/>
      <c r="BD55" s="677"/>
      <c r="BE55" s="32"/>
      <c r="BF55" s="33"/>
      <c r="BG55" s="34"/>
      <c r="BH55" s="35"/>
      <c r="BI55" s="677"/>
      <c r="BJ55" s="32"/>
      <c r="BK55" s="33"/>
      <c r="BL55" s="34"/>
      <c r="BM55" s="35"/>
      <c r="BN55" s="677"/>
      <c r="BO55" s="32"/>
      <c r="BP55" s="33"/>
      <c r="BQ55" s="34"/>
      <c r="BR55" s="35"/>
      <c r="BW55" s="27"/>
      <c r="BX55" s="27"/>
      <c r="BY55" s="27"/>
      <c r="BZ55" s="27"/>
      <c r="CA55" s="27"/>
      <c r="CB55" s="27"/>
      <c r="CC55" s="27"/>
      <c r="CD55" s="27"/>
      <c r="CE55" s="27"/>
    </row>
    <row r="56" spans="1:83" ht="26.1" hidden="1" customHeight="1" x14ac:dyDescent="0.25">
      <c r="A56" s="674"/>
      <c r="B56" s="674"/>
      <c r="C56" s="674"/>
      <c r="D56" s="675"/>
      <c r="E56" s="675"/>
      <c r="F56" s="674"/>
      <c r="G56" s="674"/>
      <c r="H56" s="674"/>
      <c r="I56" s="675"/>
      <c r="J56" s="675"/>
      <c r="K56" s="674"/>
      <c r="L56" s="674"/>
      <c r="M56" s="674"/>
      <c r="N56" s="675"/>
      <c r="O56" s="675"/>
      <c r="P56" s="674"/>
      <c r="Q56" s="674"/>
      <c r="R56" s="674"/>
      <c r="S56" s="675"/>
      <c r="T56" s="675"/>
      <c r="U56" s="674"/>
      <c r="V56" s="674"/>
      <c r="W56" s="674"/>
      <c r="X56" s="675"/>
      <c r="Y56" s="675"/>
      <c r="Z56" s="674"/>
      <c r="AA56" s="674"/>
      <c r="AB56" s="674"/>
      <c r="AC56" s="675"/>
      <c r="AD56" s="675"/>
      <c r="AE56" s="674"/>
      <c r="AF56" s="674"/>
      <c r="AG56" s="674"/>
      <c r="AH56" s="675"/>
      <c r="AI56" s="675"/>
      <c r="AJ56" s="674"/>
      <c r="AK56" s="674"/>
      <c r="AL56" s="674"/>
      <c r="AM56" s="675"/>
      <c r="AN56" s="675"/>
      <c r="AO56" s="674"/>
      <c r="AP56" s="674"/>
      <c r="AQ56" s="674"/>
      <c r="AR56" s="675"/>
      <c r="AS56" s="675"/>
      <c r="AT56" s="674"/>
      <c r="AU56" s="674"/>
      <c r="AV56" s="674"/>
      <c r="AW56" s="675"/>
      <c r="AX56" s="675"/>
      <c r="AY56" s="674"/>
      <c r="AZ56" s="674"/>
      <c r="BA56" s="674"/>
      <c r="BB56" s="675"/>
      <c r="BC56" s="675"/>
      <c r="BD56" s="674"/>
      <c r="BE56" s="674"/>
      <c r="BF56" s="674"/>
      <c r="BG56" s="675"/>
      <c r="BH56" s="675"/>
      <c r="BI56" s="674"/>
      <c r="BJ56" s="674"/>
      <c r="BK56" s="674"/>
      <c r="BL56" s="675"/>
      <c r="BM56" s="675"/>
      <c r="BN56" s="674"/>
      <c r="BO56" s="674"/>
      <c r="BP56" s="674"/>
      <c r="BQ56" s="675"/>
      <c r="BR56" s="675"/>
    </row>
    <row r="57" spans="1:83" ht="6.75" hidden="1" customHeight="1" x14ac:dyDescent="0.25">
      <c r="A57" s="676"/>
      <c r="B57" s="676"/>
      <c r="C57" s="676"/>
      <c r="D57" s="29"/>
      <c r="E57" s="29"/>
      <c r="F57" s="676"/>
      <c r="G57" s="676"/>
      <c r="H57" s="676"/>
      <c r="I57" s="29"/>
      <c r="J57" s="29"/>
      <c r="K57" s="676"/>
      <c r="L57" s="676"/>
      <c r="M57" s="676"/>
      <c r="N57" s="29"/>
      <c r="O57" s="29"/>
      <c r="P57" s="676"/>
      <c r="Q57" s="676"/>
      <c r="R57" s="676"/>
      <c r="S57" s="29"/>
      <c r="T57" s="29"/>
      <c r="U57" s="676"/>
      <c r="V57" s="676"/>
      <c r="W57" s="676"/>
      <c r="X57" s="29"/>
      <c r="Y57" s="29"/>
      <c r="Z57" s="676"/>
      <c r="AA57" s="676"/>
      <c r="AB57" s="676"/>
      <c r="AC57" s="29"/>
      <c r="AD57" s="29"/>
      <c r="AE57" s="676"/>
      <c r="AF57" s="676"/>
      <c r="AG57" s="676"/>
      <c r="AH57" s="29"/>
      <c r="AI57" s="29"/>
      <c r="AJ57" s="676"/>
      <c r="AK57" s="676"/>
      <c r="AL57" s="676"/>
      <c r="AM57" s="29"/>
      <c r="AN57" s="29"/>
      <c r="AO57" s="676"/>
      <c r="AP57" s="676"/>
      <c r="AQ57" s="676"/>
      <c r="AR57" s="29"/>
      <c r="AS57" s="29"/>
      <c r="AT57" s="676"/>
      <c r="AU57" s="676"/>
      <c r="AV57" s="676"/>
      <c r="AW57" s="29"/>
      <c r="AX57" s="29"/>
      <c r="AY57" s="676"/>
      <c r="AZ57" s="676"/>
      <c r="BA57" s="676"/>
      <c r="BB57" s="29"/>
      <c r="BC57" s="29"/>
      <c r="BD57" s="676"/>
      <c r="BE57" s="676"/>
      <c r="BF57" s="676"/>
      <c r="BG57" s="29"/>
      <c r="BH57" s="29"/>
      <c r="BI57" s="676"/>
      <c r="BJ57" s="676"/>
      <c r="BK57" s="676"/>
      <c r="BL57" s="29"/>
      <c r="BM57" s="29"/>
      <c r="BN57" s="676"/>
      <c r="BO57" s="676"/>
      <c r="BP57" s="676"/>
      <c r="BQ57" s="29"/>
      <c r="BR57" s="29"/>
    </row>
    <row r="58" spans="1:83" ht="21.95" hidden="1" customHeight="1" x14ac:dyDescent="0.25">
      <c r="A58" s="676"/>
      <c r="B58" s="676"/>
      <c r="C58" s="676"/>
      <c r="D58" s="30"/>
      <c r="E58" s="29"/>
      <c r="F58" s="676"/>
      <c r="G58" s="676"/>
      <c r="H58" s="676"/>
      <c r="I58" s="30"/>
      <c r="J58" s="29"/>
      <c r="K58" s="676"/>
      <c r="L58" s="676"/>
      <c r="M58" s="676"/>
      <c r="N58" s="30"/>
      <c r="O58" s="29"/>
      <c r="P58" s="676"/>
      <c r="Q58" s="676"/>
      <c r="R58" s="676"/>
      <c r="S58" s="30"/>
      <c r="T58" s="29"/>
      <c r="U58" s="676"/>
      <c r="V58" s="676"/>
      <c r="W58" s="676"/>
      <c r="X58" s="30"/>
      <c r="Y58" s="29"/>
      <c r="Z58" s="676"/>
      <c r="AA58" s="676"/>
      <c r="AB58" s="676"/>
      <c r="AC58" s="30"/>
      <c r="AD58" s="29"/>
      <c r="AE58" s="676"/>
      <c r="AF58" s="676"/>
      <c r="AG58" s="676"/>
      <c r="AH58" s="30"/>
      <c r="AI58" s="29"/>
      <c r="AJ58" s="676"/>
      <c r="AK58" s="676"/>
      <c r="AL58" s="676"/>
      <c r="AM58" s="30"/>
      <c r="AN58" s="29"/>
      <c r="AO58" s="676"/>
      <c r="AP58" s="676"/>
      <c r="AQ58" s="676"/>
      <c r="AR58" s="30"/>
      <c r="AS58" s="29"/>
      <c r="AT58" s="676"/>
      <c r="AU58" s="676"/>
      <c r="AV58" s="676"/>
      <c r="AW58" s="30"/>
      <c r="AX58" s="29"/>
      <c r="AY58" s="676"/>
      <c r="AZ58" s="676"/>
      <c r="BA58" s="676"/>
      <c r="BB58" s="30"/>
      <c r="BC58" s="29"/>
      <c r="BD58" s="676"/>
      <c r="BE58" s="676"/>
      <c r="BF58" s="676"/>
      <c r="BG58" s="30"/>
      <c r="BH58" s="29"/>
      <c r="BI58" s="676"/>
      <c r="BJ58" s="676"/>
      <c r="BK58" s="676"/>
      <c r="BL58" s="30"/>
      <c r="BM58" s="29"/>
      <c r="BN58" s="676"/>
      <c r="BO58" s="676"/>
      <c r="BP58" s="676"/>
      <c r="BQ58" s="30"/>
      <c r="BR58" s="29"/>
    </row>
    <row r="59" spans="1:83" ht="6" hidden="1" customHeight="1" x14ac:dyDescent="0.25">
      <c r="A59" s="676"/>
      <c r="B59" s="676"/>
      <c r="C59" s="676"/>
      <c r="D59" s="675"/>
      <c r="E59" s="675"/>
      <c r="F59" s="676"/>
      <c r="G59" s="676"/>
      <c r="H59" s="676"/>
      <c r="I59" s="675"/>
      <c r="J59" s="675"/>
      <c r="K59" s="676"/>
      <c r="L59" s="676"/>
      <c r="M59" s="676"/>
      <c r="N59" s="675"/>
      <c r="O59" s="675"/>
      <c r="P59" s="676"/>
      <c r="Q59" s="676"/>
      <c r="R59" s="676"/>
      <c r="S59" s="675"/>
      <c r="T59" s="675"/>
      <c r="U59" s="676"/>
      <c r="V59" s="676"/>
      <c r="W59" s="676"/>
      <c r="X59" s="675"/>
      <c r="Y59" s="675"/>
      <c r="Z59" s="676"/>
      <c r="AA59" s="676"/>
      <c r="AB59" s="676"/>
      <c r="AC59" s="675"/>
      <c r="AD59" s="675"/>
      <c r="AE59" s="676"/>
      <c r="AF59" s="676"/>
      <c r="AG59" s="676"/>
      <c r="AH59" s="675"/>
      <c r="AI59" s="675"/>
      <c r="AJ59" s="676"/>
      <c r="AK59" s="676"/>
      <c r="AL59" s="676"/>
      <c r="AM59" s="675"/>
      <c r="AN59" s="675"/>
      <c r="AO59" s="676"/>
      <c r="AP59" s="676"/>
      <c r="AQ59" s="676"/>
      <c r="AR59" s="675"/>
      <c r="AS59" s="675"/>
      <c r="AT59" s="676"/>
      <c r="AU59" s="676"/>
      <c r="AV59" s="676"/>
      <c r="AW59" s="675"/>
      <c r="AX59" s="675"/>
      <c r="AY59" s="676"/>
      <c r="AZ59" s="676"/>
      <c r="BA59" s="676"/>
      <c r="BB59" s="675"/>
      <c r="BC59" s="675"/>
      <c r="BD59" s="676"/>
      <c r="BE59" s="676"/>
      <c r="BF59" s="676"/>
      <c r="BG59" s="675"/>
      <c r="BH59" s="675"/>
      <c r="BI59" s="676"/>
      <c r="BJ59" s="676"/>
      <c r="BK59" s="676"/>
      <c r="BL59" s="675"/>
      <c r="BM59" s="675"/>
      <c r="BN59" s="676"/>
      <c r="BO59" s="676"/>
      <c r="BP59" s="676"/>
      <c r="BQ59" s="675"/>
      <c r="BR59" s="675"/>
    </row>
    <row r="60" spans="1:83" ht="59.25" hidden="1" thickBot="1" x14ac:dyDescent="0.3">
      <c r="A60" s="677"/>
      <c r="B60" s="678"/>
      <c r="C60" s="678"/>
      <c r="D60" s="678"/>
      <c r="E60" s="678"/>
      <c r="F60" s="677"/>
      <c r="G60" s="678"/>
      <c r="H60" s="678"/>
      <c r="I60" s="678"/>
      <c r="J60" s="678"/>
      <c r="K60" s="677"/>
      <c r="L60" s="678"/>
      <c r="M60" s="678"/>
      <c r="N60" s="678"/>
      <c r="O60" s="678"/>
      <c r="P60" s="677"/>
      <c r="Q60" s="678"/>
      <c r="R60" s="678"/>
      <c r="S60" s="678"/>
      <c r="T60" s="678"/>
      <c r="U60" s="677"/>
      <c r="V60" s="678"/>
      <c r="W60" s="678"/>
      <c r="X60" s="678"/>
      <c r="Y60" s="678"/>
      <c r="Z60" s="677"/>
      <c r="AA60" s="678"/>
      <c r="AB60" s="678"/>
      <c r="AC60" s="678"/>
      <c r="AD60" s="678"/>
      <c r="AE60" s="677"/>
      <c r="AF60" s="678"/>
      <c r="AG60" s="678"/>
      <c r="AH60" s="678"/>
      <c r="AI60" s="678"/>
      <c r="AJ60" s="677"/>
      <c r="AK60" s="678"/>
      <c r="AL60" s="678"/>
      <c r="AM60" s="678"/>
      <c r="AN60" s="678"/>
      <c r="AO60" s="677"/>
      <c r="AP60" s="678"/>
      <c r="AQ60" s="678"/>
      <c r="AR60" s="678"/>
      <c r="AS60" s="678"/>
      <c r="AT60" s="677"/>
      <c r="AU60" s="678"/>
      <c r="AV60" s="678"/>
      <c r="AW60" s="678"/>
      <c r="AX60" s="678"/>
      <c r="AY60" s="677"/>
      <c r="AZ60" s="678"/>
      <c r="BA60" s="678"/>
      <c r="BB60" s="678"/>
      <c r="BC60" s="678"/>
      <c r="BD60" s="677"/>
      <c r="BE60" s="678"/>
      <c r="BF60" s="678"/>
      <c r="BG60" s="678"/>
      <c r="BH60" s="678"/>
      <c r="BI60" s="677"/>
      <c r="BJ60" s="678"/>
      <c r="BK60" s="678"/>
      <c r="BL60" s="678"/>
      <c r="BM60" s="678"/>
      <c r="BN60" s="677"/>
      <c r="BO60" s="678"/>
      <c r="BP60" s="678"/>
      <c r="BQ60" s="678"/>
      <c r="BR60" s="678"/>
    </row>
    <row r="61" spans="1:83" ht="27" hidden="1" thickBot="1" x14ac:dyDescent="0.3">
      <c r="A61" s="677"/>
      <c r="B61" s="32"/>
      <c r="C61" s="33"/>
      <c r="D61" s="34"/>
      <c r="E61" s="35"/>
      <c r="F61" s="677"/>
      <c r="G61" s="32"/>
      <c r="H61" s="33"/>
      <c r="I61" s="34"/>
      <c r="J61" s="35"/>
      <c r="K61" s="677"/>
      <c r="L61" s="32"/>
      <c r="M61" s="33"/>
      <c r="N61" s="34"/>
      <c r="O61" s="35"/>
      <c r="P61" s="677"/>
      <c r="Q61" s="32"/>
      <c r="R61" s="33"/>
      <c r="S61" s="34"/>
      <c r="T61" s="35"/>
      <c r="U61" s="677"/>
      <c r="V61" s="32"/>
      <c r="W61" s="33"/>
      <c r="X61" s="34"/>
      <c r="Y61" s="35"/>
      <c r="Z61" s="677"/>
      <c r="AA61" s="32"/>
      <c r="AB61" s="33"/>
      <c r="AC61" s="34"/>
      <c r="AD61" s="35"/>
      <c r="AE61" s="677"/>
      <c r="AF61" s="32"/>
      <c r="AG61" s="33"/>
      <c r="AH61" s="34"/>
      <c r="AI61" s="35"/>
      <c r="AJ61" s="677"/>
      <c r="AK61" s="32"/>
      <c r="AL61" s="33"/>
      <c r="AM61" s="34"/>
      <c r="AN61" s="35"/>
      <c r="AO61" s="677"/>
      <c r="AP61" s="32"/>
      <c r="AQ61" s="33"/>
      <c r="AR61" s="34"/>
      <c r="AS61" s="35"/>
      <c r="AT61" s="677"/>
      <c r="AU61" s="32"/>
      <c r="AV61" s="33"/>
      <c r="AW61" s="34"/>
      <c r="AX61" s="35"/>
      <c r="AY61" s="677"/>
      <c r="AZ61" s="32"/>
      <c r="BA61" s="33"/>
      <c r="BB61" s="34"/>
      <c r="BC61" s="35"/>
      <c r="BD61" s="677"/>
      <c r="BE61" s="32"/>
      <c r="BF61" s="33"/>
      <c r="BG61" s="34"/>
      <c r="BH61" s="35"/>
      <c r="BI61" s="677"/>
      <c r="BJ61" s="32"/>
      <c r="BK61" s="33"/>
      <c r="BL61" s="34"/>
      <c r="BM61" s="35"/>
      <c r="BN61" s="677"/>
      <c r="BO61" s="32"/>
      <c r="BP61" s="33"/>
      <c r="BQ61" s="34"/>
      <c r="BR61" s="35"/>
      <c r="BW61" s="27"/>
      <c r="BX61" s="27"/>
      <c r="BY61" s="27"/>
      <c r="BZ61" s="27"/>
      <c r="CA61" s="27"/>
      <c r="CB61" s="27"/>
      <c r="CC61" s="27"/>
      <c r="CD61" s="27"/>
      <c r="CE61" s="27"/>
    </row>
    <row r="62" spans="1:83" s="42" customFormat="1" ht="30" customHeight="1" thickTop="1" x14ac:dyDescent="0.25">
      <c r="A62" s="37"/>
      <c r="B62" s="38"/>
      <c r="C62" s="39"/>
      <c r="D62" s="40"/>
      <c r="E62" s="41"/>
      <c r="F62" s="37"/>
      <c r="G62" s="38"/>
      <c r="H62" s="39"/>
      <c r="I62" s="40"/>
      <c r="J62" s="41"/>
      <c r="K62" s="37"/>
      <c r="L62" s="38"/>
      <c r="M62" s="39"/>
      <c r="N62" s="40"/>
      <c r="O62" s="41"/>
      <c r="P62" s="37"/>
      <c r="Q62" s="38"/>
      <c r="R62" s="39"/>
      <c r="S62" s="40"/>
      <c r="T62" s="41"/>
      <c r="U62" s="37"/>
      <c r="V62" s="38"/>
      <c r="W62" s="38"/>
      <c r="X62" s="39"/>
      <c r="Y62" s="40"/>
      <c r="Z62" s="41"/>
      <c r="AA62" s="37"/>
      <c r="AB62" s="38"/>
      <c r="AC62" s="39"/>
      <c r="AD62" s="40"/>
      <c r="AE62" s="41"/>
      <c r="AF62" s="38"/>
      <c r="AG62" s="39"/>
      <c r="AH62" s="40"/>
      <c r="AI62" s="41"/>
      <c r="AJ62" s="37"/>
      <c r="AK62" s="38"/>
      <c r="AL62" s="39"/>
      <c r="AM62" s="40"/>
      <c r="AN62" s="41"/>
      <c r="AO62" s="38"/>
      <c r="AP62" s="39"/>
      <c r="AQ62" s="40"/>
      <c r="AR62" s="41"/>
      <c r="AS62" s="37"/>
      <c r="AT62" s="38"/>
      <c r="AU62" s="39"/>
      <c r="AV62" s="40"/>
      <c r="AW62" s="41"/>
      <c r="AX62" s="38"/>
      <c r="AY62" s="39"/>
      <c r="AZ62" s="40"/>
      <c r="BA62" s="41"/>
      <c r="BB62" s="37"/>
      <c r="BC62" s="38"/>
      <c r="BD62" s="39"/>
      <c r="BE62" s="40"/>
      <c r="BF62" s="41"/>
      <c r="BG62" s="38"/>
      <c r="BH62" s="39"/>
      <c r="BI62" s="40"/>
      <c r="BJ62" s="41"/>
      <c r="BK62" s="37"/>
      <c r="BL62" s="38"/>
      <c r="BM62" s="39"/>
      <c r="BN62" s="40"/>
      <c r="BO62" s="41"/>
      <c r="BP62" s="38"/>
      <c r="BQ62" s="39"/>
      <c r="BR62" s="40"/>
      <c r="BW62" s="43"/>
      <c r="BX62" s="43"/>
      <c r="BY62" s="43"/>
      <c r="BZ62" s="43"/>
      <c r="CA62" s="43"/>
      <c r="CB62" s="43"/>
      <c r="CC62" s="43"/>
      <c r="CD62" s="43"/>
      <c r="CE62" s="43"/>
    </row>
    <row r="63" spans="1:83" ht="21.95" customHeight="1" x14ac:dyDescent="0.25">
      <c r="A63" s="674"/>
      <c r="B63" s="674"/>
      <c r="C63" s="674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45"/>
      <c r="AN63" s="45"/>
      <c r="AO63" s="45"/>
      <c r="AP63" s="45"/>
      <c r="AQ63" s="45"/>
      <c r="AR63" s="45"/>
      <c r="AS63" s="45"/>
      <c r="AT63" s="45"/>
      <c r="AU63" s="45"/>
      <c r="AV63" s="45"/>
      <c r="AW63" s="45"/>
      <c r="AX63" s="45"/>
      <c r="AY63" s="45"/>
      <c r="AZ63" s="45"/>
      <c r="BA63" s="45"/>
      <c r="BB63" s="45"/>
      <c r="BC63" s="45"/>
      <c r="BD63" s="45"/>
      <c r="BE63" s="45"/>
      <c r="BF63" s="45"/>
      <c r="BG63" s="45"/>
      <c r="BH63" s="45"/>
      <c r="BI63" s="45"/>
      <c r="BJ63" s="45"/>
      <c r="BK63" s="45"/>
      <c r="BL63" s="45"/>
      <c r="BM63" s="45"/>
      <c r="BN63" s="45"/>
      <c r="BO63" s="45"/>
      <c r="BP63" s="45"/>
      <c r="BQ63" s="45"/>
      <c r="BR63" s="45"/>
    </row>
    <row r="64" spans="1:83" ht="6.75" customHeight="1" x14ac:dyDescent="0.25">
      <c r="A64" s="676"/>
      <c r="B64" s="676"/>
      <c r="C64" s="676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45"/>
      <c r="BD64" s="45"/>
      <c r="BE64" s="45"/>
      <c r="BF64" s="45"/>
      <c r="BG64" s="45"/>
      <c r="BH64" s="45"/>
      <c r="BI64" s="45"/>
      <c r="BJ64" s="45"/>
      <c r="BK64" s="45"/>
      <c r="BL64" s="45"/>
      <c r="BM64" s="45"/>
      <c r="BN64" s="45"/>
      <c r="BO64" s="45"/>
      <c r="BP64" s="45"/>
      <c r="BQ64" s="45"/>
      <c r="BR64" s="45"/>
    </row>
    <row r="65" spans="1:90" ht="37.5" customHeight="1" x14ac:dyDescent="0.25">
      <c r="A65" s="676"/>
      <c r="B65" s="676"/>
      <c r="C65" s="676"/>
      <c r="D65" s="49"/>
      <c r="E65" s="49"/>
      <c r="F65" s="49"/>
      <c r="G65" s="49"/>
      <c r="H65" s="49"/>
      <c r="I65" s="49"/>
      <c r="J65" s="49"/>
      <c r="K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5"/>
      <c r="AW65" s="45"/>
      <c r="AX65" s="45"/>
      <c r="AY65" s="45"/>
      <c r="AZ65" s="45"/>
      <c r="BA65" s="45"/>
      <c r="BB65" s="45"/>
      <c r="BC65" s="45"/>
      <c r="BD65" s="45"/>
      <c r="BE65" s="45"/>
      <c r="BF65" s="45"/>
      <c r="BG65" s="45"/>
      <c r="BH65" s="45"/>
      <c r="BI65" s="45"/>
      <c r="BJ65" s="45"/>
      <c r="BK65" s="45"/>
      <c r="BL65" s="45"/>
      <c r="BM65" s="45"/>
      <c r="BN65" s="45"/>
      <c r="BO65" s="45"/>
      <c r="BP65" s="45"/>
      <c r="BQ65" s="45"/>
      <c r="BR65" s="45"/>
    </row>
    <row r="66" spans="1:90" ht="6" customHeight="1" x14ac:dyDescent="0.25">
      <c r="A66" s="676"/>
      <c r="B66" s="676"/>
      <c r="C66" s="676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5"/>
      <c r="BF66" s="45"/>
      <c r="BG66" s="45"/>
      <c r="BH66" s="45"/>
      <c r="BI66" s="45"/>
      <c r="BJ66" s="45"/>
      <c r="BK66" s="45"/>
      <c r="BL66" s="45"/>
      <c r="BM66" s="45"/>
      <c r="BN66" s="45"/>
      <c r="BO66" s="45"/>
      <c r="BP66" s="45"/>
      <c r="BQ66" s="45"/>
      <c r="BR66" s="45"/>
    </row>
    <row r="67" spans="1:90" ht="30" customHeight="1" x14ac:dyDescent="0.25">
      <c r="B67" s="17"/>
      <c r="D67" s="45"/>
      <c r="E67" s="45"/>
      <c r="F67" s="45"/>
      <c r="G67" s="45"/>
      <c r="H67" s="45"/>
      <c r="I67" s="45"/>
      <c r="J67" s="45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49"/>
      <c r="BC67" s="49"/>
      <c r="BD67" s="49"/>
      <c r="BE67" s="49"/>
      <c r="BF67" s="49"/>
      <c r="BG67" s="49"/>
      <c r="BH67" s="49"/>
      <c r="BI67" s="49"/>
      <c r="BJ67" s="49"/>
      <c r="BK67" s="49"/>
      <c r="BL67" s="49"/>
      <c r="BM67" s="49"/>
      <c r="BN67" s="49"/>
      <c r="BO67" s="49"/>
      <c r="BP67" s="49"/>
      <c r="BQ67" s="49"/>
      <c r="BR67" s="49"/>
      <c r="BS67" s="50"/>
      <c r="BT67" s="50"/>
      <c r="BW67" s="51"/>
      <c r="BX67" s="51"/>
      <c r="BY67" s="51"/>
      <c r="BZ67" s="51"/>
      <c r="CA67" s="51"/>
      <c r="CB67" s="51"/>
      <c r="CC67" s="27"/>
      <c r="CD67" s="27"/>
      <c r="CE67" s="27"/>
      <c r="CG67" s="27"/>
      <c r="CH67" s="27"/>
      <c r="CI67" s="27"/>
      <c r="CJ67" s="27"/>
      <c r="CK67" s="27"/>
      <c r="CL67" s="27"/>
    </row>
    <row r="68" spans="1:90" ht="34.5" customHeight="1" x14ac:dyDescent="0.25"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45"/>
      <c r="AS68" s="45"/>
      <c r="AT68" s="45"/>
      <c r="AU68" s="45"/>
      <c r="AV68" s="45"/>
      <c r="AW68" s="45"/>
      <c r="AX68" s="45"/>
      <c r="AY68" s="45"/>
      <c r="AZ68" s="45"/>
      <c r="BA68" s="45"/>
      <c r="BB68" s="45"/>
      <c r="BC68" s="45"/>
      <c r="BD68" s="45"/>
      <c r="BE68" s="45"/>
      <c r="BF68" s="45"/>
      <c r="BG68" s="45"/>
      <c r="BH68" s="45"/>
      <c r="BI68" s="45"/>
      <c r="BJ68" s="45"/>
      <c r="BK68" s="45"/>
      <c r="BL68" s="45"/>
      <c r="BM68" s="45"/>
      <c r="BN68" s="45"/>
      <c r="BO68" s="45"/>
      <c r="BP68" s="45"/>
      <c r="BQ68" s="45"/>
      <c r="BR68" s="45"/>
      <c r="BS68" s="50"/>
      <c r="BT68" s="50"/>
      <c r="BW68" s="27"/>
      <c r="BX68" s="27"/>
      <c r="BY68" s="27"/>
      <c r="BZ68" s="27"/>
      <c r="CA68" s="27"/>
      <c r="CB68" s="27"/>
      <c r="CC68" s="27"/>
      <c r="CD68" s="27"/>
      <c r="CE68" s="27"/>
      <c r="CG68" s="27"/>
      <c r="CH68" s="27"/>
      <c r="CI68" s="27"/>
      <c r="CJ68" s="27"/>
      <c r="CK68" s="27"/>
      <c r="CL68" s="27"/>
    </row>
    <row r="69" spans="1:90" ht="15" customHeight="1" x14ac:dyDescent="0.25">
      <c r="G69" s="45"/>
      <c r="H69" s="45"/>
      <c r="I69" s="45"/>
      <c r="J69" s="52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5"/>
      <c r="AW69" s="45"/>
      <c r="AX69" s="45"/>
      <c r="AY69" s="45"/>
      <c r="AZ69" s="45"/>
      <c r="BA69" s="45"/>
      <c r="BB69" s="45"/>
      <c r="BC69" s="45"/>
      <c r="BD69" s="45"/>
      <c r="BE69" s="45"/>
      <c r="BF69" s="45"/>
      <c r="BG69" s="45"/>
      <c r="BH69" s="45"/>
      <c r="BI69" s="45"/>
      <c r="BJ69" s="45"/>
      <c r="BK69" s="45"/>
      <c r="BL69" s="45"/>
      <c r="BM69" s="45"/>
      <c r="BN69" s="45"/>
      <c r="BO69" s="45"/>
      <c r="BP69" s="45"/>
      <c r="BQ69" s="45"/>
      <c r="BR69" s="45"/>
      <c r="BS69" s="50"/>
      <c r="BT69" s="50"/>
      <c r="BW69" s="27"/>
      <c r="BX69" s="27"/>
      <c r="BY69" s="27"/>
      <c r="BZ69" s="27"/>
      <c r="CA69" s="27"/>
      <c r="CB69" s="27"/>
      <c r="CC69" s="27"/>
      <c r="CD69" s="27"/>
      <c r="CE69" s="27"/>
      <c r="CG69" s="27"/>
      <c r="CH69" s="27"/>
      <c r="CI69" s="27"/>
      <c r="CJ69" s="27"/>
      <c r="CK69" s="27"/>
      <c r="CL69" s="27"/>
    </row>
    <row r="70" spans="1:90" ht="15" customHeight="1" x14ac:dyDescent="0.25">
      <c r="G70" s="45"/>
      <c r="H70" s="45"/>
      <c r="I70" s="45"/>
      <c r="J70" s="52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38"/>
      <c r="X70" s="39"/>
      <c r="Y70" s="40"/>
      <c r="Z70" s="41"/>
      <c r="AA70" s="37"/>
      <c r="AB70" s="38"/>
      <c r="AC70" s="39"/>
      <c r="AD70" s="40"/>
      <c r="AE70" s="41"/>
      <c r="AF70" s="38"/>
      <c r="AG70" s="39"/>
      <c r="AH70" s="40"/>
      <c r="AI70" s="41"/>
      <c r="AJ70" s="37"/>
      <c r="AK70" s="38"/>
      <c r="AL70" s="39"/>
      <c r="AM70" s="40"/>
      <c r="AN70" s="41"/>
      <c r="AO70" s="38"/>
      <c r="AP70" s="39"/>
      <c r="AQ70" s="40"/>
      <c r="AR70" s="41"/>
      <c r="AS70" s="37"/>
      <c r="AT70" s="38"/>
      <c r="AU70" s="39"/>
      <c r="AV70" s="40"/>
      <c r="AW70" s="41"/>
      <c r="AX70" s="38"/>
      <c r="AY70" s="39"/>
      <c r="AZ70" s="40"/>
      <c r="BA70" s="41"/>
      <c r="BB70" s="37"/>
      <c r="BC70" s="38"/>
      <c r="BD70" s="39"/>
      <c r="BE70" s="40"/>
      <c r="BF70" s="41"/>
      <c r="BG70" s="38"/>
      <c r="BH70" s="39"/>
      <c r="BI70" s="40"/>
      <c r="BJ70" s="41"/>
      <c r="BK70" s="37"/>
      <c r="BL70" s="38"/>
      <c r="BM70" s="39"/>
      <c r="BN70" s="40"/>
      <c r="BO70" s="41"/>
      <c r="BP70" s="38"/>
      <c r="BQ70" s="39"/>
      <c r="BR70" s="40"/>
      <c r="BS70" s="50"/>
      <c r="BT70" s="50"/>
      <c r="BW70" s="27"/>
      <c r="BX70" s="27"/>
      <c r="BY70" s="27"/>
      <c r="BZ70" s="27"/>
      <c r="CA70" s="27"/>
      <c r="CB70" s="27"/>
      <c r="CC70" s="27"/>
      <c r="CD70" s="27"/>
      <c r="CE70" s="27"/>
      <c r="CG70" s="27"/>
      <c r="CH70" s="27"/>
      <c r="CI70" s="27"/>
      <c r="CJ70" s="27"/>
      <c r="CK70" s="27"/>
      <c r="CL70" s="27"/>
    </row>
    <row r="71" spans="1:90" ht="15" customHeight="1" x14ac:dyDescent="0.25">
      <c r="G71" s="49"/>
      <c r="H71" s="49"/>
      <c r="I71" s="49"/>
      <c r="J71" s="52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  <c r="AM71" s="45"/>
      <c r="AN71" s="45"/>
      <c r="AO71" s="45"/>
      <c r="AP71" s="45"/>
      <c r="AQ71" s="45"/>
      <c r="AR71" s="45"/>
      <c r="AS71" s="45"/>
      <c r="AT71" s="45"/>
      <c r="AU71" s="45"/>
      <c r="AV71" s="45"/>
      <c r="AW71" s="45"/>
      <c r="AX71" s="45"/>
      <c r="AY71" s="45"/>
      <c r="AZ71" s="45"/>
      <c r="BA71" s="45"/>
      <c r="BB71" s="45"/>
      <c r="BC71" s="45"/>
      <c r="BD71" s="45"/>
      <c r="BE71" s="45"/>
      <c r="BF71" s="45"/>
      <c r="BG71" s="45"/>
      <c r="BH71" s="45"/>
      <c r="BI71" s="45"/>
      <c r="BJ71" s="45"/>
      <c r="BK71" s="45"/>
      <c r="BL71" s="45"/>
      <c r="BM71" s="45"/>
      <c r="BN71" s="45"/>
      <c r="BO71" s="45"/>
      <c r="BP71" s="45"/>
      <c r="BQ71" s="45"/>
      <c r="BR71" s="45"/>
      <c r="BS71" s="53"/>
      <c r="BT71" s="53"/>
    </row>
    <row r="72" spans="1:90" ht="22.5" customHeight="1" x14ac:dyDescent="0.25">
      <c r="G72" s="45"/>
      <c r="H72" s="45"/>
      <c r="I72" s="45"/>
      <c r="J72" s="52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  <c r="BC72" s="45"/>
      <c r="BD72" s="45"/>
      <c r="BE72" s="45"/>
      <c r="BF72" s="45"/>
      <c r="BG72" s="45"/>
      <c r="BH72" s="45"/>
      <c r="BI72" s="45"/>
      <c r="BJ72" s="45"/>
      <c r="BK72" s="45"/>
      <c r="BL72" s="45"/>
      <c r="BM72" s="45"/>
      <c r="BN72" s="45"/>
      <c r="BO72" s="45"/>
      <c r="BP72" s="45"/>
      <c r="BQ72" s="45"/>
      <c r="BR72" s="45"/>
      <c r="BS72" s="53"/>
      <c r="BT72" s="53"/>
    </row>
    <row r="73" spans="1:90" ht="23.25" x14ac:dyDescent="0.35">
      <c r="A73" s="54"/>
      <c r="E73" s="54"/>
      <c r="F73" s="54"/>
      <c r="G73" s="54"/>
      <c r="H73" s="54"/>
      <c r="I73" s="54"/>
      <c r="J73" s="54"/>
      <c r="K73" s="54"/>
    </row>
    <row r="74" spans="1:90" ht="24" thickBot="1" x14ac:dyDescent="0.4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X74" s="55"/>
    </row>
    <row r="75" spans="1:90" ht="15.75" thickTop="1" x14ac:dyDescent="0.25">
      <c r="AD75" s="775">
        <v>96.41</v>
      </c>
      <c r="AE75" s="776"/>
      <c r="AF75" s="776"/>
      <c r="AG75" s="776"/>
      <c r="AH75" s="777"/>
      <c r="AL75" s="727" t="s">
        <v>122</v>
      </c>
      <c r="AM75" s="727"/>
      <c r="AN75" s="727"/>
      <c r="AO75" s="727" t="s">
        <v>123</v>
      </c>
      <c r="AP75" s="727"/>
      <c r="AQ75" s="727"/>
      <c r="AR75" s="727" t="s">
        <v>124</v>
      </c>
      <c r="AS75" s="727"/>
      <c r="AT75" s="727" t="s">
        <v>125</v>
      </c>
      <c r="AU75" s="727"/>
      <c r="AY75" s="739" t="s">
        <v>126</v>
      </c>
      <c r="AZ75" s="740"/>
      <c r="BA75" s="740"/>
      <c r="BB75" s="740"/>
      <c r="BC75" s="740"/>
      <c r="BD75" s="740"/>
      <c r="BE75" s="740"/>
      <c r="BF75" s="740"/>
      <c r="BG75" s="740"/>
      <c r="BH75" s="741"/>
      <c r="BI75" s="13"/>
      <c r="BJ75" s="13"/>
      <c r="BK75" s="13"/>
      <c r="BL75" s="13"/>
      <c r="BM75" s="13"/>
      <c r="BN75" s="13"/>
      <c r="BO75" s="13"/>
      <c r="BP75" s="13"/>
      <c r="BQ75" s="13"/>
      <c r="BR75" s="13"/>
    </row>
    <row r="76" spans="1:90" ht="15" customHeight="1" x14ac:dyDescent="0.25">
      <c r="O76" s="114" t="s">
        <v>127</v>
      </c>
      <c r="P76" s="114"/>
      <c r="Q76" s="114"/>
      <c r="R76" s="114"/>
      <c r="S76" s="114"/>
      <c r="T76" s="114"/>
      <c r="U76" s="114"/>
      <c r="V76" s="114"/>
      <c r="AD76" s="778"/>
      <c r="AE76" s="779"/>
      <c r="AF76" s="779"/>
      <c r="AG76" s="779"/>
      <c r="AH76" s="780"/>
      <c r="AL76" s="727"/>
      <c r="AM76" s="727"/>
      <c r="AN76" s="727"/>
      <c r="AO76" s="727"/>
      <c r="AP76" s="727"/>
      <c r="AQ76" s="727"/>
      <c r="AR76" s="727"/>
      <c r="AS76" s="727"/>
      <c r="AT76" s="727"/>
      <c r="AU76" s="727"/>
      <c r="AY76" s="750"/>
      <c r="AZ76" s="751"/>
      <c r="BA76" s="751"/>
      <c r="BB76" s="751"/>
      <c r="BC76" s="751"/>
      <c r="BD76" s="751"/>
      <c r="BE76" s="751"/>
      <c r="BF76" s="751"/>
      <c r="BG76" s="751"/>
      <c r="BH76" s="752"/>
      <c r="BI76" s="13"/>
      <c r="BJ76" s="13"/>
      <c r="BK76" s="13"/>
      <c r="BL76" s="13"/>
      <c r="BM76" s="13"/>
      <c r="BN76" s="13"/>
      <c r="BO76" s="13"/>
      <c r="BP76" s="13"/>
      <c r="BQ76" s="13"/>
      <c r="BR76" s="13"/>
    </row>
    <row r="77" spans="1:90" ht="15" customHeight="1" x14ac:dyDescent="0.25">
      <c r="O77" s="114"/>
      <c r="P77" s="114"/>
      <c r="Q77" s="114"/>
      <c r="R77" s="114"/>
      <c r="S77" s="114"/>
      <c r="T77" s="114"/>
      <c r="U77" s="114"/>
      <c r="V77" s="114"/>
      <c r="AA77" s="56"/>
      <c r="AD77" s="778"/>
      <c r="AE77" s="779"/>
      <c r="AF77" s="779"/>
      <c r="AG77" s="779"/>
      <c r="AH77" s="780"/>
      <c r="AL77" s="727"/>
      <c r="AM77" s="727"/>
      <c r="AN77" s="727"/>
      <c r="AO77" s="727"/>
      <c r="AP77" s="727"/>
      <c r="AQ77" s="727"/>
      <c r="AR77" s="727"/>
      <c r="AS77" s="727"/>
      <c r="AT77" s="727"/>
      <c r="AU77" s="727"/>
      <c r="AY77" s="742"/>
      <c r="AZ77" s="743"/>
      <c r="BA77" s="743"/>
      <c r="BB77" s="743"/>
      <c r="BC77" s="743"/>
      <c r="BD77" s="743"/>
      <c r="BE77" s="743"/>
      <c r="BF77" s="743"/>
      <c r="BG77" s="743"/>
      <c r="BH77" s="744"/>
      <c r="BI77" s="13"/>
      <c r="BJ77" s="13"/>
      <c r="BK77" s="13"/>
      <c r="BL77" s="13"/>
      <c r="BM77" s="13"/>
      <c r="BN77" s="13"/>
      <c r="BO77" s="13"/>
      <c r="BP77" s="13"/>
      <c r="BQ77" s="13"/>
      <c r="BR77" s="13"/>
    </row>
    <row r="78" spans="1:90" ht="15" customHeight="1" x14ac:dyDescent="0.25">
      <c r="O78" s="114"/>
      <c r="P78" s="114"/>
      <c r="Q78" s="114"/>
      <c r="R78" s="114"/>
      <c r="S78" s="114"/>
      <c r="T78" s="114"/>
      <c r="U78" s="114"/>
      <c r="V78" s="114"/>
      <c r="AD78" s="778"/>
      <c r="AE78" s="779"/>
      <c r="AF78" s="779"/>
      <c r="AG78" s="779"/>
      <c r="AH78" s="780"/>
      <c r="AL78" s="774">
        <v>4162.5</v>
      </c>
      <c r="AM78" s="774"/>
      <c r="AN78" s="774"/>
      <c r="AO78" s="774">
        <f ca="1">AT94</f>
        <v>4162.5</v>
      </c>
      <c r="AP78" s="774"/>
      <c r="AQ78" s="774"/>
      <c r="AR78" s="726">
        <f>AS39</f>
        <v>96.411500000000004</v>
      </c>
      <c r="AS78" s="726"/>
      <c r="AT78" s="726">
        <f>AS39+BJ41</f>
        <v>139.91149999999999</v>
      </c>
      <c r="AU78" s="726"/>
      <c r="AY78" s="727" t="s">
        <v>128</v>
      </c>
      <c r="AZ78" s="727"/>
      <c r="BA78" s="727"/>
      <c r="BB78" s="727"/>
      <c r="BC78" s="727"/>
      <c r="BD78" s="727"/>
      <c r="BE78" s="727"/>
      <c r="BF78" s="727"/>
      <c r="BG78" s="727"/>
      <c r="BH78" s="727"/>
      <c r="BI78" s="13"/>
      <c r="BJ78" s="13"/>
      <c r="BK78" s="13"/>
      <c r="BL78" s="13"/>
      <c r="BM78" s="13"/>
      <c r="BN78" s="13"/>
      <c r="BO78" s="13"/>
      <c r="BP78" s="13"/>
      <c r="BQ78" s="13"/>
      <c r="BR78" s="13"/>
    </row>
    <row r="79" spans="1:90" ht="15" customHeight="1" x14ac:dyDescent="0.25">
      <c r="O79" s="114"/>
      <c r="P79" s="114"/>
      <c r="Q79" s="114"/>
      <c r="R79" s="114"/>
      <c r="S79" s="114"/>
      <c r="T79" s="114"/>
      <c r="U79" s="114"/>
      <c r="V79" s="114"/>
      <c r="AD79" s="778"/>
      <c r="AE79" s="779"/>
      <c r="AF79" s="779"/>
      <c r="AG79" s="779"/>
      <c r="AH79" s="780"/>
      <c r="AL79" s="774"/>
      <c r="AM79" s="774"/>
      <c r="AN79" s="774"/>
      <c r="AO79" s="774"/>
      <c r="AP79" s="774"/>
      <c r="AQ79" s="774"/>
      <c r="AR79" s="726"/>
      <c r="AS79" s="726"/>
      <c r="AT79" s="726"/>
      <c r="AU79" s="726"/>
      <c r="AY79" s="727"/>
      <c r="AZ79" s="727"/>
      <c r="BA79" s="727"/>
      <c r="BB79" s="727"/>
      <c r="BC79" s="727"/>
      <c r="BD79" s="727"/>
      <c r="BE79" s="727"/>
      <c r="BF79" s="727"/>
      <c r="BG79" s="727"/>
      <c r="BH79" s="727"/>
      <c r="BI79" s="13"/>
      <c r="BJ79" s="13"/>
      <c r="BK79" s="13"/>
      <c r="BL79" s="13"/>
      <c r="BM79" s="13"/>
      <c r="BN79" s="13"/>
      <c r="BO79" s="13"/>
      <c r="BP79" s="13"/>
      <c r="BQ79" s="13"/>
      <c r="BR79" s="13"/>
    </row>
    <row r="80" spans="1:90" ht="15" customHeight="1" x14ac:dyDescent="0.25">
      <c r="O80" s="114"/>
      <c r="P80" s="114"/>
      <c r="Q80" s="114"/>
      <c r="R80" s="114"/>
      <c r="S80" s="114"/>
      <c r="T80" s="114"/>
      <c r="U80" s="114"/>
      <c r="V80" s="114"/>
      <c r="AD80" s="778"/>
      <c r="AE80" s="779"/>
      <c r="AF80" s="779"/>
      <c r="AG80" s="779"/>
      <c r="AH80" s="780"/>
      <c r="AL80" s="774"/>
      <c r="AM80" s="774"/>
      <c r="AN80" s="774"/>
      <c r="AO80" s="774"/>
      <c r="AP80" s="774"/>
      <c r="AQ80" s="774"/>
      <c r="AR80" s="726"/>
      <c r="AS80" s="726"/>
      <c r="AT80" s="726"/>
      <c r="AU80" s="726"/>
      <c r="AY80" s="728">
        <f ca="1">AR78/((60*3.1415/59)*(AO78/3.281))</f>
        <v>2.3787265551083472E-2</v>
      </c>
      <c r="AZ80" s="729"/>
      <c r="BA80" s="729"/>
      <c r="BB80" s="729"/>
      <c r="BC80" s="729"/>
      <c r="BD80" s="729"/>
      <c r="BE80" s="729"/>
      <c r="BF80" s="729"/>
      <c r="BG80" s="729"/>
      <c r="BH80" s="730"/>
      <c r="BI80" s="57"/>
      <c r="BJ80" s="57"/>
      <c r="BK80" s="57"/>
      <c r="BL80" s="57"/>
      <c r="BM80" s="57"/>
      <c r="BN80" s="57"/>
      <c r="BO80" s="57"/>
      <c r="BP80" s="57"/>
      <c r="BQ80" s="57"/>
      <c r="BR80" s="57"/>
    </row>
    <row r="81" spans="30:70" ht="15.75" customHeight="1" thickBot="1" x14ac:dyDescent="0.3">
      <c r="AD81" s="781"/>
      <c r="AE81" s="782"/>
      <c r="AF81" s="782"/>
      <c r="AG81" s="782"/>
      <c r="AH81" s="783"/>
      <c r="AL81" s="774"/>
      <c r="AM81" s="774"/>
      <c r="AN81" s="774"/>
      <c r="AO81" s="774"/>
      <c r="AP81" s="774"/>
      <c r="AQ81" s="774"/>
      <c r="AR81" s="726"/>
      <c r="AS81" s="726"/>
      <c r="AT81" s="726"/>
      <c r="AU81" s="726"/>
      <c r="AY81" s="731"/>
      <c r="AZ81" s="732"/>
      <c r="BA81" s="732"/>
      <c r="BB81" s="732"/>
      <c r="BC81" s="732"/>
      <c r="BD81" s="732"/>
      <c r="BE81" s="732"/>
      <c r="BF81" s="732"/>
      <c r="BG81" s="732"/>
      <c r="BH81" s="733"/>
      <c r="BI81" s="57"/>
      <c r="BJ81" s="57"/>
      <c r="BK81" s="57"/>
      <c r="BL81" s="57"/>
      <c r="BM81" s="57"/>
      <c r="BN81" s="57"/>
      <c r="BO81" s="57"/>
      <c r="BP81" s="57"/>
      <c r="BQ81" s="57"/>
      <c r="BR81" s="57"/>
    </row>
    <row r="82" spans="30:70" ht="15.75" customHeight="1" thickTop="1" x14ac:dyDescent="0.25">
      <c r="AY82" s="734"/>
      <c r="AZ82" s="735"/>
      <c r="BA82" s="735"/>
      <c r="BB82" s="735"/>
      <c r="BC82" s="735"/>
      <c r="BD82" s="735"/>
      <c r="BE82" s="735"/>
      <c r="BF82" s="735"/>
      <c r="BG82" s="735"/>
      <c r="BH82" s="736"/>
      <c r="BI82" s="57"/>
      <c r="BJ82" s="57"/>
      <c r="BK82" s="57"/>
      <c r="BL82" s="57"/>
      <c r="BM82" s="57"/>
      <c r="BN82" s="57"/>
      <c r="BO82" s="57"/>
      <c r="BP82" s="57"/>
      <c r="BQ82" s="57"/>
      <c r="BR82" s="57"/>
    </row>
    <row r="83" spans="30:70" x14ac:dyDescent="0.25">
      <c r="AY83" s="739" t="s">
        <v>129</v>
      </c>
      <c r="AZ83" s="740"/>
      <c r="BA83" s="740"/>
      <c r="BB83" s="740"/>
      <c r="BC83" s="740"/>
      <c r="BD83" s="740"/>
      <c r="BE83" s="740"/>
      <c r="BF83" s="740"/>
      <c r="BG83" s="740"/>
      <c r="BH83" s="741"/>
      <c r="BI83" s="13"/>
      <c r="BJ83" s="13"/>
      <c r="BK83" s="13"/>
      <c r="BL83" s="13"/>
      <c r="BM83" s="13"/>
      <c r="BN83" s="13"/>
      <c r="BO83" s="13"/>
      <c r="BP83" s="13"/>
      <c r="BQ83" s="13"/>
      <c r="BR83" s="13"/>
    </row>
    <row r="84" spans="30:70" x14ac:dyDescent="0.25">
      <c r="AY84" s="742"/>
      <c r="AZ84" s="743"/>
      <c r="BA84" s="743"/>
      <c r="BB84" s="743"/>
      <c r="BC84" s="743"/>
      <c r="BD84" s="743"/>
      <c r="BE84" s="743"/>
      <c r="BF84" s="743"/>
      <c r="BG84" s="743"/>
      <c r="BH84" s="744"/>
      <c r="BI84" s="13"/>
      <c r="BJ84" s="13"/>
      <c r="BK84" s="13"/>
      <c r="BL84" s="13"/>
      <c r="BM84" s="13"/>
      <c r="BN84" s="13"/>
      <c r="BO84" s="13"/>
      <c r="BP84" s="13"/>
      <c r="BQ84" s="13"/>
      <c r="BR84" s="13"/>
    </row>
    <row r="85" spans="30:70" x14ac:dyDescent="0.25">
      <c r="AN85" s="1255">
        <v>82.5</v>
      </c>
      <c r="AO85" s="1255"/>
      <c r="AP85" s="1255"/>
      <c r="AQ85" s="746" cm="1">
        <f t="array" aca="1" ref="AQ85" ca="1">SUM(COUNTIF(INDIRECT({"B7","G7","L7"}),"&gt;0"))</f>
        <v>3</v>
      </c>
      <c r="AR85" s="746"/>
      <c r="AS85" s="746"/>
      <c r="AT85" s="747">
        <f ca="1">AQ85*AN85</f>
        <v>247.5</v>
      </c>
      <c r="AU85" s="748"/>
      <c r="AV85" s="748"/>
      <c r="AW85" s="749"/>
      <c r="AY85" s="739" t="s">
        <v>130</v>
      </c>
      <c r="AZ85" s="740"/>
      <c r="BA85" s="740"/>
      <c r="BB85" s="740"/>
      <c r="BC85" s="740"/>
      <c r="BD85" s="740"/>
      <c r="BE85" s="740"/>
      <c r="BF85" s="740"/>
      <c r="BG85" s="740"/>
      <c r="BH85" s="741"/>
      <c r="BI85" s="13"/>
      <c r="BJ85" s="13"/>
      <c r="BK85" s="13"/>
      <c r="BL85" s="13"/>
      <c r="BM85" s="13"/>
      <c r="BN85" s="13"/>
      <c r="BO85" s="13"/>
      <c r="BP85" s="13"/>
      <c r="BQ85" s="13"/>
      <c r="BR85" s="13"/>
    </row>
    <row r="86" spans="30:70" x14ac:dyDescent="0.25">
      <c r="AN86" s="1255"/>
      <c r="AO86" s="1255"/>
      <c r="AP86" s="1255"/>
      <c r="AQ86" s="746"/>
      <c r="AR86" s="746"/>
      <c r="AS86" s="746"/>
      <c r="AT86" s="747"/>
      <c r="AU86" s="748"/>
      <c r="AV86" s="748"/>
      <c r="AW86" s="749"/>
      <c r="AY86" s="750"/>
      <c r="AZ86" s="751"/>
      <c r="BA86" s="751"/>
      <c r="BB86" s="751"/>
      <c r="BC86" s="751"/>
      <c r="BD86" s="751"/>
      <c r="BE86" s="751"/>
      <c r="BF86" s="751"/>
      <c r="BG86" s="751"/>
      <c r="BH86" s="752"/>
      <c r="BI86" s="13"/>
      <c r="BJ86" s="13"/>
      <c r="BK86" s="13"/>
      <c r="BL86" s="13"/>
      <c r="BM86" s="13"/>
      <c r="BN86" s="13"/>
      <c r="BO86" s="13"/>
      <c r="BP86" s="13"/>
      <c r="BQ86" s="13"/>
      <c r="BR86" s="13"/>
    </row>
    <row r="87" spans="30:70" ht="15" customHeight="1" x14ac:dyDescent="0.25">
      <c r="AN87" s="1255"/>
      <c r="AO87" s="1255"/>
      <c r="AP87" s="1255"/>
      <c r="AQ87" s="746"/>
      <c r="AR87" s="746"/>
      <c r="AS87" s="746"/>
      <c r="AT87" s="747"/>
      <c r="AU87" s="748"/>
      <c r="AV87" s="748"/>
      <c r="AW87" s="749"/>
      <c r="AY87" s="750"/>
      <c r="AZ87" s="751"/>
      <c r="BA87" s="751"/>
      <c r="BB87" s="751"/>
      <c r="BC87" s="751"/>
      <c r="BD87" s="751"/>
      <c r="BE87" s="751"/>
      <c r="BF87" s="751"/>
      <c r="BG87" s="751"/>
      <c r="BH87" s="752"/>
      <c r="BI87" s="13"/>
      <c r="BJ87" s="13"/>
      <c r="BK87" s="13"/>
      <c r="BL87" s="13"/>
      <c r="BM87" s="13"/>
      <c r="BN87" s="13"/>
      <c r="BO87" s="13"/>
      <c r="BP87" s="13"/>
      <c r="BQ87" s="13"/>
      <c r="BR87" s="13"/>
    </row>
    <row r="88" spans="30:70" ht="15" customHeight="1" x14ac:dyDescent="0.25">
      <c r="AN88" s="727">
        <v>72.5</v>
      </c>
      <c r="AO88" s="727"/>
      <c r="AP88" s="727"/>
      <c r="AQ88" s="746" cm="1">
        <f t="array" aca="1" ref="AQ88" ca="1">SUM(COUNTIF(INDIRECT({"Q7","V7","AA7","AF7","AK7","AP7","AU7","AZ7","BE7","BJ7","BO7","B13","G13","L13","Q13","V13","AA13","AF13","AK13","AP13","AU13","AZ13","BE13","BJ13","BO13","B19","G19","L19","Q19","V19","AA19","AF19","AK19","AP19","AU19","AZ19","BE19","BJ19","BO19","B25","G25","L25","Q25","V25","AA25","AF25","AK25","AP25","AU25","AZ25","BE25","BJ25","BO25","B31","G31","L31","Q31","V31","AA31","AF31","AK31","AP31","AU31","AZ31","BE31","BJ31","BO31"}),"&gt;0"))</f>
        <v>54</v>
      </c>
      <c r="AR88" s="746"/>
      <c r="AS88" s="746"/>
      <c r="AT88" s="747">
        <f ca="1">AN88*AQ88</f>
        <v>3915</v>
      </c>
      <c r="AU88" s="748"/>
      <c r="AV88" s="748"/>
      <c r="AW88" s="749"/>
      <c r="AY88" s="742"/>
      <c r="AZ88" s="743"/>
      <c r="BA88" s="743"/>
      <c r="BB88" s="743"/>
      <c r="BC88" s="743"/>
      <c r="BD88" s="743"/>
      <c r="BE88" s="743"/>
      <c r="BF88" s="743"/>
      <c r="BG88" s="743"/>
      <c r="BH88" s="744"/>
      <c r="BI88" s="13"/>
      <c r="BJ88" s="13"/>
      <c r="BK88" s="13"/>
      <c r="BL88" s="13"/>
      <c r="BM88" s="13"/>
      <c r="BN88" s="13"/>
      <c r="BO88" s="13"/>
      <c r="BP88" s="13"/>
      <c r="BQ88" s="13"/>
      <c r="BR88" s="13"/>
    </row>
    <row r="89" spans="30:70" ht="26.25" x14ac:dyDescent="0.25">
      <c r="AN89" s="727"/>
      <c r="AO89" s="727"/>
      <c r="AP89" s="727"/>
      <c r="AQ89" s="746"/>
      <c r="AR89" s="746"/>
      <c r="AS89" s="746"/>
      <c r="AT89" s="747"/>
      <c r="AU89" s="748"/>
      <c r="AV89" s="748"/>
      <c r="AW89" s="749"/>
      <c r="AY89" s="728">
        <f ca="1">AT78/((60*3.1415/59)*(AO78/3.281))</f>
        <v>3.4519865411806835E-2</v>
      </c>
      <c r="AZ89" s="729"/>
      <c r="BA89" s="729"/>
      <c r="BB89" s="729"/>
      <c r="BC89" s="729"/>
      <c r="BD89" s="729"/>
      <c r="BE89" s="729"/>
      <c r="BF89" s="729"/>
      <c r="BG89" s="729"/>
      <c r="BH89" s="730"/>
      <c r="BI89" s="57"/>
      <c r="BJ89" s="57"/>
      <c r="BK89" s="57"/>
      <c r="BL89" s="57"/>
      <c r="BM89" s="57"/>
      <c r="BN89" s="57"/>
      <c r="BO89" s="57"/>
      <c r="BP89" s="57"/>
      <c r="BQ89" s="57"/>
      <c r="BR89" s="57"/>
    </row>
    <row r="90" spans="30:70" ht="26.25" x14ac:dyDescent="0.25">
      <c r="AN90" s="727"/>
      <c r="AO90" s="727"/>
      <c r="AP90" s="727"/>
      <c r="AQ90" s="746"/>
      <c r="AR90" s="746"/>
      <c r="AS90" s="746"/>
      <c r="AT90" s="747"/>
      <c r="AU90" s="748"/>
      <c r="AV90" s="748"/>
      <c r="AW90" s="749"/>
      <c r="AY90" s="731"/>
      <c r="AZ90" s="732"/>
      <c r="BA90" s="732"/>
      <c r="BB90" s="732"/>
      <c r="BC90" s="732"/>
      <c r="BD90" s="732"/>
      <c r="BE90" s="732"/>
      <c r="BF90" s="732"/>
      <c r="BG90" s="732"/>
      <c r="BH90" s="733"/>
      <c r="BI90" s="57"/>
      <c r="BJ90" s="57"/>
      <c r="BK90" s="57"/>
      <c r="BL90" s="57"/>
      <c r="BM90" s="57"/>
      <c r="BN90" s="57"/>
      <c r="BO90" s="57"/>
      <c r="BP90" s="57"/>
      <c r="BQ90" s="57"/>
      <c r="BR90" s="57"/>
    </row>
    <row r="91" spans="30:70" ht="15" customHeight="1" x14ac:dyDescent="0.25">
      <c r="AN91" s="727"/>
      <c r="AO91" s="727"/>
      <c r="AP91" s="727"/>
      <c r="AQ91" s="746"/>
      <c r="AR91" s="746"/>
      <c r="AS91" s="746"/>
      <c r="AT91" s="747"/>
      <c r="AU91" s="748"/>
      <c r="AV91" s="748"/>
      <c r="AW91" s="749"/>
      <c r="AY91" s="731"/>
      <c r="AZ91" s="732"/>
      <c r="BA91" s="732"/>
      <c r="BB91" s="732"/>
      <c r="BC91" s="732"/>
      <c r="BD91" s="732"/>
      <c r="BE91" s="732"/>
      <c r="BF91" s="732"/>
      <c r="BG91" s="732"/>
      <c r="BH91" s="733"/>
      <c r="BI91" s="57"/>
      <c r="BJ91" s="57"/>
      <c r="BK91" s="57"/>
      <c r="BL91" s="57"/>
      <c r="BM91" s="57"/>
      <c r="BN91" s="57"/>
      <c r="BO91" s="57"/>
      <c r="BP91" s="57"/>
      <c r="BQ91" s="57"/>
      <c r="BR91" s="57"/>
    </row>
    <row r="92" spans="30:70" ht="15" customHeight="1" x14ac:dyDescent="0.25">
      <c r="AN92" s="727"/>
      <c r="AO92" s="727"/>
      <c r="AP92" s="727"/>
      <c r="AQ92" s="746"/>
      <c r="AR92" s="746"/>
      <c r="AS92" s="746"/>
      <c r="AT92" s="747"/>
      <c r="AU92" s="748"/>
      <c r="AV92" s="748"/>
      <c r="AW92" s="749"/>
      <c r="AY92" s="731"/>
      <c r="AZ92" s="732"/>
      <c r="BA92" s="732"/>
      <c r="BB92" s="732"/>
      <c r="BC92" s="732"/>
      <c r="BD92" s="732"/>
      <c r="BE92" s="732"/>
      <c r="BF92" s="732"/>
      <c r="BG92" s="732"/>
      <c r="BH92" s="733"/>
      <c r="BI92" s="57"/>
      <c r="BJ92" s="57"/>
      <c r="BK92" s="57"/>
      <c r="BL92" s="57"/>
      <c r="BM92" s="57"/>
      <c r="BN92" s="57"/>
      <c r="BO92" s="57"/>
      <c r="BP92" s="57"/>
      <c r="BQ92" s="57"/>
      <c r="BR92" s="57"/>
    </row>
    <row r="93" spans="30:70" ht="15" customHeight="1" x14ac:dyDescent="0.25">
      <c r="AN93" s="727"/>
      <c r="AO93" s="727"/>
      <c r="AP93" s="727"/>
      <c r="AQ93" s="746"/>
      <c r="AR93" s="746"/>
      <c r="AS93" s="746"/>
      <c r="AT93" s="747"/>
      <c r="AU93" s="748"/>
      <c r="AV93" s="748"/>
      <c r="AW93" s="749"/>
      <c r="AY93" s="734"/>
      <c r="AZ93" s="735"/>
      <c r="BA93" s="735"/>
      <c r="BB93" s="735"/>
      <c r="BC93" s="735"/>
      <c r="BD93" s="735"/>
      <c r="BE93" s="735"/>
      <c r="BF93" s="735"/>
      <c r="BG93" s="735"/>
      <c r="BH93" s="736"/>
      <c r="BI93" s="57"/>
      <c r="BJ93" s="57"/>
      <c r="BK93" s="57"/>
      <c r="BL93" s="57"/>
      <c r="BM93" s="57"/>
      <c r="BN93" s="57"/>
      <c r="BO93" s="57"/>
      <c r="BP93" s="57"/>
      <c r="BQ93" s="57"/>
      <c r="BR93" s="57"/>
    </row>
    <row r="94" spans="30:70" x14ac:dyDescent="0.25">
      <c r="AQ94" s="1254">
        <f ca="1">AQ91+AQ88+AQ85</f>
        <v>57</v>
      </c>
      <c r="AR94" s="1254"/>
      <c r="AS94" s="1254"/>
      <c r="AT94" s="747">
        <f ca="1">AT88+AT91+AT85</f>
        <v>4162.5</v>
      </c>
      <c r="AU94" s="748"/>
      <c r="AV94" s="748"/>
      <c r="AW94" s="749"/>
    </row>
    <row r="95" spans="30:70" x14ac:dyDescent="0.25">
      <c r="AQ95" s="1254"/>
      <c r="AR95" s="1254"/>
      <c r="AS95" s="1254"/>
      <c r="AT95" s="747"/>
      <c r="AU95" s="748"/>
      <c r="AV95" s="748"/>
      <c r="AW95" s="749"/>
    </row>
    <row r="96" spans="30:70" ht="15" customHeight="1" x14ac:dyDescent="0.25">
      <c r="AQ96" s="1254"/>
      <c r="AR96" s="1254"/>
      <c r="AS96" s="1254"/>
      <c r="AT96" s="747"/>
      <c r="AU96" s="748"/>
      <c r="AV96" s="748"/>
      <c r="AW96" s="749"/>
    </row>
    <row r="97" spans="45:47" ht="15" customHeight="1" x14ac:dyDescent="0.25"/>
    <row r="98" spans="45:47" ht="15" customHeight="1" x14ac:dyDescent="0.25"/>
    <row r="99" spans="45:47" ht="15" customHeight="1" x14ac:dyDescent="0.25"/>
    <row r="100" spans="45:47" ht="15" customHeight="1" x14ac:dyDescent="0.25"/>
    <row r="101" spans="45:47" ht="15" customHeight="1" x14ac:dyDescent="0.25"/>
    <row r="102" spans="45:47" ht="15" customHeight="1" x14ac:dyDescent="0.25"/>
    <row r="103" spans="45:47" ht="15" customHeight="1" x14ac:dyDescent="0.25"/>
    <row r="104" spans="45:47" ht="15" customHeight="1" x14ac:dyDescent="0.25"/>
    <row r="105" spans="45:47" ht="15" customHeight="1" x14ac:dyDescent="0.25"/>
    <row r="106" spans="45:47" ht="15" customHeight="1" x14ac:dyDescent="0.25"/>
    <row r="107" spans="45:47" ht="15" customHeight="1" x14ac:dyDescent="0.25">
      <c r="AS107" s="27"/>
      <c r="AT107" s="27"/>
      <c r="AU107" s="27"/>
    </row>
  </sheetData>
  <mergeCells count="551">
    <mergeCell ref="F43:H46"/>
    <mergeCell ref="B30:D30"/>
    <mergeCell ref="C28:E29"/>
    <mergeCell ref="AP18:AR18"/>
    <mergeCell ref="AK18:AM18"/>
    <mergeCell ref="AF18:AH18"/>
    <mergeCell ref="AA18:AC18"/>
    <mergeCell ref="AO18:AO19"/>
    <mergeCell ref="AF24:AH24"/>
    <mergeCell ref="AK24:AM24"/>
    <mergeCell ref="AP24:AR24"/>
    <mergeCell ref="F22:G23"/>
    <mergeCell ref="H22:J23"/>
    <mergeCell ref="K22:L23"/>
    <mergeCell ref="M22:O23"/>
    <mergeCell ref="F20:G21"/>
    <mergeCell ref="H20:J21"/>
    <mergeCell ref="P20:Q21"/>
    <mergeCell ref="R20:T21"/>
    <mergeCell ref="Z20:AA21"/>
    <mergeCell ref="AB20:AD21"/>
    <mergeCell ref="AO22:AP23"/>
    <mergeCell ref="AQ22:AS23"/>
    <mergeCell ref="AE18:AE19"/>
    <mergeCell ref="K18:K19"/>
    <mergeCell ref="BO6:BQ6"/>
    <mergeCell ref="B12:D12"/>
    <mergeCell ref="G12:I12"/>
    <mergeCell ref="L12:N12"/>
    <mergeCell ref="Q12:S12"/>
    <mergeCell ref="V12:X12"/>
    <mergeCell ref="AA12:AC12"/>
    <mergeCell ref="AF12:AH12"/>
    <mergeCell ref="AK12:AM12"/>
    <mergeCell ref="AP12:AR12"/>
    <mergeCell ref="AU12:AW12"/>
    <mergeCell ref="AZ12:BB12"/>
    <mergeCell ref="BE12:BG12"/>
    <mergeCell ref="BJ12:BL12"/>
    <mergeCell ref="BO12:BQ12"/>
    <mergeCell ref="V6:X6"/>
    <mergeCell ref="AA6:AC6"/>
    <mergeCell ref="AF6:AH6"/>
    <mergeCell ref="AK6:AM6"/>
    <mergeCell ref="AP6:AR6"/>
    <mergeCell ref="AU6:AW6"/>
    <mergeCell ref="AZ6:BB6"/>
    <mergeCell ref="BE6:BG6"/>
    <mergeCell ref="A22:B23"/>
    <mergeCell ref="BF22:BH23"/>
    <mergeCell ref="BI22:BJ23"/>
    <mergeCell ref="BK22:BM23"/>
    <mergeCell ref="BN22:BO23"/>
    <mergeCell ref="BP22:BR23"/>
    <mergeCell ref="Z24:Z25"/>
    <mergeCell ref="AJ24:AJ25"/>
    <mergeCell ref="AE22:AF23"/>
    <mergeCell ref="AG22:AI23"/>
    <mergeCell ref="AJ22:AK23"/>
    <mergeCell ref="AL22:AN23"/>
    <mergeCell ref="AV22:AX23"/>
    <mergeCell ref="AY22:AZ23"/>
    <mergeCell ref="BN24:BN25"/>
    <mergeCell ref="BI24:BI25"/>
    <mergeCell ref="AY24:AY25"/>
    <mergeCell ref="BD24:BD25"/>
    <mergeCell ref="AZ24:BB24"/>
    <mergeCell ref="BE24:BG24"/>
    <mergeCell ref="BJ24:BL24"/>
    <mergeCell ref="BO24:BQ24"/>
    <mergeCell ref="AU24:AW24"/>
    <mergeCell ref="AO24:AO25"/>
    <mergeCell ref="P18:P19"/>
    <mergeCell ref="U18:U19"/>
    <mergeCell ref="Z18:Z19"/>
    <mergeCell ref="BD22:BE23"/>
    <mergeCell ref="AV20:AX21"/>
    <mergeCell ref="AY20:AZ21"/>
    <mergeCell ref="BA20:BC21"/>
    <mergeCell ref="P22:Q23"/>
    <mergeCell ref="R22:T23"/>
    <mergeCell ref="BP10:BR11"/>
    <mergeCell ref="AT10:AU11"/>
    <mergeCell ref="AV10:AX11"/>
    <mergeCell ref="AY10:AZ11"/>
    <mergeCell ref="BA10:BC11"/>
    <mergeCell ref="BD10:BE11"/>
    <mergeCell ref="BF10:BH11"/>
    <mergeCell ref="BI10:BJ11"/>
    <mergeCell ref="BK10:BM11"/>
    <mergeCell ref="BN10:BO11"/>
    <mergeCell ref="AY6:AY7"/>
    <mergeCell ref="BD6:BD7"/>
    <mergeCell ref="AL16:AN17"/>
    <mergeCell ref="AO16:AP17"/>
    <mergeCell ref="AQ16:AS17"/>
    <mergeCell ref="AT16:AU17"/>
    <mergeCell ref="AV16:AX17"/>
    <mergeCell ref="AV14:AX15"/>
    <mergeCell ref="Z16:AA17"/>
    <mergeCell ref="AB16:AD17"/>
    <mergeCell ref="BD12:BD13"/>
    <mergeCell ref="AL10:AN11"/>
    <mergeCell ref="AO10:AP11"/>
    <mergeCell ref="AQ10:AS11"/>
    <mergeCell ref="AE6:AE7"/>
    <mergeCell ref="AJ6:AJ7"/>
    <mergeCell ref="AE10:AF11"/>
    <mergeCell ref="AG10:AI11"/>
    <mergeCell ref="AJ10:AK11"/>
    <mergeCell ref="P10:Q11"/>
    <mergeCell ref="R10:T11"/>
    <mergeCell ref="U10:V11"/>
    <mergeCell ref="W10:Y11"/>
    <mergeCell ref="Z10:AA11"/>
    <mergeCell ref="AB10:AD11"/>
    <mergeCell ref="M4:O5"/>
    <mergeCell ref="P4:Q5"/>
    <mergeCell ref="R4:T5"/>
    <mergeCell ref="Z6:Z7"/>
    <mergeCell ref="A10:B11"/>
    <mergeCell ref="C10:E11"/>
    <mergeCell ref="F10:G11"/>
    <mergeCell ref="H10:J11"/>
    <mergeCell ref="K10:L11"/>
    <mergeCell ref="M10:O11"/>
    <mergeCell ref="BF4:BH5"/>
    <mergeCell ref="F8:G9"/>
    <mergeCell ref="AY89:BH93"/>
    <mergeCell ref="AN91:AP93"/>
    <mergeCell ref="AY75:BH77"/>
    <mergeCell ref="AY78:BH79"/>
    <mergeCell ref="AY80:BH82"/>
    <mergeCell ref="AT60:AT61"/>
    <mergeCell ref="AU60:AX60"/>
    <mergeCell ref="AQ91:AS93"/>
    <mergeCell ref="X59:Y59"/>
    <mergeCell ref="AC59:AD59"/>
    <mergeCell ref="AJ60:AJ61"/>
    <mergeCell ref="AK60:AN60"/>
    <mergeCell ref="AO60:AO61"/>
    <mergeCell ref="AP60:AS60"/>
    <mergeCell ref="AE57:AG59"/>
    <mergeCell ref="AL78:AN81"/>
    <mergeCell ref="BN4:BO5"/>
    <mergeCell ref="BP4:BR5"/>
    <mergeCell ref="U6:U7"/>
    <mergeCell ref="AO6:AO7"/>
    <mergeCell ref="AQ4:AS5"/>
    <mergeCell ref="AT4:AU5"/>
    <mergeCell ref="AV4:AX5"/>
    <mergeCell ref="AY4:AZ5"/>
    <mergeCell ref="BA4:BC5"/>
    <mergeCell ref="BD4:BE5"/>
    <mergeCell ref="AB4:AD5"/>
    <mergeCell ref="AE4:AF5"/>
    <mergeCell ref="AG4:AI5"/>
    <mergeCell ref="AJ4:AK5"/>
    <mergeCell ref="AL4:AN5"/>
    <mergeCell ref="AO4:AP5"/>
    <mergeCell ref="U4:V5"/>
    <mergeCell ref="W4:Y5"/>
    <mergeCell ref="Z4:AA5"/>
    <mergeCell ref="BN6:BN7"/>
    <mergeCell ref="AT6:AT7"/>
    <mergeCell ref="BI4:BJ5"/>
    <mergeCell ref="BK4:BM5"/>
    <mergeCell ref="BJ6:BL6"/>
    <mergeCell ref="AQ94:AS96"/>
    <mergeCell ref="AT94:AW96"/>
    <mergeCell ref="BN35:BP40"/>
    <mergeCell ref="BJ41:BP44"/>
    <mergeCell ref="V39:AG46"/>
    <mergeCell ref="AH39:AR46"/>
    <mergeCell ref="BJ45:BP47"/>
    <mergeCell ref="AS39:BD46"/>
    <mergeCell ref="AT91:AW93"/>
    <mergeCell ref="V35:AG38"/>
    <mergeCell ref="AH35:AR38"/>
    <mergeCell ref="AS35:BD38"/>
    <mergeCell ref="BE35:BI46"/>
    <mergeCell ref="BJ35:BM40"/>
    <mergeCell ref="AY83:BH84"/>
    <mergeCell ref="AN85:AP87"/>
    <mergeCell ref="AQ85:AS87"/>
    <mergeCell ref="AT85:AW87"/>
    <mergeCell ref="AY85:BH88"/>
    <mergeCell ref="AD75:AH81"/>
    <mergeCell ref="AL75:AN77"/>
    <mergeCell ref="AO75:AQ77"/>
    <mergeCell ref="AR75:AS77"/>
    <mergeCell ref="AT75:AU77"/>
    <mergeCell ref="AO78:AQ81"/>
    <mergeCell ref="AR78:AS81"/>
    <mergeCell ref="AT78:AU81"/>
    <mergeCell ref="AN88:AP90"/>
    <mergeCell ref="AQ88:AS90"/>
    <mergeCell ref="AT88:AW90"/>
    <mergeCell ref="BQ59:BR59"/>
    <mergeCell ref="A60:A61"/>
    <mergeCell ref="B60:E60"/>
    <mergeCell ref="F60:F61"/>
    <mergeCell ref="G60:J60"/>
    <mergeCell ref="K60:K61"/>
    <mergeCell ref="L60:O60"/>
    <mergeCell ref="P60:P61"/>
    <mergeCell ref="A64:C66"/>
    <mergeCell ref="BN60:BN61"/>
    <mergeCell ref="BO60:BR60"/>
    <mergeCell ref="A63:C63"/>
    <mergeCell ref="AY60:AY61"/>
    <mergeCell ref="AZ60:BC60"/>
    <mergeCell ref="BD60:BD61"/>
    <mergeCell ref="U60:U61"/>
    <mergeCell ref="V60:Y60"/>
    <mergeCell ref="Z60:Z61"/>
    <mergeCell ref="AA60:AD60"/>
    <mergeCell ref="AE60:AE61"/>
    <mergeCell ref="AF60:AI60"/>
    <mergeCell ref="BE60:BH60"/>
    <mergeCell ref="BI60:BI61"/>
    <mergeCell ref="BJ60:BM60"/>
    <mergeCell ref="Q60:T60"/>
    <mergeCell ref="BN57:BP59"/>
    <mergeCell ref="BG56:BH56"/>
    <mergeCell ref="BI56:BK56"/>
    <mergeCell ref="AH56:AI56"/>
    <mergeCell ref="AJ56:AL56"/>
    <mergeCell ref="BL59:BM59"/>
    <mergeCell ref="AH59:AI59"/>
    <mergeCell ref="AM59:AN59"/>
    <mergeCell ref="AR59:AS59"/>
    <mergeCell ref="AJ57:AL59"/>
    <mergeCell ref="BL56:BM56"/>
    <mergeCell ref="AO57:AQ59"/>
    <mergeCell ref="AT57:AV59"/>
    <mergeCell ref="AY57:BA59"/>
    <mergeCell ref="BI57:BK59"/>
    <mergeCell ref="AW59:AX59"/>
    <mergeCell ref="BB59:BC59"/>
    <mergeCell ref="BG59:BH59"/>
    <mergeCell ref="AW56:AX56"/>
    <mergeCell ref="AY56:BA56"/>
    <mergeCell ref="BB56:BC56"/>
    <mergeCell ref="BD56:BF56"/>
    <mergeCell ref="AE56:AG56"/>
    <mergeCell ref="A57:C59"/>
    <mergeCell ref="F57:H59"/>
    <mergeCell ref="K57:M59"/>
    <mergeCell ref="P57:R59"/>
    <mergeCell ref="U57:W59"/>
    <mergeCell ref="Z57:AB59"/>
    <mergeCell ref="D59:E59"/>
    <mergeCell ref="I59:J59"/>
    <mergeCell ref="N59:O59"/>
    <mergeCell ref="S59:T59"/>
    <mergeCell ref="BD57:BF59"/>
    <mergeCell ref="P56:R56"/>
    <mergeCell ref="S56:T56"/>
    <mergeCell ref="U56:W56"/>
    <mergeCell ref="X56:Y56"/>
    <mergeCell ref="Z56:AB56"/>
    <mergeCell ref="AC56:AD56"/>
    <mergeCell ref="AR56:AS56"/>
    <mergeCell ref="Q54:T54"/>
    <mergeCell ref="A56:C56"/>
    <mergeCell ref="D56:E56"/>
    <mergeCell ref="F56:H56"/>
    <mergeCell ref="I56:J56"/>
    <mergeCell ref="K56:M56"/>
    <mergeCell ref="N56:O56"/>
    <mergeCell ref="U54:U55"/>
    <mergeCell ref="AO56:AQ56"/>
    <mergeCell ref="A54:A55"/>
    <mergeCell ref="B54:E54"/>
    <mergeCell ref="F54:F55"/>
    <mergeCell ref="G54:J54"/>
    <mergeCell ref="K54:K55"/>
    <mergeCell ref="L54:O54"/>
    <mergeCell ref="P54:P55"/>
    <mergeCell ref="V54:Y54"/>
    <mergeCell ref="Z54:Z55"/>
    <mergeCell ref="AZ54:BC54"/>
    <mergeCell ref="BD54:BD55"/>
    <mergeCell ref="AP54:AS54"/>
    <mergeCell ref="AA54:AD54"/>
    <mergeCell ref="AE54:AE55"/>
    <mergeCell ref="AF54:AI54"/>
    <mergeCell ref="AJ54:AJ55"/>
    <mergeCell ref="AK54:AN54"/>
    <mergeCell ref="AO54:AO55"/>
    <mergeCell ref="BJ54:BM54"/>
    <mergeCell ref="AH53:AI53"/>
    <mergeCell ref="AM53:AN53"/>
    <mergeCell ref="AE51:AG53"/>
    <mergeCell ref="AJ51:AL53"/>
    <mergeCell ref="AO51:AQ53"/>
    <mergeCell ref="AT51:AV53"/>
    <mergeCell ref="BQ56:BR56"/>
    <mergeCell ref="AM56:AN56"/>
    <mergeCell ref="BN56:BP56"/>
    <mergeCell ref="BN54:BN55"/>
    <mergeCell ref="BO54:BR54"/>
    <mergeCell ref="AU54:AX54"/>
    <mergeCell ref="BQ53:BR53"/>
    <mergeCell ref="BE54:BH54"/>
    <mergeCell ref="BI54:BI55"/>
    <mergeCell ref="AY51:BA53"/>
    <mergeCell ref="BN51:BP53"/>
    <mergeCell ref="BL53:BM53"/>
    <mergeCell ref="BG53:BH53"/>
    <mergeCell ref="BI51:BK53"/>
    <mergeCell ref="AT54:AT55"/>
    <mergeCell ref="AT56:AV56"/>
    <mergeCell ref="AY54:AY55"/>
    <mergeCell ref="U51:W53"/>
    <mergeCell ref="Z51:AB53"/>
    <mergeCell ref="D53:E53"/>
    <mergeCell ref="I53:J53"/>
    <mergeCell ref="N53:O53"/>
    <mergeCell ref="S53:T53"/>
    <mergeCell ref="X53:Y53"/>
    <mergeCell ref="AC53:AD53"/>
    <mergeCell ref="BD51:BF53"/>
    <mergeCell ref="AR53:AS53"/>
    <mergeCell ref="AW53:AX53"/>
    <mergeCell ref="BB53:BC53"/>
    <mergeCell ref="P50:R50"/>
    <mergeCell ref="S50:T50"/>
    <mergeCell ref="A51:C53"/>
    <mergeCell ref="F51:H53"/>
    <mergeCell ref="K51:M53"/>
    <mergeCell ref="P51:R53"/>
    <mergeCell ref="A50:C50"/>
    <mergeCell ref="D50:E50"/>
    <mergeCell ref="F50:H50"/>
    <mergeCell ref="I50:J50"/>
    <mergeCell ref="K50:M50"/>
    <mergeCell ref="N50:O50"/>
    <mergeCell ref="BI50:BK50"/>
    <mergeCell ref="BL50:BM50"/>
    <mergeCell ref="BN50:BP50"/>
    <mergeCell ref="BQ50:BR50"/>
    <mergeCell ref="U50:W50"/>
    <mergeCell ref="X50:Y50"/>
    <mergeCell ref="Z50:AB50"/>
    <mergeCell ref="AC50:AD50"/>
    <mergeCell ref="BB50:BC50"/>
    <mergeCell ref="AT50:AV50"/>
    <mergeCell ref="BD50:BF50"/>
    <mergeCell ref="BG50:BH50"/>
    <mergeCell ref="AE50:AG50"/>
    <mergeCell ref="AH50:AI50"/>
    <mergeCell ref="AJ50:AL50"/>
    <mergeCell ref="AM50:AN50"/>
    <mergeCell ref="AO50:AQ50"/>
    <mergeCell ref="AR50:AS50"/>
    <mergeCell ref="AW50:AX50"/>
    <mergeCell ref="AY50:BA50"/>
    <mergeCell ref="P24:P25"/>
    <mergeCell ref="U24:U25"/>
    <mergeCell ref="AE24:AE25"/>
    <mergeCell ref="BI20:BJ21"/>
    <mergeCell ref="AT24:AT25"/>
    <mergeCell ref="AE20:AF21"/>
    <mergeCell ref="AG20:AI21"/>
    <mergeCell ref="AJ20:AK21"/>
    <mergeCell ref="AL20:AN21"/>
    <mergeCell ref="AO20:AP21"/>
    <mergeCell ref="AQ20:AS21"/>
    <mergeCell ref="U20:V21"/>
    <mergeCell ref="W20:Y21"/>
    <mergeCell ref="BA22:BC23"/>
    <mergeCell ref="U22:V23"/>
    <mergeCell ref="W22:Y23"/>
    <mergeCell ref="Z22:AA23"/>
    <mergeCell ref="AB22:AD23"/>
    <mergeCell ref="BD20:BE21"/>
    <mergeCell ref="BF20:BH21"/>
    <mergeCell ref="BP20:BR21"/>
    <mergeCell ref="AT22:AU23"/>
    <mergeCell ref="AT20:AU21"/>
    <mergeCell ref="AY14:AZ15"/>
    <mergeCell ref="BA14:BC15"/>
    <mergeCell ref="AY16:AZ17"/>
    <mergeCell ref="BK16:BM17"/>
    <mergeCell ref="BK20:BM21"/>
    <mergeCell ref="BN16:BO17"/>
    <mergeCell ref="BN20:BO21"/>
    <mergeCell ref="BO18:BQ18"/>
    <mergeCell ref="BJ18:BL18"/>
    <mergeCell ref="BE18:BG18"/>
    <mergeCell ref="AZ18:BB18"/>
    <mergeCell ref="AU18:AW18"/>
    <mergeCell ref="P12:P13"/>
    <mergeCell ref="U12:U13"/>
    <mergeCell ref="BN18:BN19"/>
    <mergeCell ref="BF14:BH15"/>
    <mergeCell ref="BI14:BJ15"/>
    <mergeCell ref="BK14:BM15"/>
    <mergeCell ref="BN14:BO15"/>
    <mergeCell ref="BP14:BR15"/>
    <mergeCell ref="BP16:BR17"/>
    <mergeCell ref="BN12:BN13"/>
    <mergeCell ref="BD14:BE15"/>
    <mergeCell ref="AT18:AT19"/>
    <mergeCell ref="AY18:AY19"/>
    <mergeCell ref="BI18:BI19"/>
    <mergeCell ref="BD18:BD19"/>
    <mergeCell ref="AT14:AU15"/>
    <mergeCell ref="BI16:BJ17"/>
    <mergeCell ref="BA16:BC17"/>
    <mergeCell ref="BD16:BE17"/>
    <mergeCell ref="BF16:BH17"/>
    <mergeCell ref="AJ18:AJ19"/>
    <mergeCell ref="V18:X18"/>
    <mergeCell ref="Q18:S18"/>
    <mergeCell ref="W16:Y17"/>
    <mergeCell ref="A12:A13"/>
    <mergeCell ref="F12:F13"/>
    <mergeCell ref="K12:K13"/>
    <mergeCell ref="Z12:Z13"/>
    <mergeCell ref="BF8:BH9"/>
    <mergeCell ref="BI8:BJ9"/>
    <mergeCell ref="BK8:BM9"/>
    <mergeCell ref="BN8:BO9"/>
    <mergeCell ref="AT12:AT13"/>
    <mergeCell ref="AY12:AY13"/>
    <mergeCell ref="BI12:BI13"/>
    <mergeCell ref="AT8:AU9"/>
    <mergeCell ref="AV8:AX9"/>
    <mergeCell ref="AY8:AZ9"/>
    <mergeCell ref="BA8:BC9"/>
    <mergeCell ref="BD8:BE9"/>
    <mergeCell ref="P8:Q9"/>
    <mergeCell ref="R8:T9"/>
    <mergeCell ref="U8:V9"/>
    <mergeCell ref="AE12:AE13"/>
    <mergeCell ref="AJ12:AJ13"/>
    <mergeCell ref="AO12:AO13"/>
    <mergeCell ref="A8:B9"/>
    <mergeCell ref="C8:E9"/>
    <mergeCell ref="BF2:BH3"/>
    <mergeCell ref="BI2:BJ3"/>
    <mergeCell ref="R2:T3"/>
    <mergeCell ref="A6:A7"/>
    <mergeCell ref="F6:F7"/>
    <mergeCell ref="A4:B5"/>
    <mergeCell ref="K6:K7"/>
    <mergeCell ref="P6:P7"/>
    <mergeCell ref="C4:E5"/>
    <mergeCell ref="F4:G5"/>
    <mergeCell ref="H4:J5"/>
    <mergeCell ref="K4:L5"/>
    <mergeCell ref="A2:B3"/>
    <mergeCell ref="C2:E3"/>
    <mergeCell ref="F2:G3"/>
    <mergeCell ref="H2:J3"/>
    <mergeCell ref="K2:L3"/>
    <mergeCell ref="M2:O3"/>
    <mergeCell ref="P2:Q3"/>
    <mergeCell ref="B6:D6"/>
    <mergeCell ref="G6:I6"/>
    <mergeCell ref="L6:N6"/>
    <mergeCell ref="Q6:S6"/>
    <mergeCell ref="BI6:BI7"/>
    <mergeCell ref="H8:J9"/>
    <mergeCell ref="K8:L9"/>
    <mergeCell ref="M8:O9"/>
    <mergeCell ref="BP8:BR9"/>
    <mergeCell ref="W8:Y9"/>
    <mergeCell ref="Z8:AA9"/>
    <mergeCell ref="AB8:AD9"/>
    <mergeCell ref="AE8:AF9"/>
    <mergeCell ref="AG8:AI9"/>
    <mergeCell ref="AJ8:AK9"/>
    <mergeCell ref="AL8:AN9"/>
    <mergeCell ref="AO8:AP9"/>
    <mergeCell ref="AQ8:AS9"/>
    <mergeCell ref="M14:O15"/>
    <mergeCell ref="P14:Q15"/>
    <mergeCell ref="R14:T15"/>
    <mergeCell ref="U14:V15"/>
    <mergeCell ref="W14:Y15"/>
    <mergeCell ref="Z14:AA15"/>
    <mergeCell ref="BN2:BO3"/>
    <mergeCell ref="BP2:BR3"/>
    <mergeCell ref="AQ2:AS3"/>
    <mergeCell ref="AT2:AU3"/>
    <mergeCell ref="AV2:AX3"/>
    <mergeCell ref="AY2:AZ3"/>
    <mergeCell ref="BA2:BC3"/>
    <mergeCell ref="BK2:BM3"/>
    <mergeCell ref="AJ2:AK3"/>
    <mergeCell ref="AL2:AN3"/>
    <mergeCell ref="AO2:AP3"/>
    <mergeCell ref="AB2:AD3"/>
    <mergeCell ref="AE2:AF3"/>
    <mergeCell ref="AG2:AI3"/>
    <mergeCell ref="BD2:BE3"/>
    <mergeCell ref="U2:V3"/>
    <mergeCell ref="W2:Y3"/>
    <mergeCell ref="Z2:AA3"/>
    <mergeCell ref="M16:O17"/>
    <mergeCell ref="P16:Q17"/>
    <mergeCell ref="R16:T17"/>
    <mergeCell ref="U16:V17"/>
    <mergeCell ref="AQ14:AS15"/>
    <mergeCell ref="A14:B15"/>
    <mergeCell ref="C14:E15"/>
    <mergeCell ref="F14:G15"/>
    <mergeCell ref="H14:J15"/>
    <mergeCell ref="K14:L15"/>
    <mergeCell ref="A16:B17"/>
    <mergeCell ref="C16:E17"/>
    <mergeCell ref="F16:G17"/>
    <mergeCell ref="H16:J17"/>
    <mergeCell ref="K16:L17"/>
    <mergeCell ref="AE16:AF17"/>
    <mergeCell ref="AG16:AI17"/>
    <mergeCell ref="AJ16:AK17"/>
    <mergeCell ref="AB14:AD15"/>
    <mergeCell ref="AE14:AF15"/>
    <mergeCell ref="AG14:AI15"/>
    <mergeCell ref="AJ14:AK15"/>
    <mergeCell ref="AL14:AN15"/>
    <mergeCell ref="AO14:AP15"/>
    <mergeCell ref="F42:H42"/>
    <mergeCell ref="L18:N18"/>
    <mergeCell ref="G18:I18"/>
    <mergeCell ref="B18:D18"/>
    <mergeCell ref="L24:N24"/>
    <mergeCell ref="Q24:S24"/>
    <mergeCell ref="V24:X24"/>
    <mergeCell ref="AA24:AC24"/>
    <mergeCell ref="A20:B21"/>
    <mergeCell ref="C20:E21"/>
    <mergeCell ref="A18:A19"/>
    <mergeCell ref="F18:F19"/>
    <mergeCell ref="A30:A31"/>
    <mergeCell ref="A24:A25"/>
    <mergeCell ref="F24:F25"/>
    <mergeCell ref="K24:K25"/>
    <mergeCell ref="K20:L21"/>
    <mergeCell ref="M20:O21"/>
    <mergeCell ref="A26:B27"/>
    <mergeCell ref="C26:E27"/>
    <mergeCell ref="A28:B29"/>
    <mergeCell ref="C22:E23"/>
    <mergeCell ref="B24:D24"/>
    <mergeCell ref="G24:I24"/>
  </mergeCells>
  <pageMargins left="0.5" right="0" top="0.65" bottom="0" header="0.3" footer="0.3"/>
  <pageSetup paperSize="8" scale="46" orientation="landscape" r:id="rId1"/>
  <colBreaks count="1" manualBreakCount="1">
    <brk id="70" max="50" man="1"/>
  </colBreaks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DE697-71C7-4374-B6F8-07329B22205B}">
  <sheetPr>
    <tabColor rgb="FFFFC000"/>
  </sheetPr>
  <dimension ref="A1:CL108"/>
  <sheetViews>
    <sheetView view="pageBreakPreview" zoomScale="40" zoomScaleNormal="115" zoomScaleSheetLayoutView="40" workbookViewId="0">
      <selection activeCell="O31" sqref="O31:R31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140625" customWidth="1"/>
    <col min="47" max="47" width="10.71093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4.140625" customWidth="1"/>
    <col min="62" max="62" width="10.7109375" customWidth="1"/>
    <col min="63" max="63" width="4.28515625" customWidth="1"/>
    <col min="64" max="65" width="5.5703125" customWidth="1"/>
    <col min="66" max="66" width="4.140625" customWidth="1"/>
    <col min="67" max="67" width="10.7109375" customWidth="1"/>
    <col min="68" max="68" width="4.28515625" customWidth="1"/>
    <col min="69" max="70" width="5.5703125" customWidth="1"/>
    <col min="71" max="71" width="1" customWidth="1"/>
    <col min="72" max="72" width="56.7109375" customWidth="1"/>
    <col min="73" max="73" width="13" customWidth="1"/>
    <col min="74" max="74" width="7" customWidth="1"/>
  </cols>
  <sheetData>
    <row r="1" spans="1:83" ht="75" customHeight="1" x14ac:dyDescent="0.25"/>
    <row r="2" spans="1:83" ht="196.5" customHeight="1" x14ac:dyDescent="0.25"/>
    <row r="3" spans="1:83" ht="15" customHeight="1" x14ac:dyDescent="0.25">
      <c r="A3" s="2350" t="s">
        <v>110</v>
      </c>
      <c r="B3" s="2351"/>
      <c r="C3" s="2346">
        <f>B8/((36*3.1415/44)*(108/3.281))</f>
        <v>1.9213623540954784E-2</v>
      </c>
      <c r="D3" s="2346"/>
      <c r="E3" s="2347"/>
      <c r="F3" s="2350" t="s">
        <v>110</v>
      </c>
      <c r="G3" s="2351"/>
      <c r="H3" s="2346">
        <f t="shared" ref="H3" si="0">G8/((36*3.1415/44)*(108/3.281))</f>
        <v>4.8034058852386959E-3</v>
      </c>
      <c r="I3" s="2346"/>
      <c r="J3" s="2347"/>
      <c r="K3" s="2350" t="s">
        <v>110</v>
      </c>
      <c r="L3" s="2351"/>
      <c r="M3" s="2346">
        <f t="shared" ref="M3" si="1">L8/((36*3.1415/44)*(108/3.281))</f>
        <v>0.12067611734322611</v>
      </c>
      <c r="N3" s="2346"/>
      <c r="O3" s="2347"/>
      <c r="P3" s="2350" t="s">
        <v>110</v>
      </c>
      <c r="Q3" s="2351"/>
      <c r="R3" s="2346">
        <f t="shared" ref="R3" si="2">Q8/((36*3.1415/44)*(108/3.281))</f>
        <v>1.411000478788867E-2</v>
      </c>
      <c r="S3" s="2346"/>
      <c r="T3" s="2347"/>
      <c r="U3" s="2350" t="s">
        <v>110</v>
      </c>
      <c r="V3" s="2351"/>
      <c r="W3" s="2346">
        <f t="shared" ref="W3" si="3">V8/((36*3.1415/44)*(108/3.281))</f>
        <v>7.8055345635128816E-3</v>
      </c>
      <c r="X3" s="2346"/>
      <c r="Y3" s="2347"/>
      <c r="Z3" s="2350" t="s">
        <v>110</v>
      </c>
      <c r="AA3" s="2351"/>
      <c r="AB3" s="2346">
        <f t="shared" ref="AB3" si="4">AA8/((36*3.1415/44)*(108/3.281))</f>
        <v>1.1819404245173956E-9</v>
      </c>
      <c r="AC3" s="2346"/>
      <c r="AD3" s="2347"/>
      <c r="AE3" s="2350" t="s">
        <v>110</v>
      </c>
      <c r="AF3" s="2351"/>
      <c r="AG3" s="2346">
        <f t="shared" ref="AG3" si="5">AF8/((36*3.1415/44)*(108/3.281))</f>
        <v>6.5952275688070687E-3</v>
      </c>
      <c r="AH3" s="2346"/>
      <c r="AI3" s="2347"/>
      <c r="AJ3" s="2350" t="s">
        <v>110</v>
      </c>
      <c r="AK3" s="2351"/>
      <c r="AL3" s="2346">
        <f t="shared" ref="AL3" si="6">AK8/((36*3.1415/44)*(108/3.281))</f>
        <v>1.1819404245173956E-9</v>
      </c>
      <c r="AM3" s="2346"/>
      <c r="AN3" s="2347"/>
      <c r="AO3" s="2350" t="s">
        <v>110</v>
      </c>
      <c r="AP3" s="2351"/>
      <c r="AQ3" s="2346">
        <f t="shared" ref="AQ3" si="7">AP8/((36*3.1415/44)*(108/3.281))</f>
        <v>1.8603742281903809E-2</v>
      </c>
      <c r="AR3" s="2346"/>
      <c r="AS3" s="2347"/>
      <c r="AT3" s="2350" t="s">
        <v>110</v>
      </c>
      <c r="AU3" s="2351"/>
      <c r="AV3" s="2346">
        <f t="shared" ref="AV3" si="8">AU8/((36*3.1415/44)*(108/3.281))</f>
        <v>1.1819404245173958E-22</v>
      </c>
      <c r="AW3" s="2346"/>
      <c r="AX3" s="2347"/>
      <c r="AY3" s="2350" t="s">
        <v>110</v>
      </c>
      <c r="AZ3" s="2351"/>
      <c r="BA3" s="2346">
        <f t="shared" ref="BA3" si="9">AZ8/((36*3.1415/44)*(108/3.281))</f>
        <v>5.6969528461738471E-3</v>
      </c>
      <c r="BB3" s="2346"/>
      <c r="BC3" s="2347"/>
      <c r="BD3" s="2350" t="s">
        <v>110</v>
      </c>
      <c r="BE3" s="2351"/>
      <c r="BF3" s="2346">
        <f t="shared" ref="BF3" si="10">BE8/((36*3.1415/44)*(108/3.281))</f>
        <v>1.0200145863585126E-2</v>
      </c>
      <c r="BG3" s="2346"/>
      <c r="BH3" s="2347"/>
      <c r="BI3" s="2350" t="s">
        <v>110</v>
      </c>
      <c r="BJ3" s="2351"/>
      <c r="BK3" s="2346">
        <f t="shared" ref="BK3" si="11">BJ8/((36*3.1415/44)*(108/3.281))</f>
        <v>1.1819404245173956E-13</v>
      </c>
      <c r="BL3" s="2346"/>
      <c r="BM3" s="2347"/>
      <c r="BN3" s="2350" t="s">
        <v>110</v>
      </c>
      <c r="BO3" s="2351"/>
      <c r="BP3" s="2346">
        <f t="shared" ref="BP3" si="12">BO8/((36*3.1415/44)*(108/3.281))</f>
        <v>1.441021765571609E-2</v>
      </c>
      <c r="BQ3" s="2346"/>
      <c r="BR3" s="2347"/>
    </row>
    <row r="4" spans="1:83" ht="15" customHeight="1" x14ac:dyDescent="0.25">
      <c r="A4" s="2352"/>
      <c r="B4" s="2353"/>
      <c r="C4" s="2348"/>
      <c r="D4" s="2348"/>
      <c r="E4" s="2349"/>
      <c r="F4" s="2352"/>
      <c r="G4" s="2353"/>
      <c r="H4" s="2348"/>
      <c r="I4" s="2348"/>
      <c r="J4" s="2349"/>
      <c r="K4" s="2352"/>
      <c r="L4" s="2353"/>
      <c r="M4" s="2348"/>
      <c r="N4" s="2348"/>
      <c r="O4" s="2349"/>
      <c r="P4" s="2352"/>
      <c r="Q4" s="2353"/>
      <c r="R4" s="2348"/>
      <c r="S4" s="2348"/>
      <c r="T4" s="2349"/>
      <c r="U4" s="2352"/>
      <c r="V4" s="2353"/>
      <c r="W4" s="2348"/>
      <c r="X4" s="2348"/>
      <c r="Y4" s="2349"/>
      <c r="Z4" s="2352"/>
      <c r="AA4" s="2353"/>
      <c r="AB4" s="2348"/>
      <c r="AC4" s="2348"/>
      <c r="AD4" s="2349"/>
      <c r="AE4" s="2352"/>
      <c r="AF4" s="2353"/>
      <c r="AG4" s="2348"/>
      <c r="AH4" s="2348"/>
      <c r="AI4" s="2349"/>
      <c r="AJ4" s="2352"/>
      <c r="AK4" s="2353"/>
      <c r="AL4" s="2348"/>
      <c r="AM4" s="2348"/>
      <c r="AN4" s="2349"/>
      <c r="AO4" s="2352"/>
      <c r="AP4" s="2353"/>
      <c r="AQ4" s="2348"/>
      <c r="AR4" s="2348"/>
      <c r="AS4" s="2349"/>
      <c r="AT4" s="2352"/>
      <c r="AU4" s="2353"/>
      <c r="AV4" s="2348"/>
      <c r="AW4" s="2348"/>
      <c r="AX4" s="2349"/>
      <c r="AY4" s="2352"/>
      <c r="AZ4" s="2353"/>
      <c r="BA4" s="2348"/>
      <c r="BB4" s="2348"/>
      <c r="BC4" s="2349"/>
      <c r="BD4" s="2352"/>
      <c r="BE4" s="2353"/>
      <c r="BF4" s="2348"/>
      <c r="BG4" s="2348"/>
      <c r="BH4" s="2349"/>
      <c r="BI4" s="2352"/>
      <c r="BJ4" s="2353"/>
      <c r="BK4" s="2348"/>
      <c r="BL4" s="2348"/>
      <c r="BM4" s="2349"/>
      <c r="BN4" s="2352"/>
      <c r="BO4" s="2353"/>
      <c r="BP4" s="2348"/>
      <c r="BQ4" s="2348"/>
      <c r="BR4" s="2349"/>
    </row>
    <row r="5" spans="1:83" ht="15" customHeight="1" x14ac:dyDescent="0.25">
      <c r="A5" s="2352"/>
      <c r="B5" s="2353"/>
      <c r="C5" s="2348"/>
      <c r="D5" s="2348"/>
      <c r="E5" s="2349"/>
      <c r="F5" s="2352"/>
      <c r="G5" s="2353"/>
      <c r="H5" s="2348"/>
      <c r="I5" s="2348"/>
      <c r="J5" s="2349"/>
      <c r="K5" s="2352"/>
      <c r="L5" s="2353"/>
      <c r="M5" s="2348"/>
      <c r="N5" s="2348"/>
      <c r="O5" s="2349"/>
      <c r="P5" s="2352"/>
      <c r="Q5" s="2353"/>
      <c r="R5" s="2348"/>
      <c r="S5" s="2348"/>
      <c r="T5" s="2349"/>
      <c r="U5" s="2352"/>
      <c r="V5" s="2353"/>
      <c r="W5" s="2348"/>
      <c r="X5" s="2348"/>
      <c r="Y5" s="2349"/>
      <c r="Z5" s="2352"/>
      <c r="AA5" s="2353"/>
      <c r="AB5" s="2348"/>
      <c r="AC5" s="2348"/>
      <c r="AD5" s="2349"/>
      <c r="AE5" s="2352"/>
      <c r="AF5" s="2353"/>
      <c r="AG5" s="2348"/>
      <c r="AH5" s="2348"/>
      <c r="AI5" s="2349"/>
      <c r="AJ5" s="2352"/>
      <c r="AK5" s="2353"/>
      <c r="AL5" s="2348"/>
      <c r="AM5" s="2348"/>
      <c r="AN5" s="2349"/>
      <c r="AO5" s="2352"/>
      <c r="AP5" s="2353"/>
      <c r="AQ5" s="2348"/>
      <c r="AR5" s="2348"/>
      <c r="AS5" s="2349"/>
      <c r="AT5" s="2352"/>
      <c r="AU5" s="2353"/>
      <c r="AV5" s="2348"/>
      <c r="AW5" s="2348"/>
      <c r="AX5" s="2349"/>
      <c r="AY5" s="2352"/>
      <c r="AZ5" s="2353"/>
      <c r="BA5" s="2348"/>
      <c r="BB5" s="2348"/>
      <c r="BC5" s="2349"/>
      <c r="BD5" s="2352"/>
      <c r="BE5" s="2353"/>
      <c r="BF5" s="2348"/>
      <c r="BG5" s="2348"/>
      <c r="BH5" s="2349"/>
      <c r="BI5" s="2352"/>
      <c r="BJ5" s="2353"/>
      <c r="BK5" s="2348"/>
      <c r="BL5" s="2348"/>
      <c r="BM5" s="2349"/>
      <c r="BN5" s="2352"/>
      <c r="BO5" s="2353"/>
      <c r="BP5" s="2348"/>
      <c r="BQ5" s="2348"/>
      <c r="BR5" s="2349"/>
    </row>
    <row r="6" spans="1:83" ht="24.95" customHeight="1" x14ac:dyDescent="0.25">
      <c r="A6" s="3204"/>
      <c r="B6" s="3205"/>
      <c r="C6" s="3206"/>
      <c r="D6" s="3206"/>
      <c r="E6" s="3207"/>
      <c r="F6" s="3204"/>
      <c r="G6" s="3205"/>
      <c r="H6" s="3206"/>
      <c r="I6" s="3206"/>
      <c r="J6" s="3207"/>
      <c r="K6" s="3204"/>
      <c r="L6" s="3205"/>
      <c r="M6" s="3206"/>
      <c r="N6" s="3206"/>
      <c r="O6" s="3207"/>
      <c r="P6" s="3204"/>
      <c r="Q6" s="3205"/>
      <c r="R6" s="3206"/>
      <c r="S6" s="3206"/>
      <c r="T6" s="3207"/>
      <c r="U6" s="3204"/>
      <c r="V6" s="3205"/>
      <c r="W6" s="3206"/>
      <c r="X6" s="3206"/>
      <c r="Y6" s="3207"/>
      <c r="Z6" s="3204"/>
      <c r="AA6" s="3205"/>
      <c r="AB6" s="3206"/>
      <c r="AC6" s="3206"/>
      <c r="AD6" s="3207"/>
      <c r="AE6" s="3204"/>
      <c r="AF6" s="3205"/>
      <c r="AG6" s="3206"/>
      <c r="AH6" s="3206"/>
      <c r="AI6" s="3207"/>
      <c r="AJ6" s="3204"/>
      <c r="AK6" s="3205"/>
      <c r="AL6" s="3206"/>
      <c r="AM6" s="3206"/>
      <c r="AN6" s="3207"/>
      <c r="AO6" s="3204"/>
      <c r="AP6" s="3205"/>
      <c r="AQ6" s="3206"/>
      <c r="AR6" s="3206"/>
      <c r="AS6" s="3207"/>
      <c r="AT6" s="3204"/>
      <c r="AU6" s="3205"/>
      <c r="AV6" s="3206"/>
      <c r="AW6" s="3206"/>
      <c r="AX6" s="3207"/>
      <c r="AY6" s="3204"/>
      <c r="AZ6" s="3205"/>
      <c r="BA6" s="3206"/>
      <c r="BB6" s="3206"/>
      <c r="BC6" s="3207"/>
      <c r="BD6" s="3204"/>
      <c r="BE6" s="3205"/>
      <c r="BF6" s="3206"/>
      <c r="BG6" s="3206"/>
      <c r="BH6" s="3207"/>
      <c r="BI6" s="3204"/>
      <c r="BJ6" s="3205"/>
      <c r="BK6" s="3206"/>
      <c r="BL6" s="3206"/>
      <c r="BM6" s="3207"/>
      <c r="BN6" s="3204"/>
      <c r="BO6" s="3205"/>
      <c r="BP6" s="3206"/>
      <c r="BQ6" s="3206"/>
      <c r="BR6" s="3207"/>
    </row>
    <row r="7" spans="1:83" s="22" customFormat="1" ht="99.75" customHeight="1" x14ac:dyDescent="1.35">
      <c r="A7" s="2048" t="s">
        <v>509</v>
      </c>
      <c r="B7" s="1921">
        <v>1</v>
      </c>
      <c r="C7" s="1921"/>
      <c r="D7" s="1921"/>
      <c r="E7" s="1921"/>
      <c r="F7" s="2048" t="s">
        <v>509</v>
      </c>
      <c r="G7" s="1921">
        <v>2</v>
      </c>
      <c r="H7" s="1921"/>
      <c r="I7" s="1921"/>
      <c r="J7" s="1921"/>
      <c r="K7" s="2048" t="s">
        <v>509</v>
      </c>
      <c r="L7" s="1921">
        <v>3</v>
      </c>
      <c r="M7" s="1921"/>
      <c r="N7" s="1921"/>
      <c r="O7" s="1921"/>
      <c r="P7" s="2048" t="s">
        <v>509</v>
      </c>
      <c r="Q7" s="1921">
        <v>4</v>
      </c>
      <c r="R7" s="1921"/>
      <c r="S7" s="1921"/>
      <c r="T7" s="1921"/>
      <c r="U7" s="2048" t="s">
        <v>509</v>
      </c>
      <c r="V7" s="1921">
        <v>5</v>
      </c>
      <c r="W7" s="1921"/>
      <c r="X7" s="1921"/>
      <c r="Y7" s="1921"/>
      <c r="Z7" s="2048" t="s">
        <v>509</v>
      </c>
      <c r="AA7" s="1921">
        <v>6</v>
      </c>
      <c r="AB7" s="1921"/>
      <c r="AC7" s="1921"/>
      <c r="AD7" s="1921"/>
      <c r="AE7" s="2048" t="s">
        <v>509</v>
      </c>
      <c r="AF7" s="1921">
        <v>7</v>
      </c>
      <c r="AG7" s="1921"/>
      <c r="AH7" s="1921"/>
      <c r="AI7" s="1921"/>
      <c r="AJ7" s="2048" t="s">
        <v>509</v>
      </c>
      <c r="AK7" s="1921">
        <v>8</v>
      </c>
      <c r="AL7" s="1921"/>
      <c r="AM7" s="1921"/>
      <c r="AN7" s="1921"/>
      <c r="AO7" s="2048" t="s">
        <v>509</v>
      </c>
      <c r="AP7" s="1921">
        <v>9</v>
      </c>
      <c r="AQ7" s="1921"/>
      <c r="AR7" s="1921"/>
      <c r="AS7" s="1921"/>
      <c r="AT7" s="2048" t="s">
        <v>509</v>
      </c>
      <c r="AU7" s="1921">
        <v>10</v>
      </c>
      <c r="AV7" s="1921"/>
      <c r="AW7" s="1921"/>
      <c r="AX7" s="1921"/>
      <c r="AY7" s="2048" t="s">
        <v>509</v>
      </c>
      <c r="AZ7" s="1921">
        <v>11</v>
      </c>
      <c r="BA7" s="1921"/>
      <c r="BB7" s="1921"/>
      <c r="BC7" s="1921"/>
      <c r="BD7" s="2048" t="s">
        <v>509</v>
      </c>
      <c r="BE7" s="1921">
        <v>12</v>
      </c>
      <c r="BF7" s="1921"/>
      <c r="BG7" s="1921"/>
      <c r="BH7" s="1921"/>
      <c r="BI7" s="2048" t="s">
        <v>509</v>
      </c>
      <c r="BJ7" s="1921">
        <v>13</v>
      </c>
      <c r="BK7" s="1921"/>
      <c r="BL7" s="1921"/>
      <c r="BM7" s="1921"/>
      <c r="BN7" s="2048" t="s">
        <v>509</v>
      </c>
      <c r="BO7" s="1921">
        <v>14</v>
      </c>
      <c r="BP7" s="1921"/>
      <c r="BQ7" s="1921"/>
      <c r="BR7" s="1921"/>
    </row>
    <row r="8" spans="1:83" ht="42" customHeight="1" x14ac:dyDescent="0.25">
      <c r="A8" s="2048"/>
      <c r="B8" s="363">
        <v>1.6255999999999999</v>
      </c>
      <c r="C8" s="364" t="s">
        <v>113</v>
      </c>
      <c r="D8" s="365"/>
      <c r="E8" s="366" t="s">
        <v>114</v>
      </c>
      <c r="F8" s="2048"/>
      <c r="G8" s="363">
        <v>0.40639999999999998</v>
      </c>
      <c r="H8" s="364" t="s">
        <v>113</v>
      </c>
      <c r="I8" s="365"/>
      <c r="J8" s="366" t="s">
        <v>114</v>
      </c>
      <c r="K8" s="2048"/>
      <c r="L8" s="363">
        <v>10.210000000000001</v>
      </c>
      <c r="M8" s="364" t="s">
        <v>113</v>
      </c>
      <c r="N8" s="365">
        <v>1</v>
      </c>
      <c r="O8" s="366" t="s">
        <v>114</v>
      </c>
      <c r="P8" s="2048"/>
      <c r="Q8" s="363">
        <v>1.1938</v>
      </c>
      <c r="R8" s="364" t="s">
        <v>113</v>
      </c>
      <c r="S8" s="365">
        <v>1</v>
      </c>
      <c r="T8" s="366" t="s">
        <v>114</v>
      </c>
      <c r="U8" s="2048"/>
      <c r="V8" s="363">
        <v>0.66039999999999999</v>
      </c>
      <c r="W8" s="364" t="s">
        <v>113</v>
      </c>
      <c r="X8" s="365"/>
      <c r="Y8" s="366" t="s">
        <v>114</v>
      </c>
      <c r="Z8" s="2048"/>
      <c r="AA8" s="363">
        <v>9.9999999999999995E-8</v>
      </c>
      <c r="AB8" s="364" t="s">
        <v>113</v>
      </c>
      <c r="AC8" s="365"/>
      <c r="AD8" s="366" t="s">
        <v>114</v>
      </c>
      <c r="AE8" s="2048"/>
      <c r="AF8" s="363">
        <v>0.55800000000000005</v>
      </c>
      <c r="AG8" s="364" t="s">
        <v>113</v>
      </c>
      <c r="AH8" s="365">
        <v>1</v>
      </c>
      <c r="AI8" s="366" t="s">
        <v>114</v>
      </c>
      <c r="AJ8" s="2048"/>
      <c r="AK8" s="363">
        <v>9.9999999999999995E-8</v>
      </c>
      <c r="AL8" s="364" t="s">
        <v>113</v>
      </c>
      <c r="AM8" s="365"/>
      <c r="AN8" s="366" t="s">
        <v>114</v>
      </c>
      <c r="AO8" s="2048"/>
      <c r="AP8" s="363">
        <v>1.5740000000000001</v>
      </c>
      <c r="AQ8" s="364" t="s">
        <v>113</v>
      </c>
      <c r="AR8" s="365">
        <v>1</v>
      </c>
      <c r="AS8" s="366" t="s">
        <v>114</v>
      </c>
      <c r="AT8" s="2048"/>
      <c r="AU8" s="363">
        <v>9.9999999999999995E-21</v>
      </c>
      <c r="AV8" s="364" t="s">
        <v>113</v>
      </c>
      <c r="AW8" s="365"/>
      <c r="AX8" s="366" t="s">
        <v>114</v>
      </c>
      <c r="AY8" s="2048"/>
      <c r="AZ8" s="363">
        <v>0.48199999999999998</v>
      </c>
      <c r="BA8" s="364" t="s">
        <v>113</v>
      </c>
      <c r="BB8" s="365"/>
      <c r="BC8" s="366" t="s">
        <v>114</v>
      </c>
      <c r="BD8" s="2048"/>
      <c r="BE8" s="363">
        <v>0.86299999999999999</v>
      </c>
      <c r="BF8" s="364" t="s">
        <v>113</v>
      </c>
      <c r="BG8" s="365">
        <v>1</v>
      </c>
      <c r="BH8" s="366" t="s">
        <v>114</v>
      </c>
      <c r="BI8" s="2048"/>
      <c r="BJ8" s="363">
        <v>9.9999999999999994E-12</v>
      </c>
      <c r="BK8" s="364" t="s">
        <v>113</v>
      </c>
      <c r="BL8" s="365"/>
      <c r="BM8" s="366" t="s">
        <v>114</v>
      </c>
      <c r="BN8" s="2048"/>
      <c r="BO8" s="363">
        <v>1.2192000000000001</v>
      </c>
      <c r="BP8" s="364" t="s">
        <v>113</v>
      </c>
      <c r="BQ8" s="365">
        <v>1</v>
      </c>
      <c r="BR8" s="366" t="s">
        <v>114</v>
      </c>
      <c r="BW8" s="27"/>
      <c r="BX8" s="27"/>
      <c r="BY8" s="27"/>
      <c r="BZ8" s="27"/>
      <c r="CA8" s="27"/>
      <c r="CB8" s="27"/>
      <c r="CC8" s="27"/>
      <c r="CD8" s="27"/>
      <c r="CE8" s="27"/>
    </row>
    <row r="9" spans="1:83" ht="15" customHeight="1" x14ac:dyDescent="0.25">
      <c r="A9" s="2350" t="s">
        <v>110</v>
      </c>
      <c r="B9" s="2351"/>
      <c r="C9" s="2346">
        <f t="shared" ref="C9" si="13">B14/((36*3.1415/44)*(108/3.281))</f>
        <v>1.0200145863585126E-2</v>
      </c>
      <c r="D9" s="2346"/>
      <c r="E9" s="2347"/>
      <c r="F9" s="2350" t="s">
        <v>110</v>
      </c>
      <c r="G9" s="2351"/>
      <c r="H9" s="2346">
        <f t="shared" ref="H9" si="14">G14/((36*3.1415/44)*(108/3.281))</f>
        <v>1.1819404245173956E-9</v>
      </c>
      <c r="I9" s="2346"/>
      <c r="J9" s="2347"/>
      <c r="K9" s="2350" t="s">
        <v>110</v>
      </c>
      <c r="L9" s="2351"/>
      <c r="M9" s="2346">
        <f t="shared" ref="M9" si="15">L14/((36*3.1415/44)*(108/3.281))</f>
        <v>3.593098890532883E-3</v>
      </c>
      <c r="N9" s="2346"/>
      <c r="O9" s="2347"/>
      <c r="P9" s="2350" t="s">
        <v>110</v>
      </c>
      <c r="Q9" s="2351"/>
      <c r="R9" s="2346">
        <f t="shared" ref="R9" si="16">Q14/((36*3.1415/44)*(108/3.281))</f>
        <v>1.1819404245173956E-9</v>
      </c>
      <c r="S9" s="2346"/>
      <c r="T9" s="2347"/>
      <c r="U9" s="2350" t="s">
        <v>110</v>
      </c>
      <c r="V9" s="2351"/>
      <c r="W9" s="2346">
        <f t="shared" ref="W9" si="17">V14/((36*3.1415/44)*(108/3.281))</f>
        <v>1.8312984937472531E-2</v>
      </c>
      <c r="X9" s="2346"/>
      <c r="Y9" s="2347"/>
      <c r="Z9" s="2350" t="s">
        <v>110</v>
      </c>
      <c r="AA9" s="2351"/>
      <c r="AB9" s="2346">
        <f t="shared" ref="AB9" si="18">AA14/((36*3.1415/44)*(108/3.281))</f>
        <v>0.10176507055094777</v>
      </c>
      <c r="AC9" s="2346"/>
      <c r="AD9" s="2347"/>
      <c r="AE9" s="2350" t="s">
        <v>110</v>
      </c>
      <c r="AF9" s="2351"/>
      <c r="AG9" s="2346">
        <f t="shared" ref="AG9" si="19">AF14/((36*3.1415/44)*(108/3.281))</f>
        <v>1.0507450373959648E-2</v>
      </c>
      <c r="AH9" s="2346"/>
      <c r="AI9" s="2347"/>
      <c r="AJ9" s="2350" t="s">
        <v>110</v>
      </c>
      <c r="AK9" s="2351"/>
      <c r="AL9" s="2346">
        <f t="shared" ref="AL9" si="20">AK14/((36*3.1415/44)*(108/3.281))</f>
        <v>0.10747384280136679</v>
      </c>
      <c r="AM9" s="2346"/>
      <c r="AN9" s="2347"/>
      <c r="AO9" s="2350" t="s">
        <v>110</v>
      </c>
      <c r="AP9" s="2351"/>
      <c r="AQ9" s="2346">
        <f t="shared" ref="AQ9" si="21">AP14/((36*3.1415/44)*(108/3.281))</f>
        <v>1.7112133466162856E-2</v>
      </c>
      <c r="AR9" s="2346"/>
      <c r="AS9" s="2347"/>
      <c r="AT9" s="2350" t="s">
        <v>110</v>
      </c>
      <c r="AU9" s="2351"/>
      <c r="AV9" s="2346">
        <f t="shared" ref="AV9" si="22">AU14/((36*3.1415/44)*(108/3.281))</f>
        <v>6.1243425036793385E-2</v>
      </c>
      <c r="AW9" s="2346"/>
      <c r="AX9" s="2347"/>
      <c r="AY9" s="121"/>
      <c r="AZ9" s="121"/>
      <c r="BA9" s="121"/>
      <c r="BB9" s="31"/>
      <c r="BC9" s="121"/>
      <c r="BD9" s="121"/>
      <c r="BE9" s="121"/>
      <c r="BF9" s="121"/>
      <c r="BG9" s="31"/>
      <c r="BH9" s="121"/>
      <c r="BI9" s="121"/>
      <c r="BJ9" s="121"/>
      <c r="BK9" s="121"/>
      <c r="BL9" s="31"/>
      <c r="BM9" s="121"/>
      <c r="BN9" s="121"/>
      <c r="BO9" s="121"/>
      <c r="BP9" s="121"/>
      <c r="BQ9" s="31"/>
      <c r="BR9" s="121"/>
    </row>
    <row r="10" spans="1:83" ht="15" customHeight="1" x14ac:dyDescent="0.25">
      <c r="A10" s="2352"/>
      <c r="B10" s="2353"/>
      <c r="C10" s="2348"/>
      <c r="D10" s="2348"/>
      <c r="E10" s="2349"/>
      <c r="F10" s="2352"/>
      <c r="G10" s="2353"/>
      <c r="H10" s="2348"/>
      <c r="I10" s="2348"/>
      <c r="J10" s="2349"/>
      <c r="K10" s="2352"/>
      <c r="L10" s="2353"/>
      <c r="M10" s="2348"/>
      <c r="N10" s="2348"/>
      <c r="O10" s="2349"/>
      <c r="P10" s="2352"/>
      <c r="Q10" s="2353"/>
      <c r="R10" s="2348"/>
      <c r="S10" s="2348"/>
      <c r="T10" s="2349"/>
      <c r="U10" s="2352"/>
      <c r="V10" s="2353"/>
      <c r="W10" s="2348"/>
      <c r="X10" s="2348"/>
      <c r="Y10" s="2349"/>
      <c r="Z10" s="2352"/>
      <c r="AA10" s="2353"/>
      <c r="AB10" s="2348"/>
      <c r="AC10" s="2348"/>
      <c r="AD10" s="2349"/>
      <c r="AE10" s="2352"/>
      <c r="AF10" s="2353"/>
      <c r="AG10" s="2348"/>
      <c r="AH10" s="2348"/>
      <c r="AI10" s="2349"/>
      <c r="AJ10" s="2352"/>
      <c r="AK10" s="2353"/>
      <c r="AL10" s="2348"/>
      <c r="AM10" s="2348"/>
      <c r="AN10" s="2349"/>
      <c r="AO10" s="2352"/>
      <c r="AP10" s="2353"/>
      <c r="AQ10" s="2348"/>
      <c r="AR10" s="2348"/>
      <c r="AS10" s="2349"/>
      <c r="AT10" s="2352"/>
      <c r="AU10" s="2353"/>
      <c r="AV10" s="2348"/>
      <c r="AW10" s="2348"/>
      <c r="AX10" s="2349"/>
      <c r="AY10" s="34"/>
      <c r="AZ10" s="35"/>
      <c r="BA10" s="31"/>
      <c r="BB10" s="32"/>
      <c r="BC10" s="33"/>
      <c r="BD10" s="34"/>
      <c r="BE10" s="35"/>
      <c r="BF10" s="31"/>
      <c r="BG10" s="32"/>
      <c r="BH10" s="33"/>
      <c r="BI10" s="34"/>
      <c r="BJ10" s="35"/>
      <c r="BK10" s="31"/>
      <c r="BL10" s="32"/>
      <c r="BM10" s="33"/>
      <c r="BN10" s="34"/>
      <c r="BO10" s="35"/>
      <c r="BP10" s="31"/>
      <c r="BQ10" s="32"/>
      <c r="BR10" s="33"/>
    </row>
    <row r="11" spans="1:83" ht="15" customHeight="1" x14ac:dyDescent="0.25">
      <c r="A11" s="2352"/>
      <c r="B11" s="2353"/>
      <c r="C11" s="2348"/>
      <c r="D11" s="2348"/>
      <c r="E11" s="2349"/>
      <c r="F11" s="2352"/>
      <c r="G11" s="2353"/>
      <c r="H11" s="2348"/>
      <c r="I11" s="2348"/>
      <c r="J11" s="2349"/>
      <c r="K11" s="2352"/>
      <c r="L11" s="2353"/>
      <c r="M11" s="2348"/>
      <c r="N11" s="2348"/>
      <c r="O11" s="2349"/>
      <c r="P11" s="2352"/>
      <c r="Q11" s="2353"/>
      <c r="R11" s="2348"/>
      <c r="S11" s="2348"/>
      <c r="T11" s="2349"/>
      <c r="U11" s="2352"/>
      <c r="V11" s="2353"/>
      <c r="W11" s="2348"/>
      <c r="X11" s="2348"/>
      <c r="Y11" s="2349"/>
      <c r="Z11" s="2352"/>
      <c r="AA11" s="2353"/>
      <c r="AB11" s="2348"/>
      <c r="AC11" s="2348"/>
      <c r="AD11" s="2349"/>
      <c r="AE11" s="2352"/>
      <c r="AF11" s="2353"/>
      <c r="AG11" s="2348"/>
      <c r="AH11" s="2348"/>
      <c r="AI11" s="2349"/>
      <c r="AJ11" s="2352"/>
      <c r="AK11" s="2353"/>
      <c r="AL11" s="2348"/>
      <c r="AM11" s="2348"/>
      <c r="AN11" s="2349"/>
      <c r="AO11" s="2352"/>
      <c r="AP11" s="2353"/>
      <c r="AQ11" s="2348"/>
      <c r="AR11" s="2348"/>
      <c r="AS11" s="2349"/>
      <c r="AT11" s="2352"/>
      <c r="AU11" s="2353"/>
      <c r="AV11" s="2348"/>
      <c r="AW11" s="2348"/>
      <c r="AX11" s="2349"/>
      <c r="AY11" s="34"/>
      <c r="AZ11" s="35"/>
      <c r="BA11" s="31"/>
      <c r="BB11" s="32"/>
      <c r="BC11" s="33"/>
      <c r="BD11" s="34"/>
      <c r="BE11" s="35"/>
      <c r="BF11" s="31"/>
      <c r="BG11" s="32"/>
      <c r="BH11" s="33"/>
      <c r="BI11" s="34"/>
      <c r="BJ11" s="35"/>
      <c r="BK11" s="31"/>
      <c r="BL11" s="32"/>
      <c r="BM11" s="33"/>
      <c r="BN11" s="34"/>
      <c r="BO11" s="35"/>
      <c r="BP11" s="31"/>
      <c r="BQ11" s="32"/>
      <c r="BR11" s="33"/>
    </row>
    <row r="12" spans="1:83" ht="24.95" customHeight="1" x14ac:dyDescent="0.25">
      <c r="A12" s="3204"/>
      <c r="B12" s="3205"/>
      <c r="C12" s="3206"/>
      <c r="D12" s="3206"/>
      <c r="E12" s="3207"/>
      <c r="F12" s="3204"/>
      <c r="G12" s="3205"/>
      <c r="H12" s="3206"/>
      <c r="I12" s="3206"/>
      <c r="J12" s="3207"/>
      <c r="K12" s="3204"/>
      <c r="L12" s="3205"/>
      <c r="M12" s="3206"/>
      <c r="N12" s="3206"/>
      <c r="O12" s="3207"/>
      <c r="P12" s="3204"/>
      <c r="Q12" s="3205"/>
      <c r="R12" s="3206"/>
      <c r="S12" s="3206"/>
      <c r="T12" s="3207"/>
      <c r="U12" s="3204"/>
      <c r="V12" s="3205"/>
      <c r="W12" s="3206"/>
      <c r="X12" s="3206"/>
      <c r="Y12" s="3207"/>
      <c r="Z12" s="3204"/>
      <c r="AA12" s="3205"/>
      <c r="AB12" s="3206"/>
      <c r="AC12" s="3206"/>
      <c r="AD12" s="3207"/>
      <c r="AE12" s="3204"/>
      <c r="AF12" s="3205"/>
      <c r="AG12" s="3206"/>
      <c r="AH12" s="3206"/>
      <c r="AI12" s="3207"/>
      <c r="AJ12" s="3204"/>
      <c r="AK12" s="3205"/>
      <c r="AL12" s="3206"/>
      <c r="AM12" s="3206"/>
      <c r="AN12" s="3207"/>
      <c r="AO12" s="3204"/>
      <c r="AP12" s="3205"/>
      <c r="AQ12" s="3206"/>
      <c r="AR12" s="3206"/>
      <c r="AS12" s="3207"/>
      <c r="AT12" s="3204"/>
      <c r="AU12" s="3205"/>
      <c r="AV12" s="3206"/>
      <c r="AW12" s="3206"/>
      <c r="AX12" s="3207"/>
      <c r="AY12" s="121"/>
      <c r="AZ12" s="121"/>
      <c r="BA12" s="121"/>
      <c r="BB12" s="31"/>
      <c r="BC12" s="121"/>
      <c r="BD12" s="121"/>
      <c r="BE12" s="121"/>
      <c r="BF12" s="121"/>
      <c r="BG12" s="31"/>
      <c r="BH12" s="121"/>
      <c r="BI12" s="121"/>
      <c r="BJ12" s="121"/>
      <c r="BK12" s="121"/>
      <c r="BL12" s="31"/>
      <c r="BM12" s="121"/>
      <c r="BN12" s="121"/>
      <c r="BO12" s="121"/>
      <c r="BP12" s="121"/>
      <c r="BQ12" s="31"/>
      <c r="BR12" s="121"/>
    </row>
    <row r="13" spans="1:83" s="22" customFormat="1" ht="99.75" customHeight="1" x14ac:dyDescent="1.35">
      <c r="A13" s="2048" t="s">
        <v>509</v>
      </c>
      <c r="B13" s="1921">
        <v>15</v>
      </c>
      <c r="C13" s="1921"/>
      <c r="D13" s="1921"/>
      <c r="E13" s="1921"/>
      <c r="F13" s="2048" t="s">
        <v>509</v>
      </c>
      <c r="G13" s="1921">
        <v>16</v>
      </c>
      <c r="H13" s="1921"/>
      <c r="I13" s="1921"/>
      <c r="J13" s="1921"/>
      <c r="K13" s="2048" t="s">
        <v>509</v>
      </c>
      <c r="L13" s="1921">
        <v>17</v>
      </c>
      <c r="M13" s="1921"/>
      <c r="N13" s="1921"/>
      <c r="O13" s="1921"/>
      <c r="P13" s="2048" t="s">
        <v>509</v>
      </c>
      <c r="Q13" s="1921">
        <v>18</v>
      </c>
      <c r="R13" s="1921"/>
      <c r="S13" s="1921"/>
      <c r="T13" s="1921"/>
      <c r="U13" s="2048" t="s">
        <v>509</v>
      </c>
      <c r="V13" s="1921">
        <v>19</v>
      </c>
      <c r="W13" s="1921"/>
      <c r="X13" s="1921"/>
      <c r="Y13" s="1921"/>
      <c r="Z13" s="2048" t="s">
        <v>509</v>
      </c>
      <c r="AA13" s="1921">
        <v>20</v>
      </c>
      <c r="AB13" s="1921"/>
      <c r="AC13" s="1921"/>
      <c r="AD13" s="1921"/>
      <c r="AE13" s="2048" t="s">
        <v>509</v>
      </c>
      <c r="AF13" s="1921">
        <v>21</v>
      </c>
      <c r="AG13" s="1921"/>
      <c r="AH13" s="1921"/>
      <c r="AI13" s="1921"/>
      <c r="AJ13" s="2048" t="s">
        <v>509</v>
      </c>
      <c r="AK13" s="1921">
        <v>22</v>
      </c>
      <c r="AL13" s="1921"/>
      <c r="AM13" s="1921"/>
      <c r="AN13" s="1921"/>
      <c r="AO13" s="2048" t="s">
        <v>509</v>
      </c>
      <c r="AP13" s="1921">
        <v>23</v>
      </c>
      <c r="AQ13" s="1921"/>
      <c r="AR13" s="1921"/>
      <c r="AS13" s="1921"/>
      <c r="AT13" s="2048" t="s">
        <v>509</v>
      </c>
      <c r="AU13" s="1921">
        <v>24</v>
      </c>
      <c r="AV13" s="1921"/>
      <c r="AW13" s="1921"/>
      <c r="AX13" s="1921"/>
      <c r="AY13" s="34"/>
      <c r="AZ13" s="35"/>
      <c r="BA13" s="31"/>
      <c r="BB13" s="32"/>
      <c r="BC13" s="33"/>
      <c r="BD13" s="34"/>
      <c r="BE13" s="35"/>
      <c r="BF13" s="31"/>
      <c r="BG13" s="32"/>
      <c r="BH13" s="33"/>
      <c r="BI13" s="34"/>
      <c r="BJ13" s="35"/>
      <c r="BK13" s="31"/>
      <c r="BL13" s="32"/>
      <c r="BM13" s="33"/>
      <c r="BN13" s="34"/>
      <c r="BO13" s="35"/>
      <c r="BP13" s="31"/>
      <c r="BQ13" s="32"/>
      <c r="BR13" s="33"/>
    </row>
    <row r="14" spans="1:83" ht="42" customHeight="1" x14ac:dyDescent="0.25">
      <c r="A14" s="2048"/>
      <c r="B14" s="363">
        <v>0.86299999999999999</v>
      </c>
      <c r="C14" s="364" t="s">
        <v>113</v>
      </c>
      <c r="D14" s="365"/>
      <c r="E14" s="366" t="s">
        <v>114</v>
      </c>
      <c r="F14" s="2048"/>
      <c r="G14" s="363">
        <v>9.9999999999999995E-8</v>
      </c>
      <c r="H14" s="364" t="s">
        <v>113</v>
      </c>
      <c r="I14" s="365"/>
      <c r="J14" s="366" t="s">
        <v>114</v>
      </c>
      <c r="K14" s="2048"/>
      <c r="L14" s="363">
        <v>0.30399999999999999</v>
      </c>
      <c r="M14" s="364" t="s">
        <v>113</v>
      </c>
      <c r="N14" s="365">
        <v>1</v>
      </c>
      <c r="O14" s="366" t="s">
        <v>114</v>
      </c>
      <c r="P14" s="2048"/>
      <c r="Q14" s="363">
        <v>9.9999999999999995E-8</v>
      </c>
      <c r="R14" s="364" t="s">
        <v>113</v>
      </c>
      <c r="S14" s="365"/>
      <c r="T14" s="366" t="s">
        <v>114</v>
      </c>
      <c r="U14" s="2048"/>
      <c r="V14" s="363">
        <v>1.5494000000000001</v>
      </c>
      <c r="W14" s="364" t="s">
        <v>113</v>
      </c>
      <c r="X14" s="365"/>
      <c r="Y14" s="366" t="s">
        <v>114</v>
      </c>
      <c r="Z14" s="2048"/>
      <c r="AA14" s="363">
        <v>8.61</v>
      </c>
      <c r="AB14" s="364" t="s">
        <v>113</v>
      </c>
      <c r="AC14" s="365">
        <v>1</v>
      </c>
      <c r="AD14" s="366" t="s">
        <v>114</v>
      </c>
      <c r="AE14" s="2048"/>
      <c r="AF14" s="363">
        <v>0.88900000000000001</v>
      </c>
      <c r="AG14" s="364" t="s">
        <v>113</v>
      </c>
      <c r="AH14" s="365"/>
      <c r="AI14" s="366" t="s">
        <v>114</v>
      </c>
      <c r="AJ14" s="2048"/>
      <c r="AK14" s="363">
        <v>9.093</v>
      </c>
      <c r="AL14" s="364" t="s">
        <v>113</v>
      </c>
      <c r="AM14" s="365">
        <v>1</v>
      </c>
      <c r="AN14" s="366" t="s">
        <v>114</v>
      </c>
      <c r="AO14" s="2048"/>
      <c r="AP14" s="363">
        <v>1.4478</v>
      </c>
      <c r="AQ14" s="364" t="s">
        <v>113</v>
      </c>
      <c r="AR14" s="365"/>
      <c r="AS14" s="366" t="s">
        <v>114</v>
      </c>
      <c r="AT14" s="2048"/>
      <c r="AU14" s="363">
        <v>5.1816000000000004</v>
      </c>
      <c r="AV14" s="364" t="s">
        <v>113</v>
      </c>
      <c r="AW14" s="365"/>
      <c r="AX14" s="366" t="s">
        <v>114</v>
      </c>
      <c r="AY14" s="34"/>
      <c r="AZ14" s="35"/>
      <c r="BA14" s="31"/>
      <c r="BB14" s="32"/>
      <c r="BC14" s="33"/>
      <c r="BD14" s="34"/>
      <c r="BE14" s="35"/>
      <c r="BF14" s="31"/>
      <c r="BG14" s="32"/>
      <c r="BH14" s="33"/>
      <c r="BI14" s="34"/>
      <c r="BJ14" s="35"/>
      <c r="BK14" s="31"/>
      <c r="BL14" s="32"/>
      <c r="BM14" s="33"/>
      <c r="BN14" s="34"/>
      <c r="BO14" s="35"/>
      <c r="BP14" s="31"/>
      <c r="BQ14" s="32"/>
      <c r="BR14" s="33"/>
      <c r="BW14" s="27"/>
      <c r="BX14" s="27"/>
      <c r="BY14" s="27"/>
      <c r="BZ14" s="27"/>
      <c r="CA14" s="27"/>
      <c r="CB14" s="27"/>
      <c r="CC14" s="27"/>
      <c r="CD14" s="27"/>
      <c r="CE14" s="27"/>
    </row>
    <row r="15" spans="1:83" ht="15" hidden="1" customHeight="1" x14ac:dyDescent="0.25">
      <c r="A15" s="121"/>
      <c r="B15" s="121"/>
      <c r="C15" s="121"/>
      <c r="D15" s="31"/>
      <c r="E15" s="121"/>
      <c r="F15" s="121"/>
      <c r="G15" s="121"/>
      <c r="H15" s="121"/>
      <c r="I15" s="31"/>
      <c r="J15" s="121"/>
      <c r="K15" s="121"/>
      <c r="L15" s="121"/>
      <c r="M15" s="121"/>
      <c r="N15" s="31"/>
      <c r="O15" s="121"/>
      <c r="P15" s="121"/>
      <c r="Q15" s="121"/>
      <c r="R15" s="121"/>
      <c r="S15" s="31"/>
      <c r="T15" s="121"/>
      <c r="U15" s="121"/>
      <c r="V15" s="121"/>
      <c r="W15" s="121"/>
      <c r="X15" s="31"/>
      <c r="Y15" s="121"/>
      <c r="Z15" s="121"/>
      <c r="AA15" s="121"/>
      <c r="AB15" s="121"/>
      <c r="AC15" s="31"/>
      <c r="AD15" s="121"/>
      <c r="AE15" s="121"/>
      <c r="AF15" s="121"/>
      <c r="AG15" s="121"/>
      <c r="AH15" s="31"/>
      <c r="AI15" s="121"/>
      <c r="AJ15" s="121"/>
      <c r="AK15" s="121"/>
      <c r="AL15" s="121"/>
      <c r="AM15" s="31"/>
      <c r="AN15" s="121"/>
      <c r="AO15" s="121"/>
      <c r="AP15" s="121"/>
      <c r="AQ15" s="121"/>
      <c r="AR15" s="31"/>
      <c r="AS15" s="121"/>
      <c r="AT15" s="121"/>
      <c r="AU15" s="121"/>
      <c r="AV15" s="121"/>
      <c r="AW15" s="31"/>
      <c r="AX15" s="121"/>
      <c r="AY15" s="121"/>
      <c r="AZ15" s="121"/>
      <c r="BA15" s="121"/>
      <c r="BB15" s="31"/>
      <c r="BC15" s="121"/>
      <c r="BD15" s="121"/>
      <c r="BE15" s="121"/>
      <c r="BF15" s="121"/>
      <c r="BG15" s="121"/>
      <c r="BH15" s="31"/>
      <c r="BI15" s="121"/>
      <c r="BJ15" s="121"/>
      <c r="BK15" s="121"/>
      <c r="BL15" s="121"/>
      <c r="BM15" s="121"/>
      <c r="BN15" s="31"/>
      <c r="BO15" s="121"/>
      <c r="BP15" s="121"/>
      <c r="BQ15" s="121"/>
      <c r="BR15" s="121"/>
    </row>
    <row r="16" spans="1:83" ht="15" hidden="1" customHeight="1" x14ac:dyDescent="0.25">
      <c r="A16" s="34"/>
      <c r="B16" s="35"/>
      <c r="C16" s="31"/>
      <c r="D16" s="32"/>
      <c r="E16" s="33"/>
      <c r="F16" s="34"/>
      <c r="G16" s="35"/>
      <c r="H16" s="31"/>
      <c r="I16" s="32"/>
      <c r="J16" s="33"/>
      <c r="K16" s="34"/>
      <c r="L16" s="35"/>
      <c r="M16" s="31"/>
      <c r="N16" s="32"/>
      <c r="O16" s="33"/>
      <c r="P16" s="34"/>
      <c r="Q16" s="35"/>
      <c r="R16" s="31"/>
      <c r="S16" s="32"/>
      <c r="T16" s="33"/>
      <c r="U16" s="34"/>
      <c r="V16" s="35"/>
      <c r="W16" s="31"/>
      <c r="X16" s="32"/>
      <c r="Y16" s="33"/>
      <c r="Z16" s="34"/>
      <c r="AA16" s="35"/>
      <c r="AB16" s="31"/>
      <c r="AC16" s="32"/>
      <c r="AD16" s="33"/>
      <c r="AE16" s="34"/>
      <c r="AF16" s="35"/>
      <c r="AG16" s="31"/>
      <c r="AH16" s="32"/>
      <c r="AI16" s="33"/>
      <c r="AJ16" s="34"/>
      <c r="AK16" s="35"/>
      <c r="AL16" s="31"/>
      <c r="AM16" s="32"/>
      <c r="AN16" s="33"/>
      <c r="AO16" s="34"/>
      <c r="AP16" s="35"/>
      <c r="AQ16" s="31"/>
      <c r="AR16" s="32"/>
      <c r="AS16" s="33"/>
      <c r="AT16" s="34"/>
      <c r="AU16" s="35"/>
      <c r="AV16" s="31"/>
      <c r="AW16" s="32"/>
      <c r="AX16" s="33"/>
      <c r="AY16" s="34"/>
      <c r="AZ16" s="35"/>
      <c r="BA16" s="31"/>
      <c r="BB16" s="32"/>
      <c r="BC16" s="33"/>
      <c r="BD16" s="34"/>
      <c r="BE16" s="34"/>
      <c r="BF16" s="35"/>
      <c r="BG16" s="31"/>
      <c r="BH16" s="32"/>
      <c r="BI16" s="33"/>
      <c r="BJ16" s="34"/>
      <c r="BK16" s="34"/>
      <c r="BL16" s="35"/>
      <c r="BM16" s="31"/>
      <c r="BN16" s="32"/>
      <c r="BO16" s="33"/>
      <c r="BP16" s="34"/>
      <c r="BQ16" s="34"/>
      <c r="BR16" s="35"/>
    </row>
    <row r="17" spans="1:83" ht="15" hidden="1" customHeight="1" x14ac:dyDescent="0.25">
      <c r="A17" s="34"/>
      <c r="B17" s="35"/>
      <c r="C17" s="31"/>
      <c r="D17" s="32"/>
      <c r="E17" s="33"/>
      <c r="F17" s="34"/>
      <c r="G17" s="35"/>
      <c r="H17" s="31"/>
      <c r="I17" s="32"/>
      <c r="J17" s="33"/>
      <c r="K17" s="34"/>
      <c r="L17" s="35"/>
      <c r="M17" s="31"/>
      <c r="N17" s="32"/>
      <c r="O17" s="33"/>
      <c r="P17" s="34"/>
      <c r="Q17" s="35"/>
      <c r="R17" s="31"/>
      <c r="S17" s="32"/>
      <c r="T17" s="33"/>
      <c r="U17" s="34"/>
      <c r="V17" s="35"/>
      <c r="W17" s="31"/>
      <c r="X17" s="32"/>
      <c r="Y17" s="33"/>
      <c r="Z17" s="34"/>
      <c r="AA17" s="35"/>
      <c r="AB17" s="31"/>
      <c r="AC17" s="32"/>
      <c r="AD17" s="33"/>
      <c r="AE17" s="34"/>
      <c r="AF17" s="35"/>
      <c r="AG17" s="31"/>
      <c r="AH17" s="32"/>
      <c r="AI17" s="33"/>
      <c r="AJ17" s="34"/>
      <c r="AK17" s="35"/>
      <c r="AL17" s="31"/>
      <c r="AM17" s="32"/>
      <c r="AN17" s="33"/>
      <c r="AO17" s="34"/>
      <c r="AP17" s="35"/>
      <c r="AQ17" s="31"/>
      <c r="AR17" s="32"/>
      <c r="AS17" s="33"/>
      <c r="AT17" s="34"/>
      <c r="AU17" s="35"/>
      <c r="AV17" s="31"/>
      <c r="AW17" s="32"/>
      <c r="AX17" s="33"/>
      <c r="AY17" s="34"/>
      <c r="AZ17" s="35"/>
      <c r="BA17" s="31"/>
      <c r="BB17" s="32"/>
      <c r="BC17" s="33"/>
      <c r="BD17" s="34"/>
      <c r="BE17" s="34"/>
      <c r="BF17" s="35"/>
      <c r="BG17" s="31"/>
      <c r="BH17" s="32"/>
      <c r="BI17" s="33"/>
      <c r="BJ17" s="34"/>
      <c r="BK17" s="34"/>
      <c r="BL17" s="35"/>
      <c r="BM17" s="31"/>
      <c r="BN17" s="32"/>
      <c r="BO17" s="33"/>
      <c r="BP17" s="34"/>
      <c r="BQ17" s="34"/>
      <c r="BR17" s="35"/>
    </row>
    <row r="18" spans="1:83" ht="24.95" hidden="1" customHeight="1" x14ac:dyDescent="0.25">
      <c r="A18" s="121"/>
      <c r="B18" s="121"/>
      <c r="C18" s="121"/>
      <c r="D18" s="31"/>
      <c r="E18" s="121"/>
      <c r="F18" s="121"/>
      <c r="G18" s="121"/>
      <c r="H18" s="121"/>
      <c r="I18" s="31"/>
      <c r="J18" s="121"/>
      <c r="K18" s="121"/>
      <c r="L18" s="121"/>
      <c r="M18" s="121"/>
      <c r="N18" s="31"/>
      <c r="O18" s="121"/>
      <c r="P18" s="121"/>
      <c r="Q18" s="121"/>
      <c r="R18" s="121"/>
      <c r="S18" s="31"/>
      <c r="T18" s="121"/>
      <c r="U18" s="121"/>
      <c r="V18" s="121"/>
      <c r="W18" s="121"/>
      <c r="X18" s="31"/>
      <c r="Y18" s="121"/>
      <c r="Z18" s="121"/>
      <c r="AA18" s="121"/>
      <c r="AB18" s="121"/>
      <c r="AC18" s="31"/>
      <c r="AD18" s="121"/>
      <c r="AE18" s="121"/>
      <c r="AF18" s="121"/>
      <c r="AG18" s="121"/>
      <c r="AH18" s="31"/>
      <c r="AI18" s="121"/>
      <c r="AJ18" s="121"/>
      <c r="AK18" s="121"/>
      <c r="AL18" s="121"/>
      <c r="AM18" s="31"/>
      <c r="AN18" s="121"/>
      <c r="AO18" s="121"/>
      <c r="AP18" s="121"/>
      <c r="AQ18" s="121"/>
      <c r="AR18" s="31"/>
      <c r="AS18" s="121"/>
      <c r="AT18" s="121"/>
      <c r="AU18" s="121"/>
      <c r="AV18" s="121"/>
      <c r="AW18" s="31"/>
      <c r="AX18" s="121"/>
      <c r="AY18" s="121"/>
      <c r="AZ18" s="121"/>
      <c r="BA18" s="121"/>
      <c r="BB18" s="31"/>
      <c r="BC18" s="121"/>
      <c r="BD18" s="121"/>
      <c r="BE18" s="121"/>
      <c r="BF18" s="121"/>
      <c r="BG18" s="121"/>
      <c r="BH18" s="31"/>
      <c r="BI18" s="121"/>
      <c r="BJ18" s="121"/>
      <c r="BK18" s="121"/>
      <c r="BL18" s="121"/>
      <c r="BM18" s="121"/>
      <c r="BN18" s="31"/>
      <c r="BO18" s="121"/>
      <c r="BP18" s="121"/>
      <c r="BQ18" s="121"/>
      <c r="BR18" s="121"/>
    </row>
    <row r="19" spans="1:83" s="22" customFormat="1" ht="80.099999999999994" hidden="1" customHeight="1" x14ac:dyDescent="1.35">
      <c r="A19" s="34"/>
      <c r="B19" s="35"/>
      <c r="C19" s="31"/>
      <c r="D19" s="32"/>
      <c r="E19" s="33"/>
      <c r="F19" s="34"/>
      <c r="G19" s="35"/>
      <c r="H19" s="31"/>
      <c r="I19" s="32"/>
      <c r="J19" s="33"/>
      <c r="K19" s="34"/>
      <c r="L19" s="35"/>
      <c r="M19" s="31"/>
      <c r="N19" s="32"/>
      <c r="O19" s="33"/>
      <c r="P19" s="34"/>
      <c r="Q19" s="35"/>
      <c r="R19" s="31"/>
      <c r="S19" s="32"/>
      <c r="T19" s="33"/>
      <c r="U19" s="34"/>
      <c r="V19" s="35"/>
      <c r="W19" s="31"/>
      <c r="X19" s="32"/>
      <c r="Y19" s="33"/>
      <c r="Z19" s="34"/>
      <c r="AA19" s="35"/>
      <c r="AB19" s="31"/>
      <c r="AC19" s="32"/>
      <c r="AD19" s="33"/>
      <c r="AE19" s="34"/>
      <c r="AF19" s="35"/>
      <c r="AG19" s="31"/>
      <c r="AH19" s="32"/>
      <c r="AI19" s="33"/>
      <c r="AJ19" s="34"/>
      <c r="AK19" s="35"/>
      <c r="AL19" s="31"/>
      <c r="AM19" s="32"/>
      <c r="AN19" s="33"/>
      <c r="AO19" s="34"/>
      <c r="AP19" s="35"/>
      <c r="AQ19" s="31"/>
      <c r="AR19" s="32"/>
      <c r="AS19" s="33"/>
      <c r="AT19" s="34"/>
      <c r="AU19" s="35"/>
      <c r="AV19" s="31"/>
      <c r="AW19" s="32"/>
      <c r="AX19" s="33"/>
      <c r="AY19" s="34"/>
      <c r="AZ19" s="35"/>
      <c r="BA19" s="31"/>
      <c r="BB19" s="32"/>
      <c r="BC19" s="33"/>
      <c r="BD19" s="34"/>
      <c r="BE19" s="34"/>
      <c r="BF19" s="35"/>
      <c r="BG19" s="31"/>
      <c r="BH19" s="32"/>
      <c r="BI19" s="33"/>
      <c r="BJ19" s="34"/>
      <c r="BK19" s="34"/>
      <c r="BL19" s="35"/>
      <c r="BM19" s="31"/>
      <c r="BN19" s="32"/>
      <c r="BO19" s="33"/>
      <c r="BP19" s="34"/>
      <c r="BQ19" s="34"/>
      <c r="BR19" s="35"/>
    </row>
    <row r="20" spans="1:83" ht="26.25" hidden="1" x14ac:dyDescent="0.25">
      <c r="A20" s="34"/>
      <c r="B20" s="35"/>
      <c r="C20" s="31"/>
      <c r="D20" s="32"/>
      <c r="E20" s="33"/>
      <c r="F20" s="34"/>
      <c r="G20" s="35"/>
      <c r="H20" s="31"/>
      <c r="I20" s="32"/>
      <c r="J20" s="33"/>
      <c r="K20" s="34"/>
      <c r="L20" s="35"/>
      <c r="M20" s="31"/>
      <c r="N20" s="32"/>
      <c r="O20" s="33"/>
      <c r="P20" s="34"/>
      <c r="Q20" s="35"/>
      <c r="R20" s="31"/>
      <c r="S20" s="32"/>
      <c r="T20" s="33"/>
      <c r="U20" s="34"/>
      <c r="V20" s="35"/>
      <c r="W20" s="31"/>
      <c r="X20" s="32"/>
      <c r="Y20" s="33"/>
      <c r="Z20" s="34"/>
      <c r="AA20" s="35"/>
      <c r="AB20" s="31"/>
      <c r="AC20" s="32"/>
      <c r="AD20" s="33"/>
      <c r="AE20" s="34"/>
      <c r="AF20" s="35"/>
      <c r="AG20" s="31"/>
      <c r="AH20" s="32"/>
      <c r="AI20" s="33"/>
      <c r="AJ20" s="34"/>
      <c r="AK20" s="35"/>
      <c r="AL20" s="31"/>
      <c r="AM20" s="32"/>
      <c r="AN20" s="33"/>
      <c r="AO20" s="34"/>
      <c r="AP20" s="35"/>
      <c r="AQ20" s="31"/>
      <c r="AR20" s="32"/>
      <c r="AS20" s="33"/>
      <c r="AT20" s="34"/>
      <c r="AU20" s="35"/>
      <c r="AV20" s="31"/>
      <c r="AW20" s="32"/>
      <c r="AX20" s="33"/>
      <c r="AY20" s="34"/>
      <c r="AZ20" s="35"/>
      <c r="BA20" s="31"/>
      <c r="BB20" s="32"/>
      <c r="BC20" s="33"/>
      <c r="BD20" s="34"/>
      <c r="BE20" s="34"/>
      <c r="BF20" s="35"/>
      <c r="BG20" s="31"/>
      <c r="BH20" s="32"/>
      <c r="BI20" s="33"/>
      <c r="BJ20" s="34"/>
      <c r="BK20" s="34"/>
      <c r="BL20" s="35"/>
      <c r="BM20" s="31"/>
      <c r="BN20" s="32"/>
      <c r="BO20" s="33"/>
      <c r="BP20" s="34"/>
      <c r="BQ20" s="34"/>
      <c r="BR20" s="35"/>
      <c r="BW20" s="27"/>
      <c r="BX20" s="27"/>
      <c r="BY20" s="27"/>
      <c r="BZ20" s="27"/>
      <c r="CA20" s="27"/>
      <c r="CB20" s="27"/>
      <c r="CC20" s="27"/>
      <c r="CD20" s="27"/>
      <c r="CE20" s="27"/>
    </row>
    <row r="21" spans="1:83" ht="26.1" hidden="1" customHeight="1" x14ac:dyDescent="0.25">
      <c r="A21" s="121"/>
      <c r="B21" s="121"/>
      <c r="C21" s="121"/>
      <c r="D21" s="31"/>
      <c r="E21" s="121"/>
      <c r="F21" s="121"/>
      <c r="G21" s="121"/>
      <c r="H21" s="121"/>
      <c r="I21" s="121"/>
      <c r="J21" s="31"/>
      <c r="K21" s="121"/>
      <c r="L21" s="121"/>
      <c r="M21" s="121"/>
      <c r="N21" s="121"/>
      <c r="O21" s="121"/>
      <c r="P21" s="31"/>
      <c r="Q21" s="121"/>
      <c r="R21" s="121"/>
      <c r="S21" s="121"/>
      <c r="T21" s="121"/>
      <c r="U21" s="121"/>
      <c r="V21" s="31"/>
      <c r="W21" s="121"/>
      <c r="X21" s="121"/>
      <c r="Y21" s="121"/>
      <c r="Z21" s="121"/>
      <c r="AA21" s="121"/>
      <c r="AB21" s="31"/>
      <c r="AC21" s="121"/>
      <c r="AD21" s="121"/>
      <c r="AE21" s="121"/>
      <c r="AF21" s="121"/>
      <c r="AG21" s="121"/>
      <c r="AH21" s="31"/>
      <c r="AI21" s="121"/>
      <c r="AJ21" s="121"/>
      <c r="AK21" s="121"/>
      <c r="AL21" s="121"/>
      <c r="AM21" s="121"/>
      <c r="AN21" s="31"/>
      <c r="AO21" s="121"/>
      <c r="AP21" s="121"/>
      <c r="AQ21" s="121"/>
      <c r="AR21" s="121"/>
      <c r="AS21" s="121"/>
      <c r="AT21" s="31"/>
      <c r="AU21" s="121"/>
      <c r="AV21" s="121"/>
      <c r="AW21" s="121"/>
      <c r="AX21" s="121"/>
      <c r="AY21" s="121"/>
      <c r="AZ21" s="121"/>
      <c r="BA21" s="121"/>
      <c r="BB21" s="31"/>
      <c r="BC21" s="121"/>
      <c r="BD21" s="121"/>
      <c r="BE21" s="121"/>
      <c r="BF21" s="121"/>
      <c r="BG21" s="121"/>
      <c r="BH21" s="31"/>
      <c r="BI21" s="121"/>
      <c r="BJ21" s="121"/>
      <c r="BK21" s="121"/>
      <c r="BL21" s="121"/>
      <c r="BM21" s="121"/>
      <c r="BN21" s="31"/>
      <c r="BO21" s="121"/>
      <c r="BP21" s="121"/>
      <c r="BQ21" s="121"/>
      <c r="BR21" s="121"/>
    </row>
    <row r="22" spans="1:83" ht="6.75" hidden="1" customHeight="1" x14ac:dyDescent="0.25">
      <c r="A22" s="34"/>
      <c r="B22" s="35"/>
      <c r="C22" s="31"/>
      <c r="D22" s="32"/>
      <c r="E22" s="33"/>
      <c r="F22" s="34"/>
      <c r="G22" s="34"/>
      <c r="H22" s="35"/>
      <c r="I22" s="31"/>
      <c r="J22" s="32"/>
      <c r="K22" s="33"/>
      <c r="L22" s="34"/>
      <c r="M22" s="34"/>
      <c r="N22" s="35"/>
      <c r="O22" s="31"/>
      <c r="P22" s="32"/>
      <c r="Q22" s="33"/>
      <c r="R22" s="34"/>
      <c r="S22" s="34"/>
      <c r="T22" s="35"/>
      <c r="U22" s="31"/>
      <c r="V22" s="32"/>
      <c r="W22" s="33"/>
      <c r="X22" s="34"/>
      <c r="Y22" s="34"/>
      <c r="Z22" s="35"/>
      <c r="AA22" s="31"/>
      <c r="AB22" s="32"/>
      <c r="AC22" s="33"/>
      <c r="AD22" s="34"/>
      <c r="AE22" s="34"/>
      <c r="AF22" s="35"/>
      <c r="AG22" s="31"/>
      <c r="AH22" s="32"/>
      <c r="AI22" s="33"/>
      <c r="AJ22" s="34"/>
      <c r="AK22" s="34"/>
      <c r="AL22" s="35"/>
      <c r="AM22" s="31"/>
      <c r="AN22" s="32"/>
      <c r="AO22" s="33"/>
      <c r="AP22" s="34"/>
      <c r="AQ22" s="34"/>
      <c r="AR22" s="35"/>
      <c r="AS22" s="31"/>
      <c r="AT22" s="32"/>
      <c r="AU22" s="33"/>
      <c r="AV22" s="34"/>
      <c r="AW22" s="34"/>
      <c r="AX22" s="35"/>
      <c r="AY22" s="34"/>
      <c r="AZ22" s="35"/>
      <c r="BA22" s="31"/>
      <c r="BB22" s="32"/>
      <c r="BC22" s="33"/>
      <c r="BD22" s="34"/>
      <c r="BE22" s="34"/>
      <c r="BF22" s="35"/>
      <c r="BG22" s="31"/>
      <c r="BH22" s="32"/>
      <c r="BI22" s="33"/>
      <c r="BJ22" s="34"/>
      <c r="BK22" s="34"/>
      <c r="BL22" s="35"/>
      <c r="BM22" s="31"/>
      <c r="BN22" s="32"/>
      <c r="BO22" s="33"/>
      <c r="BP22" s="34"/>
      <c r="BQ22" s="34"/>
      <c r="BR22" s="35"/>
    </row>
    <row r="23" spans="1:83" ht="21.95" hidden="1" customHeight="1" x14ac:dyDescent="0.25">
      <c r="A23" s="34"/>
      <c r="B23" s="35"/>
      <c r="C23" s="31"/>
      <c r="D23" s="32"/>
      <c r="E23" s="33"/>
      <c r="F23" s="34"/>
      <c r="G23" s="34"/>
      <c r="H23" s="35"/>
      <c r="I23" s="31"/>
      <c r="J23" s="32"/>
      <c r="K23" s="33"/>
      <c r="L23" s="34"/>
      <c r="M23" s="34"/>
      <c r="N23" s="35"/>
      <c r="O23" s="31"/>
      <c r="P23" s="32"/>
      <c r="Q23" s="33"/>
      <c r="R23" s="34"/>
      <c r="S23" s="34"/>
      <c r="T23" s="35"/>
      <c r="U23" s="31"/>
      <c r="V23" s="32"/>
      <c r="W23" s="33"/>
      <c r="X23" s="34"/>
      <c r="Y23" s="34"/>
      <c r="Z23" s="35"/>
      <c r="AA23" s="31"/>
      <c r="AB23" s="32"/>
      <c r="AC23" s="33"/>
      <c r="AD23" s="34"/>
      <c r="AE23" s="34"/>
      <c r="AF23" s="35"/>
      <c r="AG23" s="31"/>
      <c r="AH23" s="32"/>
      <c r="AI23" s="33"/>
      <c r="AJ23" s="34"/>
      <c r="AK23" s="34"/>
      <c r="AL23" s="35"/>
      <c r="AM23" s="31"/>
      <c r="AN23" s="32"/>
      <c r="AO23" s="33"/>
      <c r="AP23" s="34"/>
      <c r="AQ23" s="34"/>
      <c r="AR23" s="35"/>
      <c r="AS23" s="31"/>
      <c r="AT23" s="32"/>
      <c r="AU23" s="33"/>
      <c r="AV23" s="34"/>
      <c r="AW23" s="34"/>
      <c r="AX23" s="35"/>
      <c r="AY23" s="34"/>
      <c r="AZ23" s="35"/>
      <c r="BA23" s="31"/>
      <c r="BB23" s="32"/>
      <c r="BC23" s="33"/>
      <c r="BD23" s="34"/>
      <c r="BE23" s="34"/>
      <c r="BF23" s="35"/>
      <c r="BG23" s="31"/>
      <c r="BH23" s="32"/>
      <c r="BI23" s="33"/>
      <c r="BJ23" s="34"/>
      <c r="BK23" s="34"/>
      <c r="BL23" s="35"/>
      <c r="BM23" s="31"/>
      <c r="BN23" s="32"/>
      <c r="BO23" s="33"/>
      <c r="BP23" s="34"/>
      <c r="BQ23" s="34"/>
      <c r="BR23" s="35"/>
    </row>
    <row r="24" spans="1:83" ht="6" hidden="1" customHeight="1" x14ac:dyDescent="0.25">
      <c r="A24" s="121"/>
      <c r="B24" s="121"/>
      <c r="C24" s="121"/>
      <c r="D24" s="31"/>
      <c r="E24" s="121"/>
      <c r="F24" s="121"/>
      <c r="G24" s="121"/>
      <c r="H24" s="121"/>
      <c r="I24" s="121"/>
      <c r="J24" s="31"/>
      <c r="K24" s="121"/>
      <c r="L24" s="121"/>
      <c r="M24" s="121"/>
      <c r="N24" s="121"/>
      <c r="O24" s="121"/>
      <c r="P24" s="31"/>
      <c r="Q24" s="121"/>
      <c r="R24" s="121"/>
      <c r="S24" s="121"/>
      <c r="T24" s="121"/>
      <c r="U24" s="121"/>
      <c r="V24" s="31"/>
      <c r="W24" s="121"/>
      <c r="X24" s="121"/>
      <c r="Y24" s="121"/>
      <c r="Z24" s="121"/>
      <c r="AA24" s="121"/>
      <c r="AB24" s="121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21"/>
      <c r="AQ24" s="121"/>
      <c r="AR24" s="121"/>
      <c r="AS24" s="121"/>
      <c r="AT24" s="31"/>
      <c r="AU24" s="121"/>
      <c r="AV24" s="121"/>
      <c r="AW24" s="121"/>
      <c r="AX24" s="121"/>
      <c r="AY24" s="121"/>
      <c r="AZ24" s="121"/>
      <c r="BA24" s="121"/>
      <c r="BB24" s="31"/>
      <c r="BC24" s="121"/>
      <c r="BD24" s="121"/>
      <c r="BE24" s="121"/>
      <c r="BF24" s="121"/>
      <c r="BG24" s="121"/>
      <c r="BH24" s="31"/>
      <c r="BI24" s="121"/>
      <c r="BJ24" s="121"/>
      <c r="BK24" s="121"/>
      <c r="BL24" s="121"/>
      <c r="BM24" s="121"/>
      <c r="BN24" s="31"/>
      <c r="BO24" s="121"/>
      <c r="BP24" s="121"/>
      <c r="BQ24" s="121"/>
      <c r="BR24" s="121"/>
    </row>
    <row r="25" spans="1:83" s="22" customFormat="1" ht="80.099999999999994" hidden="1" customHeight="1" x14ac:dyDescent="1.35">
      <c r="A25" s="34"/>
      <c r="B25" s="121"/>
      <c r="C25" s="121"/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35"/>
      <c r="U25" s="31"/>
      <c r="V25" s="32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3"/>
      <c r="AP25" s="34"/>
      <c r="AQ25" s="34"/>
      <c r="AR25" s="35"/>
      <c r="AS25" s="31"/>
      <c r="AT25" s="32"/>
      <c r="AU25" s="33"/>
      <c r="AV25" s="34"/>
      <c r="AW25" s="34"/>
      <c r="AX25" s="35"/>
      <c r="AY25" s="34"/>
      <c r="AZ25" s="35"/>
      <c r="BA25" s="31"/>
      <c r="BB25" s="32"/>
      <c r="BC25" s="33"/>
      <c r="BD25" s="34"/>
      <c r="BE25" s="34"/>
      <c r="BF25" s="35"/>
      <c r="BG25" s="31"/>
      <c r="BH25" s="32"/>
      <c r="BI25" s="33"/>
      <c r="BJ25" s="34"/>
      <c r="BK25" s="34"/>
      <c r="BL25" s="35"/>
      <c r="BM25" s="31"/>
      <c r="BN25" s="32"/>
      <c r="BO25" s="33"/>
      <c r="BP25" s="34"/>
      <c r="BQ25" s="34"/>
      <c r="BR25" s="35"/>
    </row>
    <row r="26" spans="1:83" ht="27" customHeight="1" x14ac:dyDescent="0.25">
      <c r="A26" s="34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1"/>
      <c r="V26" s="32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3"/>
      <c r="AP26" s="34"/>
      <c r="AQ26" s="34"/>
      <c r="AR26" s="35"/>
      <c r="AS26" s="31"/>
      <c r="AT26" s="32"/>
      <c r="AU26" s="33"/>
      <c r="AV26" s="34"/>
      <c r="AW26" s="34"/>
      <c r="AX26" s="35"/>
      <c r="AY26" s="34"/>
      <c r="AZ26" s="35"/>
      <c r="BA26" s="31"/>
      <c r="BB26" s="32"/>
      <c r="BC26" s="33"/>
      <c r="BD26" s="34"/>
      <c r="BE26" s="34"/>
      <c r="BF26" s="35"/>
      <c r="BG26" s="31"/>
      <c r="BH26" s="32"/>
      <c r="BI26" s="33"/>
      <c r="BJ26" s="34"/>
      <c r="BK26" s="34"/>
      <c r="BL26" s="35"/>
      <c r="BM26" s="31"/>
      <c r="BN26" s="32"/>
      <c r="BO26" s="33"/>
      <c r="BP26" s="34"/>
      <c r="BQ26" s="34"/>
      <c r="BR26" s="35"/>
      <c r="BW26" s="27"/>
      <c r="BX26" s="27"/>
      <c r="BY26" s="27"/>
      <c r="BZ26" s="27"/>
      <c r="CA26" s="27"/>
      <c r="CB26" s="27"/>
      <c r="CC26" s="27"/>
      <c r="CD26" s="27"/>
      <c r="CE26" s="27"/>
    </row>
    <row r="27" spans="1:83" ht="26.1" customHeight="1" x14ac:dyDescent="0.25">
      <c r="A27" s="12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121"/>
      <c r="U27" s="121"/>
      <c r="V27" s="31"/>
      <c r="W27" s="121"/>
      <c r="X27" s="121"/>
      <c r="Y27" s="121"/>
      <c r="Z27" s="121"/>
      <c r="AA27" s="121"/>
      <c r="AB27" s="31"/>
      <c r="AC27" s="121"/>
      <c r="AD27" s="121"/>
      <c r="AE27" s="121"/>
      <c r="AF27" s="121"/>
      <c r="AG27" s="121"/>
      <c r="AH27" s="31"/>
      <c r="AI27" s="121"/>
      <c r="AJ27" s="121"/>
      <c r="AK27" s="121"/>
      <c r="AL27" s="121"/>
      <c r="AM27" s="121"/>
      <c r="AN27" s="31"/>
      <c r="AO27" s="121"/>
      <c r="AP27" s="121"/>
      <c r="AQ27" s="121"/>
      <c r="AR27" s="121"/>
      <c r="AS27" s="121"/>
      <c r="AT27" s="31"/>
      <c r="AU27" s="121"/>
      <c r="AV27" s="121"/>
      <c r="AW27" s="121"/>
      <c r="AX27" s="121"/>
      <c r="AY27" s="121"/>
      <c r="AZ27" s="121"/>
      <c r="BA27" s="121"/>
      <c r="BB27" s="31"/>
      <c r="BC27" s="121"/>
      <c r="BD27" s="121"/>
      <c r="BE27" s="121"/>
      <c r="BF27" s="121"/>
      <c r="BG27" s="121"/>
      <c r="BH27" s="31"/>
      <c r="BI27" s="121"/>
      <c r="BJ27" s="121"/>
      <c r="BK27" s="121"/>
      <c r="BL27" s="121"/>
      <c r="BM27" s="121"/>
      <c r="BN27" s="31"/>
      <c r="BO27" s="121"/>
      <c r="BP27" s="121"/>
      <c r="BQ27" s="121"/>
      <c r="BR27" s="121"/>
    </row>
    <row r="28" spans="1:83" ht="6.75" customHeight="1" x14ac:dyDescent="0.25">
      <c r="A28" s="34"/>
      <c r="B28" s="35"/>
      <c r="C28" s="31"/>
      <c r="D28" s="32"/>
      <c r="E28" s="33"/>
      <c r="F28" s="34"/>
      <c r="G28" s="34"/>
      <c r="H28" s="35"/>
      <c r="I28" s="31"/>
      <c r="J28" s="32"/>
      <c r="K28" s="33"/>
      <c r="L28" s="34"/>
      <c r="M28" s="34"/>
      <c r="N28" s="35"/>
      <c r="O28" s="31"/>
      <c r="P28" s="32"/>
      <c r="Q28" s="33"/>
      <c r="R28" s="34"/>
      <c r="S28" s="34"/>
      <c r="T28" s="35"/>
      <c r="U28" s="31"/>
      <c r="V28" s="32"/>
      <c r="W28" s="33"/>
      <c r="X28" s="34"/>
      <c r="Y28" s="34"/>
      <c r="Z28" s="35"/>
      <c r="AA28" s="31"/>
      <c r="AB28" s="32"/>
      <c r="AC28" s="33"/>
      <c r="AD28" s="34"/>
      <c r="AE28" s="34"/>
      <c r="AF28" s="35"/>
      <c r="AG28" s="31"/>
      <c r="AH28" s="32"/>
      <c r="AI28" s="33"/>
      <c r="AJ28" s="34"/>
      <c r="AK28" s="34"/>
      <c r="AL28" s="35"/>
      <c r="AM28" s="31"/>
      <c r="AN28" s="32"/>
      <c r="AO28" s="33"/>
      <c r="AP28" s="34"/>
      <c r="AQ28" s="34"/>
      <c r="AR28" s="35"/>
      <c r="AS28" s="31"/>
      <c r="AT28" s="32"/>
      <c r="AU28" s="33"/>
      <c r="AV28" s="34"/>
      <c r="AW28" s="34"/>
      <c r="AX28" s="35"/>
      <c r="AY28" s="34"/>
      <c r="AZ28" s="35"/>
      <c r="BA28" s="31"/>
      <c r="BB28" s="32"/>
      <c r="BC28" s="33"/>
      <c r="BD28" s="34"/>
      <c r="BE28" s="34"/>
      <c r="BF28" s="35"/>
      <c r="BG28" s="31"/>
      <c r="BH28" s="32"/>
      <c r="BI28" s="33"/>
      <c r="BJ28" s="34"/>
      <c r="BK28" s="34"/>
      <c r="BL28" s="35"/>
      <c r="BM28" s="31"/>
      <c r="BN28" s="32"/>
      <c r="BO28" s="33"/>
      <c r="BP28" s="34"/>
      <c r="BQ28" s="34"/>
      <c r="BR28" s="35"/>
    </row>
    <row r="29" spans="1:83" ht="21.95" customHeight="1" x14ac:dyDescent="0.25">
      <c r="A29" s="34"/>
      <c r="B29" s="35"/>
      <c r="C29" s="31"/>
      <c r="D29" s="32"/>
      <c r="E29" s="33"/>
      <c r="F29" s="34"/>
      <c r="G29" s="34"/>
      <c r="H29" s="35"/>
      <c r="I29" s="31"/>
      <c r="J29" s="32"/>
      <c r="K29" s="33"/>
      <c r="L29" s="34"/>
      <c r="M29" s="34"/>
      <c r="N29" s="35"/>
      <c r="O29" s="31"/>
      <c r="P29" s="32"/>
      <c r="Q29" s="33"/>
      <c r="R29" s="34"/>
      <c r="S29" s="34"/>
      <c r="T29" s="35"/>
      <c r="U29" s="31"/>
      <c r="V29" s="32"/>
      <c r="W29" s="33"/>
      <c r="X29" s="34"/>
      <c r="Y29" s="34"/>
      <c r="Z29" s="35"/>
      <c r="AA29" s="31"/>
      <c r="AB29" s="32"/>
      <c r="AC29" s="33"/>
      <c r="AD29" s="34"/>
      <c r="AE29" s="34"/>
      <c r="AF29" s="35"/>
      <c r="AG29" s="31"/>
      <c r="AH29" s="2354" t="s">
        <v>510</v>
      </c>
      <c r="AI29" s="2354"/>
      <c r="AJ29" s="2354"/>
      <c r="AK29" s="2354"/>
      <c r="AL29" s="2354"/>
      <c r="AM29" s="2354"/>
      <c r="AN29" s="2354"/>
      <c r="AO29" s="2354"/>
      <c r="AP29" s="2354"/>
      <c r="AQ29" s="2354"/>
      <c r="AR29" s="2354"/>
      <c r="AS29" s="2354"/>
      <c r="AT29" s="2354"/>
      <c r="AU29" s="2354"/>
      <c r="AV29" s="2354"/>
      <c r="AW29" s="2354"/>
      <c r="AX29" s="2354"/>
      <c r="AY29" s="2354"/>
      <c r="AZ29" s="2354"/>
      <c r="BA29" s="2354"/>
      <c r="BB29" s="2354"/>
      <c r="BC29" s="2354"/>
      <c r="BD29" s="2354"/>
      <c r="BE29" s="2354"/>
      <c r="BF29" s="2354"/>
      <c r="BG29" s="2354"/>
      <c r="BH29" s="2354"/>
      <c r="BI29" s="2354"/>
      <c r="BJ29" s="2354"/>
      <c r="BK29" s="2354"/>
      <c r="BL29" s="2354"/>
      <c r="BM29" s="2354"/>
      <c r="BN29" s="2354"/>
      <c r="BO29" s="2354"/>
      <c r="BP29" s="34"/>
      <c r="BQ29" s="34"/>
      <c r="BR29" s="35"/>
    </row>
    <row r="30" spans="1:83" ht="157.5" customHeight="1" x14ac:dyDescent="0.25">
      <c r="A30" s="121"/>
      <c r="B30" s="121"/>
      <c r="C30" s="121"/>
      <c r="D30" s="31"/>
      <c r="E30" s="121"/>
      <c r="F30" s="121"/>
      <c r="G30" s="121"/>
      <c r="H30" s="121"/>
      <c r="I30" s="121"/>
      <c r="J30" s="31"/>
      <c r="K30" s="121"/>
      <c r="L30" s="121"/>
      <c r="M30" s="121"/>
      <c r="N30" s="121"/>
      <c r="O30" s="121"/>
      <c r="P30" s="31"/>
      <c r="Q30" s="121"/>
      <c r="R30" s="121"/>
      <c r="S30" s="121"/>
      <c r="T30" s="121"/>
      <c r="U30" s="121"/>
      <c r="V30" s="31"/>
      <c r="W30" s="121"/>
      <c r="X30" s="121"/>
      <c r="Y30" s="121"/>
      <c r="Z30" s="121"/>
      <c r="AA30" s="121"/>
      <c r="AB30" s="31"/>
      <c r="AC30" s="121"/>
      <c r="AD30" s="121"/>
      <c r="AE30" s="121"/>
      <c r="AF30" s="121"/>
      <c r="AG30" s="121"/>
      <c r="AH30" s="2354"/>
      <c r="AI30" s="2354"/>
      <c r="AJ30" s="2354"/>
      <c r="AK30" s="2354"/>
      <c r="AL30" s="2354"/>
      <c r="AM30" s="2354"/>
      <c r="AN30" s="2354"/>
      <c r="AO30" s="2354"/>
      <c r="AP30" s="2354"/>
      <c r="AQ30" s="2354"/>
      <c r="AR30" s="2354"/>
      <c r="AS30" s="2354"/>
      <c r="AT30" s="2354"/>
      <c r="AU30" s="2354"/>
      <c r="AV30" s="2354"/>
      <c r="AW30" s="2354"/>
      <c r="AX30" s="2354"/>
      <c r="AY30" s="2354"/>
      <c r="AZ30" s="2354"/>
      <c r="BA30" s="2354"/>
      <c r="BB30" s="2354"/>
      <c r="BC30" s="2354"/>
      <c r="BD30" s="2354"/>
      <c r="BE30" s="2354"/>
      <c r="BF30" s="2354"/>
      <c r="BG30" s="2354"/>
      <c r="BH30" s="2354"/>
      <c r="BI30" s="2354"/>
      <c r="BJ30" s="2354"/>
      <c r="BK30" s="2354"/>
      <c r="BL30" s="2354"/>
      <c r="BM30" s="2354"/>
      <c r="BN30" s="2354"/>
      <c r="BO30" s="2354"/>
      <c r="BP30" s="121"/>
      <c r="BQ30" s="121"/>
      <c r="BR30" s="121"/>
    </row>
    <row r="31" spans="1:83" s="22" customFormat="1" ht="80.099999999999994" customHeight="1" x14ac:dyDescent="1.35">
      <c r="A31" s="34"/>
      <c r="B31" s="35"/>
      <c r="C31" s="31"/>
      <c r="D31" s="32"/>
      <c r="E31" s="33"/>
      <c r="F31" s="34"/>
      <c r="G31" s="34"/>
      <c r="H31" s="35"/>
      <c r="I31" s="31"/>
      <c r="J31" s="1797"/>
      <c r="K31" s="1797"/>
      <c r="L31" s="1797"/>
      <c r="M31" s="1797"/>
      <c r="N31" s="35"/>
      <c r="O31" s="31"/>
      <c r="P31" s="32"/>
      <c r="Q31" s="33"/>
      <c r="R31" s="34"/>
      <c r="S31" s="34"/>
      <c r="T31" s="35"/>
      <c r="U31" s="31"/>
      <c r="V31" s="32"/>
      <c r="W31" s="33"/>
      <c r="X31" s="34"/>
      <c r="Y31" s="34"/>
      <c r="Z31" s="35"/>
      <c r="AA31" s="31"/>
      <c r="AB31" s="32"/>
      <c r="AC31" s="33"/>
      <c r="AD31" s="34"/>
      <c r="AE31" s="34"/>
      <c r="AF31" s="35"/>
      <c r="AG31" s="31"/>
      <c r="AH31" s="32"/>
      <c r="AI31" s="33"/>
      <c r="AJ31" s="34"/>
      <c r="AK31" s="34"/>
      <c r="AL31" s="35"/>
      <c r="AM31" s="31"/>
      <c r="AN31" s="32"/>
      <c r="AO31" s="33"/>
      <c r="AP31" s="34"/>
      <c r="AQ31" s="34"/>
      <c r="AR31" s="35"/>
      <c r="AS31" s="31"/>
      <c r="AT31" s="32"/>
      <c r="AU31" s="33"/>
      <c r="AV31" s="34"/>
      <c r="AW31" s="34"/>
      <c r="AX31" s="35"/>
      <c r="AY31" s="34"/>
      <c r="AZ31" s="35"/>
      <c r="BA31" s="31"/>
      <c r="BB31" s="32"/>
      <c r="BC31" s="33"/>
      <c r="BD31" s="34"/>
      <c r="BE31" s="34"/>
      <c r="BF31" s="35"/>
      <c r="BG31" s="31"/>
      <c r="BH31" s="32"/>
      <c r="BI31" s="33"/>
      <c r="BJ31" s="34"/>
      <c r="BK31" s="34"/>
      <c r="BL31" s="35"/>
      <c r="BM31" s="31"/>
      <c r="BN31" s="32"/>
      <c r="BO31" s="33"/>
      <c r="BP31" s="34"/>
      <c r="BQ31" s="34"/>
      <c r="BR31" s="35"/>
    </row>
    <row r="32" spans="1:83" ht="26.25" customHeight="1" x14ac:dyDescent="0.25">
      <c r="A32" s="34"/>
      <c r="B32" s="35"/>
      <c r="C32" s="31"/>
      <c r="D32" s="32"/>
      <c r="E32" s="33"/>
      <c r="F32" s="34"/>
      <c r="G32" s="34"/>
      <c r="H32" s="35"/>
      <c r="I32" s="31"/>
      <c r="J32" s="1923" cm="1">
        <f t="array" aca="1" ref="J32" ca="1">SUM(COUNTIF(INDIRECT({"B7","G7","L7","Q7","V7","AA7","AF7","AK7","AP7","AU7","AZ7","BE7","BJ7","BO7","B13","G13","L13","Q13","V13","AA13","AF13","AK13","AP13","AU13","AZ13","BE13","BJ13","BO13","B19","G19","L19","Q19","V19","AA19","AF19","AK19","AP19","AU19"}),"&gt;0"))</f>
        <v>24</v>
      </c>
      <c r="K32" s="1923"/>
      <c r="L32" s="1923"/>
      <c r="M32" s="1923"/>
      <c r="N32" s="35"/>
      <c r="O32" s="31"/>
      <c r="P32" s="32"/>
      <c r="Q32" s="33"/>
      <c r="R32" s="34"/>
      <c r="S32" s="34"/>
      <c r="T32" s="35"/>
      <c r="U32" s="33"/>
      <c r="V32" s="34"/>
      <c r="W32" s="34"/>
      <c r="X32" s="33"/>
      <c r="Y32" s="717" cm="1">
        <f t="array" aca="1" ref="Y32" ca="1">SUM(COUNTIF(INDIRECT({"B8","G8","L8","Q8","V8","AA8","AF8","AK8","AP8","AU8","AZ8","BE8","BJ8","BO8","B14","G14","L14","Q14","V14","AA14","AF14","AK14","AP14","AU14","AZ14","BE14","BJ14","BO14","B20","G20","L20","Q20","V20","AA20","AF20","AK20","AP20","AU20"}),"&gt;0"))</f>
        <v>24</v>
      </c>
      <c r="Z32" s="717"/>
      <c r="AA32" s="717"/>
      <c r="AB32" s="717"/>
      <c r="AC32" s="34"/>
      <c r="AD32" s="33"/>
      <c r="AE32" s="34"/>
      <c r="AF32" s="34"/>
      <c r="AG32" s="33"/>
      <c r="AH32" s="34"/>
      <c r="AI32" s="34"/>
      <c r="AJ32" s="33"/>
      <c r="AK32" s="34"/>
      <c r="AL32" s="34"/>
      <c r="AM32" s="33"/>
      <c r="AN32" s="34"/>
      <c r="AO32" s="34"/>
      <c r="AP32" s="1988">
        <v>24</v>
      </c>
      <c r="AQ32" s="1988"/>
      <c r="AR32" s="1988"/>
      <c r="AS32" s="1988"/>
      <c r="AT32" s="34"/>
      <c r="AU32" s="34"/>
      <c r="AV32" s="33"/>
      <c r="AW32" s="34"/>
      <c r="AX32" s="34"/>
      <c r="AY32" s="33"/>
      <c r="AZ32" s="34"/>
      <c r="BA32" s="34"/>
      <c r="BB32" s="33"/>
      <c r="BC32" s="34"/>
      <c r="BD32" s="34"/>
      <c r="BE32" s="33"/>
      <c r="BF32" s="717"/>
      <c r="BG32" s="717"/>
      <c r="BH32" s="717"/>
      <c r="BI32" s="717"/>
      <c r="BJ32" s="717"/>
      <c r="BK32" s="33"/>
      <c r="BL32" s="34"/>
      <c r="BM32" s="34"/>
      <c r="BN32" s="33"/>
      <c r="BO32" s="34"/>
      <c r="BP32" s="34"/>
      <c r="BQ32" s="33"/>
      <c r="BR32" s="34"/>
      <c r="BW32" s="27"/>
      <c r="BX32" s="27"/>
      <c r="BY32" s="27"/>
      <c r="BZ32" s="27"/>
      <c r="CA32" s="27"/>
      <c r="CB32" s="27"/>
      <c r="CC32" s="27"/>
      <c r="CD32" s="27"/>
      <c r="CE32" s="27"/>
    </row>
    <row r="33" spans="1:83" ht="26.1" customHeight="1" x14ac:dyDescent="0.25">
      <c r="A33" s="30"/>
      <c r="B33" s="29"/>
      <c r="C33" s="28"/>
      <c r="D33" s="28"/>
      <c r="E33" s="28"/>
      <c r="F33" s="30"/>
      <c r="G33" s="29"/>
      <c r="H33" s="28"/>
      <c r="I33" s="28"/>
      <c r="J33" s="1923"/>
      <c r="K33" s="1923"/>
      <c r="L33" s="1923"/>
      <c r="M33" s="1923"/>
      <c r="N33" s="28"/>
      <c r="O33" s="28"/>
      <c r="P33" s="30"/>
      <c r="Q33" s="29"/>
      <c r="R33" s="28"/>
      <c r="S33" s="28"/>
      <c r="T33" s="28"/>
      <c r="U33" s="29"/>
      <c r="V33" s="28"/>
      <c r="W33" s="28"/>
      <c r="X33" s="29"/>
      <c r="Y33" s="717"/>
      <c r="Z33" s="717"/>
      <c r="AA33" s="717"/>
      <c r="AB33" s="717"/>
      <c r="AC33" s="28"/>
      <c r="AD33" s="29"/>
      <c r="AE33" s="28"/>
      <c r="AF33" s="28"/>
      <c r="AG33" s="29"/>
      <c r="AH33" s="28"/>
      <c r="AI33" s="28"/>
      <c r="AJ33" s="29"/>
      <c r="AK33" s="28"/>
      <c r="AL33" s="28"/>
      <c r="AM33" s="29"/>
      <c r="AN33" s="28"/>
      <c r="AO33" s="28"/>
      <c r="AP33" s="1988"/>
      <c r="AQ33" s="1988"/>
      <c r="AR33" s="1988"/>
      <c r="AS33" s="1988"/>
      <c r="AT33" s="28"/>
      <c r="AU33" s="28"/>
      <c r="AV33" s="29"/>
      <c r="AW33" s="28"/>
      <c r="AX33" s="28"/>
      <c r="AY33" s="29"/>
      <c r="AZ33" s="28"/>
      <c r="BA33" s="28"/>
      <c r="BB33" s="29"/>
      <c r="BC33" s="28"/>
      <c r="BD33" s="28"/>
      <c r="BE33" s="29"/>
      <c r="BF33" s="717"/>
      <c r="BG33" s="717"/>
      <c r="BH33" s="717"/>
      <c r="BI33" s="717"/>
      <c r="BJ33" s="717"/>
      <c r="BK33" s="29"/>
      <c r="BL33" s="28"/>
      <c r="BM33" s="28"/>
      <c r="BN33" s="29"/>
      <c r="BO33" s="28"/>
      <c r="BP33" s="28"/>
      <c r="BQ33" s="29"/>
      <c r="BR33" s="28"/>
    </row>
    <row r="34" spans="1:83" ht="6.75" customHeight="1" x14ac:dyDescent="0.25">
      <c r="A34" s="29"/>
      <c r="B34" s="29"/>
      <c r="C34" s="28"/>
      <c r="D34" s="28"/>
      <c r="E34" s="28"/>
      <c r="F34" s="29"/>
      <c r="G34" s="29"/>
      <c r="H34" s="28"/>
      <c r="I34" s="28"/>
      <c r="J34" s="1923"/>
      <c r="K34" s="1923"/>
      <c r="L34" s="1923"/>
      <c r="M34" s="1923"/>
      <c r="N34" s="28"/>
      <c r="O34" s="28"/>
      <c r="P34" s="29"/>
      <c r="Q34" s="29"/>
      <c r="R34" s="28"/>
      <c r="S34" s="28"/>
      <c r="T34" s="28"/>
      <c r="U34" s="28"/>
      <c r="V34" s="29"/>
      <c r="W34" s="29"/>
      <c r="X34" s="28"/>
      <c r="Y34" s="717"/>
      <c r="Z34" s="717"/>
      <c r="AA34" s="717"/>
      <c r="AB34" s="717"/>
      <c r="AC34" s="28"/>
      <c r="AD34" s="28"/>
      <c r="AE34" s="28"/>
      <c r="AF34" s="29"/>
      <c r="AG34" s="29"/>
      <c r="AH34" s="28"/>
      <c r="AI34" s="28"/>
      <c r="AJ34" s="28"/>
      <c r="AK34" s="29"/>
      <c r="AL34" s="29"/>
      <c r="AM34" s="28"/>
      <c r="AN34" s="28"/>
      <c r="AO34" s="28"/>
      <c r="AP34" s="1988"/>
      <c r="AQ34" s="1988"/>
      <c r="AR34" s="1988"/>
      <c r="AS34" s="1988"/>
      <c r="AT34" s="28"/>
      <c r="AU34" s="29"/>
      <c r="AV34" s="29"/>
      <c r="AW34" s="28"/>
      <c r="AX34" s="28"/>
      <c r="AY34" s="28"/>
      <c r="AZ34" s="29"/>
      <c r="BA34" s="29"/>
      <c r="BB34" s="28"/>
      <c r="BC34" s="28"/>
      <c r="BD34" s="28"/>
      <c r="BE34" s="28"/>
      <c r="BF34" s="717"/>
      <c r="BG34" s="717"/>
      <c r="BH34" s="717"/>
      <c r="BI34" s="717"/>
      <c r="BJ34" s="717"/>
      <c r="BK34" s="29"/>
      <c r="BL34" s="29"/>
      <c r="BM34" s="28"/>
      <c r="BN34" s="28"/>
      <c r="BO34" s="28"/>
      <c r="BP34" s="29"/>
      <c r="BQ34" s="29"/>
      <c r="BR34" s="28"/>
    </row>
    <row r="35" spans="1:83" ht="21.95" customHeight="1" x14ac:dyDescent="0.25">
      <c r="A35" s="121"/>
      <c r="B35" s="121"/>
      <c r="C35" s="31"/>
      <c r="D35" s="121"/>
      <c r="E35" s="121"/>
      <c r="F35" s="121"/>
      <c r="G35" s="121"/>
      <c r="H35" s="31"/>
      <c r="I35" s="121"/>
      <c r="J35" s="1923"/>
      <c r="K35" s="1923"/>
      <c r="L35" s="1923"/>
      <c r="M35" s="1923"/>
      <c r="N35" s="121"/>
      <c r="O35" s="121"/>
      <c r="P35" s="121"/>
      <c r="Q35" s="121"/>
      <c r="R35" s="31"/>
      <c r="S35" s="121"/>
      <c r="T35" s="121"/>
      <c r="U35" s="28"/>
      <c r="V35" s="30"/>
      <c r="W35" s="29"/>
      <c r="X35" s="28"/>
      <c r="Y35" s="717"/>
      <c r="Z35" s="717"/>
      <c r="AA35" s="717"/>
      <c r="AB35" s="717"/>
      <c r="AC35" s="28"/>
      <c r="AD35" s="28"/>
      <c r="AE35" s="28"/>
      <c r="AF35" s="30"/>
      <c r="AG35" s="29"/>
      <c r="AH35" s="28"/>
      <c r="AI35" s="28"/>
      <c r="AJ35" s="28"/>
      <c r="AK35" s="30"/>
      <c r="AL35" s="29"/>
      <c r="AM35" s="28"/>
      <c r="AN35" s="28"/>
      <c r="AO35" s="28"/>
      <c r="AP35" s="1988"/>
      <c r="AQ35" s="1988"/>
      <c r="AR35" s="1988"/>
      <c r="AS35" s="1988"/>
      <c r="AT35" s="28"/>
      <c r="AU35" s="30"/>
      <c r="AV35" s="29"/>
      <c r="AW35" s="28"/>
      <c r="AX35" s="28"/>
      <c r="AY35" s="28"/>
      <c r="AZ35" s="30"/>
      <c r="BA35" s="29"/>
      <c r="BB35" s="28"/>
      <c r="BC35" s="28"/>
      <c r="BD35" s="28"/>
      <c r="BE35" s="28"/>
      <c r="BF35" s="717"/>
      <c r="BG35" s="717"/>
      <c r="BH35" s="717"/>
      <c r="BI35" s="717"/>
      <c r="BJ35" s="717"/>
      <c r="BK35" s="30"/>
      <c r="BL35" s="29"/>
      <c r="BM35" s="28"/>
      <c r="BN35" s="28"/>
      <c r="BO35" s="28"/>
      <c r="BP35" s="30"/>
      <c r="BQ35" s="29"/>
      <c r="BR35" s="28"/>
    </row>
    <row r="36" spans="1:83" ht="6" customHeight="1" x14ac:dyDescent="0.25">
      <c r="A36" s="35"/>
      <c r="B36" s="31"/>
      <c r="C36" s="32"/>
      <c r="D36" s="33"/>
      <c r="E36" s="34"/>
      <c r="F36" s="35"/>
      <c r="G36" s="31"/>
      <c r="H36" s="32"/>
      <c r="I36" s="33"/>
      <c r="J36" s="34"/>
      <c r="K36" s="35"/>
      <c r="L36" s="31"/>
      <c r="M36" s="32"/>
      <c r="N36" s="33"/>
      <c r="O36" s="34"/>
      <c r="P36" s="35"/>
      <c r="Q36" s="31"/>
      <c r="R36" s="32"/>
      <c r="S36" s="33"/>
      <c r="T36" s="34"/>
      <c r="U36" s="28"/>
      <c r="V36" s="697" t="s">
        <v>116</v>
      </c>
      <c r="W36" s="697"/>
      <c r="X36" s="697"/>
      <c r="Y36" s="697"/>
      <c r="Z36" s="697"/>
      <c r="AA36" s="697"/>
      <c r="AB36" s="697"/>
      <c r="AC36" s="697"/>
      <c r="AD36" s="697"/>
      <c r="AE36" s="697"/>
      <c r="AF36" s="697"/>
      <c r="AG36" s="697"/>
      <c r="AH36" s="697" t="s">
        <v>117</v>
      </c>
      <c r="AI36" s="697"/>
      <c r="AJ36" s="697"/>
      <c r="AK36" s="697"/>
      <c r="AL36" s="697"/>
      <c r="AM36" s="697"/>
      <c r="AN36" s="697"/>
      <c r="AO36" s="697"/>
      <c r="AP36" s="697"/>
      <c r="AQ36" s="697"/>
      <c r="AR36" s="697"/>
      <c r="AS36" s="698" t="s">
        <v>118</v>
      </c>
      <c r="AT36" s="698"/>
      <c r="AU36" s="698"/>
      <c r="AV36" s="698"/>
      <c r="AW36" s="698"/>
      <c r="AX36" s="698"/>
      <c r="AY36" s="698"/>
      <c r="AZ36" s="698"/>
      <c r="BA36" s="698"/>
      <c r="BB36" s="698"/>
      <c r="BC36" s="698"/>
      <c r="BD36" s="698"/>
      <c r="BE36" s="699" t="s">
        <v>119</v>
      </c>
      <c r="BF36" s="699"/>
      <c r="BG36" s="699"/>
      <c r="BH36" s="699"/>
      <c r="BI36" s="699"/>
      <c r="BJ36" s="1924">
        <f>D8+I8+N8+S8+X8+AC8+AH8+AM8+AR8+AW8+BB8+BG8+BL8+BQ8+D14+I14+N14+S14+X14+AC14+AH14+AM14+AR14+AW14</f>
        <v>9</v>
      </c>
      <c r="BK36" s="1925"/>
      <c r="BL36" s="1925"/>
      <c r="BM36" s="1925"/>
      <c r="BN36" s="701" t="s">
        <v>120</v>
      </c>
      <c r="BO36" s="701"/>
      <c r="BP36" s="701"/>
      <c r="BQ36" s="29"/>
      <c r="BR36" s="28"/>
    </row>
    <row r="37" spans="1:83" s="22" customFormat="1" ht="80.099999999999994" customHeight="1" x14ac:dyDescent="1.35">
      <c r="A37" s="35"/>
      <c r="B37" s="31"/>
      <c r="C37" s="32"/>
      <c r="D37" s="33"/>
      <c r="E37" s="34"/>
      <c r="F37" s="35"/>
      <c r="G37" s="31"/>
      <c r="H37" s="32"/>
      <c r="I37" s="33"/>
      <c r="J37" s="34"/>
      <c r="K37" s="35"/>
      <c r="L37" s="31"/>
      <c r="M37" s="32"/>
      <c r="N37" s="33"/>
      <c r="O37" s="34"/>
      <c r="P37" s="35"/>
      <c r="Q37" s="31"/>
      <c r="R37" s="32"/>
      <c r="S37" s="33"/>
      <c r="T37" s="34"/>
      <c r="U37" s="121"/>
      <c r="V37" s="697"/>
      <c r="W37" s="697"/>
      <c r="X37" s="697"/>
      <c r="Y37" s="697"/>
      <c r="Z37" s="697"/>
      <c r="AA37" s="697"/>
      <c r="AB37" s="697"/>
      <c r="AC37" s="697"/>
      <c r="AD37" s="697"/>
      <c r="AE37" s="697"/>
      <c r="AF37" s="697"/>
      <c r="AG37" s="697"/>
      <c r="AH37" s="697"/>
      <c r="AI37" s="697"/>
      <c r="AJ37" s="697"/>
      <c r="AK37" s="697"/>
      <c r="AL37" s="697"/>
      <c r="AM37" s="697"/>
      <c r="AN37" s="697"/>
      <c r="AO37" s="697"/>
      <c r="AP37" s="697"/>
      <c r="AQ37" s="697"/>
      <c r="AR37" s="697"/>
      <c r="AS37" s="698"/>
      <c r="AT37" s="698"/>
      <c r="AU37" s="698"/>
      <c r="AV37" s="698"/>
      <c r="AW37" s="698"/>
      <c r="AX37" s="698"/>
      <c r="AY37" s="698"/>
      <c r="AZ37" s="698"/>
      <c r="BA37" s="698"/>
      <c r="BB37" s="698"/>
      <c r="BC37" s="698"/>
      <c r="BD37" s="698"/>
      <c r="BE37" s="699"/>
      <c r="BF37" s="699"/>
      <c r="BG37" s="699"/>
      <c r="BH37" s="699"/>
      <c r="BI37" s="699"/>
      <c r="BJ37" s="1925"/>
      <c r="BK37" s="1925"/>
      <c r="BL37" s="1925"/>
      <c r="BM37" s="1925"/>
      <c r="BN37" s="701"/>
      <c r="BO37" s="701"/>
      <c r="BP37" s="701"/>
      <c r="BQ37" s="121"/>
      <c r="BR37" s="31"/>
    </row>
    <row r="38" spans="1:83" ht="26.25" customHeight="1" x14ac:dyDescent="0.25">
      <c r="A38" s="34"/>
      <c r="B38" s="35"/>
      <c r="C38" s="31"/>
      <c r="D38" s="32"/>
      <c r="E38" s="33"/>
      <c r="F38" s="34"/>
      <c r="G38" s="34"/>
      <c r="H38" s="35"/>
      <c r="I38" s="31"/>
      <c r="J38" s="32"/>
      <c r="K38" s="33"/>
      <c r="L38" s="34"/>
      <c r="M38" s="34"/>
      <c r="N38" s="35"/>
      <c r="O38" s="31"/>
      <c r="P38" s="32"/>
      <c r="Q38" s="33"/>
      <c r="R38" s="34"/>
      <c r="S38" s="34"/>
      <c r="T38" s="35"/>
      <c r="U38" s="31"/>
      <c r="V38" s="697"/>
      <c r="W38" s="697"/>
      <c r="X38" s="697"/>
      <c r="Y38" s="697"/>
      <c r="Z38" s="697"/>
      <c r="AA38" s="697"/>
      <c r="AB38" s="697"/>
      <c r="AC38" s="697"/>
      <c r="AD38" s="697"/>
      <c r="AE38" s="697"/>
      <c r="AF38" s="697"/>
      <c r="AG38" s="697"/>
      <c r="AH38" s="697"/>
      <c r="AI38" s="697"/>
      <c r="AJ38" s="697"/>
      <c r="AK38" s="697"/>
      <c r="AL38" s="697"/>
      <c r="AM38" s="697"/>
      <c r="AN38" s="697"/>
      <c r="AO38" s="697"/>
      <c r="AP38" s="697"/>
      <c r="AQ38" s="697"/>
      <c r="AR38" s="697"/>
      <c r="AS38" s="698"/>
      <c r="AT38" s="698"/>
      <c r="AU38" s="698"/>
      <c r="AV38" s="698"/>
      <c r="AW38" s="698"/>
      <c r="AX38" s="698"/>
      <c r="AY38" s="698"/>
      <c r="AZ38" s="698"/>
      <c r="BA38" s="698"/>
      <c r="BB38" s="698"/>
      <c r="BC38" s="698"/>
      <c r="BD38" s="698"/>
      <c r="BE38" s="699"/>
      <c r="BF38" s="699"/>
      <c r="BG38" s="699"/>
      <c r="BH38" s="699"/>
      <c r="BI38" s="699"/>
      <c r="BJ38" s="1925"/>
      <c r="BK38" s="1925"/>
      <c r="BL38" s="1925"/>
      <c r="BM38" s="1925"/>
      <c r="BN38" s="701"/>
      <c r="BO38" s="701"/>
      <c r="BP38" s="701"/>
      <c r="BQ38" s="32"/>
      <c r="BR38" s="33"/>
      <c r="BW38" s="27"/>
      <c r="BX38" s="27"/>
      <c r="BY38" s="27"/>
      <c r="BZ38" s="27"/>
      <c r="CA38" s="27"/>
      <c r="CB38" s="27"/>
      <c r="CC38" s="27"/>
      <c r="CD38" s="27"/>
      <c r="CE38" s="27"/>
    </row>
    <row r="39" spans="1:83" ht="26.1" customHeight="1" x14ac:dyDescent="0.25">
      <c r="A39" s="34"/>
      <c r="B39" s="35"/>
      <c r="C39" s="31"/>
      <c r="D39" s="32"/>
      <c r="E39" s="33"/>
      <c r="F39" s="34"/>
      <c r="G39" s="34"/>
      <c r="H39" s="35"/>
      <c r="I39" s="31"/>
      <c r="J39" s="32"/>
      <c r="K39" s="33"/>
      <c r="L39" s="34"/>
      <c r="M39" s="34"/>
      <c r="N39" s="35"/>
      <c r="O39" s="31"/>
      <c r="P39" s="32"/>
      <c r="Q39" s="33"/>
      <c r="R39" s="34"/>
      <c r="S39" s="34"/>
      <c r="T39" s="35"/>
      <c r="U39" s="31"/>
      <c r="V39" s="697"/>
      <c r="W39" s="697"/>
      <c r="X39" s="697"/>
      <c r="Y39" s="697"/>
      <c r="Z39" s="697"/>
      <c r="AA39" s="697"/>
      <c r="AB39" s="697"/>
      <c r="AC39" s="697"/>
      <c r="AD39" s="697"/>
      <c r="AE39" s="697"/>
      <c r="AF39" s="697"/>
      <c r="AG39" s="697"/>
      <c r="AH39" s="697"/>
      <c r="AI39" s="697"/>
      <c r="AJ39" s="697"/>
      <c r="AK39" s="697"/>
      <c r="AL39" s="697"/>
      <c r="AM39" s="697"/>
      <c r="AN39" s="697"/>
      <c r="AO39" s="697"/>
      <c r="AP39" s="697"/>
      <c r="AQ39" s="697"/>
      <c r="AR39" s="697"/>
      <c r="AS39" s="698"/>
      <c r="AT39" s="698"/>
      <c r="AU39" s="698"/>
      <c r="AV39" s="698"/>
      <c r="AW39" s="698"/>
      <c r="AX39" s="698"/>
      <c r="AY39" s="698"/>
      <c r="AZ39" s="698"/>
      <c r="BA39" s="698"/>
      <c r="BB39" s="698"/>
      <c r="BC39" s="698"/>
      <c r="BD39" s="698"/>
      <c r="BE39" s="699"/>
      <c r="BF39" s="699"/>
      <c r="BG39" s="699"/>
      <c r="BH39" s="699"/>
      <c r="BI39" s="699"/>
      <c r="BJ39" s="1925"/>
      <c r="BK39" s="1925"/>
      <c r="BL39" s="1925"/>
      <c r="BM39" s="1925"/>
      <c r="BN39" s="701"/>
      <c r="BO39" s="701"/>
      <c r="BP39" s="701"/>
      <c r="BQ39" s="32"/>
      <c r="BR39" s="33"/>
    </row>
    <row r="40" spans="1:83" ht="6.75" customHeight="1" x14ac:dyDescent="0.25">
      <c r="A40" s="28"/>
      <c r="B40" s="28"/>
      <c r="C40" s="28"/>
      <c r="D40" s="29"/>
      <c r="E40" s="29"/>
      <c r="F40" s="28"/>
      <c r="G40" s="28"/>
      <c r="H40" s="28"/>
      <c r="I40" s="29"/>
      <c r="J40" s="29"/>
      <c r="K40" s="28"/>
      <c r="L40" s="28"/>
      <c r="M40" s="28"/>
      <c r="N40" s="29"/>
      <c r="O40" s="29"/>
      <c r="P40" s="28"/>
      <c r="Q40" s="28"/>
      <c r="R40" s="28"/>
      <c r="S40" s="29"/>
      <c r="T40" s="29"/>
      <c r="U40" s="28"/>
      <c r="V40" s="704" t="s">
        <v>13</v>
      </c>
      <c r="W40" s="704"/>
      <c r="X40" s="704"/>
      <c r="Y40" s="704"/>
      <c r="Z40" s="704"/>
      <c r="AA40" s="704"/>
      <c r="AB40" s="704"/>
      <c r="AC40" s="704"/>
      <c r="AD40" s="704"/>
      <c r="AE40" s="704"/>
      <c r="AF40" s="704"/>
      <c r="AG40" s="704"/>
      <c r="AH40" s="723">
        <f>AS40-AD76</f>
        <v>2.0040001000865004E-4</v>
      </c>
      <c r="AI40" s="723"/>
      <c r="AJ40" s="723"/>
      <c r="AK40" s="723"/>
      <c r="AL40" s="723"/>
      <c r="AM40" s="723"/>
      <c r="AN40" s="723"/>
      <c r="AO40" s="723"/>
      <c r="AP40" s="723"/>
      <c r="AQ40" s="723"/>
      <c r="AR40" s="723"/>
      <c r="AS40" s="707">
        <f>B8+G8+L8+Q8+V8+AA8+AF8+AK8+AP8+AU8+AZ8+BE8+BJ8+BO8+B14+G14+L14+Q14+V14+AA14+AF14+AK14+AP14+AU14</f>
        <v>46.730200400010006</v>
      </c>
      <c r="AT40" s="707"/>
      <c r="AU40" s="707"/>
      <c r="AV40" s="707"/>
      <c r="AW40" s="707"/>
      <c r="AX40" s="707"/>
      <c r="AY40" s="707"/>
      <c r="AZ40" s="707"/>
      <c r="BA40" s="707"/>
      <c r="BB40" s="707"/>
      <c r="BC40" s="707"/>
      <c r="BD40" s="707"/>
      <c r="BE40" s="699"/>
      <c r="BF40" s="699"/>
      <c r="BG40" s="699"/>
      <c r="BH40" s="699"/>
      <c r="BI40" s="699"/>
      <c r="BJ40" s="1925"/>
      <c r="BK40" s="1925"/>
      <c r="BL40" s="1925"/>
      <c r="BM40" s="1925"/>
      <c r="BN40" s="701"/>
      <c r="BO40" s="701"/>
      <c r="BP40" s="701"/>
      <c r="BQ40" s="29"/>
      <c r="BR40" s="29"/>
    </row>
    <row r="41" spans="1:83" ht="21.95" customHeight="1" x14ac:dyDescent="0.25">
      <c r="A41" s="28"/>
      <c r="B41" s="28"/>
      <c r="C41" s="28"/>
      <c r="D41" s="30"/>
      <c r="E41" s="29"/>
      <c r="F41" s="28"/>
      <c r="G41" s="28"/>
      <c r="H41" s="28"/>
      <c r="I41" s="30"/>
      <c r="J41" s="29"/>
      <c r="K41" s="28"/>
      <c r="L41" s="28"/>
      <c r="M41" s="28"/>
      <c r="N41" s="30"/>
      <c r="O41" s="29"/>
      <c r="P41" s="28"/>
      <c r="Q41" s="28"/>
      <c r="R41" s="28"/>
      <c r="S41" s="30"/>
      <c r="T41" s="29"/>
      <c r="U41" s="28"/>
      <c r="V41" s="704"/>
      <c r="W41" s="704"/>
      <c r="X41" s="704"/>
      <c r="Y41" s="704"/>
      <c r="Z41" s="704"/>
      <c r="AA41" s="704"/>
      <c r="AB41" s="704"/>
      <c r="AC41" s="704"/>
      <c r="AD41" s="704"/>
      <c r="AE41" s="704"/>
      <c r="AF41" s="704"/>
      <c r="AG41" s="704"/>
      <c r="AH41" s="723"/>
      <c r="AI41" s="723"/>
      <c r="AJ41" s="723"/>
      <c r="AK41" s="723"/>
      <c r="AL41" s="723"/>
      <c r="AM41" s="723"/>
      <c r="AN41" s="723"/>
      <c r="AO41" s="723"/>
      <c r="AP41" s="723"/>
      <c r="AQ41" s="723"/>
      <c r="AR41" s="723"/>
      <c r="AS41" s="707"/>
      <c r="AT41" s="707"/>
      <c r="AU41" s="707"/>
      <c r="AV41" s="707"/>
      <c r="AW41" s="707"/>
      <c r="AX41" s="707"/>
      <c r="AY41" s="707"/>
      <c r="AZ41" s="707"/>
      <c r="BA41" s="707"/>
      <c r="BB41" s="707"/>
      <c r="BC41" s="707"/>
      <c r="BD41" s="707"/>
      <c r="BE41" s="699"/>
      <c r="BF41" s="699"/>
      <c r="BG41" s="699"/>
      <c r="BH41" s="699"/>
      <c r="BI41" s="699"/>
      <c r="BJ41" s="1925"/>
      <c r="BK41" s="1925"/>
      <c r="BL41" s="1925"/>
      <c r="BM41" s="1925"/>
      <c r="BN41" s="701"/>
      <c r="BO41" s="701"/>
      <c r="BP41" s="701"/>
      <c r="BQ41" s="30"/>
      <c r="BR41" s="29"/>
    </row>
    <row r="42" spans="1:83" ht="6" customHeight="1" x14ac:dyDescent="0.25">
      <c r="A42" s="28"/>
      <c r="B42" s="28"/>
      <c r="C42" s="28"/>
      <c r="D42" s="29"/>
      <c r="E42" s="29"/>
      <c r="F42" s="28"/>
      <c r="G42" s="28"/>
      <c r="H42" s="28"/>
      <c r="I42" s="29"/>
      <c r="J42" s="29"/>
      <c r="K42" s="28"/>
      <c r="L42" s="28"/>
      <c r="M42" s="28"/>
      <c r="N42" s="29"/>
      <c r="O42" s="29"/>
      <c r="P42" s="28"/>
      <c r="Q42" s="28"/>
      <c r="R42" s="28"/>
      <c r="S42" s="29"/>
      <c r="T42" s="29"/>
      <c r="U42" s="28"/>
      <c r="V42" s="704"/>
      <c r="W42" s="704"/>
      <c r="X42" s="704"/>
      <c r="Y42" s="704"/>
      <c r="Z42" s="704"/>
      <c r="AA42" s="704"/>
      <c r="AB42" s="704"/>
      <c r="AC42" s="704"/>
      <c r="AD42" s="704"/>
      <c r="AE42" s="704"/>
      <c r="AF42" s="704"/>
      <c r="AG42" s="704"/>
      <c r="AH42" s="723"/>
      <c r="AI42" s="723"/>
      <c r="AJ42" s="723"/>
      <c r="AK42" s="723"/>
      <c r="AL42" s="723"/>
      <c r="AM42" s="723"/>
      <c r="AN42" s="723"/>
      <c r="AO42" s="723"/>
      <c r="AP42" s="723"/>
      <c r="AQ42" s="723"/>
      <c r="AR42" s="723"/>
      <c r="AS42" s="707"/>
      <c r="AT42" s="707"/>
      <c r="AU42" s="707"/>
      <c r="AV42" s="707"/>
      <c r="AW42" s="707"/>
      <c r="AX42" s="707"/>
      <c r="AY42" s="707"/>
      <c r="AZ42" s="707"/>
      <c r="BA42" s="707"/>
      <c r="BB42" s="707"/>
      <c r="BC42" s="707"/>
      <c r="BD42" s="707"/>
      <c r="BE42" s="699"/>
      <c r="BF42" s="699"/>
      <c r="BG42" s="699"/>
      <c r="BH42" s="699"/>
      <c r="BI42" s="699"/>
      <c r="BJ42" s="708">
        <f>BJ36*1.5</f>
        <v>13.5</v>
      </c>
      <c r="BK42" s="708"/>
      <c r="BL42" s="708"/>
      <c r="BM42" s="708"/>
      <c r="BN42" s="708"/>
      <c r="BO42" s="708"/>
      <c r="BP42" s="708"/>
      <c r="BQ42" s="29"/>
      <c r="BR42" s="29"/>
    </row>
    <row r="43" spans="1:83" s="22" customFormat="1" ht="80.099999999999994" customHeight="1" x14ac:dyDescent="1.35">
      <c r="A43" s="31"/>
      <c r="B43" s="121"/>
      <c r="C43" s="121"/>
      <c r="D43" s="121"/>
      <c r="E43" s="121"/>
      <c r="F43" s="702"/>
      <c r="G43" s="702"/>
      <c r="H43" s="121"/>
      <c r="I43" s="121"/>
      <c r="J43" s="121"/>
      <c r="K43" s="31"/>
      <c r="L43" s="121"/>
      <c r="M43" s="121"/>
      <c r="N43" s="121"/>
      <c r="O43" s="121"/>
      <c r="P43" s="31"/>
      <c r="Q43" s="121"/>
      <c r="R43" s="121"/>
      <c r="S43" s="121"/>
      <c r="T43" s="121"/>
      <c r="U43" s="31"/>
      <c r="V43" s="704"/>
      <c r="W43" s="704"/>
      <c r="X43" s="704"/>
      <c r="Y43" s="704"/>
      <c r="Z43" s="704"/>
      <c r="AA43" s="704"/>
      <c r="AB43" s="704"/>
      <c r="AC43" s="704"/>
      <c r="AD43" s="704"/>
      <c r="AE43" s="704"/>
      <c r="AF43" s="704"/>
      <c r="AG43" s="704"/>
      <c r="AH43" s="723"/>
      <c r="AI43" s="723"/>
      <c r="AJ43" s="723"/>
      <c r="AK43" s="723"/>
      <c r="AL43" s="723"/>
      <c r="AM43" s="723"/>
      <c r="AN43" s="723"/>
      <c r="AO43" s="723"/>
      <c r="AP43" s="723"/>
      <c r="AQ43" s="723"/>
      <c r="AR43" s="723"/>
      <c r="AS43" s="707"/>
      <c r="AT43" s="707"/>
      <c r="AU43" s="707"/>
      <c r="AV43" s="707"/>
      <c r="AW43" s="707"/>
      <c r="AX43" s="707"/>
      <c r="AY43" s="707"/>
      <c r="AZ43" s="707"/>
      <c r="BA43" s="707"/>
      <c r="BB43" s="707"/>
      <c r="BC43" s="707"/>
      <c r="BD43" s="707"/>
      <c r="BE43" s="699"/>
      <c r="BF43" s="699"/>
      <c r="BG43" s="699"/>
      <c r="BH43" s="699"/>
      <c r="BI43" s="699"/>
      <c r="BJ43" s="708"/>
      <c r="BK43" s="708"/>
      <c r="BL43" s="708"/>
      <c r="BM43" s="708"/>
      <c r="BN43" s="708"/>
      <c r="BO43" s="708"/>
      <c r="BP43" s="708"/>
      <c r="BQ43" s="121"/>
      <c r="BR43" s="121"/>
    </row>
    <row r="44" spans="1:83" ht="26.25" customHeight="1" x14ac:dyDescent="0.25">
      <c r="A44" s="34"/>
      <c r="B44" s="35"/>
      <c r="C44" s="31"/>
      <c r="D44" s="32"/>
      <c r="E44" s="33"/>
      <c r="F44" s="703"/>
      <c r="G44" s="703"/>
      <c r="H44" s="31"/>
      <c r="I44" s="32"/>
      <c r="J44" s="33"/>
      <c r="K44" s="34"/>
      <c r="L44" s="35"/>
      <c r="M44" s="31"/>
      <c r="N44" s="32"/>
      <c r="O44" s="33"/>
      <c r="P44" s="34"/>
      <c r="Q44" s="35"/>
      <c r="R44" s="31"/>
      <c r="S44" s="32"/>
      <c r="T44" s="33"/>
      <c r="U44" s="34"/>
      <c r="V44" s="704"/>
      <c r="W44" s="704"/>
      <c r="X44" s="704"/>
      <c r="Y44" s="704"/>
      <c r="Z44" s="704"/>
      <c r="AA44" s="704"/>
      <c r="AB44" s="704"/>
      <c r="AC44" s="704"/>
      <c r="AD44" s="704"/>
      <c r="AE44" s="704"/>
      <c r="AF44" s="704"/>
      <c r="AG44" s="704"/>
      <c r="AH44" s="723"/>
      <c r="AI44" s="723"/>
      <c r="AJ44" s="723"/>
      <c r="AK44" s="723"/>
      <c r="AL44" s="723"/>
      <c r="AM44" s="723"/>
      <c r="AN44" s="723"/>
      <c r="AO44" s="723"/>
      <c r="AP44" s="723"/>
      <c r="AQ44" s="723"/>
      <c r="AR44" s="723"/>
      <c r="AS44" s="707"/>
      <c r="AT44" s="707"/>
      <c r="AU44" s="707"/>
      <c r="AV44" s="707"/>
      <c r="AW44" s="707"/>
      <c r="AX44" s="707"/>
      <c r="AY44" s="707"/>
      <c r="AZ44" s="707"/>
      <c r="BA44" s="707"/>
      <c r="BB44" s="707"/>
      <c r="BC44" s="707"/>
      <c r="BD44" s="707"/>
      <c r="BE44" s="699"/>
      <c r="BF44" s="699"/>
      <c r="BG44" s="699"/>
      <c r="BH44" s="699"/>
      <c r="BI44" s="699"/>
      <c r="BJ44" s="708"/>
      <c r="BK44" s="708"/>
      <c r="BL44" s="708"/>
      <c r="BM44" s="708"/>
      <c r="BN44" s="708"/>
      <c r="BO44" s="708"/>
      <c r="BP44" s="708"/>
      <c r="BQ44" s="31"/>
      <c r="BR44" s="32"/>
      <c r="BW44" s="27"/>
      <c r="BX44" s="27"/>
      <c r="BY44" s="27"/>
      <c r="BZ44" s="27"/>
      <c r="CA44" s="27"/>
      <c r="CB44" s="27"/>
      <c r="CC44" s="27"/>
      <c r="CD44" s="27"/>
      <c r="CE44" s="27"/>
    </row>
    <row r="45" spans="1:83" ht="26.1" customHeight="1" x14ac:dyDescent="0.25">
      <c r="A45" s="34"/>
      <c r="B45" s="35"/>
      <c r="C45" s="31"/>
      <c r="D45" s="32"/>
      <c r="E45" s="33"/>
      <c r="F45" s="703"/>
      <c r="G45" s="703"/>
      <c r="H45" s="31"/>
      <c r="I45" s="32"/>
      <c r="J45" s="33"/>
      <c r="K45" s="34"/>
      <c r="L45" s="35"/>
      <c r="M45" s="31"/>
      <c r="N45" s="32"/>
      <c r="O45" s="33"/>
      <c r="P45" s="34"/>
      <c r="Q45" s="35"/>
      <c r="R45" s="31"/>
      <c r="S45" s="32"/>
      <c r="T45" s="33"/>
      <c r="U45" s="34"/>
      <c r="V45" s="704"/>
      <c r="W45" s="704"/>
      <c r="X45" s="704"/>
      <c r="Y45" s="704"/>
      <c r="Z45" s="704"/>
      <c r="AA45" s="704"/>
      <c r="AB45" s="704"/>
      <c r="AC45" s="704"/>
      <c r="AD45" s="704"/>
      <c r="AE45" s="704"/>
      <c r="AF45" s="704"/>
      <c r="AG45" s="704"/>
      <c r="AH45" s="723"/>
      <c r="AI45" s="723"/>
      <c r="AJ45" s="723"/>
      <c r="AK45" s="723"/>
      <c r="AL45" s="723"/>
      <c r="AM45" s="723"/>
      <c r="AN45" s="723"/>
      <c r="AO45" s="723"/>
      <c r="AP45" s="723"/>
      <c r="AQ45" s="723"/>
      <c r="AR45" s="723"/>
      <c r="AS45" s="707"/>
      <c r="AT45" s="707"/>
      <c r="AU45" s="707"/>
      <c r="AV45" s="707"/>
      <c r="AW45" s="707"/>
      <c r="AX45" s="707"/>
      <c r="AY45" s="707"/>
      <c r="AZ45" s="707"/>
      <c r="BA45" s="707"/>
      <c r="BB45" s="707"/>
      <c r="BC45" s="707"/>
      <c r="BD45" s="707"/>
      <c r="BE45" s="699"/>
      <c r="BF45" s="699"/>
      <c r="BG45" s="699"/>
      <c r="BH45" s="699"/>
      <c r="BI45" s="699"/>
      <c r="BJ45" s="708"/>
      <c r="BK45" s="708"/>
      <c r="BL45" s="708"/>
      <c r="BM45" s="708"/>
      <c r="BN45" s="708"/>
      <c r="BO45" s="708"/>
      <c r="BP45" s="708"/>
      <c r="BQ45" s="31"/>
      <c r="BR45" s="32"/>
    </row>
    <row r="46" spans="1:83" ht="6.75" customHeight="1" x14ac:dyDescent="0.25">
      <c r="A46" s="28"/>
      <c r="B46" s="28"/>
      <c r="C46" s="28"/>
      <c r="D46" s="29"/>
      <c r="E46" s="29"/>
      <c r="F46" s="703"/>
      <c r="G46" s="703"/>
      <c r="H46" s="28"/>
      <c r="I46" s="29"/>
      <c r="J46" s="29"/>
      <c r="K46" s="28"/>
      <c r="L46" s="28"/>
      <c r="M46" s="28"/>
      <c r="N46" s="29"/>
      <c r="O46" s="29"/>
      <c r="P46" s="28"/>
      <c r="Q46" s="28"/>
      <c r="R46" s="28"/>
      <c r="S46" s="29"/>
      <c r="T46" s="29"/>
      <c r="U46" s="28"/>
      <c r="V46" s="704"/>
      <c r="W46" s="704"/>
      <c r="X46" s="704"/>
      <c r="Y46" s="704"/>
      <c r="Z46" s="704"/>
      <c r="AA46" s="704"/>
      <c r="AB46" s="704"/>
      <c r="AC46" s="704"/>
      <c r="AD46" s="704"/>
      <c r="AE46" s="704"/>
      <c r="AF46" s="704"/>
      <c r="AG46" s="704"/>
      <c r="AH46" s="723"/>
      <c r="AI46" s="723"/>
      <c r="AJ46" s="723"/>
      <c r="AK46" s="723"/>
      <c r="AL46" s="723"/>
      <c r="AM46" s="723"/>
      <c r="AN46" s="723"/>
      <c r="AO46" s="723"/>
      <c r="AP46" s="723"/>
      <c r="AQ46" s="723"/>
      <c r="AR46" s="723"/>
      <c r="AS46" s="707"/>
      <c r="AT46" s="707"/>
      <c r="AU46" s="707"/>
      <c r="AV46" s="707"/>
      <c r="AW46" s="707"/>
      <c r="AX46" s="707"/>
      <c r="AY46" s="707"/>
      <c r="AZ46" s="707"/>
      <c r="BA46" s="707"/>
      <c r="BB46" s="707"/>
      <c r="BC46" s="707"/>
      <c r="BD46" s="707"/>
      <c r="BE46" s="699"/>
      <c r="BF46" s="699"/>
      <c r="BG46" s="699"/>
      <c r="BH46" s="699"/>
      <c r="BI46" s="699"/>
      <c r="BJ46" s="699" t="s">
        <v>121</v>
      </c>
      <c r="BK46" s="699"/>
      <c r="BL46" s="699"/>
      <c r="BM46" s="699"/>
      <c r="BN46" s="699"/>
      <c r="BO46" s="699"/>
      <c r="BP46" s="699"/>
      <c r="BQ46" s="31"/>
      <c r="BR46" s="32"/>
    </row>
    <row r="47" spans="1:83" ht="21.95" customHeight="1" x14ac:dyDescent="0.25">
      <c r="A47" s="28"/>
      <c r="B47" s="28"/>
      <c r="C47" s="28"/>
      <c r="D47" s="30"/>
      <c r="E47" s="29"/>
      <c r="F47" s="703"/>
      <c r="G47" s="703"/>
      <c r="H47" s="28"/>
      <c r="I47" s="30"/>
      <c r="J47" s="29"/>
      <c r="K47" s="28"/>
      <c r="L47" s="28"/>
      <c r="M47" s="28"/>
      <c r="N47" s="30"/>
      <c r="O47" s="29"/>
      <c r="P47" s="28"/>
      <c r="Q47" s="28"/>
      <c r="R47" s="28"/>
      <c r="S47" s="30"/>
      <c r="T47" s="29"/>
      <c r="U47" s="28"/>
      <c r="V47" s="704"/>
      <c r="W47" s="704"/>
      <c r="X47" s="704"/>
      <c r="Y47" s="704"/>
      <c r="Z47" s="704"/>
      <c r="AA47" s="704"/>
      <c r="AB47" s="704"/>
      <c r="AC47" s="704"/>
      <c r="AD47" s="704"/>
      <c r="AE47" s="704"/>
      <c r="AF47" s="704"/>
      <c r="AG47" s="704"/>
      <c r="AH47" s="723"/>
      <c r="AI47" s="723"/>
      <c r="AJ47" s="723"/>
      <c r="AK47" s="723"/>
      <c r="AL47" s="723"/>
      <c r="AM47" s="723"/>
      <c r="AN47" s="723"/>
      <c r="AO47" s="723"/>
      <c r="AP47" s="723"/>
      <c r="AQ47" s="723"/>
      <c r="AR47" s="723"/>
      <c r="AS47" s="707"/>
      <c r="AT47" s="707"/>
      <c r="AU47" s="707"/>
      <c r="AV47" s="707"/>
      <c r="AW47" s="707"/>
      <c r="AX47" s="707"/>
      <c r="AY47" s="707"/>
      <c r="AZ47" s="707"/>
      <c r="BA47" s="707"/>
      <c r="BB47" s="707"/>
      <c r="BC47" s="707"/>
      <c r="BD47" s="707"/>
      <c r="BE47" s="699"/>
      <c r="BF47" s="699"/>
      <c r="BG47" s="699"/>
      <c r="BH47" s="699"/>
      <c r="BI47" s="699"/>
      <c r="BJ47" s="699"/>
      <c r="BK47" s="699"/>
      <c r="BL47" s="699"/>
      <c r="BM47" s="699"/>
      <c r="BN47" s="699"/>
      <c r="BO47" s="699"/>
      <c r="BP47" s="699"/>
      <c r="BQ47" s="30"/>
      <c r="BR47" s="29"/>
    </row>
    <row r="48" spans="1:83" ht="6" customHeight="1" x14ac:dyDescent="0.25">
      <c r="A48" s="28"/>
      <c r="B48" s="28"/>
      <c r="C48" s="28"/>
      <c r="D48" s="29"/>
      <c r="E48" s="29"/>
      <c r="F48" s="28"/>
      <c r="G48" s="28"/>
      <c r="H48" s="28"/>
      <c r="I48" s="29"/>
      <c r="J48" s="29"/>
      <c r="K48" s="28"/>
      <c r="L48" s="28"/>
      <c r="M48" s="28"/>
      <c r="N48" s="29"/>
      <c r="O48" s="29"/>
      <c r="P48" s="28"/>
      <c r="Q48" s="28"/>
      <c r="R48" s="28"/>
      <c r="S48" s="29"/>
      <c r="T48" s="29"/>
      <c r="U48" s="28"/>
      <c r="V48" s="28"/>
      <c r="W48" s="28"/>
      <c r="X48" s="29"/>
      <c r="Y48" s="29"/>
      <c r="Z48" s="28"/>
      <c r="AA48" s="28"/>
      <c r="AB48" s="28"/>
      <c r="AC48" s="29"/>
      <c r="AD48" s="29"/>
      <c r="AE48" s="28"/>
      <c r="AF48" s="28"/>
      <c r="AG48" s="28"/>
      <c r="AH48" s="29"/>
      <c r="AI48" s="29"/>
      <c r="AJ48" s="28"/>
      <c r="AK48" s="28"/>
      <c r="AL48" s="28"/>
      <c r="AM48" s="29"/>
      <c r="AN48" s="29"/>
      <c r="AO48" s="28"/>
      <c r="AP48" s="28"/>
      <c r="AQ48" s="28"/>
      <c r="AR48" s="29"/>
      <c r="AS48" s="29"/>
      <c r="AT48" s="28"/>
      <c r="AU48" s="28"/>
      <c r="AV48" s="28"/>
      <c r="AW48" s="29"/>
      <c r="AX48" s="29"/>
      <c r="AY48" s="28"/>
      <c r="AZ48" s="28"/>
      <c r="BA48" s="28"/>
      <c r="BB48" s="29"/>
      <c r="BC48" s="29"/>
      <c r="BD48" s="28"/>
      <c r="BE48" s="28"/>
      <c r="BF48" s="28"/>
      <c r="BG48" s="29"/>
      <c r="BH48" s="29"/>
      <c r="BI48" s="28"/>
      <c r="BJ48" s="699"/>
      <c r="BK48" s="699"/>
      <c r="BL48" s="699"/>
      <c r="BM48" s="699"/>
      <c r="BN48" s="699"/>
      <c r="BO48" s="699"/>
      <c r="BP48" s="699"/>
      <c r="BQ48" s="29"/>
      <c r="BR48" s="29"/>
    </row>
    <row r="49" spans="1:83" s="22" customFormat="1" ht="80.099999999999994" customHeight="1" x14ac:dyDescent="1.35">
      <c r="A49" s="31"/>
      <c r="B49" s="121"/>
      <c r="C49" s="121"/>
      <c r="D49" s="121"/>
      <c r="E49" s="121"/>
      <c r="F49" s="31"/>
      <c r="G49" s="121"/>
      <c r="H49" s="121"/>
      <c r="I49" s="121"/>
      <c r="J49" s="121"/>
      <c r="K49" s="31"/>
      <c r="L49" s="121"/>
      <c r="M49" s="121"/>
      <c r="N49" s="121"/>
      <c r="O49" s="121"/>
      <c r="P49" s="31"/>
      <c r="Q49" s="121"/>
      <c r="R49" s="121"/>
      <c r="S49" s="121"/>
      <c r="T49" s="121"/>
      <c r="U49" s="31"/>
      <c r="V49" s="121"/>
      <c r="W49" s="121"/>
      <c r="X49" s="121"/>
      <c r="Y49" s="121"/>
      <c r="Z49" s="31"/>
      <c r="AA49" s="121"/>
      <c r="AB49" s="121"/>
      <c r="AC49" s="121"/>
      <c r="AD49" s="121"/>
      <c r="AE49" s="31"/>
      <c r="AF49" s="121"/>
      <c r="AG49" s="121"/>
      <c r="AH49" s="121"/>
      <c r="AI49" s="121"/>
      <c r="AJ49" s="31"/>
      <c r="AK49" s="121"/>
      <c r="AL49" s="121"/>
      <c r="AM49" s="121"/>
      <c r="AN49" s="121"/>
      <c r="AO49" s="31"/>
      <c r="AP49" s="121"/>
      <c r="AQ49" s="121"/>
      <c r="AR49" s="121"/>
      <c r="AS49" s="121"/>
      <c r="AT49" s="31"/>
      <c r="AU49" s="121"/>
      <c r="AV49" s="121"/>
      <c r="AW49" s="121"/>
      <c r="AX49" s="121"/>
      <c r="AY49" s="31"/>
      <c r="AZ49" s="121"/>
      <c r="BA49" s="121"/>
      <c r="BB49" s="121"/>
      <c r="BC49" s="121"/>
      <c r="BD49" s="31"/>
      <c r="BE49" s="121"/>
      <c r="BF49" s="121"/>
      <c r="BG49" s="121"/>
      <c r="BH49" s="121"/>
      <c r="BI49" s="31"/>
      <c r="BJ49" s="121"/>
      <c r="BK49" s="121"/>
      <c r="BL49" s="121"/>
      <c r="BM49" s="121"/>
      <c r="BN49" s="31"/>
      <c r="BO49" s="121"/>
      <c r="BP49" s="121"/>
      <c r="BQ49" s="121"/>
      <c r="BR49" s="121"/>
    </row>
    <row r="50" spans="1:83" ht="25.5" customHeight="1" x14ac:dyDescent="0.25">
      <c r="A50" s="31"/>
      <c r="B50" s="32"/>
      <c r="C50" s="33"/>
      <c r="D50" s="34"/>
      <c r="E50" s="35"/>
      <c r="F50" s="31"/>
      <c r="G50" s="32"/>
      <c r="H50" s="33"/>
      <c r="I50" s="34"/>
      <c r="J50" s="35"/>
      <c r="K50" s="31"/>
      <c r="L50" s="32"/>
      <c r="M50" s="33"/>
      <c r="N50" s="34"/>
      <c r="O50" s="35"/>
      <c r="P50" s="31"/>
      <c r="Q50" s="32"/>
      <c r="R50" s="33"/>
      <c r="S50" s="34"/>
      <c r="T50" s="35"/>
      <c r="U50" s="31"/>
      <c r="V50" s="32"/>
      <c r="W50" s="33"/>
      <c r="X50" s="34"/>
      <c r="Y50" s="35"/>
      <c r="Z50" s="31"/>
      <c r="AA50" s="32"/>
      <c r="AB50" s="33"/>
      <c r="AC50" s="34"/>
      <c r="AD50" s="35"/>
      <c r="AE50" s="31"/>
      <c r="AF50" s="32"/>
      <c r="AG50" s="33"/>
      <c r="AH50" s="34"/>
      <c r="AI50" s="35"/>
      <c r="AJ50" s="31"/>
      <c r="AK50" s="32"/>
      <c r="AL50" s="33"/>
      <c r="AM50" s="34"/>
      <c r="AN50" s="35"/>
      <c r="AO50" s="31"/>
      <c r="AP50" s="32"/>
      <c r="AQ50" s="33"/>
      <c r="AR50" s="34"/>
      <c r="AS50" s="35"/>
      <c r="AT50" s="31"/>
      <c r="AU50" s="32"/>
      <c r="AV50" s="33"/>
      <c r="AW50" s="34"/>
      <c r="AX50" s="35"/>
      <c r="AY50" s="31"/>
      <c r="AZ50" s="32"/>
      <c r="BA50" s="33"/>
      <c r="BB50" s="34"/>
      <c r="BC50" s="35"/>
      <c r="BD50" s="31"/>
      <c r="BE50" s="32"/>
      <c r="BF50" s="33"/>
      <c r="BG50" s="34"/>
      <c r="BH50" s="35"/>
      <c r="BI50" s="31"/>
      <c r="BJ50" s="32"/>
      <c r="BK50" s="33"/>
      <c r="BL50" s="34"/>
      <c r="BM50" s="35"/>
      <c r="BN50" s="31"/>
      <c r="BO50" s="32"/>
      <c r="BP50" s="33"/>
      <c r="BQ50" s="34"/>
      <c r="BR50" s="35"/>
      <c r="BW50" s="27"/>
      <c r="BX50" s="27"/>
      <c r="BY50" s="27"/>
      <c r="BZ50" s="27"/>
      <c r="CA50" s="27"/>
      <c r="CB50" s="27"/>
      <c r="CC50" s="27"/>
      <c r="CD50" s="27"/>
      <c r="CE50" s="27"/>
    </row>
    <row r="51" spans="1:83" ht="26.1" hidden="1" customHeight="1" thickTop="1" x14ac:dyDescent="0.25">
      <c r="A51" s="672"/>
      <c r="B51" s="672"/>
      <c r="C51" s="672"/>
      <c r="D51" s="673"/>
      <c r="E51" s="673"/>
      <c r="F51" s="672"/>
      <c r="G51" s="672"/>
      <c r="H51" s="672"/>
      <c r="I51" s="673"/>
      <c r="J51" s="673"/>
      <c r="K51" s="672"/>
      <c r="L51" s="672"/>
      <c r="M51" s="672"/>
      <c r="N51" s="673"/>
      <c r="O51" s="673"/>
      <c r="P51" s="672"/>
      <c r="Q51" s="672"/>
      <c r="R51" s="672"/>
      <c r="S51" s="673"/>
      <c r="T51" s="673"/>
      <c r="U51" s="674"/>
      <c r="V51" s="674"/>
      <c r="W51" s="674"/>
      <c r="X51" s="675"/>
      <c r="Y51" s="675"/>
      <c r="Z51" s="44"/>
      <c r="AA51" s="44"/>
      <c r="AB51" s="44"/>
      <c r="AC51" s="69"/>
      <c r="AD51" s="69"/>
      <c r="AE51" s="44"/>
      <c r="AF51" s="44"/>
      <c r="AG51" s="44"/>
      <c r="AH51" s="69"/>
      <c r="AI51" s="69"/>
      <c r="AJ51" s="44"/>
      <c r="AK51" s="44"/>
      <c r="AL51" s="44"/>
      <c r="AM51" s="69"/>
      <c r="AN51" s="69"/>
      <c r="AO51" s="44"/>
      <c r="AP51" s="44"/>
      <c r="AQ51" s="44"/>
      <c r="AR51" s="69"/>
      <c r="AS51" s="69"/>
      <c r="AT51" s="44"/>
      <c r="AU51" s="44"/>
      <c r="AV51" s="44"/>
      <c r="AW51" s="69"/>
      <c r="AX51" s="69"/>
      <c r="AY51" s="44"/>
      <c r="AZ51" s="44"/>
      <c r="BA51" s="44"/>
      <c r="BB51" s="69"/>
      <c r="BC51" s="69"/>
      <c r="BD51" s="44"/>
      <c r="BE51" s="44"/>
      <c r="BF51" s="44"/>
      <c r="BG51" s="69"/>
      <c r="BH51" s="69"/>
      <c r="BI51" s="674"/>
      <c r="BJ51" s="674"/>
      <c r="BK51" s="674"/>
      <c r="BL51" s="675"/>
      <c r="BM51" s="675"/>
      <c r="BN51" s="674"/>
      <c r="BO51" s="674"/>
      <c r="BP51" s="674"/>
      <c r="BQ51" s="675"/>
      <c r="BR51" s="675"/>
    </row>
    <row r="52" spans="1:83" ht="6.75" hidden="1" customHeight="1" x14ac:dyDescent="0.25">
      <c r="A52" s="676"/>
      <c r="B52" s="676"/>
      <c r="C52" s="676"/>
      <c r="D52" s="29"/>
      <c r="E52" s="29"/>
      <c r="F52" s="676"/>
      <c r="G52" s="676"/>
      <c r="H52" s="676"/>
      <c r="I52" s="29"/>
      <c r="J52" s="29"/>
      <c r="K52" s="676"/>
      <c r="L52" s="676"/>
      <c r="M52" s="676"/>
      <c r="N52" s="29"/>
      <c r="O52" s="29"/>
      <c r="P52" s="676"/>
      <c r="Q52" s="676"/>
      <c r="R52" s="676"/>
      <c r="S52" s="29"/>
      <c r="T52" s="29"/>
      <c r="U52" s="676"/>
      <c r="V52" s="676"/>
      <c r="W52" s="676"/>
      <c r="X52" s="29"/>
      <c r="Y52" s="29"/>
      <c r="Z52" s="47"/>
      <c r="AA52" s="47"/>
      <c r="AB52" s="47"/>
      <c r="AC52" s="29"/>
      <c r="AD52" s="29"/>
      <c r="AE52" s="47"/>
      <c r="AF52" s="47"/>
      <c r="AG52" s="47"/>
      <c r="AH52" s="29"/>
      <c r="AI52" s="29"/>
      <c r="AJ52" s="47"/>
      <c r="AK52" s="47"/>
      <c r="AL52" s="47"/>
      <c r="AM52" s="29"/>
      <c r="AN52" s="29"/>
      <c r="AO52" s="47"/>
      <c r="AP52" s="47"/>
      <c r="AQ52" s="47"/>
      <c r="AR52" s="29"/>
      <c r="AS52" s="29"/>
      <c r="AT52" s="47"/>
      <c r="AU52" s="47"/>
      <c r="AV52" s="47"/>
      <c r="AW52" s="29"/>
      <c r="AX52" s="29"/>
      <c r="AY52" s="47"/>
      <c r="AZ52" s="47"/>
      <c r="BA52" s="47"/>
      <c r="BB52" s="29"/>
      <c r="BC52" s="29"/>
      <c r="BD52" s="47"/>
      <c r="BE52" s="47"/>
      <c r="BF52" s="47"/>
      <c r="BG52" s="29"/>
      <c r="BH52" s="29"/>
      <c r="BI52" s="676"/>
      <c r="BJ52" s="676"/>
      <c r="BK52" s="676"/>
      <c r="BL52" s="29"/>
      <c r="BM52" s="29"/>
      <c r="BN52" s="676"/>
      <c r="BO52" s="676"/>
      <c r="BP52" s="676"/>
      <c r="BQ52" s="29"/>
      <c r="BR52" s="29"/>
    </row>
    <row r="53" spans="1:83" ht="21.95" hidden="1" customHeight="1" x14ac:dyDescent="0.25">
      <c r="A53" s="676"/>
      <c r="B53" s="676"/>
      <c r="C53" s="676"/>
      <c r="D53" s="30"/>
      <c r="E53" s="29"/>
      <c r="F53" s="676"/>
      <c r="G53" s="676"/>
      <c r="H53" s="676"/>
      <c r="I53" s="30"/>
      <c r="J53" s="29"/>
      <c r="K53" s="676"/>
      <c r="L53" s="676"/>
      <c r="M53" s="676"/>
      <c r="N53" s="30"/>
      <c r="O53" s="29"/>
      <c r="P53" s="676"/>
      <c r="Q53" s="676"/>
      <c r="R53" s="676"/>
      <c r="S53" s="30"/>
      <c r="T53" s="29"/>
      <c r="U53" s="676"/>
      <c r="V53" s="676"/>
      <c r="W53" s="676"/>
      <c r="X53" s="30"/>
      <c r="Y53" s="29"/>
      <c r="Z53" s="47"/>
      <c r="AA53" s="47"/>
      <c r="AB53" s="47"/>
      <c r="AC53" s="30"/>
      <c r="AD53" s="29"/>
      <c r="AE53" s="47"/>
      <c r="AF53" s="47"/>
      <c r="AG53" s="47"/>
      <c r="AH53" s="30"/>
      <c r="AI53" s="29"/>
      <c r="AJ53" s="47"/>
      <c r="AK53" s="47"/>
      <c r="AL53" s="47"/>
      <c r="AM53" s="30"/>
      <c r="AN53" s="29"/>
      <c r="AO53" s="47"/>
      <c r="AP53" s="47"/>
      <c r="AQ53" s="47"/>
      <c r="AR53" s="30"/>
      <c r="AS53" s="29"/>
      <c r="AT53" s="47"/>
      <c r="AU53" s="47"/>
      <c r="AV53" s="47"/>
      <c r="AW53" s="30"/>
      <c r="AX53" s="29"/>
      <c r="AY53" s="47"/>
      <c r="AZ53" s="47"/>
      <c r="BA53" s="47"/>
      <c r="BB53" s="30"/>
      <c r="BC53" s="29"/>
      <c r="BD53" s="47"/>
      <c r="BE53" s="47"/>
      <c r="BF53" s="47"/>
      <c r="BG53" s="30"/>
      <c r="BH53" s="29"/>
      <c r="BI53" s="676"/>
      <c r="BJ53" s="676"/>
      <c r="BK53" s="676"/>
      <c r="BL53" s="30"/>
      <c r="BM53" s="29"/>
      <c r="BN53" s="676"/>
      <c r="BO53" s="676"/>
      <c r="BP53" s="676"/>
      <c r="BQ53" s="30"/>
      <c r="BR53" s="29"/>
    </row>
    <row r="54" spans="1:83" ht="6" hidden="1" customHeight="1" x14ac:dyDescent="0.25">
      <c r="A54" s="676"/>
      <c r="B54" s="676"/>
      <c r="C54" s="676"/>
      <c r="D54" s="675"/>
      <c r="E54" s="675"/>
      <c r="F54" s="676"/>
      <c r="G54" s="676"/>
      <c r="H54" s="676"/>
      <c r="I54" s="675"/>
      <c r="J54" s="675"/>
      <c r="K54" s="676"/>
      <c r="L54" s="676"/>
      <c r="M54" s="676"/>
      <c r="N54" s="675"/>
      <c r="O54" s="675"/>
      <c r="P54" s="676"/>
      <c r="Q54" s="676"/>
      <c r="R54" s="676"/>
      <c r="S54" s="675"/>
      <c r="T54" s="675"/>
      <c r="U54" s="676"/>
      <c r="V54" s="676"/>
      <c r="W54" s="676"/>
      <c r="X54" s="675"/>
      <c r="Y54" s="675"/>
      <c r="Z54" s="47"/>
      <c r="AA54" s="47"/>
      <c r="AB54" s="47"/>
      <c r="AC54" s="69"/>
      <c r="AD54" s="69"/>
      <c r="AE54" s="47"/>
      <c r="AF54" s="47"/>
      <c r="AG54" s="47"/>
      <c r="AH54" s="69"/>
      <c r="AI54" s="69"/>
      <c r="AJ54" s="47"/>
      <c r="AK54" s="47"/>
      <c r="AL54" s="47"/>
      <c r="AM54" s="69"/>
      <c r="AN54" s="69"/>
      <c r="AO54" s="47"/>
      <c r="AP54" s="47"/>
      <c r="AQ54" s="47"/>
      <c r="AR54" s="69"/>
      <c r="AS54" s="69"/>
      <c r="AT54" s="47"/>
      <c r="AU54" s="47"/>
      <c r="AV54" s="47"/>
      <c r="AW54" s="69"/>
      <c r="AX54" s="69"/>
      <c r="AY54" s="47"/>
      <c r="AZ54" s="47"/>
      <c r="BA54" s="47"/>
      <c r="BB54" s="69"/>
      <c r="BC54" s="69"/>
      <c r="BD54" s="47"/>
      <c r="BE54" s="47"/>
      <c r="BF54" s="47"/>
      <c r="BG54" s="69"/>
      <c r="BH54" s="69"/>
      <c r="BI54" s="676"/>
      <c r="BJ54" s="676"/>
      <c r="BK54" s="676"/>
      <c r="BL54" s="675"/>
      <c r="BM54" s="675"/>
      <c r="BN54" s="676"/>
      <c r="BO54" s="676"/>
      <c r="BP54" s="676"/>
      <c r="BQ54" s="675"/>
      <c r="BR54" s="675"/>
    </row>
    <row r="55" spans="1:83" ht="59.25" hidden="1" customHeight="1" thickBot="1" x14ac:dyDescent="0.3">
      <c r="A55" s="677"/>
      <c r="B55" s="678"/>
      <c r="C55" s="678"/>
      <c r="D55" s="678"/>
      <c r="E55" s="678"/>
      <c r="F55" s="677"/>
      <c r="G55" s="678"/>
      <c r="H55" s="678"/>
      <c r="I55" s="678"/>
      <c r="J55" s="678"/>
      <c r="K55" s="677"/>
      <c r="L55" s="678"/>
      <c r="M55" s="678"/>
      <c r="N55" s="678"/>
      <c r="O55" s="678"/>
      <c r="P55" s="677"/>
      <c r="Q55" s="678"/>
      <c r="R55" s="678"/>
      <c r="S55" s="678"/>
      <c r="T55" s="678"/>
      <c r="U55" s="677"/>
      <c r="V55" s="678"/>
      <c r="W55" s="678"/>
      <c r="X55" s="678"/>
      <c r="Y55" s="678"/>
      <c r="Z55" s="70"/>
      <c r="AA55" s="71"/>
      <c r="AB55" s="71"/>
      <c r="AC55" s="71"/>
      <c r="AD55" s="71"/>
      <c r="AE55" s="70"/>
      <c r="AF55" s="71"/>
      <c r="AG55" s="71"/>
      <c r="AH55" s="71"/>
      <c r="AI55" s="71"/>
      <c r="AJ55" s="70"/>
      <c r="AK55" s="71"/>
      <c r="AL55" s="71"/>
      <c r="AM55" s="71"/>
      <c r="AN55" s="71"/>
      <c r="AO55" s="70"/>
      <c r="AP55" s="71"/>
      <c r="AQ55" s="71"/>
      <c r="AR55" s="71"/>
      <c r="AS55" s="71"/>
      <c r="AT55" s="70"/>
      <c r="AU55" s="71"/>
      <c r="AV55" s="71"/>
      <c r="AW55" s="71"/>
      <c r="AX55" s="71"/>
      <c r="AY55" s="70"/>
      <c r="AZ55" s="71"/>
      <c r="BA55" s="71"/>
      <c r="BB55" s="71"/>
      <c r="BC55" s="71"/>
      <c r="BD55" s="70"/>
      <c r="BE55" s="71"/>
      <c r="BF55" s="71"/>
      <c r="BG55" s="71"/>
      <c r="BH55" s="71"/>
      <c r="BI55" s="677"/>
      <c r="BJ55" s="678"/>
      <c r="BK55" s="678"/>
      <c r="BL55" s="678"/>
      <c r="BM55" s="678"/>
      <c r="BN55" s="677"/>
      <c r="BO55" s="678"/>
      <c r="BP55" s="678"/>
      <c r="BQ55" s="678"/>
      <c r="BR55" s="678"/>
    </row>
    <row r="56" spans="1:83" ht="27" hidden="1" customHeight="1" thickBot="1" x14ac:dyDescent="0.3">
      <c r="A56" s="677"/>
      <c r="B56" s="32"/>
      <c r="C56" s="33"/>
      <c r="D56" s="34"/>
      <c r="E56" s="35"/>
      <c r="F56" s="677"/>
      <c r="G56" s="32"/>
      <c r="H56" s="33"/>
      <c r="I56" s="34"/>
      <c r="J56" s="35"/>
      <c r="K56" s="677"/>
      <c r="L56" s="32"/>
      <c r="M56" s="33"/>
      <c r="N56" s="34"/>
      <c r="O56" s="35"/>
      <c r="P56" s="677"/>
      <c r="Q56" s="32"/>
      <c r="R56" s="33"/>
      <c r="S56" s="34"/>
      <c r="T56" s="35"/>
      <c r="U56" s="677"/>
      <c r="V56" s="32"/>
      <c r="W56" s="33"/>
      <c r="X56" s="34"/>
      <c r="Y56" s="35"/>
      <c r="Z56" s="70"/>
      <c r="AA56" s="32"/>
      <c r="AB56" s="33"/>
      <c r="AC56" s="34"/>
      <c r="AD56" s="35"/>
      <c r="AE56" s="70"/>
      <c r="AF56" s="32"/>
      <c r="AG56" s="33"/>
      <c r="AH56" s="34"/>
      <c r="AI56" s="35"/>
      <c r="AJ56" s="70"/>
      <c r="AK56" s="32"/>
      <c r="AL56" s="33"/>
      <c r="AM56" s="34"/>
      <c r="AN56" s="35"/>
      <c r="AO56" s="70"/>
      <c r="AP56" s="32"/>
      <c r="AQ56" s="33"/>
      <c r="AR56" s="34"/>
      <c r="AS56" s="35"/>
      <c r="AT56" s="70"/>
      <c r="AU56" s="32"/>
      <c r="AV56" s="33"/>
      <c r="AW56" s="34"/>
      <c r="AX56" s="35"/>
      <c r="AY56" s="70"/>
      <c r="AZ56" s="32"/>
      <c r="BA56" s="33"/>
      <c r="BB56" s="34"/>
      <c r="BC56" s="35"/>
      <c r="BD56" s="70"/>
      <c r="BE56" s="32"/>
      <c r="BF56" s="33"/>
      <c r="BG56" s="34"/>
      <c r="BH56" s="35"/>
      <c r="BI56" s="677"/>
      <c r="BJ56" s="32"/>
      <c r="BK56" s="33"/>
      <c r="BL56" s="34"/>
      <c r="BM56" s="35"/>
      <c r="BN56" s="677"/>
      <c r="BO56" s="32"/>
      <c r="BP56" s="33"/>
      <c r="BQ56" s="34"/>
      <c r="BR56" s="35"/>
      <c r="BW56" s="27"/>
      <c r="BX56" s="27"/>
      <c r="BY56" s="27"/>
      <c r="BZ56" s="27"/>
      <c r="CA56" s="27"/>
      <c r="CB56" s="27"/>
      <c r="CC56" s="27"/>
      <c r="CD56" s="27"/>
      <c r="CE56" s="27"/>
    </row>
    <row r="57" spans="1:83" ht="26.1" hidden="1" customHeight="1" x14ac:dyDescent="0.25">
      <c r="A57" s="674"/>
      <c r="B57" s="674"/>
      <c r="C57" s="674"/>
      <c r="D57" s="675"/>
      <c r="E57" s="675"/>
      <c r="F57" s="674"/>
      <c r="G57" s="674"/>
      <c r="H57" s="674"/>
      <c r="I57" s="675"/>
      <c r="J57" s="675"/>
      <c r="K57" s="674"/>
      <c r="L57" s="674"/>
      <c r="M57" s="674"/>
      <c r="N57" s="675"/>
      <c r="O57" s="675"/>
      <c r="P57" s="674"/>
      <c r="Q57" s="674"/>
      <c r="R57" s="674"/>
      <c r="S57" s="675"/>
      <c r="T57" s="675"/>
      <c r="U57" s="674"/>
      <c r="V57" s="674"/>
      <c r="W57" s="674"/>
      <c r="X57" s="675"/>
      <c r="Y57" s="675"/>
      <c r="Z57" s="44"/>
      <c r="AA57" s="44"/>
      <c r="AB57" s="44"/>
      <c r="AC57" s="69"/>
      <c r="AD57" s="69"/>
      <c r="AE57" s="44"/>
      <c r="AF57" s="44"/>
      <c r="AG57" s="44"/>
      <c r="AH57" s="69"/>
      <c r="AI57" s="69"/>
      <c r="AJ57" s="44"/>
      <c r="AK57" s="44"/>
      <c r="AL57" s="44"/>
      <c r="AM57" s="69"/>
      <c r="AN57" s="69"/>
      <c r="AO57" s="44"/>
      <c r="AP57" s="44"/>
      <c r="AQ57" s="44"/>
      <c r="AR57" s="69"/>
      <c r="AS57" s="69"/>
      <c r="AT57" s="44"/>
      <c r="AU57" s="44"/>
      <c r="AV57" s="44"/>
      <c r="AW57" s="69"/>
      <c r="AX57" s="69"/>
      <c r="AY57" s="44"/>
      <c r="AZ57" s="44"/>
      <c r="BA57" s="44"/>
      <c r="BB57" s="69"/>
      <c r="BC57" s="69"/>
      <c r="BD57" s="44"/>
      <c r="BE57" s="44"/>
      <c r="BF57" s="44"/>
      <c r="BG57" s="69"/>
      <c r="BH57" s="69"/>
      <c r="BI57" s="674"/>
      <c r="BJ57" s="674"/>
      <c r="BK57" s="674"/>
      <c r="BL57" s="675"/>
      <c r="BM57" s="675"/>
      <c r="BN57" s="674"/>
      <c r="BO57" s="674"/>
      <c r="BP57" s="674"/>
      <c r="BQ57" s="675"/>
      <c r="BR57" s="675"/>
    </row>
    <row r="58" spans="1:83" ht="6.75" hidden="1" customHeight="1" x14ac:dyDescent="0.25">
      <c r="A58" s="676"/>
      <c r="B58" s="676"/>
      <c r="C58" s="676"/>
      <c r="D58" s="29"/>
      <c r="E58" s="29"/>
      <c r="F58" s="676"/>
      <c r="G58" s="676"/>
      <c r="H58" s="676"/>
      <c r="I58" s="29"/>
      <c r="J58" s="29"/>
      <c r="K58" s="676"/>
      <c r="L58" s="676"/>
      <c r="M58" s="676"/>
      <c r="N58" s="29"/>
      <c r="O58" s="29"/>
      <c r="P58" s="676"/>
      <c r="Q58" s="676"/>
      <c r="R58" s="676"/>
      <c r="S58" s="29"/>
      <c r="T58" s="29"/>
      <c r="U58" s="676"/>
      <c r="V58" s="676"/>
      <c r="W58" s="676"/>
      <c r="X58" s="29"/>
      <c r="Y58" s="29"/>
      <c r="Z58" s="47"/>
      <c r="AA58" s="47"/>
      <c r="AB58" s="47"/>
      <c r="AC58" s="29"/>
      <c r="AD58" s="29"/>
      <c r="AE58" s="47"/>
      <c r="AF58" s="47"/>
      <c r="AG58" s="47"/>
      <c r="AH58" s="29"/>
      <c r="AI58" s="29"/>
      <c r="AJ58" s="47"/>
      <c r="AK58" s="47"/>
      <c r="AL58" s="47"/>
      <c r="AM58" s="29"/>
      <c r="AN58" s="29"/>
      <c r="AO58" s="47"/>
      <c r="AP58" s="47"/>
      <c r="AQ58" s="47"/>
      <c r="AR58" s="29"/>
      <c r="AS58" s="29"/>
      <c r="AT58" s="47"/>
      <c r="AU58" s="47"/>
      <c r="AV58" s="47"/>
      <c r="AW58" s="29"/>
      <c r="AX58" s="29"/>
      <c r="AY58" s="47"/>
      <c r="AZ58" s="47"/>
      <c r="BA58" s="47"/>
      <c r="BB58" s="29"/>
      <c r="BC58" s="29"/>
      <c r="BD58" s="47"/>
      <c r="BE58" s="47"/>
      <c r="BF58" s="47"/>
      <c r="BG58" s="29"/>
      <c r="BH58" s="29"/>
      <c r="BI58" s="676"/>
      <c r="BJ58" s="676"/>
      <c r="BK58" s="676"/>
      <c r="BL58" s="29"/>
      <c r="BM58" s="29"/>
      <c r="BN58" s="676"/>
      <c r="BO58" s="676"/>
      <c r="BP58" s="676"/>
      <c r="BQ58" s="29"/>
      <c r="BR58" s="29"/>
    </row>
    <row r="59" spans="1:83" ht="21.95" hidden="1" customHeight="1" x14ac:dyDescent="0.25">
      <c r="A59" s="676"/>
      <c r="B59" s="676"/>
      <c r="C59" s="676"/>
      <c r="D59" s="30"/>
      <c r="E59" s="29"/>
      <c r="F59" s="676"/>
      <c r="G59" s="676"/>
      <c r="H59" s="676"/>
      <c r="I59" s="30"/>
      <c r="J59" s="29"/>
      <c r="K59" s="676"/>
      <c r="L59" s="676"/>
      <c r="M59" s="676"/>
      <c r="N59" s="30"/>
      <c r="O59" s="29"/>
      <c r="P59" s="676"/>
      <c r="Q59" s="676"/>
      <c r="R59" s="676"/>
      <c r="S59" s="30"/>
      <c r="T59" s="29"/>
      <c r="U59" s="676"/>
      <c r="V59" s="676"/>
      <c r="W59" s="676"/>
      <c r="X59" s="30"/>
      <c r="Y59" s="29"/>
      <c r="Z59" s="47"/>
      <c r="AA59" s="47"/>
      <c r="AB59" s="47"/>
      <c r="AC59" s="30"/>
      <c r="AD59" s="29"/>
      <c r="AE59" s="47"/>
      <c r="AF59" s="47"/>
      <c r="AG59" s="47"/>
      <c r="AH59" s="30"/>
      <c r="AI59" s="29"/>
      <c r="AJ59" s="47"/>
      <c r="AK59" s="47"/>
      <c r="AL59" s="47"/>
      <c r="AM59" s="30"/>
      <c r="AN59" s="29"/>
      <c r="AO59" s="47"/>
      <c r="AP59" s="47"/>
      <c r="AQ59" s="47"/>
      <c r="AR59" s="30"/>
      <c r="AS59" s="29"/>
      <c r="AT59" s="47"/>
      <c r="AU59" s="47"/>
      <c r="AV59" s="47"/>
      <c r="AW59" s="30"/>
      <c r="AX59" s="29"/>
      <c r="AY59" s="47"/>
      <c r="AZ59" s="47"/>
      <c r="BA59" s="47"/>
      <c r="BB59" s="30"/>
      <c r="BC59" s="29"/>
      <c r="BD59" s="47"/>
      <c r="BE59" s="47"/>
      <c r="BF59" s="47"/>
      <c r="BG59" s="30"/>
      <c r="BH59" s="29"/>
      <c r="BI59" s="676"/>
      <c r="BJ59" s="676"/>
      <c r="BK59" s="676"/>
      <c r="BL59" s="30"/>
      <c r="BM59" s="29"/>
      <c r="BN59" s="676"/>
      <c r="BO59" s="676"/>
      <c r="BP59" s="676"/>
      <c r="BQ59" s="30"/>
      <c r="BR59" s="29"/>
    </row>
    <row r="60" spans="1:83" ht="6" hidden="1" customHeight="1" x14ac:dyDescent="0.25">
      <c r="A60" s="676"/>
      <c r="B60" s="676"/>
      <c r="C60" s="676"/>
      <c r="D60" s="675"/>
      <c r="E60" s="675"/>
      <c r="F60" s="676"/>
      <c r="G60" s="676"/>
      <c r="H60" s="676"/>
      <c r="I60" s="675"/>
      <c r="J60" s="675"/>
      <c r="K60" s="676"/>
      <c r="L60" s="676"/>
      <c r="M60" s="676"/>
      <c r="N60" s="675"/>
      <c r="O60" s="675"/>
      <c r="P60" s="676"/>
      <c r="Q60" s="676"/>
      <c r="R60" s="676"/>
      <c r="S60" s="675"/>
      <c r="T60" s="675"/>
      <c r="U60" s="676"/>
      <c r="V60" s="676"/>
      <c r="W60" s="676"/>
      <c r="X60" s="675"/>
      <c r="Y60" s="675"/>
      <c r="Z60" s="47"/>
      <c r="AA60" s="47"/>
      <c r="AB60" s="47"/>
      <c r="AC60" s="69"/>
      <c r="AD60" s="69"/>
      <c r="AE60" s="47"/>
      <c r="AF60" s="47"/>
      <c r="AG60" s="47"/>
      <c r="AH60" s="69"/>
      <c r="AI60" s="69"/>
      <c r="AJ60" s="47"/>
      <c r="AK60" s="47"/>
      <c r="AL60" s="47"/>
      <c r="AM60" s="69"/>
      <c r="AN60" s="69"/>
      <c r="AO60" s="47"/>
      <c r="AP60" s="47"/>
      <c r="AQ60" s="47"/>
      <c r="AR60" s="69"/>
      <c r="AS60" s="69"/>
      <c r="AT60" s="47"/>
      <c r="AU60" s="47"/>
      <c r="AV60" s="47"/>
      <c r="AW60" s="69"/>
      <c r="AX60" s="69"/>
      <c r="AY60" s="47"/>
      <c r="AZ60" s="47"/>
      <c r="BA60" s="47"/>
      <c r="BB60" s="69"/>
      <c r="BC60" s="69"/>
      <c r="BD60" s="47"/>
      <c r="BE60" s="47"/>
      <c r="BF60" s="47"/>
      <c r="BG60" s="69"/>
      <c r="BH60" s="69"/>
      <c r="BI60" s="676"/>
      <c r="BJ60" s="676"/>
      <c r="BK60" s="676"/>
      <c r="BL60" s="675"/>
      <c r="BM60" s="675"/>
      <c r="BN60" s="676"/>
      <c r="BO60" s="676"/>
      <c r="BP60" s="676"/>
      <c r="BQ60" s="675"/>
      <c r="BR60" s="675"/>
    </row>
    <row r="61" spans="1:83" ht="59.25" hidden="1" customHeight="1" thickBot="1" x14ac:dyDescent="0.3">
      <c r="A61" s="677"/>
      <c r="B61" s="678"/>
      <c r="C61" s="678"/>
      <c r="D61" s="678"/>
      <c r="E61" s="678"/>
      <c r="F61" s="677"/>
      <c r="G61" s="678"/>
      <c r="H61" s="678"/>
      <c r="I61" s="678"/>
      <c r="J61" s="678"/>
      <c r="K61" s="677"/>
      <c r="L61" s="678"/>
      <c r="M61" s="678"/>
      <c r="N61" s="678"/>
      <c r="O61" s="678"/>
      <c r="P61" s="677"/>
      <c r="Q61" s="678"/>
      <c r="R61" s="678"/>
      <c r="S61" s="678"/>
      <c r="T61" s="678"/>
      <c r="U61" s="677"/>
      <c r="V61" s="678"/>
      <c r="W61" s="678"/>
      <c r="X61" s="678"/>
      <c r="Y61" s="678"/>
      <c r="Z61" s="70"/>
      <c r="AA61" s="71"/>
      <c r="AB61" s="71"/>
      <c r="AC61" s="71"/>
      <c r="AD61" s="71"/>
      <c r="AE61" s="70"/>
      <c r="AF61" s="71"/>
      <c r="AG61" s="71"/>
      <c r="AH61" s="71"/>
      <c r="AI61" s="71"/>
      <c r="AJ61" s="70"/>
      <c r="AK61" s="71"/>
      <c r="AL61" s="71"/>
      <c r="AM61" s="71"/>
      <c r="AN61" s="71"/>
      <c r="AO61" s="70"/>
      <c r="AP61" s="71"/>
      <c r="AQ61" s="71"/>
      <c r="AR61" s="71"/>
      <c r="AS61" s="71"/>
      <c r="AT61" s="70"/>
      <c r="AU61" s="71"/>
      <c r="AV61" s="71"/>
      <c r="AW61" s="71"/>
      <c r="AX61" s="71"/>
      <c r="AY61" s="70"/>
      <c r="AZ61" s="71"/>
      <c r="BA61" s="71"/>
      <c r="BB61" s="71"/>
      <c r="BC61" s="71"/>
      <c r="BD61" s="70"/>
      <c r="BE61" s="71"/>
      <c r="BF61" s="71"/>
      <c r="BG61" s="71"/>
      <c r="BH61" s="71"/>
      <c r="BI61" s="677"/>
      <c r="BJ61" s="678"/>
      <c r="BK61" s="678"/>
      <c r="BL61" s="678"/>
      <c r="BM61" s="678"/>
      <c r="BN61" s="677"/>
      <c r="BO61" s="678"/>
      <c r="BP61" s="678"/>
      <c r="BQ61" s="678"/>
      <c r="BR61" s="678"/>
    </row>
    <row r="62" spans="1:83" ht="27" hidden="1" customHeight="1" thickBot="1" x14ac:dyDescent="0.3">
      <c r="A62" s="677"/>
      <c r="B62" s="32"/>
      <c r="C62" s="33"/>
      <c r="D62" s="34"/>
      <c r="E62" s="35"/>
      <c r="F62" s="677"/>
      <c r="G62" s="32"/>
      <c r="H62" s="33"/>
      <c r="I62" s="34"/>
      <c r="J62" s="35"/>
      <c r="K62" s="677"/>
      <c r="L62" s="32"/>
      <c r="M62" s="33"/>
      <c r="N62" s="34"/>
      <c r="O62" s="35"/>
      <c r="P62" s="677"/>
      <c r="Q62" s="32"/>
      <c r="R62" s="33"/>
      <c r="S62" s="34"/>
      <c r="T62" s="35"/>
      <c r="U62" s="677"/>
      <c r="V62" s="32"/>
      <c r="W62" s="33"/>
      <c r="X62" s="34"/>
      <c r="Y62" s="35"/>
      <c r="Z62" s="70"/>
      <c r="AA62" s="32"/>
      <c r="AB62" s="33"/>
      <c r="AC62" s="34"/>
      <c r="AD62" s="35"/>
      <c r="AE62" s="70"/>
      <c r="AF62" s="32"/>
      <c r="AG62" s="33"/>
      <c r="AH62" s="34"/>
      <c r="AI62" s="35"/>
      <c r="AJ62" s="70"/>
      <c r="AK62" s="32"/>
      <c r="AL62" s="33"/>
      <c r="AM62" s="34"/>
      <c r="AN62" s="35"/>
      <c r="AO62" s="70"/>
      <c r="AP62" s="32"/>
      <c r="AQ62" s="33"/>
      <c r="AR62" s="34"/>
      <c r="AS62" s="35"/>
      <c r="AT62" s="70"/>
      <c r="AU62" s="32"/>
      <c r="AV62" s="33"/>
      <c r="AW62" s="34"/>
      <c r="AX62" s="35"/>
      <c r="AY62" s="70"/>
      <c r="AZ62" s="32"/>
      <c r="BA62" s="33"/>
      <c r="BB62" s="34"/>
      <c r="BC62" s="35"/>
      <c r="BD62" s="70"/>
      <c r="BE62" s="32"/>
      <c r="BF62" s="33"/>
      <c r="BG62" s="34"/>
      <c r="BH62" s="35"/>
      <c r="BI62" s="677"/>
      <c r="BJ62" s="32"/>
      <c r="BK62" s="33"/>
      <c r="BL62" s="34"/>
      <c r="BM62" s="35"/>
      <c r="BN62" s="677"/>
      <c r="BO62" s="32"/>
      <c r="BP62" s="33"/>
      <c r="BQ62" s="34"/>
      <c r="BR62" s="35"/>
      <c r="BW62" s="27"/>
      <c r="BX62" s="27"/>
      <c r="BY62" s="27"/>
      <c r="BZ62" s="27"/>
      <c r="CA62" s="27"/>
      <c r="CB62" s="27"/>
      <c r="CC62" s="27"/>
      <c r="CD62" s="27"/>
      <c r="CE62" s="27"/>
    </row>
    <row r="63" spans="1:83" s="42" customFormat="1" ht="30" hidden="1" customHeight="1" thickTop="1" x14ac:dyDescent="0.25">
      <c r="A63" s="37"/>
      <c r="B63" s="38"/>
      <c r="C63" s="39"/>
      <c r="D63" s="40"/>
      <c r="E63" s="41"/>
      <c r="F63" s="37"/>
      <c r="G63" s="38"/>
      <c r="H63" s="39"/>
      <c r="I63" s="40"/>
      <c r="J63" s="41"/>
      <c r="K63" s="37"/>
      <c r="L63" s="38"/>
      <c r="M63" s="39"/>
      <c r="N63" s="40"/>
      <c r="O63" s="41"/>
      <c r="P63" s="37"/>
      <c r="Q63" s="38"/>
      <c r="R63" s="39"/>
      <c r="S63" s="40"/>
      <c r="T63" s="41"/>
      <c r="U63" s="37"/>
      <c r="V63" s="38"/>
      <c r="W63" s="38"/>
      <c r="X63" s="39"/>
      <c r="Y63" s="40"/>
      <c r="Z63" s="41"/>
      <c r="AA63" s="37"/>
      <c r="AB63" s="38"/>
      <c r="AC63" s="39"/>
      <c r="AD63" s="40"/>
      <c r="AE63" s="41"/>
      <c r="AF63" s="38"/>
      <c r="AG63" s="39"/>
      <c r="AH63" s="40"/>
      <c r="AI63" s="41"/>
      <c r="AJ63" s="37"/>
      <c r="AK63" s="38"/>
      <c r="AL63" s="39"/>
      <c r="AM63" s="40"/>
      <c r="AN63" s="41"/>
      <c r="AO63" s="38"/>
      <c r="AP63" s="39"/>
      <c r="AQ63" s="40"/>
      <c r="AR63" s="41"/>
      <c r="AS63" s="37"/>
      <c r="AT63" s="38"/>
      <c r="AU63" s="39"/>
      <c r="AV63" s="40"/>
      <c r="AW63" s="41"/>
      <c r="AX63" s="38"/>
      <c r="AY63" s="39"/>
      <c r="AZ63" s="40"/>
      <c r="BA63" s="41"/>
      <c r="BB63" s="37"/>
      <c r="BC63" s="38"/>
      <c r="BD63" s="39"/>
      <c r="BE63" s="40"/>
      <c r="BF63" s="41"/>
      <c r="BG63" s="38"/>
      <c r="BH63" s="39"/>
      <c r="BI63" s="40"/>
      <c r="BJ63" s="41"/>
      <c r="BK63" s="37"/>
      <c r="BL63" s="38"/>
      <c r="BM63" s="39"/>
      <c r="BN63" s="40"/>
      <c r="BO63" s="41"/>
      <c r="BP63" s="38"/>
      <c r="BQ63" s="39"/>
      <c r="BR63" s="40"/>
      <c r="BW63" s="43"/>
      <c r="BX63" s="43"/>
      <c r="BY63" s="43"/>
      <c r="BZ63" s="43"/>
      <c r="CA63" s="43"/>
      <c r="CB63" s="43"/>
      <c r="CC63" s="43"/>
      <c r="CD63" s="43"/>
      <c r="CE63" s="43"/>
    </row>
    <row r="64" spans="1:83" ht="21.95" hidden="1" customHeight="1" x14ac:dyDescent="0.25">
      <c r="A64" s="674"/>
      <c r="B64" s="674"/>
      <c r="C64" s="674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45"/>
      <c r="BD64" s="45"/>
      <c r="BE64" s="45"/>
      <c r="BF64" s="45"/>
      <c r="BG64" s="45"/>
      <c r="BH64" s="45"/>
      <c r="BI64" s="45"/>
      <c r="BJ64" s="45"/>
      <c r="BK64" s="45"/>
      <c r="BL64" s="45"/>
      <c r="BM64" s="45"/>
      <c r="BN64" s="45"/>
      <c r="BO64" s="45"/>
      <c r="BP64" s="45"/>
      <c r="BQ64" s="45"/>
      <c r="BR64" s="45"/>
    </row>
    <row r="65" spans="1:90" ht="6.75" customHeight="1" x14ac:dyDescent="0.25">
      <c r="A65" s="676"/>
      <c r="B65" s="676"/>
      <c r="C65" s="676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5"/>
      <c r="AW65" s="45"/>
      <c r="AX65" s="45"/>
      <c r="AY65" s="45"/>
      <c r="AZ65" s="45"/>
      <c r="BA65" s="45"/>
      <c r="BB65" s="45"/>
      <c r="BC65" s="45"/>
      <c r="BD65" s="45"/>
      <c r="BE65" s="45"/>
      <c r="BF65" s="45"/>
      <c r="BG65" s="45"/>
      <c r="BH65" s="45"/>
      <c r="BI65" s="45"/>
      <c r="BJ65" s="45"/>
      <c r="BK65" s="45"/>
      <c r="BL65" s="45"/>
      <c r="BM65" s="45"/>
      <c r="BN65" s="45"/>
      <c r="BO65" s="45"/>
      <c r="BP65" s="45"/>
      <c r="BQ65" s="45"/>
      <c r="BR65" s="45"/>
    </row>
    <row r="66" spans="1:90" ht="37.5" hidden="1" customHeight="1" x14ac:dyDescent="0.25">
      <c r="A66" s="676"/>
      <c r="B66" s="676"/>
      <c r="C66" s="676"/>
      <c r="D66" s="49"/>
      <c r="E66" s="49"/>
      <c r="F66" s="49"/>
      <c r="G66" s="49"/>
      <c r="H66" s="49"/>
      <c r="I66" s="49"/>
      <c r="J66" s="49"/>
      <c r="K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5"/>
      <c r="BF66" s="45"/>
      <c r="BG66" s="45"/>
      <c r="BH66" s="45"/>
      <c r="BI66" s="45"/>
      <c r="BJ66" s="45"/>
      <c r="BK66" s="45"/>
      <c r="BL66" s="45"/>
      <c r="BM66" s="45"/>
      <c r="BN66" s="45"/>
      <c r="BO66" s="45"/>
      <c r="BP66" s="45"/>
      <c r="BQ66" s="45"/>
      <c r="BR66" s="45"/>
    </row>
    <row r="67" spans="1:90" ht="6" hidden="1" customHeight="1" x14ac:dyDescent="0.25">
      <c r="A67" s="676"/>
      <c r="B67" s="676"/>
      <c r="C67" s="676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  <c r="AT67" s="45"/>
      <c r="AU67" s="45"/>
      <c r="AV67" s="45"/>
      <c r="AW67" s="45"/>
      <c r="AX67" s="45"/>
      <c r="AY67" s="45"/>
      <c r="AZ67" s="45"/>
      <c r="BA67" s="45"/>
      <c r="BB67" s="45"/>
      <c r="BC67" s="45"/>
      <c r="BD67" s="45"/>
      <c r="BE67" s="45"/>
      <c r="BF67" s="45"/>
      <c r="BG67" s="45"/>
      <c r="BH67" s="45"/>
      <c r="BI67" s="45"/>
      <c r="BJ67" s="45"/>
      <c r="BK67" s="45"/>
      <c r="BL67" s="45"/>
      <c r="BM67" s="45"/>
      <c r="BN67" s="45"/>
      <c r="BO67" s="45"/>
      <c r="BP67" s="45"/>
      <c r="BQ67" s="45"/>
      <c r="BR67" s="45"/>
    </row>
    <row r="68" spans="1:90" ht="30" hidden="1" customHeight="1" x14ac:dyDescent="0.25">
      <c r="B68" s="17"/>
      <c r="D68" s="45"/>
      <c r="E68" s="45"/>
      <c r="F68" s="45"/>
      <c r="G68" s="45"/>
      <c r="H68" s="45"/>
      <c r="I68" s="45"/>
      <c r="J68" s="45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49"/>
      <c r="BC68" s="49"/>
      <c r="BD68" s="49"/>
      <c r="BE68" s="49"/>
      <c r="BF68" s="49"/>
      <c r="BG68" s="49"/>
      <c r="BH68" s="49"/>
      <c r="BI68" s="49"/>
      <c r="BJ68" s="49"/>
      <c r="BK68" s="49"/>
      <c r="BL68" s="49"/>
      <c r="BM68" s="49"/>
      <c r="BN68" s="49"/>
      <c r="BO68" s="49"/>
      <c r="BP68" s="49"/>
      <c r="BQ68" s="49"/>
      <c r="BR68" s="49"/>
      <c r="BS68" s="50"/>
      <c r="BT68" s="50"/>
      <c r="BW68" s="51"/>
      <c r="BX68" s="51"/>
      <c r="BY68" s="51"/>
      <c r="BZ68" s="51"/>
      <c r="CA68" s="51"/>
      <c r="CB68" s="51"/>
      <c r="CC68" s="27"/>
      <c r="CD68" s="27"/>
      <c r="CE68" s="27"/>
      <c r="CG68" s="27"/>
      <c r="CH68" s="27"/>
      <c r="CI68" s="27"/>
      <c r="CJ68" s="27"/>
      <c r="CK68" s="27"/>
      <c r="CL68" s="27"/>
    </row>
    <row r="69" spans="1:90" ht="34.5" hidden="1" customHeight="1" x14ac:dyDescent="0.25"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5"/>
      <c r="AW69" s="45"/>
      <c r="AX69" s="45"/>
      <c r="AY69" s="45"/>
      <c r="AZ69" s="45"/>
      <c r="BA69" s="45"/>
      <c r="BB69" s="45"/>
      <c r="BC69" s="45"/>
      <c r="BD69" s="45"/>
      <c r="BE69" s="45"/>
      <c r="BF69" s="45"/>
      <c r="BG69" s="45"/>
      <c r="BH69" s="45"/>
      <c r="BI69" s="45"/>
      <c r="BJ69" s="45"/>
      <c r="BK69" s="45"/>
      <c r="BL69" s="45"/>
      <c r="BM69" s="45"/>
      <c r="BN69" s="45"/>
      <c r="BO69" s="45"/>
      <c r="BP69" s="45"/>
      <c r="BQ69" s="45"/>
      <c r="BR69" s="45"/>
      <c r="BS69" s="50"/>
      <c r="BT69" s="50"/>
      <c r="BW69" s="27"/>
      <c r="BX69" s="27"/>
      <c r="BY69" s="27"/>
      <c r="BZ69" s="27"/>
      <c r="CA69" s="27"/>
      <c r="CB69" s="27"/>
      <c r="CC69" s="27"/>
      <c r="CD69" s="27"/>
      <c r="CE69" s="27"/>
      <c r="CG69" s="27"/>
      <c r="CH69" s="27"/>
      <c r="CI69" s="27"/>
      <c r="CJ69" s="27"/>
      <c r="CK69" s="27"/>
      <c r="CL69" s="27"/>
    </row>
    <row r="70" spans="1:90" ht="15" hidden="1" customHeight="1" x14ac:dyDescent="0.25">
      <c r="G70" s="45"/>
      <c r="H70" s="45"/>
      <c r="I70" s="45"/>
      <c r="J70" s="52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5"/>
      <c r="AW70" s="45"/>
      <c r="AX70" s="45"/>
      <c r="AY70" s="45"/>
      <c r="AZ70" s="45"/>
      <c r="BA70" s="45"/>
      <c r="BB70" s="45"/>
      <c r="BC70" s="45"/>
      <c r="BD70" s="45"/>
      <c r="BE70" s="45"/>
      <c r="BF70" s="45"/>
      <c r="BG70" s="45"/>
      <c r="BH70" s="45"/>
      <c r="BI70" s="45"/>
      <c r="BJ70" s="45"/>
      <c r="BK70" s="45"/>
      <c r="BL70" s="45"/>
      <c r="BM70" s="45"/>
      <c r="BN70" s="45"/>
      <c r="BO70" s="45"/>
      <c r="BP70" s="45"/>
      <c r="BQ70" s="45"/>
      <c r="BR70" s="45"/>
      <c r="BS70" s="50"/>
      <c r="BT70" s="50"/>
      <c r="BW70" s="27"/>
      <c r="BX70" s="27"/>
      <c r="BY70" s="27"/>
      <c r="BZ70" s="27"/>
      <c r="CA70" s="27"/>
      <c r="CB70" s="27"/>
      <c r="CC70" s="27"/>
      <c r="CD70" s="27"/>
      <c r="CE70" s="27"/>
      <c r="CG70" s="27"/>
      <c r="CH70" s="27"/>
      <c r="CI70" s="27"/>
      <c r="CJ70" s="27"/>
      <c r="CK70" s="27"/>
      <c r="CL70" s="27"/>
    </row>
    <row r="71" spans="1:90" ht="16.5" customHeight="1" x14ac:dyDescent="0.25">
      <c r="G71" s="45"/>
      <c r="H71" s="45"/>
      <c r="I71" s="45"/>
      <c r="J71" s="52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38"/>
      <c r="X71" s="39"/>
      <c r="Y71" s="40"/>
      <c r="Z71" s="41"/>
      <c r="AA71" s="37"/>
      <c r="AB71" s="38"/>
      <c r="AC71" s="39"/>
      <c r="AD71" s="40"/>
      <c r="AE71" s="41"/>
      <c r="AF71" s="38"/>
      <c r="AG71" s="39"/>
      <c r="AH71" s="40"/>
      <c r="AI71" s="41"/>
      <c r="AJ71" s="37"/>
      <c r="AK71" s="38"/>
      <c r="AL71" s="39"/>
      <c r="AM71" s="40"/>
      <c r="AN71" s="41"/>
      <c r="AO71" s="38"/>
      <c r="AP71" s="39"/>
      <c r="AQ71" s="40"/>
      <c r="AR71" s="41"/>
      <c r="AS71" s="37"/>
      <c r="AT71" s="38"/>
      <c r="AU71" s="39"/>
      <c r="AV71" s="40"/>
      <c r="AW71" s="41"/>
      <c r="AX71" s="38"/>
      <c r="AY71" s="39"/>
      <c r="AZ71" s="40"/>
      <c r="BA71" s="41"/>
      <c r="BB71" s="37"/>
      <c r="BC71" s="38"/>
      <c r="BD71" s="39"/>
      <c r="BE71" s="40"/>
      <c r="BF71" s="41"/>
      <c r="BG71" s="38"/>
      <c r="BH71" s="39"/>
      <c r="BI71" s="40"/>
      <c r="BJ71" s="41"/>
      <c r="BK71" s="37"/>
      <c r="BL71" s="38"/>
      <c r="BM71" s="39"/>
      <c r="BN71" s="40"/>
      <c r="BO71" s="41"/>
      <c r="BP71" s="38"/>
      <c r="BQ71" s="39"/>
      <c r="BR71" s="40"/>
      <c r="BS71" s="50"/>
      <c r="BT71" s="50"/>
      <c r="BW71" s="27"/>
      <c r="BX71" s="27"/>
      <c r="BY71" s="27"/>
      <c r="BZ71" s="27"/>
      <c r="CA71" s="27"/>
      <c r="CB71" s="27"/>
      <c r="CC71" s="27"/>
      <c r="CD71" s="27"/>
      <c r="CE71" s="27"/>
      <c r="CG71" s="27"/>
      <c r="CH71" s="27"/>
      <c r="CI71" s="27"/>
      <c r="CJ71" s="27"/>
      <c r="CK71" s="27"/>
      <c r="CL71" s="27"/>
    </row>
    <row r="72" spans="1:90" ht="15" hidden="1" customHeight="1" x14ac:dyDescent="0.25">
      <c r="G72" s="49"/>
      <c r="H72" s="49"/>
      <c r="I72" s="49"/>
      <c r="J72" s="52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  <c r="BC72" s="45"/>
      <c r="BD72" s="45"/>
      <c r="BE72" s="45"/>
      <c r="BF72" s="45"/>
      <c r="BG72" s="45"/>
      <c r="BH72" s="45"/>
      <c r="BI72" s="45"/>
      <c r="BJ72" s="45"/>
      <c r="BK72" s="45"/>
      <c r="BL72" s="45"/>
      <c r="BM72" s="45"/>
      <c r="BN72" s="45"/>
      <c r="BO72" s="45"/>
      <c r="BP72" s="45"/>
      <c r="BQ72" s="45"/>
      <c r="BR72" s="45"/>
      <c r="BS72" s="53"/>
      <c r="BT72" s="53"/>
    </row>
    <row r="73" spans="1:90" ht="22.5" hidden="1" customHeight="1" x14ac:dyDescent="0.25">
      <c r="G73" s="45"/>
      <c r="H73" s="45"/>
      <c r="I73" s="45"/>
      <c r="J73" s="52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45"/>
      <c r="AW73" s="45"/>
      <c r="AX73" s="45"/>
      <c r="AY73" s="45"/>
      <c r="AZ73" s="45"/>
      <c r="BA73" s="45"/>
      <c r="BB73" s="45"/>
      <c r="BC73" s="45"/>
      <c r="BD73" s="45"/>
      <c r="BE73" s="45"/>
      <c r="BF73" s="45"/>
      <c r="BG73" s="45"/>
      <c r="BH73" s="45"/>
      <c r="BI73" s="45"/>
      <c r="BJ73" s="45"/>
      <c r="BK73" s="45"/>
      <c r="BL73" s="45"/>
      <c r="BM73" s="45"/>
      <c r="BN73" s="45"/>
      <c r="BO73" s="45"/>
      <c r="BP73" s="45"/>
      <c r="BQ73" s="45"/>
      <c r="BR73" s="45"/>
      <c r="BS73" s="53"/>
      <c r="BT73" s="53"/>
    </row>
    <row r="74" spans="1:90" ht="23.25" x14ac:dyDescent="0.35">
      <c r="A74" s="54"/>
      <c r="E74" s="54"/>
      <c r="F74" s="54"/>
      <c r="G74" s="54"/>
      <c r="H74" s="54"/>
      <c r="I74" s="54"/>
      <c r="J74" s="54"/>
      <c r="K74" s="54"/>
    </row>
    <row r="75" spans="1:90" ht="24" thickBot="1" x14ac:dyDescent="0.4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X75" s="55"/>
    </row>
    <row r="76" spans="1:90" ht="15.75" customHeight="1" thickTop="1" x14ac:dyDescent="0.25">
      <c r="AD76" s="775">
        <v>46.73</v>
      </c>
      <c r="AE76" s="776"/>
      <c r="AF76" s="776"/>
      <c r="AG76" s="776"/>
      <c r="AH76" s="777"/>
      <c r="AL76" s="727" t="s">
        <v>122</v>
      </c>
      <c r="AM76" s="727"/>
      <c r="AN76" s="727"/>
      <c r="AO76" s="727" t="s">
        <v>123</v>
      </c>
      <c r="AP76" s="727"/>
      <c r="AQ76" s="727"/>
      <c r="AR76" s="727" t="s">
        <v>124</v>
      </c>
      <c r="AS76" s="727"/>
      <c r="AT76" s="727" t="s">
        <v>125</v>
      </c>
      <c r="AU76" s="727"/>
      <c r="AY76" s="739" t="s">
        <v>126</v>
      </c>
      <c r="AZ76" s="740"/>
      <c r="BA76" s="740"/>
      <c r="BB76" s="740"/>
      <c r="BC76" s="740"/>
      <c r="BD76" s="740"/>
      <c r="BE76" s="740"/>
      <c r="BF76" s="740"/>
      <c r="BG76" s="740"/>
      <c r="BH76" s="741"/>
      <c r="BI76" s="13"/>
      <c r="BJ76" s="13"/>
      <c r="BK76" s="13"/>
      <c r="BL76" s="13"/>
      <c r="BM76" s="13"/>
      <c r="BN76" s="13"/>
      <c r="BO76" s="13"/>
      <c r="BP76" s="13"/>
      <c r="BQ76" s="13"/>
      <c r="BR76" s="13"/>
    </row>
    <row r="77" spans="1:90" ht="15" customHeight="1" x14ac:dyDescent="0.25">
      <c r="O77" s="114" t="s">
        <v>127</v>
      </c>
      <c r="P77" s="114"/>
      <c r="Q77" s="114"/>
      <c r="R77" s="114"/>
      <c r="S77" s="114"/>
      <c r="T77" s="114"/>
      <c r="U77" s="114"/>
      <c r="V77" s="114"/>
      <c r="AD77" s="778"/>
      <c r="AE77" s="779"/>
      <c r="AF77" s="779"/>
      <c r="AG77" s="779"/>
      <c r="AH77" s="780"/>
      <c r="AL77" s="727"/>
      <c r="AM77" s="727"/>
      <c r="AN77" s="727"/>
      <c r="AO77" s="727"/>
      <c r="AP77" s="727"/>
      <c r="AQ77" s="727"/>
      <c r="AR77" s="727"/>
      <c r="AS77" s="727"/>
      <c r="AT77" s="727"/>
      <c r="AU77" s="727"/>
      <c r="AY77" s="750"/>
      <c r="AZ77" s="751"/>
      <c r="BA77" s="751"/>
      <c r="BB77" s="751"/>
      <c r="BC77" s="751"/>
      <c r="BD77" s="751"/>
      <c r="BE77" s="751"/>
      <c r="BF77" s="751"/>
      <c r="BG77" s="751"/>
      <c r="BH77" s="752"/>
      <c r="BI77" s="13"/>
      <c r="BJ77" s="13"/>
      <c r="BK77" s="13"/>
      <c r="BL77" s="13"/>
      <c r="BM77" s="13"/>
      <c r="BN77" s="13"/>
      <c r="BO77" s="13"/>
      <c r="BP77" s="13"/>
      <c r="BQ77" s="13"/>
      <c r="BR77" s="13"/>
    </row>
    <row r="78" spans="1:90" ht="15" customHeight="1" x14ac:dyDescent="0.25">
      <c r="O78" s="114"/>
      <c r="P78" s="114"/>
      <c r="Q78" s="114"/>
      <c r="R78" s="114"/>
      <c r="S78" s="114"/>
      <c r="T78" s="114"/>
      <c r="U78" s="114"/>
      <c r="V78" s="114"/>
      <c r="AA78" s="56"/>
      <c r="AD78" s="778"/>
      <c r="AE78" s="779"/>
      <c r="AF78" s="779"/>
      <c r="AG78" s="779"/>
      <c r="AH78" s="780"/>
      <c r="AL78" s="727"/>
      <c r="AM78" s="727"/>
      <c r="AN78" s="727"/>
      <c r="AO78" s="727"/>
      <c r="AP78" s="727"/>
      <c r="AQ78" s="727"/>
      <c r="AR78" s="727"/>
      <c r="AS78" s="727"/>
      <c r="AT78" s="727"/>
      <c r="AU78" s="727"/>
      <c r="AY78" s="742"/>
      <c r="AZ78" s="743"/>
      <c r="BA78" s="743"/>
      <c r="BB78" s="743"/>
      <c r="BC78" s="743"/>
      <c r="BD78" s="743"/>
      <c r="BE78" s="743"/>
      <c r="BF78" s="743"/>
      <c r="BG78" s="743"/>
      <c r="BH78" s="744"/>
      <c r="BI78" s="13"/>
      <c r="BJ78" s="13"/>
      <c r="BK78" s="13"/>
      <c r="BL78" s="13"/>
      <c r="BM78" s="13"/>
      <c r="BN78" s="13"/>
      <c r="BO78" s="13"/>
      <c r="BP78" s="13"/>
      <c r="BQ78" s="13"/>
      <c r="BR78" s="13"/>
    </row>
    <row r="79" spans="1:90" ht="15" customHeight="1" x14ac:dyDescent="0.25">
      <c r="O79" s="114"/>
      <c r="P79" s="114"/>
      <c r="Q79" s="114"/>
      <c r="R79" s="114"/>
      <c r="S79" s="114"/>
      <c r="T79" s="114"/>
      <c r="U79" s="114"/>
      <c r="V79" s="114"/>
      <c r="AD79" s="778"/>
      <c r="AE79" s="779"/>
      <c r="AF79" s="779"/>
      <c r="AG79" s="779"/>
      <c r="AH79" s="780"/>
      <c r="AL79" s="774">
        <v>2592</v>
      </c>
      <c r="AM79" s="774"/>
      <c r="AN79" s="774"/>
      <c r="AO79" s="774">
        <f ca="1">AT95</f>
        <v>2592</v>
      </c>
      <c r="AP79" s="774"/>
      <c r="AQ79" s="774"/>
      <c r="AR79" s="726">
        <f>AS40</f>
        <v>46.730200400010006</v>
      </c>
      <c r="AS79" s="726"/>
      <c r="AT79" s="726">
        <f>AS40+BJ42</f>
        <v>60.230200400010006</v>
      </c>
      <c r="AU79" s="726"/>
      <c r="AY79" s="727" t="s">
        <v>128</v>
      </c>
      <c r="AZ79" s="727"/>
      <c r="BA79" s="727"/>
      <c r="BB79" s="727"/>
      <c r="BC79" s="727"/>
      <c r="BD79" s="727"/>
      <c r="BE79" s="727"/>
      <c r="BF79" s="727"/>
      <c r="BG79" s="727"/>
      <c r="BH79" s="727"/>
      <c r="BI79" s="13"/>
      <c r="BJ79" s="13"/>
      <c r="BK79" s="13"/>
      <c r="BL79" s="13"/>
      <c r="BM79" s="13"/>
      <c r="BN79" s="13"/>
      <c r="BO79" s="13"/>
      <c r="BP79" s="13"/>
      <c r="BQ79" s="13"/>
      <c r="BR79" s="13"/>
    </row>
    <row r="80" spans="1:90" ht="15" customHeight="1" x14ac:dyDescent="0.25">
      <c r="O80" s="114"/>
      <c r="P80" s="114"/>
      <c r="Q80" s="114"/>
      <c r="R80" s="114"/>
      <c r="S80" s="114"/>
      <c r="T80" s="114"/>
      <c r="U80" s="114"/>
      <c r="V80" s="114"/>
      <c r="AD80" s="778"/>
      <c r="AE80" s="779"/>
      <c r="AF80" s="779"/>
      <c r="AG80" s="779"/>
      <c r="AH80" s="780"/>
      <c r="AL80" s="774"/>
      <c r="AM80" s="774"/>
      <c r="AN80" s="774"/>
      <c r="AO80" s="774"/>
      <c r="AP80" s="774"/>
      <c r="AQ80" s="774"/>
      <c r="AR80" s="726"/>
      <c r="AS80" s="726"/>
      <c r="AT80" s="726"/>
      <c r="AU80" s="726"/>
      <c r="AY80" s="727"/>
      <c r="AZ80" s="727"/>
      <c r="BA80" s="727"/>
      <c r="BB80" s="727"/>
      <c r="BC80" s="727"/>
      <c r="BD80" s="727"/>
      <c r="BE80" s="727"/>
      <c r="BF80" s="727"/>
      <c r="BG80" s="727"/>
      <c r="BH80" s="727"/>
      <c r="BI80" s="13"/>
      <c r="BJ80" s="13"/>
      <c r="BK80" s="13"/>
      <c r="BL80" s="13"/>
      <c r="BM80" s="13"/>
      <c r="BN80" s="13"/>
      <c r="BO80" s="13"/>
      <c r="BP80" s="13"/>
      <c r="BQ80" s="13"/>
      <c r="BR80" s="13"/>
    </row>
    <row r="81" spans="15:70" ht="15" customHeight="1" x14ac:dyDescent="0.25">
      <c r="O81" s="114"/>
      <c r="P81" s="114"/>
      <c r="Q81" s="114"/>
      <c r="R81" s="114"/>
      <c r="S81" s="114"/>
      <c r="T81" s="114"/>
      <c r="U81" s="114"/>
      <c r="V81" s="114"/>
      <c r="AD81" s="778"/>
      <c r="AE81" s="779"/>
      <c r="AF81" s="779"/>
      <c r="AG81" s="779"/>
      <c r="AH81" s="780"/>
      <c r="AL81" s="774"/>
      <c r="AM81" s="774"/>
      <c r="AN81" s="774"/>
      <c r="AO81" s="774"/>
      <c r="AP81" s="774"/>
      <c r="AQ81" s="774"/>
      <c r="AR81" s="726"/>
      <c r="AS81" s="726"/>
      <c r="AT81" s="726"/>
      <c r="AU81" s="726"/>
      <c r="AY81" s="728">
        <f ca="1">AR79/((36*3.1415/44)*(AO79/3.281))</f>
        <v>2.3013463707737835E-2</v>
      </c>
      <c r="AZ81" s="729"/>
      <c r="BA81" s="729"/>
      <c r="BB81" s="729"/>
      <c r="BC81" s="729"/>
      <c r="BD81" s="729"/>
      <c r="BE81" s="729"/>
      <c r="BF81" s="729"/>
      <c r="BG81" s="729"/>
      <c r="BH81" s="730"/>
      <c r="BI81" s="57"/>
      <c r="BJ81" s="57"/>
      <c r="BK81" s="57"/>
      <c r="BL81" s="57"/>
      <c r="BM81" s="57"/>
      <c r="BN81" s="57"/>
      <c r="BO81" s="57"/>
      <c r="BP81" s="57"/>
      <c r="BQ81" s="57"/>
      <c r="BR81" s="57"/>
    </row>
    <row r="82" spans="15:70" ht="15.75" customHeight="1" thickBot="1" x14ac:dyDescent="0.3">
      <c r="AD82" s="781"/>
      <c r="AE82" s="782"/>
      <c r="AF82" s="782"/>
      <c r="AG82" s="782"/>
      <c r="AH82" s="783"/>
      <c r="AL82" s="774"/>
      <c r="AM82" s="774"/>
      <c r="AN82" s="774"/>
      <c r="AO82" s="774"/>
      <c r="AP82" s="774"/>
      <c r="AQ82" s="774"/>
      <c r="AR82" s="726"/>
      <c r="AS82" s="726"/>
      <c r="AT82" s="726"/>
      <c r="AU82" s="726"/>
      <c r="AY82" s="731"/>
      <c r="AZ82" s="732"/>
      <c r="BA82" s="732"/>
      <c r="BB82" s="732"/>
      <c r="BC82" s="732"/>
      <c r="BD82" s="732"/>
      <c r="BE82" s="732"/>
      <c r="BF82" s="732"/>
      <c r="BG82" s="732"/>
      <c r="BH82" s="733"/>
      <c r="BI82" s="57"/>
      <c r="BJ82" s="57"/>
      <c r="BK82" s="57"/>
      <c r="BL82" s="57"/>
      <c r="BM82" s="57"/>
      <c r="BN82" s="57"/>
      <c r="BO82" s="57"/>
      <c r="BP82" s="57"/>
      <c r="BQ82" s="57"/>
      <c r="BR82" s="57"/>
    </row>
    <row r="83" spans="15:70" ht="15.75" customHeight="1" thickTop="1" x14ac:dyDescent="0.25">
      <c r="AY83" s="734"/>
      <c r="AZ83" s="735"/>
      <c r="BA83" s="735"/>
      <c r="BB83" s="735"/>
      <c r="BC83" s="735"/>
      <c r="BD83" s="735"/>
      <c r="BE83" s="735"/>
      <c r="BF83" s="735"/>
      <c r="BG83" s="735"/>
      <c r="BH83" s="736"/>
      <c r="BI83" s="57"/>
      <c r="BJ83" s="57"/>
      <c r="BK83" s="57"/>
      <c r="BL83" s="57"/>
      <c r="BM83" s="57"/>
      <c r="BN83" s="57"/>
      <c r="BO83" s="57"/>
      <c r="BP83" s="57"/>
      <c r="BQ83" s="57"/>
      <c r="BR83" s="57"/>
    </row>
    <row r="84" spans="15:70" x14ac:dyDescent="0.25">
      <c r="AY84" s="739" t="s">
        <v>129</v>
      </c>
      <c r="AZ84" s="740"/>
      <c r="BA84" s="740"/>
      <c r="BB84" s="740"/>
      <c r="BC84" s="740"/>
      <c r="BD84" s="740"/>
      <c r="BE84" s="740"/>
      <c r="BF84" s="740"/>
      <c r="BG84" s="740"/>
      <c r="BH84" s="741"/>
      <c r="BI84" s="13"/>
      <c r="BJ84" s="13"/>
      <c r="BK84" s="13"/>
      <c r="BL84" s="13"/>
      <c r="BM84" s="13"/>
      <c r="BN84" s="13"/>
      <c r="BO84" s="13"/>
      <c r="BP84" s="13"/>
      <c r="BQ84" s="13"/>
      <c r="BR84" s="13"/>
    </row>
    <row r="85" spans="15:70" x14ac:dyDescent="0.25">
      <c r="AY85" s="742"/>
      <c r="AZ85" s="743"/>
      <c r="BA85" s="743"/>
      <c r="BB85" s="743"/>
      <c r="BC85" s="743"/>
      <c r="BD85" s="743"/>
      <c r="BE85" s="743"/>
      <c r="BF85" s="743"/>
      <c r="BG85" s="743"/>
      <c r="BH85" s="744"/>
      <c r="BI85" s="13"/>
      <c r="BJ85" s="13"/>
      <c r="BK85" s="13"/>
      <c r="BL85" s="13"/>
      <c r="BM85" s="13"/>
      <c r="BN85" s="13"/>
      <c r="BO85" s="13"/>
      <c r="BP85" s="13"/>
      <c r="BQ85" s="13"/>
      <c r="BR85" s="13"/>
    </row>
    <row r="86" spans="15:70" ht="15" customHeight="1" x14ac:dyDescent="0.25">
      <c r="AN86" s="1255">
        <v>108</v>
      </c>
      <c r="AO86" s="1255"/>
      <c r="AP86" s="1255"/>
      <c r="AQ86" s="746" cm="1">
        <f t="array" aca="1" ref="AQ86" ca="1">SUM(COUNTIF(INDIRECT({"B8","G8","L8","Q8","V8","AA8","AF8","AK8","AP8","AU8","AZ8","BE8","BJ8","BO8","B14","G14","L14","Q14","V14","AA14","AF14","AK14","AP14","AU14","AZ14","BE14","BJ14","BO14","B20","G20","L20","Q20","V20","AA20","AF20","AK20","AP20","AU20"}),"&gt;0"))</f>
        <v>24</v>
      </c>
      <c r="AR86" s="746"/>
      <c r="AS86" s="746"/>
      <c r="AT86" s="747">
        <f ca="1">AQ86*AN86</f>
        <v>2592</v>
      </c>
      <c r="AU86" s="748"/>
      <c r="AV86" s="748"/>
      <c r="AW86" s="749"/>
      <c r="AY86" s="739" t="s">
        <v>130</v>
      </c>
      <c r="AZ86" s="740"/>
      <c r="BA86" s="740"/>
      <c r="BB86" s="740"/>
      <c r="BC86" s="740"/>
      <c r="BD86" s="740"/>
      <c r="BE86" s="740"/>
      <c r="BF86" s="740"/>
      <c r="BG86" s="740"/>
      <c r="BH86" s="741"/>
      <c r="BI86" s="13"/>
      <c r="BJ86" s="13"/>
      <c r="BK86" s="13"/>
      <c r="BL86" s="13"/>
      <c r="BM86" s="13"/>
      <c r="BN86" s="13"/>
      <c r="BO86" s="13"/>
      <c r="BP86" s="13"/>
      <c r="BQ86" s="13"/>
      <c r="BR86" s="13"/>
    </row>
    <row r="87" spans="15:70" ht="15" customHeight="1" x14ac:dyDescent="0.25">
      <c r="AN87" s="1255"/>
      <c r="AO87" s="1255"/>
      <c r="AP87" s="1255"/>
      <c r="AQ87" s="746"/>
      <c r="AR87" s="746"/>
      <c r="AS87" s="746"/>
      <c r="AT87" s="747"/>
      <c r="AU87" s="748"/>
      <c r="AV87" s="748"/>
      <c r="AW87" s="749"/>
      <c r="AY87" s="750"/>
      <c r="AZ87" s="751"/>
      <c r="BA87" s="751"/>
      <c r="BB87" s="751"/>
      <c r="BC87" s="751"/>
      <c r="BD87" s="751"/>
      <c r="BE87" s="751"/>
      <c r="BF87" s="751"/>
      <c r="BG87" s="751"/>
      <c r="BH87" s="752"/>
      <c r="BI87" s="13"/>
      <c r="BJ87" s="13"/>
      <c r="BK87" s="13"/>
      <c r="BL87" s="13"/>
      <c r="BM87" s="13"/>
      <c r="BN87" s="13"/>
      <c r="BO87" s="13"/>
      <c r="BP87" s="13"/>
      <c r="BQ87" s="13"/>
      <c r="BR87" s="13"/>
    </row>
    <row r="88" spans="15:70" ht="15" customHeight="1" x14ac:dyDescent="0.25">
      <c r="AN88" s="1255"/>
      <c r="AO88" s="1255"/>
      <c r="AP88" s="1255"/>
      <c r="AQ88" s="746"/>
      <c r="AR88" s="746"/>
      <c r="AS88" s="746"/>
      <c r="AT88" s="747"/>
      <c r="AU88" s="748"/>
      <c r="AV88" s="748"/>
      <c r="AW88" s="749"/>
      <c r="AY88" s="750"/>
      <c r="AZ88" s="751"/>
      <c r="BA88" s="751"/>
      <c r="BB88" s="751"/>
      <c r="BC88" s="751"/>
      <c r="BD88" s="751"/>
      <c r="BE88" s="751"/>
      <c r="BF88" s="751"/>
      <c r="BG88" s="751"/>
      <c r="BH88" s="752"/>
      <c r="BI88" s="13"/>
      <c r="BJ88" s="13"/>
      <c r="BK88" s="13"/>
      <c r="BL88" s="13"/>
      <c r="BM88" s="13"/>
      <c r="BN88" s="13"/>
      <c r="BO88" s="13"/>
      <c r="BP88" s="13"/>
      <c r="BQ88" s="13"/>
      <c r="BR88" s="13"/>
    </row>
    <row r="89" spans="15:70" ht="15" customHeight="1" x14ac:dyDescent="0.25">
      <c r="AN89" s="727"/>
      <c r="AO89" s="727"/>
      <c r="AP89" s="727"/>
      <c r="AQ89" s="746"/>
      <c r="AR89" s="746"/>
      <c r="AS89" s="746"/>
      <c r="AT89" s="747"/>
      <c r="AU89" s="748"/>
      <c r="AV89" s="748"/>
      <c r="AW89" s="749"/>
      <c r="AY89" s="742"/>
      <c r="AZ89" s="743"/>
      <c r="BA89" s="743"/>
      <c r="BB89" s="743"/>
      <c r="BC89" s="743"/>
      <c r="BD89" s="743"/>
      <c r="BE89" s="743"/>
      <c r="BF89" s="743"/>
      <c r="BG89" s="743"/>
      <c r="BH89" s="744"/>
      <c r="BI89" s="13"/>
      <c r="BJ89" s="13"/>
      <c r="BK89" s="13"/>
      <c r="BL89" s="13"/>
      <c r="BM89" s="13"/>
      <c r="BN89" s="13"/>
      <c r="BO89" s="13"/>
      <c r="BP89" s="13"/>
      <c r="BQ89" s="13"/>
      <c r="BR89" s="13"/>
    </row>
    <row r="90" spans="15:70" ht="26.25" x14ac:dyDescent="0.25">
      <c r="AN90" s="727"/>
      <c r="AO90" s="727"/>
      <c r="AP90" s="727"/>
      <c r="AQ90" s="746"/>
      <c r="AR90" s="746"/>
      <c r="AS90" s="746"/>
      <c r="AT90" s="747"/>
      <c r="AU90" s="748"/>
      <c r="AV90" s="748"/>
      <c r="AW90" s="749"/>
      <c r="AY90" s="728">
        <f ca="1">AT79/((36*3.1415/44)*(AO79/3.281))</f>
        <v>2.9661878595648186E-2</v>
      </c>
      <c r="AZ90" s="729"/>
      <c r="BA90" s="729"/>
      <c r="BB90" s="729"/>
      <c r="BC90" s="729"/>
      <c r="BD90" s="729"/>
      <c r="BE90" s="729"/>
      <c r="BF90" s="729"/>
      <c r="BG90" s="729"/>
      <c r="BH90" s="730"/>
      <c r="BI90" s="57"/>
      <c r="BJ90" s="57"/>
      <c r="BK90" s="57"/>
      <c r="BL90" s="57"/>
      <c r="BM90" s="57"/>
      <c r="BN90" s="57"/>
      <c r="BO90" s="57"/>
      <c r="BP90" s="57"/>
      <c r="BQ90" s="57"/>
      <c r="BR90" s="57"/>
    </row>
    <row r="91" spans="15:70" ht="26.25" x14ac:dyDescent="0.25">
      <c r="AN91" s="727"/>
      <c r="AO91" s="727"/>
      <c r="AP91" s="727"/>
      <c r="AQ91" s="746"/>
      <c r="AR91" s="746"/>
      <c r="AS91" s="746"/>
      <c r="AT91" s="747"/>
      <c r="AU91" s="748"/>
      <c r="AV91" s="748"/>
      <c r="AW91" s="749"/>
      <c r="AY91" s="731"/>
      <c r="AZ91" s="732"/>
      <c r="BA91" s="732"/>
      <c r="BB91" s="732"/>
      <c r="BC91" s="732"/>
      <c r="BD91" s="732"/>
      <c r="BE91" s="732"/>
      <c r="BF91" s="732"/>
      <c r="BG91" s="732"/>
      <c r="BH91" s="733"/>
      <c r="BI91" s="57"/>
      <c r="BJ91" s="57"/>
      <c r="BK91" s="57"/>
      <c r="BL91" s="57"/>
      <c r="BM91" s="57"/>
      <c r="BN91" s="57"/>
      <c r="BO91" s="57"/>
      <c r="BP91" s="57"/>
      <c r="BQ91" s="57"/>
      <c r="BR91" s="57"/>
    </row>
    <row r="92" spans="15:70" ht="15" customHeight="1" x14ac:dyDescent="0.25">
      <c r="AN92" s="727"/>
      <c r="AO92" s="727"/>
      <c r="AP92" s="727"/>
      <c r="AQ92" s="746"/>
      <c r="AR92" s="746"/>
      <c r="AS92" s="746"/>
      <c r="AT92" s="747"/>
      <c r="AU92" s="748"/>
      <c r="AV92" s="748"/>
      <c r="AW92" s="749"/>
      <c r="AY92" s="731"/>
      <c r="AZ92" s="732"/>
      <c r="BA92" s="732"/>
      <c r="BB92" s="732"/>
      <c r="BC92" s="732"/>
      <c r="BD92" s="732"/>
      <c r="BE92" s="732"/>
      <c r="BF92" s="732"/>
      <c r="BG92" s="732"/>
      <c r="BH92" s="733"/>
      <c r="BI92" s="57"/>
      <c r="BJ92" s="57"/>
      <c r="BK92" s="57"/>
      <c r="BL92" s="57"/>
      <c r="BM92" s="57"/>
      <c r="BN92" s="57"/>
      <c r="BO92" s="57"/>
      <c r="BP92" s="57"/>
      <c r="BQ92" s="57"/>
      <c r="BR92" s="57"/>
    </row>
    <row r="93" spans="15:70" ht="15" customHeight="1" x14ac:dyDescent="0.25">
      <c r="AN93" s="727"/>
      <c r="AO93" s="727"/>
      <c r="AP93" s="727"/>
      <c r="AQ93" s="746"/>
      <c r="AR93" s="746"/>
      <c r="AS93" s="746"/>
      <c r="AT93" s="747"/>
      <c r="AU93" s="748"/>
      <c r="AV93" s="748"/>
      <c r="AW93" s="749"/>
      <c r="AY93" s="731"/>
      <c r="AZ93" s="732"/>
      <c r="BA93" s="732"/>
      <c r="BB93" s="732"/>
      <c r="BC93" s="732"/>
      <c r="BD93" s="732"/>
      <c r="BE93" s="732"/>
      <c r="BF93" s="732"/>
      <c r="BG93" s="732"/>
      <c r="BH93" s="733"/>
      <c r="BI93" s="57"/>
      <c r="BJ93" s="57"/>
      <c r="BK93" s="57"/>
      <c r="BL93" s="57"/>
      <c r="BM93" s="57"/>
      <c r="BN93" s="57"/>
      <c r="BO93" s="57"/>
      <c r="BP93" s="57"/>
      <c r="BQ93" s="57"/>
      <c r="BR93" s="57"/>
    </row>
    <row r="94" spans="15:70" ht="15" customHeight="1" x14ac:dyDescent="0.25">
      <c r="AN94" s="727"/>
      <c r="AO94" s="727"/>
      <c r="AP94" s="727"/>
      <c r="AQ94" s="746"/>
      <c r="AR94" s="746"/>
      <c r="AS94" s="746"/>
      <c r="AT94" s="747"/>
      <c r="AU94" s="748"/>
      <c r="AV94" s="748"/>
      <c r="AW94" s="749"/>
      <c r="AY94" s="734"/>
      <c r="AZ94" s="735"/>
      <c r="BA94" s="735"/>
      <c r="BB94" s="735"/>
      <c r="BC94" s="735"/>
      <c r="BD94" s="735"/>
      <c r="BE94" s="735"/>
      <c r="BF94" s="735"/>
      <c r="BG94" s="735"/>
      <c r="BH94" s="736"/>
      <c r="BI94" s="57"/>
      <c r="BJ94" s="57"/>
      <c r="BK94" s="57"/>
      <c r="BL94" s="57"/>
      <c r="BM94" s="57"/>
      <c r="BN94" s="57"/>
      <c r="BO94" s="57"/>
      <c r="BP94" s="57"/>
      <c r="BQ94" s="57"/>
      <c r="BR94" s="57"/>
    </row>
    <row r="95" spans="15:70" ht="15" customHeight="1" x14ac:dyDescent="0.25">
      <c r="AQ95" s="1254">
        <f ca="1">AQ92+AQ89+AQ86</f>
        <v>24</v>
      </c>
      <c r="AR95" s="1254"/>
      <c r="AS95" s="1254"/>
      <c r="AT95" s="747">
        <f ca="1">AT89+AT92+AT86</f>
        <v>2592</v>
      </c>
      <c r="AU95" s="748"/>
      <c r="AV95" s="748"/>
      <c r="AW95" s="749"/>
    </row>
    <row r="96" spans="15:70" ht="15" customHeight="1" x14ac:dyDescent="0.25">
      <c r="AQ96" s="1254"/>
      <c r="AR96" s="1254"/>
      <c r="AS96" s="1254"/>
      <c r="AT96" s="747"/>
      <c r="AU96" s="748"/>
      <c r="AV96" s="748"/>
      <c r="AW96" s="749"/>
    </row>
    <row r="97" spans="43:49" ht="15" customHeight="1" x14ac:dyDescent="0.25">
      <c r="AQ97" s="1254"/>
      <c r="AR97" s="1254"/>
      <c r="AS97" s="1254"/>
      <c r="AT97" s="747"/>
      <c r="AU97" s="748"/>
      <c r="AV97" s="748"/>
      <c r="AW97" s="749"/>
    </row>
    <row r="99" spans="43:49" ht="15" customHeight="1" x14ac:dyDescent="0.25"/>
    <row r="100" spans="43:49" ht="15" customHeight="1" x14ac:dyDescent="0.25"/>
    <row r="101" spans="43:49" ht="15" customHeight="1" x14ac:dyDescent="0.25"/>
    <row r="102" spans="43:49" ht="15" customHeight="1" x14ac:dyDescent="0.25"/>
    <row r="103" spans="43:49" ht="15" customHeight="1" x14ac:dyDescent="0.25"/>
    <row r="104" spans="43:49" ht="15" customHeight="1" x14ac:dyDescent="0.25"/>
    <row r="105" spans="43:49" ht="15" customHeight="1" x14ac:dyDescent="0.25"/>
    <row r="106" spans="43:49" ht="15" customHeight="1" x14ac:dyDescent="0.25"/>
    <row r="107" spans="43:49" ht="15" customHeight="1" x14ac:dyDescent="0.25"/>
    <row r="108" spans="43:49" ht="15" customHeight="1" x14ac:dyDescent="0.25">
      <c r="AS108" s="27"/>
      <c r="AT108" s="27"/>
      <c r="AU108" s="27"/>
    </row>
  </sheetData>
  <mergeCells count="227">
    <mergeCell ref="BD3:BE6"/>
    <mergeCell ref="BF3:BH6"/>
    <mergeCell ref="AO3:AP6"/>
    <mergeCell ref="AQ3:AS6"/>
    <mergeCell ref="Z3:AA6"/>
    <mergeCell ref="AB3:AD6"/>
    <mergeCell ref="AT3:AU6"/>
    <mergeCell ref="AV3:AX6"/>
    <mergeCell ref="AY3:AZ6"/>
    <mergeCell ref="BA3:BC6"/>
    <mergeCell ref="AE3:AF6"/>
    <mergeCell ref="AG3:AI6"/>
    <mergeCell ref="AJ3:AK6"/>
    <mergeCell ref="AL3:AN6"/>
    <mergeCell ref="P3:Q6"/>
    <mergeCell ref="R3:T6"/>
    <mergeCell ref="U3:V6"/>
    <mergeCell ref="W3:Y6"/>
    <mergeCell ref="AO7:AO8"/>
    <mergeCell ref="AP7:AS7"/>
    <mergeCell ref="P7:P8"/>
    <mergeCell ref="Q7:T7"/>
    <mergeCell ref="U7:U8"/>
    <mergeCell ref="V7:Y7"/>
    <mergeCell ref="Z7:Z8"/>
    <mergeCell ref="AA7:AD7"/>
    <mergeCell ref="A7:A8"/>
    <mergeCell ref="B7:E7"/>
    <mergeCell ref="F7:F8"/>
    <mergeCell ref="G7:J7"/>
    <mergeCell ref="K7:K8"/>
    <mergeCell ref="L7:O7"/>
    <mergeCell ref="A13:A14"/>
    <mergeCell ref="B13:E13"/>
    <mergeCell ref="F13:F14"/>
    <mergeCell ref="G13:J13"/>
    <mergeCell ref="K13:K14"/>
    <mergeCell ref="L13:O13"/>
    <mergeCell ref="AT9:AU12"/>
    <mergeCell ref="AV9:AX12"/>
    <mergeCell ref="AE9:AF12"/>
    <mergeCell ref="AG9:AI12"/>
    <mergeCell ref="AJ9:AK12"/>
    <mergeCell ref="AL9:AN12"/>
    <mergeCell ref="P9:Q12"/>
    <mergeCell ref="R9:T12"/>
    <mergeCell ref="U9:V12"/>
    <mergeCell ref="W9:Y12"/>
    <mergeCell ref="AO9:AP12"/>
    <mergeCell ref="AQ9:AS12"/>
    <mergeCell ref="Z9:AA12"/>
    <mergeCell ref="AB9:AD12"/>
    <mergeCell ref="J31:M31"/>
    <mergeCell ref="J32:M35"/>
    <mergeCell ref="Y32:AB35"/>
    <mergeCell ref="AP32:AS35"/>
    <mergeCell ref="AT13:AT14"/>
    <mergeCell ref="AU13:AX13"/>
    <mergeCell ref="AE13:AE14"/>
    <mergeCell ref="AF13:AI13"/>
    <mergeCell ref="AJ13:AJ14"/>
    <mergeCell ref="AK13:AN13"/>
    <mergeCell ref="AO13:AO14"/>
    <mergeCell ref="AP13:AS13"/>
    <mergeCell ref="P13:P14"/>
    <mergeCell ref="Q13:T13"/>
    <mergeCell ref="U13:U14"/>
    <mergeCell ref="V13:Y13"/>
    <mergeCell ref="Z13:Z14"/>
    <mergeCell ref="AA13:AD13"/>
    <mergeCell ref="AH29:BO30"/>
    <mergeCell ref="BN36:BP41"/>
    <mergeCell ref="V40:AG47"/>
    <mergeCell ref="AH40:AR47"/>
    <mergeCell ref="AS40:BD47"/>
    <mergeCell ref="BJ42:BP45"/>
    <mergeCell ref="F43:G43"/>
    <mergeCell ref="F44:G47"/>
    <mergeCell ref="BJ46:BP48"/>
    <mergeCell ref="BF32:BJ35"/>
    <mergeCell ref="V36:AG39"/>
    <mergeCell ref="AH36:AR39"/>
    <mergeCell ref="AS36:BD39"/>
    <mergeCell ref="BE36:BI47"/>
    <mergeCell ref="BJ36:BM41"/>
    <mergeCell ref="BQ54:BR54"/>
    <mergeCell ref="BN51:BP51"/>
    <mergeCell ref="BQ51:BR51"/>
    <mergeCell ref="A52:C54"/>
    <mergeCell ref="F52:H54"/>
    <mergeCell ref="K52:M54"/>
    <mergeCell ref="P52:R54"/>
    <mergeCell ref="U52:W54"/>
    <mergeCell ref="BI52:BK54"/>
    <mergeCell ref="BN52:BP54"/>
    <mergeCell ref="D54:E54"/>
    <mergeCell ref="P51:R51"/>
    <mergeCell ref="S51:T51"/>
    <mergeCell ref="U51:W51"/>
    <mergeCell ref="X51:Y51"/>
    <mergeCell ref="BI51:BK51"/>
    <mergeCell ref="BL51:BM51"/>
    <mergeCell ref="A51:C51"/>
    <mergeCell ref="D51:E51"/>
    <mergeCell ref="F51:H51"/>
    <mergeCell ref="I51:J51"/>
    <mergeCell ref="K51:M51"/>
    <mergeCell ref="N51:O51"/>
    <mergeCell ref="F55:F56"/>
    <mergeCell ref="G55:J55"/>
    <mergeCell ref="K55:K56"/>
    <mergeCell ref="L55:O55"/>
    <mergeCell ref="I54:J54"/>
    <mergeCell ref="N54:O54"/>
    <mergeCell ref="S54:T54"/>
    <mergeCell ref="X54:Y54"/>
    <mergeCell ref="BL54:BM54"/>
    <mergeCell ref="BI58:BK60"/>
    <mergeCell ref="U57:W57"/>
    <mergeCell ref="X57:Y57"/>
    <mergeCell ref="BI57:BK57"/>
    <mergeCell ref="BL57:BM57"/>
    <mergeCell ref="BN57:BP57"/>
    <mergeCell ref="BQ57:BR57"/>
    <mergeCell ref="BN55:BN56"/>
    <mergeCell ref="BO55:BR55"/>
    <mergeCell ref="U55:U56"/>
    <mergeCell ref="V55:Y55"/>
    <mergeCell ref="BI55:BI56"/>
    <mergeCell ref="BJ55:BM55"/>
    <mergeCell ref="BI61:BI62"/>
    <mergeCell ref="BJ61:BM61"/>
    <mergeCell ref="BN61:BN62"/>
    <mergeCell ref="BO61:BR61"/>
    <mergeCell ref="A64:C64"/>
    <mergeCell ref="BQ60:BR60"/>
    <mergeCell ref="A61:A62"/>
    <mergeCell ref="B61:E61"/>
    <mergeCell ref="F61:F62"/>
    <mergeCell ref="G61:J61"/>
    <mergeCell ref="K61:K62"/>
    <mergeCell ref="L61:O61"/>
    <mergeCell ref="P61:P62"/>
    <mergeCell ref="Q61:T61"/>
    <mergeCell ref="U61:U62"/>
    <mergeCell ref="BN58:BP60"/>
    <mergeCell ref="D60:E60"/>
    <mergeCell ref="I60:J60"/>
    <mergeCell ref="N60:O60"/>
    <mergeCell ref="S60:T60"/>
    <mergeCell ref="X60:Y60"/>
    <mergeCell ref="BL60:BM60"/>
    <mergeCell ref="A58:C60"/>
    <mergeCell ref="F58:H60"/>
    <mergeCell ref="AY76:BH78"/>
    <mergeCell ref="AL79:AN82"/>
    <mergeCell ref="AO79:AQ82"/>
    <mergeCell ref="AR79:AS82"/>
    <mergeCell ref="AT79:AU82"/>
    <mergeCell ref="AY79:BH80"/>
    <mergeCell ref="AY81:BH83"/>
    <mergeCell ref="A65:C67"/>
    <mergeCell ref="AD76:AH82"/>
    <mergeCell ref="AL76:AN78"/>
    <mergeCell ref="AO76:AQ78"/>
    <mergeCell ref="AR76:AS78"/>
    <mergeCell ref="AT76:AU78"/>
    <mergeCell ref="AY84:BH85"/>
    <mergeCell ref="AN86:AP88"/>
    <mergeCell ref="AQ86:AS88"/>
    <mergeCell ref="AT86:AW88"/>
    <mergeCell ref="AY86:BH89"/>
    <mergeCell ref="AN89:AP91"/>
    <mergeCell ref="AQ89:AS91"/>
    <mergeCell ref="AT89:AW91"/>
    <mergeCell ref="AY90:BH94"/>
    <mergeCell ref="AN92:AP94"/>
    <mergeCell ref="AQ92:AS94"/>
    <mergeCell ref="AT92:AW94"/>
    <mergeCell ref="AQ95:AS97"/>
    <mergeCell ref="AT95:AW97"/>
    <mergeCell ref="A3:B6"/>
    <mergeCell ref="C3:E6"/>
    <mergeCell ref="F3:G6"/>
    <mergeCell ref="H3:J6"/>
    <mergeCell ref="K3:L6"/>
    <mergeCell ref="M3:O6"/>
    <mergeCell ref="V61:Y61"/>
    <mergeCell ref="K58:M60"/>
    <mergeCell ref="P58:R60"/>
    <mergeCell ref="U58:W60"/>
    <mergeCell ref="A57:C57"/>
    <mergeCell ref="D57:E57"/>
    <mergeCell ref="F57:H57"/>
    <mergeCell ref="I57:J57"/>
    <mergeCell ref="K57:M57"/>
    <mergeCell ref="N57:O57"/>
    <mergeCell ref="P57:R57"/>
    <mergeCell ref="S57:T57"/>
    <mergeCell ref="P55:P56"/>
    <mergeCell ref="Q55:T55"/>
    <mergeCell ref="A55:A56"/>
    <mergeCell ref="B55:E55"/>
    <mergeCell ref="BI3:BJ6"/>
    <mergeCell ref="BK3:BM6"/>
    <mergeCell ref="BN3:BO6"/>
    <mergeCell ref="BP3:BR6"/>
    <mergeCell ref="A9:B12"/>
    <mergeCell ref="C9:E12"/>
    <mergeCell ref="F9:G12"/>
    <mergeCell ref="H9:J12"/>
    <mergeCell ref="K9:L12"/>
    <mergeCell ref="M9:O12"/>
    <mergeCell ref="BI7:BI8"/>
    <mergeCell ref="BJ7:BM7"/>
    <mergeCell ref="BN7:BN8"/>
    <mergeCell ref="BO7:BR7"/>
    <mergeCell ref="AT7:AT8"/>
    <mergeCell ref="AU7:AX7"/>
    <mergeCell ref="AY7:AY8"/>
    <mergeCell ref="AZ7:BC7"/>
    <mergeCell ref="BD7:BD8"/>
    <mergeCell ref="BE7:BH7"/>
    <mergeCell ref="AE7:AE8"/>
    <mergeCell ref="AF7:AI7"/>
    <mergeCell ref="AJ7:AJ8"/>
    <mergeCell ref="AK7:AN7"/>
  </mergeCells>
  <pageMargins left="0.5" right="0" top="0.65" bottom="0" header="0.3" footer="0.3"/>
  <pageSetup paperSize="8" scale="46" orientation="landscape" r:id="rId1"/>
  <colBreaks count="1" manualBreakCount="1">
    <brk id="70" max="50" man="1"/>
  </colBreaks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80833-94FC-42AC-AB92-05D1EC57714D}">
  <sheetPr>
    <pageSetUpPr fitToPage="1"/>
  </sheetPr>
  <dimension ref="A1:CB77"/>
  <sheetViews>
    <sheetView view="pageBreakPreview" zoomScale="55" zoomScaleNormal="70" zoomScaleSheetLayoutView="55" zoomScalePageLayoutView="55" workbookViewId="0">
      <selection activeCell="O31" sqref="O31:R31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140625" customWidth="1"/>
    <col min="47" max="47" width="10.71093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1" customWidth="1"/>
    <col min="62" max="62" width="56.7109375" customWidth="1"/>
    <col min="63" max="63" width="13" customWidth="1"/>
    <col min="64" max="64" width="7" customWidth="1"/>
  </cols>
  <sheetData>
    <row r="1" spans="1:80" ht="249.75" customHeight="1" thickBot="1" x14ac:dyDescent="0.3"/>
    <row r="2" spans="1:80" ht="36" customHeight="1" thickTop="1" x14ac:dyDescent="0.25">
      <c r="A2" s="1371"/>
      <c r="B2" s="1371"/>
      <c r="C2" s="1371"/>
      <c r="D2" s="1371"/>
      <c r="E2" s="1370"/>
      <c r="F2" s="1371"/>
      <c r="G2" s="1371"/>
      <c r="H2" s="1371"/>
      <c r="I2" s="1371"/>
      <c r="J2" s="1370"/>
      <c r="K2" s="1371"/>
      <c r="L2" s="1371"/>
      <c r="M2" s="1371"/>
      <c r="N2" s="1371"/>
      <c r="O2" s="1370"/>
      <c r="P2" s="1371"/>
      <c r="Q2" s="1371"/>
      <c r="R2" s="1371"/>
      <c r="S2" s="1371"/>
      <c r="T2" s="1370"/>
      <c r="U2" s="3208" t="s">
        <v>250</v>
      </c>
      <c r="V2" s="3209"/>
      <c r="W2" s="3209"/>
      <c r="X2" s="3214">
        <f>V7/((72*3.1415/59)*(30/3.281))</f>
        <v>4.2021366739172727E-2</v>
      </c>
      <c r="Y2" s="3215"/>
      <c r="Z2" s="3208" t="s">
        <v>250</v>
      </c>
      <c r="AA2" s="3209"/>
      <c r="AB2" s="3209"/>
      <c r="AC2" s="3214">
        <f>AA7/((72*3.1415/59)*(30/3.281))</f>
        <v>4.4200886371808704E-2</v>
      </c>
      <c r="AD2" s="3215"/>
      <c r="AE2" s="1371"/>
      <c r="AF2" s="1371"/>
      <c r="AG2" s="1371"/>
      <c r="AH2" s="1371"/>
      <c r="AI2" s="1370"/>
      <c r="AJ2" s="1371"/>
      <c r="AK2" s="1371"/>
      <c r="AL2" s="1371"/>
      <c r="AM2" s="1371"/>
      <c r="AN2" s="1370"/>
      <c r="AO2" s="1371"/>
      <c r="AP2" s="1371"/>
      <c r="AQ2" s="1371"/>
      <c r="AR2" s="1371"/>
      <c r="AS2" s="1370"/>
      <c r="AT2" s="1371"/>
      <c r="AU2" s="1371"/>
      <c r="AV2" s="1371"/>
      <c r="AW2" s="1371"/>
      <c r="AX2" s="1370"/>
      <c r="AY2" s="674"/>
      <c r="AZ2" s="674"/>
      <c r="BA2" s="674"/>
      <c r="BB2" s="1300"/>
      <c r="BC2" s="1300"/>
      <c r="BD2" s="674"/>
      <c r="BE2" s="674"/>
      <c r="BF2" s="674"/>
      <c r="BG2" s="1300"/>
      <c r="BH2" s="1300"/>
      <c r="BM2" s="27"/>
      <c r="BN2" s="27"/>
      <c r="BO2" s="27"/>
      <c r="BP2" s="27"/>
      <c r="BQ2" s="27"/>
      <c r="BR2" s="27"/>
      <c r="BW2" s="27"/>
      <c r="BX2" s="27"/>
      <c r="BY2" s="27"/>
      <c r="BZ2" s="27"/>
      <c r="CA2" s="27"/>
      <c r="CB2" s="27"/>
    </row>
    <row r="3" spans="1:80" ht="9.9499999999999993" hidden="1" customHeight="1" x14ac:dyDescent="0.25">
      <c r="A3" s="32"/>
      <c r="B3" s="33"/>
      <c r="C3" s="34"/>
      <c r="D3" s="35"/>
      <c r="E3" s="1370"/>
      <c r="F3" s="32"/>
      <c r="G3" s="33"/>
      <c r="H3" s="34"/>
      <c r="I3" s="35"/>
      <c r="J3" s="1370"/>
      <c r="K3" s="32"/>
      <c r="L3" s="33"/>
      <c r="M3" s="34"/>
      <c r="N3" s="35"/>
      <c r="O3" s="1370"/>
      <c r="P3" s="32"/>
      <c r="Q3" s="33"/>
      <c r="R3" s="34"/>
      <c r="S3" s="35"/>
      <c r="T3" s="1370"/>
      <c r="U3" s="3210"/>
      <c r="V3" s="3211"/>
      <c r="W3" s="3211"/>
      <c r="X3" s="3216"/>
      <c r="Y3" s="3217"/>
      <c r="Z3" s="3210"/>
      <c r="AA3" s="3211"/>
      <c r="AB3" s="3211"/>
      <c r="AC3" s="3216"/>
      <c r="AD3" s="3217"/>
      <c r="AE3" s="32"/>
      <c r="AF3" s="33"/>
      <c r="AG3" s="34"/>
      <c r="AH3" s="35"/>
      <c r="AI3" s="1370"/>
      <c r="AJ3" s="32"/>
      <c r="AK3" s="33"/>
      <c r="AL3" s="34"/>
      <c r="AM3" s="35"/>
      <c r="AN3" s="1370"/>
      <c r="AO3" s="32"/>
      <c r="AP3" s="33"/>
      <c r="AQ3" s="34"/>
      <c r="AR3" s="35"/>
      <c r="AS3" s="1370"/>
      <c r="AT3" s="32"/>
      <c r="AU3" s="33"/>
      <c r="AV3" s="34"/>
      <c r="AW3" s="35"/>
      <c r="AX3" s="1370"/>
      <c r="AY3" s="676"/>
      <c r="AZ3" s="676"/>
      <c r="BA3" s="676"/>
      <c r="BB3" s="36"/>
      <c r="BC3" s="36"/>
      <c r="BD3" s="676"/>
      <c r="BE3" s="676"/>
      <c r="BF3" s="676"/>
      <c r="BG3" s="36"/>
      <c r="BH3" s="36"/>
    </row>
    <row r="4" spans="1:80" ht="24.95" hidden="1" customHeight="1" x14ac:dyDescent="0.25">
      <c r="A4" s="1371"/>
      <c r="B4" s="1371"/>
      <c r="C4" s="1371"/>
      <c r="D4" s="1371"/>
      <c r="E4" s="1370"/>
      <c r="F4" s="1371"/>
      <c r="G4" s="1371"/>
      <c r="H4" s="1371"/>
      <c r="I4" s="1371"/>
      <c r="J4" s="1370"/>
      <c r="K4" s="44"/>
      <c r="L4" s="44"/>
      <c r="M4" s="44"/>
      <c r="N4" s="69"/>
      <c r="O4" s="69"/>
      <c r="P4" s="44"/>
      <c r="Q4" s="44"/>
      <c r="R4" s="44"/>
      <c r="S4" s="69"/>
      <c r="T4" s="69"/>
      <c r="U4" s="3210"/>
      <c r="V4" s="3211"/>
      <c r="W4" s="3211"/>
      <c r="X4" s="3216"/>
      <c r="Y4" s="3217"/>
      <c r="Z4" s="3210"/>
      <c r="AA4" s="3211"/>
      <c r="AB4" s="3211"/>
      <c r="AC4" s="3216"/>
      <c r="AD4" s="3217"/>
      <c r="AE4" s="44"/>
      <c r="AF4" s="44"/>
      <c r="AG4" s="44"/>
      <c r="AH4" s="69"/>
      <c r="AI4" s="69"/>
      <c r="AJ4" s="1371"/>
      <c r="AK4" s="1371"/>
      <c r="AL4" s="1371"/>
      <c r="AM4" s="1371"/>
      <c r="AN4" s="1370"/>
      <c r="AO4" s="1371"/>
      <c r="AP4" s="1371"/>
      <c r="AQ4" s="1371"/>
      <c r="AR4" s="1371"/>
      <c r="AS4" s="1370"/>
      <c r="AT4" s="1371"/>
      <c r="AU4" s="1371"/>
      <c r="AV4" s="1371"/>
      <c r="AW4" s="1371"/>
      <c r="AX4" s="1370"/>
      <c r="AY4" s="676"/>
      <c r="AZ4" s="676"/>
      <c r="BA4" s="676"/>
      <c r="BB4" s="36"/>
      <c r="BC4" s="36"/>
      <c r="BD4" s="676"/>
      <c r="BE4" s="676"/>
      <c r="BF4" s="676"/>
      <c r="BG4" s="36"/>
      <c r="BH4" s="36"/>
    </row>
    <row r="5" spans="1:80" ht="25.5" customHeight="1" x14ac:dyDescent="0.25">
      <c r="A5" s="32"/>
      <c r="B5" s="33"/>
      <c r="C5" s="34"/>
      <c r="D5" s="35"/>
      <c r="E5" s="1370"/>
      <c r="F5" s="32"/>
      <c r="G5" s="33"/>
      <c r="H5" s="34"/>
      <c r="I5" s="35"/>
      <c r="J5" s="1370"/>
      <c r="K5" s="47"/>
      <c r="L5" s="47"/>
      <c r="M5" s="47"/>
      <c r="N5" s="36"/>
      <c r="O5" s="36"/>
      <c r="P5" s="47"/>
      <c r="Q5" s="47"/>
      <c r="R5" s="47"/>
      <c r="S5" s="36"/>
      <c r="T5" s="36"/>
      <c r="U5" s="3212"/>
      <c r="V5" s="3213"/>
      <c r="W5" s="3213"/>
      <c r="X5" s="3218"/>
      <c r="Y5" s="3219"/>
      <c r="Z5" s="3212"/>
      <c r="AA5" s="3213"/>
      <c r="AB5" s="3213"/>
      <c r="AC5" s="3218"/>
      <c r="AD5" s="3219"/>
      <c r="AE5" s="47"/>
      <c r="AF5" s="47"/>
      <c r="AG5" s="47"/>
      <c r="AH5" s="36"/>
      <c r="AI5" s="36"/>
      <c r="AJ5" s="32"/>
      <c r="AK5" s="33"/>
      <c r="AL5" s="34"/>
      <c r="AM5" s="35"/>
      <c r="AN5" s="1370"/>
      <c r="AO5" s="32"/>
      <c r="AP5" s="33"/>
      <c r="AQ5" s="34"/>
      <c r="AR5" s="35"/>
      <c r="AS5" s="1370"/>
      <c r="AT5" s="32"/>
      <c r="AU5" s="33"/>
      <c r="AV5" s="34"/>
      <c r="AW5" s="35"/>
      <c r="AX5" s="1370"/>
      <c r="AY5" s="676"/>
      <c r="AZ5" s="676"/>
      <c r="BA5" s="676"/>
      <c r="BB5" s="36"/>
      <c r="BC5" s="36"/>
      <c r="BD5" s="676"/>
      <c r="BE5" s="676"/>
      <c r="BF5" s="676"/>
      <c r="BG5" s="36"/>
      <c r="BH5" s="36"/>
    </row>
    <row r="6" spans="1:80" ht="72" customHeight="1" x14ac:dyDescent="0.25">
      <c r="A6" s="1371"/>
      <c r="B6" s="1371"/>
      <c r="C6" s="1371"/>
      <c r="D6" s="1371"/>
      <c r="E6" s="1370"/>
      <c r="F6" s="1371"/>
      <c r="G6" s="1371"/>
      <c r="H6" s="1371"/>
      <c r="I6" s="1371"/>
      <c r="J6" s="1370"/>
      <c r="K6" s="47"/>
      <c r="L6" s="47"/>
      <c r="M6" s="47"/>
      <c r="N6" s="140"/>
      <c r="O6" s="36"/>
      <c r="P6" s="47"/>
      <c r="Q6" s="47"/>
      <c r="R6" s="47"/>
      <c r="S6" s="140"/>
      <c r="T6" s="36"/>
      <c r="U6" s="3141" t="s">
        <v>253</v>
      </c>
      <c r="V6" s="1714">
        <v>1</v>
      </c>
      <c r="W6" s="1715"/>
      <c r="X6" s="1715"/>
      <c r="Y6" s="1716"/>
      <c r="Z6" s="3141" t="s">
        <v>253</v>
      </c>
      <c r="AA6" s="1714">
        <v>2</v>
      </c>
      <c r="AB6" s="1715"/>
      <c r="AC6" s="1715"/>
      <c r="AD6" s="1716"/>
      <c r="AE6" s="47"/>
      <c r="AF6" s="47"/>
      <c r="AG6" s="47"/>
      <c r="AH6" s="140"/>
      <c r="AI6" s="36"/>
      <c r="AJ6" s="254"/>
      <c r="AK6" s="254"/>
      <c r="AL6" s="254"/>
      <c r="AM6" s="254"/>
      <c r="AN6" s="291"/>
      <c r="AO6" s="1371"/>
      <c r="AP6" s="1371"/>
      <c r="AQ6" s="1371"/>
      <c r="AR6" s="1371"/>
      <c r="AS6" s="1370"/>
      <c r="AT6" s="1371"/>
      <c r="AU6" s="1371"/>
      <c r="AV6" s="1371"/>
      <c r="AW6" s="1371"/>
      <c r="AX6" s="1370"/>
      <c r="AY6" s="677"/>
      <c r="AZ6" s="1332"/>
      <c r="BA6" s="1332"/>
      <c r="BB6" s="1332"/>
      <c r="BC6" s="1332"/>
      <c r="BD6" s="677"/>
      <c r="BE6" s="1332"/>
      <c r="BF6" s="1332"/>
      <c r="BG6" s="1332"/>
      <c r="BH6" s="1332"/>
      <c r="BM6" s="27"/>
      <c r="BN6" s="27"/>
      <c r="BO6" s="27"/>
      <c r="BP6" s="27"/>
      <c r="BQ6" s="27"/>
      <c r="BR6" s="27"/>
      <c r="BW6" s="27"/>
      <c r="BX6" s="27"/>
      <c r="BY6" s="27"/>
      <c r="BZ6" s="27"/>
      <c r="CA6" s="27"/>
      <c r="CB6" s="27"/>
    </row>
    <row r="7" spans="1:80" ht="35.1" customHeight="1" thickBot="1" x14ac:dyDescent="0.3">
      <c r="A7" s="32"/>
      <c r="B7" s="33"/>
      <c r="C7" s="34"/>
      <c r="D7" s="35"/>
      <c r="E7" s="1370"/>
      <c r="F7" s="32"/>
      <c r="G7" s="33"/>
      <c r="H7" s="34"/>
      <c r="I7" s="35"/>
      <c r="J7" s="1370"/>
      <c r="K7" s="47"/>
      <c r="L7" s="47"/>
      <c r="M7" s="47"/>
      <c r="N7" s="36"/>
      <c r="O7" s="36"/>
      <c r="P7" s="47"/>
      <c r="Q7" s="47"/>
      <c r="R7" s="47"/>
      <c r="S7" s="36"/>
      <c r="T7" s="36"/>
      <c r="U7" s="3142"/>
      <c r="V7" s="241">
        <v>1.4730000000000001</v>
      </c>
      <c r="W7" s="242" t="s">
        <v>113</v>
      </c>
      <c r="X7" s="243"/>
      <c r="Y7" s="244" t="s">
        <v>114</v>
      </c>
      <c r="Z7" s="3142"/>
      <c r="AA7" s="241">
        <v>1.5494000000000001</v>
      </c>
      <c r="AB7" s="242" t="s">
        <v>113</v>
      </c>
      <c r="AC7" s="243"/>
      <c r="AD7" s="244" t="s">
        <v>114</v>
      </c>
      <c r="AE7" s="47"/>
      <c r="AF7" s="47"/>
      <c r="AG7" s="47"/>
      <c r="AH7" s="36"/>
      <c r="AI7" s="36"/>
      <c r="AJ7" s="32"/>
      <c r="AK7" s="33"/>
      <c r="AL7" s="34"/>
      <c r="AM7" s="35"/>
      <c r="AN7" s="291"/>
      <c r="AO7" s="32"/>
      <c r="AP7" s="33"/>
      <c r="AQ7" s="34"/>
      <c r="AR7" s="35"/>
      <c r="AS7" s="1370"/>
      <c r="AT7" s="32"/>
      <c r="AU7" s="33"/>
      <c r="AV7" s="34"/>
      <c r="AW7" s="35"/>
      <c r="AX7" s="1370"/>
      <c r="AY7" s="677"/>
      <c r="AZ7" s="137"/>
      <c r="BA7" s="33"/>
      <c r="BB7" s="138"/>
      <c r="BC7" s="35"/>
      <c r="BD7" s="677"/>
      <c r="BE7" s="137"/>
      <c r="BF7" s="33"/>
      <c r="BG7" s="138"/>
      <c r="BH7" s="35"/>
      <c r="BM7" s="27"/>
      <c r="BN7" s="27"/>
      <c r="BO7" s="27"/>
      <c r="BP7" s="27"/>
      <c r="BQ7" s="27"/>
      <c r="BR7" s="27"/>
      <c r="BW7" s="27"/>
      <c r="BX7" s="27"/>
      <c r="BY7" s="27"/>
      <c r="BZ7" s="27"/>
      <c r="CA7" s="27"/>
      <c r="CB7" s="27"/>
    </row>
    <row r="8" spans="1:80" ht="121.5" customHeight="1" thickTop="1" x14ac:dyDescent="0.25">
      <c r="A8" s="1371"/>
      <c r="B8" s="1371"/>
      <c r="C8" s="1371"/>
      <c r="D8" s="1371"/>
      <c r="E8" s="1370"/>
      <c r="F8" s="1371"/>
      <c r="G8" s="1371"/>
      <c r="H8" s="1371"/>
      <c r="I8" s="1371"/>
      <c r="J8" s="1370"/>
      <c r="K8" s="142"/>
      <c r="L8" s="142"/>
      <c r="M8" s="142"/>
      <c r="N8" s="142"/>
      <c r="O8" s="142"/>
      <c r="P8" s="142"/>
      <c r="Q8" s="142"/>
      <c r="R8" s="142"/>
      <c r="S8" s="142"/>
      <c r="T8" s="142"/>
      <c r="U8" s="376"/>
      <c r="V8" s="376"/>
      <c r="W8" s="376"/>
      <c r="X8" s="376"/>
      <c r="Y8" s="377"/>
      <c r="Z8" s="1371"/>
      <c r="AA8" s="1371"/>
      <c r="AB8" s="1371"/>
      <c r="AC8" s="1371"/>
      <c r="AD8" s="1370"/>
      <c r="AE8" s="142"/>
      <c r="AF8" s="142"/>
      <c r="AG8" s="142"/>
      <c r="AH8" s="142"/>
      <c r="AI8" s="142"/>
      <c r="AJ8" s="1371"/>
      <c r="AK8" s="1371"/>
      <c r="AL8" s="1371"/>
      <c r="AM8" s="1371"/>
      <c r="AN8" s="1370"/>
      <c r="AO8" s="165"/>
      <c r="AP8" s="1997"/>
      <c r="AQ8" s="1998"/>
      <c r="AR8" s="1998"/>
      <c r="AS8" s="1998"/>
      <c r="AT8" s="1998"/>
      <c r="AU8" s="1998"/>
      <c r="AV8" s="1998"/>
      <c r="AW8" s="1998"/>
      <c r="AX8" s="165"/>
      <c r="AY8" s="674"/>
      <c r="AZ8" s="674"/>
      <c r="BA8" s="674"/>
      <c r="BB8" s="1300"/>
      <c r="BC8" s="1300"/>
      <c r="BD8" s="674"/>
      <c r="BE8" s="674"/>
      <c r="BF8" s="674"/>
      <c r="BG8" s="1300"/>
      <c r="BH8" s="1300"/>
      <c r="BM8" s="27"/>
      <c r="BN8" s="27"/>
      <c r="BO8" s="27"/>
      <c r="BP8" s="27"/>
      <c r="BQ8" s="27"/>
      <c r="BR8" s="27"/>
      <c r="BW8" s="27"/>
      <c r="BX8" s="27"/>
      <c r="BY8" s="27"/>
      <c r="BZ8" s="27"/>
      <c r="CA8" s="27"/>
      <c r="CB8" s="27"/>
    </row>
    <row r="9" spans="1:80" ht="30" customHeight="1" x14ac:dyDescent="0.25">
      <c r="A9" s="32"/>
      <c r="B9" s="33"/>
      <c r="C9" s="34"/>
      <c r="D9" s="35"/>
      <c r="E9" s="1370"/>
      <c r="F9" s="32"/>
      <c r="G9" s="33"/>
      <c r="H9" s="34"/>
      <c r="I9" s="35"/>
      <c r="J9" s="1370"/>
      <c r="K9" s="33"/>
      <c r="L9" s="33"/>
      <c r="M9" s="33"/>
      <c r="N9" s="33"/>
      <c r="O9" s="33"/>
      <c r="P9" s="33"/>
      <c r="Q9" s="33"/>
      <c r="R9" s="33"/>
      <c r="S9" s="33"/>
      <c r="T9" s="33"/>
      <c r="U9" s="1371"/>
      <c r="V9" s="1371"/>
      <c r="W9" s="1371"/>
      <c r="X9" s="1371"/>
      <c r="Y9" s="1370"/>
      <c r="Z9" s="32"/>
      <c r="AA9" s="33"/>
      <c r="AB9" s="34"/>
      <c r="AC9" s="35"/>
      <c r="AD9" s="1370"/>
      <c r="AE9" s="33"/>
      <c r="AF9" s="33"/>
      <c r="AG9" s="33"/>
      <c r="AH9" s="33"/>
      <c r="AI9" s="33"/>
      <c r="AJ9" s="32"/>
      <c r="AK9" s="33"/>
      <c r="AL9" s="34"/>
      <c r="AM9" s="35"/>
      <c r="AN9" s="1370"/>
      <c r="AO9" s="165"/>
      <c r="AP9" s="1998"/>
      <c r="AQ9" s="1998"/>
      <c r="AR9" s="1998"/>
      <c r="AS9" s="1998"/>
      <c r="AT9" s="1998"/>
      <c r="AU9" s="1998"/>
      <c r="AV9" s="1998"/>
      <c r="AW9" s="1998"/>
      <c r="AX9" s="165"/>
      <c r="AY9" s="676"/>
      <c r="AZ9" s="676"/>
      <c r="BA9" s="676"/>
      <c r="BB9" s="36"/>
      <c r="BC9" s="36"/>
      <c r="BD9" s="676"/>
      <c r="BE9" s="676"/>
      <c r="BF9" s="676"/>
      <c r="BG9" s="36"/>
      <c r="BH9" s="36"/>
    </row>
    <row r="10" spans="1:80" ht="30" customHeight="1" x14ac:dyDescent="0.25">
      <c r="A10" s="1371"/>
      <c r="B10" s="1371"/>
      <c r="C10" s="1371"/>
      <c r="D10" s="1371"/>
      <c r="E10" s="1370"/>
      <c r="F10" s="1371"/>
      <c r="G10" s="1371"/>
      <c r="H10" s="1371"/>
      <c r="I10" s="1371"/>
      <c r="J10" s="1370"/>
      <c r="K10" s="44"/>
      <c r="L10" s="44"/>
      <c r="M10" s="44"/>
      <c r="N10" s="69"/>
      <c r="O10" s="69"/>
      <c r="P10" s="44"/>
      <c r="Q10" s="44"/>
      <c r="R10" s="44"/>
      <c r="S10" s="69"/>
      <c r="T10" s="69"/>
      <c r="U10" s="32"/>
      <c r="V10" s="33"/>
      <c r="W10" s="34"/>
      <c r="X10" s="35"/>
      <c r="Y10" s="1370"/>
      <c r="Z10" s="1371"/>
      <c r="AA10" s="1371"/>
      <c r="AB10" s="1371"/>
      <c r="AC10" s="1371"/>
      <c r="AD10" s="1370"/>
      <c r="AE10" s="44"/>
      <c r="AF10" s="44"/>
      <c r="AG10" s="44"/>
      <c r="AH10" s="69"/>
      <c r="AI10" s="69"/>
      <c r="AJ10" s="1371"/>
      <c r="AK10" s="1371"/>
      <c r="AL10" s="1371"/>
      <c r="AM10" s="1371"/>
      <c r="AN10" s="1370"/>
      <c r="AO10" s="165"/>
      <c r="AP10" s="1998"/>
      <c r="AQ10" s="1998"/>
      <c r="AR10" s="1998"/>
      <c r="AS10" s="1998"/>
      <c r="AT10" s="1998"/>
      <c r="AU10" s="1998"/>
      <c r="AV10" s="1998"/>
      <c r="AW10" s="1998"/>
      <c r="AX10" s="165"/>
      <c r="AY10" s="676"/>
      <c r="AZ10" s="676"/>
      <c r="BA10" s="676"/>
      <c r="BB10" s="36"/>
      <c r="BC10" s="36"/>
      <c r="BD10" s="676"/>
      <c r="BE10" s="676"/>
      <c r="BF10" s="676"/>
      <c r="BG10" s="36"/>
      <c r="BH10" s="36"/>
    </row>
    <row r="11" spans="1:80" ht="51.75" customHeight="1" x14ac:dyDescent="0.25">
      <c r="A11" s="32"/>
      <c r="B11" s="33"/>
      <c r="C11" s="34"/>
      <c r="D11" s="35"/>
      <c r="E11" s="1370"/>
      <c r="F11" s="32"/>
      <c r="G11" s="33"/>
      <c r="H11" s="34"/>
      <c r="I11" s="35"/>
      <c r="J11" s="1370"/>
      <c r="K11" s="47"/>
      <c r="L11" s="47"/>
      <c r="M11" s="47"/>
      <c r="N11" s="36"/>
      <c r="O11" s="36"/>
      <c r="P11" s="47"/>
      <c r="Q11" s="47"/>
      <c r="R11" s="47"/>
      <c r="S11" s="36"/>
      <c r="T11" s="36"/>
      <c r="U11" s="44"/>
      <c r="V11" s="44"/>
      <c r="W11" s="44"/>
      <c r="X11" s="69"/>
      <c r="Y11" s="69"/>
      <c r="Z11" s="32"/>
      <c r="AA11" s="33"/>
      <c r="AB11" s="34"/>
      <c r="AC11" s="35"/>
      <c r="AD11" s="1370"/>
      <c r="AE11" s="47"/>
      <c r="AF11" s="47"/>
      <c r="AG11" s="47"/>
      <c r="AH11" s="36"/>
      <c r="AI11" s="36"/>
      <c r="AJ11" s="32"/>
      <c r="AK11" s="33"/>
      <c r="AL11" s="34"/>
      <c r="AM11" s="35"/>
      <c r="AN11" s="1370"/>
      <c r="AO11" s="165"/>
      <c r="AP11" s="1998"/>
      <c r="AQ11" s="1998"/>
      <c r="AR11" s="1998"/>
      <c r="AS11" s="1998"/>
      <c r="AT11" s="1998"/>
      <c r="AU11" s="1998"/>
      <c r="AV11" s="1998"/>
      <c r="AW11" s="1998"/>
      <c r="AX11" s="165"/>
      <c r="AY11" s="676"/>
      <c r="AZ11" s="676"/>
      <c r="BA11" s="676"/>
      <c r="BB11" s="36"/>
      <c r="BC11" s="36"/>
      <c r="BD11" s="676"/>
      <c r="BE11" s="676"/>
      <c r="BF11" s="676"/>
      <c r="BG11" s="36"/>
      <c r="BH11" s="36"/>
    </row>
    <row r="12" spans="1:80" ht="30" customHeight="1" x14ac:dyDescent="0.25">
      <c r="A12" s="1371"/>
      <c r="B12" s="1371"/>
      <c r="C12" s="1371"/>
      <c r="D12" s="1371"/>
      <c r="E12" s="1370"/>
      <c r="F12" s="1371"/>
      <c r="G12" s="1371"/>
      <c r="H12" s="1371"/>
      <c r="I12" s="1371"/>
      <c r="J12" s="1370"/>
      <c r="K12" s="47"/>
      <c r="L12" s="47"/>
      <c r="M12" s="47"/>
      <c r="N12" s="140"/>
      <c r="O12" s="36"/>
      <c r="P12" s="47"/>
      <c r="Q12" s="47"/>
      <c r="R12" s="47"/>
      <c r="S12" s="140"/>
      <c r="T12" s="36"/>
      <c r="U12" s="47"/>
      <c r="V12" s="47"/>
      <c r="W12" s="47"/>
      <c r="X12" s="36"/>
      <c r="Y12" s="36"/>
      <c r="Z12" s="1371"/>
      <c r="AA12" s="1371"/>
      <c r="AB12" s="1371"/>
      <c r="AC12" s="1371"/>
      <c r="AD12" s="1370"/>
      <c r="AE12" s="47"/>
      <c r="AF12" s="47"/>
      <c r="AG12" s="47"/>
      <c r="AH12" s="140"/>
      <c r="AI12" s="36"/>
      <c r="AJ12" s="1371"/>
      <c r="AK12" s="1371"/>
      <c r="AL12" s="1371"/>
      <c r="AM12" s="1371"/>
      <c r="AN12" s="1370"/>
      <c r="AO12" s="165"/>
      <c r="AP12" s="165"/>
      <c r="AQ12" s="165"/>
      <c r="AR12" s="165"/>
      <c r="AS12" s="165"/>
      <c r="AT12" s="165"/>
      <c r="AU12" s="165"/>
      <c r="AV12" s="165"/>
      <c r="AW12" s="165"/>
      <c r="AX12" s="165"/>
      <c r="AY12" s="677"/>
      <c r="AZ12" s="1332"/>
      <c r="BA12" s="1332"/>
      <c r="BB12" s="1332"/>
      <c r="BC12" s="1332"/>
      <c r="BD12" s="677"/>
      <c r="BE12" s="1332"/>
      <c r="BF12" s="1332"/>
      <c r="BG12" s="1332"/>
      <c r="BH12" s="1332"/>
      <c r="BM12" s="51"/>
      <c r="BN12" s="51"/>
      <c r="BO12" s="51"/>
      <c r="BP12" s="51"/>
      <c r="BQ12" s="51"/>
      <c r="BR12" s="51"/>
      <c r="BW12" s="27"/>
      <c r="BX12" s="27"/>
      <c r="BY12" s="27"/>
      <c r="BZ12" s="27"/>
      <c r="CA12" s="27"/>
      <c r="CB12" s="27"/>
    </row>
    <row r="13" spans="1:80" ht="30" customHeight="1" x14ac:dyDescent="0.25">
      <c r="A13" s="32"/>
      <c r="B13" s="33"/>
      <c r="C13" s="34"/>
      <c r="D13" s="35"/>
      <c r="E13" s="1370"/>
      <c r="F13" s="32"/>
      <c r="G13" s="33"/>
      <c r="H13" s="34"/>
      <c r="I13" s="35"/>
      <c r="J13" s="1370"/>
      <c r="K13" s="47"/>
      <c r="L13" s="47"/>
      <c r="M13" s="47"/>
      <c r="N13" s="36"/>
      <c r="O13" s="36"/>
      <c r="P13" s="47"/>
      <c r="Q13" s="47"/>
      <c r="R13" s="47"/>
      <c r="S13" s="36"/>
      <c r="T13" s="36"/>
      <c r="U13" s="47"/>
      <c r="V13" s="47"/>
      <c r="W13" s="47"/>
      <c r="X13" s="140"/>
      <c r="Y13" s="36"/>
      <c r="Z13" s="32"/>
      <c r="AA13" s="33"/>
      <c r="AB13" s="34"/>
      <c r="AC13" s="35"/>
      <c r="AD13" s="1370"/>
      <c r="AE13" s="47"/>
      <c r="AF13" s="47"/>
      <c r="AG13" s="47"/>
      <c r="AH13" s="36"/>
      <c r="AI13" s="36"/>
      <c r="AJ13" s="32"/>
      <c r="AK13" s="33"/>
      <c r="AL13" s="34"/>
      <c r="AM13" s="35"/>
      <c r="AN13" s="1370"/>
      <c r="AO13" s="165"/>
      <c r="AP13" s="165"/>
      <c r="AQ13" s="165"/>
      <c r="AR13" s="165"/>
      <c r="AS13" s="165"/>
      <c r="AT13" s="165"/>
      <c r="AU13" s="165"/>
      <c r="AV13" s="165"/>
      <c r="AW13" s="165"/>
      <c r="AX13" s="165"/>
      <c r="AY13" s="677"/>
      <c r="AZ13" s="137"/>
      <c r="BA13" s="33"/>
      <c r="BB13" s="138"/>
      <c r="BC13" s="35"/>
      <c r="BD13" s="677"/>
      <c r="BE13" s="137"/>
      <c r="BF13" s="33"/>
      <c r="BG13" s="138"/>
      <c r="BH13" s="35"/>
      <c r="BM13" s="51"/>
      <c r="BN13" s="51"/>
      <c r="BO13" s="51"/>
      <c r="BP13" s="51"/>
      <c r="BQ13" s="51"/>
      <c r="BR13" s="51"/>
      <c r="BW13" s="27"/>
      <c r="BX13" s="27"/>
      <c r="BY13" s="27"/>
      <c r="BZ13" s="27"/>
      <c r="CA13" s="27"/>
      <c r="CB13" s="27"/>
    </row>
    <row r="14" spans="1:80" ht="39.950000000000003" hidden="1" customHeight="1" thickTop="1" x14ac:dyDescent="0.25">
      <c r="A14" s="1695" t="s">
        <v>250</v>
      </c>
      <c r="B14" s="1696"/>
      <c r="C14" s="1696"/>
      <c r="D14" s="1697">
        <f>B19/((42*3.1415/59)*(30/3.281))</f>
        <v>0</v>
      </c>
      <c r="E14" s="1698"/>
      <c r="F14" s="44"/>
      <c r="G14" s="44"/>
      <c r="H14" s="44"/>
      <c r="I14" s="44"/>
      <c r="J14" s="44"/>
      <c r="K14" s="230"/>
      <c r="L14" s="142"/>
      <c r="M14" s="142"/>
      <c r="N14" s="142"/>
      <c r="O14" s="142"/>
      <c r="P14" s="230"/>
      <c r="Q14" s="142"/>
      <c r="R14" s="142"/>
      <c r="S14" s="142"/>
      <c r="T14" s="142"/>
      <c r="U14" s="47"/>
      <c r="V14" s="47"/>
      <c r="W14" s="47"/>
      <c r="X14" s="36"/>
      <c r="Y14" s="36"/>
      <c r="Z14" s="44"/>
      <c r="AA14" s="44"/>
      <c r="AB14" s="44"/>
      <c r="AC14" s="44"/>
      <c r="AD14" s="44"/>
      <c r="AE14" s="230"/>
      <c r="AF14" s="142"/>
      <c r="AG14" s="142"/>
      <c r="AH14" s="142"/>
      <c r="AI14" s="142"/>
      <c r="AJ14" s="44"/>
      <c r="AK14" s="44"/>
      <c r="AL14" s="44"/>
      <c r="AM14" s="69"/>
      <c r="AN14" s="69"/>
      <c r="AO14" s="674"/>
      <c r="AP14" s="674"/>
      <c r="AQ14" s="674"/>
      <c r="AR14" s="1300"/>
      <c r="AS14" s="1300"/>
      <c r="AT14" s="1389"/>
      <c r="AU14" s="1389"/>
      <c r="AV14" s="1389"/>
      <c r="AW14" s="1390"/>
      <c r="AX14" s="1390"/>
      <c r="AY14" s="674"/>
      <c r="AZ14" s="674"/>
      <c r="BA14" s="674"/>
      <c r="BB14" s="1300"/>
      <c r="BC14" s="1300"/>
      <c r="BD14" s="674"/>
      <c r="BE14" s="674"/>
      <c r="BF14" s="674"/>
      <c r="BG14" s="1300"/>
      <c r="BH14" s="1300"/>
      <c r="BM14" s="51"/>
      <c r="BN14" s="51"/>
      <c r="BO14" s="51"/>
      <c r="BP14" s="51"/>
      <c r="BQ14" s="51"/>
      <c r="BR14" s="51"/>
      <c r="BW14" s="27"/>
      <c r="BX14" s="27"/>
      <c r="BY14" s="27"/>
      <c r="BZ14" s="27"/>
      <c r="CA14" s="27"/>
      <c r="CB14" s="27"/>
    </row>
    <row r="15" spans="1:80" ht="9.9499999999999993" hidden="1" customHeight="1" x14ac:dyDescent="0.25">
      <c r="A15" s="1379" t="s">
        <v>252</v>
      </c>
      <c r="B15" s="1380"/>
      <c r="C15" s="1380"/>
      <c r="D15" s="1380"/>
      <c r="E15" s="1381"/>
      <c r="F15" s="47"/>
      <c r="G15" s="47"/>
      <c r="H15" s="47"/>
      <c r="I15" s="47"/>
      <c r="J15" s="47"/>
      <c r="K15" s="230"/>
      <c r="L15" s="32"/>
      <c r="M15" s="33"/>
      <c r="N15" s="34"/>
      <c r="O15" s="35"/>
      <c r="P15" s="230"/>
      <c r="Q15" s="32"/>
      <c r="R15" s="33"/>
      <c r="S15" s="34"/>
      <c r="T15" s="35"/>
      <c r="U15" s="142"/>
      <c r="V15" s="142"/>
      <c r="W15" s="142"/>
      <c r="X15" s="142"/>
      <c r="Y15" s="142"/>
      <c r="Z15" s="47"/>
      <c r="AA15" s="47"/>
      <c r="AB15" s="47"/>
      <c r="AC15" s="47"/>
      <c r="AD15" s="47"/>
      <c r="AE15" s="230"/>
      <c r="AF15" s="32"/>
      <c r="AG15" s="33"/>
      <c r="AH15" s="34"/>
      <c r="AI15" s="35"/>
      <c r="AJ15" s="47"/>
      <c r="AK15" s="47"/>
      <c r="AL15" s="47"/>
      <c r="AM15" s="36"/>
      <c r="AN15" s="36"/>
      <c r="AO15" s="676"/>
      <c r="AP15" s="676"/>
      <c r="AQ15" s="676"/>
      <c r="AR15" s="36"/>
      <c r="AS15" s="36"/>
      <c r="AT15" s="1388"/>
      <c r="AU15" s="1388"/>
      <c r="AV15" s="1388"/>
      <c r="AW15" s="139"/>
      <c r="AX15" s="139"/>
      <c r="AY15" s="676"/>
      <c r="AZ15" s="676"/>
      <c r="BA15" s="676"/>
      <c r="BB15" s="36"/>
      <c r="BC15" s="36"/>
      <c r="BD15" s="676"/>
      <c r="BE15" s="676"/>
      <c r="BF15" s="676"/>
      <c r="BG15" s="36"/>
      <c r="BH15" s="36"/>
    </row>
    <row r="16" spans="1:80" ht="24.95" hidden="1" customHeight="1" x14ac:dyDescent="0.25">
      <c r="A16" s="1382"/>
      <c r="B16" s="1383"/>
      <c r="C16" s="1383"/>
      <c r="D16" s="1383"/>
      <c r="E16" s="1384"/>
      <c r="F16" s="47"/>
      <c r="G16" s="47"/>
      <c r="H16" s="47"/>
      <c r="I16" s="47"/>
      <c r="J16" s="47"/>
      <c r="K16" s="44"/>
      <c r="L16" s="44"/>
      <c r="P16" s="44"/>
      <c r="Q16" s="44"/>
      <c r="U16" s="33"/>
      <c r="V16" s="33"/>
      <c r="W16" s="33"/>
      <c r="X16" s="33"/>
      <c r="Y16" s="33"/>
      <c r="Z16" s="47"/>
      <c r="AA16" s="47"/>
      <c r="AB16" s="47"/>
      <c r="AC16" s="47"/>
      <c r="AD16" s="47"/>
      <c r="AE16" s="44"/>
      <c r="AF16" s="44"/>
      <c r="AJ16" s="47"/>
      <c r="AK16" s="47"/>
      <c r="AL16" s="47"/>
      <c r="AM16" s="140"/>
      <c r="AN16" s="36"/>
      <c r="AO16" s="676"/>
      <c r="AP16" s="676"/>
      <c r="AQ16" s="676"/>
      <c r="AR16" s="140"/>
      <c r="AS16" s="36"/>
      <c r="AT16" s="1388"/>
      <c r="AU16" s="1388"/>
      <c r="AV16" s="1388"/>
      <c r="AW16" s="141"/>
      <c r="AX16" s="139"/>
      <c r="AY16" s="676"/>
      <c r="AZ16" s="676"/>
      <c r="BA16" s="676"/>
      <c r="BB16" s="36"/>
      <c r="BC16" s="36"/>
      <c r="BD16" s="676"/>
      <c r="BE16" s="676"/>
      <c r="BF16" s="676"/>
      <c r="BG16" s="36"/>
      <c r="BH16" s="36"/>
    </row>
    <row r="17" spans="1:80" ht="9.9499999999999993" hidden="1" customHeight="1" x14ac:dyDescent="0.25">
      <c r="A17" s="1385"/>
      <c r="B17" s="1386"/>
      <c r="C17" s="1386"/>
      <c r="D17" s="1386"/>
      <c r="E17" s="1387"/>
      <c r="F17" s="47"/>
      <c r="G17" s="47"/>
      <c r="H17" s="47"/>
      <c r="I17" s="47"/>
      <c r="J17" s="47"/>
      <c r="K17" s="47"/>
      <c r="L17" s="47"/>
      <c r="P17" s="47"/>
      <c r="Q17" s="47"/>
      <c r="U17" s="44"/>
      <c r="V17" s="44"/>
      <c r="W17" s="44"/>
      <c r="X17" s="69"/>
      <c r="Y17" s="69"/>
      <c r="Z17" s="47"/>
      <c r="AA17" s="47"/>
      <c r="AB17" s="47"/>
      <c r="AC17" s="47"/>
      <c r="AD17" s="47"/>
      <c r="AE17" s="47"/>
      <c r="AF17" s="47"/>
      <c r="AJ17" s="47"/>
      <c r="AK17" s="47"/>
      <c r="AL17" s="47"/>
      <c r="AM17" s="36"/>
      <c r="AN17" s="36"/>
      <c r="AO17" s="676"/>
      <c r="AP17" s="676"/>
      <c r="AQ17" s="676"/>
      <c r="AR17" s="36"/>
      <c r="AS17" s="36"/>
      <c r="AT17" s="1388"/>
      <c r="AU17" s="1388"/>
      <c r="AV17" s="1388"/>
      <c r="AW17" s="139"/>
      <c r="AX17" s="139"/>
      <c r="AY17" s="676"/>
      <c r="AZ17" s="676"/>
      <c r="BA17" s="676"/>
      <c r="BB17" s="36"/>
      <c r="BC17" s="36"/>
      <c r="BD17" s="676"/>
      <c r="BE17" s="676"/>
      <c r="BF17" s="676"/>
      <c r="BG17" s="36"/>
      <c r="BH17" s="36"/>
    </row>
    <row r="18" spans="1:80" ht="72" hidden="1" customHeight="1" x14ac:dyDescent="0.25">
      <c r="A18" s="1374" t="s">
        <v>253</v>
      </c>
      <c r="B18" s="1376"/>
      <c r="C18" s="1377"/>
      <c r="D18" s="1377"/>
      <c r="E18" s="1378"/>
      <c r="F18" s="142"/>
      <c r="G18" s="142"/>
      <c r="H18" s="142"/>
      <c r="I18" s="142"/>
      <c r="J18" s="142"/>
      <c r="K18" s="47"/>
      <c r="L18" s="47"/>
      <c r="P18" s="47"/>
      <c r="Q18" s="47"/>
      <c r="U18" s="47"/>
      <c r="V18" s="47"/>
      <c r="W18" s="47"/>
      <c r="X18" s="36"/>
      <c r="Y18" s="36"/>
      <c r="Z18" s="142"/>
      <c r="AA18" s="142"/>
      <c r="AB18" s="142"/>
      <c r="AC18" s="142"/>
      <c r="AD18" s="142"/>
      <c r="AE18" s="47"/>
      <c r="AF18" s="47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3"/>
      <c r="AU18" s="143"/>
      <c r="AV18" s="143"/>
      <c r="AW18" s="143"/>
      <c r="AX18" s="143"/>
      <c r="AY18" s="677"/>
      <c r="AZ18" s="1332"/>
      <c r="BA18" s="1332"/>
      <c r="BB18" s="1332"/>
      <c r="BC18" s="1332"/>
      <c r="BD18" s="677"/>
      <c r="BE18" s="1332" t="s">
        <v>16</v>
      </c>
      <c r="BF18" s="1332"/>
      <c r="BG18" s="1332"/>
      <c r="BH18" s="1332"/>
      <c r="BM18" s="51"/>
      <c r="BN18" s="51"/>
      <c r="BO18" s="51"/>
      <c r="BP18" s="51"/>
      <c r="BQ18" s="51"/>
      <c r="BR18" s="51"/>
      <c r="BW18" s="27"/>
      <c r="BX18" s="27"/>
      <c r="BY18" s="27"/>
      <c r="BZ18" s="27"/>
      <c r="CA18" s="27"/>
      <c r="CB18" s="27"/>
    </row>
    <row r="19" spans="1:80" ht="35.1" hidden="1" customHeight="1" thickBot="1" x14ac:dyDescent="0.3">
      <c r="A19" s="1375"/>
      <c r="B19" s="144"/>
      <c r="C19" s="145" t="s">
        <v>113</v>
      </c>
      <c r="D19" s="146"/>
      <c r="E19" s="147" t="s">
        <v>114</v>
      </c>
      <c r="F19" s="33"/>
      <c r="G19" s="33"/>
      <c r="H19" s="33"/>
      <c r="I19" s="33"/>
      <c r="J19" s="33"/>
      <c r="K19" s="47"/>
      <c r="L19" s="47"/>
      <c r="P19" s="47"/>
      <c r="Q19" s="47"/>
      <c r="U19" s="47"/>
      <c r="V19" s="47"/>
      <c r="W19" s="47"/>
      <c r="X19" s="140"/>
      <c r="Y19" s="36"/>
      <c r="Z19" s="33"/>
      <c r="AA19" s="33"/>
      <c r="AB19" s="33"/>
      <c r="AC19" s="33"/>
      <c r="AD19" s="33"/>
      <c r="AE19" s="47"/>
      <c r="AF19" s="47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148"/>
      <c r="AU19" s="148"/>
      <c r="AV19" s="148"/>
      <c r="AW19" s="148"/>
      <c r="AX19" s="148"/>
      <c r="AY19" s="677"/>
      <c r="AZ19" s="137"/>
      <c r="BA19" s="33"/>
      <c r="BB19" s="138"/>
      <c r="BC19" s="35"/>
      <c r="BD19" s="677"/>
      <c r="BE19" s="137"/>
      <c r="BF19" s="33"/>
      <c r="BG19" s="138"/>
      <c r="BH19" s="35"/>
      <c r="BM19" s="51"/>
      <c r="BN19" s="51"/>
      <c r="BO19" s="51"/>
      <c r="BP19" s="51"/>
      <c r="BQ19" s="51"/>
      <c r="BR19" s="51"/>
      <c r="BW19" s="27"/>
      <c r="BX19" s="27"/>
      <c r="BY19" s="27"/>
      <c r="BZ19" s="27"/>
      <c r="CA19" s="27"/>
      <c r="CB19" s="27"/>
    </row>
    <row r="20" spans="1:80" ht="26.25" hidden="1" customHeight="1" x14ac:dyDescent="0.25">
      <c r="A20" s="1396"/>
      <c r="B20" s="1396"/>
      <c r="C20" s="1396"/>
      <c r="D20" s="1397"/>
      <c r="E20" s="1397"/>
      <c r="F20" s="674"/>
      <c r="G20" s="674"/>
      <c r="H20" s="674"/>
      <c r="I20" s="1300"/>
      <c r="J20" s="1300"/>
      <c r="K20" s="70"/>
      <c r="P20" s="70"/>
      <c r="U20" s="47"/>
      <c r="V20" s="47"/>
      <c r="W20" s="47"/>
      <c r="X20" s="36"/>
      <c r="Y20" s="36"/>
      <c r="Z20" s="44"/>
      <c r="AA20" s="44"/>
      <c r="AB20" s="44"/>
      <c r="AC20" s="69"/>
      <c r="AD20" s="69"/>
      <c r="AE20" s="70"/>
      <c r="AJ20" s="44"/>
      <c r="AK20" s="44"/>
      <c r="AL20" s="44"/>
      <c r="AM20" s="69"/>
      <c r="AN20" s="69"/>
      <c r="AO20" s="674"/>
      <c r="AP20" s="674"/>
      <c r="AQ20" s="674"/>
      <c r="AR20" s="1300"/>
      <c r="AS20" s="1300"/>
      <c r="AT20" s="1389"/>
      <c r="AU20" s="1389"/>
      <c r="AV20" s="1389"/>
      <c r="AW20" s="1390"/>
      <c r="AX20" s="1390"/>
      <c r="AY20" s="674"/>
      <c r="AZ20" s="674"/>
      <c r="BA20" s="674"/>
      <c r="BB20" s="1300"/>
      <c r="BC20" s="1300"/>
      <c r="BD20" s="674"/>
      <c r="BE20" s="674"/>
      <c r="BF20" s="674"/>
      <c r="BG20" s="1300"/>
      <c r="BH20" s="1300"/>
      <c r="BM20" s="51"/>
      <c r="BN20" s="51"/>
      <c r="BO20" s="51"/>
      <c r="BP20" s="51"/>
      <c r="BQ20" s="51"/>
      <c r="BR20" s="51"/>
      <c r="BW20" s="27"/>
      <c r="BX20" s="27"/>
      <c r="BY20" s="27"/>
      <c r="BZ20" s="27"/>
      <c r="CA20" s="27"/>
      <c r="CB20" s="27"/>
    </row>
    <row r="21" spans="1:80" ht="18.75" hidden="1" customHeight="1" x14ac:dyDescent="0.25">
      <c r="A21" s="1395"/>
      <c r="B21" s="1395"/>
      <c r="C21" s="1395"/>
      <c r="D21" s="149"/>
      <c r="E21" s="149"/>
      <c r="F21" s="676"/>
      <c r="G21" s="676"/>
      <c r="H21" s="676"/>
      <c r="I21" s="36"/>
      <c r="J21" s="36"/>
      <c r="K21" s="70"/>
      <c r="L21" s="137"/>
      <c r="M21" s="33"/>
      <c r="N21" s="138"/>
      <c r="O21" s="35"/>
      <c r="P21" s="70"/>
      <c r="Q21" s="137"/>
      <c r="R21" s="33"/>
      <c r="S21" s="138"/>
      <c r="T21" s="35"/>
      <c r="U21" s="230"/>
      <c r="V21" s="142"/>
      <c r="W21" s="142"/>
      <c r="X21" s="142"/>
      <c r="Y21" s="142"/>
      <c r="Z21" s="47"/>
      <c r="AA21" s="47"/>
      <c r="AB21" s="47"/>
      <c r="AC21" s="36"/>
      <c r="AD21" s="36"/>
      <c r="AE21" s="70"/>
      <c r="AF21" s="137"/>
      <c r="AG21" s="33"/>
      <c r="AH21" s="138"/>
      <c r="AI21" s="35"/>
      <c r="AJ21" s="47"/>
      <c r="AK21" s="47"/>
      <c r="AL21" s="47"/>
      <c r="AM21" s="36"/>
      <c r="AN21" s="36"/>
      <c r="AO21" s="676"/>
      <c r="AP21" s="676"/>
      <c r="AQ21" s="676"/>
      <c r="AR21" s="36"/>
      <c r="AS21" s="36"/>
      <c r="AT21" s="1388"/>
      <c r="AU21" s="1388"/>
      <c r="AV21" s="1388"/>
      <c r="AW21" s="139"/>
      <c r="AX21" s="139"/>
      <c r="AY21" s="676"/>
      <c r="AZ21" s="676"/>
      <c r="BA21" s="676"/>
      <c r="BB21" s="36"/>
      <c r="BC21" s="36"/>
      <c r="BD21" s="676"/>
      <c r="BE21" s="676"/>
      <c r="BF21" s="676"/>
      <c r="BG21" s="36"/>
      <c r="BH21" s="36"/>
    </row>
    <row r="22" spans="1:80" ht="36" hidden="1" customHeight="1" x14ac:dyDescent="0.25">
      <c r="A22" s="1395"/>
      <c r="B22" s="1395"/>
      <c r="C22" s="1395"/>
      <c r="D22" s="150"/>
      <c r="E22" s="149"/>
      <c r="F22" s="676"/>
      <c r="G22" s="676"/>
      <c r="H22" s="676"/>
      <c r="I22" s="140"/>
      <c r="J22" s="36"/>
      <c r="K22" s="47"/>
      <c r="L22" s="47"/>
      <c r="M22" s="47"/>
      <c r="N22" s="140"/>
      <c r="O22" s="36"/>
      <c r="P22" s="47"/>
      <c r="Q22" s="47"/>
      <c r="R22" s="47"/>
      <c r="S22" s="140"/>
      <c r="T22" s="36"/>
      <c r="U22" s="230"/>
      <c r="V22" s="32"/>
      <c r="W22" s="33"/>
      <c r="X22" s="34"/>
      <c r="Y22" s="35"/>
      <c r="Z22" s="47"/>
      <c r="AA22" s="47"/>
      <c r="AB22" s="47"/>
      <c r="AC22" s="140"/>
      <c r="AD22" s="36"/>
      <c r="AE22" s="47"/>
      <c r="AF22" s="47"/>
      <c r="AG22" s="47"/>
      <c r="AH22" s="140"/>
      <c r="AI22" s="36"/>
      <c r="AJ22" s="47"/>
      <c r="AK22" s="47"/>
      <c r="AL22" s="47"/>
      <c r="AM22" s="140"/>
      <c r="AN22" s="36"/>
      <c r="AO22" s="676"/>
      <c r="AP22" s="676"/>
      <c r="AQ22" s="676"/>
      <c r="AR22" s="140"/>
      <c r="AS22" s="36"/>
      <c r="AT22" s="1388"/>
      <c r="AU22" s="1388"/>
      <c r="AV22" s="1388"/>
      <c r="AW22" s="141"/>
      <c r="AX22" s="139"/>
      <c r="AY22" s="676"/>
      <c r="AZ22" s="676"/>
      <c r="BA22" s="676"/>
      <c r="BB22" s="36"/>
      <c r="BC22" s="36"/>
      <c r="BD22" s="676"/>
      <c r="BE22" s="676"/>
      <c r="BF22" s="676"/>
      <c r="BG22" s="36"/>
      <c r="BH22" s="36"/>
    </row>
    <row r="23" spans="1:80" ht="18.75" hidden="1" customHeight="1" x14ac:dyDescent="0.25">
      <c r="A23" s="1395"/>
      <c r="B23" s="1395"/>
      <c r="C23" s="1395"/>
      <c r="D23" s="149"/>
      <c r="E23" s="149"/>
      <c r="F23" s="676"/>
      <c r="G23" s="676"/>
      <c r="H23" s="676"/>
      <c r="I23" s="36"/>
      <c r="J23" s="36"/>
      <c r="K23" s="47"/>
      <c r="L23" s="47"/>
      <c r="M23" s="47"/>
      <c r="N23" s="36"/>
      <c r="O23" s="36"/>
      <c r="P23" s="47"/>
      <c r="Q23" s="47"/>
      <c r="R23" s="47"/>
      <c r="S23" s="36"/>
      <c r="T23" s="36"/>
      <c r="U23" s="44"/>
      <c r="V23" s="44"/>
      <c r="Z23" s="47"/>
      <c r="AA23" s="47"/>
      <c r="AB23" s="47"/>
      <c r="AC23" s="36"/>
      <c r="AD23" s="36"/>
      <c r="AE23" s="47"/>
      <c r="AF23" s="47"/>
      <c r="AG23" s="47"/>
      <c r="AH23" s="36"/>
      <c r="AI23" s="36"/>
      <c r="AJ23" s="47"/>
      <c r="AK23" s="47"/>
      <c r="AL23" s="47"/>
      <c r="AM23" s="36"/>
      <c r="AN23" s="36"/>
      <c r="AO23" s="676"/>
      <c r="AP23" s="676"/>
      <c r="AQ23" s="676"/>
      <c r="AR23" s="36"/>
      <c r="AS23" s="36"/>
      <c r="AT23" s="1388"/>
      <c r="AU23" s="1388"/>
      <c r="AV23" s="1388"/>
      <c r="AW23" s="139"/>
      <c r="AX23" s="139"/>
      <c r="AY23" s="676"/>
      <c r="AZ23" s="676"/>
      <c r="BA23" s="676"/>
      <c r="BB23" s="36"/>
      <c r="BC23" s="36"/>
      <c r="BD23" s="676"/>
      <c r="BE23" s="676"/>
      <c r="BF23" s="676"/>
      <c r="BG23" s="36"/>
      <c r="BH23" s="36"/>
    </row>
    <row r="24" spans="1:80" ht="77.25" hidden="1" customHeight="1" x14ac:dyDescent="0.25">
      <c r="A24" s="1398"/>
      <c r="B24" s="1399"/>
      <c r="C24" s="1399"/>
      <c r="D24" s="1399"/>
      <c r="E24" s="1399"/>
      <c r="F24" s="1370"/>
      <c r="G24" s="1371"/>
      <c r="H24" s="1371"/>
      <c r="I24" s="1371"/>
      <c r="J24" s="1371"/>
      <c r="K24" s="230"/>
      <c r="L24" s="142"/>
      <c r="M24" s="142"/>
      <c r="N24" s="142"/>
      <c r="O24" s="142"/>
      <c r="P24" s="230"/>
      <c r="Q24" s="142"/>
      <c r="R24" s="142"/>
      <c r="S24" s="142"/>
      <c r="T24" s="142"/>
      <c r="U24" s="47"/>
      <c r="V24" s="47"/>
      <c r="Z24" s="230"/>
      <c r="AA24" s="142"/>
      <c r="AB24" s="142"/>
      <c r="AC24" s="142"/>
      <c r="AD24" s="142"/>
      <c r="AE24" s="230"/>
      <c r="AF24" s="142"/>
      <c r="AG24" s="142"/>
      <c r="AH24" s="142"/>
      <c r="AI24" s="142"/>
      <c r="AJ24" s="230"/>
      <c r="AK24" s="142"/>
      <c r="AL24" s="142"/>
      <c r="AM24" s="142"/>
      <c r="AN24" s="142"/>
      <c r="AO24" s="1370"/>
      <c r="AP24" s="1371"/>
      <c r="AQ24" s="1371"/>
      <c r="AR24" s="1371"/>
      <c r="AS24" s="1371"/>
      <c r="AT24" s="1439"/>
      <c r="AU24" s="1440"/>
      <c r="AV24" s="1440"/>
      <c r="AW24" s="1440"/>
      <c r="AX24" s="1440"/>
      <c r="AY24" s="677"/>
      <c r="AZ24" s="1332"/>
      <c r="BA24" s="1332"/>
      <c r="BB24" s="1332"/>
      <c r="BC24" s="1332"/>
      <c r="BD24" s="677"/>
      <c r="BE24" s="1332"/>
      <c r="BF24" s="1332"/>
      <c r="BG24" s="1332"/>
      <c r="BH24" s="1332"/>
      <c r="BM24" s="51"/>
      <c r="BN24" s="51"/>
      <c r="BO24" s="51"/>
      <c r="BP24" s="51"/>
      <c r="BQ24" s="51"/>
      <c r="BR24" s="51"/>
      <c r="BW24" s="27"/>
      <c r="BX24" s="27"/>
      <c r="BY24" s="27"/>
      <c r="BZ24" s="27"/>
      <c r="CA24" s="27"/>
      <c r="CB24" s="27"/>
    </row>
    <row r="25" spans="1:80" ht="26.25" hidden="1" customHeight="1" x14ac:dyDescent="0.25">
      <c r="A25" s="1398"/>
      <c r="B25" s="151"/>
      <c r="C25" s="152"/>
      <c r="D25" s="153"/>
      <c r="E25" s="154"/>
      <c r="F25" s="1370"/>
      <c r="G25" s="32"/>
      <c r="H25" s="33"/>
      <c r="I25" s="34"/>
      <c r="J25" s="35"/>
      <c r="K25" s="230"/>
      <c r="L25" s="32"/>
      <c r="M25" s="33"/>
      <c r="N25" s="34"/>
      <c r="O25" s="35"/>
      <c r="P25" s="230"/>
      <c r="Q25" s="32"/>
      <c r="R25" s="33"/>
      <c r="S25" s="34"/>
      <c r="T25" s="35"/>
      <c r="U25" s="47"/>
      <c r="V25" s="47"/>
      <c r="Z25" s="230"/>
      <c r="AA25" s="32"/>
      <c r="AB25" s="33"/>
      <c r="AC25" s="34"/>
      <c r="AD25" s="35"/>
      <c r="AE25" s="230"/>
      <c r="AF25" s="32"/>
      <c r="AG25" s="33"/>
      <c r="AH25" s="34"/>
      <c r="AI25" s="35"/>
      <c r="AJ25" s="230"/>
      <c r="AK25" s="32"/>
      <c r="AL25" s="33"/>
      <c r="AM25" s="34"/>
      <c r="AN25" s="35"/>
      <c r="AO25" s="1370"/>
      <c r="AP25" s="32"/>
      <c r="AQ25" s="33"/>
      <c r="AR25" s="34"/>
      <c r="AS25" s="35"/>
      <c r="AT25" s="1439"/>
      <c r="AU25" s="155"/>
      <c r="AV25" s="148"/>
      <c r="AW25" s="156"/>
      <c r="AX25" s="157"/>
      <c r="AY25" s="677"/>
      <c r="AZ25" s="137"/>
      <c r="BA25" s="33"/>
      <c r="BB25" s="138"/>
      <c r="BC25" s="35"/>
      <c r="BD25" s="677"/>
      <c r="BE25" s="137"/>
      <c r="BF25" s="33"/>
      <c r="BG25" s="138"/>
      <c r="BH25" s="35"/>
      <c r="BM25" s="51"/>
      <c r="BN25" s="51"/>
      <c r="BO25" s="51"/>
      <c r="BP25" s="51"/>
      <c r="BQ25" s="51"/>
      <c r="BR25" s="51"/>
      <c r="BW25" s="27"/>
      <c r="BX25" s="27"/>
      <c r="BY25" s="27"/>
      <c r="BZ25" s="27"/>
      <c r="CA25" s="27"/>
      <c r="CB25" s="27"/>
    </row>
    <row r="26" spans="1:80" ht="26.25" hidden="1" customHeight="1" x14ac:dyDescent="0.25">
      <c r="A26" s="1396"/>
      <c r="B26" s="1396"/>
      <c r="C26" s="1396"/>
      <c r="D26" s="1397"/>
      <c r="E26" s="1397"/>
      <c r="F26" s="674"/>
      <c r="G26" s="674"/>
      <c r="H26" s="674"/>
      <c r="I26" s="1300"/>
      <c r="J26" s="1300"/>
      <c r="K26" s="44"/>
      <c r="L26" s="44"/>
      <c r="M26" s="44"/>
      <c r="N26" s="69"/>
      <c r="O26" s="69"/>
      <c r="P26" s="44"/>
      <c r="Q26" s="44"/>
      <c r="R26" s="44"/>
      <c r="S26" s="69"/>
      <c r="T26" s="69"/>
      <c r="U26" s="47"/>
      <c r="V26" s="47"/>
      <c r="Z26" s="44"/>
      <c r="AA26" s="44"/>
      <c r="AB26" s="44"/>
      <c r="AC26" s="69"/>
      <c r="AD26" s="69"/>
      <c r="AE26" s="44"/>
      <c r="AF26" s="44"/>
      <c r="AG26" s="44"/>
      <c r="AH26" s="69"/>
      <c r="AI26" s="69"/>
      <c r="AJ26" s="44"/>
      <c r="AK26" s="44"/>
      <c r="AP26" s="44"/>
      <c r="AQ26" s="44"/>
      <c r="AT26" s="1389"/>
      <c r="AU26" s="1389"/>
      <c r="AV26" s="1389"/>
      <c r="AW26" s="1390"/>
      <c r="AX26" s="1390"/>
      <c r="AY26" s="674"/>
      <c r="AZ26" s="674"/>
      <c r="BA26" s="674"/>
      <c r="BB26" s="1300"/>
      <c r="BC26" s="1300"/>
      <c r="BD26" s="674"/>
      <c r="BE26" s="674"/>
      <c r="BF26" s="674"/>
      <c r="BG26" s="1300"/>
      <c r="BH26" s="1300"/>
      <c r="BM26" s="51"/>
      <c r="BN26" s="51"/>
      <c r="BO26" s="51"/>
      <c r="BP26" s="51"/>
      <c r="BQ26" s="51"/>
      <c r="BR26" s="51"/>
      <c r="BW26" s="27"/>
      <c r="BX26" s="27"/>
      <c r="BY26" s="27"/>
      <c r="BZ26" s="27"/>
      <c r="CA26" s="27"/>
      <c r="CB26" s="27"/>
    </row>
    <row r="27" spans="1:80" ht="21" hidden="1" customHeight="1" x14ac:dyDescent="0.25">
      <c r="A27" s="1395"/>
      <c r="B27" s="1395"/>
      <c r="C27" s="1395"/>
      <c r="D27" s="149"/>
      <c r="E27" s="149"/>
      <c r="F27" s="676"/>
      <c r="G27" s="676"/>
      <c r="H27" s="676"/>
      <c r="I27" s="36"/>
      <c r="J27" s="36"/>
      <c r="K27" s="47"/>
      <c r="L27" s="47"/>
      <c r="M27" s="47"/>
      <c r="N27" s="36"/>
      <c r="O27" s="36"/>
      <c r="P27" s="47"/>
      <c r="Q27" s="47"/>
      <c r="R27" s="47"/>
      <c r="S27" s="36"/>
      <c r="T27" s="36"/>
      <c r="U27" s="70"/>
      <c r="Z27" s="47"/>
      <c r="AA27" s="47"/>
      <c r="AB27" s="47"/>
      <c r="AC27" s="36"/>
      <c r="AD27" s="36"/>
      <c r="AE27" s="47"/>
      <c r="AF27" s="47"/>
      <c r="AG27" s="47"/>
      <c r="AH27" s="36"/>
      <c r="AI27" s="36"/>
      <c r="AJ27" s="47"/>
      <c r="AK27" s="47"/>
      <c r="AP27" s="47"/>
      <c r="AQ27" s="47"/>
      <c r="AT27" s="1388"/>
      <c r="AU27" s="1388"/>
      <c r="AV27" s="1388"/>
      <c r="AW27" s="139"/>
      <c r="AX27" s="139"/>
      <c r="AY27" s="676"/>
      <c r="AZ27" s="676"/>
      <c r="BA27" s="676"/>
      <c r="BB27" s="36"/>
      <c r="BC27" s="36"/>
      <c r="BD27" s="676"/>
      <c r="BE27" s="676"/>
      <c r="BF27" s="676"/>
      <c r="BG27" s="36"/>
      <c r="BH27" s="36"/>
    </row>
    <row r="28" spans="1:80" ht="20.25" hidden="1" customHeight="1" thickTop="1" x14ac:dyDescent="0.25">
      <c r="A28" s="1395"/>
      <c r="B28" s="1395"/>
      <c r="C28" s="1395"/>
      <c r="D28" s="150"/>
      <c r="E28" s="149"/>
      <c r="F28" s="676"/>
      <c r="G28" s="676"/>
      <c r="H28" s="676"/>
      <c r="I28" s="140"/>
      <c r="J28" s="36"/>
      <c r="K28" s="47"/>
      <c r="L28" s="47"/>
      <c r="M28" s="47"/>
      <c r="N28" s="140"/>
      <c r="O28" s="36"/>
      <c r="P28" s="47"/>
      <c r="Q28" s="47"/>
      <c r="R28" s="47"/>
      <c r="S28" s="140"/>
      <c r="T28" s="36"/>
      <c r="U28" s="70"/>
      <c r="V28" s="137"/>
      <c r="W28" s="33"/>
      <c r="X28" s="138"/>
      <c r="Y28" s="35"/>
      <c r="Z28" s="47"/>
      <c r="AA28" s="47"/>
      <c r="AB28" s="47"/>
      <c r="AC28" s="140"/>
      <c r="AD28" s="36"/>
      <c r="AE28" s="47"/>
      <c r="AF28" s="47"/>
      <c r="AG28" s="47"/>
      <c r="AH28" s="36"/>
      <c r="AI28" s="36"/>
      <c r="AJ28" s="47"/>
      <c r="AK28" s="47"/>
      <c r="AP28" s="47"/>
      <c r="AQ28" s="47"/>
      <c r="AT28" s="1388"/>
      <c r="AU28" s="1388"/>
      <c r="AV28" s="1388"/>
      <c r="AW28" s="139"/>
      <c r="AX28" s="139"/>
      <c r="AY28" s="676"/>
      <c r="AZ28" s="676"/>
      <c r="BA28" s="676"/>
      <c r="BB28" s="36"/>
      <c r="BC28" s="36"/>
      <c r="BD28" s="676"/>
      <c r="BE28" s="676"/>
      <c r="BF28" s="676"/>
      <c r="BG28" s="36"/>
      <c r="BH28" s="36"/>
    </row>
    <row r="29" spans="1:80" ht="26.25" hidden="1" customHeight="1" x14ac:dyDescent="0.25">
      <c r="A29" s="1395"/>
      <c r="B29" s="1395"/>
      <c r="C29" s="1395"/>
      <c r="D29" s="149"/>
      <c r="E29" s="149"/>
      <c r="F29" s="676"/>
      <c r="G29" s="676"/>
      <c r="H29" s="676"/>
      <c r="I29" s="36"/>
      <c r="J29" s="36"/>
      <c r="K29" s="47"/>
      <c r="L29" s="47"/>
      <c r="M29" s="47"/>
      <c r="N29" s="36"/>
      <c r="O29" s="36"/>
      <c r="P29" s="47"/>
      <c r="Q29" s="47"/>
      <c r="R29" s="47"/>
      <c r="S29" s="36"/>
      <c r="T29" s="36"/>
      <c r="U29" s="47"/>
      <c r="V29" s="47"/>
      <c r="W29" s="47"/>
      <c r="X29" s="36"/>
      <c r="Y29" s="36"/>
      <c r="Z29" s="47"/>
      <c r="AA29" s="47"/>
      <c r="AB29" s="47"/>
      <c r="AC29" s="36"/>
      <c r="AD29" s="36"/>
      <c r="AE29" s="47"/>
      <c r="AF29" s="47"/>
      <c r="AG29" s="47"/>
      <c r="AH29" s="36"/>
      <c r="AI29" s="36"/>
      <c r="AJ29" s="47"/>
      <c r="AK29" s="47"/>
      <c r="AP29" s="47"/>
      <c r="AQ29" s="47"/>
      <c r="AR29" s="36"/>
      <c r="AS29" s="36"/>
      <c r="AT29" s="1388"/>
      <c r="AU29" s="1388"/>
      <c r="AV29" s="1388"/>
      <c r="AW29" s="139"/>
      <c r="AX29" s="139"/>
      <c r="AY29" s="676"/>
      <c r="AZ29" s="676"/>
      <c r="BA29" s="676"/>
      <c r="BB29" s="36"/>
      <c r="BC29" s="36"/>
      <c r="BD29" s="676"/>
      <c r="BE29" s="676"/>
      <c r="BF29" s="676"/>
      <c r="BG29" s="36"/>
      <c r="BH29" s="36"/>
    </row>
    <row r="30" spans="1:80" ht="60.75" customHeight="1" x14ac:dyDescent="0.25">
      <c r="A30" s="1400"/>
      <c r="B30" s="1401"/>
      <c r="C30" s="1401"/>
      <c r="D30" s="1401"/>
      <c r="E30" s="1401"/>
      <c r="F30" s="1370"/>
      <c r="G30" s="1371"/>
      <c r="H30" s="1371"/>
      <c r="I30" s="1371"/>
      <c r="J30" s="1371"/>
      <c r="K30" s="230"/>
      <c r="L30" s="142"/>
      <c r="M30" s="142"/>
      <c r="N30" s="142"/>
      <c r="O30" s="142"/>
      <c r="P30" s="230"/>
      <c r="Q30" s="142"/>
      <c r="R30" s="142"/>
      <c r="S30" s="142"/>
      <c r="T30" s="142"/>
      <c r="U30" s="230"/>
      <c r="V30" s="142"/>
      <c r="W30" s="142"/>
      <c r="X30" s="142"/>
      <c r="Y30" s="142"/>
      <c r="Z30" s="230"/>
      <c r="AA30" s="142"/>
      <c r="AB30" s="142"/>
      <c r="AC30" s="142"/>
      <c r="AD30" s="142"/>
      <c r="AE30" s="70"/>
      <c r="AF30" s="231"/>
      <c r="AG30" s="231"/>
      <c r="AH30" s="231"/>
      <c r="AI30" s="231"/>
      <c r="AJ30" s="70"/>
      <c r="AR30" s="132"/>
      <c r="AS30" s="132"/>
      <c r="AT30" s="677"/>
      <c r="AU30" s="1332"/>
      <c r="AV30" s="1332"/>
      <c r="AW30" s="1332"/>
      <c r="AX30" s="1332"/>
      <c r="AY30" s="677"/>
      <c r="AZ30" s="1332"/>
      <c r="BA30" s="1332"/>
      <c r="BB30" s="1332"/>
      <c r="BC30" s="1332"/>
      <c r="BD30" s="677" t="s">
        <v>254</v>
      </c>
      <c r="BE30" s="1332"/>
      <c r="BF30" s="1332"/>
      <c r="BG30" s="1332"/>
      <c r="BH30" s="1332"/>
      <c r="BM30" s="51"/>
      <c r="BN30" s="51"/>
      <c r="BO30" s="51"/>
      <c r="BP30" s="51"/>
      <c r="BQ30" s="51"/>
      <c r="BR30" s="51"/>
      <c r="BW30" s="27"/>
      <c r="BX30" s="27"/>
      <c r="BY30" s="27"/>
      <c r="BZ30" s="27"/>
      <c r="CA30" s="27"/>
      <c r="CB30" s="27"/>
    </row>
    <row r="31" spans="1:80" ht="54.75" customHeight="1" x14ac:dyDescent="0.25">
      <c r="A31" s="1400"/>
      <c r="B31" s="158"/>
      <c r="C31" s="159"/>
      <c r="D31" s="160"/>
      <c r="E31" s="161"/>
      <c r="F31" s="1370"/>
      <c r="G31" s="32"/>
      <c r="H31" s="33"/>
      <c r="I31" s="34"/>
      <c r="J31" s="35"/>
      <c r="K31" s="230"/>
      <c r="L31" s="32"/>
      <c r="M31" s="33"/>
      <c r="N31" s="34"/>
      <c r="O31" s="35"/>
      <c r="P31" s="230"/>
      <c r="Q31" s="32"/>
      <c r="R31" s="33"/>
      <c r="S31" s="34"/>
      <c r="T31" s="35"/>
      <c r="U31" s="230"/>
      <c r="V31" s="32"/>
      <c r="W31" s="33"/>
      <c r="X31" s="34"/>
      <c r="Y31" s="35"/>
      <c r="Z31" s="230"/>
      <c r="AA31" s="32"/>
      <c r="AB31" s="33"/>
      <c r="AC31" s="34"/>
      <c r="AD31" s="35"/>
      <c r="AE31" s="70"/>
      <c r="AF31" s="137"/>
      <c r="AG31" s="33"/>
      <c r="AH31" s="138"/>
      <c r="AI31" s="35"/>
      <c r="AJ31" s="70"/>
      <c r="AK31" s="137"/>
      <c r="AL31" s="33"/>
      <c r="AM31" s="138"/>
      <c r="AN31" s="35"/>
      <c r="AO31" s="70"/>
      <c r="AP31" s="137"/>
      <c r="AQ31" s="33"/>
      <c r="AR31" s="138"/>
      <c r="AS31" s="35"/>
      <c r="AT31" s="677"/>
      <c r="AU31" s="137"/>
      <c r="AV31" s="33"/>
      <c r="AW31" s="138"/>
      <c r="AX31" s="35"/>
      <c r="AY31" s="677"/>
      <c r="AZ31" s="137" t="s">
        <v>16</v>
      </c>
      <c r="BA31" s="33"/>
      <c r="BB31" s="138"/>
      <c r="BC31" s="35"/>
      <c r="BD31" s="677"/>
      <c r="BE31" s="137" t="s">
        <v>15</v>
      </c>
      <c r="BF31" s="33"/>
      <c r="BG31" s="138"/>
      <c r="BH31" s="35"/>
      <c r="BM31" s="51"/>
      <c r="BN31" s="51"/>
      <c r="BO31" s="51"/>
      <c r="BP31" s="51"/>
      <c r="BQ31" s="51"/>
      <c r="BR31" s="51"/>
      <c r="BW31" s="27"/>
      <c r="BX31" s="27"/>
      <c r="BY31" s="27"/>
      <c r="BZ31" s="27"/>
      <c r="CA31" s="27"/>
      <c r="CB31" s="27"/>
    </row>
    <row r="32" spans="1:80" ht="59.25" customHeight="1" x14ac:dyDescent="0.25">
      <c r="A32" s="31"/>
      <c r="B32" s="162"/>
      <c r="C32" s="162"/>
      <c r="D32" s="162"/>
      <c r="F32" s="163"/>
      <c r="G32" s="163"/>
      <c r="H32" s="1413">
        <v>2</v>
      </c>
      <c r="I32" s="1413"/>
      <c r="J32" s="1413"/>
      <c r="K32" s="164"/>
      <c r="L32" s="160"/>
      <c r="M32" s="160"/>
      <c r="N32" s="160"/>
      <c r="O32" s="160"/>
      <c r="P32" s="160"/>
      <c r="Q32" s="1414" t="s">
        <v>255</v>
      </c>
      <c r="R32" s="1414"/>
      <c r="S32" s="1414"/>
      <c r="T32" s="1414"/>
      <c r="U32" s="1414"/>
      <c r="V32" s="1414"/>
      <c r="W32" s="165"/>
      <c r="X32" s="1690" t="s">
        <v>256</v>
      </c>
      <c r="Y32" s="1690"/>
      <c r="Z32" s="1690"/>
      <c r="AA32" s="1690"/>
      <c r="AB32" s="1690"/>
      <c r="AC32" s="1691">
        <f>L7+Q7+V7+AA7+AF7+V13</f>
        <v>3.0224000000000002</v>
      </c>
      <c r="AD32" s="1691"/>
      <c r="AE32" s="1691"/>
      <c r="AF32" s="1691"/>
      <c r="AG32" s="1691"/>
      <c r="AH32" s="1691"/>
      <c r="AI32" s="166"/>
      <c r="AJ32" s="1416" t="s">
        <v>119</v>
      </c>
      <c r="AK32" s="1416"/>
      <c r="AL32" s="1416"/>
      <c r="AM32" s="1416"/>
      <c r="AN32" s="1416"/>
      <c r="AO32" s="1417">
        <f>N7+S7+X7+AC7+AH7+AM7</f>
        <v>0</v>
      </c>
      <c r="AP32" s="1417"/>
      <c r="AQ32" s="1417"/>
      <c r="AR32" s="1417"/>
      <c r="AS32" s="1417"/>
      <c r="AT32" s="1402" t="s">
        <v>120</v>
      </c>
      <c r="AU32" s="1402"/>
      <c r="AV32" s="1402"/>
      <c r="AW32" s="1402"/>
      <c r="AX32" s="127"/>
      <c r="AY32" s="72"/>
      <c r="AZ32" s="72"/>
      <c r="BA32" s="72"/>
      <c r="BB32" s="72"/>
      <c r="BC32" s="72"/>
      <c r="BD32" s="72"/>
      <c r="BE32" t="s">
        <v>16</v>
      </c>
      <c r="BF32" s="167"/>
      <c r="BG32" s="167"/>
      <c r="BH32" s="167"/>
      <c r="BM32" s="51"/>
      <c r="BN32" s="51"/>
      <c r="BO32" s="51"/>
      <c r="BP32" s="51"/>
      <c r="BQ32" s="51"/>
      <c r="BR32" s="51"/>
      <c r="BW32" s="27"/>
      <c r="BX32" s="27"/>
      <c r="BY32" s="27"/>
      <c r="BZ32" s="27"/>
      <c r="CA32" s="27"/>
      <c r="CB32" s="27"/>
    </row>
    <row r="33" spans="1:80" ht="19.5" customHeight="1" x14ac:dyDescent="0.25">
      <c r="B33" s="162"/>
      <c r="C33" s="162"/>
      <c r="D33" s="162"/>
      <c r="E33" s="163"/>
      <c r="F33" s="163"/>
      <c r="G33" s="163"/>
      <c r="H33" s="1413"/>
      <c r="I33" s="1413"/>
      <c r="J33" s="1413"/>
      <c r="K33" s="168"/>
      <c r="L33" s="160"/>
      <c r="M33" s="160"/>
      <c r="N33" s="160"/>
      <c r="O33" s="160"/>
      <c r="P33" s="160"/>
      <c r="Q33" s="1414"/>
      <c r="R33" s="1414"/>
      <c r="S33" s="1414"/>
      <c r="T33" s="1414"/>
      <c r="U33" s="1414"/>
      <c r="V33" s="1414"/>
      <c r="W33" s="169"/>
      <c r="X33" s="1690"/>
      <c r="Y33" s="1690"/>
      <c r="Z33" s="1690"/>
      <c r="AA33" s="1690"/>
      <c r="AB33" s="1690"/>
      <c r="AC33" s="1691"/>
      <c r="AD33" s="1691"/>
      <c r="AE33" s="1691"/>
      <c r="AF33" s="1691"/>
      <c r="AG33" s="1691"/>
      <c r="AH33" s="1691"/>
      <c r="AI33" s="166"/>
      <c r="AJ33" s="1416"/>
      <c r="AK33" s="1416"/>
      <c r="AL33" s="1416"/>
      <c r="AM33" s="1416"/>
      <c r="AN33" s="1416"/>
      <c r="AO33" s="1417"/>
      <c r="AP33" s="1417"/>
      <c r="AQ33" s="1417"/>
      <c r="AR33" s="1417"/>
      <c r="AS33" s="1417"/>
      <c r="AT33" s="1402"/>
      <c r="AU33" s="1402"/>
      <c r="AV33" s="1402"/>
      <c r="AW33" s="1402"/>
      <c r="BI33" s="50"/>
      <c r="BJ33" s="50"/>
      <c r="BM33" s="51"/>
      <c r="BN33" s="51"/>
      <c r="BO33" s="51"/>
      <c r="BP33" s="51"/>
      <c r="BQ33" s="51"/>
      <c r="BR33" s="51"/>
      <c r="BS33" s="27"/>
      <c r="BT33" s="27"/>
      <c r="BU33" s="27"/>
      <c r="BW33" s="27"/>
      <c r="BX33" s="27"/>
      <c r="BY33" s="27"/>
      <c r="BZ33" s="27"/>
      <c r="CA33" s="27"/>
      <c r="CB33" s="27"/>
    </row>
    <row r="34" spans="1:80" ht="2.25" hidden="1" customHeight="1" x14ac:dyDescent="0.25">
      <c r="B34" s="162"/>
      <c r="C34" s="162"/>
      <c r="D34" s="162"/>
      <c r="E34" s="163"/>
      <c r="F34" s="163"/>
      <c r="G34" s="163"/>
      <c r="H34" s="168"/>
      <c r="I34" s="168"/>
      <c r="J34" s="168"/>
      <c r="K34" s="168"/>
      <c r="L34" s="160"/>
      <c r="M34" s="160"/>
      <c r="N34" s="160"/>
      <c r="O34" s="160"/>
      <c r="P34" s="160"/>
      <c r="Q34" s="1414"/>
      <c r="R34" s="1414"/>
      <c r="S34" s="1414"/>
      <c r="T34" s="1414"/>
      <c r="U34" s="1414"/>
      <c r="V34" s="1414"/>
      <c r="W34" s="169"/>
      <c r="X34" s="1690"/>
      <c r="Y34" s="1690"/>
      <c r="Z34" s="1690"/>
      <c r="AA34" s="1690"/>
      <c r="AB34" s="1690"/>
      <c r="AC34" s="1691"/>
      <c r="AD34" s="1691"/>
      <c r="AE34" s="1691"/>
      <c r="AF34" s="1691"/>
      <c r="AG34" s="1691"/>
      <c r="AH34" s="1691"/>
      <c r="AI34" s="166"/>
      <c r="AJ34" s="1416"/>
      <c r="AK34" s="1416"/>
      <c r="AL34" s="1416"/>
      <c r="AM34" s="1416"/>
      <c r="AN34" s="1416"/>
      <c r="AO34" s="1403">
        <f>AO32*1.5</f>
        <v>0</v>
      </c>
      <c r="AP34" s="1403"/>
      <c r="AQ34" s="1403"/>
      <c r="AR34" s="1403"/>
      <c r="AS34" s="1403"/>
      <c r="AT34" s="1403"/>
      <c r="AU34" s="1403"/>
      <c r="AV34" s="1404" t="s">
        <v>121</v>
      </c>
      <c r="AW34" s="1404"/>
      <c r="BI34" s="50"/>
      <c r="BJ34" s="50"/>
      <c r="BM34" s="27"/>
      <c r="BN34" s="27"/>
      <c r="BO34" s="27"/>
      <c r="BP34" s="27"/>
      <c r="BQ34" s="27"/>
      <c r="BR34" s="27"/>
      <c r="BS34" s="27"/>
      <c r="BT34" s="27"/>
      <c r="BU34" s="27"/>
      <c r="BW34" s="27"/>
      <c r="BX34" s="27"/>
      <c r="BY34" s="27"/>
      <c r="BZ34" s="27"/>
      <c r="CA34" s="27"/>
      <c r="CB34" s="27"/>
    </row>
    <row r="35" spans="1:80" ht="54.75" customHeight="1" x14ac:dyDescent="0.25">
      <c r="B35" s="162"/>
      <c r="C35" s="162"/>
      <c r="D35" s="162"/>
      <c r="E35" s="163"/>
      <c r="F35" s="163"/>
      <c r="G35" s="163"/>
      <c r="H35" s="1405">
        <v>2</v>
      </c>
      <c r="I35" s="1405"/>
      <c r="J35" s="1405"/>
      <c r="K35" s="168"/>
      <c r="L35" s="160"/>
      <c r="M35" s="160"/>
      <c r="N35" s="160"/>
      <c r="O35" s="160"/>
      <c r="P35" s="160"/>
      <c r="Q35" s="3158"/>
      <c r="R35" s="3159"/>
      <c r="S35" s="3159"/>
      <c r="T35" s="3159"/>
      <c r="U35" s="3159"/>
      <c r="V35" s="3159"/>
      <c r="W35" s="169"/>
      <c r="X35" s="1690"/>
      <c r="Y35" s="1690"/>
      <c r="Z35" s="1690"/>
      <c r="AA35" s="1690"/>
      <c r="AB35" s="1690"/>
      <c r="AC35" s="1691"/>
      <c r="AD35" s="1691"/>
      <c r="AE35" s="1691"/>
      <c r="AF35" s="1691"/>
      <c r="AG35" s="1691"/>
      <c r="AH35" s="1691"/>
      <c r="AI35" s="166"/>
      <c r="AJ35" s="1416"/>
      <c r="AK35" s="1416"/>
      <c r="AL35" s="1416"/>
      <c r="AM35" s="1416"/>
      <c r="AN35" s="1416"/>
      <c r="AO35" s="1403"/>
      <c r="AP35" s="1403"/>
      <c r="AQ35" s="1403"/>
      <c r="AR35" s="1403"/>
      <c r="AS35" s="1403"/>
      <c r="AT35" s="1403"/>
      <c r="AU35" s="1403"/>
      <c r="AV35" s="1404"/>
      <c r="AW35" s="1404"/>
      <c r="BI35" s="50"/>
      <c r="BJ35" s="50"/>
      <c r="BM35" s="27"/>
      <c r="BN35" s="27"/>
      <c r="BO35" s="27"/>
      <c r="BP35" s="27"/>
      <c r="BQ35" s="27"/>
      <c r="BR35" s="27"/>
      <c r="BS35" s="27"/>
      <c r="BT35" s="27"/>
      <c r="BU35" s="27"/>
      <c r="BW35" s="27"/>
      <c r="BX35" s="27"/>
      <c r="BY35" s="27"/>
      <c r="BZ35" s="27"/>
      <c r="CA35" s="27"/>
      <c r="CB35" s="27"/>
    </row>
    <row r="36" spans="1:80" ht="93" customHeight="1" x14ac:dyDescent="0.25">
      <c r="B36" s="162"/>
      <c r="C36" s="162"/>
      <c r="D36" s="162"/>
      <c r="E36" s="162"/>
      <c r="F36" s="162"/>
      <c r="G36" s="164"/>
      <c r="H36" s="1408"/>
      <c r="I36" s="1408"/>
      <c r="J36" s="1408"/>
      <c r="K36" s="168"/>
      <c r="L36" s="160"/>
      <c r="M36" s="160"/>
      <c r="N36" s="160"/>
      <c r="O36" s="160"/>
      <c r="P36" s="160"/>
      <c r="Q36" s="3159"/>
      <c r="R36" s="3159"/>
      <c r="S36" s="3159"/>
      <c r="T36" s="3159"/>
      <c r="U36" s="3159"/>
      <c r="V36" s="3159"/>
      <c r="W36" s="169"/>
      <c r="X36" s="1690"/>
      <c r="Y36" s="1690"/>
      <c r="Z36" s="1690"/>
      <c r="AA36" s="1690"/>
      <c r="AB36" s="1690"/>
      <c r="AC36" s="1691"/>
      <c r="AD36" s="1691"/>
      <c r="AE36" s="1691"/>
      <c r="AF36" s="1691"/>
      <c r="AG36" s="1691"/>
      <c r="AH36" s="1691"/>
      <c r="AI36" s="166"/>
      <c r="AJ36" s="1416"/>
      <c r="AK36" s="1416"/>
      <c r="AL36" s="1416"/>
      <c r="AM36" s="1416"/>
      <c r="AN36" s="1416"/>
      <c r="AO36" s="1403"/>
      <c r="AP36" s="1403"/>
      <c r="AQ36" s="1403"/>
      <c r="AR36" s="1403"/>
      <c r="AS36" s="1403"/>
      <c r="AT36" s="1403"/>
      <c r="AU36" s="1403"/>
      <c r="AV36" s="1404"/>
      <c r="AW36" s="1404"/>
      <c r="BI36" s="50"/>
      <c r="BJ36" s="50"/>
      <c r="BM36" s="27"/>
      <c r="BN36" s="27"/>
      <c r="BO36" s="27"/>
      <c r="BP36" s="27"/>
      <c r="BQ36" s="27"/>
      <c r="BR36" s="27"/>
      <c r="BS36" s="27"/>
      <c r="BT36" s="27"/>
      <c r="BU36" s="27"/>
      <c r="BW36" s="27"/>
      <c r="BX36" s="27"/>
      <c r="BY36" s="27"/>
      <c r="BZ36" s="27"/>
      <c r="CA36" s="27"/>
      <c r="CB36" s="27"/>
    </row>
    <row r="37" spans="1:80" ht="15" customHeight="1" x14ac:dyDescent="0.25">
      <c r="B37" s="162"/>
      <c r="C37" s="162"/>
      <c r="D37" s="162"/>
      <c r="E37" s="162"/>
      <c r="F37" s="162"/>
      <c r="G37" s="164"/>
      <c r="H37" s="1408"/>
      <c r="I37" s="1408"/>
      <c r="J37" s="1408"/>
      <c r="K37" s="164"/>
      <c r="L37" s="165"/>
      <c r="M37" s="165"/>
      <c r="N37" s="165"/>
      <c r="O37" s="165"/>
      <c r="P37" s="165"/>
      <c r="Q37" s="3159"/>
      <c r="R37" s="3159"/>
      <c r="S37" s="3159"/>
      <c r="T37" s="3159"/>
      <c r="U37" s="3159"/>
      <c r="V37" s="3159"/>
      <c r="W37" s="165"/>
      <c r="X37" s="1409" t="s">
        <v>257</v>
      </c>
      <c r="Y37" s="1409"/>
      <c r="Z37" s="1409"/>
      <c r="AA37" s="1409"/>
      <c r="AB37" s="1409"/>
      <c r="AC37" s="1415">
        <f>AC32-AD45</f>
        <v>2.4000000000001798E-3</v>
      </c>
      <c r="AD37" s="1415"/>
      <c r="AE37" s="1415"/>
      <c r="AF37" s="1415"/>
      <c r="AG37" s="1415"/>
      <c r="AH37" s="1415"/>
      <c r="AI37" s="166"/>
      <c r="AJ37" s="1416"/>
      <c r="AK37" s="1416"/>
      <c r="AL37" s="1416"/>
      <c r="AM37" s="1416"/>
      <c r="AN37" s="1416"/>
      <c r="AO37" s="1403"/>
      <c r="AP37" s="1403"/>
      <c r="AQ37" s="1403"/>
      <c r="AR37" s="1403"/>
      <c r="AS37" s="1403"/>
      <c r="AT37" s="1403"/>
      <c r="AU37" s="1403"/>
      <c r="AV37" s="1404"/>
      <c r="AW37" s="1404"/>
      <c r="BI37" s="53"/>
      <c r="BJ37" s="53"/>
    </row>
    <row r="38" spans="1:80" ht="28.5" customHeight="1" x14ac:dyDescent="0.25">
      <c r="B38" s="162"/>
      <c r="C38" s="162"/>
      <c r="D38" s="162"/>
      <c r="E38" s="162"/>
      <c r="F38" s="162"/>
      <c r="G38" s="164"/>
      <c r="H38" s="1411"/>
      <c r="I38" s="1411"/>
      <c r="J38" s="1411"/>
      <c r="K38" s="168"/>
      <c r="L38" s="165"/>
      <c r="M38" s="165"/>
      <c r="N38" s="165"/>
      <c r="O38" s="165"/>
      <c r="P38" s="165"/>
      <c r="Q38" s="3159"/>
      <c r="R38" s="3159"/>
      <c r="S38" s="3159"/>
      <c r="T38" s="3159"/>
      <c r="U38" s="3159"/>
      <c r="V38" s="3159"/>
      <c r="W38" s="165"/>
      <c r="X38" s="1409"/>
      <c r="Y38" s="1409"/>
      <c r="Z38" s="1409"/>
      <c r="AA38" s="1409"/>
      <c r="AB38" s="1409"/>
      <c r="AC38" s="1415"/>
      <c r="AD38" s="1415"/>
      <c r="AE38" s="1415"/>
      <c r="AF38" s="1415"/>
      <c r="AG38" s="1415"/>
      <c r="AH38" s="1415"/>
      <c r="AI38" s="166"/>
      <c r="AJ38" s="1416"/>
      <c r="AK38" s="1416"/>
      <c r="AL38" s="1416"/>
      <c r="AM38" s="1416"/>
      <c r="AN38" s="1416"/>
      <c r="AO38" s="1403"/>
      <c r="AP38" s="1403"/>
      <c r="AQ38" s="1403"/>
      <c r="AR38" s="1403"/>
      <c r="AS38" s="1403"/>
      <c r="AT38" s="1403"/>
      <c r="AU38" s="1403"/>
      <c r="AV38" s="1404"/>
      <c r="AW38" s="1404"/>
      <c r="BI38" s="53"/>
      <c r="BJ38" s="53"/>
    </row>
    <row r="39" spans="1:80" ht="15" customHeight="1" x14ac:dyDescent="0.25">
      <c r="B39" s="162"/>
      <c r="C39" s="162"/>
      <c r="D39" s="162"/>
      <c r="E39" s="162"/>
      <c r="F39" s="162"/>
      <c r="G39" s="164"/>
      <c r="H39" s="1411"/>
      <c r="I39" s="1411"/>
      <c r="J39" s="1411"/>
      <c r="K39" s="168"/>
      <c r="L39" s="165"/>
      <c r="M39" s="165"/>
      <c r="N39" s="165"/>
      <c r="O39" s="165"/>
      <c r="P39" s="165"/>
      <c r="Q39" s="3159"/>
      <c r="R39" s="3159"/>
      <c r="S39" s="3159"/>
      <c r="T39" s="3159"/>
      <c r="U39" s="3159"/>
      <c r="V39" s="3159"/>
      <c r="W39" s="165"/>
      <c r="X39" s="1409"/>
      <c r="Y39" s="1409"/>
      <c r="Z39" s="1409"/>
      <c r="AA39" s="1409"/>
      <c r="AB39" s="1409"/>
      <c r="AC39" s="1415"/>
      <c r="AD39" s="1415"/>
      <c r="AE39" s="1415"/>
      <c r="AF39" s="1415"/>
      <c r="AG39" s="1415"/>
      <c r="AH39" s="1415"/>
      <c r="AI39" s="166"/>
      <c r="AJ39" s="1416"/>
      <c r="AK39" s="1416"/>
      <c r="AL39" s="1416"/>
      <c r="AM39" s="1416"/>
      <c r="AN39" s="1416"/>
      <c r="AO39" s="1403"/>
      <c r="AP39" s="1403"/>
      <c r="AQ39" s="1403"/>
      <c r="AR39" s="1403"/>
      <c r="AS39" s="1403"/>
      <c r="AT39" s="1403"/>
      <c r="AU39" s="1403"/>
      <c r="AV39" s="1404"/>
      <c r="AW39" s="1404"/>
      <c r="BI39" s="53"/>
      <c r="BJ39" s="53"/>
    </row>
    <row r="40" spans="1:80" ht="42.75" customHeight="1" x14ac:dyDescent="0.35">
      <c r="A40" s="54"/>
      <c r="B40" s="162"/>
      <c r="C40" s="162"/>
      <c r="D40" s="162"/>
      <c r="E40" s="162"/>
      <c r="F40" s="162"/>
      <c r="G40" s="164"/>
      <c r="H40" s="1411"/>
      <c r="I40" s="1411"/>
      <c r="J40" s="1411"/>
      <c r="K40" s="168"/>
      <c r="L40" s="165"/>
      <c r="M40" s="165"/>
      <c r="N40" s="165"/>
      <c r="O40" s="165"/>
      <c r="P40" s="165"/>
      <c r="Q40" s="3159"/>
      <c r="R40" s="3159"/>
      <c r="S40" s="3159"/>
      <c r="T40" s="3159"/>
      <c r="U40" s="3159"/>
      <c r="V40" s="3159"/>
      <c r="W40" s="165"/>
      <c r="X40" s="1409"/>
      <c r="Y40" s="1409"/>
      <c r="Z40" s="1409"/>
      <c r="AA40" s="1409"/>
      <c r="AB40" s="1409"/>
      <c r="AC40" s="1415"/>
      <c r="AD40" s="1415"/>
      <c r="AE40" s="1415"/>
      <c r="AF40" s="1415"/>
      <c r="AG40" s="1415"/>
      <c r="AH40" s="1415"/>
      <c r="AI40" s="166"/>
      <c r="AJ40" s="1416"/>
      <c r="AK40" s="1416"/>
      <c r="AL40" s="1416"/>
      <c r="AM40" s="1416"/>
      <c r="AN40" s="1416"/>
      <c r="AO40" s="1403"/>
      <c r="AP40" s="1403"/>
      <c r="AQ40" s="1403"/>
      <c r="AR40" s="1403"/>
      <c r="AS40" s="1403"/>
      <c r="AT40" s="1403"/>
      <c r="AU40" s="1403"/>
      <c r="AV40" s="1404"/>
      <c r="AW40" s="1404"/>
      <c r="BI40" s="53"/>
      <c r="BJ40" s="53"/>
    </row>
    <row r="41" spans="1:80" ht="38.25" customHeight="1" x14ac:dyDescent="0.35">
      <c r="A41" s="54"/>
      <c r="B41" s="162"/>
      <c r="C41" s="162"/>
      <c r="D41" s="162"/>
      <c r="E41" s="162"/>
      <c r="F41" s="162"/>
      <c r="G41" s="164"/>
      <c r="H41" s="1412"/>
      <c r="I41" s="1412"/>
      <c r="J41" s="1412"/>
      <c r="K41" s="168"/>
      <c r="L41" s="175"/>
      <c r="M41" s="175"/>
      <c r="N41" s="175"/>
      <c r="O41" s="175"/>
      <c r="P41" s="175"/>
      <c r="Q41" s="3159"/>
      <c r="R41" s="3159"/>
      <c r="S41" s="3159"/>
      <c r="T41" s="3159"/>
      <c r="U41" s="3159"/>
      <c r="V41" s="3159"/>
      <c r="W41" s="176"/>
      <c r="X41" s="1409"/>
      <c r="Y41" s="1409"/>
      <c r="Z41" s="1409"/>
      <c r="AA41" s="1409"/>
      <c r="AB41" s="1409"/>
      <c r="AC41" s="1415"/>
      <c r="AD41" s="1415"/>
      <c r="AE41" s="1415"/>
      <c r="AF41" s="1415"/>
      <c r="AG41" s="1415"/>
      <c r="AH41" s="1415"/>
      <c r="AI41" s="166"/>
      <c r="AJ41" s="1416"/>
      <c r="AK41" s="1416"/>
      <c r="AL41" s="1416"/>
      <c r="AM41" s="1416"/>
      <c r="AN41" s="1416"/>
      <c r="AO41" s="1418"/>
      <c r="AP41" s="1418"/>
      <c r="AQ41" s="1418"/>
      <c r="AR41" s="1418"/>
      <c r="AS41" s="1418"/>
      <c r="AT41" s="1418"/>
      <c r="AU41" s="1418"/>
      <c r="AV41" s="1418"/>
      <c r="AW41" s="1418"/>
      <c r="AX41" s="54"/>
      <c r="AY41" s="54"/>
      <c r="BI41" s="170"/>
      <c r="BJ41" s="170"/>
    </row>
    <row r="42" spans="1:80" ht="60" customHeight="1" x14ac:dyDescent="0.35">
      <c r="H42" s="1412"/>
      <c r="I42" s="1412"/>
      <c r="J42" s="1412"/>
      <c r="L42" s="175"/>
      <c r="M42" s="175"/>
      <c r="N42" s="175"/>
      <c r="O42" s="175"/>
      <c r="P42" s="175"/>
      <c r="Q42" s="3159"/>
      <c r="R42" s="3159"/>
      <c r="S42" s="3159"/>
      <c r="T42" s="3159"/>
      <c r="U42" s="3159"/>
      <c r="V42" s="3159"/>
      <c r="W42" s="176"/>
      <c r="X42" s="1409"/>
      <c r="Y42" s="1409"/>
      <c r="Z42" s="1409"/>
      <c r="AA42" s="1409"/>
      <c r="AB42" s="1409"/>
      <c r="AC42" s="1415"/>
      <c r="AD42" s="1415"/>
      <c r="AE42" s="1415"/>
      <c r="AF42" s="1415"/>
      <c r="AG42" s="1415"/>
      <c r="AH42" s="1415"/>
      <c r="AI42" s="166"/>
      <c r="AJ42" s="1416"/>
      <c r="AK42" s="1416"/>
      <c r="AL42" s="1416"/>
      <c r="AM42" s="1416"/>
      <c r="AN42" s="1416"/>
      <c r="AO42" s="1418"/>
      <c r="AP42" s="1418"/>
      <c r="AQ42" s="1418"/>
      <c r="AR42" s="1418"/>
      <c r="AS42" s="1418"/>
      <c r="AT42" s="1418"/>
      <c r="AU42" s="1418"/>
      <c r="AV42" s="1418"/>
      <c r="AW42" s="1418"/>
      <c r="AX42" s="54"/>
      <c r="AY42" s="54"/>
      <c r="BI42" s="170"/>
      <c r="BJ42" s="170"/>
    </row>
    <row r="43" spans="1:80" ht="15" customHeight="1" x14ac:dyDescent="0.35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1"/>
      <c r="AI43" s="171"/>
      <c r="AJ43" s="171"/>
      <c r="AK43" s="171"/>
      <c r="AL43" s="171"/>
      <c r="AM43" s="171"/>
      <c r="AN43" s="171"/>
      <c r="AO43" s="172"/>
      <c r="AP43" s="172"/>
      <c r="AQ43" s="172"/>
      <c r="AR43" s="172"/>
      <c r="AS43" s="172"/>
      <c r="AT43" s="172"/>
      <c r="AU43" s="172"/>
      <c r="AV43" s="172"/>
      <c r="AW43" s="172"/>
    </row>
    <row r="44" spans="1:80" ht="15.75" customHeight="1" thickBot="1" x14ac:dyDescent="0.4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3"/>
      <c r="Y44" s="171"/>
      <c r="Z44" s="171"/>
      <c r="AA44" s="171"/>
      <c r="AB44" s="171"/>
      <c r="AC44" s="171"/>
      <c r="AD44" s="171"/>
      <c r="AE44" s="171"/>
      <c r="AF44" s="171"/>
      <c r="AG44" s="171"/>
      <c r="AH44" s="171"/>
      <c r="AI44" s="171"/>
      <c r="AJ44" s="171"/>
      <c r="AK44" s="171"/>
      <c r="AL44" s="171"/>
      <c r="AM44" s="171"/>
      <c r="AN44" s="171"/>
      <c r="AO44" s="172"/>
      <c r="AP44" s="172"/>
      <c r="AQ44" s="172"/>
      <c r="AR44" s="172"/>
      <c r="AS44" s="172"/>
      <c r="AT44" s="172"/>
      <c r="AU44" s="172"/>
      <c r="AV44" s="172"/>
      <c r="AW44" s="172"/>
    </row>
    <row r="45" spans="1:80" ht="15.75" thickTop="1" x14ac:dyDescent="0.25">
      <c r="J45" t="s">
        <v>16</v>
      </c>
      <c r="AD45" s="775">
        <v>3.02</v>
      </c>
      <c r="AE45" s="776"/>
      <c r="AF45" s="776"/>
      <c r="AG45" s="776"/>
      <c r="AH45" s="777"/>
      <c r="AL45" s="727" t="s">
        <v>122</v>
      </c>
      <c r="AM45" s="727"/>
      <c r="AN45" s="727"/>
      <c r="AO45" s="727" t="s">
        <v>123</v>
      </c>
      <c r="AP45" s="727"/>
      <c r="AQ45" s="727"/>
      <c r="AR45" s="727" t="s">
        <v>124</v>
      </c>
      <c r="AS45" s="727"/>
      <c r="AT45" s="727" t="s">
        <v>125</v>
      </c>
      <c r="AU45" s="727"/>
      <c r="AY45" s="739" t="s">
        <v>126</v>
      </c>
      <c r="AZ45" s="740"/>
      <c r="BA45" s="740"/>
      <c r="BB45" s="740"/>
      <c r="BC45" s="740"/>
      <c r="BD45" s="740"/>
      <c r="BE45" s="740"/>
      <c r="BF45" s="740"/>
      <c r="BG45" s="740"/>
      <c r="BH45" s="741"/>
    </row>
    <row r="46" spans="1:80" x14ac:dyDescent="0.25">
      <c r="AD46" s="778"/>
      <c r="AE46" s="779"/>
      <c r="AF46" s="779"/>
      <c r="AG46" s="779"/>
      <c r="AH46" s="780"/>
      <c r="AL46" s="727"/>
      <c r="AM46" s="727"/>
      <c r="AN46" s="727"/>
      <c r="AO46" s="727"/>
      <c r="AP46" s="727"/>
      <c r="AQ46" s="727"/>
      <c r="AR46" s="727"/>
      <c r="AS46" s="727"/>
      <c r="AT46" s="727"/>
      <c r="AU46" s="727"/>
      <c r="AY46" s="750"/>
      <c r="AZ46" s="751"/>
      <c r="BA46" s="751"/>
      <c r="BB46" s="751"/>
      <c r="BC46" s="751"/>
      <c r="BD46" s="751"/>
      <c r="BE46" s="751"/>
      <c r="BF46" s="751"/>
      <c r="BG46" s="751"/>
      <c r="BH46" s="752"/>
    </row>
    <row r="47" spans="1:80" x14ac:dyDescent="0.25">
      <c r="AA47" s="56"/>
      <c r="AD47" s="778"/>
      <c r="AE47" s="779"/>
      <c r="AF47" s="779"/>
      <c r="AG47" s="779"/>
      <c r="AH47" s="780"/>
      <c r="AL47" s="727"/>
      <c r="AM47" s="727"/>
      <c r="AN47" s="727"/>
      <c r="AO47" s="727"/>
      <c r="AP47" s="727"/>
      <c r="AQ47" s="727"/>
      <c r="AR47" s="727"/>
      <c r="AS47" s="727"/>
      <c r="AT47" s="727"/>
      <c r="AU47" s="727"/>
      <c r="AY47" s="742"/>
      <c r="AZ47" s="743"/>
      <c r="BA47" s="743"/>
      <c r="BB47" s="743"/>
      <c r="BC47" s="743"/>
      <c r="BD47" s="743"/>
      <c r="BE47" s="743"/>
      <c r="BF47" s="743"/>
      <c r="BG47" s="743"/>
      <c r="BH47" s="744"/>
    </row>
    <row r="48" spans="1:80" x14ac:dyDescent="0.25">
      <c r="K48" t="s">
        <v>258</v>
      </c>
      <c r="AD48" s="778"/>
      <c r="AE48" s="779"/>
      <c r="AF48" s="779"/>
      <c r="AG48" s="779"/>
      <c r="AH48" s="780"/>
      <c r="AL48" s="727">
        <v>60</v>
      </c>
      <c r="AM48" s="727"/>
      <c r="AN48" s="727"/>
      <c r="AO48" s="727">
        <f ca="1">AT70</f>
        <v>60</v>
      </c>
      <c r="AP48" s="727"/>
      <c r="AQ48" s="727"/>
      <c r="AR48" s="1689">
        <f>AC32</f>
        <v>3.0224000000000002</v>
      </c>
      <c r="AS48" s="1689"/>
      <c r="AT48" s="1689">
        <f>AC32+AO34</f>
        <v>3.0224000000000002</v>
      </c>
      <c r="AU48" s="1689"/>
      <c r="AY48" s="727" t="s">
        <v>128</v>
      </c>
      <c r="AZ48" s="727"/>
      <c r="BA48" s="727"/>
      <c r="BB48" s="727"/>
      <c r="BC48" s="727"/>
      <c r="BD48" s="727"/>
      <c r="BE48" s="727"/>
      <c r="BF48" s="727"/>
      <c r="BG48" s="727"/>
      <c r="BH48" s="727"/>
    </row>
    <row r="49" spans="7:60" x14ac:dyDescent="0.25">
      <c r="G49" t="s">
        <v>16</v>
      </c>
      <c r="AD49" s="778"/>
      <c r="AE49" s="779"/>
      <c r="AF49" s="779"/>
      <c r="AG49" s="779"/>
      <c r="AH49" s="780"/>
      <c r="AL49" s="727"/>
      <c r="AM49" s="727"/>
      <c r="AN49" s="727"/>
      <c r="AO49" s="727"/>
      <c r="AP49" s="727"/>
      <c r="AQ49" s="727"/>
      <c r="AR49" s="1689"/>
      <c r="AS49" s="1689"/>
      <c r="AT49" s="1689"/>
      <c r="AU49" s="1689"/>
      <c r="AY49" s="727"/>
      <c r="AZ49" s="727"/>
      <c r="BA49" s="727"/>
      <c r="BB49" s="727"/>
      <c r="BC49" s="727"/>
      <c r="BD49" s="727"/>
      <c r="BE49" s="727"/>
      <c r="BF49" s="727"/>
      <c r="BG49" s="727"/>
      <c r="BH49" s="727"/>
    </row>
    <row r="50" spans="7:60" ht="15" customHeight="1" x14ac:dyDescent="0.25">
      <c r="AD50" s="778"/>
      <c r="AE50" s="779"/>
      <c r="AF50" s="779"/>
      <c r="AG50" s="779"/>
      <c r="AH50" s="780"/>
      <c r="AL50" s="727"/>
      <c r="AM50" s="727"/>
      <c r="AN50" s="727"/>
      <c r="AO50" s="727"/>
      <c r="AP50" s="727"/>
      <c r="AQ50" s="727"/>
      <c r="AR50" s="1689"/>
      <c r="AS50" s="1689"/>
      <c r="AT50" s="1689"/>
      <c r="AU50" s="1689"/>
      <c r="AY50" s="728">
        <f ca="1">AR48/((72*3.1415/59)*(AO48/3.281))</f>
        <v>4.3111126555490716E-2</v>
      </c>
      <c r="AZ50" s="729"/>
      <c r="BA50" s="729"/>
      <c r="BB50" s="729"/>
      <c r="BC50" s="729"/>
      <c r="BD50" s="729"/>
      <c r="BE50" s="729"/>
      <c r="BF50" s="729"/>
      <c r="BG50" s="729"/>
      <c r="BH50" s="730"/>
    </row>
    <row r="51" spans="7:60" ht="15.75" customHeight="1" thickBot="1" x14ac:dyDescent="0.3">
      <c r="AD51" s="781"/>
      <c r="AE51" s="782"/>
      <c r="AF51" s="782"/>
      <c r="AG51" s="782"/>
      <c r="AH51" s="783"/>
      <c r="AL51" s="727"/>
      <c r="AM51" s="727"/>
      <c r="AN51" s="727"/>
      <c r="AO51" s="727"/>
      <c r="AP51" s="727"/>
      <c r="AQ51" s="727"/>
      <c r="AR51" s="1689"/>
      <c r="AS51" s="1689"/>
      <c r="AT51" s="1689"/>
      <c r="AU51" s="1689"/>
      <c r="AY51" s="731"/>
      <c r="AZ51" s="732"/>
      <c r="BA51" s="732"/>
      <c r="BB51" s="732"/>
      <c r="BC51" s="732"/>
      <c r="BD51" s="732"/>
      <c r="BE51" s="732"/>
      <c r="BF51" s="732"/>
      <c r="BG51" s="732"/>
      <c r="BH51" s="733"/>
    </row>
    <row r="52" spans="7:60" ht="15.75" customHeight="1" thickTop="1" x14ac:dyDescent="0.25">
      <c r="AY52" s="734"/>
      <c r="AZ52" s="735"/>
      <c r="BA52" s="735"/>
      <c r="BB52" s="735"/>
      <c r="BC52" s="735"/>
      <c r="BD52" s="735"/>
      <c r="BE52" s="735"/>
      <c r="BF52" s="735"/>
      <c r="BG52" s="735"/>
      <c r="BH52" s="736"/>
    </row>
    <row r="53" spans="7:60" x14ac:dyDescent="0.25">
      <c r="AY53" s="739" t="s">
        <v>129</v>
      </c>
      <c r="AZ53" s="740"/>
      <c r="BA53" s="740"/>
      <c r="BB53" s="740"/>
      <c r="BC53" s="740"/>
      <c r="BD53" s="740"/>
      <c r="BE53" s="740"/>
      <c r="BF53" s="740"/>
      <c r="BG53" s="740"/>
      <c r="BH53" s="741"/>
    </row>
    <row r="54" spans="7:60" x14ac:dyDescent="0.25">
      <c r="AY54" s="742"/>
      <c r="AZ54" s="743"/>
      <c r="BA54" s="743"/>
      <c r="BB54" s="743"/>
      <c r="BC54" s="743"/>
      <c r="BD54" s="743"/>
      <c r="BE54" s="743"/>
      <c r="BF54" s="743"/>
      <c r="BG54" s="743"/>
      <c r="BH54" s="744"/>
    </row>
    <row r="55" spans="7:60" x14ac:dyDescent="0.25">
      <c r="AN55" s="727">
        <v>30</v>
      </c>
      <c r="AO55" s="727"/>
      <c r="AP55" s="727"/>
      <c r="AQ55" s="746" cm="1">
        <f t="array" aca="1" ref="AQ55" ca="1">SUM(COUNTIF(INDIRECT({"L7","Q7","V7","AA7","AF7","AK7"}),"&gt;0"))</f>
        <v>2</v>
      </c>
      <c r="AR55" s="746"/>
      <c r="AS55" s="746"/>
      <c r="AT55" s="747">
        <f ca="1">AQ55*AN55</f>
        <v>60</v>
      </c>
      <c r="AU55" s="748"/>
      <c r="AV55" s="748"/>
      <c r="AW55" s="749"/>
      <c r="AY55" s="739" t="s">
        <v>130</v>
      </c>
      <c r="AZ55" s="740"/>
      <c r="BA55" s="740"/>
      <c r="BB55" s="740"/>
      <c r="BC55" s="740"/>
      <c r="BD55" s="740"/>
      <c r="BE55" s="740"/>
      <c r="BF55" s="740"/>
      <c r="BG55" s="740"/>
      <c r="BH55" s="741"/>
    </row>
    <row r="56" spans="7:60" x14ac:dyDescent="0.25">
      <c r="AN56" s="727"/>
      <c r="AO56" s="727"/>
      <c r="AP56" s="727"/>
      <c r="AQ56" s="746"/>
      <c r="AR56" s="746"/>
      <c r="AS56" s="746"/>
      <c r="AT56" s="747"/>
      <c r="AU56" s="748"/>
      <c r="AV56" s="748"/>
      <c r="AW56" s="749"/>
      <c r="AY56" s="750"/>
      <c r="AZ56" s="751"/>
      <c r="BA56" s="751"/>
      <c r="BB56" s="751"/>
      <c r="BC56" s="751"/>
      <c r="BD56" s="751"/>
      <c r="BE56" s="751"/>
      <c r="BF56" s="751"/>
      <c r="BG56" s="751"/>
      <c r="BH56" s="752"/>
    </row>
    <row r="57" spans="7:60" ht="15" customHeight="1" x14ac:dyDescent="0.25">
      <c r="AN57" s="727"/>
      <c r="AO57" s="727"/>
      <c r="AP57" s="727"/>
      <c r="AQ57" s="746"/>
      <c r="AR57" s="746"/>
      <c r="AS57" s="746"/>
      <c r="AT57" s="747"/>
      <c r="AU57" s="748"/>
      <c r="AV57" s="748"/>
      <c r="AW57" s="749"/>
      <c r="AY57" s="750"/>
      <c r="AZ57" s="751"/>
      <c r="BA57" s="751"/>
      <c r="BB57" s="751"/>
      <c r="BC57" s="751"/>
      <c r="BD57" s="751"/>
      <c r="BE57" s="751"/>
      <c r="BF57" s="751"/>
      <c r="BG57" s="751"/>
      <c r="BH57" s="752"/>
    </row>
    <row r="58" spans="7:60" x14ac:dyDescent="0.25">
      <c r="T58">
        <f ca="1">(72*3.1415/59)*(AO48/3.281)</f>
        <v>70.107191379230187</v>
      </c>
      <c r="AN58" s="727"/>
      <c r="AO58" s="727"/>
      <c r="AP58" s="727"/>
      <c r="AQ58" s="746"/>
      <c r="AR58" s="746"/>
      <c r="AS58" s="746"/>
      <c r="AT58" s="747"/>
      <c r="AU58" s="748"/>
      <c r="AV58" s="748"/>
      <c r="AW58" s="749"/>
      <c r="AY58" s="742"/>
      <c r="AZ58" s="743"/>
      <c r="BA58" s="743"/>
      <c r="BB58" s="743"/>
      <c r="BC58" s="743"/>
      <c r="BD58" s="743"/>
      <c r="BE58" s="743"/>
      <c r="BF58" s="743"/>
      <c r="BG58" s="743"/>
      <c r="BH58" s="744"/>
    </row>
    <row r="59" spans="7:60" x14ac:dyDescent="0.25">
      <c r="T59">
        <f>(30*3.1415/44)*(106/3.281)</f>
        <v>69.199869773627782</v>
      </c>
      <c r="AN59" s="727"/>
      <c r="AO59" s="727"/>
      <c r="AP59" s="727"/>
      <c r="AQ59" s="746"/>
      <c r="AR59" s="746"/>
      <c r="AS59" s="746"/>
      <c r="AT59" s="747"/>
      <c r="AU59" s="748"/>
      <c r="AV59" s="748"/>
      <c r="AW59" s="749"/>
      <c r="AY59" s="728">
        <f ca="1">AT48/((72*3.1415/59)*(AO48/3.281))</f>
        <v>4.3111126555490716E-2</v>
      </c>
      <c r="AZ59" s="729"/>
      <c r="BA59" s="729"/>
      <c r="BB59" s="729"/>
      <c r="BC59" s="729"/>
      <c r="BD59" s="729"/>
      <c r="BE59" s="729"/>
      <c r="BF59" s="729"/>
      <c r="BG59" s="729"/>
      <c r="BH59" s="730"/>
    </row>
    <row r="60" spans="7:60" x14ac:dyDescent="0.25">
      <c r="W60">
        <f ca="1">(72*3.1415/59)*(AO48)</f>
        <v>230.02169491525427</v>
      </c>
      <c r="AN60" s="727"/>
      <c r="AO60" s="727"/>
      <c r="AP60" s="727"/>
      <c r="AQ60" s="746"/>
      <c r="AR60" s="746"/>
      <c r="AS60" s="746"/>
      <c r="AT60" s="747"/>
      <c r="AU60" s="748"/>
      <c r="AV60" s="748"/>
      <c r="AW60" s="749"/>
      <c r="AY60" s="731"/>
      <c r="AZ60" s="732"/>
      <c r="BA60" s="732"/>
      <c r="BB60" s="732"/>
      <c r="BC60" s="732"/>
      <c r="BD60" s="732"/>
      <c r="BE60" s="732"/>
      <c r="BF60" s="732"/>
      <c r="BG60" s="732"/>
      <c r="BH60" s="733"/>
    </row>
    <row r="61" spans="7:60" ht="15" customHeight="1" x14ac:dyDescent="0.25">
      <c r="AN61" s="727"/>
      <c r="AO61" s="727"/>
      <c r="AP61" s="727"/>
      <c r="AQ61" s="746"/>
      <c r="AR61" s="746"/>
      <c r="AS61" s="746"/>
      <c r="AT61" s="747"/>
      <c r="AU61" s="748"/>
      <c r="AV61" s="748"/>
      <c r="AW61" s="749"/>
      <c r="AY61" s="731"/>
      <c r="AZ61" s="732"/>
      <c r="BA61" s="732"/>
      <c r="BB61" s="732"/>
      <c r="BC61" s="732"/>
      <c r="BD61" s="732"/>
      <c r="BE61" s="732"/>
      <c r="BF61" s="732"/>
      <c r="BG61" s="732"/>
      <c r="BH61" s="733"/>
    </row>
    <row r="62" spans="7:60" ht="15" customHeight="1" x14ac:dyDescent="0.25">
      <c r="AN62" s="727"/>
      <c r="AO62" s="727"/>
      <c r="AP62" s="727"/>
      <c r="AQ62" s="746"/>
      <c r="AR62" s="746"/>
      <c r="AS62" s="746"/>
      <c r="AT62" s="747"/>
      <c r="AU62" s="748"/>
      <c r="AV62" s="748"/>
      <c r="AW62" s="749"/>
      <c r="AY62" s="731"/>
      <c r="AZ62" s="732"/>
      <c r="BA62" s="732"/>
      <c r="BB62" s="732"/>
      <c r="BC62" s="732"/>
      <c r="BD62" s="732"/>
      <c r="BE62" s="732"/>
      <c r="BF62" s="732"/>
      <c r="BG62" s="732"/>
      <c r="BH62" s="733"/>
    </row>
    <row r="63" spans="7:60" ht="15" customHeight="1" x14ac:dyDescent="0.25">
      <c r="AN63" s="727"/>
      <c r="AO63" s="727"/>
      <c r="AP63" s="727"/>
      <c r="AQ63" s="746"/>
      <c r="AR63" s="746"/>
      <c r="AS63" s="746"/>
      <c r="AT63" s="747"/>
      <c r="AU63" s="748"/>
      <c r="AV63" s="748"/>
      <c r="AW63" s="749"/>
      <c r="AY63" s="734"/>
      <c r="AZ63" s="735"/>
      <c r="BA63" s="735"/>
      <c r="BB63" s="735"/>
      <c r="BC63" s="735"/>
      <c r="BD63" s="735"/>
      <c r="BE63" s="735"/>
      <c r="BF63" s="735"/>
      <c r="BG63" s="735"/>
      <c r="BH63" s="736"/>
    </row>
    <row r="64" spans="7:60" ht="15" customHeight="1" x14ac:dyDescent="0.25">
      <c r="AN64" s="727"/>
      <c r="AO64" s="727"/>
      <c r="AP64" s="727"/>
      <c r="AQ64" s="746"/>
      <c r="AR64" s="746"/>
      <c r="AS64" s="746"/>
      <c r="AT64" s="747"/>
      <c r="AU64" s="748"/>
      <c r="AV64" s="748"/>
      <c r="AW64" s="749"/>
    </row>
    <row r="65" spans="40:49" ht="15" customHeight="1" x14ac:dyDescent="0.25">
      <c r="AN65" s="727"/>
      <c r="AO65" s="727"/>
      <c r="AP65" s="727"/>
      <c r="AQ65" s="746"/>
      <c r="AR65" s="746"/>
      <c r="AS65" s="746"/>
      <c r="AT65" s="747"/>
      <c r="AU65" s="748"/>
      <c r="AV65" s="748"/>
      <c r="AW65" s="749"/>
    </row>
    <row r="66" spans="40:49" ht="15" customHeight="1" x14ac:dyDescent="0.25">
      <c r="AN66" s="727"/>
      <c r="AO66" s="727"/>
      <c r="AP66" s="727"/>
      <c r="AQ66" s="746"/>
      <c r="AR66" s="746"/>
      <c r="AS66" s="746"/>
      <c r="AT66" s="747"/>
      <c r="AU66" s="748"/>
      <c r="AV66" s="748"/>
      <c r="AW66" s="749"/>
    </row>
    <row r="67" spans="40:49" ht="15" customHeight="1" x14ac:dyDescent="0.25">
      <c r="AN67" s="727"/>
      <c r="AO67" s="727"/>
      <c r="AP67" s="727"/>
      <c r="AQ67" s="746"/>
      <c r="AR67" s="746"/>
      <c r="AS67" s="746"/>
      <c r="AT67" s="747"/>
      <c r="AU67" s="748"/>
      <c r="AV67" s="748"/>
      <c r="AW67" s="749"/>
    </row>
    <row r="68" spans="40:49" ht="15" customHeight="1" x14ac:dyDescent="0.25">
      <c r="AN68" s="727"/>
      <c r="AO68" s="727"/>
      <c r="AP68" s="727"/>
      <c r="AQ68" s="746"/>
      <c r="AR68" s="746"/>
      <c r="AS68" s="746"/>
      <c r="AT68" s="747"/>
      <c r="AU68" s="748"/>
      <c r="AV68" s="748"/>
      <c r="AW68" s="749"/>
    </row>
    <row r="69" spans="40:49" ht="15" customHeight="1" x14ac:dyDescent="0.25">
      <c r="AN69" s="727"/>
      <c r="AO69" s="727"/>
      <c r="AP69" s="727"/>
      <c r="AQ69" s="746"/>
      <c r="AR69" s="746"/>
      <c r="AS69" s="746"/>
      <c r="AT69" s="747"/>
      <c r="AU69" s="748"/>
      <c r="AV69" s="748"/>
      <c r="AW69" s="749"/>
    </row>
    <row r="70" spans="40:49" ht="15" customHeight="1" x14ac:dyDescent="0.25">
      <c r="AQ70" s="1254">
        <f ca="1">AQ55+AQ58+AQ61+AQ64+AQ67</f>
        <v>2</v>
      </c>
      <c r="AR70" s="1254"/>
      <c r="AS70" s="1254"/>
      <c r="AT70" s="747">
        <f ca="1">AT55+AT58+AT61</f>
        <v>60</v>
      </c>
      <c r="AU70" s="748"/>
      <c r="AV70" s="748"/>
      <c r="AW70" s="749"/>
    </row>
    <row r="71" spans="40:49" ht="15" customHeight="1" x14ac:dyDescent="0.25">
      <c r="AQ71" s="1254"/>
      <c r="AR71" s="1254"/>
      <c r="AS71" s="1254"/>
      <c r="AT71" s="747"/>
      <c r="AU71" s="748"/>
      <c r="AV71" s="748"/>
      <c r="AW71" s="749"/>
    </row>
    <row r="72" spans="40:49" ht="15" customHeight="1" x14ac:dyDescent="0.25">
      <c r="AQ72" s="1254"/>
      <c r="AR72" s="1254"/>
      <c r="AS72" s="1254"/>
      <c r="AT72" s="747"/>
      <c r="AU72" s="748"/>
      <c r="AV72" s="748"/>
      <c r="AW72" s="749"/>
    </row>
    <row r="73" spans="40:49" ht="15" customHeight="1" x14ac:dyDescent="0.25"/>
    <row r="74" spans="40:49" ht="15" customHeight="1" x14ac:dyDescent="0.25"/>
    <row r="75" spans="40:49" ht="15" customHeight="1" x14ac:dyDescent="0.25"/>
    <row r="76" spans="40:49" ht="15" customHeight="1" x14ac:dyDescent="0.25"/>
    <row r="77" spans="40:49" ht="15" customHeight="1" x14ac:dyDescent="0.25">
      <c r="AS77" s="27"/>
      <c r="AT77" s="27"/>
      <c r="AU77" s="27"/>
    </row>
  </sheetData>
  <mergeCells count="214">
    <mergeCell ref="AQ70:AS72"/>
    <mergeCell ref="AT70:AW72"/>
    <mergeCell ref="U9:X9"/>
    <mergeCell ref="Y9:Y10"/>
    <mergeCell ref="K2:N2"/>
    <mergeCell ref="O2:O3"/>
    <mergeCell ref="P2:S2"/>
    <mergeCell ref="T2:T3"/>
    <mergeCell ref="AE2:AH2"/>
    <mergeCell ref="AI2:AI3"/>
    <mergeCell ref="AQ61:AS63"/>
    <mergeCell ref="AT61:AW63"/>
    <mergeCell ref="AN64:AP66"/>
    <mergeCell ref="AQ64:AS66"/>
    <mergeCell ref="AT64:AW66"/>
    <mergeCell ref="AN67:AP69"/>
    <mergeCell ref="AQ67:AS69"/>
    <mergeCell ref="AT67:AW69"/>
    <mergeCell ref="AT32:AW33"/>
    <mergeCell ref="AO34:AU40"/>
    <mergeCell ref="AV34:AW40"/>
    <mergeCell ref="AT24:AT25"/>
    <mergeCell ref="AU24:AX24"/>
    <mergeCell ref="AJ10:AM10"/>
    <mergeCell ref="AY53:BH54"/>
    <mergeCell ref="AN55:AP57"/>
    <mergeCell ref="AQ55:AS57"/>
    <mergeCell ref="AT55:AW57"/>
    <mergeCell ref="AY55:BH58"/>
    <mergeCell ref="AN58:AP60"/>
    <mergeCell ref="AQ58:AS60"/>
    <mergeCell ref="AT58:AW60"/>
    <mergeCell ref="AY59:BH63"/>
    <mergeCell ref="AN61:AP63"/>
    <mergeCell ref="AY45:BH47"/>
    <mergeCell ref="AL48:AN51"/>
    <mergeCell ref="AO48:AQ51"/>
    <mergeCell ref="AR48:AS51"/>
    <mergeCell ref="AT48:AU51"/>
    <mergeCell ref="AY48:BH49"/>
    <mergeCell ref="AY50:BH52"/>
    <mergeCell ref="AO41:AW42"/>
    <mergeCell ref="AD45:AH51"/>
    <mergeCell ref="AL45:AN47"/>
    <mergeCell ref="AO45:AQ47"/>
    <mergeCell ref="AR45:AS47"/>
    <mergeCell ref="AT45:AU47"/>
    <mergeCell ref="BD30:BD31"/>
    <mergeCell ref="BE30:BH30"/>
    <mergeCell ref="H32:J33"/>
    <mergeCell ref="Q32:V34"/>
    <mergeCell ref="X32:AB36"/>
    <mergeCell ref="AC32:AH36"/>
    <mergeCell ref="AJ32:AN42"/>
    <mergeCell ref="AO32:AS33"/>
    <mergeCell ref="A30:A31"/>
    <mergeCell ref="B30:E30"/>
    <mergeCell ref="F30:F31"/>
    <mergeCell ref="G30:J30"/>
    <mergeCell ref="AT30:AT31"/>
    <mergeCell ref="AU30:AX30"/>
    <mergeCell ref="H35:J35"/>
    <mergeCell ref="Q35:V42"/>
    <mergeCell ref="H36:J37"/>
    <mergeCell ref="X37:AB42"/>
    <mergeCell ref="AC37:AH42"/>
    <mergeCell ref="H38:J40"/>
    <mergeCell ref="H41:J42"/>
    <mergeCell ref="AY30:AY31"/>
    <mergeCell ref="AZ30:BC30"/>
    <mergeCell ref="AY26:BA26"/>
    <mergeCell ref="BB26:BC26"/>
    <mergeCell ref="BD26:BF26"/>
    <mergeCell ref="BG26:BH26"/>
    <mergeCell ref="A27:C29"/>
    <mergeCell ref="F27:H29"/>
    <mergeCell ref="AT27:AV29"/>
    <mergeCell ref="AY27:BA29"/>
    <mergeCell ref="BD27:BF29"/>
    <mergeCell ref="A26:C26"/>
    <mergeCell ref="D26:E26"/>
    <mergeCell ref="F26:H26"/>
    <mergeCell ref="I26:J26"/>
    <mergeCell ref="AT26:AV26"/>
    <mergeCell ref="AW26:AX26"/>
    <mergeCell ref="AY24:AY25"/>
    <mergeCell ref="AZ24:BC24"/>
    <mergeCell ref="BD24:BD25"/>
    <mergeCell ref="BE24:BH24"/>
    <mergeCell ref="A24:A25"/>
    <mergeCell ref="B24:E24"/>
    <mergeCell ref="F24:F25"/>
    <mergeCell ref="G24:J24"/>
    <mergeCell ref="AO24:AO25"/>
    <mergeCell ref="AP24:AS24"/>
    <mergeCell ref="A21:C23"/>
    <mergeCell ref="F21:H23"/>
    <mergeCell ref="AO21:AQ23"/>
    <mergeCell ref="AT21:AV23"/>
    <mergeCell ref="AY21:BA23"/>
    <mergeCell ref="BD21:BF23"/>
    <mergeCell ref="AT20:AV20"/>
    <mergeCell ref="AW20:AX20"/>
    <mergeCell ref="AY20:BA20"/>
    <mergeCell ref="BB20:BC20"/>
    <mergeCell ref="BD20:BF20"/>
    <mergeCell ref="BG20:BH20"/>
    <mergeCell ref="A20:C20"/>
    <mergeCell ref="D20:E20"/>
    <mergeCell ref="F20:H20"/>
    <mergeCell ref="I20:J20"/>
    <mergeCell ref="AO20:AQ20"/>
    <mergeCell ref="AR20:AS20"/>
    <mergeCell ref="A18:A19"/>
    <mergeCell ref="B18:E18"/>
    <mergeCell ref="AY18:AY19"/>
    <mergeCell ref="AZ18:BC18"/>
    <mergeCell ref="BD18:BD19"/>
    <mergeCell ref="BE18:BH18"/>
    <mergeCell ref="AY14:BA14"/>
    <mergeCell ref="BB14:BC14"/>
    <mergeCell ref="BD14:BF14"/>
    <mergeCell ref="BG14:BH14"/>
    <mergeCell ref="A15:E17"/>
    <mergeCell ref="AO15:AQ17"/>
    <mergeCell ref="AT15:AV17"/>
    <mergeCell ref="AY15:BA17"/>
    <mergeCell ref="BD15:BF17"/>
    <mergeCell ref="A14:C14"/>
    <mergeCell ref="D14:E14"/>
    <mergeCell ref="AO14:AQ14"/>
    <mergeCell ref="AR14:AS14"/>
    <mergeCell ref="AT14:AV14"/>
    <mergeCell ref="AW14:AX14"/>
    <mergeCell ref="Z12:AC12"/>
    <mergeCell ref="AD12:AD13"/>
    <mergeCell ref="A12:D12"/>
    <mergeCell ref="E12:E13"/>
    <mergeCell ref="F12:I12"/>
    <mergeCell ref="J12:J13"/>
    <mergeCell ref="AN10:AN11"/>
    <mergeCell ref="AJ12:AM12"/>
    <mergeCell ref="AN12:AN13"/>
    <mergeCell ref="Z10:AC10"/>
    <mergeCell ref="AD10:AD11"/>
    <mergeCell ref="BG8:BH8"/>
    <mergeCell ref="AY9:BA11"/>
    <mergeCell ref="BD9:BF11"/>
    <mergeCell ref="A10:D10"/>
    <mergeCell ref="E10:E11"/>
    <mergeCell ref="F10:I10"/>
    <mergeCell ref="J10:J11"/>
    <mergeCell ref="AJ8:AM8"/>
    <mergeCell ref="AN8:AN9"/>
    <mergeCell ref="AP8:AW11"/>
    <mergeCell ref="AY8:BA8"/>
    <mergeCell ref="BB8:BC8"/>
    <mergeCell ref="BD8:BF8"/>
    <mergeCell ref="Z8:AC8"/>
    <mergeCell ref="AD8:AD9"/>
    <mergeCell ref="AY12:AY13"/>
    <mergeCell ref="AZ12:BC12"/>
    <mergeCell ref="BD12:BD13"/>
    <mergeCell ref="BE12:BH12"/>
    <mergeCell ref="AY6:AY7"/>
    <mergeCell ref="AZ6:BC6"/>
    <mergeCell ref="BD6:BD7"/>
    <mergeCell ref="BE6:BH6"/>
    <mergeCell ref="A8:D8"/>
    <mergeCell ref="E8:E9"/>
    <mergeCell ref="F8:I8"/>
    <mergeCell ref="J8:J9"/>
    <mergeCell ref="AO6:AR6"/>
    <mergeCell ref="AS6:AS7"/>
    <mergeCell ref="AT6:AW6"/>
    <mergeCell ref="AX6:AX7"/>
    <mergeCell ref="U6:U7"/>
    <mergeCell ref="V6:Y6"/>
    <mergeCell ref="Z6:Z7"/>
    <mergeCell ref="AA6:AD6"/>
    <mergeCell ref="A6:D6"/>
    <mergeCell ref="E6:E7"/>
    <mergeCell ref="F6:I6"/>
    <mergeCell ref="J6:J7"/>
    <mergeCell ref="BG2:BH2"/>
    <mergeCell ref="J4:J5"/>
    <mergeCell ref="AJ4:AM4"/>
    <mergeCell ref="AN4:AN5"/>
    <mergeCell ref="AO4:AR4"/>
    <mergeCell ref="AS4:AS5"/>
    <mergeCell ref="AT4:AW4"/>
    <mergeCell ref="U2:W5"/>
    <mergeCell ref="X2:Y5"/>
    <mergeCell ref="Z2:AB5"/>
    <mergeCell ref="AC2:AD5"/>
    <mergeCell ref="AJ2:AM2"/>
    <mergeCell ref="AN2:AN3"/>
    <mergeCell ref="AO2:AR2"/>
    <mergeCell ref="AS2:AS3"/>
    <mergeCell ref="A2:D2"/>
    <mergeCell ref="E2:E3"/>
    <mergeCell ref="F2:I2"/>
    <mergeCell ref="J2:J3"/>
    <mergeCell ref="A4:D4"/>
    <mergeCell ref="E4:E5"/>
    <mergeCell ref="F4:I4"/>
    <mergeCell ref="AY3:BA5"/>
    <mergeCell ref="BD3:BF5"/>
    <mergeCell ref="AX4:AX5"/>
    <mergeCell ref="AT2:AW2"/>
    <mergeCell ref="AX2:AX3"/>
    <mergeCell ref="AY2:BA2"/>
    <mergeCell ref="BB2:BC2"/>
    <mergeCell ref="BD2:BF2"/>
  </mergeCells>
  <pageMargins left="0.21" right="0" top="0.5" bottom="0" header="0.3" footer="0.3"/>
  <pageSetup scale="44" orientation="landscape" r:id="rId1"/>
  <colBreaks count="1" manualBreakCount="1">
    <brk id="60" max="50" man="1"/>
  </colBreaks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74C97-2DD5-4320-AA82-2CC1ED1580E5}">
  <sheetPr>
    <tabColor rgb="FFFFC000"/>
  </sheetPr>
  <dimension ref="A1:CL108"/>
  <sheetViews>
    <sheetView view="pageBreakPreview" topLeftCell="A11" zoomScale="55" zoomScaleNormal="115" zoomScaleSheetLayoutView="55" workbookViewId="0">
      <selection activeCell="O31" sqref="O31:R31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140625" customWidth="1"/>
    <col min="47" max="47" width="10.71093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4.140625" customWidth="1"/>
    <col min="62" max="62" width="10.7109375" customWidth="1"/>
    <col min="63" max="63" width="4.28515625" customWidth="1"/>
    <col min="64" max="65" width="5.5703125" customWidth="1"/>
    <col min="66" max="66" width="4.140625" customWidth="1"/>
    <col min="67" max="67" width="10.7109375" customWidth="1"/>
    <col min="68" max="68" width="4.28515625" customWidth="1"/>
    <col min="69" max="70" width="5.5703125" customWidth="1"/>
    <col min="71" max="71" width="1" customWidth="1"/>
    <col min="72" max="72" width="56.7109375" customWidth="1"/>
    <col min="73" max="73" width="13" customWidth="1"/>
    <col min="74" max="74" width="7" customWidth="1"/>
  </cols>
  <sheetData>
    <row r="1" spans="1:83" ht="75" customHeight="1" x14ac:dyDescent="0.25"/>
    <row r="2" spans="1:83" ht="75" customHeight="1" x14ac:dyDescent="0.25"/>
    <row r="3" spans="1:83" ht="15" customHeight="1" x14ac:dyDescent="0.25">
      <c r="A3" s="3220" t="s">
        <v>110</v>
      </c>
      <c r="B3" s="3220"/>
      <c r="C3" s="3221">
        <f>B8/((30*3.1415/59)*(130/3.281))</f>
        <v>4.0131952317405128E-2</v>
      </c>
      <c r="D3" s="3221"/>
      <c r="E3" s="3221"/>
      <c r="F3" s="3220" t="s">
        <v>110</v>
      </c>
      <c r="G3" s="3220"/>
      <c r="H3" s="3221">
        <f t="shared" ref="H3" si="0">G8/((30*3.1415/59)*(130/3.281))</f>
        <v>7.2205914208874587E-3</v>
      </c>
      <c r="I3" s="3221"/>
      <c r="J3" s="3221"/>
      <c r="K3" s="3220" t="s">
        <v>110</v>
      </c>
      <c r="L3" s="3220"/>
      <c r="M3" s="3221">
        <f t="shared" ref="M3" si="1">L8/((30*3.1415/59)*(130/3.281))</f>
        <v>1.5799981227324854E-11</v>
      </c>
      <c r="N3" s="3221"/>
      <c r="O3" s="3221"/>
      <c r="P3" s="3220" t="s">
        <v>110</v>
      </c>
      <c r="Q3" s="3220"/>
      <c r="R3" s="3221">
        <f t="shared" ref="R3" si="2">Q8/((30*3.1415/59)*(130/3.281))</f>
        <v>1.5799981227324854E-11</v>
      </c>
      <c r="S3" s="3221"/>
      <c r="T3" s="3221"/>
      <c r="U3" s="3220" t="s">
        <v>110</v>
      </c>
      <c r="V3" s="3220"/>
      <c r="W3" s="3221">
        <f t="shared" ref="W3" si="3">V8/((30*3.1415/59)*(130/3.281))</f>
        <v>1.8454378073515427E-2</v>
      </c>
      <c r="X3" s="3221"/>
      <c r="Y3" s="3221"/>
      <c r="Z3" s="3220" t="s">
        <v>110</v>
      </c>
      <c r="AA3" s="3220"/>
      <c r="AB3" s="3221">
        <f t="shared" ref="AB3" si="4">AA8/((30*3.1415/59)*(130/3.281))</f>
        <v>1.5799981227324853E-8</v>
      </c>
      <c r="AC3" s="3221"/>
      <c r="AD3" s="3221"/>
      <c r="AE3" s="3220" t="s">
        <v>110</v>
      </c>
      <c r="AF3" s="3220"/>
      <c r="AG3" s="3221">
        <f t="shared" ref="AG3" si="5">AF8/((30*3.1415/59)*(130/3.281))</f>
        <v>1.0822987140717525E-2</v>
      </c>
      <c r="AH3" s="3221"/>
      <c r="AI3" s="3221"/>
      <c r="AJ3" s="3220" t="s">
        <v>110</v>
      </c>
      <c r="AK3" s="3220"/>
      <c r="AL3" s="3221">
        <f t="shared" ref="AL3" si="6">AK8/((30*3.1415/59)*(130/3.281))</f>
        <v>1.5799981227324856E-7</v>
      </c>
      <c r="AM3" s="3221"/>
      <c r="AN3" s="3221"/>
      <c r="AO3" s="3220" t="s">
        <v>110</v>
      </c>
      <c r="AP3" s="3220"/>
      <c r="AQ3" s="3221">
        <f t="shared" ref="AQ3" si="7">AP8/((30*3.1415/59)*(130/3.281))</f>
        <v>4.8158342780886161E-3</v>
      </c>
      <c r="AR3" s="3221"/>
      <c r="AS3" s="3221"/>
      <c r="AT3" s="3220" t="s">
        <v>110</v>
      </c>
      <c r="AU3" s="3220"/>
      <c r="AV3" s="3221">
        <f t="shared" ref="AV3" si="8">AU8/((30*3.1415/59)*(130/3.281))</f>
        <v>1.5799981227324854E-13</v>
      </c>
      <c r="AW3" s="3221"/>
      <c r="AX3" s="3221"/>
      <c r="AY3" s="3220" t="s">
        <v>110</v>
      </c>
      <c r="AZ3" s="3220"/>
      <c r="BA3" s="3221">
        <f t="shared" ref="BA3" si="9">AZ8/((30*3.1415/59)*(130/3.281))</f>
        <v>2.0065976158702564E-3</v>
      </c>
      <c r="BB3" s="3221"/>
      <c r="BC3" s="3221"/>
      <c r="BD3" s="3220" t="s">
        <v>110</v>
      </c>
      <c r="BE3" s="3220"/>
      <c r="BF3" s="3221">
        <f t="shared" ref="BF3" si="10">BE8/((30*3.1415/59)*(130/3.281))</f>
        <v>1.4836182372458036E-2</v>
      </c>
      <c r="BG3" s="3221"/>
      <c r="BH3" s="3221"/>
      <c r="BI3" s="3220" t="s">
        <v>110</v>
      </c>
      <c r="BJ3" s="3220"/>
      <c r="BK3" s="3221">
        <f t="shared" ref="BK3" si="11">BJ8/((30*3.1415/59)*(130/3.281))</f>
        <v>1.5799981227324854E-10</v>
      </c>
      <c r="BL3" s="3221"/>
      <c r="BM3" s="3221"/>
      <c r="BN3" s="3220" t="s">
        <v>110</v>
      </c>
      <c r="BO3" s="3220"/>
      <c r="BP3" s="3221">
        <f t="shared" ref="BP3" si="12">BO8/((30*3.1415/59)*(130/3.281))</f>
        <v>4.4081947624236345E-3</v>
      </c>
      <c r="BQ3" s="3221"/>
      <c r="BR3" s="3221"/>
    </row>
    <row r="4" spans="1:83" ht="15" customHeight="1" x14ac:dyDescent="0.25">
      <c r="A4" s="3220"/>
      <c r="B4" s="3220"/>
      <c r="C4" s="3221"/>
      <c r="D4" s="3221"/>
      <c r="E4" s="3221"/>
      <c r="F4" s="3220"/>
      <c r="G4" s="3220"/>
      <c r="H4" s="3221"/>
      <c r="I4" s="3221"/>
      <c r="J4" s="3221"/>
      <c r="K4" s="3220"/>
      <c r="L4" s="3220"/>
      <c r="M4" s="3221"/>
      <c r="N4" s="3221"/>
      <c r="O4" s="3221"/>
      <c r="P4" s="3220"/>
      <c r="Q4" s="3220"/>
      <c r="R4" s="3221"/>
      <c r="S4" s="3221"/>
      <c r="T4" s="3221"/>
      <c r="U4" s="3220"/>
      <c r="V4" s="3220"/>
      <c r="W4" s="3221"/>
      <c r="X4" s="3221"/>
      <c r="Y4" s="3221"/>
      <c r="Z4" s="3220"/>
      <c r="AA4" s="3220"/>
      <c r="AB4" s="3221"/>
      <c r="AC4" s="3221"/>
      <c r="AD4" s="3221"/>
      <c r="AE4" s="3220"/>
      <c r="AF4" s="3220"/>
      <c r="AG4" s="3221"/>
      <c r="AH4" s="3221"/>
      <c r="AI4" s="3221"/>
      <c r="AJ4" s="3220"/>
      <c r="AK4" s="3220"/>
      <c r="AL4" s="3221"/>
      <c r="AM4" s="3221"/>
      <c r="AN4" s="3221"/>
      <c r="AO4" s="3220"/>
      <c r="AP4" s="3220"/>
      <c r="AQ4" s="3221"/>
      <c r="AR4" s="3221"/>
      <c r="AS4" s="3221"/>
      <c r="AT4" s="3220"/>
      <c r="AU4" s="3220"/>
      <c r="AV4" s="3221"/>
      <c r="AW4" s="3221"/>
      <c r="AX4" s="3221"/>
      <c r="AY4" s="3220"/>
      <c r="AZ4" s="3220"/>
      <c r="BA4" s="3221"/>
      <c r="BB4" s="3221"/>
      <c r="BC4" s="3221"/>
      <c r="BD4" s="3220"/>
      <c r="BE4" s="3220"/>
      <c r="BF4" s="3221"/>
      <c r="BG4" s="3221"/>
      <c r="BH4" s="3221"/>
      <c r="BI4" s="3220"/>
      <c r="BJ4" s="3220"/>
      <c r="BK4" s="3221"/>
      <c r="BL4" s="3221"/>
      <c r="BM4" s="3221"/>
      <c r="BN4" s="3220"/>
      <c r="BO4" s="3220"/>
      <c r="BP4" s="3221"/>
      <c r="BQ4" s="3221"/>
      <c r="BR4" s="3221"/>
    </row>
    <row r="5" spans="1:83" ht="15" customHeight="1" x14ac:dyDescent="0.25">
      <c r="A5" s="3220"/>
      <c r="B5" s="3220"/>
      <c r="C5" s="3221"/>
      <c r="D5" s="3221"/>
      <c r="E5" s="3221"/>
      <c r="F5" s="3220"/>
      <c r="G5" s="3220"/>
      <c r="H5" s="3221"/>
      <c r="I5" s="3221"/>
      <c r="J5" s="3221"/>
      <c r="K5" s="3220"/>
      <c r="L5" s="3220"/>
      <c r="M5" s="3221"/>
      <c r="N5" s="3221"/>
      <c r="O5" s="3221"/>
      <c r="P5" s="3220"/>
      <c r="Q5" s="3220"/>
      <c r="R5" s="3221"/>
      <c r="S5" s="3221"/>
      <c r="T5" s="3221"/>
      <c r="U5" s="3220"/>
      <c r="V5" s="3220"/>
      <c r="W5" s="3221"/>
      <c r="X5" s="3221"/>
      <c r="Y5" s="3221"/>
      <c r="Z5" s="3220"/>
      <c r="AA5" s="3220"/>
      <c r="AB5" s="3221"/>
      <c r="AC5" s="3221"/>
      <c r="AD5" s="3221"/>
      <c r="AE5" s="3220"/>
      <c r="AF5" s="3220"/>
      <c r="AG5" s="3221"/>
      <c r="AH5" s="3221"/>
      <c r="AI5" s="3221"/>
      <c r="AJ5" s="3220"/>
      <c r="AK5" s="3220"/>
      <c r="AL5" s="3221"/>
      <c r="AM5" s="3221"/>
      <c r="AN5" s="3221"/>
      <c r="AO5" s="3220"/>
      <c r="AP5" s="3220"/>
      <c r="AQ5" s="3221"/>
      <c r="AR5" s="3221"/>
      <c r="AS5" s="3221"/>
      <c r="AT5" s="3220"/>
      <c r="AU5" s="3220"/>
      <c r="AV5" s="3221"/>
      <c r="AW5" s="3221"/>
      <c r="AX5" s="3221"/>
      <c r="AY5" s="3220"/>
      <c r="AZ5" s="3220"/>
      <c r="BA5" s="3221"/>
      <c r="BB5" s="3221"/>
      <c r="BC5" s="3221"/>
      <c r="BD5" s="3220"/>
      <c r="BE5" s="3220"/>
      <c r="BF5" s="3221"/>
      <c r="BG5" s="3221"/>
      <c r="BH5" s="3221"/>
      <c r="BI5" s="3220"/>
      <c r="BJ5" s="3220"/>
      <c r="BK5" s="3221"/>
      <c r="BL5" s="3221"/>
      <c r="BM5" s="3221"/>
      <c r="BN5" s="3220"/>
      <c r="BO5" s="3220"/>
      <c r="BP5" s="3221"/>
      <c r="BQ5" s="3221"/>
      <c r="BR5" s="3221"/>
    </row>
    <row r="6" spans="1:83" ht="24.95" customHeight="1" x14ac:dyDescent="0.25">
      <c r="A6" s="1917" t="s">
        <v>111</v>
      </c>
      <c r="B6" s="1918"/>
      <c r="C6" s="1918"/>
      <c r="D6" s="1918"/>
      <c r="E6" s="1919"/>
      <c r="F6" s="1917" t="s">
        <v>111</v>
      </c>
      <c r="G6" s="1918"/>
      <c r="H6" s="1918"/>
      <c r="I6" s="1918"/>
      <c r="J6" s="1919"/>
      <c r="K6" s="1917" t="s">
        <v>111</v>
      </c>
      <c r="L6" s="1918"/>
      <c r="M6" s="1918"/>
      <c r="N6" s="1918"/>
      <c r="O6" s="1919"/>
      <c r="P6" s="1917" t="s">
        <v>111</v>
      </c>
      <c r="Q6" s="1918"/>
      <c r="R6" s="1918"/>
      <c r="S6" s="1918"/>
      <c r="T6" s="1919"/>
      <c r="U6" s="1917" t="s">
        <v>111</v>
      </c>
      <c r="V6" s="1918"/>
      <c r="W6" s="1918"/>
      <c r="X6" s="1918"/>
      <c r="Y6" s="1919"/>
      <c r="Z6" s="1917" t="s">
        <v>111</v>
      </c>
      <c r="AA6" s="1918"/>
      <c r="AB6" s="1918"/>
      <c r="AC6" s="1918"/>
      <c r="AD6" s="1919"/>
      <c r="AE6" s="1917" t="s">
        <v>111</v>
      </c>
      <c r="AF6" s="1918"/>
      <c r="AG6" s="1918"/>
      <c r="AH6" s="1918"/>
      <c r="AI6" s="1919"/>
      <c r="AJ6" s="1917" t="s">
        <v>111</v>
      </c>
      <c r="AK6" s="1918"/>
      <c r="AL6" s="1918"/>
      <c r="AM6" s="1918"/>
      <c r="AN6" s="1919"/>
      <c r="AO6" s="1917" t="s">
        <v>111</v>
      </c>
      <c r="AP6" s="1918"/>
      <c r="AQ6" s="1918"/>
      <c r="AR6" s="1918"/>
      <c r="AS6" s="1919"/>
      <c r="AT6" s="1917" t="s">
        <v>111</v>
      </c>
      <c r="AU6" s="1918"/>
      <c r="AV6" s="1918"/>
      <c r="AW6" s="1918"/>
      <c r="AX6" s="1919"/>
      <c r="AY6" s="1917" t="s">
        <v>111</v>
      </c>
      <c r="AZ6" s="1918"/>
      <c r="BA6" s="1918"/>
      <c r="BB6" s="1918"/>
      <c r="BC6" s="1919"/>
      <c r="BD6" s="1917" t="s">
        <v>111</v>
      </c>
      <c r="BE6" s="1918"/>
      <c r="BF6" s="1918"/>
      <c r="BG6" s="1918"/>
      <c r="BH6" s="1919"/>
      <c r="BI6" s="1917" t="s">
        <v>111</v>
      </c>
      <c r="BJ6" s="1918"/>
      <c r="BK6" s="1918"/>
      <c r="BL6" s="1918"/>
      <c r="BM6" s="1919"/>
      <c r="BN6" s="1917" t="s">
        <v>111</v>
      </c>
      <c r="BO6" s="1918"/>
      <c r="BP6" s="1918"/>
      <c r="BQ6" s="1918"/>
      <c r="BR6" s="1919"/>
    </row>
    <row r="7" spans="1:83" s="22" customFormat="1" ht="80.099999999999994" customHeight="1" x14ac:dyDescent="1.35">
      <c r="A7" s="3222" t="s">
        <v>279</v>
      </c>
      <c r="B7" s="1921">
        <v>1</v>
      </c>
      <c r="C7" s="1921"/>
      <c r="D7" s="1921"/>
      <c r="E7" s="1921"/>
      <c r="F7" s="3222" t="s">
        <v>279</v>
      </c>
      <c r="G7" s="1921">
        <v>2</v>
      </c>
      <c r="H7" s="1921"/>
      <c r="I7" s="1921"/>
      <c r="J7" s="1921"/>
      <c r="K7" s="3222" t="s">
        <v>279</v>
      </c>
      <c r="L7" s="1921">
        <v>3</v>
      </c>
      <c r="M7" s="1921"/>
      <c r="N7" s="1921"/>
      <c r="O7" s="1921"/>
      <c r="P7" s="3222" t="s">
        <v>279</v>
      </c>
      <c r="Q7" s="1921">
        <v>4</v>
      </c>
      <c r="R7" s="1921"/>
      <c r="S7" s="1921"/>
      <c r="T7" s="1921"/>
      <c r="U7" s="3222" t="s">
        <v>279</v>
      </c>
      <c r="V7" s="1921">
        <v>5</v>
      </c>
      <c r="W7" s="1921"/>
      <c r="X7" s="1921"/>
      <c r="Y7" s="1921"/>
      <c r="Z7" s="3222" t="s">
        <v>279</v>
      </c>
      <c r="AA7" s="1921">
        <v>6</v>
      </c>
      <c r="AB7" s="1921"/>
      <c r="AC7" s="1921"/>
      <c r="AD7" s="1921"/>
      <c r="AE7" s="3222" t="s">
        <v>279</v>
      </c>
      <c r="AF7" s="1921">
        <v>7</v>
      </c>
      <c r="AG7" s="1921"/>
      <c r="AH7" s="1921"/>
      <c r="AI7" s="1921"/>
      <c r="AJ7" s="3222" t="s">
        <v>279</v>
      </c>
      <c r="AK7" s="1921">
        <v>8</v>
      </c>
      <c r="AL7" s="1921"/>
      <c r="AM7" s="1921"/>
      <c r="AN7" s="1921"/>
      <c r="AO7" s="3222" t="s">
        <v>279</v>
      </c>
      <c r="AP7" s="1921">
        <v>9</v>
      </c>
      <c r="AQ7" s="1921"/>
      <c r="AR7" s="1921"/>
      <c r="AS7" s="1921"/>
      <c r="AT7" s="3222" t="s">
        <v>279</v>
      </c>
      <c r="AU7" s="1921">
        <v>10</v>
      </c>
      <c r="AV7" s="1921"/>
      <c r="AW7" s="1921"/>
      <c r="AX7" s="1921"/>
      <c r="AY7" s="3222" t="s">
        <v>279</v>
      </c>
      <c r="AZ7" s="1921">
        <v>11</v>
      </c>
      <c r="BA7" s="1921"/>
      <c r="BB7" s="1921"/>
      <c r="BC7" s="1921"/>
      <c r="BD7" s="3222" t="s">
        <v>279</v>
      </c>
      <c r="BE7" s="1921">
        <v>12</v>
      </c>
      <c r="BF7" s="1921"/>
      <c r="BG7" s="1921"/>
      <c r="BH7" s="1921"/>
      <c r="BI7" s="3222" t="s">
        <v>279</v>
      </c>
      <c r="BJ7" s="1921">
        <v>13</v>
      </c>
      <c r="BK7" s="1921"/>
      <c r="BL7" s="1921"/>
      <c r="BM7" s="1921"/>
      <c r="BN7" s="3222" t="s">
        <v>279</v>
      </c>
      <c r="BO7" s="1921">
        <v>14</v>
      </c>
      <c r="BP7" s="1921"/>
      <c r="BQ7" s="1921"/>
      <c r="BR7" s="1921"/>
    </row>
    <row r="8" spans="1:83" ht="27" customHeight="1" x14ac:dyDescent="0.25">
      <c r="A8" s="3222"/>
      <c r="B8" s="380">
        <v>2.54</v>
      </c>
      <c r="C8" s="381" t="s">
        <v>113</v>
      </c>
      <c r="D8" s="382"/>
      <c r="E8" s="383" t="s">
        <v>114</v>
      </c>
      <c r="F8" s="3222"/>
      <c r="G8" s="380">
        <v>0.45700000000000002</v>
      </c>
      <c r="H8" s="381" t="s">
        <v>113</v>
      </c>
      <c r="I8" s="382">
        <v>1</v>
      </c>
      <c r="J8" s="383" t="s">
        <v>114</v>
      </c>
      <c r="K8" s="3222"/>
      <c r="L8" s="380">
        <v>1.0000000000000001E-9</v>
      </c>
      <c r="M8" s="381" t="s">
        <v>113</v>
      </c>
      <c r="N8" s="382"/>
      <c r="O8" s="383" t="s">
        <v>114</v>
      </c>
      <c r="P8" s="3222"/>
      <c r="Q8" s="380">
        <v>1.0000000000000001E-9</v>
      </c>
      <c r="R8" s="381" t="s">
        <v>113</v>
      </c>
      <c r="S8" s="382"/>
      <c r="T8" s="383" t="s">
        <v>114</v>
      </c>
      <c r="U8" s="3222"/>
      <c r="V8" s="380">
        <v>1.1679999999999999</v>
      </c>
      <c r="W8" s="381" t="s">
        <v>113</v>
      </c>
      <c r="X8" s="382">
        <v>1</v>
      </c>
      <c r="Y8" s="383" t="s">
        <v>114</v>
      </c>
      <c r="Z8" s="3222"/>
      <c r="AA8" s="380">
        <v>9.9999999999999995E-7</v>
      </c>
      <c r="AB8" s="381" t="s">
        <v>113</v>
      </c>
      <c r="AC8" s="382"/>
      <c r="AD8" s="383" t="s">
        <v>114</v>
      </c>
      <c r="AE8" s="3222"/>
      <c r="AF8" s="380">
        <v>0.68500000000000005</v>
      </c>
      <c r="AG8" s="381" t="s">
        <v>113</v>
      </c>
      <c r="AH8" s="382">
        <v>1</v>
      </c>
      <c r="AI8" s="383" t="s">
        <v>114</v>
      </c>
      <c r="AJ8" s="3222"/>
      <c r="AK8" s="380">
        <v>1.0000000000000001E-5</v>
      </c>
      <c r="AL8" s="381" t="s">
        <v>113</v>
      </c>
      <c r="AM8" s="382"/>
      <c r="AN8" s="383" t="s">
        <v>114</v>
      </c>
      <c r="AO8" s="3222"/>
      <c r="AP8" s="380">
        <v>0.30480000000000002</v>
      </c>
      <c r="AQ8" s="381" t="s">
        <v>113</v>
      </c>
      <c r="AR8" s="382">
        <v>1</v>
      </c>
      <c r="AS8" s="383" t="s">
        <v>114</v>
      </c>
      <c r="AT8" s="3222"/>
      <c r="AU8" s="380">
        <v>9.9999999999999994E-12</v>
      </c>
      <c r="AV8" s="381" t="s">
        <v>113</v>
      </c>
      <c r="AW8" s="382"/>
      <c r="AX8" s="383" t="s">
        <v>114</v>
      </c>
      <c r="AY8" s="3222"/>
      <c r="AZ8" s="380">
        <v>0.127</v>
      </c>
      <c r="BA8" s="381" t="s">
        <v>113</v>
      </c>
      <c r="BB8" s="382"/>
      <c r="BC8" s="383" t="s">
        <v>114</v>
      </c>
      <c r="BD8" s="3222"/>
      <c r="BE8" s="380">
        <v>0.93899999999999995</v>
      </c>
      <c r="BF8" s="381" t="s">
        <v>113</v>
      </c>
      <c r="BG8" s="382">
        <v>1</v>
      </c>
      <c r="BH8" s="383" t="s">
        <v>114</v>
      </c>
      <c r="BI8" s="3222"/>
      <c r="BJ8" s="380">
        <v>1E-8</v>
      </c>
      <c r="BK8" s="381" t="s">
        <v>113</v>
      </c>
      <c r="BL8" s="382"/>
      <c r="BM8" s="383" t="s">
        <v>114</v>
      </c>
      <c r="BN8" s="3222"/>
      <c r="BO8" s="380">
        <v>0.27900000000000003</v>
      </c>
      <c r="BP8" s="381" t="s">
        <v>113</v>
      </c>
      <c r="BQ8" s="382">
        <v>1</v>
      </c>
      <c r="BR8" s="383" t="s">
        <v>114</v>
      </c>
      <c r="BW8" s="27"/>
      <c r="BX8" s="27"/>
      <c r="BY8" s="27"/>
      <c r="BZ8" s="27"/>
      <c r="CA8" s="27"/>
      <c r="CB8" s="27"/>
      <c r="CC8" s="27"/>
      <c r="CD8" s="27"/>
      <c r="CE8" s="27"/>
    </row>
    <row r="9" spans="1:83" ht="15" customHeight="1" x14ac:dyDescent="0.25">
      <c r="A9" s="3220" t="s">
        <v>110</v>
      </c>
      <c r="B9" s="3220"/>
      <c r="C9" s="3221">
        <f t="shared" ref="C9" si="13">B14/((30*3.1415/59)*(130/3.281))</f>
        <v>1.5799981227324854E-10</v>
      </c>
      <c r="D9" s="3221"/>
      <c r="E9" s="3221"/>
      <c r="F9" s="3220" t="s">
        <v>110</v>
      </c>
      <c r="G9" s="3220"/>
      <c r="H9" s="3221">
        <f t="shared" ref="H9" si="14">G14/((30*3.1415/59)*(130/3.281))</f>
        <v>5.6184733244367185E-3</v>
      </c>
      <c r="I9" s="3221"/>
      <c r="J9" s="3221"/>
      <c r="K9" s="3220" t="s">
        <v>110</v>
      </c>
      <c r="L9" s="3220"/>
      <c r="M9" s="3221">
        <f t="shared" ref="M9" si="15">L14/((30*3.1415/59)*(130/3.281))</f>
        <v>1.4046183311091795E-2</v>
      </c>
      <c r="N9" s="3221"/>
      <c r="O9" s="3221"/>
      <c r="P9" s="3220" t="s">
        <v>110</v>
      </c>
      <c r="Q9" s="3220"/>
      <c r="R9" s="3221">
        <f t="shared" ref="R9" si="16">Q14/((30*3.1415/59)*(130/3.281))</f>
        <v>1.5799981227324854E-10</v>
      </c>
      <c r="S9" s="3221"/>
      <c r="T9" s="3221"/>
      <c r="U9" s="3220" t="s">
        <v>110</v>
      </c>
      <c r="V9" s="3220"/>
      <c r="W9" s="3221">
        <f t="shared" ref="W9" si="17">V14/((30*3.1415/59)*(130/3.281))</f>
        <v>2.8092366622183593E-3</v>
      </c>
      <c r="X9" s="3221"/>
      <c r="Y9" s="3221"/>
      <c r="Z9" s="3220" t="s">
        <v>110</v>
      </c>
      <c r="AA9" s="3220"/>
      <c r="AB9" s="3221">
        <f t="shared" ref="AB9" si="18">AA14/((30*3.1415/59)*(130/3.281))</f>
        <v>1.5799981227324854E-12</v>
      </c>
      <c r="AC9" s="3221"/>
      <c r="AD9" s="3221"/>
      <c r="AE9" s="3220" t="s">
        <v>110</v>
      </c>
      <c r="AF9" s="3220"/>
      <c r="AG9" s="3221">
        <f t="shared" ref="AG9" si="19">AF14/((30*3.1415/59)*(130/3.281))</f>
        <v>1.5799981227324854E-15</v>
      </c>
      <c r="AH9" s="3221"/>
      <c r="AI9" s="3221"/>
      <c r="AJ9" s="3220" t="s">
        <v>110</v>
      </c>
      <c r="AK9" s="3220"/>
      <c r="AL9" s="3221">
        <f t="shared" ref="AL9" si="20">AK14/((30*3.1415/59)*(130/3.281))</f>
        <v>4.8158342780886161E-3</v>
      </c>
      <c r="AM9" s="3221"/>
      <c r="AN9" s="3221"/>
      <c r="AO9" s="3220" t="s">
        <v>110</v>
      </c>
      <c r="AP9" s="3220"/>
      <c r="AQ9" s="3221">
        <f t="shared" ref="AQ9" si="21">AP14/((30*3.1415/59)*(130/3.281))</f>
        <v>1.5799981227324856E-7</v>
      </c>
      <c r="AR9" s="3221"/>
      <c r="AS9" s="3221"/>
      <c r="AT9" s="3220" t="s">
        <v>110</v>
      </c>
      <c r="AU9" s="3220"/>
      <c r="AV9" s="3221">
        <f t="shared" ref="AV9" si="22">AU14/((30*3.1415/59)*(130/3.281))</f>
        <v>8.8304339524644462E-3</v>
      </c>
      <c r="AW9" s="3221"/>
      <c r="AX9" s="3221"/>
      <c r="AY9" s="3220" t="s">
        <v>110</v>
      </c>
      <c r="AZ9" s="3220"/>
      <c r="BA9" s="3221">
        <f t="shared" ref="BA9" si="23">AZ14/((30*3.1415/59)*(130/3.281))</f>
        <v>1.5799981227324856E-7</v>
      </c>
      <c r="BB9" s="3221"/>
      <c r="BC9" s="3221"/>
      <c r="BD9" s="3220" t="s">
        <v>110</v>
      </c>
      <c r="BE9" s="3220"/>
      <c r="BF9" s="3221">
        <f t="shared" ref="BF9" si="24">BE14/((30*3.1415/59)*(130/3.281))</f>
        <v>2.0065976158702564E-3</v>
      </c>
      <c r="BG9" s="3221"/>
      <c r="BH9" s="3221"/>
      <c r="BI9" s="3220" t="s">
        <v>110</v>
      </c>
      <c r="BJ9" s="3220"/>
      <c r="BK9" s="3221">
        <f t="shared" ref="BK9" si="25">BJ14/((30*3.1415/59)*(130/3.281))</f>
        <v>3.2073961891469454E-3</v>
      </c>
      <c r="BL9" s="3221"/>
      <c r="BM9" s="3221"/>
      <c r="BN9" s="3220" t="s">
        <v>110</v>
      </c>
      <c r="BO9" s="3220"/>
      <c r="BP9" s="3221">
        <f t="shared" ref="BP9" si="26">BO14/((30*3.1415/59)*(130/3.281))</f>
        <v>1.5799981227324854E-12</v>
      </c>
      <c r="BQ9" s="3221"/>
      <c r="BR9" s="3221"/>
    </row>
    <row r="10" spans="1:83" ht="15" customHeight="1" x14ac:dyDescent="0.25">
      <c r="A10" s="3220"/>
      <c r="B10" s="3220"/>
      <c r="C10" s="3221"/>
      <c r="D10" s="3221"/>
      <c r="E10" s="3221"/>
      <c r="F10" s="3220"/>
      <c r="G10" s="3220"/>
      <c r="H10" s="3221"/>
      <c r="I10" s="3221"/>
      <c r="J10" s="3221"/>
      <c r="K10" s="3220"/>
      <c r="L10" s="3220"/>
      <c r="M10" s="3221"/>
      <c r="N10" s="3221"/>
      <c r="O10" s="3221"/>
      <c r="P10" s="3220"/>
      <c r="Q10" s="3220"/>
      <c r="R10" s="3221"/>
      <c r="S10" s="3221"/>
      <c r="T10" s="3221"/>
      <c r="U10" s="3220"/>
      <c r="V10" s="3220"/>
      <c r="W10" s="3221"/>
      <c r="X10" s="3221"/>
      <c r="Y10" s="3221"/>
      <c r="Z10" s="3220"/>
      <c r="AA10" s="3220"/>
      <c r="AB10" s="3221"/>
      <c r="AC10" s="3221"/>
      <c r="AD10" s="3221"/>
      <c r="AE10" s="3220"/>
      <c r="AF10" s="3220"/>
      <c r="AG10" s="3221"/>
      <c r="AH10" s="3221"/>
      <c r="AI10" s="3221"/>
      <c r="AJ10" s="3220"/>
      <c r="AK10" s="3220"/>
      <c r="AL10" s="3221"/>
      <c r="AM10" s="3221"/>
      <c r="AN10" s="3221"/>
      <c r="AO10" s="3220"/>
      <c r="AP10" s="3220"/>
      <c r="AQ10" s="3221"/>
      <c r="AR10" s="3221"/>
      <c r="AS10" s="3221"/>
      <c r="AT10" s="3220"/>
      <c r="AU10" s="3220"/>
      <c r="AV10" s="3221"/>
      <c r="AW10" s="3221"/>
      <c r="AX10" s="3221"/>
      <c r="AY10" s="3220"/>
      <c r="AZ10" s="3220"/>
      <c r="BA10" s="3221"/>
      <c r="BB10" s="3221"/>
      <c r="BC10" s="3221"/>
      <c r="BD10" s="3220"/>
      <c r="BE10" s="3220"/>
      <c r="BF10" s="3221"/>
      <c r="BG10" s="3221"/>
      <c r="BH10" s="3221"/>
      <c r="BI10" s="3220"/>
      <c r="BJ10" s="3220"/>
      <c r="BK10" s="3221"/>
      <c r="BL10" s="3221"/>
      <c r="BM10" s="3221"/>
      <c r="BN10" s="3220"/>
      <c r="BO10" s="3220"/>
      <c r="BP10" s="3221"/>
      <c r="BQ10" s="3221"/>
      <c r="BR10" s="3221"/>
    </row>
    <row r="11" spans="1:83" ht="15" customHeight="1" x14ac:dyDescent="0.25">
      <c r="A11" s="3220"/>
      <c r="B11" s="3220"/>
      <c r="C11" s="3221"/>
      <c r="D11" s="3221"/>
      <c r="E11" s="3221"/>
      <c r="F11" s="3220"/>
      <c r="G11" s="3220"/>
      <c r="H11" s="3221"/>
      <c r="I11" s="3221"/>
      <c r="J11" s="3221"/>
      <c r="K11" s="3220"/>
      <c r="L11" s="3220"/>
      <c r="M11" s="3221"/>
      <c r="N11" s="3221"/>
      <c r="O11" s="3221"/>
      <c r="P11" s="3220"/>
      <c r="Q11" s="3220"/>
      <c r="R11" s="3221"/>
      <c r="S11" s="3221"/>
      <c r="T11" s="3221"/>
      <c r="U11" s="3220"/>
      <c r="V11" s="3220"/>
      <c r="W11" s="3221"/>
      <c r="X11" s="3221"/>
      <c r="Y11" s="3221"/>
      <c r="Z11" s="3220"/>
      <c r="AA11" s="3220"/>
      <c r="AB11" s="3221"/>
      <c r="AC11" s="3221"/>
      <c r="AD11" s="3221"/>
      <c r="AE11" s="3220"/>
      <c r="AF11" s="3220"/>
      <c r="AG11" s="3221"/>
      <c r="AH11" s="3221"/>
      <c r="AI11" s="3221"/>
      <c r="AJ11" s="3220"/>
      <c r="AK11" s="3220"/>
      <c r="AL11" s="3221"/>
      <c r="AM11" s="3221"/>
      <c r="AN11" s="3221"/>
      <c r="AO11" s="3220"/>
      <c r="AP11" s="3220"/>
      <c r="AQ11" s="3221"/>
      <c r="AR11" s="3221"/>
      <c r="AS11" s="3221"/>
      <c r="AT11" s="3220"/>
      <c r="AU11" s="3220"/>
      <c r="AV11" s="3221"/>
      <c r="AW11" s="3221"/>
      <c r="AX11" s="3221"/>
      <c r="AY11" s="3220"/>
      <c r="AZ11" s="3220"/>
      <c r="BA11" s="3221"/>
      <c r="BB11" s="3221"/>
      <c r="BC11" s="3221"/>
      <c r="BD11" s="3220"/>
      <c r="BE11" s="3220"/>
      <c r="BF11" s="3221"/>
      <c r="BG11" s="3221"/>
      <c r="BH11" s="3221"/>
      <c r="BI11" s="3220"/>
      <c r="BJ11" s="3220"/>
      <c r="BK11" s="3221"/>
      <c r="BL11" s="3221"/>
      <c r="BM11" s="3221"/>
      <c r="BN11" s="3220"/>
      <c r="BO11" s="3220"/>
      <c r="BP11" s="3221"/>
      <c r="BQ11" s="3221"/>
      <c r="BR11" s="3221"/>
    </row>
    <row r="12" spans="1:83" ht="24.95" customHeight="1" x14ac:dyDescent="0.25">
      <c r="A12" s="1917" t="s">
        <v>111</v>
      </c>
      <c r="B12" s="1918"/>
      <c r="C12" s="1918"/>
      <c r="D12" s="1918"/>
      <c r="E12" s="1919"/>
      <c r="F12" s="1917" t="s">
        <v>111</v>
      </c>
      <c r="G12" s="1918"/>
      <c r="H12" s="1918"/>
      <c r="I12" s="1918"/>
      <c r="J12" s="1919"/>
      <c r="K12" s="1917" t="s">
        <v>111</v>
      </c>
      <c r="L12" s="1918"/>
      <c r="M12" s="1918"/>
      <c r="N12" s="1918"/>
      <c r="O12" s="1919"/>
      <c r="P12" s="1917" t="s">
        <v>111</v>
      </c>
      <c r="Q12" s="1918"/>
      <c r="R12" s="1918"/>
      <c r="S12" s="1918"/>
      <c r="T12" s="1919"/>
      <c r="U12" s="1917" t="s">
        <v>111</v>
      </c>
      <c r="V12" s="1918"/>
      <c r="W12" s="1918"/>
      <c r="X12" s="1918"/>
      <c r="Y12" s="1919"/>
      <c r="Z12" s="1917" t="s">
        <v>111</v>
      </c>
      <c r="AA12" s="1918"/>
      <c r="AB12" s="1918"/>
      <c r="AC12" s="1918"/>
      <c r="AD12" s="1919"/>
      <c r="AE12" s="1917" t="s">
        <v>111</v>
      </c>
      <c r="AF12" s="1918"/>
      <c r="AG12" s="1918"/>
      <c r="AH12" s="1918"/>
      <c r="AI12" s="1919"/>
      <c r="AJ12" s="1917" t="s">
        <v>111</v>
      </c>
      <c r="AK12" s="1918"/>
      <c r="AL12" s="1918"/>
      <c r="AM12" s="1918"/>
      <c r="AN12" s="1919"/>
      <c r="AO12" s="1917" t="s">
        <v>111</v>
      </c>
      <c r="AP12" s="1918"/>
      <c r="AQ12" s="1918"/>
      <c r="AR12" s="1918"/>
      <c r="AS12" s="1919"/>
      <c r="AT12" s="1917" t="s">
        <v>111</v>
      </c>
      <c r="AU12" s="1918"/>
      <c r="AV12" s="1918"/>
      <c r="AW12" s="1918"/>
      <c r="AX12" s="1919"/>
      <c r="AY12" s="1917" t="s">
        <v>111</v>
      </c>
      <c r="AZ12" s="1918"/>
      <c r="BA12" s="1918"/>
      <c r="BB12" s="1918"/>
      <c r="BC12" s="1919"/>
      <c r="BD12" s="1917" t="s">
        <v>111</v>
      </c>
      <c r="BE12" s="1918"/>
      <c r="BF12" s="1918"/>
      <c r="BG12" s="1918"/>
      <c r="BH12" s="1919"/>
      <c r="BI12" s="1917" t="s">
        <v>111</v>
      </c>
      <c r="BJ12" s="1918"/>
      <c r="BK12" s="1918"/>
      <c r="BL12" s="1918"/>
      <c r="BM12" s="1919"/>
      <c r="BN12" s="1917" t="s">
        <v>111</v>
      </c>
      <c r="BO12" s="1918"/>
      <c r="BP12" s="1918"/>
      <c r="BQ12" s="1918"/>
      <c r="BR12" s="1919"/>
    </row>
    <row r="13" spans="1:83" s="22" customFormat="1" ht="80.099999999999994" customHeight="1" x14ac:dyDescent="1.35">
      <c r="A13" s="3222" t="s">
        <v>279</v>
      </c>
      <c r="B13" s="1921">
        <v>15</v>
      </c>
      <c r="C13" s="1921"/>
      <c r="D13" s="1921"/>
      <c r="E13" s="1921"/>
      <c r="F13" s="3222" t="s">
        <v>279</v>
      </c>
      <c r="G13" s="1921">
        <v>16</v>
      </c>
      <c r="H13" s="1921"/>
      <c r="I13" s="1921"/>
      <c r="J13" s="1921"/>
      <c r="K13" s="3222" t="s">
        <v>279</v>
      </c>
      <c r="L13" s="1921">
        <v>17</v>
      </c>
      <c r="M13" s="1921"/>
      <c r="N13" s="1921"/>
      <c r="O13" s="1921"/>
      <c r="P13" s="3222" t="s">
        <v>279</v>
      </c>
      <c r="Q13" s="1921">
        <v>18</v>
      </c>
      <c r="R13" s="1921"/>
      <c r="S13" s="1921"/>
      <c r="T13" s="1921"/>
      <c r="U13" s="3222" t="s">
        <v>279</v>
      </c>
      <c r="V13" s="1921">
        <v>19</v>
      </c>
      <c r="W13" s="1921"/>
      <c r="X13" s="1921"/>
      <c r="Y13" s="1921"/>
      <c r="Z13" s="3222" t="s">
        <v>279</v>
      </c>
      <c r="AA13" s="1921">
        <v>20</v>
      </c>
      <c r="AB13" s="1921"/>
      <c r="AC13" s="1921"/>
      <c r="AD13" s="1921"/>
      <c r="AE13" s="3222" t="s">
        <v>279</v>
      </c>
      <c r="AF13" s="1921">
        <v>21</v>
      </c>
      <c r="AG13" s="1921"/>
      <c r="AH13" s="1921"/>
      <c r="AI13" s="1921"/>
      <c r="AJ13" s="3222" t="s">
        <v>279</v>
      </c>
      <c r="AK13" s="1921">
        <v>22</v>
      </c>
      <c r="AL13" s="1921"/>
      <c r="AM13" s="1921"/>
      <c r="AN13" s="1921"/>
      <c r="AO13" s="3222" t="s">
        <v>279</v>
      </c>
      <c r="AP13" s="1921">
        <v>23</v>
      </c>
      <c r="AQ13" s="1921"/>
      <c r="AR13" s="1921"/>
      <c r="AS13" s="1921"/>
      <c r="AT13" s="3222" t="s">
        <v>279</v>
      </c>
      <c r="AU13" s="1921">
        <v>24</v>
      </c>
      <c r="AV13" s="1921"/>
      <c r="AW13" s="1921"/>
      <c r="AX13" s="1921"/>
      <c r="AY13" s="3222" t="s">
        <v>279</v>
      </c>
      <c r="AZ13" s="1921">
        <v>25</v>
      </c>
      <c r="BA13" s="1921"/>
      <c r="BB13" s="1921"/>
      <c r="BC13" s="1921"/>
      <c r="BD13" s="3222" t="s">
        <v>279</v>
      </c>
      <c r="BE13" s="1921">
        <v>26</v>
      </c>
      <c r="BF13" s="1921"/>
      <c r="BG13" s="1921"/>
      <c r="BH13" s="1921"/>
      <c r="BI13" s="3222" t="s">
        <v>279</v>
      </c>
      <c r="BJ13" s="1921">
        <v>27</v>
      </c>
      <c r="BK13" s="1921"/>
      <c r="BL13" s="1921"/>
      <c r="BM13" s="1921"/>
      <c r="BN13" s="3222" t="s">
        <v>279</v>
      </c>
      <c r="BO13" s="1921">
        <v>28</v>
      </c>
      <c r="BP13" s="1921"/>
      <c r="BQ13" s="1921"/>
      <c r="BR13" s="1921"/>
    </row>
    <row r="14" spans="1:83" ht="27" customHeight="1" x14ac:dyDescent="0.25">
      <c r="A14" s="3222"/>
      <c r="B14" s="380">
        <v>1E-8</v>
      </c>
      <c r="C14" s="381" t="s">
        <v>113</v>
      </c>
      <c r="D14" s="382"/>
      <c r="E14" s="383" t="s">
        <v>114</v>
      </c>
      <c r="F14" s="3222"/>
      <c r="G14" s="380">
        <v>0.35560000000000003</v>
      </c>
      <c r="H14" s="381" t="s">
        <v>113</v>
      </c>
      <c r="I14" s="382"/>
      <c r="J14" s="383" t="s">
        <v>114</v>
      </c>
      <c r="K14" s="3222"/>
      <c r="L14" s="380">
        <v>0.88900000000000001</v>
      </c>
      <c r="M14" s="381" t="s">
        <v>113</v>
      </c>
      <c r="N14" s="382">
        <v>1</v>
      </c>
      <c r="O14" s="383" t="s">
        <v>114</v>
      </c>
      <c r="P14" s="3222"/>
      <c r="Q14" s="380">
        <v>1E-8</v>
      </c>
      <c r="R14" s="381" t="s">
        <v>113</v>
      </c>
      <c r="S14" s="382"/>
      <c r="T14" s="383" t="s">
        <v>114</v>
      </c>
      <c r="U14" s="3222"/>
      <c r="V14" s="380">
        <v>0.17780000000000001</v>
      </c>
      <c r="W14" s="381" t="s">
        <v>113</v>
      </c>
      <c r="X14" s="382">
        <v>1</v>
      </c>
      <c r="Y14" s="383" t="s">
        <v>114</v>
      </c>
      <c r="Z14" s="3222"/>
      <c r="AA14" s="380">
        <v>1E-10</v>
      </c>
      <c r="AB14" s="381" t="s">
        <v>113</v>
      </c>
      <c r="AC14" s="382"/>
      <c r="AD14" s="383" t="s">
        <v>114</v>
      </c>
      <c r="AE14" s="3222"/>
      <c r="AF14" s="380">
        <v>1E-13</v>
      </c>
      <c r="AG14" s="381" t="s">
        <v>113</v>
      </c>
      <c r="AH14" s="382"/>
      <c r="AI14" s="383" t="s">
        <v>114</v>
      </c>
      <c r="AJ14" s="3222"/>
      <c r="AK14" s="380">
        <v>0.30480000000000002</v>
      </c>
      <c r="AL14" s="381" t="s">
        <v>113</v>
      </c>
      <c r="AM14" s="382">
        <v>1</v>
      </c>
      <c r="AN14" s="383" t="s">
        <v>114</v>
      </c>
      <c r="AO14" s="3222"/>
      <c r="AP14" s="380">
        <v>1.0000000000000001E-5</v>
      </c>
      <c r="AQ14" s="381" t="s">
        <v>113</v>
      </c>
      <c r="AR14" s="382"/>
      <c r="AS14" s="383" t="s">
        <v>114</v>
      </c>
      <c r="AT14" s="3222"/>
      <c r="AU14" s="380">
        <v>0.55888888887999999</v>
      </c>
      <c r="AV14" s="381" t="s">
        <v>113</v>
      </c>
      <c r="AW14" s="382">
        <v>1</v>
      </c>
      <c r="AX14" s="383" t="s">
        <v>114</v>
      </c>
      <c r="AY14" s="3222"/>
      <c r="AZ14" s="380">
        <v>1.0000000000000001E-5</v>
      </c>
      <c r="BA14" s="381" t="s">
        <v>113</v>
      </c>
      <c r="BB14" s="382"/>
      <c r="BC14" s="383" t="s">
        <v>114</v>
      </c>
      <c r="BD14" s="3222"/>
      <c r="BE14" s="380">
        <v>0.127</v>
      </c>
      <c r="BF14" s="381" t="s">
        <v>113</v>
      </c>
      <c r="BG14" s="382"/>
      <c r="BH14" s="383" t="s">
        <v>114</v>
      </c>
      <c r="BI14" s="3222"/>
      <c r="BJ14" s="380">
        <v>0.20300000000000001</v>
      </c>
      <c r="BK14" s="381" t="s">
        <v>113</v>
      </c>
      <c r="BL14" s="382">
        <v>1</v>
      </c>
      <c r="BM14" s="383" t="s">
        <v>114</v>
      </c>
      <c r="BN14" s="3222"/>
      <c r="BO14" s="380">
        <v>1E-10</v>
      </c>
      <c r="BP14" s="381" t="s">
        <v>113</v>
      </c>
      <c r="BQ14" s="382"/>
      <c r="BR14" s="383" t="s">
        <v>114</v>
      </c>
      <c r="BW14" s="27"/>
      <c r="BX14" s="27"/>
      <c r="BY14" s="27"/>
      <c r="BZ14" s="27"/>
      <c r="CA14" s="27"/>
      <c r="CB14" s="27"/>
      <c r="CC14" s="27"/>
      <c r="CD14" s="27"/>
      <c r="CE14" s="27"/>
    </row>
    <row r="15" spans="1:83" ht="15" customHeight="1" x14ac:dyDescent="0.25">
      <c r="A15" s="3220" t="s">
        <v>110</v>
      </c>
      <c r="B15" s="3220"/>
      <c r="C15" s="3221">
        <f t="shared" ref="C15" si="27">B20/((30*3.1415/59)*(130/3.281))</f>
        <v>1.5799981227324854E-6</v>
      </c>
      <c r="D15" s="3221"/>
      <c r="E15" s="3221"/>
      <c r="F15" s="3220" t="s">
        <v>110</v>
      </c>
      <c r="G15" s="3220"/>
      <c r="H15" s="3221">
        <f t="shared" ref="H15" si="28">G20/((30*3.1415/59)*(130/3.281))</f>
        <v>1.5799981227324854E-6</v>
      </c>
      <c r="I15" s="3221"/>
      <c r="J15" s="3221"/>
      <c r="K15" s="3220" t="s">
        <v>110</v>
      </c>
      <c r="L15" s="3220"/>
      <c r="M15" s="3221">
        <f t="shared" ref="M15" si="29">L20/((30*3.1415/59)*(130/3.281))</f>
        <v>4.0131952317405128E-3</v>
      </c>
      <c r="N15" s="3221"/>
      <c r="O15" s="3221"/>
      <c r="P15" s="3220" t="s">
        <v>110</v>
      </c>
      <c r="Q15" s="3220"/>
      <c r="R15" s="3221">
        <f t="shared" ref="R15" si="30">Q20/((30*3.1415/59)*(130/3.281))</f>
        <v>1.5799981227324854E-6</v>
      </c>
      <c r="S15" s="3221"/>
      <c r="T15" s="3221"/>
      <c r="U15" s="3220" t="s">
        <v>110</v>
      </c>
      <c r="V15" s="3220"/>
      <c r="W15" s="3221">
        <f t="shared" ref="W15" si="31">V20/((30*3.1415/59)*(130/3.281))</f>
        <v>3.2073961891469454E-3</v>
      </c>
      <c r="X15" s="3221"/>
      <c r="Y15" s="3221"/>
      <c r="Z15" s="3220" t="s">
        <v>110</v>
      </c>
      <c r="AA15" s="3220"/>
      <c r="AB15" s="3221">
        <f t="shared" ref="AB15" si="32">AA20/((30*3.1415/59)*(130/3.281))</f>
        <v>2.4015971465533776E-3</v>
      </c>
      <c r="AC15" s="3221"/>
      <c r="AD15" s="3221"/>
      <c r="AE15" s="3220" t="s">
        <v>110</v>
      </c>
      <c r="AF15" s="3220"/>
      <c r="AG15" s="3221">
        <f t="shared" ref="AG15" si="33">AF20/((30*3.1415/59)*(130/3.281))</f>
        <v>1.5799981227324854E-6</v>
      </c>
      <c r="AH15" s="3221"/>
      <c r="AI15" s="3221"/>
      <c r="AJ15" s="3220" t="s">
        <v>110</v>
      </c>
      <c r="AK15" s="3220"/>
      <c r="AL15" s="3221">
        <f t="shared" ref="AL15" si="34">AK20/((30*3.1415/59)*(130/3.281))</f>
        <v>2.4015971465533776E-3</v>
      </c>
      <c r="AM15" s="3221"/>
      <c r="AN15" s="3221"/>
      <c r="AO15" s="3220" t="s">
        <v>110</v>
      </c>
      <c r="AP15" s="3220"/>
      <c r="AQ15" s="3221">
        <f t="shared" ref="AQ15" si="35">AP20/((30*3.1415/59)*(130/3.281))</f>
        <v>1.5799981227324855E-5</v>
      </c>
      <c r="AR15" s="3221"/>
      <c r="AS15" s="3221"/>
      <c r="AT15" s="3220" t="s">
        <v>110</v>
      </c>
      <c r="AU15" s="3220"/>
      <c r="AV15" s="3221">
        <f t="shared" ref="AV15" si="36">AU20/((30*3.1415/59)*(130/3.281))</f>
        <v>1.5799981227324854E-6</v>
      </c>
      <c r="AW15" s="3221"/>
      <c r="AX15" s="3221"/>
      <c r="AY15" s="3220" t="s">
        <v>110</v>
      </c>
      <c r="AZ15" s="3220"/>
      <c r="BA15" s="3221">
        <f t="shared" ref="BA15" si="37">AZ20/((30*3.1415/59)*(130/3.281))</f>
        <v>1.5957981039598104E-3</v>
      </c>
      <c r="BB15" s="3221"/>
      <c r="BC15" s="3221"/>
      <c r="BD15" s="121"/>
      <c r="BE15" s="121"/>
      <c r="BF15" s="121"/>
      <c r="BG15" s="121"/>
      <c r="BH15" s="31"/>
      <c r="BI15" s="121"/>
      <c r="BJ15" s="121"/>
      <c r="BK15" s="121"/>
      <c r="BL15" s="121"/>
      <c r="BM15" s="121"/>
      <c r="BN15" s="31"/>
      <c r="BO15" s="121"/>
      <c r="BP15" s="121"/>
      <c r="BQ15" s="121"/>
      <c r="BR15" s="121"/>
    </row>
    <row r="16" spans="1:83" ht="15" customHeight="1" x14ac:dyDescent="0.25">
      <c r="A16" s="3220"/>
      <c r="B16" s="3220"/>
      <c r="C16" s="3221"/>
      <c r="D16" s="3221"/>
      <c r="E16" s="3221"/>
      <c r="F16" s="3220"/>
      <c r="G16" s="3220"/>
      <c r="H16" s="3221"/>
      <c r="I16" s="3221"/>
      <c r="J16" s="3221"/>
      <c r="K16" s="3220"/>
      <c r="L16" s="3220"/>
      <c r="M16" s="3221"/>
      <c r="N16" s="3221"/>
      <c r="O16" s="3221"/>
      <c r="P16" s="3220"/>
      <c r="Q16" s="3220"/>
      <c r="R16" s="3221"/>
      <c r="S16" s="3221"/>
      <c r="T16" s="3221"/>
      <c r="U16" s="3220"/>
      <c r="V16" s="3220"/>
      <c r="W16" s="3221"/>
      <c r="X16" s="3221"/>
      <c r="Y16" s="3221"/>
      <c r="Z16" s="3220"/>
      <c r="AA16" s="3220"/>
      <c r="AB16" s="3221"/>
      <c r="AC16" s="3221"/>
      <c r="AD16" s="3221"/>
      <c r="AE16" s="3220"/>
      <c r="AF16" s="3220"/>
      <c r="AG16" s="3221"/>
      <c r="AH16" s="3221"/>
      <c r="AI16" s="3221"/>
      <c r="AJ16" s="3220"/>
      <c r="AK16" s="3220"/>
      <c r="AL16" s="3221"/>
      <c r="AM16" s="3221"/>
      <c r="AN16" s="3221"/>
      <c r="AO16" s="3220"/>
      <c r="AP16" s="3220"/>
      <c r="AQ16" s="3221"/>
      <c r="AR16" s="3221"/>
      <c r="AS16" s="3221"/>
      <c r="AT16" s="3220"/>
      <c r="AU16" s="3220"/>
      <c r="AV16" s="3221"/>
      <c r="AW16" s="3221"/>
      <c r="AX16" s="3221"/>
      <c r="AY16" s="3220"/>
      <c r="AZ16" s="3220"/>
      <c r="BA16" s="3221"/>
      <c r="BB16" s="3221"/>
      <c r="BC16" s="3221"/>
      <c r="BD16" s="34"/>
      <c r="BE16" s="34"/>
      <c r="BF16" s="35"/>
      <c r="BG16" s="31"/>
      <c r="BH16" s="32"/>
      <c r="BI16" s="33"/>
      <c r="BJ16" s="34"/>
      <c r="BK16" s="34"/>
      <c r="BL16" s="35"/>
      <c r="BM16" s="31"/>
      <c r="BN16" s="32"/>
      <c r="BO16" s="33"/>
      <c r="BP16" s="34"/>
      <c r="BQ16" s="34"/>
      <c r="BR16" s="35"/>
    </row>
    <row r="17" spans="1:83" ht="15" customHeight="1" x14ac:dyDescent="0.25">
      <c r="A17" s="3220"/>
      <c r="B17" s="3220"/>
      <c r="C17" s="3221"/>
      <c r="D17" s="3221"/>
      <c r="E17" s="3221"/>
      <c r="F17" s="3220"/>
      <c r="G17" s="3220"/>
      <c r="H17" s="3221"/>
      <c r="I17" s="3221"/>
      <c r="J17" s="3221"/>
      <c r="K17" s="3220"/>
      <c r="L17" s="3220"/>
      <c r="M17" s="3221"/>
      <c r="N17" s="3221"/>
      <c r="O17" s="3221"/>
      <c r="P17" s="3220"/>
      <c r="Q17" s="3220"/>
      <c r="R17" s="3221"/>
      <c r="S17" s="3221"/>
      <c r="T17" s="3221"/>
      <c r="U17" s="3220"/>
      <c r="V17" s="3220"/>
      <c r="W17" s="3221"/>
      <c r="X17" s="3221"/>
      <c r="Y17" s="3221"/>
      <c r="Z17" s="3220"/>
      <c r="AA17" s="3220"/>
      <c r="AB17" s="3221"/>
      <c r="AC17" s="3221"/>
      <c r="AD17" s="3221"/>
      <c r="AE17" s="3220"/>
      <c r="AF17" s="3220"/>
      <c r="AG17" s="3221"/>
      <c r="AH17" s="3221"/>
      <c r="AI17" s="3221"/>
      <c r="AJ17" s="3220"/>
      <c r="AK17" s="3220"/>
      <c r="AL17" s="3221"/>
      <c r="AM17" s="3221"/>
      <c r="AN17" s="3221"/>
      <c r="AO17" s="3220"/>
      <c r="AP17" s="3220"/>
      <c r="AQ17" s="3221"/>
      <c r="AR17" s="3221"/>
      <c r="AS17" s="3221"/>
      <c r="AT17" s="3220"/>
      <c r="AU17" s="3220"/>
      <c r="AV17" s="3221"/>
      <c r="AW17" s="3221"/>
      <c r="AX17" s="3221"/>
      <c r="AY17" s="3220"/>
      <c r="AZ17" s="3220"/>
      <c r="BA17" s="3221"/>
      <c r="BB17" s="3221"/>
      <c r="BC17" s="3221"/>
      <c r="BD17" s="34"/>
      <c r="BE17" s="34"/>
      <c r="BF17" s="35"/>
      <c r="BG17" s="31"/>
      <c r="BH17" s="32"/>
      <c r="BI17" s="33"/>
      <c r="BJ17" s="34"/>
      <c r="BK17" s="34"/>
      <c r="BL17" s="35"/>
      <c r="BM17" s="31"/>
      <c r="BN17" s="32"/>
      <c r="BO17" s="33"/>
      <c r="BP17" s="34"/>
      <c r="BQ17" s="34"/>
      <c r="BR17" s="35"/>
    </row>
    <row r="18" spans="1:83" ht="24.95" customHeight="1" x14ac:dyDescent="0.25">
      <c r="A18" s="1917" t="s">
        <v>111</v>
      </c>
      <c r="B18" s="1918"/>
      <c r="C18" s="1918"/>
      <c r="D18" s="1918"/>
      <c r="E18" s="1919"/>
      <c r="F18" s="1917" t="s">
        <v>111</v>
      </c>
      <c r="G18" s="1918"/>
      <c r="H18" s="1918"/>
      <c r="I18" s="1918"/>
      <c r="J18" s="1919"/>
      <c r="K18" s="1917" t="s">
        <v>111</v>
      </c>
      <c r="L18" s="1918"/>
      <c r="M18" s="1918"/>
      <c r="N18" s="1918"/>
      <c r="O18" s="1919"/>
      <c r="P18" s="1917" t="s">
        <v>111</v>
      </c>
      <c r="Q18" s="1918"/>
      <c r="R18" s="1918"/>
      <c r="S18" s="1918"/>
      <c r="T18" s="1919"/>
      <c r="U18" s="1917" t="s">
        <v>111</v>
      </c>
      <c r="V18" s="1918"/>
      <c r="W18" s="1918"/>
      <c r="X18" s="1918"/>
      <c r="Y18" s="1919"/>
      <c r="Z18" s="1917" t="s">
        <v>111</v>
      </c>
      <c r="AA18" s="1918"/>
      <c r="AB18" s="1918"/>
      <c r="AC18" s="1918"/>
      <c r="AD18" s="1919"/>
      <c r="AE18" s="1917" t="s">
        <v>111</v>
      </c>
      <c r="AF18" s="1918"/>
      <c r="AG18" s="1918"/>
      <c r="AH18" s="1918"/>
      <c r="AI18" s="1919"/>
      <c r="AJ18" s="1917" t="s">
        <v>111</v>
      </c>
      <c r="AK18" s="1918"/>
      <c r="AL18" s="1918"/>
      <c r="AM18" s="1918"/>
      <c r="AN18" s="1919"/>
      <c r="AO18" s="1917" t="s">
        <v>111</v>
      </c>
      <c r="AP18" s="1918"/>
      <c r="AQ18" s="1918"/>
      <c r="AR18" s="1918"/>
      <c r="AS18" s="1919"/>
      <c r="AT18" s="1917" t="s">
        <v>111</v>
      </c>
      <c r="AU18" s="1918"/>
      <c r="AV18" s="1918"/>
      <c r="AW18" s="1918"/>
      <c r="AX18" s="1919"/>
      <c r="AY18" s="1917" t="s">
        <v>111</v>
      </c>
      <c r="AZ18" s="1918"/>
      <c r="BA18" s="1918"/>
      <c r="BB18" s="1918"/>
      <c r="BC18" s="1919"/>
      <c r="BD18" s="121"/>
      <c r="BE18" s="121"/>
      <c r="BF18" s="121"/>
      <c r="BG18" s="121"/>
      <c r="BH18" s="31"/>
      <c r="BI18" s="121"/>
      <c r="BJ18" s="121"/>
      <c r="BK18" s="121"/>
      <c r="BL18" s="121"/>
      <c r="BM18" s="121"/>
      <c r="BN18" s="31"/>
      <c r="BO18" s="121"/>
      <c r="BP18" s="121"/>
      <c r="BQ18" s="121"/>
      <c r="BR18" s="121"/>
    </row>
    <row r="19" spans="1:83" s="22" customFormat="1" ht="80.099999999999994" customHeight="1" x14ac:dyDescent="1.35">
      <c r="A19" s="3222" t="s">
        <v>279</v>
      </c>
      <c r="B19" s="1921">
        <v>29</v>
      </c>
      <c r="C19" s="1921"/>
      <c r="D19" s="1921"/>
      <c r="E19" s="1921"/>
      <c r="F19" s="3222" t="s">
        <v>279</v>
      </c>
      <c r="G19" s="1921">
        <v>30</v>
      </c>
      <c r="H19" s="1921"/>
      <c r="I19" s="1921"/>
      <c r="J19" s="1921"/>
      <c r="K19" s="3222" t="s">
        <v>279</v>
      </c>
      <c r="L19" s="1921">
        <v>31</v>
      </c>
      <c r="M19" s="1921"/>
      <c r="N19" s="1921"/>
      <c r="O19" s="1921"/>
      <c r="P19" s="3222" t="s">
        <v>279</v>
      </c>
      <c r="Q19" s="1921">
        <v>32</v>
      </c>
      <c r="R19" s="1921"/>
      <c r="S19" s="1921"/>
      <c r="T19" s="1921"/>
      <c r="U19" s="3222" t="s">
        <v>279</v>
      </c>
      <c r="V19" s="1921">
        <v>33</v>
      </c>
      <c r="W19" s="1921"/>
      <c r="X19" s="1921"/>
      <c r="Y19" s="1921"/>
      <c r="Z19" s="3222" t="s">
        <v>279</v>
      </c>
      <c r="AA19" s="1921">
        <v>34</v>
      </c>
      <c r="AB19" s="1921"/>
      <c r="AC19" s="1921"/>
      <c r="AD19" s="1921"/>
      <c r="AE19" s="3222" t="s">
        <v>279</v>
      </c>
      <c r="AF19" s="1921">
        <v>35</v>
      </c>
      <c r="AG19" s="1921"/>
      <c r="AH19" s="1921"/>
      <c r="AI19" s="1921"/>
      <c r="AJ19" s="3222" t="s">
        <v>279</v>
      </c>
      <c r="AK19" s="1921">
        <v>36</v>
      </c>
      <c r="AL19" s="1921"/>
      <c r="AM19" s="1921"/>
      <c r="AN19" s="1921"/>
      <c r="AO19" s="3222" t="s">
        <v>279</v>
      </c>
      <c r="AP19" s="1921">
        <v>37</v>
      </c>
      <c r="AQ19" s="1921"/>
      <c r="AR19" s="1921"/>
      <c r="AS19" s="1921"/>
      <c r="AT19" s="3222" t="s">
        <v>279</v>
      </c>
      <c r="AU19" s="1921">
        <v>38</v>
      </c>
      <c r="AV19" s="1921"/>
      <c r="AW19" s="1921"/>
      <c r="AX19" s="1921"/>
      <c r="AY19" s="3222" t="s">
        <v>279</v>
      </c>
      <c r="AZ19" s="1921">
        <v>39</v>
      </c>
      <c r="BA19" s="1921"/>
      <c r="BB19" s="1921"/>
      <c r="BC19" s="1921"/>
      <c r="BD19" s="34"/>
      <c r="BE19" s="34"/>
      <c r="BF19" s="35"/>
      <c r="BG19" s="31"/>
      <c r="BH19" s="32"/>
      <c r="BI19" s="33"/>
      <c r="BJ19" s="34"/>
      <c r="BK19" s="34"/>
      <c r="BL19" s="35"/>
      <c r="BM19" s="31"/>
      <c r="BN19" s="32"/>
      <c r="BO19" s="33"/>
      <c r="BP19" s="34"/>
      <c r="BQ19" s="34"/>
      <c r="BR19" s="35"/>
    </row>
    <row r="20" spans="1:83" ht="26.25" x14ac:dyDescent="0.25">
      <c r="A20" s="3222"/>
      <c r="B20" s="380">
        <v>1E-4</v>
      </c>
      <c r="C20" s="381" t="s">
        <v>113</v>
      </c>
      <c r="D20" s="382">
        <v>1</v>
      </c>
      <c r="E20" s="383" t="s">
        <v>114</v>
      </c>
      <c r="F20" s="3222"/>
      <c r="G20" s="380">
        <v>1E-4</v>
      </c>
      <c r="H20" s="381" t="s">
        <v>113</v>
      </c>
      <c r="I20" s="382"/>
      <c r="J20" s="383" t="s">
        <v>114</v>
      </c>
      <c r="K20" s="3222"/>
      <c r="L20" s="380">
        <v>0.254</v>
      </c>
      <c r="M20" s="381" t="s">
        <v>113</v>
      </c>
      <c r="N20" s="382"/>
      <c r="O20" s="383" t="s">
        <v>114</v>
      </c>
      <c r="P20" s="3222"/>
      <c r="Q20" s="380">
        <v>1E-4</v>
      </c>
      <c r="R20" s="381" t="s">
        <v>113</v>
      </c>
      <c r="S20" s="382">
        <v>1</v>
      </c>
      <c r="T20" s="383" t="s">
        <v>114</v>
      </c>
      <c r="U20" s="3222"/>
      <c r="V20" s="380">
        <v>0.20300000000000001</v>
      </c>
      <c r="W20" s="381" t="s">
        <v>113</v>
      </c>
      <c r="X20" s="382"/>
      <c r="Y20" s="383" t="s">
        <v>114</v>
      </c>
      <c r="Z20" s="3222"/>
      <c r="AA20" s="380">
        <v>0.152</v>
      </c>
      <c r="AB20" s="381" t="s">
        <v>113</v>
      </c>
      <c r="AC20" s="382">
        <v>1</v>
      </c>
      <c r="AD20" s="383" t="s">
        <v>114</v>
      </c>
      <c r="AE20" s="3222"/>
      <c r="AF20" s="380">
        <v>1E-4</v>
      </c>
      <c r="AG20" s="381" t="s">
        <v>113</v>
      </c>
      <c r="AH20" s="382"/>
      <c r="AI20" s="383" t="s">
        <v>114</v>
      </c>
      <c r="AJ20" s="3222"/>
      <c r="AK20" s="380">
        <v>0.152</v>
      </c>
      <c r="AL20" s="381" t="s">
        <v>113</v>
      </c>
      <c r="AM20" s="382"/>
      <c r="AN20" s="383" t="s">
        <v>114</v>
      </c>
      <c r="AO20" s="3222"/>
      <c r="AP20" s="380">
        <v>1E-3</v>
      </c>
      <c r="AQ20" s="381" t="s">
        <v>113</v>
      </c>
      <c r="AR20" s="382">
        <v>1</v>
      </c>
      <c r="AS20" s="383" t="s">
        <v>114</v>
      </c>
      <c r="AT20" s="3222"/>
      <c r="AU20" s="380">
        <v>1E-4</v>
      </c>
      <c r="AV20" s="381" t="s">
        <v>113</v>
      </c>
      <c r="AW20" s="382"/>
      <c r="AX20" s="383" t="s">
        <v>114</v>
      </c>
      <c r="AY20" s="3222"/>
      <c r="AZ20" s="380">
        <v>0.10100000000000001</v>
      </c>
      <c r="BA20" s="381" t="s">
        <v>113</v>
      </c>
      <c r="BB20" s="382">
        <v>1</v>
      </c>
      <c r="BC20" s="383" t="s">
        <v>114</v>
      </c>
      <c r="BD20" s="34"/>
      <c r="BE20" s="34"/>
      <c r="BF20" s="35"/>
      <c r="BG20" s="31"/>
      <c r="BH20" s="32"/>
      <c r="BI20" s="33"/>
      <c r="BJ20" s="34"/>
      <c r="BK20" s="34"/>
      <c r="BL20" s="35"/>
      <c r="BM20" s="31"/>
      <c r="BN20" s="32"/>
      <c r="BO20" s="33"/>
      <c r="BP20" s="34"/>
      <c r="BQ20" s="34"/>
      <c r="BR20" s="35"/>
      <c r="BW20" s="27"/>
      <c r="BX20" s="27"/>
      <c r="BY20" s="27"/>
      <c r="BZ20" s="27"/>
      <c r="CA20" s="27"/>
      <c r="CB20" s="27"/>
      <c r="CC20" s="27"/>
      <c r="CD20" s="27"/>
      <c r="CE20" s="27"/>
    </row>
    <row r="21" spans="1:83" ht="26.1" customHeight="1" x14ac:dyDescent="0.25">
      <c r="A21" s="121"/>
      <c r="B21" s="121"/>
      <c r="C21" s="121"/>
      <c r="D21" s="31"/>
      <c r="E21" s="121"/>
      <c r="F21" s="121"/>
      <c r="G21" s="121"/>
      <c r="H21" s="121"/>
      <c r="I21" s="121"/>
      <c r="J21" s="31"/>
      <c r="K21" s="121"/>
      <c r="L21" s="121"/>
      <c r="M21" s="121"/>
      <c r="N21" s="121"/>
      <c r="O21" s="121"/>
      <c r="P21" s="31"/>
      <c r="Q21" s="121"/>
      <c r="R21" s="121"/>
      <c r="S21" s="121"/>
      <c r="T21" s="121"/>
      <c r="U21" s="121"/>
      <c r="V21" s="31"/>
      <c r="W21" s="121"/>
      <c r="X21" s="121"/>
      <c r="Y21" s="121"/>
      <c r="Z21" s="121"/>
      <c r="AA21" s="121"/>
      <c r="AB21" s="31"/>
      <c r="AC21" s="121"/>
      <c r="AD21" s="121"/>
      <c r="AE21" s="121"/>
      <c r="AF21" s="121"/>
      <c r="AG21" s="121"/>
      <c r="AH21" s="31"/>
      <c r="AI21" s="121"/>
      <c r="AJ21" s="121"/>
      <c r="AK21" s="121"/>
      <c r="AL21" s="121"/>
      <c r="AM21" s="121"/>
      <c r="AN21" s="31"/>
      <c r="AO21" s="121"/>
      <c r="AP21" s="121"/>
      <c r="AQ21" s="121"/>
      <c r="AR21" s="121"/>
      <c r="AS21" s="121"/>
      <c r="AT21" s="31"/>
      <c r="AU21" s="121"/>
      <c r="AV21" s="121"/>
      <c r="AW21" s="121"/>
      <c r="AX21" s="121"/>
      <c r="AY21" s="121"/>
      <c r="AZ21" s="121"/>
      <c r="BA21" s="121"/>
      <c r="BB21" s="31"/>
      <c r="BC21" s="121"/>
      <c r="BD21" s="121"/>
      <c r="BE21" s="121"/>
      <c r="BF21" s="121"/>
      <c r="BG21" s="121"/>
      <c r="BH21" s="31"/>
      <c r="BI21" s="121"/>
      <c r="BJ21" s="121"/>
      <c r="BK21" s="121"/>
      <c r="BL21" s="121"/>
      <c r="BM21" s="121"/>
      <c r="BN21" s="31"/>
      <c r="BO21" s="121"/>
      <c r="BP21" s="121"/>
      <c r="BQ21" s="121"/>
      <c r="BR21" s="121"/>
    </row>
    <row r="22" spans="1:83" ht="6.75" customHeight="1" x14ac:dyDescent="0.25">
      <c r="A22" s="34"/>
      <c r="B22" s="35"/>
      <c r="C22" s="31"/>
      <c r="D22" s="32"/>
      <c r="E22" s="33"/>
      <c r="F22" s="34"/>
      <c r="G22" s="34"/>
      <c r="H22" s="35"/>
      <c r="I22" s="31"/>
      <c r="J22" s="32"/>
      <c r="K22" s="33"/>
      <c r="L22" s="34"/>
      <c r="M22" s="34"/>
      <c r="N22" s="35"/>
      <c r="O22" s="31"/>
      <c r="P22" s="32"/>
      <c r="Q22" s="33"/>
      <c r="R22" s="34"/>
      <c r="S22" s="34"/>
      <c r="T22" s="35"/>
      <c r="U22" s="31"/>
      <c r="V22" s="32"/>
      <c r="W22" s="33"/>
      <c r="X22" s="34"/>
      <c r="Y22" s="34"/>
      <c r="Z22" s="35"/>
      <c r="AA22" s="31"/>
      <c r="AB22" s="32"/>
      <c r="AC22" s="33"/>
      <c r="AD22" s="34"/>
      <c r="AE22" s="34"/>
      <c r="AF22" s="35"/>
      <c r="AG22" s="31"/>
      <c r="AH22" s="32"/>
      <c r="AI22" s="33"/>
      <c r="AJ22" s="34"/>
      <c r="AK22" s="34"/>
      <c r="AL22" s="35"/>
      <c r="AM22" s="31"/>
      <c r="AN22" s="32"/>
      <c r="AO22" s="33"/>
      <c r="AP22" s="34"/>
      <c r="AQ22" s="34"/>
      <c r="AR22" s="35"/>
      <c r="AS22" s="31"/>
      <c r="AT22" s="32"/>
      <c r="AU22" s="33"/>
      <c r="AV22" s="34"/>
      <c r="AW22" s="34"/>
      <c r="AX22" s="35"/>
      <c r="AY22" s="34"/>
      <c r="AZ22" s="35"/>
      <c r="BA22" s="31"/>
      <c r="BB22" s="32"/>
      <c r="BC22" s="33"/>
      <c r="BD22" s="34"/>
      <c r="BE22" s="34"/>
      <c r="BF22" s="35"/>
      <c r="BG22" s="31"/>
      <c r="BH22" s="32"/>
      <c r="BI22" s="33"/>
      <c r="BJ22" s="34"/>
      <c r="BK22" s="34"/>
      <c r="BL22" s="35"/>
      <c r="BM22" s="31"/>
      <c r="BN22" s="32"/>
      <c r="BO22" s="33"/>
      <c r="BP22" s="34"/>
      <c r="BQ22" s="34"/>
      <c r="BR22" s="35"/>
    </row>
    <row r="23" spans="1:83" ht="21.95" customHeight="1" x14ac:dyDescent="0.25">
      <c r="A23" s="34"/>
      <c r="B23" s="35"/>
      <c r="C23" s="31"/>
      <c r="D23" s="32"/>
      <c r="E23" s="33"/>
      <c r="F23" s="34"/>
      <c r="G23" s="34"/>
      <c r="H23" s="35"/>
      <c r="I23" s="31"/>
      <c r="J23" s="32"/>
      <c r="K23" s="33"/>
      <c r="L23" s="34"/>
      <c r="M23" s="34"/>
      <c r="N23" s="35"/>
      <c r="O23" s="31"/>
      <c r="P23" s="32"/>
      <c r="Q23" s="33"/>
      <c r="R23" s="34"/>
      <c r="S23" s="34"/>
      <c r="T23" s="35"/>
      <c r="U23" s="31"/>
      <c r="V23" s="32"/>
      <c r="W23" s="33"/>
      <c r="X23" s="34"/>
      <c r="Y23" s="34"/>
      <c r="Z23" s="35"/>
      <c r="AA23" s="31"/>
      <c r="AB23" s="32"/>
      <c r="AC23" s="33"/>
      <c r="AD23" s="34"/>
      <c r="AE23" s="34"/>
      <c r="AF23" s="35"/>
      <c r="AG23" s="31"/>
      <c r="AH23" s="32"/>
      <c r="AI23" s="33"/>
      <c r="AJ23" s="34"/>
      <c r="AK23" s="34"/>
      <c r="AL23" s="35"/>
      <c r="AM23" s="31"/>
      <c r="AN23" s="32"/>
      <c r="AO23" s="33"/>
      <c r="AP23" s="34"/>
      <c r="AQ23" s="34"/>
      <c r="AR23" s="35"/>
      <c r="AS23" s="31"/>
      <c r="AT23" s="32"/>
      <c r="AU23" s="33"/>
      <c r="AV23" s="34"/>
      <c r="AW23" s="34"/>
      <c r="AX23" s="35"/>
      <c r="AY23" s="34"/>
      <c r="AZ23" s="35"/>
      <c r="BA23" s="31"/>
      <c r="BB23" s="32"/>
      <c r="BC23" s="33"/>
      <c r="BD23" s="34"/>
      <c r="BE23" s="34"/>
      <c r="BF23" s="35"/>
      <c r="BG23" s="31"/>
      <c r="BH23" s="32"/>
      <c r="BI23" s="33"/>
      <c r="BJ23" s="34"/>
      <c r="BK23" s="34"/>
      <c r="BL23" s="35"/>
      <c r="BM23" s="31"/>
      <c r="BN23" s="32"/>
      <c r="BO23" s="33"/>
      <c r="BP23" s="34"/>
      <c r="BQ23" s="34"/>
      <c r="BR23" s="35"/>
    </row>
    <row r="24" spans="1:83" ht="6" customHeight="1" x14ac:dyDescent="0.25">
      <c r="A24" s="121"/>
      <c r="B24" s="121"/>
      <c r="C24" s="121"/>
      <c r="D24" s="31"/>
      <c r="E24" s="121"/>
      <c r="F24" s="121"/>
      <c r="G24" s="121"/>
      <c r="H24" s="121"/>
      <c r="I24" s="121"/>
      <c r="J24" s="31"/>
      <c r="K24" s="121"/>
      <c r="L24" s="121"/>
      <c r="M24" s="121"/>
      <c r="N24" s="121"/>
      <c r="O24" s="121"/>
      <c r="P24" s="31"/>
      <c r="Q24" s="121"/>
      <c r="R24" s="121"/>
      <c r="S24" s="121"/>
      <c r="T24" s="121"/>
      <c r="U24" s="121"/>
      <c r="V24" s="31"/>
      <c r="W24" s="121"/>
      <c r="X24" s="121"/>
      <c r="Y24" s="121"/>
      <c r="Z24" s="121"/>
      <c r="AA24" s="121"/>
      <c r="AB24" s="121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21"/>
      <c r="AQ24" s="121"/>
      <c r="AR24" s="121"/>
      <c r="AS24" s="121"/>
      <c r="AT24" s="31"/>
      <c r="AU24" s="121"/>
      <c r="AV24" s="121"/>
      <c r="AW24" s="121"/>
      <c r="AX24" s="121"/>
      <c r="AY24" s="121"/>
      <c r="AZ24" s="121"/>
      <c r="BA24" s="121"/>
      <c r="BB24" s="31"/>
      <c r="BC24" s="121"/>
      <c r="BD24" s="121"/>
      <c r="BE24" s="121"/>
      <c r="BF24" s="121"/>
      <c r="BG24" s="121"/>
      <c r="BH24" s="31"/>
      <c r="BI24" s="121"/>
      <c r="BJ24" s="121"/>
      <c r="BK24" s="121"/>
      <c r="BL24" s="121"/>
      <c r="BM24" s="121"/>
      <c r="BN24" s="31"/>
      <c r="BO24" s="121"/>
      <c r="BP24" s="121"/>
      <c r="BQ24" s="121"/>
      <c r="BR24" s="121"/>
    </row>
    <row r="25" spans="1:83" s="22" customFormat="1" ht="80.099999999999994" customHeight="1" x14ac:dyDescent="1.35">
      <c r="A25" s="34"/>
      <c r="B25" s="121"/>
      <c r="C25" s="121"/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35"/>
      <c r="U25" s="31"/>
      <c r="V25" s="32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3"/>
      <c r="AP25" s="34"/>
      <c r="AQ25" s="34"/>
      <c r="AR25" s="35"/>
      <c r="AS25" s="31"/>
      <c r="AT25" s="32"/>
      <c r="AU25" s="33"/>
      <c r="AV25" s="34"/>
      <c r="AW25" s="34"/>
      <c r="AX25" s="35"/>
      <c r="AY25" s="34"/>
      <c r="AZ25" s="35"/>
      <c r="BA25" s="31"/>
      <c r="BB25" s="32"/>
      <c r="BC25" s="33"/>
      <c r="BD25" s="34"/>
      <c r="BE25" s="34"/>
      <c r="BF25" s="35"/>
      <c r="BG25" s="31"/>
      <c r="BH25" s="32"/>
      <c r="BI25" s="33"/>
      <c r="BJ25" s="34"/>
      <c r="BK25" s="34"/>
      <c r="BL25" s="35"/>
      <c r="BM25" s="31"/>
      <c r="BN25" s="32"/>
      <c r="BO25" s="33"/>
      <c r="BP25" s="34"/>
      <c r="BQ25" s="34"/>
      <c r="BR25" s="35"/>
    </row>
    <row r="26" spans="1:83" ht="27" customHeight="1" x14ac:dyDescent="0.25">
      <c r="A26" s="34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1"/>
      <c r="V26" s="32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3"/>
      <c r="AP26" s="34"/>
      <c r="AQ26" s="34"/>
      <c r="AR26" s="35"/>
      <c r="AS26" s="31"/>
      <c r="AT26" s="32"/>
      <c r="AU26" s="33"/>
      <c r="AV26" s="34"/>
      <c r="AW26" s="34"/>
      <c r="AX26" s="35"/>
      <c r="AY26" s="34"/>
      <c r="AZ26" s="35"/>
      <c r="BA26" s="31"/>
      <c r="BB26" s="32"/>
      <c r="BC26" s="33"/>
      <c r="BD26" s="34"/>
      <c r="BE26" s="34"/>
      <c r="BF26" s="35"/>
      <c r="BG26" s="31"/>
      <c r="BH26" s="32"/>
      <c r="BI26" s="33"/>
      <c r="BJ26" s="34"/>
      <c r="BK26" s="34"/>
      <c r="BL26" s="35"/>
      <c r="BM26" s="31"/>
      <c r="BN26" s="32"/>
      <c r="BO26" s="33"/>
      <c r="BP26" s="34"/>
      <c r="BQ26" s="34"/>
      <c r="BR26" s="35"/>
      <c r="BW26" s="27"/>
      <c r="BX26" s="27"/>
      <c r="BY26" s="27"/>
      <c r="BZ26" s="27"/>
      <c r="CA26" s="27"/>
      <c r="CB26" s="27"/>
      <c r="CC26" s="27"/>
      <c r="CD26" s="27"/>
      <c r="CE26" s="27"/>
    </row>
    <row r="27" spans="1:83" ht="26.1" customHeight="1" x14ac:dyDescent="0.25">
      <c r="A27" s="12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121"/>
      <c r="U27" s="121"/>
      <c r="V27" s="31"/>
      <c r="W27" s="121"/>
      <c r="X27" s="121"/>
      <c r="Y27" s="121"/>
      <c r="Z27" s="121"/>
      <c r="AA27" s="121"/>
      <c r="AB27" s="31"/>
      <c r="AC27" s="121"/>
      <c r="AD27" s="121"/>
      <c r="AE27" s="121"/>
      <c r="AF27" s="121"/>
      <c r="AG27" s="121"/>
      <c r="AH27" s="31"/>
      <c r="AI27" s="121"/>
      <c r="AJ27" s="121"/>
      <c r="AK27" s="121"/>
      <c r="AL27" s="121"/>
      <c r="AM27" s="121"/>
      <c r="AN27" s="31"/>
      <c r="AO27" s="121"/>
      <c r="AP27" s="121"/>
      <c r="AQ27" s="121"/>
      <c r="AR27" s="121"/>
      <c r="AS27" s="121"/>
      <c r="AT27" s="31"/>
      <c r="AU27" s="121"/>
      <c r="AV27" s="121"/>
      <c r="AW27" s="121"/>
      <c r="AX27" s="121"/>
      <c r="AY27" s="121"/>
      <c r="AZ27" s="121"/>
      <c r="BA27" s="121"/>
      <c r="BB27" s="31"/>
      <c r="BC27" s="121"/>
      <c r="BD27" s="121"/>
      <c r="BE27" s="121"/>
      <c r="BF27" s="121"/>
      <c r="BG27" s="121"/>
      <c r="BH27" s="31"/>
      <c r="BI27" s="121"/>
      <c r="BJ27" s="121"/>
      <c r="BK27" s="121"/>
      <c r="BL27" s="121"/>
      <c r="BM27" s="121"/>
      <c r="BN27" s="31"/>
      <c r="BO27" s="121"/>
      <c r="BP27" s="121"/>
      <c r="BQ27" s="121"/>
      <c r="BR27" s="121"/>
    </row>
    <row r="28" spans="1:83" ht="6.75" customHeight="1" x14ac:dyDescent="0.25">
      <c r="A28" s="34"/>
      <c r="B28" s="35"/>
      <c r="C28" s="31"/>
      <c r="D28" s="32"/>
      <c r="E28" s="33"/>
      <c r="F28" s="34"/>
      <c r="G28" s="34"/>
      <c r="H28" s="35"/>
      <c r="I28" s="31"/>
      <c r="J28" s="32"/>
      <c r="K28" s="33"/>
      <c r="L28" s="34"/>
      <c r="M28" s="34"/>
      <c r="N28" s="35"/>
      <c r="O28" s="31"/>
      <c r="P28" s="32"/>
      <c r="Q28" s="33"/>
      <c r="R28" s="34"/>
      <c r="S28" s="34"/>
      <c r="T28" s="35"/>
      <c r="U28" s="31"/>
      <c r="V28" s="32"/>
      <c r="W28" s="33"/>
      <c r="X28" s="34"/>
      <c r="Y28" s="34"/>
      <c r="Z28" s="35"/>
      <c r="AA28" s="31"/>
      <c r="AB28" s="32"/>
      <c r="AC28" s="33"/>
      <c r="AD28" s="34"/>
      <c r="AE28" s="34"/>
      <c r="AF28" s="35"/>
      <c r="AG28" s="31"/>
      <c r="AH28" s="32"/>
      <c r="AI28" s="33"/>
      <c r="AJ28" s="34"/>
      <c r="AK28" s="34"/>
      <c r="AL28" s="35"/>
      <c r="AM28" s="31"/>
      <c r="AN28" s="32"/>
      <c r="AO28" s="33"/>
      <c r="AP28" s="34"/>
      <c r="AQ28" s="34"/>
      <c r="AR28" s="35"/>
      <c r="AS28" s="31"/>
      <c r="AT28" s="32"/>
      <c r="AU28" s="33"/>
      <c r="AV28" s="34"/>
      <c r="AW28" s="34"/>
      <c r="AX28" s="35"/>
      <c r="AY28" s="34"/>
      <c r="AZ28" s="35"/>
      <c r="BA28" s="31"/>
      <c r="BB28" s="32"/>
      <c r="BC28" s="33"/>
      <c r="BD28" s="34"/>
      <c r="BE28" s="34"/>
      <c r="BF28" s="35"/>
      <c r="BG28" s="31"/>
      <c r="BH28" s="32"/>
      <c r="BI28" s="33"/>
      <c r="BJ28" s="34"/>
      <c r="BK28" s="34"/>
      <c r="BL28" s="35"/>
      <c r="BM28" s="31"/>
      <c r="BN28" s="32"/>
      <c r="BO28" s="33"/>
      <c r="BP28" s="34"/>
      <c r="BQ28" s="34"/>
      <c r="BR28" s="35"/>
    </row>
    <row r="29" spans="1:83" ht="21.95" customHeight="1" x14ac:dyDescent="0.25">
      <c r="A29" s="34"/>
      <c r="B29" s="35"/>
      <c r="C29" s="31"/>
      <c r="D29" s="32"/>
      <c r="E29" s="33"/>
      <c r="F29" s="34"/>
      <c r="G29" s="34"/>
      <c r="H29" s="35"/>
      <c r="I29" s="31"/>
      <c r="J29" s="32"/>
      <c r="K29" s="33"/>
      <c r="L29" s="34"/>
      <c r="M29" s="34"/>
      <c r="N29" s="35"/>
      <c r="O29" s="31"/>
      <c r="P29" s="32"/>
      <c r="Q29" s="33"/>
      <c r="R29" s="34"/>
      <c r="S29" s="34"/>
      <c r="T29" s="35"/>
      <c r="U29" s="31"/>
      <c r="V29" s="32"/>
      <c r="W29" s="33"/>
      <c r="X29" s="34"/>
      <c r="Y29" s="34"/>
      <c r="Z29" s="35"/>
      <c r="AA29" s="31"/>
      <c r="AB29" s="32"/>
      <c r="AC29" s="33"/>
      <c r="AD29" s="34"/>
      <c r="AE29" s="34"/>
      <c r="AF29" s="35"/>
      <c r="AG29" s="31"/>
      <c r="AH29" s="32"/>
      <c r="AI29" s="33"/>
      <c r="AJ29" s="34"/>
      <c r="AK29" s="34"/>
      <c r="AL29" s="35"/>
      <c r="AM29" s="31"/>
      <c r="AN29" s="32"/>
      <c r="AO29" s="33"/>
      <c r="AP29" s="34"/>
      <c r="AQ29" s="34"/>
      <c r="AR29" s="35"/>
      <c r="AS29" s="31"/>
      <c r="AT29" s="32"/>
      <c r="AU29" s="33"/>
      <c r="AV29" s="34"/>
      <c r="AW29" s="34"/>
      <c r="AX29" s="35"/>
      <c r="AY29" s="34"/>
      <c r="AZ29" s="35"/>
      <c r="BA29" s="31"/>
      <c r="BB29" s="32"/>
      <c r="BC29" s="33"/>
      <c r="BD29" s="34"/>
      <c r="BE29" s="34"/>
      <c r="BF29" s="35"/>
      <c r="BG29" s="31"/>
      <c r="BH29" s="32"/>
      <c r="BI29" s="33"/>
      <c r="BJ29" s="34"/>
      <c r="BK29" s="34"/>
      <c r="BL29" s="35"/>
      <c r="BM29" s="31"/>
      <c r="BN29" s="32"/>
      <c r="BO29" s="33"/>
      <c r="BP29" s="34"/>
      <c r="BQ29" s="34"/>
      <c r="BR29" s="35"/>
    </row>
    <row r="30" spans="1:83" ht="6" customHeight="1" x14ac:dyDescent="0.25">
      <c r="A30" s="121"/>
      <c r="B30" s="121"/>
      <c r="C30" s="121"/>
      <c r="D30" s="31"/>
      <c r="E30" s="121"/>
      <c r="F30" s="121"/>
      <c r="G30" s="121"/>
      <c r="H30" s="121"/>
      <c r="I30" s="121"/>
      <c r="J30" s="31"/>
      <c r="K30" s="121"/>
      <c r="L30" s="121"/>
      <c r="M30" s="121"/>
      <c r="N30" s="121"/>
      <c r="O30" s="121"/>
      <c r="P30" s="31"/>
      <c r="Q30" s="121"/>
      <c r="R30" s="121"/>
      <c r="S30" s="121"/>
      <c r="T30" s="121"/>
      <c r="U30" s="121"/>
      <c r="V30" s="31"/>
      <c r="W30" s="121"/>
      <c r="X30" s="121"/>
      <c r="Y30" s="121"/>
      <c r="Z30" s="121"/>
      <c r="AA30" s="121"/>
      <c r="AB30" s="31"/>
      <c r="AC30" s="121"/>
      <c r="AD30" s="121"/>
      <c r="AE30" s="121"/>
      <c r="AF30" s="121"/>
      <c r="AG30" s="121"/>
      <c r="AH30" s="31"/>
      <c r="AI30" s="121"/>
      <c r="AJ30" s="121"/>
      <c r="AK30" s="121"/>
      <c r="AL30" s="121"/>
      <c r="AM30" s="121"/>
      <c r="AN30" s="31"/>
      <c r="AO30" s="121"/>
      <c r="AP30" s="121"/>
      <c r="AQ30" s="121"/>
      <c r="AR30" s="121"/>
      <c r="AS30" s="121"/>
      <c r="AT30" s="31"/>
      <c r="AU30" s="121"/>
      <c r="AV30" s="121"/>
      <c r="AW30" s="121"/>
      <c r="AX30" s="121"/>
      <c r="AY30" s="121"/>
      <c r="AZ30" s="121"/>
      <c r="BA30" s="121"/>
      <c r="BB30" s="31"/>
      <c r="BC30" s="121"/>
      <c r="BD30" s="121"/>
      <c r="BE30" s="121"/>
      <c r="BF30" s="121"/>
      <c r="BG30" s="121"/>
      <c r="BH30" s="31"/>
      <c r="BI30" s="121"/>
      <c r="BJ30" s="121"/>
      <c r="BK30" s="121"/>
      <c r="BL30" s="121"/>
      <c r="BM30" s="121"/>
      <c r="BN30" s="31"/>
      <c r="BO30" s="121"/>
      <c r="BP30" s="121"/>
      <c r="BQ30" s="121"/>
      <c r="BR30" s="121"/>
    </row>
    <row r="31" spans="1:83" s="22" customFormat="1" ht="80.099999999999994" customHeight="1" x14ac:dyDescent="1.35">
      <c r="A31" s="34"/>
      <c r="B31" s="35"/>
      <c r="C31" s="31"/>
      <c r="D31" s="32"/>
      <c r="E31" s="33"/>
      <c r="F31" s="34"/>
      <c r="G31" s="34"/>
      <c r="H31" s="35"/>
      <c r="I31" s="31"/>
      <c r="J31" s="1797"/>
      <c r="K31" s="1797"/>
      <c r="L31" s="1797"/>
      <c r="M31" s="1797"/>
      <c r="N31" s="35"/>
      <c r="O31" s="31"/>
      <c r="P31" s="32"/>
      <c r="Q31" s="33"/>
      <c r="R31" s="34"/>
      <c r="S31" s="34"/>
      <c r="T31" s="35"/>
      <c r="U31" s="31"/>
      <c r="V31" s="32"/>
      <c r="W31" s="33"/>
      <c r="X31" s="34"/>
      <c r="Y31" s="34"/>
      <c r="Z31" s="35"/>
      <c r="AA31" s="31"/>
      <c r="AB31" s="32"/>
      <c r="AC31" s="33"/>
      <c r="AD31" s="34"/>
      <c r="AE31" s="34"/>
      <c r="AF31" s="35"/>
      <c r="AG31" s="31"/>
      <c r="AH31" s="32"/>
      <c r="AI31" s="33"/>
      <c r="AJ31" s="34"/>
      <c r="AK31" s="34"/>
      <c r="AL31" s="35"/>
      <c r="AM31" s="31"/>
      <c r="AN31" s="32"/>
      <c r="AO31" s="33"/>
      <c r="AP31" s="34"/>
      <c r="AQ31" s="34"/>
      <c r="AR31" s="35"/>
      <c r="AS31" s="31"/>
      <c r="AT31" s="32"/>
      <c r="AU31" s="33"/>
      <c r="AV31" s="34"/>
      <c r="AW31" s="34"/>
      <c r="AX31" s="35"/>
      <c r="AY31" s="34"/>
      <c r="AZ31" s="35"/>
      <c r="BA31" s="31"/>
      <c r="BB31" s="32"/>
      <c r="BC31" s="33"/>
      <c r="BD31" s="34"/>
      <c r="BE31" s="34"/>
      <c r="BF31" s="35"/>
      <c r="BG31" s="31"/>
      <c r="BH31" s="32"/>
      <c r="BI31" s="33"/>
      <c r="BJ31" s="34"/>
      <c r="BK31" s="34"/>
      <c r="BL31" s="35"/>
      <c r="BM31" s="31"/>
      <c r="BN31" s="32"/>
      <c r="BO31" s="33"/>
      <c r="BP31" s="34"/>
      <c r="BQ31" s="34"/>
      <c r="BR31" s="35"/>
    </row>
    <row r="32" spans="1:83" ht="26.25" customHeight="1" x14ac:dyDescent="0.25">
      <c r="A32" s="34"/>
      <c r="B32" s="35"/>
      <c r="C32" s="31"/>
      <c r="D32" s="32"/>
      <c r="E32" s="33"/>
      <c r="F32" s="34"/>
      <c r="G32" s="34"/>
      <c r="H32" s="35"/>
      <c r="I32" s="31"/>
      <c r="J32" s="1923" cm="1">
        <f t="array" aca="1" ref="J32" ca="1">SUM(COUNTIF(INDIRECT({"B7","G7","L7","Q7","V7","AA7","AF7","AK7","AP7","AU7","AZ7","BE7","BJ7","BO7","B13","G13","L13","Q13","V13","AA13","AF13","AK13","AP13","AU13","AZ13","BE13","BJ13","BO13","B19","G19","L19","Q19","V19","AA19","AF19","AK19","AP19","AU19","AZ19"}),"&gt;0"))</f>
        <v>39</v>
      </c>
      <c r="K32" s="1923"/>
      <c r="L32" s="1923"/>
      <c r="M32" s="1923"/>
      <c r="N32" s="35"/>
      <c r="O32" s="31"/>
      <c r="P32" s="32"/>
      <c r="Q32" s="33"/>
      <c r="R32" s="34"/>
      <c r="S32" s="34"/>
      <c r="T32" s="35"/>
      <c r="U32" s="33"/>
      <c r="V32" s="34"/>
      <c r="W32" s="34"/>
      <c r="X32" s="33"/>
      <c r="Y32" s="717" cm="1">
        <f t="array" aca="1" ref="Y32" ca="1">SUM(COUNTIF(INDIRECT({"B8","G8","L8","Q8","V8","AA8","AF8","AK8","AP8","AU8","AZ8","BE8","BJ8","BO8","B14","G14","L14","Q14","V14","AA14","AF14","AK14","AP14","AU14","AZ14","BE14","BJ14","BO14","B20","G20","L20","Q20","V20","AA20","AF20","AK20","AP20","AU20","AZ20"}),"&gt;0"))</f>
        <v>39</v>
      </c>
      <c r="Z32" s="717"/>
      <c r="AA32" s="717"/>
      <c r="AB32" s="717"/>
      <c r="AC32" s="34"/>
      <c r="AD32" s="33"/>
      <c r="AE32" s="34"/>
      <c r="AF32" s="34"/>
      <c r="AG32" s="33"/>
      <c r="AH32" s="34"/>
      <c r="AI32" s="34"/>
      <c r="AJ32" s="33"/>
      <c r="AK32" s="34"/>
      <c r="AL32" s="34"/>
      <c r="AM32" s="33"/>
      <c r="AN32" s="34"/>
      <c r="AO32" s="34"/>
      <c r="AP32" s="2336">
        <v>39</v>
      </c>
      <c r="AQ32" s="2336"/>
      <c r="AR32" s="2336"/>
      <c r="AS32" s="2336"/>
      <c r="AT32" s="34"/>
      <c r="AU32" s="34"/>
      <c r="AV32" s="33"/>
      <c r="AW32" s="34"/>
      <c r="AX32" s="34"/>
      <c r="AY32" s="33"/>
      <c r="AZ32" s="34"/>
      <c r="BA32" s="34"/>
      <c r="BB32" s="33"/>
      <c r="BC32" s="34"/>
      <c r="BD32" s="34"/>
      <c r="BE32" s="33"/>
      <c r="BF32" s="717"/>
      <c r="BG32" s="717"/>
      <c r="BH32" s="717"/>
      <c r="BI32" s="717"/>
      <c r="BJ32" s="717"/>
      <c r="BK32" s="33"/>
      <c r="BL32" s="34"/>
      <c r="BM32" s="34"/>
      <c r="BN32" s="33"/>
      <c r="BO32" s="34"/>
      <c r="BP32" s="34"/>
      <c r="BQ32" s="33"/>
      <c r="BR32" s="34"/>
      <c r="BW32" s="27"/>
      <c r="BX32" s="27"/>
      <c r="BY32" s="27"/>
      <c r="BZ32" s="27"/>
      <c r="CA32" s="27"/>
      <c r="CB32" s="27"/>
      <c r="CC32" s="27"/>
      <c r="CD32" s="27"/>
      <c r="CE32" s="27"/>
    </row>
    <row r="33" spans="1:83" ht="26.1" customHeight="1" x14ac:dyDescent="0.25">
      <c r="A33" s="30"/>
      <c r="B33" s="29"/>
      <c r="C33" s="28"/>
      <c r="D33" s="28"/>
      <c r="E33" s="28"/>
      <c r="F33" s="30"/>
      <c r="G33" s="29"/>
      <c r="H33" s="28"/>
      <c r="I33" s="28"/>
      <c r="J33" s="1923"/>
      <c r="K33" s="1923"/>
      <c r="L33" s="1923"/>
      <c r="M33" s="1923"/>
      <c r="N33" s="28"/>
      <c r="O33" s="28"/>
      <c r="P33" s="30"/>
      <c r="Q33" s="29"/>
      <c r="R33" s="28"/>
      <c r="S33" s="28"/>
      <c r="T33" s="28"/>
      <c r="U33" s="29"/>
      <c r="V33" s="28"/>
      <c r="W33" s="28"/>
      <c r="X33" s="29"/>
      <c r="Y33" s="717"/>
      <c r="Z33" s="717"/>
      <c r="AA33" s="717"/>
      <c r="AB33" s="717"/>
      <c r="AC33" s="28"/>
      <c r="AD33" s="29"/>
      <c r="AE33" s="28"/>
      <c r="AF33" s="28"/>
      <c r="AG33" s="29"/>
      <c r="AH33" s="28"/>
      <c r="AI33" s="28"/>
      <c r="AJ33" s="29"/>
      <c r="AK33" s="28"/>
      <c r="AL33" s="28"/>
      <c r="AM33" s="29"/>
      <c r="AN33" s="28"/>
      <c r="AO33" s="28"/>
      <c r="AP33" s="2336"/>
      <c r="AQ33" s="2336"/>
      <c r="AR33" s="2336"/>
      <c r="AS33" s="2336"/>
      <c r="AT33" s="28"/>
      <c r="AU33" s="28"/>
      <c r="AV33" s="29"/>
      <c r="AW33" s="28"/>
      <c r="AX33" s="28"/>
      <c r="AY33" s="29"/>
      <c r="AZ33" s="28"/>
      <c r="BA33" s="28"/>
      <c r="BB33" s="29"/>
      <c r="BC33" s="28"/>
      <c r="BD33" s="28"/>
      <c r="BE33" s="29"/>
      <c r="BF33" s="717"/>
      <c r="BG33" s="717"/>
      <c r="BH33" s="717"/>
      <c r="BI33" s="717"/>
      <c r="BJ33" s="717"/>
      <c r="BK33" s="29"/>
      <c r="BL33" s="28"/>
      <c r="BM33" s="28"/>
      <c r="BN33" s="29"/>
      <c r="BO33" s="28"/>
      <c r="BP33" s="28"/>
      <c r="BQ33" s="29"/>
      <c r="BR33" s="28"/>
    </row>
    <row r="34" spans="1:83" ht="6.75" customHeight="1" x14ac:dyDescent="0.25">
      <c r="A34" s="29"/>
      <c r="B34" s="29"/>
      <c r="C34" s="28"/>
      <c r="D34" s="28"/>
      <c r="E34" s="28"/>
      <c r="F34" s="29"/>
      <c r="G34" s="29"/>
      <c r="H34" s="28"/>
      <c r="I34" s="28"/>
      <c r="J34" s="1923"/>
      <c r="K34" s="1923"/>
      <c r="L34" s="1923"/>
      <c r="M34" s="1923"/>
      <c r="N34" s="28"/>
      <c r="O34" s="28"/>
      <c r="P34" s="29"/>
      <c r="Q34" s="29"/>
      <c r="R34" s="28"/>
      <c r="S34" s="28"/>
      <c r="T34" s="28"/>
      <c r="U34" s="28"/>
      <c r="V34" s="29"/>
      <c r="W34" s="29"/>
      <c r="X34" s="28"/>
      <c r="Y34" s="717"/>
      <c r="Z34" s="717"/>
      <c r="AA34" s="717"/>
      <c r="AB34" s="717"/>
      <c r="AC34" s="28"/>
      <c r="AD34" s="28"/>
      <c r="AE34" s="28"/>
      <c r="AF34" s="29"/>
      <c r="AG34" s="29"/>
      <c r="AH34" s="28"/>
      <c r="AI34" s="28"/>
      <c r="AJ34" s="28"/>
      <c r="AK34" s="29"/>
      <c r="AL34" s="29"/>
      <c r="AM34" s="28"/>
      <c r="AN34" s="28"/>
      <c r="AO34" s="28"/>
      <c r="AP34" s="2336"/>
      <c r="AQ34" s="2336"/>
      <c r="AR34" s="2336"/>
      <c r="AS34" s="2336"/>
      <c r="AT34" s="28"/>
      <c r="AU34" s="29"/>
      <c r="AV34" s="29"/>
      <c r="AW34" s="28"/>
      <c r="AX34" s="28"/>
      <c r="AY34" s="28"/>
      <c r="AZ34" s="29"/>
      <c r="BA34" s="29"/>
      <c r="BB34" s="28"/>
      <c r="BC34" s="28"/>
      <c r="BD34" s="28"/>
      <c r="BE34" s="28"/>
      <c r="BF34" s="717"/>
      <c r="BG34" s="717"/>
      <c r="BH34" s="717"/>
      <c r="BI34" s="717"/>
      <c r="BJ34" s="717"/>
      <c r="BK34" s="29"/>
      <c r="BL34" s="29"/>
      <c r="BM34" s="28"/>
      <c r="BN34" s="28"/>
      <c r="BO34" s="28"/>
      <c r="BP34" s="29"/>
      <c r="BQ34" s="29"/>
      <c r="BR34" s="28"/>
    </row>
    <row r="35" spans="1:83" ht="21.95" customHeight="1" x14ac:dyDescent="0.25">
      <c r="A35" s="121"/>
      <c r="B35" s="121"/>
      <c r="C35" s="31"/>
      <c r="D35" s="121"/>
      <c r="E35" s="121"/>
      <c r="F35" s="121"/>
      <c r="G35" s="121"/>
      <c r="H35" s="31"/>
      <c r="I35" s="121"/>
      <c r="J35" s="1923"/>
      <c r="K35" s="1923"/>
      <c r="L35" s="1923"/>
      <c r="M35" s="1923"/>
      <c r="N35" s="121"/>
      <c r="O35" s="121"/>
      <c r="P35" s="121"/>
      <c r="Q35" s="121"/>
      <c r="R35" s="31"/>
      <c r="S35" s="121"/>
      <c r="T35" s="121"/>
      <c r="U35" s="28"/>
      <c r="V35" s="30"/>
      <c r="W35" s="29"/>
      <c r="X35" s="28"/>
      <c r="Y35" s="717"/>
      <c r="Z35" s="717"/>
      <c r="AA35" s="717"/>
      <c r="AB35" s="717"/>
      <c r="AC35" s="28"/>
      <c r="AD35" s="28"/>
      <c r="AE35" s="28"/>
      <c r="AF35" s="30"/>
      <c r="AG35" s="29"/>
      <c r="AH35" s="28"/>
      <c r="AI35" s="28"/>
      <c r="AJ35" s="28"/>
      <c r="AK35" s="30"/>
      <c r="AL35" s="29"/>
      <c r="AM35" s="28"/>
      <c r="AN35" s="28"/>
      <c r="AO35" s="28"/>
      <c r="AP35" s="2336"/>
      <c r="AQ35" s="2336"/>
      <c r="AR35" s="2336"/>
      <c r="AS35" s="2336"/>
      <c r="AT35" s="28"/>
      <c r="AU35" s="30"/>
      <c r="AV35" s="29"/>
      <c r="AW35" s="28"/>
      <c r="AX35" s="28"/>
      <c r="AY35" s="28"/>
      <c r="AZ35" s="30"/>
      <c r="BA35" s="29"/>
      <c r="BB35" s="28"/>
      <c r="BC35" s="28"/>
      <c r="BD35" s="28"/>
      <c r="BE35" s="28"/>
      <c r="BF35" s="717"/>
      <c r="BG35" s="717"/>
      <c r="BH35" s="717"/>
      <c r="BI35" s="717"/>
      <c r="BJ35" s="717"/>
      <c r="BK35" s="30"/>
      <c r="BL35" s="29"/>
      <c r="BM35" s="28"/>
      <c r="BN35" s="28"/>
      <c r="BO35" s="28"/>
      <c r="BP35" s="30"/>
      <c r="BQ35" s="29"/>
      <c r="BR35" s="28"/>
    </row>
    <row r="36" spans="1:83" ht="24" customHeight="1" x14ac:dyDescent="0.25">
      <c r="A36" s="35"/>
      <c r="B36" s="31"/>
      <c r="C36" s="32"/>
      <c r="D36" s="33"/>
      <c r="E36" s="34"/>
      <c r="F36" s="35"/>
      <c r="G36" s="31"/>
      <c r="H36" s="32"/>
      <c r="I36" s="33"/>
      <c r="J36" s="34"/>
      <c r="K36" s="35"/>
      <c r="L36" s="31"/>
      <c r="M36" s="32"/>
      <c r="N36" s="33"/>
      <c r="O36" s="34"/>
      <c r="P36" s="35"/>
      <c r="Q36" s="31"/>
      <c r="R36" s="32"/>
      <c r="S36" s="33"/>
      <c r="T36" s="34"/>
      <c r="U36" s="28"/>
      <c r="V36" s="697" t="s">
        <v>116</v>
      </c>
      <c r="W36" s="697"/>
      <c r="X36" s="697"/>
      <c r="Y36" s="697"/>
      <c r="Z36" s="697"/>
      <c r="AA36" s="697"/>
      <c r="AB36" s="697"/>
      <c r="AC36" s="697"/>
      <c r="AD36" s="697"/>
      <c r="AE36" s="697"/>
      <c r="AF36" s="697"/>
      <c r="AG36" s="697"/>
      <c r="AH36" s="697" t="s">
        <v>117</v>
      </c>
      <c r="AI36" s="697"/>
      <c r="AJ36" s="697"/>
      <c r="AK36" s="697"/>
      <c r="AL36" s="697"/>
      <c r="AM36" s="697"/>
      <c r="AN36" s="697"/>
      <c r="AO36" s="697"/>
      <c r="AP36" s="697"/>
      <c r="AQ36" s="697"/>
      <c r="AR36" s="697"/>
      <c r="AS36" s="698" t="s">
        <v>118</v>
      </c>
      <c r="AT36" s="698"/>
      <c r="AU36" s="698"/>
      <c r="AV36" s="698"/>
      <c r="AW36" s="698"/>
      <c r="AX36" s="698"/>
      <c r="AY36" s="698"/>
      <c r="AZ36" s="698"/>
      <c r="BA36" s="698"/>
      <c r="BB36" s="698"/>
      <c r="BC36" s="698"/>
      <c r="BD36" s="698"/>
      <c r="BE36" s="699" t="s">
        <v>119</v>
      </c>
      <c r="BF36" s="699"/>
      <c r="BG36" s="699"/>
      <c r="BH36" s="699"/>
      <c r="BI36" s="699"/>
      <c r="BJ36" s="1924">
        <f>D8+I8+N8+S8+X8+AC8+AH8+AM8+AR8+AW8+BB8+BG8+BL8+D14+I14+N14+S14+X14+AC14+AH14+AM14+AR14+AW14+BB14+BG14+BL14+D20+I20+N20+S20+X20+AC20+AH20+AM20+AR20+AW20+BQ8+BQ14+BB20</f>
        <v>16</v>
      </c>
      <c r="BK36" s="1925"/>
      <c r="BL36" s="1925"/>
      <c r="BM36" s="1925"/>
      <c r="BN36" s="701" t="s">
        <v>120</v>
      </c>
      <c r="BO36" s="701"/>
      <c r="BP36" s="701"/>
      <c r="BQ36" s="29"/>
      <c r="BR36" s="28"/>
    </row>
    <row r="37" spans="1:83" s="22" customFormat="1" ht="80.099999999999994" customHeight="1" x14ac:dyDescent="1.35">
      <c r="A37" s="35"/>
      <c r="B37" s="31"/>
      <c r="C37" s="32"/>
      <c r="D37" s="33"/>
      <c r="E37" s="34"/>
      <c r="F37" s="35"/>
      <c r="G37" s="31"/>
      <c r="H37" s="32"/>
      <c r="I37" s="33"/>
      <c r="J37" s="34"/>
      <c r="K37" s="35"/>
      <c r="L37" s="31"/>
      <c r="M37" s="32"/>
      <c r="N37" s="33"/>
      <c r="O37" s="34"/>
      <c r="P37" s="35"/>
      <c r="Q37" s="31"/>
      <c r="R37" s="32"/>
      <c r="S37" s="33"/>
      <c r="T37" s="34"/>
      <c r="U37" s="121"/>
      <c r="V37" s="697"/>
      <c r="W37" s="697"/>
      <c r="X37" s="697"/>
      <c r="Y37" s="697"/>
      <c r="Z37" s="697"/>
      <c r="AA37" s="697"/>
      <c r="AB37" s="697"/>
      <c r="AC37" s="697"/>
      <c r="AD37" s="697"/>
      <c r="AE37" s="697"/>
      <c r="AF37" s="697"/>
      <c r="AG37" s="697"/>
      <c r="AH37" s="697"/>
      <c r="AI37" s="697"/>
      <c r="AJ37" s="697"/>
      <c r="AK37" s="697"/>
      <c r="AL37" s="697"/>
      <c r="AM37" s="697"/>
      <c r="AN37" s="697"/>
      <c r="AO37" s="697"/>
      <c r="AP37" s="697"/>
      <c r="AQ37" s="697"/>
      <c r="AR37" s="697"/>
      <c r="AS37" s="698"/>
      <c r="AT37" s="698"/>
      <c r="AU37" s="698"/>
      <c r="AV37" s="698"/>
      <c r="AW37" s="698"/>
      <c r="AX37" s="698"/>
      <c r="AY37" s="698"/>
      <c r="AZ37" s="698"/>
      <c r="BA37" s="698"/>
      <c r="BB37" s="698"/>
      <c r="BC37" s="698"/>
      <c r="BD37" s="698"/>
      <c r="BE37" s="699"/>
      <c r="BF37" s="699"/>
      <c r="BG37" s="699"/>
      <c r="BH37" s="699"/>
      <c r="BI37" s="699"/>
      <c r="BJ37" s="1925"/>
      <c r="BK37" s="1925"/>
      <c r="BL37" s="1925"/>
      <c r="BM37" s="1925"/>
      <c r="BN37" s="701"/>
      <c r="BO37" s="701"/>
      <c r="BP37" s="701"/>
      <c r="BQ37" s="121"/>
      <c r="BR37" s="31"/>
    </row>
    <row r="38" spans="1:83" ht="26.25" customHeight="1" x14ac:dyDescent="0.25">
      <c r="A38" s="34"/>
      <c r="B38" s="35"/>
      <c r="C38" s="31"/>
      <c r="D38" s="32"/>
      <c r="E38" s="33"/>
      <c r="F38" s="34"/>
      <c r="G38" s="34"/>
      <c r="H38" s="35"/>
      <c r="I38" s="31"/>
      <c r="J38" s="32"/>
      <c r="K38" s="33"/>
      <c r="L38" s="34"/>
      <c r="M38" s="34"/>
      <c r="N38" s="35"/>
      <c r="O38" s="31"/>
      <c r="P38" s="32"/>
      <c r="Q38" s="33"/>
      <c r="R38" s="34"/>
      <c r="S38" s="34"/>
      <c r="T38" s="35"/>
      <c r="U38" s="31"/>
      <c r="V38" s="697"/>
      <c r="W38" s="697"/>
      <c r="X38" s="697"/>
      <c r="Y38" s="697"/>
      <c r="Z38" s="697"/>
      <c r="AA38" s="697"/>
      <c r="AB38" s="697"/>
      <c r="AC38" s="697"/>
      <c r="AD38" s="697"/>
      <c r="AE38" s="697"/>
      <c r="AF38" s="697"/>
      <c r="AG38" s="697"/>
      <c r="AH38" s="697"/>
      <c r="AI38" s="697"/>
      <c r="AJ38" s="697"/>
      <c r="AK38" s="697"/>
      <c r="AL38" s="697"/>
      <c r="AM38" s="697"/>
      <c r="AN38" s="697"/>
      <c r="AO38" s="697"/>
      <c r="AP38" s="697"/>
      <c r="AQ38" s="697"/>
      <c r="AR38" s="697"/>
      <c r="AS38" s="698"/>
      <c r="AT38" s="698"/>
      <c r="AU38" s="698"/>
      <c r="AV38" s="698"/>
      <c r="AW38" s="698"/>
      <c r="AX38" s="698"/>
      <c r="AY38" s="698"/>
      <c r="AZ38" s="698"/>
      <c r="BA38" s="698"/>
      <c r="BB38" s="698"/>
      <c r="BC38" s="698"/>
      <c r="BD38" s="698"/>
      <c r="BE38" s="699"/>
      <c r="BF38" s="699"/>
      <c r="BG38" s="699"/>
      <c r="BH38" s="699"/>
      <c r="BI38" s="699"/>
      <c r="BJ38" s="1925"/>
      <c r="BK38" s="1925"/>
      <c r="BL38" s="1925"/>
      <c r="BM38" s="1925"/>
      <c r="BN38" s="701"/>
      <c r="BO38" s="701"/>
      <c r="BP38" s="701"/>
      <c r="BQ38" s="32"/>
      <c r="BR38" s="33"/>
      <c r="BW38" s="27"/>
      <c r="BX38" s="27"/>
      <c r="BY38" s="27"/>
      <c r="BZ38" s="27"/>
      <c r="CA38" s="27"/>
      <c r="CB38" s="27"/>
      <c r="CC38" s="27"/>
      <c r="CD38" s="27"/>
      <c r="CE38" s="27"/>
    </row>
    <row r="39" spans="1:83" ht="26.1" customHeight="1" x14ac:dyDescent="0.25">
      <c r="A39" s="34"/>
      <c r="B39" s="35"/>
      <c r="C39" s="31"/>
      <c r="D39" s="32"/>
      <c r="E39" s="33"/>
      <c r="F39" s="34"/>
      <c r="G39" s="34"/>
      <c r="H39" s="35"/>
      <c r="I39" s="31"/>
      <c r="J39" s="32"/>
      <c r="K39" s="33"/>
      <c r="L39" s="34"/>
      <c r="M39" s="34"/>
      <c r="N39" s="35"/>
      <c r="O39" s="31"/>
      <c r="P39" s="32"/>
      <c r="Q39" s="33"/>
      <c r="R39" s="34"/>
      <c r="S39" s="34"/>
      <c r="T39" s="35"/>
      <c r="U39" s="31"/>
      <c r="V39" s="697"/>
      <c r="W39" s="697"/>
      <c r="X39" s="697"/>
      <c r="Y39" s="697"/>
      <c r="Z39" s="697"/>
      <c r="AA39" s="697"/>
      <c r="AB39" s="697"/>
      <c r="AC39" s="697"/>
      <c r="AD39" s="697"/>
      <c r="AE39" s="697"/>
      <c r="AF39" s="697"/>
      <c r="AG39" s="697"/>
      <c r="AH39" s="697"/>
      <c r="AI39" s="697"/>
      <c r="AJ39" s="697"/>
      <c r="AK39" s="697"/>
      <c r="AL39" s="697"/>
      <c r="AM39" s="697"/>
      <c r="AN39" s="697"/>
      <c r="AO39" s="697"/>
      <c r="AP39" s="697"/>
      <c r="AQ39" s="697"/>
      <c r="AR39" s="697"/>
      <c r="AS39" s="698"/>
      <c r="AT39" s="698"/>
      <c r="AU39" s="698"/>
      <c r="AV39" s="698"/>
      <c r="AW39" s="698"/>
      <c r="AX39" s="698"/>
      <c r="AY39" s="698"/>
      <c r="AZ39" s="698"/>
      <c r="BA39" s="698"/>
      <c r="BB39" s="698"/>
      <c r="BC39" s="698"/>
      <c r="BD39" s="698"/>
      <c r="BE39" s="699"/>
      <c r="BF39" s="699"/>
      <c r="BG39" s="699"/>
      <c r="BH39" s="699"/>
      <c r="BI39" s="699"/>
      <c r="BJ39" s="1925"/>
      <c r="BK39" s="1925"/>
      <c r="BL39" s="1925"/>
      <c r="BM39" s="1925"/>
      <c r="BN39" s="701"/>
      <c r="BO39" s="701"/>
      <c r="BP39" s="701"/>
      <c r="BQ39" s="32"/>
      <c r="BR39" s="33"/>
    </row>
    <row r="40" spans="1:83" ht="6.75" customHeight="1" x14ac:dyDescent="0.25">
      <c r="A40" s="28"/>
      <c r="B40" s="28"/>
      <c r="C40" s="28"/>
      <c r="D40" s="29"/>
      <c r="E40" s="29"/>
      <c r="F40" s="28"/>
      <c r="G40" s="28"/>
      <c r="H40" s="28"/>
      <c r="I40" s="29"/>
      <c r="J40" s="29"/>
      <c r="K40" s="28"/>
      <c r="L40" s="28"/>
      <c r="M40" s="28"/>
      <c r="N40" s="29"/>
      <c r="O40" s="29"/>
      <c r="P40" s="28"/>
      <c r="Q40" s="28"/>
      <c r="R40" s="28"/>
      <c r="S40" s="29"/>
      <c r="T40" s="29"/>
      <c r="U40" s="28"/>
      <c r="V40" s="722" t="s">
        <v>13</v>
      </c>
      <c r="W40" s="722"/>
      <c r="X40" s="722"/>
      <c r="Y40" s="722"/>
      <c r="Z40" s="722"/>
      <c r="AA40" s="722"/>
      <c r="AB40" s="722"/>
      <c r="AC40" s="722"/>
      <c r="AD40" s="722"/>
      <c r="AE40" s="722"/>
      <c r="AF40" s="722"/>
      <c r="AG40" s="722"/>
      <c r="AH40" s="706">
        <f>AS40-AD76</f>
        <v>-5.8007890990374733E-4</v>
      </c>
      <c r="AI40" s="706"/>
      <c r="AJ40" s="706"/>
      <c r="AK40" s="706"/>
      <c r="AL40" s="706"/>
      <c r="AM40" s="706"/>
      <c r="AN40" s="706"/>
      <c r="AO40" s="706"/>
      <c r="AP40" s="706"/>
      <c r="AQ40" s="706"/>
      <c r="AR40" s="706"/>
      <c r="AS40" s="707">
        <f>B8+G8+L8+Q8+V8+AA8+AF8+AK8+AP8+AU8+AZ8+BE8+BJ8+BO8+B14+G14+L14+Q14+V14+AA14+AF14+AK14+AP14+AU14+AZ14+BE14+BJ14+BO14+B20+G20+L20+Q20+V20+AA20+AF20+AK20+AP20+AU20+AZ20</f>
        <v>9.9794199210900967</v>
      </c>
      <c r="AT40" s="707"/>
      <c r="AU40" s="707"/>
      <c r="AV40" s="707"/>
      <c r="AW40" s="707"/>
      <c r="AX40" s="707"/>
      <c r="AY40" s="707"/>
      <c r="AZ40" s="707"/>
      <c r="BA40" s="707"/>
      <c r="BB40" s="707"/>
      <c r="BC40" s="707"/>
      <c r="BD40" s="707"/>
      <c r="BE40" s="699"/>
      <c r="BF40" s="699"/>
      <c r="BG40" s="699"/>
      <c r="BH40" s="699"/>
      <c r="BI40" s="699"/>
      <c r="BJ40" s="1925"/>
      <c r="BK40" s="1925"/>
      <c r="BL40" s="1925"/>
      <c r="BM40" s="1925"/>
      <c r="BN40" s="701"/>
      <c r="BO40" s="701"/>
      <c r="BP40" s="701"/>
      <c r="BQ40" s="29"/>
      <c r="BR40" s="29"/>
    </row>
    <row r="41" spans="1:83" ht="21.95" customHeight="1" x14ac:dyDescent="0.25">
      <c r="A41" s="28"/>
      <c r="B41" s="28"/>
      <c r="C41" s="28"/>
      <c r="D41" s="30"/>
      <c r="E41" s="29"/>
      <c r="F41" s="28"/>
      <c r="G41" s="28"/>
      <c r="H41" s="28"/>
      <c r="I41" s="30"/>
      <c r="J41" s="29"/>
      <c r="K41" s="28"/>
      <c r="L41" s="28"/>
      <c r="M41" s="28"/>
      <c r="N41" s="30"/>
      <c r="O41" s="29"/>
      <c r="P41" s="28"/>
      <c r="Q41" s="28"/>
      <c r="R41" s="28"/>
      <c r="S41" s="30"/>
      <c r="T41" s="29"/>
      <c r="U41" s="28"/>
      <c r="V41" s="722"/>
      <c r="W41" s="722"/>
      <c r="X41" s="722"/>
      <c r="Y41" s="722"/>
      <c r="Z41" s="722"/>
      <c r="AA41" s="722"/>
      <c r="AB41" s="722"/>
      <c r="AC41" s="722"/>
      <c r="AD41" s="722"/>
      <c r="AE41" s="722"/>
      <c r="AF41" s="722"/>
      <c r="AG41" s="722"/>
      <c r="AH41" s="706"/>
      <c r="AI41" s="706"/>
      <c r="AJ41" s="706"/>
      <c r="AK41" s="706"/>
      <c r="AL41" s="706"/>
      <c r="AM41" s="706"/>
      <c r="AN41" s="706"/>
      <c r="AO41" s="706"/>
      <c r="AP41" s="706"/>
      <c r="AQ41" s="706"/>
      <c r="AR41" s="706"/>
      <c r="AS41" s="707"/>
      <c r="AT41" s="707"/>
      <c r="AU41" s="707"/>
      <c r="AV41" s="707"/>
      <c r="AW41" s="707"/>
      <c r="AX41" s="707"/>
      <c r="AY41" s="707"/>
      <c r="AZ41" s="707"/>
      <c r="BA41" s="707"/>
      <c r="BB41" s="707"/>
      <c r="BC41" s="707"/>
      <c r="BD41" s="707"/>
      <c r="BE41" s="699"/>
      <c r="BF41" s="699"/>
      <c r="BG41" s="699"/>
      <c r="BH41" s="699"/>
      <c r="BI41" s="699"/>
      <c r="BJ41" s="1925"/>
      <c r="BK41" s="1925"/>
      <c r="BL41" s="1925"/>
      <c r="BM41" s="1925"/>
      <c r="BN41" s="701"/>
      <c r="BO41" s="701"/>
      <c r="BP41" s="701"/>
      <c r="BQ41" s="30"/>
      <c r="BR41" s="29"/>
    </row>
    <row r="42" spans="1:83" ht="6" customHeight="1" x14ac:dyDescent="0.25">
      <c r="A42" s="28"/>
      <c r="B42" s="28"/>
      <c r="C42" s="28"/>
      <c r="D42" s="29"/>
      <c r="E42" s="29"/>
      <c r="F42" s="28"/>
      <c r="G42" s="28"/>
      <c r="H42" s="28"/>
      <c r="I42" s="29"/>
      <c r="J42" s="29"/>
      <c r="K42" s="28"/>
      <c r="L42" s="28"/>
      <c r="M42" s="28"/>
      <c r="N42" s="29"/>
      <c r="O42" s="29"/>
      <c r="P42" s="28"/>
      <c r="Q42" s="28"/>
      <c r="R42" s="28"/>
      <c r="S42" s="29"/>
      <c r="T42" s="29"/>
      <c r="U42" s="28"/>
      <c r="V42" s="722"/>
      <c r="W42" s="722"/>
      <c r="X42" s="722"/>
      <c r="Y42" s="722"/>
      <c r="Z42" s="722"/>
      <c r="AA42" s="722"/>
      <c r="AB42" s="722"/>
      <c r="AC42" s="722"/>
      <c r="AD42" s="722"/>
      <c r="AE42" s="722"/>
      <c r="AF42" s="722"/>
      <c r="AG42" s="722"/>
      <c r="AH42" s="706"/>
      <c r="AI42" s="706"/>
      <c r="AJ42" s="706"/>
      <c r="AK42" s="706"/>
      <c r="AL42" s="706"/>
      <c r="AM42" s="706"/>
      <c r="AN42" s="706"/>
      <c r="AO42" s="706"/>
      <c r="AP42" s="706"/>
      <c r="AQ42" s="706"/>
      <c r="AR42" s="706"/>
      <c r="AS42" s="707"/>
      <c r="AT42" s="707"/>
      <c r="AU42" s="707"/>
      <c r="AV42" s="707"/>
      <c r="AW42" s="707"/>
      <c r="AX42" s="707"/>
      <c r="AY42" s="707"/>
      <c r="AZ42" s="707"/>
      <c r="BA42" s="707"/>
      <c r="BB42" s="707"/>
      <c r="BC42" s="707"/>
      <c r="BD42" s="707"/>
      <c r="BE42" s="699"/>
      <c r="BF42" s="699"/>
      <c r="BG42" s="699"/>
      <c r="BH42" s="699"/>
      <c r="BI42" s="699"/>
      <c r="BJ42" s="708">
        <f>BJ36*1.5</f>
        <v>24</v>
      </c>
      <c r="BK42" s="708"/>
      <c r="BL42" s="708"/>
      <c r="BM42" s="708"/>
      <c r="BN42" s="708"/>
      <c r="BO42" s="708"/>
      <c r="BP42" s="708"/>
      <c r="BQ42" s="29"/>
      <c r="BR42" s="29"/>
    </row>
    <row r="43" spans="1:83" s="22" customFormat="1" ht="80.099999999999994" customHeight="1" x14ac:dyDescent="1.35">
      <c r="A43" s="31"/>
      <c r="B43" s="121"/>
      <c r="C43" s="121"/>
      <c r="D43" s="121"/>
      <c r="E43" s="121"/>
      <c r="F43" s="702"/>
      <c r="G43" s="702"/>
      <c r="H43" s="121"/>
      <c r="I43" s="121"/>
      <c r="J43" s="121"/>
      <c r="K43" s="31"/>
      <c r="L43" s="121"/>
      <c r="M43" s="121"/>
      <c r="N43" s="121"/>
      <c r="O43" s="121"/>
      <c r="P43" s="31"/>
      <c r="Q43" s="121"/>
      <c r="R43" s="121"/>
      <c r="S43" s="121"/>
      <c r="T43" s="121"/>
      <c r="U43" s="31"/>
      <c r="V43" s="722"/>
      <c r="W43" s="722"/>
      <c r="X43" s="722"/>
      <c r="Y43" s="722"/>
      <c r="Z43" s="722"/>
      <c r="AA43" s="722"/>
      <c r="AB43" s="722"/>
      <c r="AC43" s="722"/>
      <c r="AD43" s="722"/>
      <c r="AE43" s="722"/>
      <c r="AF43" s="722"/>
      <c r="AG43" s="722"/>
      <c r="AH43" s="706"/>
      <c r="AI43" s="706"/>
      <c r="AJ43" s="706"/>
      <c r="AK43" s="706"/>
      <c r="AL43" s="706"/>
      <c r="AM43" s="706"/>
      <c r="AN43" s="706"/>
      <c r="AO43" s="706"/>
      <c r="AP43" s="706"/>
      <c r="AQ43" s="706"/>
      <c r="AR43" s="706"/>
      <c r="AS43" s="707"/>
      <c r="AT43" s="707"/>
      <c r="AU43" s="707"/>
      <c r="AV43" s="707"/>
      <c r="AW43" s="707"/>
      <c r="AX43" s="707"/>
      <c r="AY43" s="707"/>
      <c r="AZ43" s="707"/>
      <c r="BA43" s="707"/>
      <c r="BB43" s="707"/>
      <c r="BC43" s="707"/>
      <c r="BD43" s="707"/>
      <c r="BE43" s="699"/>
      <c r="BF43" s="699"/>
      <c r="BG43" s="699"/>
      <c r="BH43" s="699"/>
      <c r="BI43" s="699"/>
      <c r="BJ43" s="708"/>
      <c r="BK43" s="708"/>
      <c r="BL43" s="708"/>
      <c r="BM43" s="708"/>
      <c r="BN43" s="708"/>
      <c r="BO43" s="708"/>
      <c r="BP43" s="708"/>
      <c r="BQ43" s="121"/>
      <c r="BR43" s="121"/>
    </row>
    <row r="44" spans="1:83" ht="26.25" customHeight="1" x14ac:dyDescent="0.25">
      <c r="A44" s="34"/>
      <c r="B44" s="35"/>
      <c r="C44" s="31"/>
      <c r="D44" s="32"/>
      <c r="E44" s="33"/>
      <c r="F44" s="703"/>
      <c r="G44" s="703"/>
      <c r="H44" s="31"/>
      <c r="I44" s="32"/>
      <c r="J44" s="33"/>
      <c r="K44" s="34"/>
      <c r="L44" s="35"/>
      <c r="M44" s="31"/>
      <c r="N44" s="32"/>
      <c r="O44" s="33"/>
      <c r="P44" s="34"/>
      <c r="Q44" s="35"/>
      <c r="R44" s="31"/>
      <c r="S44" s="32"/>
      <c r="T44" s="33"/>
      <c r="U44" s="34"/>
      <c r="V44" s="722"/>
      <c r="W44" s="722"/>
      <c r="X44" s="722"/>
      <c r="Y44" s="722"/>
      <c r="Z44" s="722"/>
      <c r="AA44" s="722"/>
      <c r="AB44" s="722"/>
      <c r="AC44" s="722"/>
      <c r="AD44" s="722"/>
      <c r="AE44" s="722"/>
      <c r="AF44" s="722"/>
      <c r="AG44" s="722"/>
      <c r="AH44" s="706"/>
      <c r="AI44" s="706"/>
      <c r="AJ44" s="706"/>
      <c r="AK44" s="706"/>
      <c r="AL44" s="706"/>
      <c r="AM44" s="706"/>
      <c r="AN44" s="706"/>
      <c r="AO44" s="706"/>
      <c r="AP44" s="706"/>
      <c r="AQ44" s="706"/>
      <c r="AR44" s="706"/>
      <c r="AS44" s="707"/>
      <c r="AT44" s="707"/>
      <c r="AU44" s="707"/>
      <c r="AV44" s="707"/>
      <c r="AW44" s="707"/>
      <c r="AX44" s="707"/>
      <c r="AY44" s="707"/>
      <c r="AZ44" s="707"/>
      <c r="BA44" s="707"/>
      <c r="BB44" s="707"/>
      <c r="BC44" s="707"/>
      <c r="BD44" s="707"/>
      <c r="BE44" s="699"/>
      <c r="BF44" s="699"/>
      <c r="BG44" s="699"/>
      <c r="BH44" s="699"/>
      <c r="BI44" s="699"/>
      <c r="BJ44" s="708"/>
      <c r="BK44" s="708"/>
      <c r="BL44" s="708"/>
      <c r="BM44" s="708"/>
      <c r="BN44" s="708"/>
      <c r="BO44" s="708"/>
      <c r="BP44" s="708"/>
      <c r="BQ44" s="31"/>
      <c r="BR44" s="32"/>
      <c r="BW44" s="27"/>
      <c r="BX44" s="27"/>
      <c r="BY44" s="27"/>
      <c r="BZ44" s="27"/>
      <c r="CA44" s="27"/>
      <c r="CB44" s="27"/>
      <c r="CC44" s="27"/>
      <c r="CD44" s="27"/>
      <c r="CE44" s="27"/>
    </row>
    <row r="45" spans="1:83" ht="26.1" customHeight="1" x14ac:dyDescent="0.25">
      <c r="A45" s="34"/>
      <c r="B45" s="35"/>
      <c r="C45" s="31"/>
      <c r="D45" s="32"/>
      <c r="E45" s="33"/>
      <c r="F45" s="703"/>
      <c r="G45" s="703"/>
      <c r="H45" s="31"/>
      <c r="I45" s="32"/>
      <c r="J45" s="33"/>
      <c r="K45" s="34"/>
      <c r="L45" s="35"/>
      <c r="M45" s="31"/>
      <c r="N45" s="32"/>
      <c r="O45" s="33"/>
      <c r="P45" s="34"/>
      <c r="Q45" s="35"/>
      <c r="R45" s="31"/>
      <c r="S45" s="32"/>
      <c r="T45" s="33"/>
      <c r="U45" s="34"/>
      <c r="V45" s="722"/>
      <c r="W45" s="722"/>
      <c r="X45" s="722"/>
      <c r="Y45" s="722"/>
      <c r="Z45" s="722"/>
      <c r="AA45" s="722"/>
      <c r="AB45" s="722"/>
      <c r="AC45" s="722"/>
      <c r="AD45" s="722"/>
      <c r="AE45" s="722"/>
      <c r="AF45" s="722"/>
      <c r="AG45" s="722"/>
      <c r="AH45" s="706"/>
      <c r="AI45" s="706"/>
      <c r="AJ45" s="706"/>
      <c r="AK45" s="706"/>
      <c r="AL45" s="706"/>
      <c r="AM45" s="706"/>
      <c r="AN45" s="706"/>
      <c r="AO45" s="706"/>
      <c r="AP45" s="706"/>
      <c r="AQ45" s="706"/>
      <c r="AR45" s="706"/>
      <c r="AS45" s="707"/>
      <c r="AT45" s="707"/>
      <c r="AU45" s="707"/>
      <c r="AV45" s="707"/>
      <c r="AW45" s="707"/>
      <c r="AX45" s="707"/>
      <c r="AY45" s="707"/>
      <c r="AZ45" s="707"/>
      <c r="BA45" s="707"/>
      <c r="BB45" s="707"/>
      <c r="BC45" s="707"/>
      <c r="BD45" s="707"/>
      <c r="BE45" s="699"/>
      <c r="BF45" s="699"/>
      <c r="BG45" s="699"/>
      <c r="BH45" s="699"/>
      <c r="BI45" s="699"/>
      <c r="BJ45" s="708"/>
      <c r="BK45" s="708"/>
      <c r="BL45" s="708"/>
      <c r="BM45" s="708"/>
      <c r="BN45" s="708"/>
      <c r="BO45" s="708"/>
      <c r="BP45" s="708"/>
      <c r="BQ45" s="31"/>
      <c r="BR45" s="32"/>
    </row>
    <row r="46" spans="1:83" ht="6.75" customHeight="1" x14ac:dyDescent="0.25">
      <c r="A46" s="28"/>
      <c r="B46" s="28"/>
      <c r="C46" s="28"/>
      <c r="D46" s="29"/>
      <c r="E46" s="29"/>
      <c r="F46" s="703"/>
      <c r="G46" s="703"/>
      <c r="H46" s="28"/>
      <c r="I46" s="29"/>
      <c r="J46" s="29"/>
      <c r="K46" s="28"/>
      <c r="L46" s="28"/>
      <c r="M46" s="28"/>
      <c r="N46" s="29"/>
      <c r="O46" s="29"/>
      <c r="P46" s="28"/>
      <c r="Q46" s="28"/>
      <c r="R46" s="28"/>
      <c r="S46" s="29"/>
      <c r="T46" s="29"/>
      <c r="U46" s="28"/>
      <c r="V46" s="722"/>
      <c r="W46" s="722"/>
      <c r="X46" s="722"/>
      <c r="Y46" s="722"/>
      <c r="Z46" s="722"/>
      <c r="AA46" s="722"/>
      <c r="AB46" s="722"/>
      <c r="AC46" s="722"/>
      <c r="AD46" s="722"/>
      <c r="AE46" s="722"/>
      <c r="AF46" s="722"/>
      <c r="AG46" s="722"/>
      <c r="AH46" s="706"/>
      <c r="AI46" s="706"/>
      <c r="AJ46" s="706"/>
      <c r="AK46" s="706"/>
      <c r="AL46" s="706"/>
      <c r="AM46" s="706"/>
      <c r="AN46" s="706"/>
      <c r="AO46" s="706"/>
      <c r="AP46" s="706"/>
      <c r="AQ46" s="706"/>
      <c r="AR46" s="706"/>
      <c r="AS46" s="707"/>
      <c r="AT46" s="707"/>
      <c r="AU46" s="707"/>
      <c r="AV46" s="707"/>
      <c r="AW46" s="707"/>
      <c r="AX46" s="707"/>
      <c r="AY46" s="707"/>
      <c r="AZ46" s="707"/>
      <c r="BA46" s="707"/>
      <c r="BB46" s="707"/>
      <c r="BC46" s="707"/>
      <c r="BD46" s="707"/>
      <c r="BE46" s="699"/>
      <c r="BF46" s="699"/>
      <c r="BG46" s="699"/>
      <c r="BH46" s="699"/>
      <c r="BI46" s="699"/>
      <c r="BJ46" s="699" t="s">
        <v>121</v>
      </c>
      <c r="BK46" s="699"/>
      <c r="BL46" s="699"/>
      <c r="BM46" s="699"/>
      <c r="BN46" s="699"/>
      <c r="BO46" s="699"/>
      <c r="BP46" s="699"/>
      <c r="BQ46" s="31"/>
      <c r="BR46" s="32"/>
    </row>
    <row r="47" spans="1:83" ht="21.95" customHeight="1" x14ac:dyDescent="0.25">
      <c r="A47" s="28"/>
      <c r="B47" s="28"/>
      <c r="C47" s="28"/>
      <c r="D47" s="30"/>
      <c r="E47" s="29"/>
      <c r="F47" s="703"/>
      <c r="G47" s="703"/>
      <c r="H47" s="28"/>
      <c r="I47" s="30"/>
      <c r="J47" s="29"/>
      <c r="K47" s="28"/>
      <c r="L47" s="28"/>
      <c r="M47" s="28"/>
      <c r="N47" s="30"/>
      <c r="O47" s="29"/>
      <c r="P47" s="28"/>
      <c r="Q47" s="28"/>
      <c r="R47" s="28"/>
      <c r="S47" s="30"/>
      <c r="T47" s="29"/>
      <c r="U47" s="28"/>
      <c r="V47" s="722"/>
      <c r="W47" s="722"/>
      <c r="X47" s="722"/>
      <c r="Y47" s="722"/>
      <c r="Z47" s="722"/>
      <c r="AA47" s="722"/>
      <c r="AB47" s="722"/>
      <c r="AC47" s="722"/>
      <c r="AD47" s="722"/>
      <c r="AE47" s="722"/>
      <c r="AF47" s="722"/>
      <c r="AG47" s="722"/>
      <c r="AH47" s="706"/>
      <c r="AI47" s="706"/>
      <c r="AJ47" s="706"/>
      <c r="AK47" s="706"/>
      <c r="AL47" s="706"/>
      <c r="AM47" s="706"/>
      <c r="AN47" s="706"/>
      <c r="AO47" s="706"/>
      <c r="AP47" s="706"/>
      <c r="AQ47" s="706"/>
      <c r="AR47" s="706"/>
      <c r="AS47" s="707"/>
      <c r="AT47" s="707"/>
      <c r="AU47" s="707"/>
      <c r="AV47" s="707"/>
      <c r="AW47" s="707"/>
      <c r="AX47" s="707"/>
      <c r="AY47" s="707"/>
      <c r="AZ47" s="707"/>
      <c r="BA47" s="707"/>
      <c r="BB47" s="707"/>
      <c r="BC47" s="707"/>
      <c r="BD47" s="707"/>
      <c r="BE47" s="699"/>
      <c r="BF47" s="699"/>
      <c r="BG47" s="699"/>
      <c r="BH47" s="699"/>
      <c r="BI47" s="699"/>
      <c r="BJ47" s="699"/>
      <c r="BK47" s="699"/>
      <c r="BL47" s="699"/>
      <c r="BM47" s="699"/>
      <c r="BN47" s="699"/>
      <c r="BO47" s="699"/>
      <c r="BP47" s="699"/>
      <c r="BQ47" s="30"/>
      <c r="BR47" s="29"/>
    </row>
    <row r="48" spans="1:83" ht="6" customHeight="1" x14ac:dyDescent="0.25">
      <c r="A48" s="28"/>
      <c r="B48" s="28"/>
      <c r="C48" s="28"/>
      <c r="D48" s="29"/>
      <c r="E48" s="29"/>
      <c r="F48" s="28"/>
      <c r="G48" s="28"/>
      <c r="H48" s="28"/>
      <c r="I48" s="29"/>
      <c r="J48" s="29"/>
      <c r="K48" s="28"/>
      <c r="L48" s="28"/>
      <c r="M48" s="28"/>
      <c r="N48" s="29"/>
      <c r="O48" s="29"/>
      <c r="P48" s="28"/>
      <c r="Q48" s="28"/>
      <c r="R48" s="28"/>
      <c r="S48" s="29"/>
      <c r="T48" s="29"/>
      <c r="U48" s="28"/>
      <c r="V48" s="28"/>
      <c r="W48" s="28"/>
      <c r="X48" s="29"/>
      <c r="Y48" s="29"/>
      <c r="Z48" s="28"/>
      <c r="AA48" s="28"/>
      <c r="AB48" s="28"/>
      <c r="AC48" s="29"/>
      <c r="AD48" s="29"/>
      <c r="AE48" s="28"/>
      <c r="AF48" s="28"/>
      <c r="AG48" s="28"/>
      <c r="AH48" s="29"/>
      <c r="AI48" s="29"/>
      <c r="AJ48" s="28"/>
      <c r="AK48" s="28"/>
      <c r="AL48" s="28"/>
      <c r="AM48" s="29"/>
      <c r="AN48" s="29"/>
      <c r="AO48" s="28"/>
      <c r="AP48" s="28"/>
      <c r="AQ48" s="28"/>
      <c r="AR48" s="29"/>
      <c r="AS48" s="29"/>
      <c r="AT48" s="28"/>
      <c r="AU48" s="28"/>
      <c r="AV48" s="28"/>
      <c r="AW48" s="29"/>
      <c r="AX48" s="29"/>
      <c r="AY48" s="28"/>
      <c r="AZ48" s="28"/>
      <c r="BA48" s="28"/>
      <c r="BB48" s="29"/>
      <c r="BC48" s="29"/>
      <c r="BD48" s="28"/>
      <c r="BE48" s="28"/>
      <c r="BF48" s="28"/>
      <c r="BG48" s="29"/>
      <c r="BH48" s="29"/>
      <c r="BI48" s="28"/>
      <c r="BJ48" s="699"/>
      <c r="BK48" s="699"/>
      <c r="BL48" s="699"/>
      <c r="BM48" s="699"/>
      <c r="BN48" s="699"/>
      <c r="BO48" s="699"/>
      <c r="BP48" s="699"/>
      <c r="BQ48" s="29"/>
      <c r="BR48" s="29"/>
    </row>
    <row r="49" spans="1:83" s="22" customFormat="1" ht="80.099999999999994" customHeight="1" x14ac:dyDescent="1.35">
      <c r="A49" s="31"/>
      <c r="B49" s="121"/>
      <c r="C49" s="121"/>
      <c r="D49" s="121"/>
      <c r="E49" s="121"/>
      <c r="F49" s="31"/>
      <c r="G49" s="121"/>
      <c r="H49" s="121"/>
      <c r="I49" s="121"/>
      <c r="J49" s="121"/>
      <c r="K49" s="31"/>
      <c r="L49" s="121"/>
      <c r="M49" s="121"/>
      <c r="N49" s="121"/>
      <c r="O49" s="121"/>
      <c r="P49" s="31"/>
      <c r="Q49" s="121"/>
      <c r="R49" s="121"/>
      <c r="S49" s="121"/>
      <c r="T49" s="121"/>
      <c r="U49" s="31"/>
      <c r="V49" s="121"/>
      <c r="W49" s="121"/>
      <c r="X49" s="121"/>
      <c r="Y49" s="121"/>
      <c r="Z49" s="31"/>
      <c r="AA49" s="121"/>
      <c r="AB49" s="121"/>
      <c r="AC49" s="121"/>
      <c r="AD49" s="121"/>
      <c r="AE49" s="31"/>
      <c r="AF49" s="121"/>
      <c r="AG49" s="121"/>
      <c r="AH49" s="121"/>
      <c r="AI49" s="121"/>
      <c r="AJ49" s="31"/>
      <c r="AK49" s="121"/>
      <c r="AL49" s="121"/>
      <c r="AM49" s="121"/>
      <c r="AN49" s="121"/>
      <c r="AO49" s="31"/>
      <c r="AP49" s="121"/>
      <c r="AQ49" s="121"/>
      <c r="AR49" s="121"/>
      <c r="AS49" s="121"/>
      <c r="AT49" s="31"/>
      <c r="AU49" s="121"/>
      <c r="AV49" s="121"/>
      <c r="AW49" s="121"/>
      <c r="AX49" s="121"/>
      <c r="AY49" s="31"/>
      <c r="AZ49" s="121"/>
      <c r="BA49" s="121"/>
      <c r="BB49" s="121"/>
      <c r="BC49" s="121"/>
      <c r="BD49" s="31"/>
      <c r="BE49" s="121"/>
      <c r="BF49" s="121"/>
      <c r="BG49" s="121"/>
      <c r="BH49" s="121"/>
      <c r="BI49" s="31"/>
      <c r="BJ49" s="121"/>
      <c r="BK49" s="121"/>
      <c r="BL49" s="121"/>
      <c r="BM49" s="121"/>
      <c r="BN49" s="31"/>
      <c r="BO49" s="121"/>
      <c r="BP49" s="121"/>
      <c r="BQ49" s="121"/>
      <c r="BR49" s="121"/>
    </row>
    <row r="50" spans="1:83" ht="25.5" customHeight="1" x14ac:dyDescent="0.25">
      <c r="A50" s="31"/>
      <c r="B50" s="32"/>
      <c r="C50" s="33"/>
      <c r="D50" s="34"/>
      <c r="E50" s="35"/>
      <c r="F50" s="31"/>
      <c r="G50" s="32"/>
      <c r="H50" s="33"/>
      <c r="I50" s="34"/>
      <c r="J50" s="35"/>
      <c r="K50" s="31"/>
      <c r="L50" s="32"/>
      <c r="M50" s="33"/>
      <c r="N50" s="34"/>
      <c r="O50" s="35"/>
      <c r="P50" s="31"/>
      <c r="Q50" s="32"/>
      <c r="R50" s="33"/>
      <c r="S50" s="34"/>
      <c r="T50" s="35"/>
      <c r="U50" s="31"/>
      <c r="V50" s="32"/>
      <c r="W50" s="33"/>
      <c r="X50" s="34"/>
      <c r="Y50" s="35"/>
      <c r="Z50" s="31"/>
      <c r="AA50" s="32"/>
      <c r="AB50" s="33"/>
      <c r="AC50" s="34"/>
      <c r="AD50" s="35"/>
      <c r="AE50" s="31"/>
      <c r="AF50" s="32"/>
      <c r="AG50" s="33"/>
      <c r="AH50" s="34"/>
      <c r="AI50" s="35"/>
      <c r="AJ50" s="31"/>
      <c r="AK50" s="32"/>
      <c r="AL50" s="33"/>
      <c r="AM50" s="34"/>
      <c r="AN50" s="35"/>
      <c r="AO50" s="31"/>
      <c r="AP50" s="32"/>
      <c r="AQ50" s="33"/>
      <c r="AR50" s="34"/>
      <c r="AS50" s="35"/>
      <c r="AT50" s="31"/>
      <c r="AU50" s="32"/>
      <c r="AV50" s="33"/>
      <c r="AW50" s="34"/>
      <c r="AX50" s="35"/>
      <c r="AY50" s="31"/>
      <c r="AZ50" s="32"/>
      <c r="BA50" s="33"/>
      <c r="BB50" s="34"/>
      <c r="BC50" s="35"/>
      <c r="BD50" s="31"/>
      <c r="BE50" s="32"/>
      <c r="BF50" s="33"/>
      <c r="BG50" s="34"/>
      <c r="BH50" s="35"/>
      <c r="BI50" s="31"/>
      <c r="BJ50" s="32"/>
      <c r="BK50" s="33"/>
      <c r="BL50" s="34"/>
      <c r="BM50" s="35"/>
      <c r="BN50" s="31"/>
      <c r="BO50" s="32"/>
      <c r="BP50" s="33"/>
      <c r="BQ50" s="34"/>
      <c r="BR50" s="35"/>
      <c r="BW50" s="27"/>
      <c r="BX50" s="27"/>
      <c r="BY50" s="27"/>
      <c r="BZ50" s="27"/>
      <c r="CA50" s="27"/>
      <c r="CB50" s="27"/>
      <c r="CC50" s="27"/>
      <c r="CD50" s="27"/>
      <c r="CE50" s="27"/>
    </row>
    <row r="51" spans="1:83" ht="26.1" hidden="1" customHeight="1" thickTop="1" x14ac:dyDescent="0.25">
      <c r="A51" s="672"/>
      <c r="B51" s="672"/>
      <c r="C51" s="672"/>
      <c r="D51" s="673"/>
      <c r="E51" s="673"/>
      <c r="F51" s="672"/>
      <c r="G51" s="672"/>
      <c r="H51" s="672"/>
      <c r="I51" s="673"/>
      <c r="J51" s="673"/>
      <c r="K51" s="672"/>
      <c r="L51" s="672"/>
      <c r="M51" s="672"/>
      <c r="N51" s="673"/>
      <c r="O51" s="673"/>
      <c r="P51" s="672"/>
      <c r="Q51" s="672"/>
      <c r="R51" s="672"/>
      <c r="S51" s="673"/>
      <c r="T51" s="673"/>
      <c r="U51" s="674"/>
      <c r="V51" s="674"/>
      <c r="W51" s="674"/>
      <c r="X51" s="675"/>
      <c r="Y51" s="675"/>
      <c r="Z51" s="44"/>
      <c r="AA51" s="44"/>
      <c r="AB51" s="44"/>
      <c r="AC51" s="69"/>
      <c r="AD51" s="69"/>
      <c r="AE51" s="44"/>
      <c r="AF51" s="44"/>
      <c r="AG51" s="44"/>
      <c r="AH51" s="69"/>
      <c r="AI51" s="69"/>
      <c r="AJ51" s="44"/>
      <c r="AK51" s="44"/>
      <c r="AL51" s="44"/>
      <c r="AM51" s="69"/>
      <c r="AN51" s="69"/>
      <c r="AO51" s="44"/>
      <c r="AP51" s="44"/>
      <c r="AQ51" s="44"/>
      <c r="AR51" s="69"/>
      <c r="AS51" s="69"/>
      <c r="AT51" s="44"/>
      <c r="AU51" s="44"/>
      <c r="AV51" s="44"/>
      <c r="AW51" s="69"/>
      <c r="AX51" s="69"/>
      <c r="AY51" s="44"/>
      <c r="AZ51" s="44"/>
      <c r="BA51" s="44"/>
      <c r="BB51" s="69"/>
      <c r="BC51" s="69"/>
      <c r="BD51" s="44"/>
      <c r="BE51" s="44"/>
      <c r="BF51" s="44"/>
      <c r="BG51" s="69"/>
      <c r="BH51" s="69"/>
      <c r="BI51" s="674"/>
      <c r="BJ51" s="674"/>
      <c r="BK51" s="674"/>
      <c r="BL51" s="675"/>
      <c r="BM51" s="675"/>
      <c r="BN51" s="674"/>
      <c r="BO51" s="674"/>
      <c r="BP51" s="674"/>
      <c r="BQ51" s="675"/>
      <c r="BR51" s="675"/>
    </row>
    <row r="52" spans="1:83" ht="6.75" hidden="1" customHeight="1" x14ac:dyDescent="0.25">
      <c r="A52" s="676"/>
      <c r="B52" s="676"/>
      <c r="C52" s="676"/>
      <c r="D52" s="29"/>
      <c r="E52" s="29"/>
      <c r="F52" s="676"/>
      <c r="G52" s="676"/>
      <c r="H52" s="676"/>
      <c r="I52" s="29"/>
      <c r="J52" s="29"/>
      <c r="K52" s="676"/>
      <c r="L52" s="676"/>
      <c r="M52" s="676"/>
      <c r="N52" s="29"/>
      <c r="O52" s="29"/>
      <c r="P52" s="676"/>
      <c r="Q52" s="676"/>
      <c r="R52" s="676"/>
      <c r="S52" s="29"/>
      <c r="T52" s="29"/>
      <c r="U52" s="676"/>
      <c r="V52" s="676"/>
      <c r="W52" s="676"/>
      <c r="X52" s="29"/>
      <c r="Y52" s="29"/>
      <c r="Z52" s="47"/>
      <c r="AA52" s="47"/>
      <c r="AB52" s="47"/>
      <c r="AC52" s="29"/>
      <c r="AD52" s="29"/>
      <c r="AE52" s="47"/>
      <c r="AF52" s="47"/>
      <c r="AG52" s="47"/>
      <c r="AH52" s="29"/>
      <c r="AI52" s="29"/>
      <c r="AJ52" s="47"/>
      <c r="AK52" s="47"/>
      <c r="AL52" s="47"/>
      <c r="AM52" s="29"/>
      <c r="AN52" s="29"/>
      <c r="AO52" s="47"/>
      <c r="AP52" s="47"/>
      <c r="AQ52" s="47"/>
      <c r="AR52" s="29"/>
      <c r="AS52" s="29"/>
      <c r="AT52" s="47"/>
      <c r="AU52" s="47"/>
      <c r="AV52" s="47"/>
      <c r="AW52" s="29"/>
      <c r="AX52" s="29"/>
      <c r="AY52" s="47"/>
      <c r="AZ52" s="47"/>
      <c r="BA52" s="47"/>
      <c r="BB52" s="29"/>
      <c r="BC52" s="29"/>
      <c r="BD52" s="47"/>
      <c r="BE52" s="47"/>
      <c r="BF52" s="47"/>
      <c r="BG52" s="29"/>
      <c r="BH52" s="29"/>
      <c r="BI52" s="676"/>
      <c r="BJ52" s="676"/>
      <c r="BK52" s="676"/>
      <c r="BL52" s="29"/>
      <c r="BM52" s="29"/>
      <c r="BN52" s="676"/>
      <c r="BO52" s="676"/>
      <c r="BP52" s="676"/>
      <c r="BQ52" s="29"/>
      <c r="BR52" s="29"/>
    </row>
    <row r="53" spans="1:83" ht="21.95" hidden="1" customHeight="1" x14ac:dyDescent="0.25">
      <c r="A53" s="676"/>
      <c r="B53" s="676"/>
      <c r="C53" s="676"/>
      <c r="D53" s="30"/>
      <c r="E53" s="29"/>
      <c r="F53" s="676"/>
      <c r="G53" s="676"/>
      <c r="H53" s="676"/>
      <c r="I53" s="30"/>
      <c r="J53" s="29"/>
      <c r="K53" s="676"/>
      <c r="L53" s="676"/>
      <c r="M53" s="676"/>
      <c r="N53" s="30"/>
      <c r="O53" s="29"/>
      <c r="P53" s="676"/>
      <c r="Q53" s="676"/>
      <c r="R53" s="676"/>
      <c r="S53" s="30"/>
      <c r="T53" s="29"/>
      <c r="U53" s="676"/>
      <c r="V53" s="676"/>
      <c r="W53" s="676"/>
      <c r="X53" s="30"/>
      <c r="Y53" s="29"/>
      <c r="Z53" s="47"/>
      <c r="AA53" s="47"/>
      <c r="AB53" s="47"/>
      <c r="AC53" s="30"/>
      <c r="AD53" s="29"/>
      <c r="AE53" s="47"/>
      <c r="AF53" s="47"/>
      <c r="AG53" s="47"/>
      <c r="AH53" s="30"/>
      <c r="AI53" s="29"/>
      <c r="AJ53" s="47"/>
      <c r="AK53" s="47"/>
      <c r="AL53" s="47"/>
      <c r="AM53" s="30"/>
      <c r="AN53" s="29"/>
      <c r="AO53" s="47"/>
      <c r="AP53" s="47"/>
      <c r="AQ53" s="47"/>
      <c r="AR53" s="30"/>
      <c r="AS53" s="29"/>
      <c r="AT53" s="47"/>
      <c r="AU53" s="47"/>
      <c r="AV53" s="47"/>
      <c r="AW53" s="30"/>
      <c r="AX53" s="29"/>
      <c r="AY53" s="47"/>
      <c r="AZ53" s="47"/>
      <c r="BA53" s="47"/>
      <c r="BB53" s="30"/>
      <c r="BC53" s="29"/>
      <c r="BD53" s="47"/>
      <c r="BE53" s="47"/>
      <c r="BF53" s="47"/>
      <c r="BG53" s="30"/>
      <c r="BH53" s="29"/>
      <c r="BI53" s="676"/>
      <c r="BJ53" s="676"/>
      <c r="BK53" s="676"/>
      <c r="BL53" s="30"/>
      <c r="BM53" s="29"/>
      <c r="BN53" s="676"/>
      <c r="BO53" s="676"/>
      <c r="BP53" s="676"/>
      <c r="BQ53" s="30"/>
      <c r="BR53" s="29"/>
    </row>
    <row r="54" spans="1:83" ht="6" hidden="1" customHeight="1" x14ac:dyDescent="0.25">
      <c r="A54" s="676"/>
      <c r="B54" s="676"/>
      <c r="C54" s="676"/>
      <c r="D54" s="675"/>
      <c r="E54" s="675"/>
      <c r="F54" s="676"/>
      <c r="G54" s="676"/>
      <c r="H54" s="676"/>
      <c r="I54" s="675"/>
      <c r="J54" s="675"/>
      <c r="K54" s="676"/>
      <c r="L54" s="676"/>
      <c r="M54" s="676"/>
      <c r="N54" s="675"/>
      <c r="O54" s="675"/>
      <c r="P54" s="676"/>
      <c r="Q54" s="676"/>
      <c r="R54" s="676"/>
      <c r="S54" s="675"/>
      <c r="T54" s="675"/>
      <c r="U54" s="676"/>
      <c r="V54" s="676"/>
      <c r="W54" s="676"/>
      <c r="X54" s="675"/>
      <c r="Y54" s="675"/>
      <c r="Z54" s="47"/>
      <c r="AA54" s="47"/>
      <c r="AB54" s="47"/>
      <c r="AC54" s="69"/>
      <c r="AD54" s="69"/>
      <c r="AE54" s="47"/>
      <c r="AF54" s="47"/>
      <c r="AG54" s="47"/>
      <c r="AH54" s="69"/>
      <c r="AI54" s="69"/>
      <c r="AJ54" s="47"/>
      <c r="AK54" s="47"/>
      <c r="AL54" s="47"/>
      <c r="AM54" s="69"/>
      <c r="AN54" s="69"/>
      <c r="AO54" s="47"/>
      <c r="AP54" s="47"/>
      <c r="AQ54" s="47"/>
      <c r="AR54" s="69"/>
      <c r="AS54" s="69"/>
      <c r="AT54" s="47"/>
      <c r="AU54" s="47"/>
      <c r="AV54" s="47"/>
      <c r="AW54" s="69"/>
      <c r="AX54" s="69"/>
      <c r="AY54" s="47"/>
      <c r="AZ54" s="47"/>
      <c r="BA54" s="47"/>
      <c r="BB54" s="69"/>
      <c r="BC54" s="69"/>
      <c r="BD54" s="47"/>
      <c r="BE54" s="47"/>
      <c r="BF54" s="47"/>
      <c r="BG54" s="69"/>
      <c r="BH54" s="69"/>
      <c r="BI54" s="676"/>
      <c r="BJ54" s="676"/>
      <c r="BK54" s="676"/>
      <c r="BL54" s="675"/>
      <c r="BM54" s="675"/>
      <c r="BN54" s="676"/>
      <c r="BO54" s="676"/>
      <c r="BP54" s="676"/>
      <c r="BQ54" s="675"/>
      <c r="BR54" s="675"/>
    </row>
    <row r="55" spans="1:83" ht="59.25" hidden="1" customHeight="1" thickBot="1" x14ac:dyDescent="0.3">
      <c r="A55" s="677"/>
      <c r="B55" s="678"/>
      <c r="C55" s="678"/>
      <c r="D55" s="678"/>
      <c r="E55" s="678"/>
      <c r="F55" s="677"/>
      <c r="G55" s="678"/>
      <c r="H55" s="678"/>
      <c r="I55" s="678"/>
      <c r="J55" s="678"/>
      <c r="K55" s="677"/>
      <c r="L55" s="678"/>
      <c r="M55" s="678"/>
      <c r="N55" s="678"/>
      <c r="O55" s="678"/>
      <c r="P55" s="677"/>
      <c r="Q55" s="678"/>
      <c r="R55" s="678"/>
      <c r="S55" s="678"/>
      <c r="T55" s="678"/>
      <c r="U55" s="677"/>
      <c r="V55" s="678"/>
      <c r="W55" s="678"/>
      <c r="X55" s="678"/>
      <c r="Y55" s="678"/>
      <c r="Z55" s="70"/>
      <c r="AA55" s="71"/>
      <c r="AB55" s="71"/>
      <c r="AC55" s="71"/>
      <c r="AD55" s="71"/>
      <c r="AE55" s="70"/>
      <c r="AF55" s="71"/>
      <c r="AG55" s="71"/>
      <c r="AH55" s="71"/>
      <c r="AI55" s="71"/>
      <c r="AJ55" s="70"/>
      <c r="AK55" s="71"/>
      <c r="AL55" s="71"/>
      <c r="AM55" s="71"/>
      <c r="AN55" s="71"/>
      <c r="AO55" s="70"/>
      <c r="AP55" s="71"/>
      <c r="AQ55" s="71"/>
      <c r="AR55" s="71"/>
      <c r="AS55" s="71"/>
      <c r="AT55" s="70"/>
      <c r="AU55" s="71"/>
      <c r="AV55" s="71"/>
      <c r="AW55" s="71"/>
      <c r="AX55" s="71"/>
      <c r="AY55" s="70"/>
      <c r="AZ55" s="71"/>
      <c r="BA55" s="71"/>
      <c r="BB55" s="71"/>
      <c r="BC55" s="71"/>
      <c r="BD55" s="70"/>
      <c r="BE55" s="71"/>
      <c r="BF55" s="71"/>
      <c r="BG55" s="71"/>
      <c r="BH55" s="71"/>
      <c r="BI55" s="677"/>
      <c r="BJ55" s="678"/>
      <c r="BK55" s="678"/>
      <c r="BL55" s="678"/>
      <c r="BM55" s="678"/>
      <c r="BN55" s="677"/>
      <c r="BO55" s="678"/>
      <c r="BP55" s="678"/>
      <c r="BQ55" s="678"/>
      <c r="BR55" s="678"/>
    </row>
    <row r="56" spans="1:83" ht="27" hidden="1" customHeight="1" thickBot="1" x14ac:dyDescent="0.3">
      <c r="A56" s="677"/>
      <c r="B56" s="32"/>
      <c r="C56" s="33"/>
      <c r="D56" s="34"/>
      <c r="E56" s="35"/>
      <c r="F56" s="677"/>
      <c r="G56" s="32"/>
      <c r="H56" s="33"/>
      <c r="I56" s="34"/>
      <c r="J56" s="35"/>
      <c r="K56" s="677"/>
      <c r="L56" s="32"/>
      <c r="M56" s="33"/>
      <c r="N56" s="34"/>
      <c r="O56" s="35"/>
      <c r="P56" s="677"/>
      <c r="Q56" s="32"/>
      <c r="R56" s="33"/>
      <c r="S56" s="34"/>
      <c r="T56" s="35"/>
      <c r="U56" s="677"/>
      <c r="V56" s="32"/>
      <c r="W56" s="33"/>
      <c r="X56" s="34"/>
      <c r="Y56" s="35"/>
      <c r="Z56" s="70"/>
      <c r="AA56" s="32"/>
      <c r="AB56" s="33"/>
      <c r="AC56" s="34"/>
      <c r="AD56" s="35"/>
      <c r="AE56" s="70"/>
      <c r="AF56" s="32"/>
      <c r="AG56" s="33"/>
      <c r="AH56" s="34"/>
      <c r="AI56" s="35"/>
      <c r="AJ56" s="70"/>
      <c r="AK56" s="32"/>
      <c r="AL56" s="33"/>
      <c r="AM56" s="34"/>
      <c r="AN56" s="35"/>
      <c r="AO56" s="70"/>
      <c r="AP56" s="32"/>
      <c r="AQ56" s="33"/>
      <c r="AR56" s="34"/>
      <c r="AS56" s="35"/>
      <c r="AT56" s="70"/>
      <c r="AU56" s="32"/>
      <c r="AV56" s="33"/>
      <c r="AW56" s="34"/>
      <c r="AX56" s="35"/>
      <c r="AY56" s="70"/>
      <c r="AZ56" s="32"/>
      <c r="BA56" s="33"/>
      <c r="BB56" s="34"/>
      <c r="BC56" s="35"/>
      <c r="BD56" s="70"/>
      <c r="BE56" s="32"/>
      <c r="BF56" s="33"/>
      <c r="BG56" s="34"/>
      <c r="BH56" s="35"/>
      <c r="BI56" s="677"/>
      <c r="BJ56" s="32"/>
      <c r="BK56" s="33"/>
      <c r="BL56" s="34"/>
      <c r="BM56" s="35"/>
      <c r="BN56" s="677"/>
      <c r="BO56" s="32"/>
      <c r="BP56" s="33"/>
      <c r="BQ56" s="34"/>
      <c r="BR56" s="35"/>
      <c r="BW56" s="27"/>
      <c r="BX56" s="27"/>
      <c r="BY56" s="27"/>
      <c r="BZ56" s="27"/>
      <c r="CA56" s="27"/>
      <c r="CB56" s="27"/>
      <c r="CC56" s="27"/>
      <c r="CD56" s="27"/>
      <c r="CE56" s="27"/>
    </row>
    <row r="57" spans="1:83" ht="26.1" hidden="1" customHeight="1" x14ac:dyDescent="0.25">
      <c r="A57" s="674"/>
      <c r="B57" s="674"/>
      <c r="C57" s="674"/>
      <c r="D57" s="675"/>
      <c r="E57" s="675"/>
      <c r="F57" s="674"/>
      <c r="G57" s="674"/>
      <c r="H57" s="674"/>
      <c r="I57" s="675"/>
      <c r="J57" s="675"/>
      <c r="K57" s="674"/>
      <c r="L57" s="674"/>
      <c r="M57" s="674"/>
      <c r="N57" s="675"/>
      <c r="O57" s="675"/>
      <c r="P57" s="674"/>
      <c r="Q57" s="674"/>
      <c r="R57" s="674"/>
      <c r="S57" s="675"/>
      <c r="T57" s="675"/>
      <c r="U57" s="674"/>
      <c r="V57" s="674"/>
      <c r="W57" s="674"/>
      <c r="X57" s="675"/>
      <c r="Y57" s="675"/>
      <c r="Z57" s="44"/>
      <c r="AA57" s="44"/>
      <c r="AB57" s="44"/>
      <c r="AC57" s="69"/>
      <c r="AD57" s="69"/>
      <c r="AE57" s="44"/>
      <c r="AF57" s="44"/>
      <c r="AG57" s="44"/>
      <c r="AH57" s="69"/>
      <c r="AI57" s="69"/>
      <c r="AJ57" s="44"/>
      <c r="AK57" s="44"/>
      <c r="AL57" s="44"/>
      <c r="AM57" s="69"/>
      <c r="AN57" s="69"/>
      <c r="AO57" s="44"/>
      <c r="AP57" s="44"/>
      <c r="AQ57" s="44"/>
      <c r="AR57" s="69"/>
      <c r="AS57" s="69"/>
      <c r="AT57" s="44"/>
      <c r="AU57" s="44"/>
      <c r="AV57" s="44"/>
      <c r="AW57" s="69"/>
      <c r="AX57" s="69"/>
      <c r="AY57" s="44"/>
      <c r="AZ57" s="44"/>
      <c r="BA57" s="44"/>
      <c r="BB57" s="69"/>
      <c r="BC57" s="69"/>
      <c r="BD57" s="44"/>
      <c r="BE57" s="44"/>
      <c r="BF57" s="44"/>
      <c r="BG57" s="69"/>
      <c r="BH57" s="69"/>
      <c r="BI57" s="674"/>
      <c r="BJ57" s="674"/>
      <c r="BK57" s="674"/>
      <c r="BL57" s="675"/>
      <c r="BM57" s="675"/>
      <c r="BN57" s="674"/>
      <c r="BO57" s="674"/>
      <c r="BP57" s="674"/>
      <c r="BQ57" s="675"/>
      <c r="BR57" s="675"/>
    </row>
    <row r="58" spans="1:83" ht="6.75" hidden="1" customHeight="1" x14ac:dyDescent="0.25">
      <c r="A58" s="676"/>
      <c r="B58" s="676"/>
      <c r="C58" s="676"/>
      <c r="D58" s="29"/>
      <c r="E58" s="29"/>
      <c r="F58" s="676"/>
      <c r="G58" s="676"/>
      <c r="H58" s="676"/>
      <c r="I58" s="29"/>
      <c r="J58" s="29"/>
      <c r="K58" s="676"/>
      <c r="L58" s="676"/>
      <c r="M58" s="676"/>
      <c r="N58" s="29"/>
      <c r="O58" s="29"/>
      <c r="P58" s="676"/>
      <c r="Q58" s="676"/>
      <c r="R58" s="676"/>
      <c r="S58" s="29"/>
      <c r="T58" s="29"/>
      <c r="U58" s="676"/>
      <c r="V58" s="676"/>
      <c r="W58" s="676"/>
      <c r="X58" s="29"/>
      <c r="Y58" s="29"/>
      <c r="Z58" s="47"/>
      <c r="AA58" s="47"/>
      <c r="AB58" s="47"/>
      <c r="AC58" s="29"/>
      <c r="AD58" s="29"/>
      <c r="AE58" s="47"/>
      <c r="AF58" s="47"/>
      <c r="AG58" s="47"/>
      <c r="AH58" s="29"/>
      <c r="AI58" s="29"/>
      <c r="AJ58" s="47"/>
      <c r="AK58" s="47"/>
      <c r="AL58" s="47"/>
      <c r="AM58" s="29"/>
      <c r="AN58" s="29"/>
      <c r="AO58" s="47"/>
      <c r="AP58" s="47"/>
      <c r="AQ58" s="47"/>
      <c r="AR58" s="29"/>
      <c r="AS58" s="29"/>
      <c r="AT58" s="47"/>
      <c r="AU58" s="47"/>
      <c r="AV58" s="47"/>
      <c r="AW58" s="29"/>
      <c r="AX58" s="29"/>
      <c r="AY58" s="47"/>
      <c r="AZ58" s="47"/>
      <c r="BA58" s="47"/>
      <c r="BB58" s="29"/>
      <c r="BC58" s="29"/>
      <c r="BD58" s="47"/>
      <c r="BE58" s="47"/>
      <c r="BF58" s="47"/>
      <c r="BG58" s="29"/>
      <c r="BH58" s="29"/>
      <c r="BI58" s="676"/>
      <c r="BJ58" s="676"/>
      <c r="BK58" s="676"/>
      <c r="BL58" s="29"/>
      <c r="BM58" s="29"/>
      <c r="BN58" s="676"/>
      <c r="BO58" s="676"/>
      <c r="BP58" s="676"/>
      <c r="BQ58" s="29"/>
      <c r="BR58" s="29"/>
    </row>
    <row r="59" spans="1:83" ht="21.95" hidden="1" customHeight="1" x14ac:dyDescent="0.25">
      <c r="A59" s="676"/>
      <c r="B59" s="676"/>
      <c r="C59" s="676"/>
      <c r="D59" s="30"/>
      <c r="E59" s="29"/>
      <c r="F59" s="676"/>
      <c r="G59" s="676"/>
      <c r="H59" s="676"/>
      <c r="I59" s="30"/>
      <c r="J59" s="29"/>
      <c r="K59" s="676"/>
      <c r="L59" s="676"/>
      <c r="M59" s="676"/>
      <c r="N59" s="30"/>
      <c r="O59" s="29"/>
      <c r="P59" s="676"/>
      <c r="Q59" s="676"/>
      <c r="R59" s="676"/>
      <c r="S59" s="30"/>
      <c r="T59" s="29"/>
      <c r="U59" s="676"/>
      <c r="V59" s="676"/>
      <c r="W59" s="676"/>
      <c r="X59" s="30"/>
      <c r="Y59" s="29"/>
      <c r="Z59" s="47"/>
      <c r="AA59" s="47"/>
      <c r="AB59" s="47"/>
      <c r="AC59" s="30"/>
      <c r="AD59" s="29"/>
      <c r="AE59" s="47"/>
      <c r="AF59" s="47"/>
      <c r="AG59" s="47"/>
      <c r="AH59" s="30"/>
      <c r="AI59" s="29"/>
      <c r="AJ59" s="47"/>
      <c r="AK59" s="47"/>
      <c r="AL59" s="47"/>
      <c r="AM59" s="30"/>
      <c r="AN59" s="29"/>
      <c r="AO59" s="47"/>
      <c r="AP59" s="47"/>
      <c r="AQ59" s="47"/>
      <c r="AR59" s="30"/>
      <c r="AS59" s="29"/>
      <c r="AT59" s="47"/>
      <c r="AU59" s="47"/>
      <c r="AV59" s="47"/>
      <c r="AW59" s="30"/>
      <c r="AX59" s="29"/>
      <c r="AY59" s="47"/>
      <c r="AZ59" s="47"/>
      <c r="BA59" s="47"/>
      <c r="BB59" s="30"/>
      <c r="BC59" s="29"/>
      <c r="BD59" s="47"/>
      <c r="BE59" s="47"/>
      <c r="BF59" s="47"/>
      <c r="BG59" s="30"/>
      <c r="BH59" s="29"/>
      <c r="BI59" s="676"/>
      <c r="BJ59" s="676"/>
      <c r="BK59" s="676"/>
      <c r="BL59" s="30"/>
      <c r="BM59" s="29"/>
      <c r="BN59" s="676"/>
      <c r="BO59" s="676"/>
      <c r="BP59" s="676"/>
      <c r="BQ59" s="30"/>
      <c r="BR59" s="29"/>
    </row>
    <row r="60" spans="1:83" ht="6" hidden="1" customHeight="1" x14ac:dyDescent="0.25">
      <c r="A60" s="676"/>
      <c r="B60" s="676"/>
      <c r="C60" s="676"/>
      <c r="D60" s="675"/>
      <c r="E60" s="675"/>
      <c r="F60" s="676"/>
      <c r="G60" s="676"/>
      <c r="H60" s="676"/>
      <c r="I60" s="675"/>
      <c r="J60" s="675"/>
      <c r="K60" s="676"/>
      <c r="L60" s="676"/>
      <c r="M60" s="676"/>
      <c r="N60" s="675"/>
      <c r="O60" s="675"/>
      <c r="P60" s="676"/>
      <c r="Q60" s="676"/>
      <c r="R60" s="676"/>
      <c r="S60" s="675"/>
      <c r="T60" s="675"/>
      <c r="U60" s="676"/>
      <c r="V60" s="676"/>
      <c r="W60" s="676"/>
      <c r="X60" s="675"/>
      <c r="Y60" s="675"/>
      <c r="Z60" s="47"/>
      <c r="AA60" s="47"/>
      <c r="AB60" s="47"/>
      <c r="AC60" s="69"/>
      <c r="AD60" s="69"/>
      <c r="AE60" s="47"/>
      <c r="AF60" s="47"/>
      <c r="AG60" s="47"/>
      <c r="AH60" s="69"/>
      <c r="AI60" s="69"/>
      <c r="AJ60" s="47"/>
      <c r="AK60" s="47"/>
      <c r="AL60" s="47"/>
      <c r="AM60" s="69"/>
      <c r="AN60" s="69"/>
      <c r="AO60" s="47"/>
      <c r="AP60" s="47"/>
      <c r="AQ60" s="47"/>
      <c r="AR60" s="69"/>
      <c r="AS60" s="69"/>
      <c r="AT60" s="47"/>
      <c r="AU60" s="47"/>
      <c r="AV60" s="47"/>
      <c r="AW60" s="69"/>
      <c r="AX60" s="69"/>
      <c r="AY60" s="47"/>
      <c r="AZ60" s="47"/>
      <c r="BA60" s="47"/>
      <c r="BB60" s="69"/>
      <c r="BC60" s="69"/>
      <c r="BD60" s="47"/>
      <c r="BE60" s="47"/>
      <c r="BF60" s="47"/>
      <c r="BG60" s="69"/>
      <c r="BH60" s="69"/>
      <c r="BI60" s="676"/>
      <c r="BJ60" s="676"/>
      <c r="BK60" s="676"/>
      <c r="BL60" s="675"/>
      <c r="BM60" s="675"/>
      <c r="BN60" s="676"/>
      <c r="BO60" s="676"/>
      <c r="BP60" s="676"/>
      <c r="BQ60" s="675"/>
      <c r="BR60" s="675"/>
    </row>
    <row r="61" spans="1:83" ht="59.25" hidden="1" customHeight="1" thickBot="1" x14ac:dyDescent="0.3">
      <c r="A61" s="677"/>
      <c r="B61" s="678"/>
      <c r="C61" s="678"/>
      <c r="D61" s="678"/>
      <c r="E61" s="678"/>
      <c r="F61" s="677"/>
      <c r="G61" s="678"/>
      <c r="H61" s="678"/>
      <c r="I61" s="678"/>
      <c r="J61" s="678"/>
      <c r="K61" s="677"/>
      <c r="L61" s="678"/>
      <c r="M61" s="678"/>
      <c r="N61" s="678"/>
      <c r="O61" s="678"/>
      <c r="P61" s="677"/>
      <c r="Q61" s="678"/>
      <c r="R61" s="678"/>
      <c r="S61" s="678"/>
      <c r="T61" s="678"/>
      <c r="U61" s="677"/>
      <c r="V61" s="678"/>
      <c r="W61" s="678"/>
      <c r="X61" s="678"/>
      <c r="Y61" s="678"/>
      <c r="Z61" s="70"/>
      <c r="AA61" s="71"/>
      <c r="AB61" s="71"/>
      <c r="AC61" s="71"/>
      <c r="AD61" s="71"/>
      <c r="AE61" s="70"/>
      <c r="AF61" s="71"/>
      <c r="AG61" s="71"/>
      <c r="AH61" s="71"/>
      <c r="AI61" s="71"/>
      <c r="AJ61" s="70"/>
      <c r="AK61" s="71"/>
      <c r="AL61" s="71"/>
      <c r="AM61" s="71"/>
      <c r="AN61" s="71"/>
      <c r="AO61" s="70"/>
      <c r="AP61" s="71"/>
      <c r="AQ61" s="71"/>
      <c r="AR61" s="71"/>
      <c r="AS61" s="71"/>
      <c r="AT61" s="70"/>
      <c r="AU61" s="71"/>
      <c r="AV61" s="71"/>
      <c r="AW61" s="71"/>
      <c r="AX61" s="71"/>
      <c r="AY61" s="70"/>
      <c r="AZ61" s="71"/>
      <c r="BA61" s="71"/>
      <c r="BB61" s="71"/>
      <c r="BC61" s="71"/>
      <c r="BD61" s="70"/>
      <c r="BE61" s="71"/>
      <c r="BF61" s="71"/>
      <c r="BG61" s="71"/>
      <c r="BH61" s="71"/>
      <c r="BI61" s="677"/>
      <c r="BJ61" s="678"/>
      <c r="BK61" s="678"/>
      <c r="BL61" s="678"/>
      <c r="BM61" s="678"/>
      <c r="BN61" s="677"/>
      <c r="BO61" s="678"/>
      <c r="BP61" s="678"/>
      <c r="BQ61" s="678"/>
      <c r="BR61" s="678"/>
    </row>
    <row r="62" spans="1:83" ht="27" hidden="1" customHeight="1" thickBot="1" x14ac:dyDescent="0.3">
      <c r="A62" s="677"/>
      <c r="B62" s="32"/>
      <c r="C62" s="33"/>
      <c r="D62" s="34"/>
      <c r="E62" s="35"/>
      <c r="F62" s="677"/>
      <c r="G62" s="32"/>
      <c r="H62" s="33"/>
      <c r="I62" s="34"/>
      <c r="J62" s="35"/>
      <c r="K62" s="677"/>
      <c r="L62" s="32"/>
      <c r="M62" s="33"/>
      <c r="N62" s="34"/>
      <c r="O62" s="35"/>
      <c r="P62" s="677"/>
      <c r="Q62" s="32"/>
      <c r="R62" s="33"/>
      <c r="S62" s="34"/>
      <c r="T62" s="35"/>
      <c r="U62" s="677"/>
      <c r="V62" s="32"/>
      <c r="W62" s="33"/>
      <c r="X62" s="34"/>
      <c r="Y62" s="35"/>
      <c r="Z62" s="70"/>
      <c r="AA62" s="32"/>
      <c r="AB62" s="33"/>
      <c r="AC62" s="34"/>
      <c r="AD62" s="35"/>
      <c r="AE62" s="70"/>
      <c r="AF62" s="32"/>
      <c r="AG62" s="33"/>
      <c r="AH62" s="34"/>
      <c r="AI62" s="35"/>
      <c r="AJ62" s="70"/>
      <c r="AK62" s="32"/>
      <c r="AL62" s="33"/>
      <c r="AM62" s="34"/>
      <c r="AN62" s="35"/>
      <c r="AO62" s="70"/>
      <c r="AP62" s="32"/>
      <c r="AQ62" s="33"/>
      <c r="AR62" s="34"/>
      <c r="AS62" s="35"/>
      <c r="AT62" s="70"/>
      <c r="AU62" s="32"/>
      <c r="AV62" s="33"/>
      <c r="AW62" s="34"/>
      <c r="AX62" s="35"/>
      <c r="AY62" s="70"/>
      <c r="AZ62" s="32"/>
      <c r="BA62" s="33"/>
      <c r="BB62" s="34"/>
      <c r="BC62" s="35"/>
      <c r="BD62" s="70"/>
      <c r="BE62" s="32"/>
      <c r="BF62" s="33"/>
      <c r="BG62" s="34"/>
      <c r="BH62" s="35"/>
      <c r="BI62" s="677"/>
      <c r="BJ62" s="32"/>
      <c r="BK62" s="33"/>
      <c r="BL62" s="34"/>
      <c r="BM62" s="35"/>
      <c r="BN62" s="677"/>
      <c r="BO62" s="32"/>
      <c r="BP62" s="33"/>
      <c r="BQ62" s="34"/>
      <c r="BR62" s="35"/>
      <c r="BW62" s="27"/>
      <c r="BX62" s="27"/>
      <c r="BY62" s="27"/>
      <c r="BZ62" s="27"/>
      <c r="CA62" s="27"/>
      <c r="CB62" s="27"/>
      <c r="CC62" s="27"/>
      <c r="CD62" s="27"/>
      <c r="CE62" s="27"/>
    </row>
    <row r="63" spans="1:83" s="42" customFormat="1" ht="30" hidden="1" customHeight="1" thickTop="1" x14ac:dyDescent="0.25">
      <c r="A63" s="37"/>
      <c r="B63" s="38"/>
      <c r="C63" s="39"/>
      <c r="D63" s="40"/>
      <c r="E63" s="41"/>
      <c r="F63" s="37"/>
      <c r="G63" s="38"/>
      <c r="H63" s="39"/>
      <c r="I63" s="40"/>
      <c r="J63" s="41"/>
      <c r="K63" s="37"/>
      <c r="L63" s="38"/>
      <c r="M63" s="39"/>
      <c r="N63" s="40"/>
      <c r="O63" s="41"/>
      <c r="P63" s="37"/>
      <c r="Q63" s="38"/>
      <c r="R63" s="39"/>
      <c r="S63" s="40"/>
      <c r="T63" s="41"/>
      <c r="U63" s="37"/>
      <c r="V63" s="38"/>
      <c r="W63" s="38"/>
      <c r="X63" s="39"/>
      <c r="Y63" s="40"/>
      <c r="Z63" s="41"/>
      <c r="AA63" s="37"/>
      <c r="AB63" s="38"/>
      <c r="AC63" s="39"/>
      <c r="AD63" s="40"/>
      <c r="AE63" s="41"/>
      <c r="AF63" s="38"/>
      <c r="AG63" s="39"/>
      <c r="AH63" s="40"/>
      <c r="AI63" s="41"/>
      <c r="AJ63" s="37"/>
      <c r="AK63" s="38"/>
      <c r="AL63" s="39"/>
      <c r="AM63" s="40"/>
      <c r="AN63" s="41"/>
      <c r="AO63" s="38"/>
      <c r="AP63" s="39"/>
      <c r="AQ63" s="40"/>
      <c r="AR63" s="41"/>
      <c r="AS63" s="37"/>
      <c r="AT63" s="38"/>
      <c r="AU63" s="39"/>
      <c r="AV63" s="40"/>
      <c r="AW63" s="41"/>
      <c r="AX63" s="38"/>
      <c r="AY63" s="39"/>
      <c r="AZ63" s="40"/>
      <c r="BA63" s="41"/>
      <c r="BB63" s="37"/>
      <c r="BC63" s="38"/>
      <c r="BD63" s="39"/>
      <c r="BE63" s="40"/>
      <c r="BF63" s="41"/>
      <c r="BG63" s="38"/>
      <c r="BH63" s="39"/>
      <c r="BI63" s="40"/>
      <c r="BJ63" s="41"/>
      <c r="BK63" s="37"/>
      <c r="BL63" s="38"/>
      <c r="BM63" s="39"/>
      <c r="BN63" s="40"/>
      <c r="BO63" s="41"/>
      <c r="BP63" s="38"/>
      <c r="BQ63" s="39"/>
      <c r="BR63" s="40"/>
      <c r="BW63" s="43"/>
      <c r="BX63" s="43"/>
      <c r="BY63" s="43"/>
      <c r="BZ63" s="43"/>
      <c r="CA63" s="43"/>
      <c r="CB63" s="43"/>
      <c r="CC63" s="43"/>
      <c r="CD63" s="43"/>
      <c r="CE63" s="43"/>
    </row>
    <row r="64" spans="1:83" ht="21.95" hidden="1" customHeight="1" x14ac:dyDescent="0.25">
      <c r="A64" s="674"/>
      <c r="B64" s="674"/>
      <c r="C64" s="674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45"/>
      <c r="BD64" s="45"/>
      <c r="BE64" s="45"/>
      <c r="BF64" s="45"/>
      <c r="BG64" s="45"/>
      <c r="BH64" s="45"/>
      <c r="BI64" s="45"/>
      <c r="BJ64" s="45"/>
      <c r="BK64" s="45"/>
      <c r="BL64" s="45"/>
      <c r="BM64" s="45"/>
      <c r="BN64" s="45"/>
      <c r="BO64" s="45"/>
      <c r="BP64" s="45"/>
      <c r="BQ64" s="45"/>
      <c r="BR64" s="45"/>
    </row>
    <row r="65" spans="1:90" ht="6.75" customHeight="1" x14ac:dyDescent="0.25">
      <c r="A65" s="676"/>
      <c r="B65" s="676"/>
      <c r="C65" s="676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5"/>
      <c r="AW65" s="45"/>
      <c r="AX65" s="45"/>
      <c r="AY65" s="45"/>
      <c r="AZ65" s="45"/>
      <c r="BA65" s="45"/>
      <c r="BB65" s="45"/>
      <c r="BC65" s="45"/>
      <c r="BD65" s="45"/>
      <c r="BE65" s="45"/>
      <c r="BF65" s="45"/>
      <c r="BG65" s="45"/>
      <c r="BH65" s="45"/>
      <c r="BI65" s="45"/>
      <c r="BJ65" s="45"/>
      <c r="BK65" s="45"/>
      <c r="BL65" s="45"/>
      <c r="BM65" s="45"/>
      <c r="BN65" s="45"/>
      <c r="BO65" s="45"/>
      <c r="BP65" s="45"/>
      <c r="BQ65" s="45"/>
      <c r="BR65" s="45"/>
    </row>
    <row r="66" spans="1:90" ht="37.5" hidden="1" customHeight="1" x14ac:dyDescent="0.25">
      <c r="A66" s="676"/>
      <c r="B66" s="676"/>
      <c r="C66" s="676"/>
      <c r="D66" s="49"/>
      <c r="E66" s="49"/>
      <c r="F66" s="49"/>
      <c r="G66" s="49"/>
      <c r="H66" s="49"/>
      <c r="I66" s="49"/>
      <c r="J66" s="49"/>
      <c r="K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5"/>
      <c r="BF66" s="45"/>
      <c r="BG66" s="45"/>
      <c r="BH66" s="45"/>
      <c r="BI66" s="45"/>
      <c r="BJ66" s="45"/>
      <c r="BK66" s="45"/>
      <c r="BL66" s="45"/>
      <c r="BM66" s="45"/>
      <c r="BN66" s="45"/>
      <c r="BO66" s="45"/>
      <c r="BP66" s="45"/>
      <c r="BQ66" s="45"/>
      <c r="BR66" s="45"/>
    </row>
    <row r="67" spans="1:90" ht="6" hidden="1" customHeight="1" x14ac:dyDescent="0.25">
      <c r="A67" s="676"/>
      <c r="B67" s="676"/>
      <c r="C67" s="676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  <c r="AT67" s="45"/>
      <c r="AU67" s="45"/>
      <c r="AV67" s="45"/>
      <c r="AW67" s="45"/>
      <c r="AX67" s="45"/>
      <c r="AY67" s="45"/>
      <c r="AZ67" s="45"/>
      <c r="BA67" s="45"/>
      <c r="BB67" s="45"/>
      <c r="BC67" s="45"/>
      <c r="BD67" s="45"/>
      <c r="BE67" s="45"/>
      <c r="BF67" s="45"/>
      <c r="BG67" s="45"/>
      <c r="BH67" s="45"/>
      <c r="BI67" s="45"/>
      <c r="BJ67" s="45"/>
      <c r="BK67" s="45"/>
      <c r="BL67" s="45"/>
      <c r="BM67" s="45"/>
      <c r="BN67" s="45"/>
      <c r="BO67" s="45"/>
      <c r="BP67" s="45"/>
      <c r="BQ67" s="45"/>
      <c r="BR67" s="45"/>
    </row>
    <row r="68" spans="1:90" ht="30" hidden="1" customHeight="1" x14ac:dyDescent="0.25">
      <c r="B68" s="17"/>
      <c r="D68" s="45"/>
      <c r="E68" s="45"/>
      <c r="F68" s="45"/>
      <c r="G68" s="45"/>
      <c r="H68" s="45"/>
      <c r="I68" s="45"/>
      <c r="J68" s="45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49"/>
      <c r="BC68" s="49"/>
      <c r="BD68" s="49"/>
      <c r="BE68" s="49"/>
      <c r="BF68" s="49"/>
      <c r="BG68" s="49"/>
      <c r="BH68" s="49"/>
      <c r="BI68" s="49"/>
      <c r="BJ68" s="49"/>
      <c r="BK68" s="49"/>
      <c r="BL68" s="49"/>
      <c r="BM68" s="49"/>
      <c r="BN68" s="49"/>
      <c r="BO68" s="49"/>
      <c r="BP68" s="49"/>
      <c r="BQ68" s="49"/>
      <c r="BR68" s="49"/>
      <c r="BS68" s="50"/>
      <c r="BT68" s="50"/>
      <c r="BW68" s="51"/>
      <c r="BX68" s="51"/>
      <c r="BY68" s="51"/>
      <c r="BZ68" s="51"/>
      <c r="CA68" s="51"/>
      <c r="CB68" s="51"/>
      <c r="CC68" s="27"/>
      <c r="CD68" s="27"/>
      <c r="CE68" s="27"/>
      <c r="CG68" s="27"/>
      <c r="CH68" s="27"/>
      <c r="CI68" s="27"/>
      <c r="CJ68" s="27"/>
      <c r="CK68" s="27"/>
      <c r="CL68" s="27"/>
    </row>
    <row r="69" spans="1:90" ht="34.5" hidden="1" customHeight="1" x14ac:dyDescent="0.25"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5"/>
      <c r="AW69" s="45"/>
      <c r="AX69" s="45"/>
      <c r="AY69" s="45"/>
      <c r="AZ69" s="45"/>
      <c r="BA69" s="45"/>
      <c r="BB69" s="45"/>
      <c r="BC69" s="45"/>
      <c r="BD69" s="45"/>
      <c r="BE69" s="45"/>
      <c r="BF69" s="45"/>
      <c r="BG69" s="45"/>
      <c r="BH69" s="45"/>
      <c r="BI69" s="45"/>
      <c r="BJ69" s="45"/>
      <c r="BK69" s="45"/>
      <c r="BL69" s="45"/>
      <c r="BM69" s="45"/>
      <c r="BN69" s="45"/>
      <c r="BO69" s="45"/>
      <c r="BP69" s="45"/>
      <c r="BQ69" s="45"/>
      <c r="BR69" s="45"/>
      <c r="BS69" s="50"/>
      <c r="BT69" s="50"/>
      <c r="BW69" s="27"/>
      <c r="BX69" s="27"/>
      <c r="BY69" s="27"/>
      <c r="BZ69" s="27"/>
      <c r="CA69" s="27"/>
      <c r="CB69" s="27"/>
      <c r="CC69" s="27"/>
      <c r="CD69" s="27"/>
      <c r="CE69" s="27"/>
      <c r="CG69" s="27"/>
      <c r="CH69" s="27"/>
      <c r="CI69" s="27"/>
      <c r="CJ69" s="27"/>
      <c r="CK69" s="27"/>
      <c r="CL69" s="27"/>
    </row>
    <row r="70" spans="1:90" ht="15" hidden="1" customHeight="1" x14ac:dyDescent="0.25">
      <c r="G70" s="45"/>
      <c r="H70" s="45"/>
      <c r="I70" s="45"/>
      <c r="J70" s="52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5"/>
      <c r="AW70" s="45"/>
      <c r="AX70" s="45"/>
      <c r="AY70" s="45"/>
      <c r="AZ70" s="45"/>
      <c r="BA70" s="45"/>
      <c r="BB70" s="45"/>
      <c r="BC70" s="45"/>
      <c r="BD70" s="45"/>
      <c r="BE70" s="45"/>
      <c r="BF70" s="45"/>
      <c r="BG70" s="45"/>
      <c r="BH70" s="45"/>
      <c r="BI70" s="45"/>
      <c r="BJ70" s="45"/>
      <c r="BK70" s="45"/>
      <c r="BL70" s="45"/>
      <c r="BM70" s="45"/>
      <c r="BN70" s="45"/>
      <c r="BO70" s="45"/>
      <c r="BP70" s="45"/>
      <c r="BQ70" s="45"/>
      <c r="BR70" s="45"/>
      <c r="BS70" s="50"/>
      <c r="BT70" s="50"/>
      <c r="BW70" s="27"/>
      <c r="BX70" s="27"/>
      <c r="BY70" s="27"/>
      <c r="BZ70" s="27"/>
      <c r="CA70" s="27"/>
      <c r="CB70" s="27"/>
      <c r="CC70" s="27"/>
      <c r="CD70" s="27"/>
      <c r="CE70" s="27"/>
      <c r="CG70" s="27"/>
      <c r="CH70" s="27"/>
      <c r="CI70" s="27"/>
      <c r="CJ70" s="27"/>
      <c r="CK70" s="27"/>
      <c r="CL70" s="27"/>
    </row>
    <row r="71" spans="1:90" ht="16.5" customHeight="1" x14ac:dyDescent="0.25">
      <c r="G71" s="45"/>
      <c r="H71" s="45"/>
      <c r="I71" s="45"/>
      <c r="J71" s="52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38"/>
      <c r="X71" s="39"/>
      <c r="Y71" s="40"/>
      <c r="Z71" s="41"/>
      <c r="AA71" s="37"/>
      <c r="AB71" s="38"/>
      <c r="AC71" s="39"/>
      <c r="AD71" s="40"/>
      <c r="AE71" s="41"/>
      <c r="AF71" s="38"/>
      <c r="AG71" s="39"/>
      <c r="AH71" s="40"/>
      <c r="AI71" s="41"/>
      <c r="AJ71" s="37"/>
      <c r="AK71" s="38"/>
      <c r="AL71" s="39"/>
      <c r="AM71" s="40"/>
      <c r="AN71" s="41"/>
      <c r="AO71" s="38"/>
      <c r="AP71" s="39"/>
      <c r="AQ71" s="40"/>
      <c r="AR71" s="41"/>
      <c r="AS71" s="37"/>
      <c r="AT71" s="38"/>
      <c r="AU71" s="39"/>
      <c r="AV71" s="40"/>
      <c r="AW71" s="41"/>
      <c r="AX71" s="38"/>
      <c r="AY71" s="39"/>
      <c r="AZ71" s="40"/>
      <c r="BA71" s="41"/>
      <c r="BB71" s="37"/>
      <c r="BC71" s="38"/>
      <c r="BD71" s="39"/>
      <c r="BE71" s="40"/>
      <c r="BF71" s="41"/>
      <c r="BG71" s="38"/>
      <c r="BH71" s="39"/>
      <c r="BI71" s="40"/>
      <c r="BJ71" s="41"/>
      <c r="BK71" s="37"/>
      <c r="BL71" s="38"/>
      <c r="BM71" s="39"/>
      <c r="BN71" s="40"/>
      <c r="BO71" s="41"/>
      <c r="BP71" s="38"/>
      <c r="BQ71" s="39"/>
      <c r="BR71" s="40"/>
      <c r="BS71" s="50"/>
      <c r="BT71" s="50"/>
      <c r="BW71" s="27"/>
      <c r="BX71" s="27"/>
      <c r="BY71" s="27"/>
      <c r="BZ71" s="27"/>
      <c r="CA71" s="27"/>
      <c r="CB71" s="27"/>
      <c r="CC71" s="27"/>
      <c r="CD71" s="27"/>
      <c r="CE71" s="27"/>
      <c r="CG71" s="27"/>
      <c r="CH71" s="27"/>
      <c r="CI71" s="27"/>
      <c r="CJ71" s="27"/>
      <c r="CK71" s="27"/>
      <c r="CL71" s="27"/>
    </row>
    <row r="72" spans="1:90" ht="15" hidden="1" customHeight="1" x14ac:dyDescent="0.25">
      <c r="G72" s="49"/>
      <c r="H72" s="49"/>
      <c r="I72" s="49"/>
      <c r="J72" s="52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  <c r="BC72" s="45"/>
      <c r="BD72" s="45"/>
      <c r="BE72" s="45"/>
      <c r="BF72" s="45"/>
      <c r="BG72" s="45"/>
      <c r="BH72" s="45"/>
      <c r="BI72" s="45"/>
      <c r="BJ72" s="45"/>
      <c r="BK72" s="45"/>
      <c r="BL72" s="45"/>
      <c r="BM72" s="45"/>
      <c r="BN72" s="45"/>
      <c r="BO72" s="45"/>
      <c r="BP72" s="45"/>
      <c r="BQ72" s="45"/>
      <c r="BR72" s="45"/>
      <c r="BS72" s="53"/>
      <c r="BT72" s="53"/>
    </row>
    <row r="73" spans="1:90" ht="22.5" hidden="1" customHeight="1" x14ac:dyDescent="0.25">
      <c r="G73" s="45"/>
      <c r="H73" s="45"/>
      <c r="I73" s="45"/>
      <c r="J73" s="52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45"/>
      <c r="AW73" s="45"/>
      <c r="AX73" s="45"/>
      <c r="AY73" s="45"/>
      <c r="AZ73" s="45"/>
      <c r="BA73" s="45"/>
      <c r="BB73" s="45"/>
      <c r="BC73" s="45"/>
      <c r="BD73" s="45"/>
      <c r="BE73" s="45"/>
      <c r="BF73" s="45"/>
      <c r="BG73" s="45"/>
      <c r="BH73" s="45"/>
      <c r="BI73" s="45"/>
      <c r="BJ73" s="45"/>
      <c r="BK73" s="45"/>
      <c r="BL73" s="45"/>
      <c r="BM73" s="45"/>
      <c r="BN73" s="45"/>
      <c r="BO73" s="45"/>
      <c r="BP73" s="45"/>
      <c r="BQ73" s="45"/>
      <c r="BR73" s="45"/>
      <c r="BS73" s="53"/>
      <c r="BT73" s="53"/>
    </row>
    <row r="74" spans="1:90" ht="23.25" x14ac:dyDescent="0.35">
      <c r="A74" s="54"/>
      <c r="E74" s="54"/>
      <c r="F74" s="54"/>
      <c r="G74" s="54"/>
      <c r="H74" s="54"/>
      <c r="I74" s="54"/>
      <c r="J74" s="54"/>
      <c r="K74" s="54"/>
    </row>
    <row r="75" spans="1:90" ht="24" thickBot="1" x14ac:dyDescent="0.4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X75" s="55"/>
    </row>
    <row r="76" spans="1:90" ht="15.75" customHeight="1" thickTop="1" x14ac:dyDescent="0.25">
      <c r="AD76" s="775">
        <v>9.98</v>
      </c>
      <c r="AE76" s="776"/>
      <c r="AF76" s="776"/>
      <c r="AG76" s="776"/>
      <c r="AH76" s="777"/>
      <c r="AL76" s="727" t="s">
        <v>122</v>
      </c>
      <c r="AM76" s="727"/>
      <c r="AN76" s="727"/>
      <c r="AO76" s="727" t="s">
        <v>123</v>
      </c>
      <c r="AP76" s="727"/>
      <c r="AQ76" s="727"/>
      <c r="AR76" s="727" t="s">
        <v>124</v>
      </c>
      <c r="AS76" s="727"/>
      <c r="AT76" s="727" t="s">
        <v>125</v>
      </c>
      <c r="AU76" s="727"/>
      <c r="AY76" s="739" t="s">
        <v>126</v>
      </c>
      <c r="AZ76" s="740"/>
      <c r="BA76" s="740"/>
      <c r="BB76" s="740"/>
      <c r="BC76" s="740"/>
      <c r="BD76" s="740"/>
      <c r="BE76" s="740"/>
      <c r="BF76" s="740"/>
      <c r="BG76" s="740"/>
      <c r="BH76" s="741"/>
      <c r="BI76" s="13"/>
      <c r="BJ76" s="13"/>
      <c r="BK76" s="13"/>
      <c r="BL76" s="13"/>
      <c r="BM76" s="13"/>
      <c r="BN76" s="13"/>
      <c r="BO76" s="13"/>
      <c r="BP76" s="13"/>
      <c r="BQ76" s="13"/>
      <c r="BR76" s="13"/>
    </row>
    <row r="77" spans="1:90" ht="15" customHeight="1" x14ac:dyDescent="0.25">
      <c r="O77" s="114" t="s">
        <v>127</v>
      </c>
      <c r="P77" s="114"/>
      <c r="Q77" s="114"/>
      <c r="R77" s="114"/>
      <c r="S77" s="114"/>
      <c r="T77" s="114"/>
      <c r="U77" s="114"/>
      <c r="V77" s="114"/>
      <c r="AD77" s="778"/>
      <c r="AE77" s="779"/>
      <c r="AF77" s="779"/>
      <c r="AG77" s="779"/>
      <c r="AH77" s="780"/>
      <c r="AL77" s="727"/>
      <c r="AM77" s="727"/>
      <c r="AN77" s="727"/>
      <c r="AO77" s="727"/>
      <c r="AP77" s="727"/>
      <c r="AQ77" s="727"/>
      <c r="AR77" s="727"/>
      <c r="AS77" s="727"/>
      <c r="AT77" s="727"/>
      <c r="AU77" s="727"/>
      <c r="AY77" s="750"/>
      <c r="AZ77" s="751"/>
      <c r="BA77" s="751"/>
      <c r="BB77" s="751"/>
      <c r="BC77" s="751"/>
      <c r="BD77" s="751"/>
      <c r="BE77" s="751"/>
      <c r="BF77" s="751"/>
      <c r="BG77" s="751"/>
      <c r="BH77" s="752"/>
      <c r="BI77" s="13"/>
      <c r="BJ77" s="13"/>
      <c r="BK77" s="13"/>
      <c r="BL77" s="13"/>
      <c r="BM77" s="13"/>
      <c r="BN77" s="13"/>
      <c r="BO77" s="13"/>
      <c r="BP77" s="13"/>
      <c r="BQ77" s="13"/>
      <c r="BR77" s="13"/>
    </row>
    <row r="78" spans="1:90" ht="15" customHeight="1" x14ac:dyDescent="0.25">
      <c r="O78" s="114"/>
      <c r="P78" s="114"/>
      <c r="Q78" s="114"/>
      <c r="R78" s="114"/>
      <c r="S78" s="114"/>
      <c r="T78" s="114"/>
      <c r="U78" s="114"/>
      <c r="V78" s="114"/>
      <c r="AA78" s="56"/>
      <c r="AD78" s="778"/>
      <c r="AE78" s="779"/>
      <c r="AF78" s="779"/>
      <c r="AG78" s="779"/>
      <c r="AH78" s="780"/>
      <c r="AL78" s="727"/>
      <c r="AM78" s="727"/>
      <c r="AN78" s="727"/>
      <c r="AO78" s="727"/>
      <c r="AP78" s="727"/>
      <c r="AQ78" s="727"/>
      <c r="AR78" s="727"/>
      <c r="AS78" s="727"/>
      <c r="AT78" s="727"/>
      <c r="AU78" s="727"/>
      <c r="AY78" s="742"/>
      <c r="AZ78" s="743"/>
      <c r="BA78" s="743"/>
      <c r="BB78" s="743"/>
      <c r="BC78" s="743"/>
      <c r="BD78" s="743"/>
      <c r="BE78" s="743"/>
      <c r="BF78" s="743"/>
      <c r="BG78" s="743"/>
      <c r="BH78" s="744"/>
      <c r="BI78" s="13"/>
      <c r="BJ78" s="13"/>
      <c r="BK78" s="13"/>
      <c r="BL78" s="13"/>
      <c r="BM78" s="13"/>
      <c r="BN78" s="13"/>
      <c r="BO78" s="13"/>
      <c r="BP78" s="13"/>
      <c r="BQ78" s="13"/>
      <c r="BR78" s="13"/>
    </row>
    <row r="79" spans="1:90" ht="15" customHeight="1" x14ac:dyDescent="0.25">
      <c r="O79" s="114"/>
      <c r="P79" s="114"/>
      <c r="Q79" s="114"/>
      <c r="R79" s="114"/>
      <c r="S79" s="114"/>
      <c r="T79" s="114"/>
      <c r="U79" s="114"/>
      <c r="V79" s="114"/>
      <c r="AD79" s="778"/>
      <c r="AE79" s="779"/>
      <c r="AF79" s="779"/>
      <c r="AG79" s="779"/>
      <c r="AH79" s="780"/>
      <c r="AL79" s="774">
        <v>5070</v>
      </c>
      <c r="AM79" s="774"/>
      <c r="AN79" s="774"/>
      <c r="AO79" s="774">
        <f ca="1">AT95</f>
        <v>5070</v>
      </c>
      <c r="AP79" s="774"/>
      <c r="AQ79" s="774"/>
      <c r="AR79" s="726">
        <f>AS40</f>
        <v>9.9794199210900967</v>
      </c>
      <c r="AS79" s="726"/>
      <c r="AT79" s="726">
        <f>AS40+BJ42</f>
        <v>33.979419921090098</v>
      </c>
      <c r="AU79" s="726"/>
      <c r="AY79" s="727" t="s">
        <v>128</v>
      </c>
      <c r="AZ79" s="727"/>
      <c r="BA79" s="727"/>
      <c r="BB79" s="727"/>
      <c r="BC79" s="727"/>
      <c r="BD79" s="727"/>
      <c r="BE79" s="727"/>
      <c r="BF79" s="727"/>
      <c r="BG79" s="727"/>
      <c r="BH79" s="727"/>
      <c r="BI79" s="13"/>
      <c r="BJ79" s="13"/>
      <c r="BK79" s="13"/>
      <c r="BL79" s="13"/>
      <c r="BM79" s="13"/>
      <c r="BN79" s="13"/>
      <c r="BO79" s="13"/>
      <c r="BP79" s="13"/>
      <c r="BQ79" s="13"/>
      <c r="BR79" s="13"/>
    </row>
    <row r="80" spans="1:90" ht="15" customHeight="1" x14ac:dyDescent="0.25">
      <c r="O80" s="114"/>
      <c r="P80" s="114"/>
      <c r="Q80" s="114"/>
      <c r="R80" s="114"/>
      <c r="S80" s="114"/>
      <c r="T80" s="114"/>
      <c r="U80" s="114"/>
      <c r="V80" s="114"/>
      <c r="AD80" s="778"/>
      <c r="AE80" s="779"/>
      <c r="AF80" s="779"/>
      <c r="AG80" s="779"/>
      <c r="AH80" s="780"/>
      <c r="AL80" s="774"/>
      <c r="AM80" s="774"/>
      <c r="AN80" s="774"/>
      <c r="AO80" s="774"/>
      <c r="AP80" s="774"/>
      <c r="AQ80" s="774"/>
      <c r="AR80" s="726"/>
      <c r="AS80" s="726"/>
      <c r="AT80" s="726"/>
      <c r="AU80" s="726"/>
      <c r="AY80" s="727"/>
      <c r="AZ80" s="727"/>
      <c r="BA80" s="727"/>
      <c r="BB80" s="727"/>
      <c r="BC80" s="727"/>
      <c r="BD80" s="727"/>
      <c r="BE80" s="727"/>
      <c r="BF80" s="727"/>
      <c r="BG80" s="727"/>
      <c r="BH80" s="727"/>
      <c r="BI80" s="13"/>
      <c r="BJ80" s="13"/>
      <c r="BK80" s="13"/>
      <c r="BL80" s="13"/>
      <c r="BM80" s="13"/>
      <c r="BN80" s="13"/>
      <c r="BO80" s="13"/>
      <c r="BP80" s="13"/>
      <c r="BQ80" s="13"/>
      <c r="BR80" s="13"/>
    </row>
    <row r="81" spans="15:70" ht="15" customHeight="1" x14ac:dyDescent="0.25">
      <c r="O81" s="114"/>
      <c r="P81" s="114"/>
      <c r="Q81" s="114"/>
      <c r="R81" s="114"/>
      <c r="S81" s="114"/>
      <c r="T81" s="114"/>
      <c r="U81" s="114"/>
      <c r="V81" s="114"/>
      <c r="AD81" s="778"/>
      <c r="AE81" s="779"/>
      <c r="AF81" s="779"/>
      <c r="AG81" s="779"/>
      <c r="AH81" s="780"/>
      <c r="AL81" s="774"/>
      <c r="AM81" s="774"/>
      <c r="AN81" s="774"/>
      <c r="AO81" s="774"/>
      <c r="AP81" s="774"/>
      <c r="AQ81" s="774"/>
      <c r="AR81" s="726"/>
      <c r="AS81" s="726"/>
      <c r="AT81" s="726"/>
      <c r="AU81" s="726"/>
      <c r="AY81" s="728">
        <f ca="1">AR79/((30*3.1415/59)*(AO79/3.281))</f>
        <v>4.042939677251672E-3</v>
      </c>
      <c r="AZ81" s="729"/>
      <c r="BA81" s="729"/>
      <c r="BB81" s="729"/>
      <c r="BC81" s="729"/>
      <c r="BD81" s="729"/>
      <c r="BE81" s="729"/>
      <c r="BF81" s="729"/>
      <c r="BG81" s="729"/>
      <c r="BH81" s="730"/>
      <c r="BI81" s="57"/>
      <c r="BJ81" s="57"/>
      <c r="BK81" s="57"/>
      <c r="BL81" s="57"/>
      <c r="BM81" s="57"/>
      <c r="BN81" s="57"/>
      <c r="BO81" s="57"/>
      <c r="BP81" s="57"/>
      <c r="BQ81" s="57"/>
      <c r="BR81" s="57"/>
    </row>
    <row r="82" spans="15:70" ht="15.75" customHeight="1" thickBot="1" x14ac:dyDescent="0.3">
      <c r="AD82" s="781"/>
      <c r="AE82" s="782"/>
      <c r="AF82" s="782"/>
      <c r="AG82" s="782"/>
      <c r="AH82" s="783"/>
      <c r="AL82" s="774"/>
      <c r="AM82" s="774"/>
      <c r="AN82" s="774"/>
      <c r="AO82" s="774"/>
      <c r="AP82" s="774"/>
      <c r="AQ82" s="774"/>
      <c r="AR82" s="726"/>
      <c r="AS82" s="726"/>
      <c r="AT82" s="726"/>
      <c r="AU82" s="726"/>
      <c r="AY82" s="731"/>
      <c r="AZ82" s="732"/>
      <c r="BA82" s="732"/>
      <c r="BB82" s="732"/>
      <c r="BC82" s="732"/>
      <c r="BD82" s="732"/>
      <c r="BE82" s="732"/>
      <c r="BF82" s="732"/>
      <c r="BG82" s="732"/>
      <c r="BH82" s="733"/>
      <c r="BI82" s="57"/>
      <c r="BJ82" s="57"/>
      <c r="BK82" s="57"/>
      <c r="BL82" s="57"/>
      <c r="BM82" s="57"/>
      <c r="BN82" s="57"/>
      <c r="BO82" s="57"/>
      <c r="BP82" s="57"/>
      <c r="BQ82" s="57"/>
      <c r="BR82" s="57"/>
    </row>
    <row r="83" spans="15:70" ht="15.75" customHeight="1" thickTop="1" x14ac:dyDescent="0.25">
      <c r="AY83" s="734"/>
      <c r="AZ83" s="735"/>
      <c r="BA83" s="735"/>
      <c r="BB83" s="735"/>
      <c r="BC83" s="735"/>
      <c r="BD83" s="735"/>
      <c r="BE83" s="735"/>
      <c r="BF83" s="735"/>
      <c r="BG83" s="735"/>
      <c r="BH83" s="736"/>
      <c r="BI83" s="57"/>
      <c r="BJ83" s="57"/>
      <c r="BK83" s="57"/>
      <c r="BL83" s="57"/>
      <c r="BM83" s="57"/>
      <c r="BN83" s="57"/>
      <c r="BO83" s="57"/>
      <c r="BP83" s="57"/>
      <c r="BQ83" s="57"/>
      <c r="BR83" s="57"/>
    </row>
    <row r="84" spans="15:70" x14ac:dyDescent="0.25">
      <c r="AY84" s="739" t="s">
        <v>129</v>
      </c>
      <c r="AZ84" s="740"/>
      <c r="BA84" s="740"/>
      <c r="BB84" s="740"/>
      <c r="BC84" s="740"/>
      <c r="BD84" s="740"/>
      <c r="BE84" s="740"/>
      <c r="BF84" s="740"/>
      <c r="BG84" s="740"/>
      <c r="BH84" s="741"/>
      <c r="BI84" s="13"/>
      <c r="BJ84" s="13"/>
      <c r="BK84" s="13"/>
      <c r="BL84" s="13"/>
      <c r="BM84" s="13"/>
      <c r="BN84" s="13"/>
      <c r="BO84" s="13"/>
      <c r="BP84" s="13"/>
      <c r="BQ84" s="13"/>
      <c r="BR84" s="13"/>
    </row>
    <row r="85" spans="15:70" x14ac:dyDescent="0.25">
      <c r="AY85" s="742"/>
      <c r="AZ85" s="743"/>
      <c r="BA85" s="743"/>
      <c r="BB85" s="743"/>
      <c r="BC85" s="743"/>
      <c r="BD85" s="743"/>
      <c r="BE85" s="743"/>
      <c r="BF85" s="743"/>
      <c r="BG85" s="743"/>
      <c r="BH85" s="744"/>
      <c r="BI85" s="13"/>
      <c r="BJ85" s="13"/>
      <c r="BK85" s="13"/>
      <c r="BL85" s="13"/>
      <c r="BM85" s="13"/>
      <c r="BN85" s="13"/>
      <c r="BO85" s="13"/>
      <c r="BP85" s="13"/>
      <c r="BQ85" s="13"/>
      <c r="BR85" s="13"/>
    </row>
    <row r="86" spans="15:70" ht="15" customHeight="1" x14ac:dyDescent="0.25">
      <c r="AN86" s="1255">
        <v>130</v>
      </c>
      <c r="AO86" s="1255"/>
      <c r="AP86" s="1255"/>
      <c r="AQ86" s="746" cm="1">
        <f t="array" aca="1" ref="AQ86" ca="1">SUM(COUNTIF(INDIRECT({"B8","G8","L8","Q8","V8","AA8","AF8","AK8","AP8","AU8","AZ8","BE8","BJ8","BO8","B14","G14","L14","Q14","V14","AA14","AF14","AK14","AP14","AU14","AZ14","BE14","BJ14","BO14","B20","G20","L20","Q20","V20","AA20","AF20","AK20","AP20","AU20","AZ20"}),"&gt;0"))</f>
        <v>39</v>
      </c>
      <c r="AR86" s="746"/>
      <c r="AS86" s="746"/>
      <c r="AT86" s="747">
        <f ca="1">AQ86*AN86</f>
        <v>5070</v>
      </c>
      <c r="AU86" s="748"/>
      <c r="AV86" s="748"/>
      <c r="AW86" s="749"/>
      <c r="AY86" s="739" t="s">
        <v>130</v>
      </c>
      <c r="AZ86" s="740"/>
      <c r="BA86" s="740"/>
      <c r="BB86" s="740"/>
      <c r="BC86" s="740"/>
      <c r="BD86" s="740"/>
      <c r="BE86" s="740"/>
      <c r="BF86" s="740"/>
      <c r="BG86" s="740"/>
      <c r="BH86" s="741"/>
      <c r="BI86" s="13"/>
      <c r="BJ86" s="13"/>
      <c r="BK86" s="13"/>
      <c r="BL86" s="13"/>
      <c r="BM86" s="13"/>
      <c r="BN86" s="13"/>
      <c r="BO86" s="13"/>
      <c r="BP86" s="13"/>
      <c r="BQ86" s="13"/>
      <c r="BR86" s="13"/>
    </row>
    <row r="87" spans="15:70" ht="15" customHeight="1" x14ac:dyDescent="0.25">
      <c r="AN87" s="1255"/>
      <c r="AO87" s="1255"/>
      <c r="AP87" s="1255"/>
      <c r="AQ87" s="746"/>
      <c r="AR87" s="746"/>
      <c r="AS87" s="746"/>
      <c r="AT87" s="747"/>
      <c r="AU87" s="748"/>
      <c r="AV87" s="748"/>
      <c r="AW87" s="749"/>
      <c r="AY87" s="750"/>
      <c r="AZ87" s="751"/>
      <c r="BA87" s="751"/>
      <c r="BB87" s="751"/>
      <c r="BC87" s="751"/>
      <c r="BD87" s="751"/>
      <c r="BE87" s="751"/>
      <c r="BF87" s="751"/>
      <c r="BG87" s="751"/>
      <c r="BH87" s="752"/>
      <c r="BI87" s="13"/>
      <c r="BJ87" s="13"/>
      <c r="BK87" s="13"/>
      <c r="BL87" s="13"/>
      <c r="BM87" s="13"/>
      <c r="BN87" s="13"/>
      <c r="BO87" s="13"/>
      <c r="BP87" s="13"/>
      <c r="BQ87" s="13"/>
      <c r="BR87" s="13"/>
    </row>
    <row r="88" spans="15:70" ht="15" customHeight="1" x14ac:dyDescent="0.25">
      <c r="AN88" s="1255"/>
      <c r="AO88" s="1255"/>
      <c r="AP88" s="1255"/>
      <c r="AQ88" s="746"/>
      <c r="AR88" s="746"/>
      <c r="AS88" s="746"/>
      <c r="AT88" s="747"/>
      <c r="AU88" s="748"/>
      <c r="AV88" s="748"/>
      <c r="AW88" s="749"/>
      <c r="AY88" s="750"/>
      <c r="AZ88" s="751"/>
      <c r="BA88" s="751"/>
      <c r="BB88" s="751"/>
      <c r="BC88" s="751"/>
      <c r="BD88" s="751"/>
      <c r="BE88" s="751"/>
      <c r="BF88" s="751"/>
      <c r="BG88" s="751"/>
      <c r="BH88" s="752"/>
      <c r="BI88" s="13"/>
      <c r="BJ88" s="13"/>
      <c r="BK88" s="13"/>
      <c r="BL88" s="13"/>
      <c r="BM88" s="13"/>
      <c r="BN88" s="13"/>
      <c r="BO88" s="13"/>
      <c r="BP88" s="13"/>
      <c r="BQ88" s="13"/>
      <c r="BR88" s="13"/>
    </row>
    <row r="89" spans="15:70" ht="15" customHeight="1" x14ac:dyDescent="0.25">
      <c r="AN89" s="727"/>
      <c r="AO89" s="727"/>
      <c r="AP89" s="727"/>
      <c r="AQ89" s="746"/>
      <c r="AR89" s="746"/>
      <c r="AS89" s="746"/>
      <c r="AT89" s="747"/>
      <c r="AU89" s="748"/>
      <c r="AV89" s="748"/>
      <c r="AW89" s="749"/>
      <c r="AY89" s="742"/>
      <c r="AZ89" s="743"/>
      <c r="BA89" s="743"/>
      <c r="BB89" s="743"/>
      <c r="BC89" s="743"/>
      <c r="BD89" s="743"/>
      <c r="BE89" s="743"/>
      <c r="BF89" s="743"/>
      <c r="BG89" s="743"/>
      <c r="BH89" s="744"/>
      <c r="BI89" s="13"/>
      <c r="BJ89" s="13"/>
      <c r="BK89" s="13"/>
      <c r="BL89" s="13"/>
      <c r="BM89" s="13"/>
      <c r="BN89" s="13"/>
      <c r="BO89" s="13"/>
      <c r="BP89" s="13"/>
      <c r="BQ89" s="13"/>
      <c r="BR89" s="13"/>
    </row>
    <row r="90" spans="15:70" ht="26.25" x14ac:dyDescent="0.25">
      <c r="AN90" s="727"/>
      <c r="AO90" s="727"/>
      <c r="AP90" s="727"/>
      <c r="AQ90" s="746"/>
      <c r="AR90" s="746"/>
      <c r="AS90" s="746"/>
      <c r="AT90" s="747"/>
      <c r="AU90" s="748"/>
      <c r="AV90" s="748"/>
      <c r="AW90" s="749"/>
      <c r="AY90" s="728">
        <f ca="1">AT79/((30*3.1415/59)*(AO79/3.281))</f>
        <v>1.3766005047913121E-2</v>
      </c>
      <c r="AZ90" s="729"/>
      <c r="BA90" s="729"/>
      <c r="BB90" s="729"/>
      <c r="BC90" s="729"/>
      <c r="BD90" s="729"/>
      <c r="BE90" s="729"/>
      <c r="BF90" s="729"/>
      <c r="BG90" s="729"/>
      <c r="BH90" s="730"/>
      <c r="BI90" s="57"/>
      <c r="BJ90" s="57"/>
      <c r="BK90" s="57"/>
      <c r="BL90" s="57"/>
      <c r="BM90" s="57"/>
      <c r="BN90" s="57"/>
      <c r="BO90" s="57"/>
      <c r="BP90" s="57"/>
      <c r="BQ90" s="57"/>
      <c r="BR90" s="57"/>
    </row>
    <row r="91" spans="15:70" ht="26.25" x14ac:dyDescent="0.25">
      <c r="AN91" s="727"/>
      <c r="AO91" s="727"/>
      <c r="AP91" s="727"/>
      <c r="AQ91" s="746"/>
      <c r="AR91" s="746"/>
      <c r="AS91" s="746"/>
      <c r="AT91" s="747"/>
      <c r="AU91" s="748"/>
      <c r="AV91" s="748"/>
      <c r="AW91" s="749"/>
      <c r="AY91" s="731"/>
      <c r="AZ91" s="732"/>
      <c r="BA91" s="732"/>
      <c r="BB91" s="732"/>
      <c r="BC91" s="732"/>
      <c r="BD91" s="732"/>
      <c r="BE91" s="732"/>
      <c r="BF91" s="732"/>
      <c r="BG91" s="732"/>
      <c r="BH91" s="733"/>
      <c r="BI91" s="57"/>
      <c r="BJ91" s="57"/>
      <c r="BK91" s="57"/>
      <c r="BL91" s="57"/>
      <c r="BM91" s="57"/>
      <c r="BN91" s="57"/>
      <c r="BO91" s="57"/>
      <c r="BP91" s="57"/>
      <c r="BQ91" s="57"/>
      <c r="BR91" s="57"/>
    </row>
    <row r="92" spans="15:70" ht="15" customHeight="1" x14ac:dyDescent="0.25">
      <c r="AN92" s="727"/>
      <c r="AO92" s="727"/>
      <c r="AP92" s="727"/>
      <c r="AQ92" s="746"/>
      <c r="AR92" s="746"/>
      <c r="AS92" s="746"/>
      <c r="AT92" s="747"/>
      <c r="AU92" s="748"/>
      <c r="AV92" s="748"/>
      <c r="AW92" s="749"/>
      <c r="AY92" s="731"/>
      <c r="AZ92" s="732"/>
      <c r="BA92" s="732"/>
      <c r="BB92" s="732"/>
      <c r="BC92" s="732"/>
      <c r="BD92" s="732"/>
      <c r="BE92" s="732"/>
      <c r="BF92" s="732"/>
      <c r="BG92" s="732"/>
      <c r="BH92" s="733"/>
      <c r="BI92" s="57"/>
      <c r="BJ92" s="57"/>
      <c r="BK92" s="57"/>
      <c r="BL92" s="57"/>
      <c r="BM92" s="57"/>
      <c r="BN92" s="57"/>
      <c r="BO92" s="57"/>
      <c r="BP92" s="57"/>
      <c r="BQ92" s="57"/>
      <c r="BR92" s="57"/>
    </row>
    <row r="93" spans="15:70" ht="15" customHeight="1" x14ac:dyDescent="0.25">
      <c r="AN93" s="727"/>
      <c r="AO93" s="727"/>
      <c r="AP93" s="727"/>
      <c r="AQ93" s="746"/>
      <c r="AR93" s="746"/>
      <c r="AS93" s="746"/>
      <c r="AT93" s="747"/>
      <c r="AU93" s="748"/>
      <c r="AV93" s="748"/>
      <c r="AW93" s="749"/>
      <c r="AY93" s="731"/>
      <c r="AZ93" s="732"/>
      <c r="BA93" s="732"/>
      <c r="BB93" s="732"/>
      <c r="BC93" s="732"/>
      <c r="BD93" s="732"/>
      <c r="BE93" s="732"/>
      <c r="BF93" s="732"/>
      <c r="BG93" s="732"/>
      <c r="BH93" s="733"/>
      <c r="BI93" s="57"/>
      <c r="BJ93" s="57"/>
      <c r="BK93" s="57"/>
      <c r="BL93" s="57"/>
      <c r="BM93" s="57"/>
      <c r="BN93" s="57"/>
      <c r="BO93" s="57"/>
      <c r="BP93" s="57"/>
      <c r="BQ93" s="57"/>
      <c r="BR93" s="57"/>
    </row>
    <row r="94" spans="15:70" ht="15" customHeight="1" x14ac:dyDescent="0.25">
      <c r="AN94" s="727"/>
      <c r="AO94" s="727"/>
      <c r="AP94" s="727"/>
      <c r="AQ94" s="746"/>
      <c r="AR94" s="746"/>
      <c r="AS94" s="746"/>
      <c r="AT94" s="747"/>
      <c r="AU94" s="748"/>
      <c r="AV94" s="748"/>
      <c r="AW94" s="749"/>
      <c r="AY94" s="734"/>
      <c r="AZ94" s="735"/>
      <c r="BA94" s="735"/>
      <c r="BB94" s="735"/>
      <c r="BC94" s="735"/>
      <c r="BD94" s="735"/>
      <c r="BE94" s="735"/>
      <c r="BF94" s="735"/>
      <c r="BG94" s="735"/>
      <c r="BH94" s="736"/>
      <c r="BI94" s="57"/>
      <c r="BJ94" s="57"/>
      <c r="BK94" s="57"/>
      <c r="BL94" s="57"/>
      <c r="BM94" s="57"/>
      <c r="BN94" s="57"/>
      <c r="BO94" s="57"/>
      <c r="BP94" s="57"/>
      <c r="BQ94" s="57"/>
      <c r="BR94" s="57"/>
    </row>
    <row r="95" spans="15:70" ht="15" customHeight="1" x14ac:dyDescent="0.25">
      <c r="AQ95" s="1254">
        <f ca="1">AQ92+AQ89+AQ86</f>
        <v>39</v>
      </c>
      <c r="AR95" s="1254"/>
      <c r="AS95" s="1254"/>
      <c r="AT95" s="747">
        <f ca="1">AT89+AT92+AT86</f>
        <v>5070</v>
      </c>
      <c r="AU95" s="748"/>
      <c r="AV95" s="748"/>
      <c r="AW95" s="749"/>
    </row>
    <row r="96" spans="15:70" ht="15" customHeight="1" x14ac:dyDescent="0.25">
      <c r="AQ96" s="1254"/>
      <c r="AR96" s="1254"/>
      <c r="AS96" s="1254"/>
      <c r="AT96" s="747"/>
      <c r="AU96" s="748"/>
      <c r="AV96" s="748"/>
      <c r="AW96" s="749"/>
    </row>
    <row r="97" spans="43:49" ht="15" customHeight="1" x14ac:dyDescent="0.25">
      <c r="AQ97" s="1254"/>
      <c r="AR97" s="1254"/>
      <c r="AS97" s="1254"/>
      <c r="AT97" s="747"/>
      <c r="AU97" s="748"/>
      <c r="AV97" s="748"/>
      <c r="AW97" s="749"/>
    </row>
    <row r="99" spans="43:49" ht="15" customHeight="1" x14ac:dyDescent="0.25"/>
    <row r="100" spans="43:49" ht="15" customHeight="1" x14ac:dyDescent="0.25"/>
    <row r="101" spans="43:49" ht="15" customHeight="1" x14ac:dyDescent="0.25"/>
    <row r="102" spans="43:49" ht="15" customHeight="1" x14ac:dyDescent="0.25"/>
    <row r="103" spans="43:49" ht="15" customHeight="1" x14ac:dyDescent="0.25"/>
    <row r="104" spans="43:49" ht="15" customHeight="1" x14ac:dyDescent="0.25"/>
    <row r="105" spans="43:49" ht="15" customHeight="1" x14ac:dyDescent="0.25"/>
    <row r="106" spans="43:49" ht="15" customHeight="1" x14ac:dyDescent="0.25"/>
    <row r="107" spans="43:49" ht="15" customHeight="1" x14ac:dyDescent="0.25"/>
    <row r="108" spans="43:49" ht="15" customHeight="1" x14ac:dyDescent="0.25">
      <c r="AS108" s="27"/>
      <c r="AT108" s="27"/>
      <c r="AU108" s="27"/>
    </row>
  </sheetData>
  <mergeCells count="325">
    <mergeCell ref="AY18:BC18"/>
    <mergeCell ref="AY19:AY20"/>
    <mergeCell ref="AZ19:BC19"/>
    <mergeCell ref="BI12:BM12"/>
    <mergeCell ref="BN12:BR12"/>
    <mergeCell ref="AY15:AZ17"/>
    <mergeCell ref="BA15:BC17"/>
    <mergeCell ref="A18:E18"/>
    <mergeCell ref="F18:J18"/>
    <mergeCell ref="K18:O18"/>
    <mergeCell ref="P18:T18"/>
    <mergeCell ref="U18:Y18"/>
    <mergeCell ref="Z18:AD18"/>
    <mergeCell ref="A19:A20"/>
    <mergeCell ref="B19:E19"/>
    <mergeCell ref="F19:F20"/>
    <mergeCell ref="G19:J19"/>
    <mergeCell ref="K19:K20"/>
    <mergeCell ref="L19:O19"/>
    <mergeCell ref="AJ18:AN18"/>
    <mergeCell ref="AO18:AS18"/>
    <mergeCell ref="AT18:AX18"/>
    <mergeCell ref="AE18:AI18"/>
    <mergeCell ref="AT15:AU17"/>
    <mergeCell ref="BI9:BJ11"/>
    <mergeCell ref="BK9:BM11"/>
    <mergeCell ref="BN9:BO11"/>
    <mergeCell ref="BP9:BR11"/>
    <mergeCell ref="AT9:AU11"/>
    <mergeCell ref="AV9:AX11"/>
    <mergeCell ref="AY9:AZ11"/>
    <mergeCell ref="BA9:BC11"/>
    <mergeCell ref="BD9:BE11"/>
    <mergeCell ref="BF9:BH11"/>
    <mergeCell ref="K12:O12"/>
    <mergeCell ref="P12:T12"/>
    <mergeCell ref="U12:Y12"/>
    <mergeCell ref="Z12:AD12"/>
    <mergeCell ref="AE12:AI12"/>
    <mergeCell ref="AJ12:AN12"/>
    <mergeCell ref="AT12:AX12"/>
    <mergeCell ref="AY12:BC12"/>
    <mergeCell ref="BD12:BH12"/>
    <mergeCell ref="AO12:AS12"/>
    <mergeCell ref="AQ95:AS97"/>
    <mergeCell ref="AT95:AW97"/>
    <mergeCell ref="A6:E6"/>
    <mergeCell ref="F6:J6"/>
    <mergeCell ref="K6:O6"/>
    <mergeCell ref="P6:T6"/>
    <mergeCell ref="U6:Y6"/>
    <mergeCell ref="Z6:AD6"/>
    <mergeCell ref="V61:Y61"/>
    <mergeCell ref="K58:M60"/>
    <mergeCell ref="P58:R60"/>
    <mergeCell ref="U58:W60"/>
    <mergeCell ref="A57:C57"/>
    <mergeCell ref="D57:E57"/>
    <mergeCell ref="F57:H57"/>
    <mergeCell ref="I57:J57"/>
    <mergeCell ref="K57:M57"/>
    <mergeCell ref="N57:O57"/>
    <mergeCell ref="P57:R57"/>
    <mergeCell ref="S57:T57"/>
    <mergeCell ref="P55:P56"/>
    <mergeCell ref="Q55:T55"/>
    <mergeCell ref="A12:E12"/>
    <mergeCell ref="F12:J12"/>
    <mergeCell ref="AY84:BH85"/>
    <mergeCell ref="AN86:AP88"/>
    <mergeCell ref="AQ86:AS88"/>
    <mergeCell ref="AT86:AW88"/>
    <mergeCell ref="AY86:BH89"/>
    <mergeCell ref="AN89:AP91"/>
    <mergeCell ref="AQ89:AS91"/>
    <mergeCell ref="AT89:AW91"/>
    <mergeCell ref="AY90:BH94"/>
    <mergeCell ref="AN92:AP94"/>
    <mergeCell ref="AQ92:AS94"/>
    <mergeCell ref="AT92:AW94"/>
    <mergeCell ref="AY76:BH78"/>
    <mergeCell ref="AL79:AN82"/>
    <mergeCell ref="AO79:AQ82"/>
    <mergeCell ref="AR79:AS82"/>
    <mergeCell ref="AT79:AU82"/>
    <mergeCell ref="AY79:BH80"/>
    <mergeCell ref="AY81:BH83"/>
    <mergeCell ref="A65:C67"/>
    <mergeCell ref="AD76:AH82"/>
    <mergeCell ref="AL76:AN78"/>
    <mergeCell ref="AO76:AQ78"/>
    <mergeCell ref="AR76:AS78"/>
    <mergeCell ref="AT76:AU78"/>
    <mergeCell ref="BI61:BI62"/>
    <mergeCell ref="BJ61:BM61"/>
    <mergeCell ref="BN61:BN62"/>
    <mergeCell ref="BO61:BR61"/>
    <mergeCell ref="A64:C64"/>
    <mergeCell ref="BQ60:BR60"/>
    <mergeCell ref="A61:A62"/>
    <mergeCell ref="B61:E61"/>
    <mergeCell ref="F61:F62"/>
    <mergeCell ref="G61:J61"/>
    <mergeCell ref="K61:K62"/>
    <mergeCell ref="L61:O61"/>
    <mergeCell ref="P61:P62"/>
    <mergeCell ref="Q61:T61"/>
    <mergeCell ref="U61:U62"/>
    <mergeCell ref="BN58:BP60"/>
    <mergeCell ref="D60:E60"/>
    <mergeCell ref="I60:J60"/>
    <mergeCell ref="N60:O60"/>
    <mergeCell ref="S60:T60"/>
    <mergeCell ref="X60:Y60"/>
    <mergeCell ref="BL60:BM60"/>
    <mergeCell ref="A58:C60"/>
    <mergeCell ref="F58:H60"/>
    <mergeCell ref="BI58:BK60"/>
    <mergeCell ref="U57:W57"/>
    <mergeCell ref="X57:Y57"/>
    <mergeCell ref="BI57:BK57"/>
    <mergeCell ref="BL57:BM57"/>
    <mergeCell ref="BN57:BP57"/>
    <mergeCell ref="BQ57:BR57"/>
    <mergeCell ref="BN55:BN56"/>
    <mergeCell ref="BO55:BR55"/>
    <mergeCell ref="U55:U56"/>
    <mergeCell ref="V55:Y55"/>
    <mergeCell ref="BI55:BI56"/>
    <mergeCell ref="BJ55:BM55"/>
    <mergeCell ref="A55:A56"/>
    <mergeCell ref="B55:E55"/>
    <mergeCell ref="F55:F56"/>
    <mergeCell ref="G55:J55"/>
    <mergeCell ref="K55:K56"/>
    <mergeCell ref="L55:O55"/>
    <mergeCell ref="I54:J54"/>
    <mergeCell ref="N54:O54"/>
    <mergeCell ref="S54:T54"/>
    <mergeCell ref="X54:Y54"/>
    <mergeCell ref="BL54:BM54"/>
    <mergeCell ref="BQ54:BR54"/>
    <mergeCell ref="BN51:BP51"/>
    <mergeCell ref="BQ51:BR51"/>
    <mergeCell ref="A52:C54"/>
    <mergeCell ref="F52:H54"/>
    <mergeCell ref="K52:M54"/>
    <mergeCell ref="P52:R54"/>
    <mergeCell ref="U52:W54"/>
    <mergeCell ref="BI52:BK54"/>
    <mergeCell ref="BN52:BP54"/>
    <mergeCell ref="D54:E54"/>
    <mergeCell ref="P51:R51"/>
    <mergeCell ref="S51:T51"/>
    <mergeCell ref="U51:W51"/>
    <mergeCell ref="X51:Y51"/>
    <mergeCell ref="BI51:BK51"/>
    <mergeCell ref="BL51:BM51"/>
    <mergeCell ref="A51:C51"/>
    <mergeCell ref="D51:E51"/>
    <mergeCell ref="F51:H51"/>
    <mergeCell ref="I51:J51"/>
    <mergeCell ref="K51:M51"/>
    <mergeCell ref="N51:O51"/>
    <mergeCell ref="BN36:BP41"/>
    <mergeCell ref="V40:AG47"/>
    <mergeCell ref="AH40:AR47"/>
    <mergeCell ref="AS40:BD47"/>
    <mergeCell ref="BJ42:BP45"/>
    <mergeCell ref="F43:G43"/>
    <mergeCell ref="F44:G47"/>
    <mergeCell ref="BJ46:BP48"/>
    <mergeCell ref="BF32:BJ35"/>
    <mergeCell ref="V36:AG39"/>
    <mergeCell ref="AH36:AR39"/>
    <mergeCell ref="AS36:BD39"/>
    <mergeCell ref="BE36:BI47"/>
    <mergeCell ref="BJ36:BM41"/>
    <mergeCell ref="AT19:AT20"/>
    <mergeCell ref="AU19:AX19"/>
    <mergeCell ref="J31:M31"/>
    <mergeCell ref="J32:M35"/>
    <mergeCell ref="Y32:AB35"/>
    <mergeCell ref="AP32:AS35"/>
    <mergeCell ref="AE19:AE20"/>
    <mergeCell ref="AF19:AI19"/>
    <mergeCell ref="AJ19:AJ20"/>
    <mergeCell ref="AK19:AN19"/>
    <mergeCell ref="AO19:AO20"/>
    <mergeCell ref="AP19:AS19"/>
    <mergeCell ref="P19:P20"/>
    <mergeCell ref="Q19:T19"/>
    <mergeCell ref="U19:U20"/>
    <mergeCell ref="V19:Y19"/>
    <mergeCell ref="Z19:Z20"/>
    <mergeCell ref="AA19:AD19"/>
    <mergeCell ref="AV15:AX17"/>
    <mergeCell ref="AE15:AF17"/>
    <mergeCell ref="AG15:AI17"/>
    <mergeCell ref="AJ15:AK17"/>
    <mergeCell ref="AL15:AN17"/>
    <mergeCell ref="AO15:AP17"/>
    <mergeCell ref="AQ15:AS17"/>
    <mergeCell ref="P15:Q17"/>
    <mergeCell ref="R15:T17"/>
    <mergeCell ref="U15:V17"/>
    <mergeCell ref="W15:Y17"/>
    <mergeCell ref="Z15:AA17"/>
    <mergeCell ref="AB15:AD17"/>
    <mergeCell ref="BI13:BI14"/>
    <mergeCell ref="BJ13:BM13"/>
    <mergeCell ref="BN13:BN14"/>
    <mergeCell ref="BO13:BR13"/>
    <mergeCell ref="A15:B17"/>
    <mergeCell ref="C15:E17"/>
    <mergeCell ref="F15:G17"/>
    <mergeCell ref="H15:J17"/>
    <mergeCell ref="K15:L17"/>
    <mergeCell ref="M15:O17"/>
    <mergeCell ref="AT13:AT14"/>
    <mergeCell ref="AU13:AX13"/>
    <mergeCell ref="AY13:AY14"/>
    <mergeCell ref="AZ13:BC13"/>
    <mergeCell ref="BD13:BD14"/>
    <mergeCell ref="BE13:BH13"/>
    <mergeCell ref="AE13:AE14"/>
    <mergeCell ref="AF13:AI13"/>
    <mergeCell ref="AJ13:AJ14"/>
    <mergeCell ref="AK13:AN13"/>
    <mergeCell ref="AO13:AO14"/>
    <mergeCell ref="AP13:AS13"/>
    <mergeCell ref="P13:P14"/>
    <mergeCell ref="Q13:T13"/>
    <mergeCell ref="U13:U14"/>
    <mergeCell ref="V13:Y13"/>
    <mergeCell ref="Z13:Z14"/>
    <mergeCell ref="AA13:AD13"/>
    <mergeCell ref="A13:A14"/>
    <mergeCell ref="B13:E13"/>
    <mergeCell ref="F13:F14"/>
    <mergeCell ref="G13:J13"/>
    <mergeCell ref="K13:K14"/>
    <mergeCell ref="L13:O13"/>
    <mergeCell ref="AE9:AF11"/>
    <mergeCell ref="AG9:AI11"/>
    <mergeCell ref="AJ9:AK11"/>
    <mergeCell ref="AL9:AN11"/>
    <mergeCell ref="AO9:AP11"/>
    <mergeCell ref="AQ9:AS11"/>
    <mergeCell ref="P9:Q11"/>
    <mergeCell ref="R9:T11"/>
    <mergeCell ref="U9:V11"/>
    <mergeCell ref="W9:Y11"/>
    <mergeCell ref="Z9:AA11"/>
    <mergeCell ref="AB9:AD11"/>
    <mergeCell ref="BI7:BI8"/>
    <mergeCell ref="BJ7:BM7"/>
    <mergeCell ref="BN7:BN8"/>
    <mergeCell ref="BO7:BR7"/>
    <mergeCell ref="A9:B11"/>
    <mergeCell ref="C9:E11"/>
    <mergeCell ref="F9:G11"/>
    <mergeCell ref="H9:J11"/>
    <mergeCell ref="K9:L11"/>
    <mergeCell ref="M9:O11"/>
    <mergeCell ref="AT7:AT8"/>
    <mergeCell ref="AU7:AX7"/>
    <mergeCell ref="AY7:AY8"/>
    <mergeCell ref="AZ7:BC7"/>
    <mergeCell ref="BD7:BD8"/>
    <mergeCell ref="BE7:BH7"/>
    <mergeCell ref="AE7:AE8"/>
    <mergeCell ref="AF7:AI7"/>
    <mergeCell ref="AJ7:AJ8"/>
    <mergeCell ref="AK7:AN7"/>
    <mergeCell ref="AO7:AO8"/>
    <mergeCell ref="AP7:AS7"/>
    <mergeCell ref="P7:P8"/>
    <mergeCell ref="Q7:T7"/>
    <mergeCell ref="U7:U8"/>
    <mergeCell ref="V7:Y7"/>
    <mergeCell ref="Z7:Z8"/>
    <mergeCell ref="AA7:AD7"/>
    <mergeCell ref="A7:A8"/>
    <mergeCell ref="B7:E7"/>
    <mergeCell ref="F7:F8"/>
    <mergeCell ref="G7:J7"/>
    <mergeCell ref="K7:K8"/>
    <mergeCell ref="L7:O7"/>
    <mergeCell ref="AT6:AX6"/>
    <mergeCell ref="AY6:BC6"/>
    <mergeCell ref="BD6:BH6"/>
    <mergeCell ref="AE6:AI6"/>
    <mergeCell ref="AJ6:AN6"/>
    <mergeCell ref="AO6:AS6"/>
    <mergeCell ref="BI3:BJ5"/>
    <mergeCell ref="BK3:BM5"/>
    <mergeCell ref="BN3:BO5"/>
    <mergeCell ref="BI6:BM6"/>
    <mergeCell ref="BN6:BR6"/>
    <mergeCell ref="BP3:BR5"/>
    <mergeCell ref="AT3:AU5"/>
    <mergeCell ref="AV3:AX5"/>
    <mergeCell ref="AY3:AZ5"/>
    <mergeCell ref="BA3:BC5"/>
    <mergeCell ref="BD3:BE5"/>
    <mergeCell ref="BF3:BH5"/>
    <mergeCell ref="AE3:AF5"/>
    <mergeCell ref="AG3:AI5"/>
    <mergeCell ref="AJ3:AK5"/>
    <mergeCell ref="AL3:AN5"/>
    <mergeCell ref="AO3:AP5"/>
    <mergeCell ref="AQ3:AS5"/>
    <mergeCell ref="P3:Q5"/>
    <mergeCell ref="R3:T5"/>
    <mergeCell ref="U3:V5"/>
    <mergeCell ref="W3:Y5"/>
    <mergeCell ref="Z3:AA5"/>
    <mergeCell ref="AB3:AD5"/>
    <mergeCell ref="A3:B5"/>
    <mergeCell ref="C3:E5"/>
    <mergeCell ref="F3:G5"/>
    <mergeCell ref="H3:J5"/>
    <mergeCell ref="K3:L5"/>
    <mergeCell ref="M3:O5"/>
  </mergeCells>
  <pageMargins left="0.5" right="0" top="0.65" bottom="0" header="0.3" footer="0.3"/>
  <pageSetup paperSize="8" scale="46" orientation="landscape" r:id="rId1"/>
  <colBreaks count="1" manualBreakCount="1">
    <brk id="70" max="50" man="1"/>
  </colBreaks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501A8-E22F-4843-8C7E-82222DA17FA1}">
  <sheetPr>
    <tabColor rgb="FFFFC000"/>
  </sheetPr>
  <dimension ref="A1:CL108"/>
  <sheetViews>
    <sheetView view="pageBreakPreview" zoomScale="55" zoomScaleNormal="115" zoomScaleSheetLayoutView="55" workbookViewId="0">
      <selection activeCell="O31" sqref="O31:R31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140625" customWidth="1"/>
    <col min="47" max="47" width="10.71093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4.140625" customWidth="1"/>
    <col min="62" max="62" width="10.7109375" customWidth="1"/>
    <col min="63" max="63" width="4.28515625" customWidth="1"/>
    <col min="64" max="65" width="5.5703125" customWidth="1"/>
    <col min="66" max="66" width="4.140625" customWidth="1"/>
    <col min="67" max="67" width="10.7109375" customWidth="1"/>
    <col min="68" max="68" width="4.28515625" customWidth="1"/>
    <col min="69" max="70" width="5.5703125" customWidth="1"/>
    <col min="71" max="71" width="1" customWidth="1"/>
    <col min="72" max="72" width="56.7109375" customWidth="1"/>
    <col min="73" max="73" width="13" customWidth="1"/>
    <col min="74" max="74" width="7" customWidth="1"/>
  </cols>
  <sheetData>
    <row r="1" spans="1:83" ht="75" customHeight="1" x14ac:dyDescent="0.25"/>
    <row r="2" spans="1:83" ht="141.75" customHeight="1" x14ac:dyDescent="0.25"/>
    <row r="3" spans="1:83" ht="21.75" customHeight="1" x14ac:dyDescent="0.25">
      <c r="A3" s="3223" t="s">
        <v>110</v>
      </c>
      <c r="B3" s="3223"/>
      <c r="C3" s="3224">
        <f>B8/((36*3.1415/59)*(190/3.281))</f>
        <v>7.4593443828282563E-2</v>
      </c>
      <c r="D3" s="3224"/>
      <c r="E3" s="3224"/>
      <c r="F3" s="3223" t="s">
        <v>110</v>
      </c>
      <c r="G3" s="3223"/>
      <c r="H3" s="3224">
        <f t="shared" ref="H3" si="0">G8/((36*3.1415/59)*(190/3.281))</f>
        <v>1.5323902845606774E-2</v>
      </c>
      <c r="I3" s="3224"/>
      <c r="J3" s="3224"/>
      <c r="K3" s="3223" t="s">
        <v>110</v>
      </c>
      <c r="L3" s="3223"/>
      <c r="M3" s="3224">
        <f t="shared" ref="M3" si="1">L8/((36*3.1415/59)*(190/3.281))</f>
        <v>6.1095616883207533E-2</v>
      </c>
      <c r="N3" s="3224"/>
      <c r="O3" s="3224"/>
      <c r="P3" s="3223" t="s">
        <v>110</v>
      </c>
      <c r="Q3" s="3223"/>
      <c r="R3" s="3224">
        <f t="shared" ref="R3" si="2">Q8/((36*3.1415/59)*(190/3.281))</f>
        <v>3.1119864779461517E-2</v>
      </c>
      <c r="S3" s="3224"/>
      <c r="T3" s="3224"/>
      <c r="U3" s="3223" t="s">
        <v>110</v>
      </c>
      <c r="V3" s="3223"/>
      <c r="W3" s="3224">
        <f t="shared" ref="W3" si="3">V8/((36*3.1415/59)*(190/3.281))</f>
        <v>4.0959233790614787E-2</v>
      </c>
      <c r="X3" s="3224"/>
      <c r="Y3" s="3224"/>
      <c r="Z3" s="3223" t="s">
        <v>110</v>
      </c>
      <c r="AA3" s="3223"/>
      <c r="AB3" s="3224">
        <f t="shared" ref="AB3" si="4">AA8/((36*3.1415/59)*(190/3.281))</f>
        <v>0.13019461723968789</v>
      </c>
      <c r="AC3" s="3224"/>
      <c r="AD3" s="3224"/>
      <c r="AE3" s="3223" t="s">
        <v>110</v>
      </c>
      <c r="AF3" s="3223"/>
      <c r="AG3" s="3224">
        <f t="shared" ref="AG3" si="5">AF8/((36*3.1415/59)*(190/3.281))</f>
        <v>2.0365205627735847E-2</v>
      </c>
      <c r="AH3" s="3224"/>
      <c r="AI3" s="3224"/>
      <c r="AJ3" s="3223" t="s">
        <v>110</v>
      </c>
      <c r="AK3" s="3223"/>
      <c r="AL3" s="3224">
        <f t="shared" ref="AL3" si="6">AK8/((36*3.1415/59)*(190/3.281))</f>
        <v>3.9584496827510973E-2</v>
      </c>
      <c r="AM3" s="3224"/>
      <c r="AN3" s="3224"/>
      <c r="AO3" s="3223" t="s">
        <v>110</v>
      </c>
      <c r="AP3" s="3223"/>
      <c r="AQ3" s="3224">
        <f t="shared" ref="AQ3" si="7">AP8/((36*3.1415/59)*(190/3.281))</f>
        <v>4.347628167718888E-2</v>
      </c>
      <c r="AR3" s="3224"/>
      <c r="AS3" s="3224"/>
      <c r="AT3" s="3223" t="s">
        <v>110</v>
      </c>
      <c r="AU3" s="3223"/>
      <c r="AV3" s="3224">
        <f t="shared" ref="AV3" si="8">AU8/((36*3.1415/59)*(190/3.281))</f>
        <v>2.7687526752315027E-2</v>
      </c>
      <c r="AW3" s="3224"/>
      <c r="AX3" s="3224"/>
      <c r="AY3" s="3223" t="s">
        <v>110</v>
      </c>
      <c r="AZ3" s="3223"/>
      <c r="BA3" s="3224">
        <f t="shared" ref="BA3" si="9">AZ8/((36*3.1415/59)*(190/3.281))</f>
        <v>8.6934545831925548E-3</v>
      </c>
      <c r="BB3" s="3224"/>
      <c r="BC3" s="3224"/>
      <c r="BD3" s="3223" t="s">
        <v>110</v>
      </c>
      <c r="BE3" s="3223"/>
      <c r="BF3" s="3224">
        <f t="shared" ref="BF3" si="10">BE8/((36*3.1415/59)*(190/3.281))</f>
        <v>1.5559932389730758E-2</v>
      </c>
      <c r="BG3" s="3224"/>
      <c r="BH3" s="3224"/>
      <c r="BI3" s="3223" t="s">
        <v>110</v>
      </c>
      <c r="BJ3" s="3223"/>
      <c r="BK3" s="3224">
        <f t="shared" ref="BK3" si="11">BJ8/((36*3.1415/59)*(190/3.281))</f>
        <v>1.5102287319444558E-2</v>
      </c>
      <c r="BL3" s="3224"/>
      <c r="BM3" s="3224"/>
      <c r="BN3" s="3223" t="s">
        <v>110</v>
      </c>
      <c r="BO3" s="3223"/>
      <c r="BP3" s="3224">
        <f t="shared" ref="BP3" si="12">BO8/((36*3.1415/59)*(190/3.281))</f>
        <v>9.0087612261062751E-11</v>
      </c>
      <c r="BQ3" s="3224"/>
      <c r="BR3" s="3224"/>
    </row>
    <row r="4" spans="1:83" ht="21.75" customHeight="1" x14ac:dyDescent="0.25">
      <c r="A4" s="3223"/>
      <c r="B4" s="3223"/>
      <c r="C4" s="3224"/>
      <c r="D4" s="3224"/>
      <c r="E4" s="3224"/>
      <c r="F4" s="3223"/>
      <c r="G4" s="3223"/>
      <c r="H4" s="3224"/>
      <c r="I4" s="3224"/>
      <c r="J4" s="3224"/>
      <c r="K4" s="3223"/>
      <c r="L4" s="3223"/>
      <c r="M4" s="3224"/>
      <c r="N4" s="3224"/>
      <c r="O4" s="3224"/>
      <c r="P4" s="3223"/>
      <c r="Q4" s="3223"/>
      <c r="R4" s="3224"/>
      <c r="S4" s="3224"/>
      <c r="T4" s="3224"/>
      <c r="U4" s="3223"/>
      <c r="V4" s="3223"/>
      <c r="W4" s="3224"/>
      <c r="X4" s="3224"/>
      <c r="Y4" s="3224"/>
      <c r="Z4" s="3223"/>
      <c r="AA4" s="3223"/>
      <c r="AB4" s="3224"/>
      <c r="AC4" s="3224"/>
      <c r="AD4" s="3224"/>
      <c r="AE4" s="3223"/>
      <c r="AF4" s="3223"/>
      <c r="AG4" s="3224"/>
      <c r="AH4" s="3224"/>
      <c r="AI4" s="3224"/>
      <c r="AJ4" s="3223"/>
      <c r="AK4" s="3223"/>
      <c r="AL4" s="3224"/>
      <c r="AM4" s="3224"/>
      <c r="AN4" s="3224"/>
      <c r="AO4" s="3223"/>
      <c r="AP4" s="3223"/>
      <c r="AQ4" s="3224"/>
      <c r="AR4" s="3224"/>
      <c r="AS4" s="3224"/>
      <c r="AT4" s="3223"/>
      <c r="AU4" s="3223"/>
      <c r="AV4" s="3224"/>
      <c r="AW4" s="3224"/>
      <c r="AX4" s="3224"/>
      <c r="AY4" s="3223"/>
      <c r="AZ4" s="3223"/>
      <c r="BA4" s="3224"/>
      <c r="BB4" s="3224"/>
      <c r="BC4" s="3224"/>
      <c r="BD4" s="3223"/>
      <c r="BE4" s="3223"/>
      <c r="BF4" s="3224"/>
      <c r="BG4" s="3224"/>
      <c r="BH4" s="3224"/>
      <c r="BI4" s="3223"/>
      <c r="BJ4" s="3223"/>
      <c r="BK4" s="3224"/>
      <c r="BL4" s="3224"/>
      <c r="BM4" s="3224"/>
      <c r="BN4" s="3223"/>
      <c r="BO4" s="3223"/>
      <c r="BP4" s="3224"/>
      <c r="BQ4" s="3224"/>
      <c r="BR4" s="3224"/>
    </row>
    <row r="5" spans="1:83" ht="21.75" customHeight="1" x14ac:dyDescent="0.25">
      <c r="A5" s="3223"/>
      <c r="B5" s="3223"/>
      <c r="C5" s="3224"/>
      <c r="D5" s="3224"/>
      <c r="E5" s="3224"/>
      <c r="F5" s="3223"/>
      <c r="G5" s="3223"/>
      <c r="H5" s="3224"/>
      <c r="I5" s="3224"/>
      <c r="J5" s="3224"/>
      <c r="K5" s="3223"/>
      <c r="L5" s="3223"/>
      <c r="M5" s="3224"/>
      <c r="N5" s="3224"/>
      <c r="O5" s="3224"/>
      <c r="P5" s="3223"/>
      <c r="Q5" s="3223"/>
      <c r="R5" s="3224"/>
      <c r="S5" s="3224"/>
      <c r="T5" s="3224"/>
      <c r="U5" s="3223"/>
      <c r="V5" s="3223"/>
      <c r="W5" s="3224"/>
      <c r="X5" s="3224"/>
      <c r="Y5" s="3224"/>
      <c r="Z5" s="3223"/>
      <c r="AA5" s="3223"/>
      <c r="AB5" s="3224"/>
      <c r="AC5" s="3224"/>
      <c r="AD5" s="3224"/>
      <c r="AE5" s="3223"/>
      <c r="AF5" s="3223"/>
      <c r="AG5" s="3224"/>
      <c r="AH5" s="3224"/>
      <c r="AI5" s="3224"/>
      <c r="AJ5" s="3223"/>
      <c r="AK5" s="3223"/>
      <c r="AL5" s="3224"/>
      <c r="AM5" s="3224"/>
      <c r="AN5" s="3224"/>
      <c r="AO5" s="3223"/>
      <c r="AP5" s="3223"/>
      <c r="AQ5" s="3224"/>
      <c r="AR5" s="3224"/>
      <c r="AS5" s="3224"/>
      <c r="AT5" s="3223"/>
      <c r="AU5" s="3223"/>
      <c r="AV5" s="3224"/>
      <c r="AW5" s="3224"/>
      <c r="AX5" s="3224"/>
      <c r="AY5" s="3223"/>
      <c r="AZ5" s="3223"/>
      <c r="BA5" s="3224"/>
      <c r="BB5" s="3224"/>
      <c r="BC5" s="3224"/>
      <c r="BD5" s="3223"/>
      <c r="BE5" s="3223"/>
      <c r="BF5" s="3224"/>
      <c r="BG5" s="3224"/>
      <c r="BH5" s="3224"/>
      <c r="BI5" s="3223"/>
      <c r="BJ5" s="3223"/>
      <c r="BK5" s="3224"/>
      <c r="BL5" s="3224"/>
      <c r="BM5" s="3224"/>
      <c r="BN5" s="3223"/>
      <c r="BO5" s="3223"/>
      <c r="BP5" s="3224"/>
      <c r="BQ5" s="3224"/>
      <c r="BR5" s="3224"/>
    </row>
    <row r="6" spans="1:83" ht="54.75" customHeight="1" x14ac:dyDescent="0.25">
      <c r="A6" s="2043" t="s">
        <v>111</v>
      </c>
      <c r="B6" s="2043"/>
      <c r="C6" s="2043" t="s">
        <v>469</v>
      </c>
      <c r="D6" s="2043"/>
      <c r="E6" s="2043"/>
      <c r="F6" s="2043" t="s">
        <v>111</v>
      </c>
      <c r="G6" s="2043"/>
      <c r="H6" s="2043" t="s">
        <v>469</v>
      </c>
      <c r="I6" s="2043"/>
      <c r="J6" s="2043"/>
      <c r="K6" s="2043" t="s">
        <v>111</v>
      </c>
      <c r="L6" s="2043"/>
      <c r="M6" s="2043" t="s">
        <v>469</v>
      </c>
      <c r="N6" s="2043"/>
      <c r="O6" s="2043"/>
      <c r="P6" s="2043" t="s">
        <v>111</v>
      </c>
      <c r="Q6" s="2043"/>
      <c r="R6" s="2043" t="s">
        <v>469</v>
      </c>
      <c r="S6" s="2043"/>
      <c r="T6" s="2043"/>
      <c r="U6" s="2043" t="s">
        <v>111</v>
      </c>
      <c r="V6" s="2043"/>
      <c r="W6" s="2043" t="s">
        <v>469</v>
      </c>
      <c r="X6" s="2043"/>
      <c r="Y6" s="2043"/>
      <c r="Z6" s="2043" t="s">
        <v>111</v>
      </c>
      <c r="AA6" s="2043"/>
      <c r="AB6" s="2043" t="s">
        <v>469</v>
      </c>
      <c r="AC6" s="2043"/>
      <c r="AD6" s="2043"/>
      <c r="AE6" s="2043" t="s">
        <v>111</v>
      </c>
      <c r="AF6" s="2043"/>
      <c r="AG6" s="2043" t="s">
        <v>469</v>
      </c>
      <c r="AH6" s="2043"/>
      <c r="AI6" s="2043"/>
      <c r="AJ6" s="2043" t="s">
        <v>111</v>
      </c>
      <c r="AK6" s="2043"/>
      <c r="AL6" s="2043" t="s">
        <v>469</v>
      </c>
      <c r="AM6" s="2043"/>
      <c r="AN6" s="2043"/>
      <c r="AO6" s="2043" t="s">
        <v>111</v>
      </c>
      <c r="AP6" s="2043"/>
      <c r="AQ6" s="2043" t="s">
        <v>469</v>
      </c>
      <c r="AR6" s="2043"/>
      <c r="AS6" s="2043"/>
      <c r="AT6" s="2043" t="s">
        <v>111</v>
      </c>
      <c r="AU6" s="2043"/>
      <c r="AV6" s="2043" t="s">
        <v>469</v>
      </c>
      <c r="AW6" s="2043"/>
      <c r="AX6" s="2043"/>
      <c r="AY6" s="2043" t="s">
        <v>111</v>
      </c>
      <c r="AZ6" s="2043"/>
      <c r="BA6" s="2043" t="s">
        <v>469</v>
      </c>
      <c r="BB6" s="2043"/>
      <c r="BC6" s="2043"/>
      <c r="BD6" s="2043" t="s">
        <v>111</v>
      </c>
      <c r="BE6" s="2043"/>
      <c r="BF6" s="2043" t="s">
        <v>469</v>
      </c>
      <c r="BG6" s="2043"/>
      <c r="BH6" s="2043"/>
      <c r="BI6" s="2043" t="s">
        <v>111</v>
      </c>
      <c r="BJ6" s="2043"/>
      <c r="BK6" s="2043" t="s">
        <v>469</v>
      </c>
      <c r="BL6" s="2043"/>
      <c r="BM6" s="2043"/>
      <c r="BN6" s="2043" t="s">
        <v>111</v>
      </c>
      <c r="BO6" s="2043"/>
      <c r="BP6" s="2043" t="s">
        <v>469</v>
      </c>
      <c r="BQ6" s="2043"/>
      <c r="BR6" s="2043"/>
    </row>
    <row r="7" spans="1:83" s="22" customFormat="1" ht="97.5" customHeight="1" x14ac:dyDescent="1.35">
      <c r="A7" s="3225" t="s">
        <v>470</v>
      </c>
      <c r="B7" s="1921">
        <v>1</v>
      </c>
      <c r="C7" s="1921"/>
      <c r="D7" s="1921"/>
      <c r="E7" s="1921"/>
      <c r="F7" s="3225" t="s">
        <v>470</v>
      </c>
      <c r="G7" s="1921">
        <v>2</v>
      </c>
      <c r="H7" s="1921"/>
      <c r="I7" s="1921"/>
      <c r="J7" s="1921"/>
      <c r="K7" s="3225" t="s">
        <v>470</v>
      </c>
      <c r="L7" s="1921">
        <v>3</v>
      </c>
      <c r="M7" s="1921"/>
      <c r="N7" s="1921"/>
      <c r="O7" s="1921"/>
      <c r="P7" s="3225" t="s">
        <v>470</v>
      </c>
      <c r="Q7" s="1921">
        <v>4</v>
      </c>
      <c r="R7" s="1921"/>
      <c r="S7" s="1921"/>
      <c r="T7" s="1921"/>
      <c r="U7" s="3225" t="s">
        <v>470</v>
      </c>
      <c r="V7" s="1921">
        <v>5</v>
      </c>
      <c r="W7" s="1921"/>
      <c r="X7" s="1921"/>
      <c r="Y7" s="1921"/>
      <c r="Z7" s="3225" t="s">
        <v>470</v>
      </c>
      <c r="AA7" s="1921">
        <v>6</v>
      </c>
      <c r="AB7" s="1921"/>
      <c r="AC7" s="1921"/>
      <c r="AD7" s="1921"/>
      <c r="AE7" s="3225" t="s">
        <v>470</v>
      </c>
      <c r="AF7" s="1921">
        <v>7</v>
      </c>
      <c r="AG7" s="1921"/>
      <c r="AH7" s="1921"/>
      <c r="AI7" s="1921"/>
      <c r="AJ7" s="3225" t="s">
        <v>470</v>
      </c>
      <c r="AK7" s="1921">
        <v>8</v>
      </c>
      <c r="AL7" s="1921"/>
      <c r="AM7" s="1921"/>
      <c r="AN7" s="1921"/>
      <c r="AO7" s="3225" t="s">
        <v>470</v>
      </c>
      <c r="AP7" s="1921">
        <v>9</v>
      </c>
      <c r="AQ7" s="1921"/>
      <c r="AR7" s="1921"/>
      <c r="AS7" s="1921"/>
      <c r="AT7" s="3225" t="s">
        <v>470</v>
      </c>
      <c r="AU7" s="1921">
        <v>10</v>
      </c>
      <c r="AV7" s="1921"/>
      <c r="AW7" s="1921"/>
      <c r="AX7" s="1921"/>
      <c r="AY7" s="3225" t="s">
        <v>470</v>
      </c>
      <c r="AZ7" s="1921">
        <v>11</v>
      </c>
      <c r="BA7" s="1921"/>
      <c r="BB7" s="1921"/>
      <c r="BC7" s="1921"/>
      <c r="BD7" s="3225" t="s">
        <v>470</v>
      </c>
      <c r="BE7" s="1921">
        <v>12</v>
      </c>
      <c r="BF7" s="1921"/>
      <c r="BG7" s="1921"/>
      <c r="BH7" s="1921"/>
      <c r="BI7" s="3225" t="s">
        <v>470</v>
      </c>
      <c r="BJ7" s="1921">
        <v>13</v>
      </c>
      <c r="BK7" s="1921"/>
      <c r="BL7" s="1921"/>
      <c r="BM7" s="1921"/>
      <c r="BN7" s="3225" t="s">
        <v>470</v>
      </c>
      <c r="BO7" s="1921">
        <v>14</v>
      </c>
      <c r="BP7" s="1921"/>
      <c r="BQ7" s="1921"/>
      <c r="BR7" s="1921"/>
    </row>
    <row r="8" spans="1:83" ht="42.75" customHeight="1" x14ac:dyDescent="0.25">
      <c r="A8" s="3225"/>
      <c r="B8" s="363">
        <v>8.2800999999999991</v>
      </c>
      <c r="C8" s="364" t="s">
        <v>113</v>
      </c>
      <c r="D8" s="365">
        <v>1</v>
      </c>
      <c r="E8" s="366" t="s">
        <v>114</v>
      </c>
      <c r="F8" s="3225"/>
      <c r="G8" s="363">
        <v>1.7010000000000001</v>
      </c>
      <c r="H8" s="364" t="s">
        <v>113</v>
      </c>
      <c r="I8" s="365">
        <v>1</v>
      </c>
      <c r="J8" s="366" t="s">
        <v>114</v>
      </c>
      <c r="K8" s="3225"/>
      <c r="L8" s="363">
        <v>6.7817999999999996</v>
      </c>
      <c r="M8" s="364" t="s">
        <v>113</v>
      </c>
      <c r="N8" s="365">
        <v>1</v>
      </c>
      <c r="O8" s="366" t="s">
        <v>114</v>
      </c>
      <c r="P8" s="3225"/>
      <c r="Q8" s="363">
        <v>3.4544000000000001</v>
      </c>
      <c r="R8" s="364" t="s">
        <v>113</v>
      </c>
      <c r="S8" s="365">
        <v>1</v>
      </c>
      <c r="T8" s="366" t="s">
        <v>114</v>
      </c>
      <c r="U8" s="3225"/>
      <c r="V8" s="363">
        <v>4.5465999999999998</v>
      </c>
      <c r="W8" s="364" t="s">
        <v>113</v>
      </c>
      <c r="X8" s="365">
        <v>2</v>
      </c>
      <c r="Y8" s="366" t="s">
        <v>114</v>
      </c>
      <c r="Z8" s="3225"/>
      <c r="AA8" s="363">
        <v>14.452</v>
      </c>
      <c r="AB8" s="364" t="s">
        <v>113</v>
      </c>
      <c r="AC8" s="365">
        <v>1</v>
      </c>
      <c r="AD8" s="366" t="s">
        <v>114</v>
      </c>
      <c r="AE8" s="3225"/>
      <c r="AF8" s="363">
        <v>2.2606000000000002</v>
      </c>
      <c r="AG8" s="364" t="s">
        <v>113</v>
      </c>
      <c r="AH8" s="365">
        <v>1</v>
      </c>
      <c r="AI8" s="366" t="s">
        <v>114</v>
      </c>
      <c r="AJ8" s="3225"/>
      <c r="AK8" s="363">
        <v>4.3940000000000001</v>
      </c>
      <c r="AL8" s="364" t="s">
        <v>113</v>
      </c>
      <c r="AM8" s="365">
        <v>1</v>
      </c>
      <c r="AN8" s="366" t="s">
        <v>114</v>
      </c>
      <c r="AO8" s="3225"/>
      <c r="AP8" s="363">
        <v>4.8259999999999996</v>
      </c>
      <c r="AQ8" s="364" t="s">
        <v>113</v>
      </c>
      <c r="AR8" s="365">
        <v>2</v>
      </c>
      <c r="AS8" s="366" t="s">
        <v>114</v>
      </c>
      <c r="AT8" s="3225"/>
      <c r="AU8" s="363">
        <v>3.0733999999999999</v>
      </c>
      <c r="AV8" s="364" t="s">
        <v>113</v>
      </c>
      <c r="AW8" s="365">
        <v>1</v>
      </c>
      <c r="AX8" s="366" t="s">
        <v>114</v>
      </c>
      <c r="AY8" s="3225"/>
      <c r="AZ8" s="363">
        <v>0.96499999999999997</v>
      </c>
      <c r="BA8" s="364" t="s">
        <v>113</v>
      </c>
      <c r="BB8" s="365">
        <v>1</v>
      </c>
      <c r="BC8" s="366" t="s">
        <v>114</v>
      </c>
      <c r="BD8" s="3225"/>
      <c r="BE8" s="363">
        <v>1.7272000000000001</v>
      </c>
      <c r="BF8" s="364" t="s">
        <v>113</v>
      </c>
      <c r="BG8" s="365">
        <v>1</v>
      </c>
      <c r="BH8" s="366" t="s">
        <v>114</v>
      </c>
      <c r="BI8" s="3225"/>
      <c r="BJ8" s="363">
        <v>1.6763999999999999</v>
      </c>
      <c r="BK8" s="364" t="s">
        <v>113</v>
      </c>
      <c r="BL8" s="365">
        <v>2</v>
      </c>
      <c r="BM8" s="366" t="s">
        <v>114</v>
      </c>
      <c r="BN8" s="3225"/>
      <c r="BO8" s="363">
        <v>1E-8</v>
      </c>
      <c r="BP8" s="364" t="s">
        <v>113</v>
      </c>
      <c r="BQ8" s="365">
        <v>1</v>
      </c>
      <c r="BR8" s="366" t="s">
        <v>114</v>
      </c>
      <c r="BW8" s="27"/>
      <c r="BX8" s="27"/>
      <c r="BY8" s="27"/>
      <c r="BZ8" s="27"/>
      <c r="CA8" s="27"/>
      <c r="CB8" s="27"/>
      <c r="CC8" s="27"/>
      <c r="CD8" s="27"/>
      <c r="CE8" s="27"/>
    </row>
    <row r="9" spans="1:83" ht="21.75" customHeight="1" x14ac:dyDescent="0.25">
      <c r="A9" s="3223" t="s">
        <v>110</v>
      </c>
      <c r="B9" s="3223"/>
      <c r="C9" s="3224">
        <f t="shared" ref="C9" si="13">B14/((36*3.1415/59)*(190/3.281))</f>
        <v>1.6017577460016957E-2</v>
      </c>
      <c r="D9" s="3224"/>
      <c r="E9" s="3224"/>
      <c r="F9" s="3223" t="s">
        <v>110</v>
      </c>
      <c r="G9" s="3223"/>
      <c r="H9" s="3224">
        <f t="shared" ref="H9" si="14">G14/((36*3.1415/59)*(190/3.281))</f>
        <v>8.2340077606611363E-3</v>
      </c>
      <c r="I9" s="3224"/>
      <c r="J9" s="3224"/>
      <c r="K9" s="3223" t="s">
        <v>110</v>
      </c>
      <c r="L9" s="3223"/>
      <c r="M9" s="3224">
        <f t="shared" ref="M9" si="15">L14/((36*3.1415/59)*(190/3.281))</f>
        <v>4.8277951410703526E-2</v>
      </c>
      <c r="N9" s="3224"/>
      <c r="O9" s="3224"/>
      <c r="P9" s="3223" t="s">
        <v>110</v>
      </c>
      <c r="Q9" s="3223"/>
      <c r="R9" s="3224">
        <f t="shared" ref="R9" si="16">Q14/((36*3.1415/59)*(190/3.281))</f>
        <v>3.8827760884518046E-3</v>
      </c>
      <c r="S9" s="3224"/>
      <c r="T9" s="3224"/>
      <c r="U9" s="3223" t="s">
        <v>110</v>
      </c>
      <c r="V9" s="3223"/>
      <c r="W9" s="3224">
        <f t="shared" ref="W9" si="17">V14/((36*3.1415/59)*(190/3.281))</f>
        <v>1.121230422201187E-2</v>
      </c>
      <c r="X9" s="3224"/>
      <c r="Y9" s="3224"/>
      <c r="Z9" s="3223" t="s">
        <v>110</v>
      </c>
      <c r="AA9" s="3223"/>
      <c r="AB9" s="3224">
        <f t="shared" ref="AB9" si="18">AA14/((36*3.1415/59)*(190/3.281))</f>
        <v>2.173814083859444E-2</v>
      </c>
      <c r="AC9" s="3224"/>
      <c r="AD9" s="3224"/>
      <c r="AE9" s="3226" t="s">
        <v>110</v>
      </c>
      <c r="AF9" s="3226"/>
      <c r="AG9" s="3227">
        <f>AF14/((36*3.1415/59)*(60/3.281))</f>
        <v>2.8527743882669875E-11</v>
      </c>
      <c r="AH9" s="3227"/>
      <c r="AI9" s="3227"/>
      <c r="AJ9" s="3226" t="s">
        <v>110</v>
      </c>
      <c r="AK9" s="3226"/>
      <c r="AL9" s="3227">
        <f t="shared" ref="AL9" si="19">AK14/((36*3.1415/59)*(60/3.281))</f>
        <v>8.9833865486527428E-2</v>
      </c>
      <c r="AM9" s="3227"/>
      <c r="AN9" s="3227"/>
      <c r="AO9" s="3226" t="s">
        <v>110</v>
      </c>
      <c r="AP9" s="3226"/>
      <c r="AQ9" s="3227">
        <f t="shared" ref="AQ9" si="20">AP14/((36*3.1415/59)*(60/3.281))</f>
        <v>2.852774388266987E-8</v>
      </c>
      <c r="AR9" s="3227"/>
      <c r="AS9" s="3227"/>
      <c r="AT9" s="3226" t="s">
        <v>110</v>
      </c>
      <c r="AU9" s="3226"/>
      <c r="AV9" s="3227">
        <f t="shared" ref="AV9" si="21">AU14/((36*3.1415/59)*(60/3.281))</f>
        <v>5.0722328623387034E-2</v>
      </c>
      <c r="AW9" s="3227"/>
      <c r="AX9" s="3227"/>
      <c r="AY9" s="3226" t="s">
        <v>110</v>
      </c>
      <c r="AZ9" s="3226"/>
      <c r="BA9" s="3227">
        <f t="shared" ref="BA9" si="22">AZ14/((36*3.1415/59)*(60/3.281))</f>
        <v>5.0722328623387034E-2</v>
      </c>
      <c r="BB9" s="3227"/>
      <c r="BC9" s="3227"/>
      <c r="BD9" s="3226" t="s">
        <v>110</v>
      </c>
      <c r="BE9" s="3226"/>
      <c r="BF9" s="3227">
        <f t="shared" ref="BF9" si="23">BE14/((36*3.1415/59)*(60/3.281))</f>
        <v>2.318735022783407E-2</v>
      </c>
      <c r="BG9" s="3227"/>
      <c r="BH9" s="3227"/>
      <c r="BI9" s="3226" t="s">
        <v>110</v>
      </c>
      <c r="BJ9" s="3226"/>
      <c r="BK9" s="3227">
        <f t="shared" ref="BK9" si="24">BJ14/((36*3.1415/59)*(60/3.281))</f>
        <v>2.852774388266987E-8</v>
      </c>
      <c r="BL9" s="3227"/>
      <c r="BM9" s="3227"/>
      <c r="BN9" s="3226" t="s">
        <v>110</v>
      </c>
      <c r="BO9" s="3226"/>
      <c r="BP9" s="3227">
        <f t="shared" ref="BP9" si="25">BO14/((36*3.1415/59)*(60/3.281))</f>
        <v>3.6954839425610557E-2</v>
      </c>
      <c r="BQ9" s="3227"/>
      <c r="BR9" s="3227"/>
    </row>
    <row r="10" spans="1:83" ht="21.75" customHeight="1" x14ac:dyDescent="0.25">
      <c r="A10" s="3223"/>
      <c r="B10" s="3223"/>
      <c r="C10" s="3224"/>
      <c r="D10" s="3224"/>
      <c r="E10" s="3224"/>
      <c r="F10" s="3223"/>
      <c r="G10" s="3223"/>
      <c r="H10" s="3224"/>
      <c r="I10" s="3224"/>
      <c r="J10" s="3224"/>
      <c r="K10" s="3223"/>
      <c r="L10" s="3223"/>
      <c r="M10" s="3224"/>
      <c r="N10" s="3224"/>
      <c r="O10" s="3224"/>
      <c r="P10" s="3223"/>
      <c r="Q10" s="3223"/>
      <c r="R10" s="3224"/>
      <c r="S10" s="3224"/>
      <c r="T10" s="3224"/>
      <c r="U10" s="3223"/>
      <c r="V10" s="3223"/>
      <c r="W10" s="3224"/>
      <c r="X10" s="3224"/>
      <c r="Y10" s="3224"/>
      <c r="Z10" s="3223"/>
      <c r="AA10" s="3223"/>
      <c r="AB10" s="3224"/>
      <c r="AC10" s="3224"/>
      <c r="AD10" s="3224"/>
      <c r="AE10" s="3226"/>
      <c r="AF10" s="3226"/>
      <c r="AG10" s="3227"/>
      <c r="AH10" s="3227"/>
      <c r="AI10" s="3227"/>
      <c r="AJ10" s="3226"/>
      <c r="AK10" s="3226"/>
      <c r="AL10" s="3227"/>
      <c r="AM10" s="3227"/>
      <c r="AN10" s="3227"/>
      <c r="AO10" s="3226"/>
      <c r="AP10" s="3226"/>
      <c r="AQ10" s="3227"/>
      <c r="AR10" s="3227"/>
      <c r="AS10" s="3227"/>
      <c r="AT10" s="3226"/>
      <c r="AU10" s="3226"/>
      <c r="AV10" s="3227"/>
      <c r="AW10" s="3227"/>
      <c r="AX10" s="3227"/>
      <c r="AY10" s="3226"/>
      <c r="AZ10" s="3226"/>
      <c r="BA10" s="3227"/>
      <c r="BB10" s="3227"/>
      <c r="BC10" s="3227"/>
      <c r="BD10" s="3226"/>
      <c r="BE10" s="3226"/>
      <c r="BF10" s="3227"/>
      <c r="BG10" s="3227"/>
      <c r="BH10" s="3227"/>
      <c r="BI10" s="3226"/>
      <c r="BJ10" s="3226"/>
      <c r="BK10" s="3227"/>
      <c r="BL10" s="3227"/>
      <c r="BM10" s="3227"/>
      <c r="BN10" s="3226"/>
      <c r="BO10" s="3226"/>
      <c r="BP10" s="3227"/>
      <c r="BQ10" s="3227"/>
      <c r="BR10" s="3227"/>
    </row>
    <row r="11" spans="1:83" ht="21.75" customHeight="1" x14ac:dyDescent="0.25">
      <c r="A11" s="3223"/>
      <c r="B11" s="3223"/>
      <c r="C11" s="3224"/>
      <c r="D11" s="3224"/>
      <c r="E11" s="3224"/>
      <c r="F11" s="3223"/>
      <c r="G11" s="3223"/>
      <c r="H11" s="3224"/>
      <c r="I11" s="3224"/>
      <c r="J11" s="3224"/>
      <c r="K11" s="3223"/>
      <c r="L11" s="3223"/>
      <c r="M11" s="3224"/>
      <c r="N11" s="3224"/>
      <c r="O11" s="3224"/>
      <c r="P11" s="3223"/>
      <c r="Q11" s="3223"/>
      <c r="R11" s="3224"/>
      <c r="S11" s="3224"/>
      <c r="T11" s="3224"/>
      <c r="U11" s="3223"/>
      <c r="V11" s="3223"/>
      <c r="W11" s="3224"/>
      <c r="X11" s="3224"/>
      <c r="Y11" s="3224"/>
      <c r="Z11" s="3223"/>
      <c r="AA11" s="3223"/>
      <c r="AB11" s="3224"/>
      <c r="AC11" s="3224"/>
      <c r="AD11" s="3224"/>
      <c r="AE11" s="3226"/>
      <c r="AF11" s="3226"/>
      <c r="AG11" s="3227"/>
      <c r="AH11" s="3227"/>
      <c r="AI11" s="3227"/>
      <c r="AJ11" s="3226"/>
      <c r="AK11" s="3226"/>
      <c r="AL11" s="3227"/>
      <c r="AM11" s="3227"/>
      <c r="AN11" s="3227"/>
      <c r="AO11" s="3226"/>
      <c r="AP11" s="3226"/>
      <c r="AQ11" s="3227"/>
      <c r="AR11" s="3227"/>
      <c r="AS11" s="3227"/>
      <c r="AT11" s="3226"/>
      <c r="AU11" s="3226"/>
      <c r="AV11" s="3227"/>
      <c r="AW11" s="3227"/>
      <c r="AX11" s="3227"/>
      <c r="AY11" s="3226"/>
      <c r="AZ11" s="3226"/>
      <c r="BA11" s="3227"/>
      <c r="BB11" s="3227"/>
      <c r="BC11" s="3227"/>
      <c r="BD11" s="3226"/>
      <c r="BE11" s="3226"/>
      <c r="BF11" s="3227"/>
      <c r="BG11" s="3227"/>
      <c r="BH11" s="3227"/>
      <c r="BI11" s="3226"/>
      <c r="BJ11" s="3226"/>
      <c r="BK11" s="3227"/>
      <c r="BL11" s="3227"/>
      <c r="BM11" s="3227"/>
      <c r="BN11" s="3226"/>
      <c r="BO11" s="3226"/>
      <c r="BP11" s="3227"/>
      <c r="BQ11" s="3227"/>
      <c r="BR11" s="3227"/>
    </row>
    <row r="12" spans="1:83" ht="54.75" customHeight="1" x14ac:dyDescent="0.25">
      <c r="A12" s="2043" t="s">
        <v>111</v>
      </c>
      <c r="B12" s="2043"/>
      <c r="C12" s="2043" t="s">
        <v>469</v>
      </c>
      <c r="D12" s="2043"/>
      <c r="E12" s="2043"/>
      <c r="F12" s="2043" t="s">
        <v>111</v>
      </c>
      <c r="G12" s="2043"/>
      <c r="H12" s="2043" t="s">
        <v>469</v>
      </c>
      <c r="I12" s="2043"/>
      <c r="J12" s="2043"/>
      <c r="K12" s="2043" t="s">
        <v>111</v>
      </c>
      <c r="L12" s="2043"/>
      <c r="M12" s="2043" t="s">
        <v>469</v>
      </c>
      <c r="N12" s="2043"/>
      <c r="O12" s="2043"/>
      <c r="P12" s="2043" t="s">
        <v>111</v>
      </c>
      <c r="Q12" s="2043"/>
      <c r="R12" s="2043" t="s">
        <v>469</v>
      </c>
      <c r="S12" s="2043"/>
      <c r="T12" s="2043"/>
      <c r="U12" s="2043" t="s">
        <v>111</v>
      </c>
      <c r="V12" s="2043"/>
      <c r="W12" s="2043" t="s">
        <v>469</v>
      </c>
      <c r="X12" s="2043"/>
      <c r="Y12" s="2043"/>
      <c r="Z12" s="2043" t="s">
        <v>111</v>
      </c>
      <c r="AA12" s="2043"/>
      <c r="AB12" s="2043" t="s">
        <v>469</v>
      </c>
      <c r="AC12" s="2043"/>
      <c r="AD12" s="2043"/>
      <c r="AE12" s="1917" t="s">
        <v>111</v>
      </c>
      <c r="AF12" s="1918"/>
      <c r="AG12" s="1918"/>
      <c r="AH12" s="1918"/>
      <c r="AI12" s="1919"/>
      <c r="AJ12" s="1917" t="s">
        <v>111</v>
      </c>
      <c r="AK12" s="1918"/>
      <c r="AL12" s="1918"/>
      <c r="AM12" s="1918"/>
      <c r="AN12" s="1919"/>
      <c r="AO12" s="1917" t="s">
        <v>111</v>
      </c>
      <c r="AP12" s="1918"/>
      <c r="AQ12" s="1918"/>
      <c r="AR12" s="1918"/>
      <c r="AS12" s="1919"/>
      <c r="AT12" s="1917" t="s">
        <v>111</v>
      </c>
      <c r="AU12" s="1918"/>
      <c r="AV12" s="1918"/>
      <c r="AW12" s="1918"/>
      <c r="AX12" s="1919"/>
      <c r="AY12" s="1917" t="s">
        <v>111</v>
      </c>
      <c r="AZ12" s="1918"/>
      <c r="BA12" s="1918"/>
      <c r="BB12" s="1918"/>
      <c r="BC12" s="1919"/>
      <c r="BD12" s="1917" t="s">
        <v>111</v>
      </c>
      <c r="BE12" s="1918"/>
      <c r="BF12" s="1918"/>
      <c r="BG12" s="1918"/>
      <c r="BH12" s="1919"/>
      <c r="BI12" s="1917" t="s">
        <v>111</v>
      </c>
      <c r="BJ12" s="1918"/>
      <c r="BK12" s="1918"/>
      <c r="BL12" s="1918"/>
      <c r="BM12" s="1919"/>
      <c r="BN12" s="1917" t="s">
        <v>111</v>
      </c>
      <c r="BO12" s="1918"/>
      <c r="BP12" s="1918"/>
      <c r="BQ12" s="1918"/>
      <c r="BR12" s="1919"/>
    </row>
    <row r="13" spans="1:83" s="22" customFormat="1" ht="97.5" customHeight="1" x14ac:dyDescent="1.35">
      <c r="A13" s="3225" t="s">
        <v>470</v>
      </c>
      <c r="B13" s="1921">
        <v>15</v>
      </c>
      <c r="C13" s="1921"/>
      <c r="D13" s="1921"/>
      <c r="E13" s="1921"/>
      <c r="F13" s="3225" t="s">
        <v>470</v>
      </c>
      <c r="G13" s="1921">
        <v>16</v>
      </c>
      <c r="H13" s="1921"/>
      <c r="I13" s="1921"/>
      <c r="J13" s="1921"/>
      <c r="K13" s="3225" t="s">
        <v>470</v>
      </c>
      <c r="L13" s="1921">
        <v>20</v>
      </c>
      <c r="M13" s="1921"/>
      <c r="N13" s="1921"/>
      <c r="O13" s="1921"/>
      <c r="P13" s="3225" t="s">
        <v>470</v>
      </c>
      <c r="Q13" s="1921">
        <v>21</v>
      </c>
      <c r="R13" s="1921"/>
      <c r="S13" s="1921"/>
      <c r="T13" s="1921"/>
      <c r="U13" s="3225" t="s">
        <v>470</v>
      </c>
      <c r="V13" s="1921">
        <v>22</v>
      </c>
      <c r="W13" s="1921"/>
      <c r="X13" s="1921"/>
      <c r="Y13" s="1921"/>
      <c r="Z13" s="3225" t="s">
        <v>470</v>
      </c>
      <c r="AA13" s="1921">
        <v>23</v>
      </c>
      <c r="AB13" s="1921"/>
      <c r="AC13" s="1921"/>
      <c r="AD13" s="1921"/>
      <c r="AE13" s="3228" t="s">
        <v>169</v>
      </c>
      <c r="AF13" s="1921">
        <v>17</v>
      </c>
      <c r="AG13" s="1921"/>
      <c r="AH13" s="1921"/>
      <c r="AI13" s="1921"/>
      <c r="AJ13" s="3228" t="s">
        <v>169</v>
      </c>
      <c r="AK13" s="1921">
        <v>18</v>
      </c>
      <c r="AL13" s="1921"/>
      <c r="AM13" s="1921"/>
      <c r="AN13" s="1921"/>
      <c r="AO13" s="3228" t="s">
        <v>169</v>
      </c>
      <c r="AP13" s="1921">
        <v>19</v>
      </c>
      <c r="AQ13" s="1921"/>
      <c r="AR13" s="1921"/>
      <c r="AS13" s="1921"/>
      <c r="AT13" s="3228" t="s">
        <v>169</v>
      </c>
      <c r="AU13" s="1921">
        <v>24</v>
      </c>
      <c r="AV13" s="1921"/>
      <c r="AW13" s="1921"/>
      <c r="AX13" s="1921"/>
      <c r="AY13" s="3228" t="s">
        <v>169</v>
      </c>
      <c r="AZ13" s="1921">
        <v>25</v>
      </c>
      <c r="BA13" s="1921"/>
      <c r="BB13" s="1921"/>
      <c r="BC13" s="1921"/>
      <c r="BD13" s="3228" t="s">
        <v>169</v>
      </c>
      <c r="BE13" s="1921">
        <v>26</v>
      </c>
      <c r="BF13" s="1921"/>
      <c r="BG13" s="1921"/>
      <c r="BH13" s="1921"/>
      <c r="BI13" s="3228" t="s">
        <v>169</v>
      </c>
      <c r="BJ13" s="1921">
        <v>27</v>
      </c>
      <c r="BK13" s="1921"/>
      <c r="BL13" s="1921"/>
      <c r="BM13" s="1921"/>
      <c r="BN13" s="3228" t="s">
        <v>169</v>
      </c>
      <c r="BO13" s="1921">
        <v>28</v>
      </c>
      <c r="BP13" s="1921"/>
      <c r="BQ13" s="1921"/>
      <c r="BR13" s="1921"/>
    </row>
    <row r="14" spans="1:83" ht="42.75" customHeight="1" x14ac:dyDescent="0.25">
      <c r="A14" s="3225"/>
      <c r="B14" s="363">
        <v>1.778</v>
      </c>
      <c r="C14" s="364" t="s">
        <v>113</v>
      </c>
      <c r="D14" s="365">
        <v>1</v>
      </c>
      <c r="E14" s="366" t="s">
        <v>114</v>
      </c>
      <c r="F14" s="3225"/>
      <c r="G14" s="363">
        <v>0.91400000000000003</v>
      </c>
      <c r="H14" s="364" t="s">
        <v>113</v>
      </c>
      <c r="I14" s="365">
        <v>1</v>
      </c>
      <c r="J14" s="366" t="s">
        <v>114</v>
      </c>
      <c r="K14" s="3225"/>
      <c r="L14" s="363">
        <v>5.359</v>
      </c>
      <c r="M14" s="364" t="s">
        <v>113</v>
      </c>
      <c r="N14" s="365">
        <v>1</v>
      </c>
      <c r="O14" s="366" t="s">
        <v>114</v>
      </c>
      <c r="P14" s="3225"/>
      <c r="Q14" s="363">
        <v>0.43099999999999999</v>
      </c>
      <c r="R14" s="364" t="s">
        <v>113</v>
      </c>
      <c r="S14" s="365">
        <v>1</v>
      </c>
      <c r="T14" s="366" t="s">
        <v>114</v>
      </c>
      <c r="U14" s="3225"/>
      <c r="V14" s="363">
        <v>1.2445999999999999</v>
      </c>
      <c r="W14" s="364" t="s">
        <v>113</v>
      </c>
      <c r="X14" s="365">
        <v>2</v>
      </c>
      <c r="Y14" s="366" t="s">
        <v>114</v>
      </c>
      <c r="Z14" s="3225"/>
      <c r="AA14" s="363">
        <v>2.4129999999999998</v>
      </c>
      <c r="AB14" s="364" t="s">
        <v>113</v>
      </c>
      <c r="AC14" s="365">
        <v>1</v>
      </c>
      <c r="AD14" s="366" t="s">
        <v>114</v>
      </c>
      <c r="AE14" s="3228"/>
      <c r="AF14" s="363">
        <v>1.0000000000000001E-9</v>
      </c>
      <c r="AG14" s="364" t="s">
        <v>113</v>
      </c>
      <c r="AH14" s="365">
        <v>1</v>
      </c>
      <c r="AI14" s="366" t="s">
        <v>114</v>
      </c>
      <c r="AJ14" s="3228"/>
      <c r="AK14" s="363">
        <v>3.149</v>
      </c>
      <c r="AL14" s="364" t="s">
        <v>113</v>
      </c>
      <c r="AM14" s="365"/>
      <c r="AN14" s="366" t="s">
        <v>114</v>
      </c>
      <c r="AO14" s="3228"/>
      <c r="AP14" s="363">
        <v>9.9999999999999995E-7</v>
      </c>
      <c r="AQ14" s="364" t="s">
        <v>113</v>
      </c>
      <c r="AR14" s="365"/>
      <c r="AS14" s="366" t="s">
        <v>114</v>
      </c>
      <c r="AT14" s="3228"/>
      <c r="AU14" s="363">
        <v>1.778</v>
      </c>
      <c r="AV14" s="364" t="s">
        <v>113</v>
      </c>
      <c r="AW14" s="365">
        <v>1</v>
      </c>
      <c r="AX14" s="366" t="s">
        <v>114</v>
      </c>
      <c r="AY14" s="3228"/>
      <c r="AZ14" s="363">
        <v>1.778</v>
      </c>
      <c r="BA14" s="364" t="s">
        <v>113</v>
      </c>
      <c r="BB14" s="365"/>
      <c r="BC14" s="366" t="s">
        <v>114</v>
      </c>
      <c r="BD14" s="3228"/>
      <c r="BE14" s="363">
        <v>0.81279999999999997</v>
      </c>
      <c r="BF14" s="364" t="s">
        <v>113</v>
      </c>
      <c r="BG14" s="365">
        <v>1</v>
      </c>
      <c r="BH14" s="366" t="s">
        <v>114</v>
      </c>
      <c r="BI14" s="3228"/>
      <c r="BJ14" s="363">
        <v>9.9999999999999995E-7</v>
      </c>
      <c r="BK14" s="364" t="s">
        <v>113</v>
      </c>
      <c r="BL14" s="365"/>
      <c r="BM14" s="366" t="s">
        <v>114</v>
      </c>
      <c r="BN14" s="3228"/>
      <c r="BO14" s="363">
        <v>1.2954000000000001</v>
      </c>
      <c r="BP14" s="364" t="s">
        <v>113</v>
      </c>
      <c r="BQ14" s="365"/>
      <c r="BR14" s="366" t="s">
        <v>114</v>
      </c>
      <c r="BW14" s="27"/>
      <c r="BX14" s="27"/>
      <c r="BY14" s="27"/>
      <c r="BZ14" s="27"/>
      <c r="CA14" s="27"/>
      <c r="CB14" s="27"/>
      <c r="CC14" s="27"/>
      <c r="CD14" s="27"/>
      <c r="CE14" s="27"/>
    </row>
    <row r="15" spans="1:83" ht="21.75" customHeight="1" x14ac:dyDescent="0.25">
      <c r="A15" s="3226" t="s">
        <v>110</v>
      </c>
      <c r="B15" s="3226"/>
      <c r="C15" s="3227">
        <f t="shared" ref="C15" si="26">B20/((36*3.1415/59)*(60/3.281))</f>
        <v>5.7968375569585175E-3</v>
      </c>
      <c r="D15" s="3227"/>
      <c r="E15" s="3227"/>
      <c r="F15" s="3226" t="s">
        <v>110</v>
      </c>
      <c r="G15" s="3226"/>
      <c r="H15" s="3227">
        <f t="shared" ref="H15" si="27">G20/((36*3.1415/59)*(60/3.281))</f>
        <v>6.811284129426258E-2</v>
      </c>
      <c r="I15" s="3227"/>
      <c r="J15" s="3227"/>
      <c r="K15" s="121"/>
      <c r="L15" s="121"/>
      <c r="M15" s="121"/>
      <c r="N15" s="31"/>
      <c r="O15" s="121"/>
      <c r="P15" s="121"/>
      <c r="Q15" s="121"/>
      <c r="R15" s="121"/>
      <c r="S15" s="31"/>
      <c r="T15" s="121"/>
      <c r="U15" s="121"/>
      <c r="V15" s="121"/>
      <c r="W15" s="121"/>
      <c r="X15" s="31"/>
      <c r="Y15" s="121"/>
      <c r="Z15" s="121"/>
      <c r="AA15" s="121"/>
      <c r="AB15" s="121"/>
      <c r="AC15" s="31"/>
      <c r="AD15" s="121"/>
      <c r="AE15" s="121"/>
      <c r="AF15" s="121"/>
      <c r="AG15" s="121"/>
      <c r="AH15" s="31"/>
      <c r="AI15" s="121"/>
      <c r="AJ15" s="121"/>
      <c r="AK15" s="121"/>
      <c r="AL15" s="121"/>
      <c r="AM15" s="31"/>
      <c r="AN15" s="121"/>
      <c r="AO15" s="121"/>
      <c r="AP15" s="121"/>
      <c r="AQ15" s="121"/>
      <c r="AR15" s="31"/>
      <c r="AS15" s="121"/>
      <c r="AT15" s="121"/>
      <c r="AU15" s="121"/>
      <c r="AV15" s="121"/>
      <c r="AW15" s="31"/>
      <c r="AX15" s="121"/>
      <c r="AY15" s="121"/>
      <c r="AZ15" s="121"/>
      <c r="BA15" s="121"/>
      <c r="BB15" s="31"/>
      <c r="BC15" s="121"/>
      <c r="BD15" s="121"/>
      <c r="BE15" s="121"/>
      <c r="BF15" s="121"/>
      <c r="BG15" s="121"/>
      <c r="BH15" s="31"/>
      <c r="BI15" s="121"/>
      <c r="BJ15" s="121"/>
      <c r="BK15" s="121"/>
      <c r="BL15" s="121"/>
      <c r="BM15" s="121"/>
      <c r="BN15" s="31"/>
      <c r="BO15" s="121"/>
      <c r="BP15" s="121"/>
      <c r="BQ15" s="121"/>
      <c r="BR15" s="121"/>
    </row>
    <row r="16" spans="1:83" ht="21.75" customHeight="1" x14ac:dyDescent="0.25">
      <c r="A16" s="3226"/>
      <c r="B16" s="3226"/>
      <c r="C16" s="3227"/>
      <c r="D16" s="3227"/>
      <c r="E16" s="3227"/>
      <c r="F16" s="3226"/>
      <c r="G16" s="3226"/>
      <c r="H16" s="3227"/>
      <c r="I16" s="3227"/>
      <c r="J16" s="3227"/>
      <c r="K16" s="34"/>
      <c r="L16" s="35"/>
      <c r="M16" s="31"/>
      <c r="N16" s="32"/>
      <c r="O16" s="33"/>
      <c r="P16" s="34"/>
      <c r="Q16" s="35"/>
      <c r="R16" s="31"/>
      <c r="S16" s="32"/>
      <c r="T16" s="33"/>
      <c r="U16" s="34"/>
      <c r="V16" s="35"/>
      <c r="W16" s="31"/>
      <c r="X16" s="32"/>
      <c r="Y16" s="33"/>
      <c r="Z16" s="34"/>
      <c r="AA16" s="35"/>
      <c r="AB16" s="31"/>
      <c r="AC16" s="32"/>
      <c r="AD16" s="33"/>
      <c r="AE16" s="34"/>
      <c r="AF16" s="35"/>
      <c r="AG16" s="31"/>
      <c r="AH16" s="32"/>
      <c r="AI16" s="33"/>
      <c r="AJ16" s="34"/>
      <c r="AK16" s="35"/>
      <c r="AL16" s="31"/>
      <c r="AM16" s="32"/>
      <c r="AN16" s="33"/>
      <c r="AO16" s="34"/>
      <c r="AP16" s="35"/>
      <c r="AQ16" s="31"/>
      <c r="AR16" s="32"/>
      <c r="AS16" s="33"/>
      <c r="AT16" s="34"/>
      <c r="AU16" s="35"/>
      <c r="AV16" s="31"/>
      <c r="AW16" s="32"/>
      <c r="AX16" s="33"/>
      <c r="AY16" s="34"/>
      <c r="AZ16" s="35"/>
      <c r="BA16" s="31"/>
      <c r="BB16" s="32"/>
      <c r="BC16" s="33"/>
      <c r="BD16" s="34"/>
      <c r="BE16" s="34"/>
      <c r="BF16" s="35"/>
      <c r="BG16" s="31"/>
      <c r="BH16" s="32"/>
      <c r="BI16" s="33"/>
      <c r="BJ16" s="34"/>
      <c r="BK16" s="34"/>
      <c r="BL16" s="35"/>
      <c r="BM16" s="31"/>
      <c r="BN16" s="32"/>
      <c r="BO16" s="33"/>
      <c r="BP16" s="34"/>
      <c r="BQ16" s="34"/>
      <c r="BR16" s="35"/>
    </row>
    <row r="17" spans="1:83" ht="21.75" customHeight="1" x14ac:dyDescent="0.25">
      <c r="A17" s="3226"/>
      <c r="B17" s="3226"/>
      <c r="C17" s="3227"/>
      <c r="D17" s="3227"/>
      <c r="E17" s="3227"/>
      <c r="F17" s="3226"/>
      <c r="G17" s="3226"/>
      <c r="H17" s="3227"/>
      <c r="I17" s="3227"/>
      <c r="J17" s="3227"/>
      <c r="K17" s="34"/>
      <c r="L17" s="35"/>
      <c r="M17" s="31"/>
      <c r="N17" s="32"/>
      <c r="O17" s="33"/>
      <c r="P17" s="34"/>
      <c r="Q17" s="35"/>
      <c r="R17" s="31"/>
      <c r="S17" s="32"/>
      <c r="T17" s="33"/>
      <c r="U17" s="34"/>
      <c r="V17" s="35"/>
      <c r="W17" s="31"/>
      <c r="X17" s="32"/>
      <c r="Y17" s="33"/>
      <c r="Z17" s="34"/>
      <c r="AA17" s="35"/>
      <c r="AB17" s="31"/>
      <c r="AC17" s="32"/>
      <c r="AD17" s="33"/>
      <c r="AE17" s="34"/>
      <c r="AF17" s="35"/>
      <c r="AG17" s="31"/>
      <c r="AH17" s="32"/>
      <c r="AI17" s="33"/>
      <c r="AJ17" s="34"/>
      <c r="AK17" s="35"/>
      <c r="AL17" s="31"/>
      <c r="AM17" s="32"/>
      <c r="AN17" s="33"/>
      <c r="AO17" s="34"/>
      <c r="AP17" s="35"/>
      <c r="AQ17" s="31"/>
      <c r="AR17" s="32"/>
      <c r="AS17" s="33"/>
      <c r="AT17" s="34"/>
      <c r="AU17" s="35"/>
      <c r="AV17" s="31"/>
      <c r="AW17" s="32"/>
      <c r="AX17" s="33"/>
      <c r="AY17" s="34"/>
      <c r="AZ17" s="35"/>
      <c r="BA17" s="31"/>
      <c r="BB17" s="32"/>
      <c r="BC17" s="33"/>
      <c r="BD17" s="34"/>
      <c r="BE17" s="34"/>
      <c r="BF17" s="35"/>
      <c r="BG17" s="31"/>
      <c r="BH17" s="32"/>
      <c r="BI17" s="33"/>
      <c r="BJ17" s="34"/>
      <c r="BK17" s="34"/>
      <c r="BL17" s="35"/>
      <c r="BM17" s="31"/>
      <c r="BN17" s="32"/>
      <c r="BO17" s="33"/>
      <c r="BP17" s="34"/>
      <c r="BQ17" s="34"/>
      <c r="BR17" s="35"/>
    </row>
    <row r="18" spans="1:83" ht="54.75" customHeight="1" x14ac:dyDescent="0.25">
      <c r="A18" s="1917" t="s">
        <v>111</v>
      </c>
      <c r="B18" s="1918"/>
      <c r="C18" s="1918"/>
      <c r="D18" s="1918"/>
      <c r="E18" s="1919"/>
      <c r="F18" s="1917" t="s">
        <v>111</v>
      </c>
      <c r="G18" s="1918"/>
      <c r="H18" s="1918"/>
      <c r="I18" s="1918"/>
      <c r="J18" s="1919"/>
      <c r="K18" s="121"/>
      <c r="L18" s="121"/>
      <c r="M18" s="121"/>
      <c r="N18" s="31"/>
      <c r="O18" s="121"/>
      <c r="P18" s="121"/>
      <c r="Q18" s="121"/>
      <c r="R18" s="121"/>
      <c r="S18" s="31"/>
      <c r="T18" s="121"/>
      <c r="U18" s="121"/>
      <c r="V18" s="121"/>
      <c r="W18" s="121"/>
      <c r="X18" s="31"/>
      <c r="Y18" s="121"/>
      <c r="Z18" s="121"/>
      <c r="AA18" s="121"/>
      <c r="AB18" s="121"/>
      <c r="AC18" s="31"/>
      <c r="AD18" s="121"/>
      <c r="AE18" s="121"/>
      <c r="AF18" s="121"/>
      <c r="AG18" s="121"/>
      <c r="AH18" s="31"/>
      <c r="AI18" s="121"/>
      <c r="AJ18" s="121"/>
      <c r="AK18" s="121"/>
      <c r="AL18" s="121"/>
      <c r="AM18" s="31"/>
      <c r="AN18" s="121"/>
      <c r="AO18" s="121"/>
      <c r="AP18" s="121"/>
      <c r="AQ18" s="121"/>
      <c r="AR18" s="31"/>
      <c r="AS18" s="121"/>
      <c r="AT18" s="121"/>
      <c r="AU18" s="121"/>
      <c r="AV18" s="121"/>
      <c r="AW18" s="31"/>
      <c r="AX18" s="121"/>
      <c r="AY18" s="121"/>
      <c r="AZ18" s="121"/>
      <c r="BA18" s="121"/>
      <c r="BB18" s="31"/>
      <c r="BC18" s="121"/>
      <c r="BD18" s="121"/>
      <c r="BE18" s="121"/>
      <c r="BF18" s="121"/>
      <c r="BG18" s="121"/>
      <c r="BH18" s="31"/>
      <c r="BI18" s="121"/>
      <c r="BJ18" s="121"/>
      <c r="BK18" s="121"/>
      <c r="BL18" s="121"/>
      <c r="BM18" s="121"/>
      <c r="BN18" s="31"/>
      <c r="BO18" s="121"/>
      <c r="BP18" s="121"/>
      <c r="BQ18" s="121"/>
      <c r="BR18" s="121"/>
    </row>
    <row r="19" spans="1:83" s="22" customFormat="1" ht="97.5" customHeight="1" x14ac:dyDescent="1.35">
      <c r="A19" s="3228" t="s">
        <v>169</v>
      </c>
      <c r="B19" s="1921">
        <v>29</v>
      </c>
      <c r="C19" s="1921"/>
      <c r="D19" s="1921"/>
      <c r="E19" s="1921"/>
      <c r="F19" s="3228" t="s">
        <v>169</v>
      </c>
      <c r="G19" s="1921">
        <v>30</v>
      </c>
      <c r="H19" s="1921"/>
      <c r="I19" s="1921"/>
      <c r="J19" s="1921"/>
      <c r="K19" s="34"/>
      <c r="L19" s="35"/>
      <c r="M19" s="31"/>
      <c r="N19" s="32"/>
      <c r="O19" s="33"/>
      <c r="P19" s="34"/>
      <c r="Q19" s="35"/>
      <c r="R19" s="31"/>
      <c r="S19" s="32"/>
      <c r="T19" s="33"/>
      <c r="U19" s="34"/>
      <c r="V19" s="35"/>
      <c r="W19" s="31"/>
      <c r="X19" s="32"/>
      <c r="Y19" s="33"/>
      <c r="Z19" s="34"/>
      <c r="AA19" s="35"/>
      <c r="AB19" s="31"/>
      <c r="AC19" s="32"/>
      <c r="AD19" s="33"/>
      <c r="AE19" s="34"/>
      <c r="AF19" s="35"/>
      <c r="AG19" s="31"/>
      <c r="AH19" s="32"/>
      <c r="AI19" s="33"/>
      <c r="AJ19" s="34"/>
      <c r="AK19" s="35"/>
      <c r="AL19" s="31"/>
      <c r="AM19" s="32"/>
      <c r="AN19" s="33"/>
      <c r="AO19" s="34"/>
      <c r="AP19" s="35"/>
      <c r="AQ19" s="31"/>
      <c r="AR19" s="32"/>
      <c r="AS19" s="33"/>
      <c r="AT19" s="34"/>
      <c r="AU19" s="35"/>
      <c r="AV19" s="31"/>
      <c r="AW19" s="32"/>
      <c r="AX19" s="33"/>
      <c r="AY19" s="34"/>
      <c r="AZ19" s="35"/>
      <c r="BA19" s="31"/>
      <c r="BB19" s="32"/>
      <c r="BC19" s="33"/>
      <c r="BD19" s="34"/>
      <c r="BE19" s="34"/>
      <c r="BF19" s="35"/>
      <c r="BG19" s="31"/>
      <c r="BH19" s="32"/>
      <c r="BI19" s="33"/>
      <c r="BJ19" s="34"/>
      <c r="BK19" s="34"/>
      <c r="BL19" s="35"/>
      <c r="BM19" s="31"/>
      <c r="BN19" s="32"/>
      <c r="BO19" s="33"/>
      <c r="BP19" s="34"/>
      <c r="BQ19" s="34"/>
      <c r="BR19" s="35"/>
    </row>
    <row r="20" spans="1:83" ht="42.75" customHeight="1" x14ac:dyDescent="0.25">
      <c r="A20" s="3228"/>
      <c r="B20" s="363">
        <v>0.20319999999999999</v>
      </c>
      <c r="C20" s="364" t="s">
        <v>113</v>
      </c>
      <c r="D20" s="365">
        <v>1</v>
      </c>
      <c r="E20" s="366" t="s">
        <v>114</v>
      </c>
      <c r="F20" s="3228"/>
      <c r="G20" s="363">
        <v>2.3875999999999999</v>
      </c>
      <c r="H20" s="364" t="s">
        <v>113</v>
      </c>
      <c r="I20" s="365"/>
      <c r="J20" s="366" t="s">
        <v>114</v>
      </c>
      <c r="K20" s="34"/>
      <c r="L20" s="35"/>
      <c r="M20" s="31"/>
      <c r="N20" s="32"/>
      <c r="O20" s="33"/>
      <c r="P20" s="34"/>
      <c r="Q20" s="35"/>
      <c r="R20" s="31"/>
      <c r="S20" s="32"/>
      <c r="T20" s="33"/>
      <c r="U20" s="34"/>
      <c r="V20" s="35"/>
      <c r="W20" s="31"/>
      <c r="X20" s="32"/>
      <c r="Y20" s="33"/>
      <c r="Z20" s="34"/>
      <c r="AA20" s="35"/>
      <c r="AB20" s="31"/>
      <c r="AC20" s="32"/>
      <c r="AD20" s="33"/>
      <c r="AE20" s="34"/>
      <c r="AF20" s="35"/>
      <c r="AG20" s="31"/>
      <c r="AH20" s="32"/>
      <c r="AI20" s="33"/>
      <c r="AJ20" s="34"/>
      <c r="AK20" s="35"/>
      <c r="AL20" s="31"/>
      <c r="AM20" s="32"/>
      <c r="AN20" s="33"/>
      <c r="AO20" s="34"/>
      <c r="AP20" s="35"/>
      <c r="AQ20" s="31"/>
      <c r="AR20" s="32"/>
      <c r="AS20" s="33"/>
      <c r="AT20" s="34"/>
      <c r="AU20" s="35"/>
      <c r="AV20" s="31"/>
      <c r="AW20" s="32"/>
      <c r="AX20" s="33"/>
      <c r="AY20" s="34"/>
      <c r="AZ20" s="35"/>
      <c r="BA20" s="31"/>
      <c r="BB20" s="32"/>
      <c r="BC20" s="33"/>
      <c r="BD20" s="34"/>
      <c r="BE20" s="34"/>
      <c r="BF20" s="35"/>
      <c r="BG20" s="31"/>
      <c r="BH20" s="32"/>
      <c r="BI20" s="33"/>
      <c r="BJ20" s="34"/>
      <c r="BK20" s="34"/>
      <c r="BL20" s="35"/>
      <c r="BM20" s="31"/>
      <c r="BN20" s="32"/>
      <c r="BO20" s="33"/>
      <c r="BP20" s="34"/>
      <c r="BQ20" s="34"/>
      <c r="BR20" s="35"/>
      <c r="BW20" s="27"/>
      <c r="BX20" s="27"/>
      <c r="BY20" s="27"/>
      <c r="BZ20" s="27"/>
      <c r="CA20" s="27"/>
      <c r="CB20" s="27"/>
      <c r="CC20" s="27"/>
      <c r="CD20" s="27"/>
      <c r="CE20" s="27"/>
    </row>
    <row r="21" spans="1:83" ht="26.1" customHeight="1" x14ac:dyDescent="0.25">
      <c r="A21" s="121"/>
      <c r="B21" s="121"/>
      <c r="C21" s="121"/>
      <c r="D21" s="31"/>
      <c r="E21" s="121"/>
      <c r="F21" s="121"/>
      <c r="G21" s="121"/>
      <c r="H21" s="121"/>
      <c r="I21" s="121"/>
      <c r="J21" s="31"/>
      <c r="K21" s="121"/>
      <c r="L21" s="121"/>
      <c r="M21" s="121"/>
      <c r="N21" s="121"/>
      <c r="O21" s="121"/>
      <c r="P21" s="31"/>
      <c r="Q21" s="121"/>
      <c r="R21" s="121"/>
      <c r="S21" s="121"/>
      <c r="T21" s="121"/>
      <c r="U21" s="121"/>
      <c r="V21" s="31"/>
      <c r="W21" s="121"/>
      <c r="X21" s="121"/>
      <c r="Y21" s="121"/>
      <c r="Z21" s="121"/>
      <c r="AA21" s="121"/>
      <c r="AB21" s="31"/>
      <c r="AC21" s="121"/>
      <c r="AD21" s="121"/>
      <c r="AE21" s="121"/>
      <c r="AF21" s="121"/>
      <c r="AG21" s="121"/>
      <c r="AH21" s="31"/>
      <c r="AI21" s="121"/>
      <c r="AJ21" s="121"/>
      <c r="AK21" s="121"/>
      <c r="AL21" s="121"/>
      <c r="AM21" s="121"/>
      <c r="AN21" s="31"/>
      <c r="AO21" s="121"/>
      <c r="AP21" s="121"/>
      <c r="AQ21" s="121"/>
      <c r="AR21" s="121"/>
      <c r="AS21" s="121"/>
      <c r="AT21" s="31"/>
      <c r="AU21" s="121"/>
      <c r="AV21" s="121"/>
      <c r="AW21" s="121"/>
      <c r="AX21" s="121"/>
      <c r="AY21" s="121"/>
      <c r="AZ21" s="121"/>
      <c r="BA21" s="121"/>
      <c r="BB21" s="31"/>
      <c r="BC21" s="121"/>
      <c r="BD21" s="121"/>
      <c r="BE21" s="121"/>
      <c r="BF21" s="121"/>
      <c r="BG21" s="121"/>
      <c r="BH21" s="31"/>
      <c r="BI21" s="121"/>
      <c r="BJ21" s="121"/>
      <c r="BK21" s="121"/>
      <c r="BL21" s="121"/>
      <c r="BM21" s="121"/>
      <c r="BN21" s="31"/>
      <c r="BO21" s="121"/>
      <c r="BP21" s="121"/>
      <c r="BQ21" s="121"/>
      <c r="BR21" s="121"/>
    </row>
    <row r="22" spans="1:83" ht="6.75" customHeight="1" x14ac:dyDescent="0.25">
      <c r="A22" s="34"/>
      <c r="B22" s="35"/>
      <c r="C22" s="31"/>
      <c r="D22" s="32"/>
      <c r="E22" s="33"/>
      <c r="F22" s="34"/>
      <c r="G22" s="34"/>
      <c r="H22" s="35"/>
      <c r="I22" s="31"/>
      <c r="J22" s="32"/>
      <c r="K22" s="33"/>
      <c r="L22" s="34"/>
      <c r="M22" s="34"/>
      <c r="N22" s="35"/>
      <c r="O22" s="31"/>
      <c r="P22" s="32"/>
      <c r="Q22" s="33"/>
      <c r="R22" s="34"/>
      <c r="S22" s="34"/>
      <c r="T22" s="35"/>
      <c r="U22" s="31"/>
      <c r="V22" s="32"/>
      <c r="W22" s="33"/>
      <c r="X22" s="34"/>
      <c r="Y22" s="34"/>
      <c r="Z22" s="35"/>
      <c r="AA22" s="31"/>
      <c r="AB22" s="32"/>
      <c r="AC22" s="33"/>
      <c r="AD22" s="34"/>
      <c r="AE22" s="34"/>
      <c r="AF22" s="35"/>
      <c r="AG22" s="31"/>
      <c r="AH22" s="32"/>
      <c r="AI22" s="33"/>
      <c r="AJ22" s="34"/>
      <c r="AK22" s="34"/>
      <c r="AL22" s="35"/>
      <c r="AM22" s="31"/>
      <c r="AN22" s="32"/>
      <c r="AO22" s="33"/>
      <c r="AP22" s="34"/>
      <c r="AQ22" s="34"/>
      <c r="AR22" s="35"/>
      <c r="AS22" s="31"/>
      <c r="AT22" s="32"/>
      <c r="AU22" s="33"/>
      <c r="AV22" s="34"/>
      <c r="AW22" s="34"/>
      <c r="AX22" s="35"/>
      <c r="AY22" s="34"/>
      <c r="AZ22" s="35"/>
      <c r="BA22" s="31"/>
      <c r="BB22" s="32"/>
      <c r="BC22" s="33"/>
      <c r="BD22" s="34"/>
      <c r="BE22" s="34"/>
      <c r="BF22" s="35"/>
      <c r="BG22" s="31"/>
      <c r="BH22" s="32"/>
      <c r="BI22" s="33"/>
      <c r="BJ22" s="34"/>
      <c r="BK22" s="34"/>
      <c r="BL22" s="35"/>
      <c r="BM22" s="31"/>
      <c r="BN22" s="32"/>
      <c r="BO22" s="33"/>
      <c r="BP22" s="34"/>
      <c r="BQ22" s="34"/>
      <c r="BR22" s="35"/>
    </row>
    <row r="23" spans="1:83" ht="21.95" customHeight="1" x14ac:dyDescent="0.25">
      <c r="A23" s="34"/>
      <c r="B23" s="35"/>
      <c r="C23" s="31"/>
      <c r="D23" s="32"/>
      <c r="E23" s="33"/>
      <c r="F23" s="34"/>
      <c r="G23" s="34"/>
      <c r="H23" s="35"/>
      <c r="I23" s="31"/>
      <c r="J23" s="32"/>
      <c r="K23" s="33"/>
      <c r="L23" s="34"/>
      <c r="M23" s="34"/>
      <c r="N23" s="35"/>
      <c r="O23" s="31"/>
      <c r="P23" s="32"/>
      <c r="Q23" s="33"/>
      <c r="R23" s="34"/>
      <c r="S23" s="34"/>
      <c r="T23" s="35"/>
      <c r="U23" s="31"/>
      <c r="V23" s="32"/>
      <c r="W23" s="33"/>
      <c r="X23" s="34"/>
      <c r="Y23" s="34"/>
      <c r="Z23" s="35"/>
      <c r="AA23" s="31"/>
      <c r="AB23" s="32"/>
      <c r="AC23" s="33"/>
      <c r="AD23" s="34"/>
      <c r="AE23" s="34"/>
      <c r="AF23" s="35"/>
      <c r="AG23" s="31"/>
      <c r="AH23" s="32"/>
      <c r="AI23" s="33"/>
      <c r="AJ23" s="34"/>
      <c r="AK23" s="34"/>
      <c r="AL23" s="35"/>
      <c r="AM23" s="31"/>
      <c r="AN23" s="32"/>
      <c r="AO23" s="33"/>
      <c r="AP23" s="34"/>
      <c r="AQ23" s="34"/>
      <c r="AR23" s="35"/>
      <c r="AS23" s="31"/>
      <c r="AT23" s="32"/>
      <c r="AU23" s="33"/>
      <c r="AV23" s="34"/>
      <c r="AW23" s="34"/>
      <c r="AX23" s="35"/>
      <c r="AY23" s="34"/>
      <c r="AZ23" s="35"/>
      <c r="BA23" s="31"/>
      <c r="BB23" s="32"/>
      <c r="BC23" s="33"/>
      <c r="BD23" s="34"/>
      <c r="BE23" s="34"/>
      <c r="BF23" s="35"/>
      <c r="BG23" s="31"/>
      <c r="BH23" s="32"/>
      <c r="BI23" s="33"/>
      <c r="BJ23" s="34"/>
      <c r="BK23" s="34"/>
      <c r="BL23" s="35"/>
      <c r="BM23" s="31"/>
      <c r="BN23" s="32"/>
      <c r="BO23" s="33"/>
      <c r="BP23" s="34"/>
      <c r="BQ23" s="34"/>
      <c r="BR23" s="35"/>
    </row>
    <row r="24" spans="1:83" ht="6" customHeight="1" x14ac:dyDescent="0.25">
      <c r="A24" s="121"/>
      <c r="B24" s="121"/>
      <c r="C24" s="121"/>
      <c r="D24" s="31"/>
      <c r="E24" s="121"/>
      <c r="F24" s="121"/>
      <c r="G24" s="121"/>
      <c r="H24" s="121"/>
      <c r="I24" s="121"/>
      <c r="J24" s="31"/>
      <c r="K24" s="121"/>
      <c r="L24" s="121"/>
      <c r="M24" s="121"/>
      <c r="N24" s="121"/>
      <c r="O24" s="121"/>
      <c r="P24" s="31"/>
      <c r="Q24" s="121"/>
      <c r="R24" s="121"/>
      <c r="S24" s="121"/>
      <c r="T24" s="121"/>
      <c r="U24" s="121"/>
      <c r="V24" s="31"/>
      <c r="W24" s="121"/>
      <c r="X24" s="121"/>
      <c r="Y24" s="121"/>
      <c r="Z24" s="121"/>
      <c r="AA24" s="121"/>
      <c r="AB24" s="121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21"/>
      <c r="AQ24" s="121"/>
      <c r="AR24" s="121"/>
      <c r="AS24" s="121"/>
      <c r="AT24" s="31"/>
      <c r="AU24" s="121"/>
      <c r="AV24" s="121"/>
      <c r="AW24" s="121"/>
      <c r="AX24" s="121"/>
      <c r="AY24" s="121"/>
      <c r="AZ24" s="121"/>
      <c r="BA24" s="121"/>
      <c r="BB24" s="31"/>
      <c r="BC24" s="121"/>
      <c r="BD24" s="121"/>
      <c r="BE24" s="121"/>
      <c r="BF24" s="121"/>
      <c r="BG24" s="121"/>
      <c r="BH24" s="31"/>
      <c r="BI24" s="121"/>
      <c r="BJ24" s="121"/>
      <c r="BK24" s="121"/>
      <c r="BL24" s="121"/>
      <c r="BM24" s="121"/>
      <c r="BN24" s="31"/>
      <c r="BO24" s="121"/>
      <c r="BP24" s="121"/>
      <c r="BQ24" s="121"/>
      <c r="BR24" s="121"/>
    </row>
    <row r="25" spans="1:83" s="22" customFormat="1" ht="80.099999999999994" customHeight="1" x14ac:dyDescent="1.35">
      <c r="A25" s="34"/>
      <c r="B25" s="121"/>
      <c r="C25" s="121"/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35"/>
      <c r="U25" s="31"/>
      <c r="V25" s="32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3"/>
      <c r="AP25" s="34"/>
      <c r="AQ25" s="34"/>
      <c r="AR25" s="35"/>
      <c r="AS25" s="31"/>
      <c r="AT25" s="32"/>
      <c r="AU25" s="33"/>
      <c r="AV25" s="34"/>
      <c r="AW25" s="34"/>
      <c r="AX25" s="35"/>
      <c r="AY25" s="34"/>
      <c r="AZ25" s="35"/>
      <c r="BA25" s="31"/>
      <c r="BB25" s="32"/>
      <c r="BC25" s="33"/>
      <c r="BD25" s="34"/>
      <c r="BE25" s="34"/>
      <c r="BF25" s="35"/>
      <c r="BG25" s="31"/>
      <c r="BH25" s="32"/>
      <c r="BI25" s="33"/>
      <c r="BJ25" s="34"/>
      <c r="BK25" s="34"/>
      <c r="BL25" s="35"/>
      <c r="BM25" s="31"/>
      <c r="BN25" s="32"/>
      <c r="BO25" s="33"/>
      <c r="BP25" s="34"/>
      <c r="BQ25" s="34"/>
      <c r="BR25" s="35"/>
    </row>
    <row r="26" spans="1:83" ht="27" customHeight="1" x14ac:dyDescent="0.25">
      <c r="A26" s="34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1"/>
      <c r="V26" s="32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3"/>
      <c r="AP26" s="34"/>
      <c r="AQ26" s="34"/>
      <c r="AR26" s="35"/>
      <c r="AS26" s="31"/>
      <c r="AT26" s="32"/>
      <c r="AU26" s="33"/>
      <c r="AV26" s="34"/>
      <c r="AW26" s="34"/>
      <c r="AX26" s="35"/>
      <c r="AY26" s="34"/>
      <c r="AZ26" s="35"/>
      <c r="BA26" s="31"/>
      <c r="BB26" s="32"/>
      <c r="BC26" s="33"/>
      <c r="BD26" s="34"/>
      <c r="BE26" s="34"/>
      <c r="BF26" s="35"/>
      <c r="BG26" s="717">
        <v>30</v>
      </c>
      <c r="BH26" s="717"/>
      <c r="BI26" s="717"/>
      <c r="BJ26" s="717"/>
      <c r="BK26" s="34"/>
      <c r="BL26" s="35"/>
      <c r="BM26" s="31"/>
      <c r="BN26" s="32"/>
      <c r="BO26" s="33"/>
      <c r="BP26" s="34"/>
      <c r="BQ26" s="34"/>
      <c r="BR26" s="35"/>
      <c r="BW26" s="27"/>
      <c r="BX26" s="27"/>
      <c r="BY26" s="27"/>
      <c r="BZ26" s="27"/>
      <c r="CA26" s="27"/>
      <c r="CB26" s="27"/>
      <c r="CC26" s="27"/>
      <c r="CD26" s="27"/>
      <c r="CE26" s="27"/>
    </row>
    <row r="27" spans="1:83" ht="26.1" customHeight="1" x14ac:dyDescent="0.25">
      <c r="A27" s="12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121"/>
      <c r="U27" s="121"/>
      <c r="V27" s="31"/>
      <c r="W27" s="121"/>
      <c r="X27" s="121"/>
      <c r="Y27" s="121"/>
      <c r="Z27" s="121"/>
      <c r="AA27" s="121"/>
      <c r="AB27" s="31"/>
      <c r="AC27" s="121"/>
      <c r="AD27" s="121"/>
      <c r="AE27" s="121"/>
      <c r="AF27" s="121"/>
      <c r="AG27" s="121"/>
      <c r="AH27" s="31"/>
      <c r="AI27" s="121"/>
      <c r="AJ27" s="121"/>
      <c r="AK27" s="121"/>
      <c r="AL27" s="121"/>
      <c r="AM27" s="121"/>
      <c r="AN27" s="31"/>
      <c r="AO27" s="121"/>
      <c r="AP27" s="121"/>
      <c r="AQ27" s="121"/>
      <c r="AR27" s="121"/>
      <c r="AS27" s="121"/>
      <c r="AT27" s="31"/>
      <c r="AU27" s="121"/>
      <c r="AV27" s="121"/>
      <c r="AW27" s="121"/>
      <c r="AX27" s="121"/>
      <c r="AY27" s="121"/>
      <c r="AZ27" s="121"/>
      <c r="BA27" s="121"/>
      <c r="BB27" s="31"/>
      <c r="BC27" s="121"/>
      <c r="BD27" s="121"/>
      <c r="BE27" s="121"/>
      <c r="BF27" s="121"/>
      <c r="BG27" s="717"/>
      <c r="BH27" s="717"/>
      <c r="BI27" s="717"/>
      <c r="BJ27" s="717"/>
      <c r="BK27" s="121"/>
      <c r="BL27" s="121"/>
      <c r="BM27" s="121"/>
      <c r="BN27" s="31"/>
      <c r="BO27" s="121"/>
      <c r="BP27" s="121"/>
      <c r="BQ27" s="121"/>
      <c r="BR27" s="121"/>
    </row>
    <row r="28" spans="1:83" ht="6.75" customHeight="1" x14ac:dyDescent="0.25">
      <c r="A28" s="34"/>
      <c r="B28" s="35"/>
      <c r="C28" s="31"/>
      <c r="D28" s="32"/>
      <c r="E28" s="33"/>
      <c r="F28" s="34"/>
      <c r="G28" s="34"/>
      <c r="H28" s="35"/>
      <c r="I28" s="31"/>
      <c r="J28" s="32"/>
      <c r="K28" s="33"/>
      <c r="L28" s="34"/>
      <c r="M28" s="34"/>
      <c r="N28" s="35"/>
      <c r="O28" s="31"/>
      <c r="P28" s="32"/>
      <c r="Q28" s="33"/>
      <c r="R28" s="34"/>
      <c r="S28" s="34"/>
      <c r="T28" s="35"/>
      <c r="U28" s="31"/>
      <c r="V28" s="32"/>
      <c r="W28" s="33"/>
      <c r="X28" s="34"/>
      <c r="Y28" s="34"/>
      <c r="Z28" s="35"/>
      <c r="AA28" s="31"/>
      <c r="AB28" s="32"/>
      <c r="AC28" s="33"/>
      <c r="AD28" s="34"/>
      <c r="AE28" s="34"/>
      <c r="AF28" s="35"/>
      <c r="AG28" s="31"/>
      <c r="AH28" s="32"/>
      <c r="AI28" s="33"/>
      <c r="AJ28" s="34"/>
      <c r="AK28" s="34"/>
      <c r="AL28" s="35"/>
      <c r="AM28" s="31"/>
      <c r="AN28" s="32"/>
      <c r="AO28" s="33"/>
      <c r="AP28" s="34"/>
      <c r="AQ28" s="34"/>
      <c r="AR28" s="35"/>
      <c r="AS28" s="31"/>
      <c r="AT28" s="32"/>
      <c r="AU28" s="33"/>
      <c r="AV28" s="34"/>
      <c r="AW28" s="34"/>
      <c r="AX28" s="35"/>
      <c r="AY28" s="34"/>
      <c r="AZ28" s="35"/>
      <c r="BA28" s="31"/>
      <c r="BB28" s="32"/>
      <c r="BC28" s="33"/>
      <c r="BD28" s="34"/>
      <c r="BE28" s="34"/>
      <c r="BF28" s="35"/>
      <c r="BG28" s="717"/>
      <c r="BH28" s="717"/>
      <c r="BI28" s="717"/>
      <c r="BJ28" s="717"/>
      <c r="BK28" s="34"/>
      <c r="BL28" s="35"/>
      <c r="BM28" s="31"/>
      <c r="BN28" s="32"/>
      <c r="BO28" s="33"/>
      <c r="BP28" s="34"/>
      <c r="BQ28" s="34"/>
      <c r="BR28" s="35"/>
    </row>
    <row r="29" spans="1:83" ht="21.95" customHeight="1" x14ac:dyDescent="0.25">
      <c r="A29" s="34"/>
      <c r="B29" s="35"/>
      <c r="C29" s="31"/>
      <c r="D29" s="32"/>
      <c r="E29" s="33"/>
      <c r="F29" s="34"/>
      <c r="G29" s="34"/>
      <c r="H29" s="35"/>
      <c r="I29" s="31"/>
      <c r="J29" s="32"/>
      <c r="K29" s="33"/>
      <c r="L29" s="34"/>
      <c r="M29" s="34"/>
      <c r="N29" s="35"/>
      <c r="O29" s="31"/>
      <c r="P29" s="32"/>
      <c r="Q29" s="33"/>
      <c r="R29" s="34"/>
      <c r="S29" s="34"/>
      <c r="T29" s="35"/>
      <c r="U29" s="31"/>
      <c r="V29" s="32"/>
      <c r="W29" s="33"/>
      <c r="X29" s="34"/>
      <c r="Y29" s="34"/>
      <c r="Z29" s="35"/>
      <c r="AA29" s="31"/>
      <c r="AB29" s="32"/>
      <c r="AC29" s="33"/>
      <c r="AD29" s="34"/>
      <c r="AE29" s="34"/>
      <c r="AF29" s="35"/>
      <c r="AG29" s="31"/>
      <c r="AH29" s="32"/>
      <c r="AI29" s="33"/>
      <c r="AJ29" s="34"/>
      <c r="AK29" s="34"/>
      <c r="AL29" s="35"/>
      <c r="AM29" s="31"/>
      <c r="AN29" s="32"/>
      <c r="AO29" s="33"/>
      <c r="AP29" s="34"/>
      <c r="AQ29" s="34"/>
      <c r="AR29" s="35"/>
      <c r="AS29" s="31"/>
      <c r="AT29" s="32"/>
      <c r="AU29" s="33"/>
      <c r="AV29" s="34"/>
      <c r="AW29" s="34"/>
      <c r="AX29" s="35"/>
      <c r="AY29" s="34"/>
      <c r="AZ29" s="35"/>
      <c r="BA29" s="31"/>
      <c r="BB29" s="32"/>
      <c r="BC29" s="33"/>
      <c r="BD29" s="34"/>
      <c r="BE29" s="34"/>
      <c r="BF29" s="35"/>
      <c r="BG29" s="717"/>
      <c r="BH29" s="717"/>
      <c r="BI29" s="717"/>
      <c r="BJ29" s="717"/>
      <c r="BK29" s="34"/>
      <c r="BL29" s="35"/>
      <c r="BM29" s="31"/>
      <c r="BN29" s="32"/>
      <c r="BO29" s="33"/>
      <c r="BP29" s="34"/>
      <c r="BQ29" s="34"/>
      <c r="BR29" s="35"/>
    </row>
    <row r="30" spans="1:83" ht="6" customHeight="1" x14ac:dyDescent="0.25">
      <c r="A30" s="121"/>
      <c r="B30" s="121"/>
      <c r="C30" s="121"/>
      <c r="D30" s="31"/>
      <c r="E30" s="121"/>
      <c r="F30" s="121"/>
      <c r="G30" s="121"/>
      <c r="H30" s="121"/>
      <c r="I30" s="121"/>
      <c r="J30" s="31"/>
      <c r="K30" s="121"/>
      <c r="L30" s="121"/>
      <c r="M30" s="121"/>
      <c r="N30" s="121"/>
      <c r="O30" s="121"/>
      <c r="P30" s="31"/>
      <c r="Q30" s="121"/>
      <c r="R30" s="121"/>
      <c r="S30" s="121"/>
      <c r="T30" s="121"/>
      <c r="U30" s="121"/>
      <c r="V30" s="31"/>
      <c r="W30" s="121"/>
      <c r="X30" s="121"/>
      <c r="Y30" s="121"/>
      <c r="Z30" s="121"/>
      <c r="AA30" s="121"/>
      <c r="AB30" s="31"/>
      <c r="AC30" s="121"/>
      <c r="AD30" s="121"/>
      <c r="AE30" s="121"/>
      <c r="AF30" s="121"/>
      <c r="AG30" s="121"/>
      <c r="AH30" s="31"/>
      <c r="AI30" s="121"/>
      <c r="AJ30" s="121"/>
      <c r="AK30" s="121"/>
      <c r="AL30" s="121"/>
      <c r="AM30" s="121"/>
      <c r="AN30" s="31"/>
      <c r="AO30" s="121"/>
      <c r="AP30" s="121"/>
      <c r="AQ30" s="121"/>
      <c r="AR30" s="121"/>
      <c r="AS30" s="121"/>
      <c r="AT30" s="31"/>
      <c r="AU30" s="121"/>
      <c r="AV30" s="121"/>
      <c r="AW30" s="121"/>
      <c r="AX30" s="121"/>
      <c r="AY30" s="121"/>
      <c r="AZ30" s="121"/>
      <c r="BA30" s="121"/>
      <c r="BB30" s="31"/>
      <c r="BC30" s="121"/>
      <c r="BD30" s="121"/>
      <c r="BE30" s="121"/>
      <c r="BF30" s="121"/>
      <c r="BG30" s="121"/>
      <c r="BH30" s="31"/>
      <c r="BI30" s="121"/>
      <c r="BJ30" s="121"/>
      <c r="BK30" s="121"/>
      <c r="BL30" s="121"/>
      <c r="BM30" s="121"/>
      <c r="BN30" s="31"/>
      <c r="BO30" s="121"/>
      <c r="BP30" s="121"/>
      <c r="BQ30" s="121"/>
      <c r="BR30" s="121"/>
    </row>
    <row r="31" spans="1:83" s="22" customFormat="1" ht="24" customHeight="1" x14ac:dyDescent="1.35">
      <c r="A31" s="34"/>
      <c r="B31" s="35"/>
      <c r="C31" s="31"/>
      <c r="D31" s="32"/>
      <c r="E31" s="33"/>
      <c r="F31" s="34"/>
      <c r="G31" s="34"/>
      <c r="H31" s="35"/>
      <c r="I31" s="31"/>
      <c r="J31" s="1797"/>
      <c r="K31" s="1797"/>
      <c r="L31" s="1797"/>
      <c r="M31" s="1797"/>
      <c r="N31" s="35"/>
      <c r="O31" s="31"/>
      <c r="P31" s="32"/>
      <c r="Q31" s="33"/>
      <c r="R31" s="34"/>
      <c r="S31" s="34"/>
      <c r="T31" s="35"/>
      <c r="U31" s="31"/>
      <c r="V31" s="32"/>
      <c r="W31" s="33"/>
      <c r="X31" s="34"/>
      <c r="Y31" s="34"/>
      <c r="Z31" s="35"/>
      <c r="AA31" s="31"/>
      <c r="AB31" s="32"/>
      <c r="AC31" s="33"/>
      <c r="AD31" s="34"/>
      <c r="AE31" s="34"/>
      <c r="AF31" s="35"/>
      <c r="AG31" s="31"/>
      <c r="AH31" s="32"/>
      <c r="AI31" s="33"/>
      <c r="AJ31" s="34"/>
      <c r="AK31" s="34"/>
      <c r="AL31" s="35"/>
      <c r="AM31" s="31"/>
      <c r="AN31" s="32"/>
      <c r="AO31" s="33"/>
      <c r="AP31" s="34"/>
      <c r="AQ31" s="34"/>
      <c r="AR31" s="35"/>
      <c r="AS31" s="31"/>
      <c r="AT31" s="32"/>
      <c r="AU31" s="33"/>
      <c r="AV31" s="34"/>
      <c r="AW31" s="34"/>
      <c r="AX31" s="35"/>
      <c r="AY31" s="34"/>
      <c r="AZ31" s="35"/>
      <c r="BA31" s="31"/>
      <c r="BB31" s="32"/>
      <c r="BC31" s="33"/>
      <c r="BD31" s="34"/>
      <c r="BE31" s="34"/>
      <c r="BF31" s="35"/>
      <c r="BG31" s="31"/>
      <c r="BH31" s="32"/>
      <c r="BI31" s="33"/>
      <c r="BJ31" s="34"/>
      <c r="BK31" s="34"/>
      <c r="BL31" s="35"/>
      <c r="BM31" s="31"/>
      <c r="BN31" s="32"/>
      <c r="BO31" s="33"/>
      <c r="BP31" s="34"/>
      <c r="BQ31" s="34"/>
      <c r="BR31" s="35"/>
    </row>
    <row r="32" spans="1:83" ht="26.25" customHeight="1" x14ac:dyDescent="0.25">
      <c r="A32" s="34"/>
      <c r="B32" s="35"/>
      <c r="C32" s="31"/>
      <c r="D32" s="32"/>
      <c r="E32" s="33"/>
      <c r="F32" s="34"/>
      <c r="G32" s="34"/>
      <c r="H32" s="35"/>
      <c r="I32" s="31"/>
      <c r="J32" s="1923" cm="1">
        <f t="array" aca="1" ref="J32" ca="1">SUM(COUNTIF(INDIRECT({"B7","G7","L7","Q7","V7","AA7","AF7","AK7","AP7","AU7","AZ7","BE7","BJ7","BO7","B13","G13","L13","Q13","V13","AA13","AF13","AK13","AP13","AU13","AZ13","BE13","BJ13","BO13","B19","G19"}),"&gt;0"))</f>
        <v>30</v>
      </c>
      <c r="K32" s="1923"/>
      <c r="L32" s="1923"/>
      <c r="M32" s="1923"/>
      <c r="N32" s="35"/>
      <c r="O32" s="31"/>
      <c r="P32" s="32"/>
      <c r="Q32" s="33"/>
      <c r="R32" s="34"/>
      <c r="S32" s="34"/>
      <c r="T32" s="35"/>
      <c r="U32" s="33"/>
      <c r="V32" s="34"/>
      <c r="W32" s="34"/>
      <c r="X32" s="33"/>
      <c r="Y32" s="717" cm="1">
        <f t="array" aca="1" ref="Y32" ca="1">SUM(COUNTIF(INDIRECT({"B8","G8","L8","Q8","V8","AA8","AF8","AK8","AP8","AU8","AZ8","BE8","BJ8","BO8","B14","G14","L14","Q14","V14","AA14","AF14","AK14","AP14","AU14","AZ14","BE14","BJ14","BO14","B20","G20"}),"&gt;0"))</f>
        <v>30</v>
      </c>
      <c r="Z32" s="717"/>
      <c r="AA32" s="717"/>
      <c r="AB32" s="717"/>
      <c r="AC32" s="34"/>
      <c r="AD32" s="33"/>
      <c r="AE32" s="34"/>
      <c r="AF32" s="34"/>
      <c r="AG32" s="33"/>
      <c r="AH32" s="34"/>
      <c r="AI32" s="34"/>
      <c r="AJ32" s="33"/>
      <c r="AK32" s="34"/>
      <c r="AL32" s="34"/>
      <c r="AM32" s="33"/>
      <c r="AN32" s="34"/>
      <c r="AO32" s="34"/>
      <c r="AP32" s="1923">
        <v>20</v>
      </c>
      <c r="AQ32" s="1923"/>
      <c r="AR32" s="1923"/>
      <c r="AS32" s="1923"/>
      <c r="AT32" s="34"/>
      <c r="AU32" s="34"/>
      <c r="AV32" s="33"/>
      <c r="AW32" s="34"/>
      <c r="AX32" s="34"/>
      <c r="AY32" s="33"/>
      <c r="AZ32" s="34"/>
      <c r="BA32" s="34"/>
      <c r="BB32" s="33"/>
      <c r="BC32" s="34"/>
      <c r="BD32" s="34"/>
      <c r="BE32" s="33"/>
      <c r="BF32" s="34"/>
      <c r="BG32" s="717">
        <v>20</v>
      </c>
      <c r="BH32" s="717"/>
      <c r="BI32" s="717"/>
      <c r="BJ32" s="717"/>
      <c r="BK32" s="33"/>
      <c r="BL32" s="34"/>
      <c r="BM32" s="34"/>
      <c r="BN32" s="33"/>
      <c r="BO32" s="34"/>
      <c r="BP32" s="34"/>
      <c r="BQ32" s="33"/>
      <c r="BR32" s="34"/>
      <c r="BW32" s="27"/>
      <c r="BX32" s="27"/>
      <c r="BY32" s="27"/>
      <c r="BZ32" s="27"/>
      <c r="CA32" s="27"/>
      <c r="CB32" s="27"/>
      <c r="CC32" s="27"/>
      <c r="CD32" s="27"/>
      <c r="CE32" s="27"/>
    </row>
    <row r="33" spans="1:83" ht="26.1" customHeight="1" x14ac:dyDescent="0.25">
      <c r="A33" s="30"/>
      <c r="B33" s="29"/>
      <c r="C33" s="28"/>
      <c r="D33" s="28"/>
      <c r="E33" s="28"/>
      <c r="F33" s="30"/>
      <c r="G33" s="29"/>
      <c r="H33" s="28"/>
      <c r="I33" s="28"/>
      <c r="J33" s="1923"/>
      <c r="K33" s="1923"/>
      <c r="L33" s="1923"/>
      <c r="M33" s="1923"/>
      <c r="N33" s="28"/>
      <c r="O33" s="28"/>
      <c r="P33" s="30"/>
      <c r="Q33" s="29"/>
      <c r="R33" s="28"/>
      <c r="S33" s="28"/>
      <c r="T33" s="28"/>
      <c r="U33" s="29"/>
      <c r="V33" s="28"/>
      <c r="W33" s="28"/>
      <c r="X33" s="29"/>
      <c r="Y33" s="717"/>
      <c r="Z33" s="717"/>
      <c r="AA33" s="717"/>
      <c r="AB33" s="717"/>
      <c r="AC33" s="28"/>
      <c r="AD33" s="29"/>
      <c r="AE33" s="28"/>
      <c r="AF33" s="28"/>
      <c r="AG33" s="29"/>
      <c r="AH33" s="28"/>
      <c r="AI33" s="28"/>
      <c r="AJ33" s="29"/>
      <c r="AK33" s="28"/>
      <c r="AL33" s="28"/>
      <c r="AM33" s="29"/>
      <c r="AN33" s="28"/>
      <c r="AO33" s="28"/>
      <c r="AP33" s="1923"/>
      <c r="AQ33" s="1923"/>
      <c r="AR33" s="1923"/>
      <c r="AS33" s="1923"/>
      <c r="AT33" s="28"/>
      <c r="AU33" s="28"/>
      <c r="AV33" s="29"/>
      <c r="AW33" s="28"/>
      <c r="AX33" s="28"/>
      <c r="AY33" s="29"/>
      <c r="AZ33" s="28"/>
      <c r="BA33" s="28"/>
      <c r="BB33" s="29"/>
      <c r="BC33" s="28"/>
      <c r="BD33" s="28"/>
      <c r="BE33" s="29"/>
      <c r="BF33" s="28"/>
      <c r="BG33" s="717"/>
      <c r="BH33" s="717"/>
      <c r="BI33" s="717"/>
      <c r="BJ33" s="717"/>
      <c r="BK33" s="29"/>
      <c r="BL33" s="28"/>
      <c r="BM33" s="28"/>
      <c r="BN33" s="29"/>
      <c r="BO33" s="28"/>
      <c r="BP33" s="28"/>
      <c r="BQ33" s="29"/>
      <c r="BR33" s="28"/>
    </row>
    <row r="34" spans="1:83" ht="6.75" customHeight="1" x14ac:dyDescent="0.25">
      <c r="A34" s="29"/>
      <c r="B34" s="29"/>
      <c r="C34" s="28"/>
      <c r="D34" s="28"/>
      <c r="E34" s="28"/>
      <c r="F34" s="29"/>
      <c r="G34" s="29"/>
      <c r="H34" s="28"/>
      <c r="I34" s="28"/>
      <c r="J34" s="1923"/>
      <c r="K34" s="1923"/>
      <c r="L34" s="1923"/>
      <c r="M34" s="1923"/>
      <c r="N34" s="28"/>
      <c r="O34" s="28"/>
      <c r="P34" s="29"/>
      <c r="Q34" s="29"/>
      <c r="R34" s="28"/>
      <c r="S34" s="28"/>
      <c r="T34" s="28"/>
      <c r="U34" s="28"/>
      <c r="V34" s="29"/>
      <c r="W34" s="29"/>
      <c r="X34" s="28"/>
      <c r="Y34" s="717"/>
      <c r="Z34" s="717"/>
      <c r="AA34" s="717"/>
      <c r="AB34" s="717"/>
      <c r="AC34" s="28"/>
      <c r="AD34" s="28"/>
      <c r="AE34" s="28"/>
      <c r="AF34" s="29"/>
      <c r="AG34" s="29"/>
      <c r="AH34" s="28"/>
      <c r="AI34" s="28"/>
      <c r="AJ34" s="28"/>
      <c r="AK34" s="29"/>
      <c r="AL34" s="29"/>
      <c r="AM34" s="28"/>
      <c r="AN34" s="28"/>
      <c r="AO34" s="28"/>
      <c r="AP34" s="1923"/>
      <c r="AQ34" s="1923"/>
      <c r="AR34" s="1923"/>
      <c r="AS34" s="1923"/>
      <c r="AT34" s="28"/>
      <c r="AU34" s="29"/>
      <c r="AV34" s="29"/>
      <c r="AW34" s="28"/>
      <c r="AX34" s="28"/>
      <c r="AY34" s="28"/>
      <c r="AZ34" s="29"/>
      <c r="BA34" s="29"/>
      <c r="BB34" s="28"/>
      <c r="BC34" s="28"/>
      <c r="BD34" s="28"/>
      <c r="BE34" s="28"/>
      <c r="BF34" s="29"/>
      <c r="BG34" s="717"/>
      <c r="BH34" s="717"/>
      <c r="BI34" s="717"/>
      <c r="BJ34" s="717"/>
      <c r="BK34" s="29"/>
      <c r="BL34" s="29"/>
      <c r="BM34" s="28"/>
      <c r="BN34" s="28"/>
      <c r="BO34" s="28"/>
      <c r="BP34" s="29"/>
      <c r="BQ34" s="29"/>
      <c r="BR34" s="28"/>
    </row>
    <row r="35" spans="1:83" ht="21.95" customHeight="1" x14ac:dyDescent="0.25">
      <c r="A35" s="121"/>
      <c r="B35" s="121"/>
      <c r="C35" s="31"/>
      <c r="D35" s="121"/>
      <c r="E35" s="121"/>
      <c r="F35" s="121"/>
      <c r="G35" s="121"/>
      <c r="H35" s="31"/>
      <c r="I35" s="121"/>
      <c r="J35" s="1923"/>
      <c r="K35" s="1923"/>
      <c r="L35" s="1923"/>
      <c r="M35" s="1923"/>
      <c r="N35" s="121"/>
      <c r="O35" s="121"/>
      <c r="P35" s="121"/>
      <c r="Q35" s="121"/>
      <c r="R35" s="31"/>
      <c r="S35" s="121"/>
      <c r="T35" s="121"/>
      <c r="U35" s="28"/>
      <c r="V35" s="30"/>
      <c r="W35" s="29"/>
      <c r="X35" s="28"/>
      <c r="Y35" s="717"/>
      <c r="Z35" s="717"/>
      <c r="AA35" s="717"/>
      <c r="AB35" s="717"/>
      <c r="AC35" s="28"/>
      <c r="AD35" s="28"/>
      <c r="AE35" s="28"/>
      <c r="AF35" s="30"/>
      <c r="AG35" s="29"/>
      <c r="AH35" s="28"/>
      <c r="AI35" s="28"/>
      <c r="AJ35" s="28"/>
      <c r="AK35" s="30"/>
      <c r="AL35" s="29"/>
      <c r="AM35" s="28"/>
      <c r="AN35" s="28"/>
      <c r="AO35" s="28"/>
      <c r="AP35" s="1923"/>
      <c r="AQ35" s="1923"/>
      <c r="AR35" s="1923"/>
      <c r="AS35" s="1923"/>
      <c r="AT35" s="28"/>
      <c r="AU35" s="30"/>
      <c r="AV35" s="29"/>
      <c r="AW35" s="28"/>
      <c r="AX35" s="28"/>
      <c r="AY35" s="28"/>
      <c r="AZ35" s="30"/>
      <c r="BA35" s="29"/>
      <c r="BB35" s="28"/>
      <c r="BC35" s="28"/>
      <c r="BD35" s="28"/>
      <c r="BE35" s="28"/>
      <c r="BF35" s="30"/>
      <c r="BG35" s="717"/>
      <c r="BH35" s="717"/>
      <c r="BI35" s="717"/>
      <c r="BJ35" s="717"/>
      <c r="BK35" s="30"/>
      <c r="BL35" s="29"/>
      <c r="BM35" s="28"/>
      <c r="BN35" s="28"/>
      <c r="BO35" s="28"/>
      <c r="BP35" s="30"/>
      <c r="BQ35" s="29"/>
      <c r="BR35" s="28"/>
    </row>
    <row r="36" spans="1:83" ht="6" customHeight="1" x14ac:dyDescent="0.25">
      <c r="A36" s="35"/>
      <c r="B36" s="31"/>
      <c r="C36" s="32"/>
      <c r="D36" s="33"/>
      <c r="E36" s="34"/>
      <c r="F36" s="35"/>
      <c r="G36" s="31"/>
      <c r="H36" s="32"/>
      <c r="I36" s="33"/>
      <c r="J36" s="34"/>
      <c r="K36" s="35"/>
      <c r="L36" s="31"/>
      <c r="M36" s="32"/>
      <c r="N36" s="33"/>
      <c r="O36" s="34"/>
      <c r="P36" s="35"/>
      <c r="Q36" s="31"/>
      <c r="R36" s="32"/>
      <c r="S36" s="33"/>
      <c r="T36" s="34"/>
      <c r="U36" s="28"/>
      <c r="V36" s="697" t="s">
        <v>116</v>
      </c>
      <c r="W36" s="697"/>
      <c r="X36" s="697"/>
      <c r="Y36" s="697"/>
      <c r="Z36" s="697"/>
      <c r="AA36" s="697"/>
      <c r="AB36" s="697"/>
      <c r="AC36" s="697"/>
      <c r="AD36" s="697"/>
      <c r="AE36" s="697"/>
      <c r="AF36" s="697"/>
      <c r="AG36" s="697"/>
      <c r="AH36" s="697" t="s">
        <v>117</v>
      </c>
      <c r="AI36" s="697"/>
      <c r="AJ36" s="697"/>
      <c r="AK36" s="697"/>
      <c r="AL36" s="697"/>
      <c r="AM36" s="697"/>
      <c r="AN36" s="697"/>
      <c r="AO36" s="697"/>
      <c r="AP36" s="697"/>
      <c r="AQ36" s="697"/>
      <c r="AR36" s="697"/>
      <c r="AS36" s="698" t="s">
        <v>118</v>
      </c>
      <c r="AT36" s="698"/>
      <c r="AU36" s="698"/>
      <c r="AV36" s="698"/>
      <c r="AW36" s="698"/>
      <c r="AX36" s="698"/>
      <c r="AY36" s="698"/>
      <c r="AZ36" s="698"/>
      <c r="BA36" s="698"/>
      <c r="BB36" s="698"/>
      <c r="BC36" s="698"/>
      <c r="BD36" s="698"/>
      <c r="BE36" s="699" t="s">
        <v>119</v>
      </c>
      <c r="BF36" s="699"/>
      <c r="BG36" s="699"/>
      <c r="BH36" s="699"/>
      <c r="BI36" s="699"/>
      <c r="BJ36" s="1924">
        <f>D8+I8+N8+S8+X8+AC8+AH8+AM8+AR8+AW8+BB8+BG8+BL8+D14+I14+N14+S14+X14+AC14+AH14+AM14+AR14+AW14+BB14+BG14+BL14+D20+I20+N20+S20+X20+AC20+AH20+AM20+AR20+AW20+BQ8+BQ14</f>
        <v>28</v>
      </c>
      <c r="BK36" s="1925"/>
      <c r="BL36" s="1925"/>
      <c r="BM36" s="1925"/>
      <c r="BN36" s="701" t="s">
        <v>120</v>
      </c>
      <c r="BO36" s="701"/>
      <c r="BP36" s="701"/>
      <c r="BQ36" s="29"/>
      <c r="BR36" s="28"/>
    </row>
    <row r="37" spans="1:83" s="22" customFormat="1" ht="80.099999999999994" customHeight="1" x14ac:dyDescent="1.35">
      <c r="A37" s="35"/>
      <c r="B37" s="31"/>
      <c r="C37" s="32"/>
      <c r="D37" s="33"/>
      <c r="E37" s="34"/>
      <c r="F37" s="35"/>
      <c r="G37" s="31"/>
      <c r="H37" s="32"/>
      <c r="I37" s="33"/>
      <c r="J37" s="34"/>
      <c r="K37" s="35"/>
      <c r="L37" s="31"/>
      <c r="M37" s="32"/>
      <c r="N37" s="33"/>
      <c r="O37" s="34"/>
      <c r="P37" s="35"/>
      <c r="Q37" s="31"/>
      <c r="R37" s="32"/>
      <c r="S37" s="33"/>
      <c r="T37" s="34"/>
      <c r="U37" s="121"/>
      <c r="V37" s="697"/>
      <c r="W37" s="697"/>
      <c r="X37" s="697"/>
      <c r="Y37" s="697"/>
      <c r="Z37" s="697"/>
      <c r="AA37" s="697"/>
      <c r="AB37" s="697"/>
      <c r="AC37" s="697"/>
      <c r="AD37" s="697"/>
      <c r="AE37" s="697"/>
      <c r="AF37" s="697"/>
      <c r="AG37" s="697"/>
      <c r="AH37" s="697"/>
      <c r="AI37" s="697"/>
      <c r="AJ37" s="697"/>
      <c r="AK37" s="697"/>
      <c r="AL37" s="697"/>
      <c r="AM37" s="697"/>
      <c r="AN37" s="697"/>
      <c r="AO37" s="697"/>
      <c r="AP37" s="697"/>
      <c r="AQ37" s="697"/>
      <c r="AR37" s="697"/>
      <c r="AS37" s="698"/>
      <c r="AT37" s="698"/>
      <c r="AU37" s="698"/>
      <c r="AV37" s="698"/>
      <c r="AW37" s="698"/>
      <c r="AX37" s="698"/>
      <c r="AY37" s="698"/>
      <c r="AZ37" s="698"/>
      <c r="BA37" s="698"/>
      <c r="BB37" s="698"/>
      <c r="BC37" s="698"/>
      <c r="BD37" s="698"/>
      <c r="BE37" s="699"/>
      <c r="BF37" s="699"/>
      <c r="BG37" s="699"/>
      <c r="BH37" s="699"/>
      <c r="BI37" s="699"/>
      <c r="BJ37" s="1925"/>
      <c r="BK37" s="1925"/>
      <c r="BL37" s="1925"/>
      <c r="BM37" s="1925"/>
      <c r="BN37" s="701"/>
      <c r="BO37" s="701"/>
      <c r="BP37" s="701"/>
      <c r="BQ37" s="121"/>
      <c r="BR37" s="31"/>
    </row>
    <row r="38" spans="1:83" ht="26.25" customHeight="1" x14ac:dyDescent="0.25">
      <c r="A38" s="34"/>
      <c r="B38" s="35"/>
      <c r="C38" s="31"/>
      <c r="D38" s="32"/>
      <c r="E38" s="33"/>
      <c r="F38" s="34"/>
      <c r="G38" s="34"/>
      <c r="H38" s="35"/>
      <c r="I38" s="31"/>
      <c r="J38" s="32"/>
      <c r="K38" s="33"/>
      <c r="L38" s="34"/>
      <c r="M38" s="34"/>
      <c r="N38" s="35"/>
      <c r="O38" s="31"/>
      <c r="P38" s="32"/>
      <c r="Q38" s="33"/>
      <c r="R38" s="34"/>
      <c r="S38" s="34"/>
      <c r="T38" s="35"/>
      <c r="U38" s="31"/>
      <c r="V38" s="697"/>
      <c r="W38" s="697"/>
      <c r="X38" s="697"/>
      <c r="Y38" s="697"/>
      <c r="Z38" s="697"/>
      <c r="AA38" s="697"/>
      <c r="AB38" s="697"/>
      <c r="AC38" s="697"/>
      <c r="AD38" s="697"/>
      <c r="AE38" s="697"/>
      <c r="AF38" s="697"/>
      <c r="AG38" s="697"/>
      <c r="AH38" s="697"/>
      <c r="AI38" s="697"/>
      <c r="AJ38" s="697"/>
      <c r="AK38" s="697"/>
      <c r="AL38" s="697"/>
      <c r="AM38" s="697"/>
      <c r="AN38" s="697"/>
      <c r="AO38" s="697"/>
      <c r="AP38" s="697"/>
      <c r="AQ38" s="697"/>
      <c r="AR38" s="697"/>
      <c r="AS38" s="698"/>
      <c r="AT38" s="698"/>
      <c r="AU38" s="698"/>
      <c r="AV38" s="698"/>
      <c r="AW38" s="698"/>
      <c r="AX38" s="698"/>
      <c r="AY38" s="698"/>
      <c r="AZ38" s="698"/>
      <c r="BA38" s="698"/>
      <c r="BB38" s="698"/>
      <c r="BC38" s="698"/>
      <c r="BD38" s="698"/>
      <c r="BE38" s="699"/>
      <c r="BF38" s="699"/>
      <c r="BG38" s="699"/>
      <c r="BH38" s="699"/>
      <c r="BI38" s="699"/>
      <c r="BJ38" s="1925"/>
      <c r="BK38" s="1925"/>
      <c r="BL38" s="1925"/>
      <c r="BM38" s="1925"/>
      <c r="BN38" s="701"/>
      <c r="BO38" s="701"/>
      <c r="BP38" s="701"/>
      <c r="BQ38" s="32"/>
      <c r="BR38" s="33"/>
      <c r="BW38" s="27"/>
      <c r="BX38" s="27"/>
      <c r="BY38" s="27"/>
      <c r="BZ38" s="27"/>
      <c r="CA38" s="27"/>
      <c r="CB38" s="27"/>
      <c r="CC38" s="27"/>
      <c r="CD38" s="27"/>
      <c r="CE38" s="27"/>
    </row>
    <row r="39" spans="1:83" ht="26.1" customHeight="1" x14ac:dyDescent="0.25">
      <c r="A39" s="34"/>
      <c r="B39" s="35"/>
      <c r="C39" s="31"/>
      <c r="D39" s="32"/>
      <c r="E39" s="33"/>
      <c r="F39" s="34"/>
      <c r="G39" s="34"/>
      <c r="H39" s="35"/>
      <c r="I39" s="31"/>
      <c r="J39" s="32"/>
      <c r="K39" s="33"/>
      <c r="L39" s="34"/>
      <c r="M39" s="34"/>
      <c r="N39" s="35"/>
      <c r="O39" s="31"/>
      <c r="P39" s="32"/>
      <c r="Q39" s="33"/>
      <c r="R39" s="34"/>
      <c r="S39" s="34"/>
      <c r="T39" s="35"/>
      <c r="U39" s="31"/>
      <c r="V39" s="697"/>
      <c r="W39" s="697"/>
      <c r="X39" s="697"/>
      <c r="Y39" s="697"/>
      <c r="Z39" s="697"/>
      <c r="AA39" s="697"/>
      <c r="AB39" s="697"/>
      <c r="AC39" s="697"/>
      <c r="AD39" s="697"/>
      <c r="AE39" s="697"/>
      <c r="AF39" s="697"/>
      <c r="AG39" s="697"/>
      <c r="AH39" s="697"/>
      <c r="AI39" s="697"/>
      <c r="AJ39" s="697"/>
      <c r="AK39" s="697"/>
      <c r="AL39" s="697"/>
      <c r="AM39" s="697"/>
      <c r="AN39" s="697"/>
      <c r="AO39" s="697"/>
      <c r="AP39" s="697"/>
      <c r="AQ39" s="697"/>
      <c r="AR39" s="697"/>
      <c r="AS39" s="698"/>
      <c r="AT39" s="698"/>
      <c r="AU39" s="698"/>
      <c r="AV39" s="698"/>
      <c r="AW39" s="698"/>
      <c r="AX39" s="698"/>
      <c r="AY39" s="698"/>
      <c r="AZ39" s="698"/>
      <c r="BA39" s="698"/>
      <c r="BB39" s="698"/>
      <c r="BC39" s="698"/>
      <c r="BD39" s="698"/>
      <c r="BE39" s="699"/>
      <c r="BF39" s="699"/>
      <c r="BG39" s="699"/>
      <c r="BH39" s="699"/>
      <c r="BI39" s="699"/>
      <c r="BJ39" s="1925"/>
      <c r="BK39" s="1925"/>
      <c r="BL39" s="1925"/>
      <c r="BM39" s="1925"/>
      <c r="BN39" s="701"/>
      <c r="BO39" s="701"/>
      <c r="BP39" s="701"/>
      <c r="BQ39" s="32"/>
      <c r="BR39" s="33"/>
    </row>
    <row r="40" spans="1:83" ht="6.75" customHeight="1" x14ac:dyDescent="0.25">
      <c r="A40" s="28"/>
      <c r="B40" s="28"/>
      <c r="C40" s="28"/>
      <c r="D40" s="29"/>
      <c r="E40" s="29"/>
      <c r="F40" s="28"/>
      <c r="G40" s="28"/>
      <c r="H40" s="28"/>
      <c r="I40" s="29"/>
      <c r="J40" s="29"/>
      <c r="K40" s="28"/>
      <c r="L40" s="28"/>
      <c r="M40" s="28"/>
      <c r="N40" s="29"/>
      <c r="O40" s="29"/>
      <c r="P40" s="28"/>
      <c r="Q40" s="28"/>
      <c r="R40" s="28"/>
      <c r="S40" s="29"/>
      <c r="T40" s="29"/>
      <c r="U40" s="28"/>
      <c r="V40" s="704" t="s">
        <v>13</v>
      </c>
      <c r="W40" s="704"/>
      <c r="X40" s="704"/>
      <c r="Y40" s="704"/>
      <c r="Z40" s="704"/>
      <c r="AA40" s="704"/>
      <c r="AB40" s="704"/>
      <c r="AC40" s="704"/>
      <c r="AD40" s="704"/>
      <c r="AE40" s="704"/>
      <c r="AF40" s="704"/>
      <c r="AG40" s="704"/>
      <c r="AH40" s="723">
        <f>AS40-AD76</f>
        <v>2.1020110000051773E-3</v>
      </c>
      <c r="AI40" s="723"/>
      <c r="AJ40" s="723"/>
      <c r="AK40" s="723"/>
      <c r="AL40" s="723"/>
      <c r="AM40" s="723"/>
      <c r="AN40" s="723"/>
      <c r="AO40" s="723"/>
      <c r="AP40" s="723"/>
      <c r="AQ40" s="723"/>
      <c r="AR40" s="723"/>
      <c r="AS40" s="707">
        <f>B8+G8+L8+Q8+V8+AA8+AF8+AK8+AP8+AU8+AZ8+BE8+BJ8+BO8+B14+G14+L14+Q14+V14+AA14+AF14+AK14+AP14+AU14+AZ14+BE14+BJ14+BO14+B20+G20+L20+Q20+V20+AA20+AF20+AK20+AP20+AU20</f>
        <v>81.682102011000012</v>
      </c>
      <c r="AT40" s="707"/>
      <c r="AU40" s="707"/>
      <c r="AV40" s="707"/>
      <c r="AW40" s="707"/>
      <c r="AX40" s="707"/>
      <c r="AY40" s="707"/>
      <c r="AZ40" s="707"/>
      <c r="BA40" s="707"/>
      <c r="BB40" s="707"/>
      <c r="BC40" s="707"/>
      <c r="BD40" s="707"/>
      <c r="BE40" s="699"/>
      <c r="BF40" s="699"/>
      <c r="BG40" s="699"/>
      <c r="BH40" s="699"/>
      <c r="BI40" s="699"/>
      <c r="BJ40" s="1925"/>
      <c r="BK40" s="1925"/>
      <c r="BL40" s="1925"/>
      <c r="BM40" s="1925"/>
      <c r="BN40" s="701"/>
      <c r="BO40" s="701"/>
      <c r="BP40" s="701"/>
      <c r="BQ40" s="29"/>
      <c r="BR40" s="29"/>
    </row>
    <row r="41" spans="1:83" ht="21.95" customHeight="1" x14ac:dyDescent="0.25">
      <c r="A41" s="28"/>
      <c r="B41" s="28"/>
      <c r="C41" s="28"/>
      <c r="D41" s="30"/>
      <c r="E41" s="29"/>
      <c r="F41" s="28"/>
      <c r="G41" s="28"/>
      <c r="H41" s="28"/>
      <c r="I41" s="30"/>
      <c r="J41" s="29"/>
      <c r="K41" s="28"/>
      <c r="L41" s="28"/>
      <c r="M41" s="28"/>
      <c r="N41" s="30"/>
      <c r="O41" s="29"/>
      <c r="P41" s="28"/>
      <c r="Q41" s="28"/>
      <c r="R41" s="28"/>
      <c r="S41" s="30"/>
      <c r="T41" s="29"/>
      <c r="U41" s="28"/>
      <c r="V41" s="704"/>
      <c r="W41" s="704"/>
      <c r="X41" s="704"/>
      <c r="Y41" s="704"/>
      <c r="Z41" s="704"/>
      <c r="AA41" s="704"/>
      <c r="AB41" s="704"/>
      <c r="AC41" s="704"/>
      <c r="AD41" s="704"/>
      <c r="AE41" s="704"/>
      <c r="AF41" s="704"/>
      <c r="AG41" s="704"/>
      <c r="AH41" s="723"/>
      <c r="AI41" s="723"/>
      <c r="AJ41" s="723"/>
      <c r="AK41" s="723"/>
      <c r="AL41" s="723"/>
      <c r="AM41" s="723"/>
      <c r="AN41" s="723"/>
      <c r="AO41" s="723"/>
      <c r="AP41" s="723"/>
      <c r="AQ41" s="723"/>
      <c r="AR41" s="723"/>
      <c r="AS41" s="707"/>
      <c r="AT41" s="707"/>
      <c r="AU41" s="707"/>
      <c r="AV41" s="707"/>
      <c r="AW41" s="707"/>
      <c r="AX41" s="707"/>
      <c r="AY41" s="707"/>
      <c r="AZ41" s="707"/>
      <c r="BA41" s="707"/>
      <c r="BB41" s="707"/>
      <c r="BC41" s="707"/>
      <c r="BD41" s="707"/>
      <c r="BE41" s="699"/>
      <c r="BF41" s="699"/>
      <c r="BG41" s="699"/>
      <c r="BH41" s="699"/>
      <c r="BI41" s="699"/>
      <c r="BJ41" s="1925"/>
      <c r="BK41" s="1925"/>
      <c r="BL41" s="1925"/>
      <c r="BM41" s="1925"/>
      <c r="BN41" s="701"/>
      <c r="BO41" s="701"/>
      <c r="BP41" s="701"/>
      <c r="BQ41" s="30"/>
      <c r="BR41" s="29"/>
    </row>
    <row r="42" spans="1:83" ht="6" customHeight="1" x14ac:dyDescent="0.25">
      <c r="A42" s="28"/>
      <c r="B42" s="28"/>
      <c r="C42" s="28"/>
      <c r="D42" s="29"/>
      <c r="E42" s="29"/>
      <c r="F42" s="28"/>
      <c r="G42" s="28"/>
      <c r="H42" s="28"/>
      <c r="I42" s="29"/>
      <c r="J42" s="29"/>
      <c r="K42" s="28"/>
      <c r="L42" s="28"/>
      <c r="M42" s="28"/>
      <c r="N42" s="29"/>
      <c r="O42" s="29"/>
      <c r="P42" s="28"/>
      <c r="Q42" s="28"/>
      <c r="R42" s="28"/>
      <c r="S42" s="29"/>
      <c r="T42" s="29"/>
      <c r="U42" s="28"/>
      <c r="V42" s="704"/>
      <c r="W42" s="704"/>
      <c r="X42" s="704"/>
      <c r="Y42" s="704"/>
      <c r="Z42" s="704"/>
      <c r="AA42" s="704"/>
      <c r="AB42" s="704"/>
      <c r="AC42" s="704"/>
      <c r="AD42" s="704"/>
      <c r="AE42" s="704"/>
      <c r="AF42" s="704"/>
      <c r="AG42" s="704"/>
      <c r="AH42" s="723"/>
      <c r="AI42" s="723"/>
      <c r="AJ42" s="723"/>
      <c r="AK42" s="723"/>
      <c r="AL42" s="723"/>
      <c r="AM42" s="723"/>
      <c r="AN42" s="723"/>
      <c r="AO42" s="723"/>
      <c r="AP42" s="723"/>
      <c r="AQ42" s="723"/>
      <c r="AR42" s="723"/>
      <c r="AS42" s="707"/>
      <c r="AT42" s="707"/>
      <c r="AU42" s="707"/>
      <c r="AV42" s="707"/>
      <c r="AW42" s="707"/>
      <c r="AX42" s="707"/>
      <c r="AY42" s="707"/>
      <c r="AZ42" s="707"/>
      <c r="BA42" s="707"/>
      <c r="BB42" s="707"/>
      <c r="BC42" s="707"/>
      <c r="BD42" s="707"/>
      <c r="BE42" s="699"/>
      <c r="BF42" s="699"/>
      <c r="BG42" s="699"/>
      <c r="BH42" s="699"/>
      <c r="BI42" s="699"/>
      <c r="BJ42" s="708">
        <f>BJ36*1.5</f>
        <v>42</v>
      </c>
      <c r="BK42" s="708"/>
      <c r="BL42" s="708"/>
      <c r="BM42" s="708"/>
      <c r="BN42" s="708"/>
      <c r="BO42" s="708"/>
      <c r="BP42" s="708"/>
      <c r="BQ42" s="29"/>
      <c r="BR42" s="29"/>
    </row>
    <row r="43" spans="1:83" s="22" customFormat="1" ht="80.099999999999994" customHeight="1" x14ac:dyDescent="1.35">
      <c r="A43" s="31"/>
      <c r="B43" s="121"/>
      <c r="C43" s="121"/>
      <c r="D43" s="121"/>
      <c r="E43" s="121"/>
      <c r="F43" s="702"/>
      <c r="G43" s="702"/>
      <c r="H43" s="121"/>
      <c r="I43" s="121"/>
      <c r="J43" s="121"/>
      <c r="K43" s="31"/>
      <c r="L43" s="121"/>
      <c r="M43" s="121"/>
      <c r="N43" s="121"/>
      <c r="O43" s="121"/>
      <c r="P43" s="31"/>
      <c r="Q43" s="121"/>
      <c r="R43" s="121"/>
      <c r="S43" s="121"/>
      <c r="T43" s="121"/>
      <c r="U43" s="31"/>
      <c r="V43" s="704"/>
      <c r="W43" s="704"/>
      <c r="X43" s="704"/>
      <c r="Y43" s="704"/>
      <c r="Z43" s="704"/>
      <c r="AA43" s="704"/>
      <c r="AB43" s="704"/>
      <c r="AC43" s="704"/>
      <c r="AD43" s="704"/>
      <c r="AE43" s="704"/>
      <c r="AF43" s="704"/>
      <c r="AG43" s="704"/>
      <c r="AH43" s="723"/>
      <c r="AI43" s="723"/>
      <c r="AJ43" s="723"/>
      <c r="AK43" s="723"/>
      <c r="AL43" s="723"/>
      <c r="AM43" s="723"/>
      <c r="AN43" s="723"/>
      <c r="AO43" s="723"/>
      <c r="AP43" s="723"/>
      <c r="AQ43" s="723"/>
      <c r="AR43" s="723"/>
      <c r="AS43" s="707"/>
      <c r="AT43" s="707"/>
      <c r="AU43" s="707"/>
      <c r="AV43" s="707"/>
      <c r="AW43" s="707"/>
      <c r="AX43" s="707"/>
      <c r="AY43" s="707"/>
      <c r="AZ43" s="707"/>
      <c r="BA43" s="707"/>
      <c r="BB43" s="707"/>
      <c r="BC43" s="707"/>
      <c r="BD43" s="707"/>
      <c r="BE43" s="699"/>
      <c r="BF43" s="699"/>
      <c r="BG43" s="699"/>
      <c r="BH43" s="699"/>
      <c r="BI43" s="699"/>
      <c r="BJ43" s="708"/>
      <c r="BK43" s="708"/>
      <c r="BL43" s="708"/>
      <c r="BM43" s="708"/>
      <c r="BN43" s="708"/>
      <c r="BO43" s="708"/>
      <c r="BP43" s="708"/>
      <c r="BQ43" s="121"/>
      <c r="BR43" s="121"/>
    </row>
    <row r="44" spans="1:83" ht="26.25" customHeight="1" x14ac:dyDescent="0.25">
      <c r="A44" s="34"/>
      <c r="B44" s="35"/>
      <c r="C44" s="31"/>
      <c r="D44" s="32"/>
      <c r="E44" s="33"/>
      <c r="F44" s="703"/>
      <c r="G44" s="703"/>
      <c r="H44" s="31"/>
      <c r="I44" s="32"/>
      <c r="J44" s="33"/>
      <c r="K44" s="34"/>
      <c r="L44" s="35"/>
      <c r="M44" s="31"/>
      <c r="N44" s="32"/>
      <c r="O44" s="33"/>
      <c r="P44" s="34"/>
      <c r="Q44" s="35"/>
      <c r="R44" s="31"/>
      <c r="S44" s="32"/>
      <c r="T44" s="33"/>
      <c r="U44" s="34"/>
      <c r="V44" s="704"/>
      <c r="W44" s="704"/>
      <c r="X44" s="704"/>
      <c r="Y44" s="704"/>
      <c r="Z44" s="704"/>
      <c r="AA44" s="704"/>
      <c r="AB44" s="704"/>
      <c r="AC44" s="704"/>
      <c r="AD44" s="704"/>
      <c r="AE44" s="704"/>
      <c r="AF44" s="704"/>
      <c r="AG44" s="704"/>
      <c r="AH44" s="723"/>
      <c r="AI44" s="723"/>
      <c r="AJ44" s="723"/>
      <c r="AK44" s="723"/>
      <c r="AL44" s="723"/>
      <c r="AM44" s="723"/>
      <c r="AN44" s="723"/>
      <c r="AO44" s="723"/>
      <c r="AP44" s="723"/>
      <c r="AQ44" s="723"/>
      <c r="AR44" s="723"/>
      <c r="AS44" s="707"/>
      <c r="AT44" s="707"/>
      <c r="AU44" s="707"/>
      <c r="AV44" s="707"/>
      <c r="AW44" s="707"/>
      <c r="AX44" s="707"/>
      <c r="AY44" s="707"/>
      <c r="AZ44" s="707"/>
      <c r="BA44" s="707"/>
      <c r="BB44" s="707"/>
      <c r="BC44" s="707"/>
      <c r="BD44" s="707"/>
      <c r="BE44" s="699"/>
      <c r="BF44" s="699"/>
      <c r="BG44" s="699"/>
      <c r="BH44" s="699"/>
      <c r="BI44" s="699"/>
      <c r="BJ44" s="708"/>
      <c r="BK44" s="708"/>
      <c r="BL44" s="708"/>
      <c r="BM44" s="708"/>
      <c r="BN44" s="708"/>
      <c r="BO44" s="708"/>
      <c r="BP44" s="708"/>
      <c r="BQ44" s="31"/>
      <c r="BR44" s="32"/>
      <c r="BW44" s="27"/>
      <c r="BX44" s="27"/>
      <c r="BY44" s="27"/>
      <c r="BZ44" s="27"/>
      <c r="CA44" s="27"/>
      <c r="CB44" s="27"/>
      <c r="CC44" s="27"/>
      <c r="CD44" s="27"/>
      <c r="CE44" s="27"/>
    </row>
    <row r="45" spans="1:83" ht="26.1" customHeight="1" x14ac:dyDescent="0.25">
      <c r="A45" s="34"/>
      <c r="B45" s="35"/>
      <c r="C45" s="31"/>
      <c r="D45" s="32"/>
      <c r="E45" s="33"/>
      <c r="F45" s="703"/>
      <c r="G45" s="703"/>
      <c r="H45" s="31"/>
      <c r="I45" s="32"/>
      <c r="J45" s="33"/>
      <c r="K45" s="34"/>
      <c r="L45" s="35"/>
      <c r="M45" s="31"/>
      <c r="N45" s="32"/>
      <c r="O45" s="33"/>
      <c r="P45" s="34"/>
      <c r="Q45" s="35"/>
      <c r="R45" s="31"/>
      <c r="S45" s="32"/>
      <c r="T45" s="33"/>
      <c r="U45" s="34"/>
      <c r="V45" s="704"/>
      <c r="W45" s="704"/>
      <c r="X45" s="704"/>
      <c r="Y45" s="704"/>
      <c r="Z45" s="704"/>
      <c r="AA45" s="704"/>
      <c r="AB45" s="704"/>
      <c r="AC45" s="704"/>
      <c r="AD45" s="704"/>
      <c r="AE45" s="704"/>
      <c r="AF45" s="704"/>
      <c r="AG45" s="704"/>
      <c r="AH45" s="723"/>
      <c r="AI45" s="723"/>
      <c r="AJ45" s="723"/>
      <c r="AK45" s="723"/>
      <c r="AL45" s="723"/>
      <c r="AM45" s="723"/>
      <c r="AN45" s="723"/>
      <c r="AO45" s="723"/>
      <c r="AP45" s="723"/>
      <c r="AQ45" s="723"/>
      <c r="AR45" s="723"/>
      <c r="AS45" s="707"/>
      <c r="AT45" s="707"/>
      <c r="AU45" s="707"/>
      <c r="AV45" s="707"/>
      <c r="AW45" s="707"/>
      <c r="AX45" s="707"/>
      <c r="AY45" s="707"/>
      <c r="AZ45" s="707"/>
      <c r="BA45" s="707"/>
      <c r="BB45" s="707"/>
      <c r="BC45" s="707"/>
      <c r="BD45" s="707"/>
      <c r="BE45" s="699"/>
      <c r="BF45" s="699"/>
      <c r="BG45" s="699"/>
      <c r="BH45" s="699"/>
      <c r="BI45" s="699"/>
      <c r="BJ45" s="708"/>
      <c r="BK45" s="708"/>
      <c r="BL45" s="708"/>
      <c r="BM45" s="708"/>
      <c r="BN45" s="708"/>
      <c r="BO45" s="708"/>
      <c r="BP45" s="708"/>
      <c r="BQ45" s="31"/>
      <c r="BR45" s="32"/>
    </row>
    <row r="46" spans="1:83" ht="6.75" customHeight="1" x14ac:dyDescent="0.25">
      <c r="A46" s="28"/>
      <c r="B46" s="28"/>
      <c r="C46" s="28"/>
      <c r="D46" s="29"/>
      <c r="E46" s="29"/>
      <c r="F46" s="703"/>
      <c r="G46" s="703"/>
      <c r="H46" s="28"/>
      <c r="I46" s="29"/>
      <c r="J46" s="29"/>
      <c r="K46" s="28"/>
      <c r="L46" s="28"/>
      <c r="M46" s="28"/>
      <c r="N46" s="29"/>
      <c r="O46" s="29"/>
      <c r="P46" s="28"/>
      <c r="Q46" s="28"/>
      <c r="R46" s="28"/>
      <c r="S46" s="29"/>
      <c r="T46" s="29"/>
      <c r="U46" s="28"/>
      <c r="V46" s="704"/>
      <c r="W46" s="704"/>
      <c r="X46" s="704"/>
      <c r="Y46" s="704"/>
      <c r="Z46" s="704"/>
      <c r="AA46" s="704"/>
      <c r="AB46" s="704"/>
      <c r="AC46" s="704"/>
      <c r="AD46" s="704"/>
      <c r="AE46" s="704"/>
      <c r="AF46" s="704"/>
      <c r="AG46" s="704"/>
      <c r="AH46" s="723"/>
      <c r="AI46" s="723"/>
      <c r="AJ46" s="723"/>
      <c r="AK46" s="723"/>
      <c r="AL46" s="723"/>
      <c r="AM46" s="723"/>
      <c r="AN46" s="723"/>
      <c r="AO46" s="723"/>
      <c r="AP46" s="723"/>
      <c r="AQ46" s="723"/>
      <c r="AR46" s="723"/>
      <c r="AS46" s="707"/>
      <c r="AT46" s="707"/>
      <c r="AU46" s="707"/>
      <c r="AV46" s="707"/>
      <c r="AW46" s="707"/>
      <c r="AX46" s="707"/>
      <c r="AY46" s="707"/>
      <c r="AZ46" s="707"/>
      <c r="BA46" s="707"/>
      <c r="BB46" s="707"/>
      <c r="BC46" s="707"/>
      <c r="BD46" s="707"/>
      <c r="BE46" s="699"/>
      <c r="BF46" s="699"/>
      <c r="BG46" s="699"/>
      <c r="BH46" s="699"/>
      <c r="BI46" s="699"/>
      <c r="BJ46" s="699" t="s">
        <v>121</v>
      </c>
      <c r="BK46" s="699"/>
      <c r="BL46" s="699"/>
      <c r="BM46" s="699"/>
      <c r="BN46" s="699"/>
      <c r="BO46" s="699"/>
      <c r="BP46" s="699"/>
      <c r="BQ46" s="31"/>
      <c r="BR46" s="32"/>
    </row>
    <row r="47" spans="1:83" ht="21.95" customHeight="1" x14ac:dyDescent="0.25">
      <c r="A47" s="28"/>
      <c r="B47" s="28"/>
      <c r="C47" s="28"/>
      <c r="D47" s="30"/>
      <c r="E47" s="29"/>
      <c r="F47" s="703"/>
      <c r="G47" s="703"/>
      <c r="H47" s="28"/>
      <c r="I47" s="30"/>
      <c r="J47" s="29"/>
      <c r="K47" s="28"/>
      <c r="L47" s="28"/>
      <c r="M47" s="28"/>
      <c r="N47" s="30"/>
      <c r="O47" s="29"/>
      <c r="P47" s="28"/>
      <c r="Q47" s="28"/>
      <c r="R47" s="28"/>
      <c r="S47" s="30"/>
      <c r="T47" s="29"/>
      <c r="U47" s="28"/>
      <c r="V47" s="704"/>
      <c r="W47" s="704"/>
      <c r="X47" s="704"/>
      <c r="Y47" s="704"/>
      <c r="Z47" s="704"/>
      <c r="AA47" s="704"/>
      <c r="AB47" s="704"/>
      <c r="AC47" s="704"/>
      <c r="AD47" s="704"/>
      <c r="AE47" s="704"/>
      <c r="AF47" s="704"/>
      <c r="AG47" s="704"/>
      <c r="AH47" s="723"/>
      <c r="AI47" s="723"/>
      <c r="AJ47" s="723"/>
      <c r="AK47" s="723"/>
      <c r="AL47" s="723"/>
      <c r="AM47" s="723"/>
      <c r="AN47" s="723"/>
      <c r="AO47" s="723"/>
      <c r="AP47" s="723"/>
      <c r="AQ47" s="723"/>
      <c r="AR47" s="723"/>
      <c r="AS47" s="707"/>
      <c r="AT47" s="707"/>
      <c r="AU47" s="707"/>
      <c r="AV47" s="707"/>
      <c r="AW47" s="707"/>
      <c r="AX47" s="707"/>
      <c r="AY47" s="707"/>
      <c r="AZ47" s="707"/>
      <c r="BA47" s="707"/>
      <c r="BB47" s="707"/>
      <c r="BC47" s="707"/>
      <c r="BD47" s="707"/>
      <c r="BE47" s="699"/>
      <c r="BF47" s="699"/>
      <c r="BG47" s="699"/>
      <c r="BH47" s="699"/>
      <c r="BI47" s="699"/>
      <c r="BJ47" s="699"/>
      <c r="BK47" s="699"/>
      <c r="BL47" s="699"/>
      <c r="BM47" s="699"/>
      <c r="BN47" s="699"/>
      <c r="BO47" s="699"/>
      <c r="BP47" s="699"/>
      <c r="BQ47" s="30"/>
      <c r="BR47" s="29"/>
    </row>
    <row r="48" spans="1:83" ht="6" customHeight="1" x14ac:dyDescent="0.25">
      <c r="A48" s="28"/>
      <c r="B48" s="28"/>
      <c r="C48" s="28"/>
      <c r="D48" s="29"/>
      <c r="E48" s="29"/>
      <c r="F48" s="28"/>
      <c r="G48" s="28"/>
      <c r="H48" s="28"/>
      <c r="I48" s="29"/>
      <c r="J48" s="29"/>
      <c r="K48" s="28"/>
      <c r="L48" s="28"/>
      <c r="M48" s="28"/>
      <c r="N48" s="29"/>
      <c r="O48" s="29"/>
      <c r="P48" s="28"/>
      <c r="Q48" s="28"/>
      <c r="R48" s="28"/>
      <c r="S48" s="29"/>
      <c r="T48" s="29"/>
      <c r="U48" s="28"/>
      <c r="V48" s="28"/>
      <c r="W48" s="28"/>
      <c r="X48" s="29"/>
      <c r="Y48" s="29"/>
      <c r="Z48" s="28"/>
      <c r="AA48" s="28"/>
      <c r="AB48" s="28"/>
      <c r="AC48" s="29"/>
      <c r="AD48" s="29"/>
      <c r="AE48" s="28"/>
      <c r="AF48" s="28"/>
      <c r="AG48" s="28"/>
      <c r="AH48" s="29"/>
      <c r="AI48" s="29"/>
      <c r="AJ48" s="28"/>
      <c r="AK48" s="28"/>
      <c r="AL48" s="28"/>
      <c r="AM48" s="29"/>
      <c r="AN48" s="29"/>
      <c r="AO48" s="28"/>
      <c r="AP48" s="28"/>
      <c r="AQ48" s="28"/>
      <c r="AR48" s="29"/>
      <c r="AS48" s="29"/>
      <c r="AT48" s="28"/>
      <c r="AU48" s="28"/>
      <c r="AV48" s="28"/>
      <c r="AW48" s="29"/>
      <c r="AX48" s="29"/>
      <c r="AY48" s="28"/>
      <c r="AZ48" s="28"/>
      <c r="BA48" s="28"/>
      <c r="BB48" s="29"/>
      <c r="BC48" s="29"/>
      <c r="BD48" s="28"/>
      <c r="BE48" s="28"/>
      <c r="BF48" s="28"/>
      <c r="BG48" s="29"/>
      <c r="BH48" s="29"/>
      <c r="BI48" s="28"/>
      <c r="BJ48" s="699"/>
      <c r="BK48" s="699"/>
      <c r="BL48" s="699"/>
      <c r="BM48" s="699"/>
      <c r="BN48" s="699"/>
      <c r="BO48" s="699"/>
      <c r="BP48" s="699"/>
      <c r="BQ48" s="29"/>
      <c r="BR48" s="29"/>
    </row>
    <row r="49" spans="1:83" s="22" customFormat="1" ht="80.099999999999994" customHeight="1" x14ac:dyDescent="1.35">
      <c r="A49" s="31"/>
      <c r="B49" s="121"/>
      <c r="C49" s="121"/>
      <c r="D49" s="121"/>
      <c r="E49" s="121"/>
      <c r="F49" s="31"/>
      <c r="G49" s="121"/>
      <c r="H49" s="121"/>
      <c r="I49" s="121"/>
      <c r="J49" s="121"/>
      <c r="K49" s="31"/>
      <c r="L49" s="121"/>
      <c r="M49" s="121"/>
      <c r="N49" s="121"/>
      <c r="O49" s="121"/>
      <c r="P49" s="31"/>
      <c r="Q49" s="121"/>
      <c r="R49" s="121"/>
      <c r="S49" s="121"/>
      <c r="T49" s="121"/>
      <c r="U49" s="31"/>
      <c r="V49" s="121"/>
      <c r="W49" s="121"/>
      <c r="X49" s="121"/>
      <c r="Y49" s="121"/>
      <c r="Z49" s="31"/>
      <c r="AA49" s="121"/>
      <c r="AB49" s="121"/>
      <c r="AC49" s="121"/>
      <c r="AD49" s="121"/>
      <c r="AE49" s="31"/>
      <c r="AF49" s="121"/>
      <c r="AG49" s="121"/>
      <c r="AH49" s="121"/>
      <c r="AI49" s="121"/>
      <c r="AJ49" s="31"/>
      <c r="AK49" s="121"/>
      <c r="AL49" s="121"/>
      <c r="AM49" s="121"/>
      <c r="AN49" s="121"/>
      <c r="AO49" s="31"/>
      <c r="AP49" s="121"/>
      <c r="AQ49" s="121"/>
      <c r="AR49" s="121"/>
      <c r="AS49" s="121"/>
      <c r="AT49" s="31"/>
      <c r="AU49" s="121"/>
      <c r="AV49" s="121"/>
      <c r="AW49" s="121"/>
      <c r="AX49" s="121"/>
      <c r="AY49" s="31"/>
      <c r="AZ49" s="121"/>
      <c r="BA49" s="121"/>
      <c r="BB49" s="121"/>
      <c r="BC49" s="121"/>
      <c r="BD49" s="31"/>
      <c r="BE49" s="121"/>
      <c r="BF49" s="121"/>
      <c r="BG49" s="121"/>
      <c r="BH49" s="121"/>
      <c r="BI49" s="31"/>
      <c r="BJ49" s="121"/>
      <c r="BK49" s="121"/>
      <c r="BL49" s="121"/>
      <c r="BM49" s="121"/>
      <c r="BN49" s="31"/>
      <c r="BO49" s="121"/>
      <c r="BP49" s="121"/>
      <c r="BQ49" s="121"/>
      <c r="BR49" s="121"/>
    </row>
    <row r="50" spans="1:83" ht="25.5" customHeight="1" x14ac:dyDescent="0.25">
      <c r="A50" s="31"/>
      <c r="B50" s="32"/>
      <c r="C50" s="33"/>
      <c r="D50" s="34"/>
      <c r="E50" s="35"/>
      <c r="F50" s="31"/>
      <c r="G50" s="32"/>
      <c r="H50" s="33"/>
      <c r="I50" s="34"/>
      <c r="J50" s="35"/>
      <c r="K50" s="31"/>
      <c r="L50" s="32"/>
      <c r="M50" s="33"/>
      <c r="N50" s="34"/>
      <c r="O50" s="35"/>
      <c r="P50" s="31"/>
      <c r="Q50" s="32"/>
      <c r="R50" s="33"/>
      <c r="S50" s="34"/>
      <c r="T50" s="35"/>
      <c r="U50" s="31"/>
      <c r="V50" s="32"/>
      <c r="W50" s="33"/>
      <c r="X50" s="34"/>
      <c r="Y50" s="35"/>
      <c r="Z50" s="31"/>
      <c r="AA50" s="32"/>
      <c r="AB50" s="33"/>
      <c r="AC50" s="34"/>
      <c r="AD50" s="35"/>
      <c r="AE50" s="31"/>
      <c r="AF50" s="32"/>
      <c r="AG50" s="33"/>
      <c r="AH50" s="34"/>
      <c r="AI50" s="35"/>
      <c r="AJ50" s="31"/>
      <c r="AK50" s="32"/>
      <c r="AL50" s="33"/>
      <c r="AM50" s="34"/>
      <c r="AN50" s="35"/>
      <c r="AO50" s="31"/>
      <c r="AP50" s="32"/>
      <c r="AQ50" s="33"/>
      <c r="AR50" s="34"/>
      <c r="AS50" s="35"/>
      <c r="AT50" s="31"/>
      <c r="AU50" s="32"/>
      <c r="AV50" s="33"/>
      <c r="AW50" s="34"/>
      <c r="AX50" s="35"/>
      <c r="AY50" s="31"/>
      <c r="AZ50" s="32"/>
      <c r="BA50" s="33"/>
      <c r="BB50" s="34"/>
      <c r="BC50" s="35"/>
      <c r="BD50" s="31"/>
      <c r="BE50" s="32"/>
      <c r="BF50" s="33"/>
      <c r="BG50" s="34"/>
      <c r="BH50" s="35"/>
      <c r="BI50" s="31"/>
      <c r="BJ50" s="32"/>
      <c r="BK50" s="33"/>
      <c r="BL50" s="34"/>
      <c r="BM50" s="35"/>
      <c r="BN50" s="31"/>
      <c r="BO50" s="32"/>
      <c r="BP50" s="33"/>
      <c r="BQ50" s="34"/>
      <c r="BR50" s="35"/>
      <c r="BW50" s="27"/>
      <c r="BX50" s="27"/>
      <c r="BY50" s="27"/>
      <c r="BZ50" s="27"/>
      <c r="CA50" s="27"/>
      <c r="CB50" s="27"/>
      <c r="CC50" s="27"/>
      <c r="CD50" s="27"/>
      <c r="CE50" s="27"/>
    </row>
    <row r="51" spans="1:83" ht="26.1" hidden="1" customHeight="1" thickTop="1" x14ac:dyDescent="0.25">
      <c r="A51" s="672"/>
      <c r="B51" s="672"/>
      <c r="C51" s="672"/>
      <c r="D51" s="673"/>
      <c r="E51" s="673"/>
      <c r="F51" s="672"/>
      <c r="G51" s="672"/>
      <c r="H51" s="672"/>
      <c r="I51" s="673"/>
      <c r="J51" s="673"/>
      <c r="K51" s="672"/>
      <c r="L51" s="672"/>
      <c r="M51" s="672"/>
      <c r="N51" s="673"/>
      <c r="O51" s="673"/>
      <c r="P51" s="672"/>
      <c r="Q51" s="672"/>
      <c r="R51" s="672"/>
      <c r="S51" s="673"/>
      <c r="T51" s="673"/>
      <c r="U51" s="674"/>
      <c r="V51" s="674"/>
      <c r="W51" s="674"/>
      <c r="X51" s="675"/>
      <c r="Y51" s="675"/>
      <c r="Z51" s="44"/>
      <c r="AA51" s="44"/>
      <c r="AB51" s="44"/>
      <c r="AC51" s="69"/>
      <c r="AD51" s="69"/>
      <c r="AE51" s="44"/>
      <c r="AF51" s="44"/>
      <c r="AG51" s="44"/>
      <c r="AH51" s="69"/>
      <c r="AI51" s="69"/>
      <c r="AJ51" s="44"/>
      <c r="AK51" s="44"/>
      <c r="AL51" s="44"/>
      <c r="AM51" s="69"/>
      <c r="AN51" s="69"/>
      <c r="AO51" s="44"/>
      <c r="AP51" s="44"/>
      <c r="AQ51" s="44"/>
      <c r="AR51" s="69"/>
      <c r="AS51" s="69"/>
      <c r="AT51" s="44"/>
      <c r="AU51" s="44"/>
      <c r="AV51" s="44"/>
      <c r="AW51" s="69"/>
      <c r="AX51" s="69"/>
      <c r="AY51" s="44"/>
      <c r="AZ51" s="44"/>
      <c r="BA51" s="44"/>
      <c r="BB51" s="69"/>
      <c r="BC51" s="69"/>
      <c r="BD51" s="44"/>
      <c r="BE51" s="44"/>
      <c r="BF51" s="44"/>
      <c r="BG51" s="69"/>
      <c r="BH51" s="69"/>
      <c r="BI51" s="674"/>
      <c r="BJ51" s="674"/>
      <c r="BK51" s="674"/>
      <c r="BL51" s="675"/>
      <c r="BM51" s="675"/>
      <c r="BN51" s="674"/>
      <c r="BO51" s="674"/>
      <c r="BP51" s="674"/>
      <c r="BQ51" s="675"/>
      <c r="BR51" s="675"/>
    </row>
    <row r="52" spans="1:83" ht="6.75" hidden="1" customHeight="1" x14ac:dyDescent="0.25">
      <c r="A52" s="676"/>
      <c r="B52" s="676"/>
      <c r="C52" s="676"/>
      <c r="D52" s="29"/>
      <c r="E52" s="29"/>
      <c r="F52" s="676"/>
      <c r="G52" s="676"/>
      <c r="H52" s="676"/>
      <c r="I52" s="29"/>
      <c r="J52" s="29"/>
      <c r="K52" s="676"/>
      <c r="L52" s="676"/>
      <c r="M52" s="676"/>
      <c r="N52" s="29"/>
      <c r="O52" s="29"/>
      <c r="P52" s="676"/>
      <c r="Q52" s="676"/>
      <c r="R52" s="676"/>
      <c r="S52" s="29"/>
      <c r="T52" s="29"/>
      <c r="U52" s="676"/>
      <c r="V52" s="676"/>
      <c r="W52" s="676"/>
      <c r="X52" s="29"/>
      <c r="Y52" s="29"/>
      <c r="Z52" s="47"/>
      <c r="AA52" s="47"/>
      <c r="AB52" s="47"/>
      <c r="AC52" s="29"/>
      <c r="AD52" s="29"/>
      <c r="AE52" s="47"/>
      <c r="AF52" s="47"/>
      <c r="AG52" s="47"/>
      <c r="AH52" s="29"/>
      <c r="AI52" s="29"/>
      <c r="AJ52" s="47"/>
      <c r="AK52" s="47"/>
      <c r="AL52" s="47"/>
      <c r="AM52" s="29"/>
      <c r="AN52" s="29"/>
      <c r="AO52" s="47"/>
      <c r="AP52" s="47"/>
      <c r="AQ52" s="47"/>
      <c r="AR52" s="29"/>
      <c r="AS52" s="29"/>
      <c r="AT52" s="47"/>
      <c r="AU52" s="47"/>
      <c r="AV52" s="47"/>
      <c r="AW52" s="29"/>
      <c r="AX52" s="29"/>
      <c r="AY52" s="47"/>
      <c r="AZ52" s="47"/>
      <c r="BA52" s="47"/>
      <c r="BB52" s="29"/>
      <c r="BC52" s="29"/>
      <c r="BD52" s="47"/>
      <c r="BE52" s="47"/>
      <c r="BF52" s="47"/>
      <c r="BG52" s="29"/>
      <c r="BH52" s="29"/>
      <c r="BI52" s="676"/>
      <c r="BJ52" s="676"/>
      <c r="BK52" s="676"/>
      <c r="BL52" s="29"/>
      <c r="BM52" s="29"/>
      <c r="BN52" s="676"/>
      <c r="BO52" s="676"/>
      <c r="BP52" s="676"/>
      <c r="BQ52" s="29"/>
      <c r="BR52" s="29"/>
    </row>
    <row r="53" spans="1:83" ht="21.95" hidden="1" customHeight="1" x14ac:dyDescent="0.25">
      <c r="A53" s="676"/>
      <c r="B53" s="676"/>
      <c r="C53" s="676"/>
      <c r="D53" s="30"/>
      <c r="E53" s="29"/>
      <c r="F53" s="676"/>
      <c r="G53" s="676"/>
      <c r="H53" s="676"/>
      <c r="I53" s="30"/>
      <c r="J53" s="29"/>
      <c r="K53" s="676"/>
      <c r="L53" s="676"/>
      <c r="M53" s="676"/>
      <c r="N53" s="30"/>
      <c r="O53" s="29"/>
      <c r="P53" s="676"/>
      <c r="Q53" s="676"/>
      <c r="R53" s="676"/>
      <c r="S53" s="30"/>
      <c r="T53" s="29"/>
      <c r="U53" s="676"/>
      <c r="V53" s="676"/>
      <c r="W53" s="676"/>
      <c r="X53" s="30"/>
      <c r="Y53" s="29"/>
      <c r="Z53" s="47"/>
      <c r="AA53" s="47"/>
      <c r="AB53" s="47"/>
      <c r="AC53" s="30"/>
      <c r="AD53" s="29"/>
      <c r="AE53" s="47"/>
      <c r="AF53" s="47"/>
      <c r="AG53" s="47"/>
      <c r="AH53" s="30"/>
      <c r="AI53" s="29"/>
      <c r="AJ53" s="47"/>
      <c r="AK53" s="47"/>
      <c r="AL53" s="47"/>
      <c r="AM53" s="30"/>
      <c r="AN53" s="29"/>
      <c r="AO53" s="47"/>
      <c r="AP53" s="47"/>
      <c r="AQ53" s="47"/>
      <c r="AR53" s="30"/>
      <c r="AS53" s="29"/>
      <c r="AT53" s="47"/>
      <c r="AU53" s="47"/>
      <c r="AV53" s="47"/>
      <c r="AW53" s="30"/>
      <c r="AX53" s="29"/>
      <c r="AY53" s="47"/>
      <c r="AZ53" s="47"/>
      <c r="BA53" s="47"/>
      <c r="BB53" s="30"/>
      <c r="BC53" s="29"/>
      <c r="BD53" s="47"/>
      <c r="BE53" s="47"/>
      <c r="BF53" s="47"/>
      <c r="BG53" s="30"/>
      <c r="BH53" s="29"/>
      <c r="BI53" s="676"/>
      <c r="BJ53" s="676"/>
      <c r="BK53" s="676"/>
      <c r="BL53" s="30"/>
      <c r="BM53" s="29"/>
      <c r="BN53" s="676"/>
      <c r="BO53" s="676"/>
      <c r="BP53" s="676"/>
      <c r="BQ53" s="30"/>
      <c r="BR53" s="29"/>
    </row>
    <row r="54" spans="1:83" ht="6" hidden="1" customHeight="1" x14ac:dyDescent="0.25">
      <c r="A54" s="676"/>
      <c r="B54" s="676"/>
      <c r="C54" s="676"/>
      <c r="D54" s="675"/>
      <c r="E54" s="675"/>
      <c r="F54" s="676"/>
      <c r="G54" s="676"/>
      <c r="H54" s="676"/>
      <c r="I54" s="675"/>
      <c r="J54" s="675"/>
      <c r="K54" s="676"/>
      <c r="L54" s="676"/>
      <c r="M54" s="676"/>
      <c r="N54" s="675"/>
      <c r="O54" s="675"/>
      <c r="P54" s="676"/>
      <c r="Q54" s="676"/>
      <c r="R54" s="676"/>
      <c r="S54" s="675"/>
      <c r="T54" s="675"/>
      <c r="U54" s="676"/>
      <c r="V54" s="676"/>
      <c r="W54" s="676"/>
      <c r="X54" s="675"/>
      <c r="Y54" s="675"/>
      <c r="Z54" s="47"/>
      <c r="AA54" s="47"/>
      <c r="AB54" s="47"/>
      <c r="AC54" s="69"/>
      <c r="AD54" s="69"/>
      <c r="AE54" s="47"/>
      <c r="AF54" s="47"/>
      <c r="AG54" s="47"/>
      <c r="AH54" s="69"/>
      <c r="AI54" s="69"/>
      <c r="AJ54" s="47"/>
      <c r="AK54" s="47"/>
      <c r="AL54" s="47"/>
      <c r="AM54" s="69"/>
      <c r="AN54" s="69"/>
      <c r="AO54" s="47"/>
      <c r="AP54" s="47"/>
      <c r="AQ54" s="47"/>
      <c r="AR54" s="69"/>
      <c r="AS54" s="69"/>
      <c r="AT54" s="47"/>
      <c r="AU54" s="47"/>
      <c r="AV54" s="47"/>
      <c r="AW54" s="69"/>
      <c r="AX54" s="69"/>
      <c r="AY54" s="47"/>
      <c r="AZ54" s="47"/>
      <c r="BA54" s="47"/>
      <c r="BB54" s="69"/>
      <c r="BC54" s="69"/>
      <c r="BD54" s="47"/>
      <c r="BE54" s="47"/>
      <c r="BF54" s="47"/>
      <c r="BG54" s="69"/>
      <c r="BH54" s="69"/>
      <c r="BI54" s="676"/>
      <c r="BJ54" s="676"/>
      <c r="BK54" s="676"/>
      <c r="BL54" s="675"/>
      <c r="BM54" s="675"/>
      <c r="BN54" s="676"/>
      <c r="BO54" s="676"/>
      <c r="BP54" s="676"/>
      <c r="BQ54" s="675"/>
      <c r="BR54" s="675"/>
    </row>
    <row r="55" spans="1:83" ht="59.25" hidden="1" customHeight="1" thickBot="1" x14ac:dyDescent="0.3">
      <c r="A55" s="677"/>
      <c r="B55" s="678"/>
      <c r="C55" s="678"/>
      <c r="D55" s="678"/>
      <c r="E55" s="678"/>
      <c r="F55" s="677"/>
      <c r="G55" s="678"/>
      <c r="H55" s="678"/>
      <c r="I55" s="678"/>
      <c r="J55" s="678"/>
      <c r="K55" s="677"/>
      <c r="L55" s="678"/>
      <c r="M55" s="678"/>
      <c r="N55" s="678"/>
      <c r="O55" s="678"/>
      <c r="P55" s="677"/>
      <c r="Q55" s="678"/>
      <c r="R55" s="678"/>
      <c r="S55" s="678"/>
      <c r="T55" s="678"/>
      <c r="U55" s="677"/>
      <c r="V55" s="678"/>
      <c r="W55" s="678"/>
      <c r="X55" s="678"/>
      <c r="Y55" s="678"/>
      <c r="Z55" s="70"/>
      <c r="AA55" s="71"/>
      <c r="AB55" s="71"/>
      <c r="AC55" s="71"/>
      <c r="AD55" s="71"/>
      <c r="AE55" s="70"/>
      <c r="AF55" s="71"/>
      <c r="AG55" s="71"/>
      <c r="AH55" s="71"/>
      <c r="AI55" s="71"/>
      <c r="AJ55" s="70"/>
      <c r="AK55" s="71"/>
      <c r="AL55" s="71"/>
      <c r="AM55" s="71"/>
      <c r="AN55" s="71"/>
      <c r="AO55" s="70"/>
      <c r="AP55" s="71"/>
      <c r="AQ55" s="71"/>
      <c r="AR55" s="71"/>
      <c r="AS55" s="71"/>
      <c r="AT55" s="70"/>
      <c r="AU55" s="71"/>
      <c r="AV55" s="71"/>
      <c r="AW55" s="71"/>
      <c r="AX55" s="71"/>
      <c r="AY55" s="70"/>
      <c r="AZ55" s="71"/>
      <c r="BA55" s="71"/>
      <c r="BB55" s="71"/>
      <c r="BC55" s="71"/>
      <c r="BD55" s="70"/>
      <c r="BE55" s="71"/>
      <c r="BF55" s="71"/>
      <c r="BG55" s="71"/>
      <c r="BH55" s="71"/>
      <c r="BI55" s="677"/>
      <c r="BJ55" s="678"/>
      <c r="BK55" s="678"/>
      <c r="BL55" s="678"/>
      <c r="BM55" s="678"/>
      <c r="BN55" s="677"/>
      <c r="BO55" s="678"/>
      <c r="BP55" s="678"/>
      <c r="BQ55" s="678"/>
      <c r="BR55" s="678"/>
    </row>
    <row r="56" spans="1:83" ht="27" hidden="1" customHeight="1" thickBot="1" x14ac:dyDescent="0.3">
      <c r="A56" s="677"/>
      <c r="B56" s="32"/>
      <c r="C56" s="33"/>
      <c r="D56" s="34"/>
      <c r="E56" s="35"/>
      <c r="F56" s="677"/>
      <c r="G56" s="32"/>
      <c r="H56" s="33"/>
      <c r="I56" s="34"/>
      <c r="J56" s="35"/>
      <c r="K56" s="677"/>
      <c r="L56" s="32"/>
      <c r="M56" s="33"/>
      <c r="N56" s="34"/>
      <c r="O56" s="35"/>
      <c r="P56" s="677"/>
      <c r="Q56" s="32"/>
      <c r="R56" s="33"/>
      <c r="S56" s="34"/>
      <c r="T56" s="35"/>
      <c r="U56" s="677"/>
      <c r="V56" s="32"/>
      <c r="W56" s="33"/>
      <c r="X56" s="34"/>
      <c r="Y56" s="35"/>
      <c r="Z56" s="70"/>
      <c r="AA56" s="32"/>
      <c r="AB56" s="33"/>
      <c r="AC56" s="34"/>
      <c r="AD56" s="35"/>
      <c r="AE56" s="70"/>
      <c r="AF56" s="32"/>
      <c r="AG56" s="33"/>
      <c r="AH56" s="34"/>
      <c r="AI56" s="35"/>
      <c r="AJ56" s="70"/>
      <c r="AK56" s="32"/>
      <c r="AL56" s="33"/>
      <c r="AM56" s="34"/>
      <c r="AN56" s="35"/>
      <c r="AO56" s="70"/>
      <c r="AP56" s="32"/>
      <c r="AQ56" s="33"/>
      <c r="AR56" s="34"/>
      <c r="AS56" s="35"/>
      <c r="AT56" s="70"/>
      <c r="AU56" s="32"/>
      <c r="AV56" s="33"/>
      <c r="AW56" s="34"/>
      <c r="AX56" s="35"/>
      <c r="AY56" s="70"/>
      <c r="AZ56" s="32"/>
      <c r="BA56" s="33"/>
      <c r="BB56" s="34"/>
      <c r="BC56" s="35"/>
      <c r="BD56" s="70"/>
      <c r="BE56" s="32"/>
      <c r="BF56" s="33"/>
      <c r="BG56" s="34"/>
      <c r="BH56" s="35"/>
      <c r="BI56" s="677"/>
      <c r="BJ56" s="32"/>
      <c r="BK56" s="33"/>
      <c r="BL56" s="34"/>
      <c r="BM56" s="35"/>
      <c r="BN56" s="677"/>
      <c r="BO56" s="32"/>
      <c r="BP56" s="33"/>
      <c r="BQ56" s="34"/>
      <c r="BR56" s="35"/>
      <c r="BW56" s="27"/>
      <c r="BX56" s="27"/>
      <c r="BY56" s="27"/>
      <c r="BZ56" s="27"/>
      <c r="CA56" s="27"/>
      <c r="CB56" s="27"/>
      <c r="CC56" s="27"/>
      <c r="CD56" s="27"/>
      <c r="CE56" s="27"/>
    </row>
    <row r="57" spans="1:83" ht="26.1" hidden="1" customHeight="1" x14ac:dyDescent="0.25">
      <c r="A57" s="674"/>
      <c r="B57" s="674"/>
      <c r="C57" s="674"/>
      <c r="D57" s="675"/>
      <c r="E57" s="675"/>
      <c r="F57" s="674"/>
      <c r="G57" s="674"/>
      <c r="H57" s="674"/>
      <c r="I57" s="675"/>
      <c r="J57" s="675"/>
      <c r="K57" s="674"/>
      <c r="L57" s="674"/>
      <c r="M57" s="674"/>
      <c r="N57" s="675"/>
      <c r="O57" s="675"/>
      <c r="P57" s="674"/>
      <c r="Q57" s="674"/>
      <c r="R57" s="674"/>
      <c r="S57" s="675"/>
      <c r="T57" s="675"/>
      <c r="U57" s="674"/>
      <c r="V57" s="674"/>
      <c r="W57" s="674"/>
      <c r="X57" s="675"/>
      <c r="Y57" s="675"/>
      <c r="Z57" s="44"/>
      <c r="AA57" s="44"/>
      <c r="AB57" s="44"/>
      <c r="AC57" s="69"/>
      <c r="AD57" s="69"/>
      <c r="AE57" s="44"/>
      <c r="AF57" s="44"/>
      <c r="AG57" s="44"/>
      <c r="AH57" s="69"/>
      <c r="AI57" s="69"/>
      <c r="AJ57" s="44"/>
      <c r="AK57" s="44"/>
      <c r="AL57" s="44"/>
      <c r="AM57" s="69"/>
      <c r="AN57" s="69"/>
      <c r="AO57" s="44"/>
      <c r="AP57" s="44"/>
      <c r="AQ57" s="44"/>
      <c r="AR57" s="69"/>
      <c r="AS57" s="69"/>
      <c r="AT57" s="44"/>
      <c r="AU57" s="44"/>
      <c r="AV57" s="44"/>
      <c r="AW57" s="69"/>
      <c r="AX57" s="69"/>
      <c r="AY57" s="44"/>
      <c r="AZ57" s="44"/>
      <c r="BA57" s="44"/>
      <c r="BB57" s="69"/>
      <c r="BC57" s="69"/>
      <c r="BD57" s="44"/>
      <c r="BE57" s="44"/>
      <c r="BF57" s="44"/>
      <c r="BG57" s="69"/>
      <c r="BH57" s="69"/>
      <c r="BI57" s="674"/>
      <c r="BJ57" s="674"/>
      <c r="BK57" s="674"/>
      <c r="BL57" s="675"/>
      <c r="BM57" s="675"/>
      <c r="BN57" s="674"/>
      <c r="BO57" s="674"/>
      <c r="BP57" s="674"/>
      <c r="BQ57" s="675"/>
      <c r="BR57" s="675"/>
    </row>
    <row r="58" spans="1:83" ht="6.75" hidden="1" customHeight="1" x14ac:dyDescent="0.25">
      <c r="A58" s="676"/>
      <c r="B58" s="676"/>
      <c r="C58" s="676"/>
      <c r="D58" s="29"/>
      <c r="E58" s="29"/>
      <c r="F58" s="676"/>
      <c r="G58" s="676"/>
      <c r="H58" s="676"/>
      <c r="I58" s="29"/>
      <c r="J58" s="29"/>
      <c r="K58" s="676"/>
      <c r="L58" s="676"/>
      <c r="M58" s="676"/>
      <c r="N58" s="29"/>
      <c r="O58" s="29"/>
      <c r="P58" s="676"/>
      <c r="Q58" s="676"/>
      <c r="R58" s="676"/>
      <c r="S58" s="29"/>
      <c r="T58" s="29"/>
      <c r="U58" s="676"/>
      <c r="V58" s="676"/>
      <c r="W58" s="676"/>
      <c r="X58" s="29"/>
      <c r="Y58" s="29"/>
      <c r="Z58" s="47"/>
      <c r="AA58" s="47"/>
      <c r="AB58" s="47"/>
      <c r="AC58" s="29"/>
      <c r="AD58" s="29"/>
      <c r="AE58" s="47"/>
      <c r="AF58" s="47"/>
      <c r="AG58" s="47"/>
      <c r="AH58" s="29"/>
      <c r="AI58" s="29"/>
      <c r="AJ58" s="47"/>
      <c r="AK58" s="47"/>
      <c r="AL58" s="47"/>
      <c r="AM58" s="29"/>
      <c r="AN58" s="29"/>
      <c r="AO58" s="47"/>
      <c r="AP58" s="47"/>
      <c r="AQ58" s="47"/>
      <c r="AR58" s="29"/>
      <c r="AS58" s="29"/>
      <c r="AT58" s="47"/>
      <c r="AU58" s="47"/>
      <c r="AV58" s="47"/>
      <c r="AW58" s="29"/>
      <c r="AX58" s="29"/>
      <c r="AY58" s="47"/>
      <c r="AZ58" s="47"/>
      <c r="BA58" s="47"/>
      <c r="BB58" s="29"/>
      <c r="BC58" s="29"/>
      <c r="BD58" s="47"/>
      <c r="BE58" s="47"/>
      <c r="BF58" s="47"/>
      <c r="BG58" s="29"/>
      <c r="BH58" s="29"/>
      <c r="BI58" s="676"/>
      <c r="BJ58" s="676"/>
      <c r="BK58" s="676"/>
      <c r="BL58" s="29"/>
      <c r="BM58" s="29"/>
      <c r="BN58" s="676"/>
      <c r="BO58" s="676"/>
      <c r="BP58" s="676"/>
      <c r="BQ58" s="29"/>
      <c r="BR58" s="29"/>
    </row>
    <row r="59" spans="1:83" ht="21.95" hidden="1" customHeight="1" x14ac:dyDescent="0.25">
      <c r="A59" s="676"/>
      <c r="B59" s="676"/>
      <c r="C59" s="676"/>
      <c r="D59" s="30"/>
      <c r="E59" s="29"/>
      <c r="F59" s="676"/>
      <c r="G59" s="676"/>
      <c r="H59" s="676"/>
      <c r="I59" s="30"/>
      <c r="J59" s="29"/>
      <c r="K59" s="676"/>
      <c r="L59" s="676"/>
      <c r="M59" s="676"/>
      <c r="N59" s="30"/>
      <c r="O59" s="29"/>
      <c r="P59" s="676"/>
      <c r="Q59" s="676"/>
      <c r="R59" s="676"/>
      <c r="S59" s="30"/>
      <c r="T59" s="29"/>
      <c r="U59" s="676"/>
      <c r="V59" s="676"/>
      <c r="W59" s="676"/>
      <c r="X59" s="30"/>
      <c r="Y59" s="29"/>
      <c r="Z59" s="47"/>
      <c r="AA59" s="47"/>
      <c r="AB59" s="47"/>
      <c r="AC59" s="30"/>
      <c r="AD59" s="29"/>
      <c r="AE59" s="47"/>
      <c r="AF59" s="47"/>
      <c r="AG59" s="47"/>
      <c r="AH59" s="30"/>
      <c r="AI59" s="29"/>
      <c r="AJ59" s="47"/>
      <c r="AK59" s="47"/>
      <c r="AL59" s="47"/>
      <c r="AM59" s="30"/>
      <c r="AN59" s="29"/>
      <c r="AO59" s="47"/>
      <c r="AP59" s="47"/>
      <c r="AQ59" s="47"/>
      <c r="AR59" s="30"/>
      <c r="AS59" s="29"/>
      <c r="AT59" s="47"/>
      <c r="AU59" s="47"/>
      <c r="AV59" s="47"/>
      <c r="AW59" s="30"/>
      <c r="AX59" s="29"/>
      <c r="AY59" s="47"/>
      <c r="AZ59" s="47"/>
      <c r="BA59" s="47"/>
      <c r="BB59" s="30"/>
      <c r="BC59" s="29"/>
      <c r="BD59" s="47"/>
      <c r="BE59" s="47"/>
      <c r="BF59" s="47"/>
      <c r="BG59" s="30"/>
      <c r="BH59" s="29"/>
      <c r="BI59" s="676"/>
      <c r="BJ59" s="676"/>
      <c r="BK59" s="676"/>
      <c r="BL59" s="30"/>
      <c r="BM59" s="29"/>
      <c r="BN59" s="676"/>
      <c r="BO59" s="676"/>
      <c r="BP59" s="676"/>
      <c r="BQ59" s="30"/>
      <c r="BR59" s="29"/>
    </row>
    <row r="60" spans="1:83" ht="6" hidden="1" customHeight="1" x14ac:dyDescent="0.25">
      <c r="A60" s="676"/>
      <c r="B60" s="676"/>
      <c r="C60" s="676"/>
      <c r="D60" s="675"/>
      <c r="E60" s="675"/>
      <c r="F60" s="676"/>
      <c r="G60" s="676"/>
      <c r="H60" s="676"/>
      <c r="I60" s="675"/>
      <c r="J60" s="675"/>
      <c r="K60" s="676"/>
      <c r="L60" s="676"/>
      <c r="M60" s="676"/>
      <c r="N60" s="675"/>
      <c r="O60" s="675"/>
      <c r="P60" s="676"/>
      <c r="Q60" s="676"/>
      <c r="R60" s="676"/>
      <c r="S60" s="675"/>
      <c r="T60" s="675"/>
      <c r="U60" s="676"/>
      <c r="V60" s="676"/>
      <c r="W60" s="676"/>
      <c r="X60" s="675"/>
      <c r="Y60" s="675"/>
      <c r="Z60" s="47"/>
      <c r="AA60" s="47"/>
      <c r="AB60" s="47"/>
      <c r="AC60" s="69"/>
      <c r="AD60" s="69"/>
      <c r="AE60" s="47"/>
      <c r="AF60" s="47"/>
      <c r="AG60" s="47"/>
      <c r="AH60" s="69"/>
      <c r="AI60" s="69"/>
      <c r="AJ60" s="47"/>
      <c r="AK60" s="47"/>
      <c r="AL60" s="47"/>
      <c r="AM60" s="69"/>
      <c r="AN60" s="69"/>
      <c r="AO60" s="47"/>
      <c r="AP60" s="47"/>
      <c r="AQ60" s="47"/>
      <c r="AR60" s="69"/>
      <c r="AS60" s="69"/>
      <c r="AT60" s="47"/>
      <c r="AU60" s="47"/>
      <c r="AV60" s="47"/>
      <c r="AW60" s="69"/>
      <c r="AX60" s="69"/>
      <c r="AY60" s="47"/>
      <c r="AZ60" s="47"/>
      <c r="BA60" s="47"/>
      <c r="BB60" s="69"/>
      <c r="BC60" s="69"/>
      <c r="BD60" s="47"/>
      <c r="BE60" s="47"/>
      <c r="BF60" s="47"/>
      <c r="BG60" s="69"/>
      <c r="BH60" s="69"/>
      <c r="BI60" s="676"/>
      <c r="BJ60" s="676"/>
      <c r="BK60" s="676"/>
      <c r="BL60" s="675"/>
      <c r="BM60" s="675"/>
      <c r="BN60" s="676"/>
      <c r="BO60" s="676"/>
      <c r="BP60" s="676"/>
      <c r="BQ60" s="675"/>
      <c r="BR60" s="675"/>
    </row>
    <row r="61" spans="1:83" ht="59.25" hidden="1" customHeight="1" thickBot="1" x14ac:dyDescent="0.3">
      <c r="A61" s="677"/>
      <c r="B61" s="678"/>
      <c r="C61" s="678"/>
      <c r="D61" s="678"/>
      <c r="E61" s="678"/>
      <c r="F61" s="677"/>
      <c r="G61" s="678"/>
      <c r="H61" s="678"/>
      <c r="I61" s="678"/>
      <c r="J61" s="678"/>
      <c r="K61" s="677"/>
      <c r="L61" s="678"/>
      <c r="M61" s="678"/>
      <c r="N61" s="678"/>
      <c r="O61" s="678"/>
      <c r="P61" s="677"/>
      <c r="Q61" s="678"/>
      <c r="R61" s="678"/>
      <c r="S61" s="678"/>
      <c r="T61" s="678"/>
      <c r="U61" s="677"/>
      <c r="V61" s="678"/>
      <c r="W61" s="678"/>
      <c r="X61" s="678"/>
      <c r="Y61" s="678"/>
      <c r="Z61" s="70"/>
      <c r="AA61" s="71"/>
      <c r="AB61" s="71"/>
      <c r="AC61" s="71"/>
      <c r="AD61" s="71"/>
      <c r="AE61" s="70"/>
      <c r="AF61" s="71"/>
      <c r="AG61" s="71"/>
      <c r="AH61" s="71"/>
      <c r="AI61" s="71"/>
      <c r="AJ61" s="70"/>
      <c r="AK61" s="71"/>
      <c r="AL61" s="71"/>
      <c r="AM61" s="71"/>
      <c r="AN61" s="71"/>
      <c r="AO61" s="70"/>
      <c r="AP61" s="71"/>
      <c r="AQ61" s="71"/>
      <c r="AR61" s="71"/>
      <c r="AS61" s="71"/>
      <c r="AT61" s="70"/>
      <c r="AU61" s="71"/>
      <c r="AV61" s="71"/>
      <c r="AW61" s="71"/>
      <c r="AX61" s="71"/>
      <c r="AY61" s="70"/>
      <c r="AZ61" s="71"/>
      <c r="BA61" s="71"/>
      <c r="BB61" s="71"/>
      <c r="BC61" s="71"/>
      <c r="BD61" s="70"/>
      <c r="BE61" s="71"/>
      <c r="BF61" s="71"/>
      <c r="BG61" s="71"/>
      <c r="BH61" s="71"/>
      <c r="BI61" s="677"/>
      <c r="BJ61" s="678"/>
      <c r="BK61" s="678"/>
      <c r="BL61" s="678"/>
      <c r="BM61" s="678"/>
      <c r="BN61" s="677"/>
      <c r="BO61" s="678"/>
      <c r="BP61" s="678"/>
      <c r="BQ61" s="678"/>
      <c r="BR61" s="678"/>
    </row>
    <row r="62" spans="1:83" ht="27" hidden="1" customHeight="1" thickBot="1" x14ac:dyDescent="0.3">
      <c r="A62" s="677"/>
      <c r="B62" s="32"/>
      <c r="C62" s="33"/>
      <c r="D62" s="34"/>
      <c r="E62" s="35"/>
      <c r="F62" s="677"/>
      <c r="G62" s="32"/>
      <c r="H62" s="33"/>
      <c r="I62" s="34"/>
      <c r="J62" s="35"/>
      <c r="K62" s="677"/>
      <c r="L62" s="32"/>
      <c r="M62" s="33"/>
      <c r="N62" s="34"/>
      <c r="O62" s="35"/>
      <c r="P62" s="677"/>
      <c r="Q62" s="32"/>
      <c r="R62" s="33"/>
      <c r="S62" s="34"/>
      <c r="T62" s="35"/>
      <c r="U62" s="677"/>
      <c r="V62" s="32"/>
      <c r="W62" s="33"/>
      <c r="X62" s="34"/>
      <c r="Y62" s="35"/>
      <c r="Z62" s="70"/>
      <c r="AA62" s="32"/>
      <c r="AB62" s="33"/>
      <c r="AC62" s="34"/>
      <c r="AD62" s="35"/>
      <c r="AE62" s="70"/>
      <c r="AF62" s="32"/>
      <c r="AG62" s="33"/>
      <c r="AH62" s="34"/>
      <c r="AI62" s="35"/>
      <c r="AJ62" s="70"/>
      <c r="AK62" s="32"/>
      <c r="AL62" s="33"/>
      <c r="AM62" s="34"/>
      <c r="AN62" s="35"/>
      <c r="AO62" s="70"/>
      <c r="AP62" s="32"/>
      <c r="AQ62" s="33"/>
      <c r="AR62" s="34"/>
      <c r="AS62" s="35"/>
      <c r="AT62" s="70"/>
      <c r="AU62" s="32"/>
      <c r="AV62" s="33"/>
      <c r="AW62" s="34"/>
      <c r="AX62" s="35"/>
      <c r="AY62" s="70"/>
      <c r="AZ62" s="32"/>
      <c r="BA62" s="33"/>
      <c r="BB62" s="34"/>
      <c r="BC62" s="35"/>
      <c r="BD62" s="70"/>
      <c r="BE62" s="32"/>
      <c r="BF62" s="33"/>
      <c r="BG62" s="34"/>
      <c r="BH62" s="35"/>
      <c r="BI62" s="677"/>
      <c r="BJ62" s="32"/>
      <c r="BK62" s="33"/>
      <c r="BL62" s="34"/>
      <c r="BM62" s="35"/>
      <c r="BN62" s="677"/>
      <c r="BO62" s="32"/>
      <c r="BP62" s="33"/>
      <c r="BQ62" s="34"/>
      <c r="BR62" s="35"/>
      <c r="BW62" s="27"/>
      <c r="BX62" s="27"/>
      <c r="BY62" s="27"/>
      <c r="BZ62" s="27"/>
      <c r="CA62" s="27"/>
      <c r="CB62" s="27"/>
      <c r="CC62" s="27"/>
      <c r="CD62" s="27"/>
      <c r="CE62" s="27"/>
    </row>
    <row r="63" spans="1:83" s="42" customFormat="1" ht="30" hidden="1" customHeight="1" thickTop="1" x14ac:dyDescent="0.25">
      <c r="A63" s="37"/>
      <c r="B63" s="38"/>
      <c r="C63" s="39"/>
      <c r="D63" s="40"/>
      <c r="E63" s="41"/>
      <c r="F63" s="37"/>
      <c r="G63" s="38"/>
      <c r="H63" s="39"/>
      <c r="I63" s="40"/>
      <c r="J63" s="41"/>
      <c r="K63" s="37"/>
      <c r="L63" s="38"/>
      <c r="M63" s="39"/>
      <c r="N63" s="40"/>
      <c r="O63" s="41"/>
      <c r="P63" s="37"/>
      <c r="Q63" s="38"/>
      <c r="R63" s="39"/>
      <c r="S63" s="40"/>
      <c r="T63" s="41"/>
      <c r="U63" s="37"/>
      <c r="V63" s="38"/>
      <c r="W63" s="38"/>
      <c r="X63" s="39"/>
      <c r="Y63" s="40"/>
      <c r="Z63" s="41"/>
      <c r="AA63" s="37"/>
      <c r="AB63" s="38"/>
      <c r="AC63" s="39"/>
      <c r="AD63" s="40"/>
      <c r="AE63" s="41"/>
      <c r="AF63" s="38"/>
      <c r="AG63" s="39"/>
      <c r="AH63" s="40"/>
      <c r="AI63" s="41"/>
      <c r="AJ63" s="37"/>
      <c r="AK63" s="38"/>
      <c r="AL63" s="39"/>
      <c r="AM63" s="40"/>
      <c r="AN63" s="41"/>
      <c r="AO63" s="38"/>
      <c r="AP63" s="39"/>
      <c r="AQ63" s="40"/>
      <c r="AR63" s="41"/>
      <c r="AS63" s="37"/>
      <c r="AT63" s="38"/>
      <c r="AU63" s="39"/>
      <c r="AV63" s="40"/>
      <c r="AW63" s="41"/>
      <c r="AX63" s="38"/>
      <c r="AY63" s="39"/>
      <c r="AZ63" s="40"/>
      <c r="BA63" s="41"/>
      <c r="BB63" s="37"/>
      <c r="BC63" s="38"/>
      <c r="BD63" s="39"/>
      <c r="BE63" s="40"/>
      <c r="BF63" s="41"/>
      <c r="BG63" s="38"/>
      <c r="BH63" s="39"/>
      <c r="BI63" s="40"/>
      <c r="BJ63" s="41"/>
      <c r="BK63" s="37"/>
      <c r="BL63" s="38"/>
      <c r="BM63" s="39"/>
      <c r="BN63" s="40"/>
      <c r="BO63" s="41"/>
      <c r="BP63" s="38"/>
      <c r="BQ63" s="39"/>
      <c r="BR63" s="40"/>
      <c r="BW63" s="43"/>
      <c r="BX63" s="43"/>
      <c r="BY63" s="43"/>
      <c r="BZ63" s="43"/>
      <c r="CA63" s="43"/>
      <c r="CB63" s="43"/>
      <c r="CC63" s="43"/>
      <c r="CD63" s="43"/>
      <c r="CE63" s="43"/>
    </row>
    <row r="64" spans="1:83" ht="21.95" hidden="1" customHeight="1" x14ac:dyDescent="0.25">
      <c r="A64" s="674"/>
      <c r="B64" s="674"/>
      <c r="C64" s="674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45"/>
      <c r="BD64" s="45"/>
      <c r="BE64" s="45"/>
      <c r="BF64" s="45"/>
      <c r="BG64" s="45"/>
      <c r="BH64" s="45"/>
      <c r="BI64" s="45"/>
      <c r="BJ64" s="45"/>
      <c r="BK64" s="45"/>
      <c r="BL64" s="45"/>
      <c r="BM64" s="45"/>
      <c r="BN64" s="45"/>
      <c r="BO64" s="45"/>
      <c r="BP64" s="45"/>
      <c r="BQ64" s="45"/>
      <c r="BR64" s="45"/>
    </row>
    <row r="65" spans="1:90" ht="6.75" customHeight="1" x14ac:dyDescent="0.25">
      <c r="A65" s="676"/>
      <c r="B65" s="676"/>
      <c r="C65" s="676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5"/>
      <c r="AW65" s="45"/>
      <c r="AX65" s="45"/>
      <c r="AY65" s="45"/>
      <c r="AZ65" s="45"/>
      <c r="BA65" s="45"/>
      <c r="BB65" s="45"/>
      <c r="BC65" s="45"/>
      <c r="BD65" s="45"/>
      <c r="BE65" s="45"/>
      <c r="BF65" s="45"/>
      <c r="BG65" s="45"/>
      <c r="BH65" s="45"/>
      <c r="BI65" s="45"/>
      <c r="BJ65" s="45"/>
      <c r="BK65" s="45"/>
      <c r="BL65" s="45"/>
      <c r="BM65" s="45"/>
      <c r="BN65" s="45"/>
      <c r="BO65" s="45"/>
      <c r="BP65" s="45"/>
      <c r="BQ65" s="45"/>
      <c r="BR65" s="45"/>
    </row>
    <row r="66" spans="1:90" ht="37.5" hidden="1" customHeight="1" x14ac:dyDescent="0.25">
      <c r="A66" s="676"/>
      <c r="B66" s="676"/>
      <c r="C66" s="676"/>
      <c r="D66" s="49"/>
      <c r="E66" s="49"/>
      <c r="F66" s="49"/>
      <c r="G66" s="49"/>
      <c r="H66" s="49"/>
      <c r="I66" s="49"/>
      <c r="J66" s="49"/>
      <c r="K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5"/>
      <c r="BF66" s="45"/>
      <c r="BG66" s="45"/>
      <c r="BH66" s="45"/>
      <c r="BI66" s="45"/>
      <c r="BJ66" s="45"/>
      <c r="BK66" s="45"/>
      <c r="BL66" s="45"/>
      <c r="BM66" s="45"/>
      <c r="BN66" s="45"/>
      <c r="BO66" s="45"/>
      <c r="BP66" s="45"/>
      <c r="BQ66" s="45"/>
      <c r="BR66" s="45"/>
    </row>
    <row r="67" spans="1:90" ht="6" hidden="1" customHeight="1" x14ac:dyDescent="0.25">
      <c r="A67" s="676"/>
      <c r="B67" s="676"/>
      <c r="C67" s="676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  <c r="AT67" s="45"/>
      <c r="AU67" s="45"/>
      <c r="AV67" s="45"/>
      <c r="AW67" s="45"/>
      <c r="AX67" s="45"/>
      <c r="AY67" s="45"/>
      <c r="AZ67" s="45"/>
      <c r="BA67" s="45"/>
      <c r="BB67" s="45"/>
      <c r="BC67" s="45"/>
      <c r="BD67" s="45"/>
      <c r="BE67" s="45"/>
      <c r="BF67" s="45"/>
      <c r="BG67" s="45"/>
      <c r="BH67" s="45"/>
      <c r="BI67" s="45"/>
      <c r="BJ67" s="45"/>
      <c r="BK67" s="45"/>
      <c r="BL67" s="45"/>
      <c r="BM67" s="45"/>
      <c r="BN67" s="45"/>
      <c r="BO67" s="45"/>
      <c r="BP67" s="45"/>
      <c r="BQ67" s="45"/>
      <c r="BR67" s="45"/>
    </row>
    <row r="68" spans="1:90" ht="30" hidden="1" customHeight="1" x14ac:dyDescent="0.25">
      <c r="B68" s="17"/>
      <c r="D68" s="45"/>
      <c r="E68" s="45"/>
      <c r="F68" s="45"/>
      <c r="G68" s="45"/>
      <c r="H68" s="45"/>
      <c r="I68" s="45"/>
      <c r="J68" s="45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49"/>
      <c r="BC68" s="49"/>
      <c r="BD68" s="49"/>
      <c r="BE68" s="49"/>
      <c r="BF68" s="49"/>
      <c r="BG68" s="49"/>
      <c r="BH68" s="49"/>
      <c r="BI68" s="49"/>
      <c r="BJ68" s="49"/>
      <c r="BK68" s="49"/>
      <c r="BL68" s="49"/>
      <c r="BM68" s="49"/>
      <c r="BN68" s="49"/>
      <c r="BO68" s="49"/>
      <c r="BP68" s="49"/>
      <c r="BQ68" s="49"/>
      <c r="BR68" s="49"/>
      <c r="BS68" s="50"/>
      <c r="BT68" s="50"/>
      <c r="BW68" s="51"/>
      <c r="BX68" s="51"/>
      <c r="BY68" s="51"/>
      <c r="BZ68" s="51"/>
      <c r="CA68" s="51"/>
      <c r="CB68" s="51"/>
      <c r="CC68" s="27"/>
      <c r="CD68" s="27"/>
      <c r="CE68" s="27"/>
      <c r="CG68" s="27"/>
      <c r="CH68" s="27"/>
      <c r="CI68" s="27"/>
      <c r="CJ68" s="27"/>
      <c r="CK68" s="27"/>
      <c r="CL68" s="27"/>
    </row>
    <row r="69" spans="1:90" ht="34.5" hidden="1" customHeight="1" x14ac:dyDescent="0.25"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5"/>
      <c r="AW69" s="45"/>
      <c r="AX69" s="45"/>
      <c r="AY69" s="45"/>
      <c r="AZ69" s="45"/>
      <c r="BA69" s="45"/>
      <c r="BB69" s="45"/>
      <c r="BC69" s="45"/>
      <c r="BD69" s="45"/>
      <c r="BE69" s="45"/>
      <c r="BF69" s="45"/>
      <c r="BG69" s="45"/>
      <c r="BH69" s="45"/>
      <c r="BI69" s="45"/>
      <c r="BJ69" s="45"/>
      <c r="BK69" s="45"/>
      <c r="BL69" s="45"/>
      <c r="BM69" s="45"/>
      <c r="BN69" s="45"/>
      <c r="BO69" s="45"/>
      <c r="BP69" s="45"/>
      <c r="BQ69" s="45"/>
      <c r="BR69" s="45"/>
      <c r="BS69" s="50"/>
      <c r="BT69" s="50"/>
      <c r="BW69" s="27"/>
      <c r="BX69" s="27"/>
      <c r="BY69" s="27"/>
      <c r="BZ69" s="27"/>
      <c r="CA69" s="27"/>
      <c r="CB69" s="27"/>
      <c r="CC69" s="27"/>
      <c r="CD69" s="27"/>
      <c r="CE69" s="27"/>
      <c r="CG69" s="27"/>
      <c r="CH69" s="27"/>
      <c r="CI69" s="27"/>
      <c r="CJ69" s="27"/>
      <c r="CK69" s="27"/>
      <c r="CL69" s="27"/>
    </row>
    <row r="70" spans="1:90" ht="15" hidden="1" customHeight="1" x14ac:dyDescent="0.25">
      <c r="G70" s="45"/>
      <c r="H70" s="45"/>
      <c r="I70" s="45"/>
      <c r="J70" s="52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5"/>
      <c r="AW70" s="45"/>
      <c r="AX70" s="45"/>
      <c r="AY70" s="45"/>
      <c r="AZ70" s="45"/>
      <c r="BA70" s="45"/>
      <c r="BB70" s="45"/>
      <c r="BC70" s="45"/>
      <c r="BD70" s="45"/>
      <c r="BE70" s="45"/>
      <c r="BF70" s="45"/>
      <c r="BG70" s="45"/>
      <c r="BH70" s="45"/>
      <c r="BI70" s="45"/>
      <c r="BJ70" s="45"/>
      <c r="BK70" s="45"/>
      <c r="BL70" s="45"/>
      <c r="BM70" s="45"/>
      <c r="BN70" s="45"/>
      <c r="BO70" s="45"/>
      <c r="BP70" s="45"/>
      <c r="BQ70" s="45"/>
      <c r="BR70" s="45"/>
      <c r="BS70" s="50"/>
      <c r="BT70" s="50"/>
      <c r="BW70" s="27"/>
      <c r="BX70" s="27"/>
      <c r="BY70" s="27"/>
      <c r="BZ70" s="27"/>
      <c r="CA70" s="27"/>
      <c r="CB70" s="27"/>
      <c r="CC70" s="27"/>
      <c r="CD70" s="27"/>
      <c r="CE70" s="27"/>
      <c r="CG70" s="27"/>
      <c r="CH70" s="27"/>
      <c r="CI70" s="27"/>
      <c r="CJ70" s="27"/>
      <c r="CK70" s="27"/>
      <c r="CL70" s="27"/>
    </row>
    <row r="71" spans="1:90" ht="16.5" customHeight="1" x14ac:dyDescent="0.25">
      <c r="G71" s="45"/>
      <c r="H71" s="45"/>
      <c r="I71" s="45"/>
      <c r="J71" s="52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38"/>
      <c r="X71" s="39"/>
      <c r="Y71" s="40"/>
      <c r="Z71" s="41"/>
      <c r="AA71" s="37"/>
      <c r="AB71" s="38"/>
      <c r="AC71" s="39"/>
      <c r="AD71" s="40"/>
      <c r="AE71" s="41"/>
      <c r="AF71" s="38"/>
      <c r="AG71" s="39"/>
      <c r="AH71" s="40"/>
      <c r="AI71" s="41"/>
      <c r="AJ71" s="37"/>
      <c r="AK71" s="38"/>
      <c r="AL71" s="39"/>
      <c r="AM71" s="40"/>
      <c r="AN71" s="41"/>
      <c r="AO71" s="38"/>
      <c r="AP71" s="39"/>
      <c r="AQ71" s="40"/>
      <c r="AR71" s="41"/>
      <c r="AS71" s="37"/>
      <c r="AT71" s="38"/>
      <c r="AU71" s="39"/>
      <c r="AV71" s="40"/>
      <c r="AW71" s="41"/>
      <c r="AX71" s="38"/>
      <c r="AY71" s="39"/>
      <c r="AZ71" s="40"/>
      <c r="BA71" s="41"/>
      <c r="BB71" s="37"/>
      <c r="BC71" s="38"/>
      <c r="BD71" s="39"/>
      <c r="BE71" s="40"/>
      <c r="BF71" s="41"/>
      <c r="BG71" s="38"/>
      <c r="BH71" s="39"/>
      <c r="BI71" s="40"/>
      <c r="BJ71" s="41"/>
      <c r="BK71" s="37"/>
      <c r="BL71" s="38"/>
      <c r="BM71" s="39"/>
      <c r="BN71" s="40"/>
      <c r="BO71" s="41"/>
      <c r="BP71" s="38"/>
      <c r="BQ71" s="39"/>
      <c r="BR71" s="40"/>
      <c r="BS71" s="50"/>
      <c r="BT71" s="50"/>
      <c r="BW71" s="27"/>
      <c r="BX71" s="27"/>
      <c r="BY71" s="27"/>
      <c r="BZ71" s="27"/>
      <c r="CA71" s="27"/>
      <c r="CB71" s="27"/>
      <c r="CC71" s="27"/>
      <c r="CD71" s="27"/>
      <c r="CE71" s="27"/>
      <c r="CG71" s="27"/>
      <c r="CH71" s="27"/>
      <c r="CI71" s="27"/>
      <c r="CJ71" s="27"/>
      <c r="CK71" s="27"/>
      <c r="CL71" s="27"/>
    </row>
    <row r="72" spans="1:90" ht="15" hidden="1" customHeight="1" x14ac:dyDescent="0.25">
      <c r="G72" s="49"/>
      <c r="H72" s="49"/>
      <c r="I72" s="49"/>
      <c r="J72" s="52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  <c r="BC72" s="45"/>
      <c r="BD72" s="45"/>
      <c r="BE72" s="45"/>
      <c r="BF72" s="45"/>
      <c r="BG72" s="45"/>
      <c r="BH72" s="45"/>
      <c r="BI72" s="45"/>
      <c r="BJ72" s="45"/>
      <c r="BK72" s="45"/>
      <c r="BL72" s="45"/>
      <c r="BM72" s="45"/>
      <c r="BN72" s="45"/>
      <c r="BO72" s="45"/>
      <c r="BP72" s="45"/>
      <c r="BQ72" s="45"/>
      <c r="BR72" s="45"/>
      <c r="BS72" s="53"/>
      <c r="BT72" s="53"/>
    </row>
    <row r="73" spans="1:90" ht="22.5" hidden="1" customHeight="1" x14ac:dyDescent="0.25">
      <c r="G73" s="45"/>
      <c r="H73" s="45"/>
      <c r="I73" s="45"/>
      <c r="J73" s="52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45"/>
      <c r="AW73" s="45"/>
      <c r="AX73" s="45"/>
      <c r="AY73" s="45"/>
      <c r="AZ73" s="45"/>
      <c r="BA73" s="45"/>
      <c r="BB73" s="45"/>
      <c r="BC73" s="45"/>
      <c r="BD73" s="45"/>
      <c r="BE73" s="45"/>
      <c r="BF73" s="45"/>
      <c r="BG73" s="45"/>
      <c r="BH73" s="45"/>
      <c r="BI73" s="45"/>
      <c r="BJ73" s="45"/>
      <c r="BK73" s="45"/>
      <c r="BL73" s="45"/>
      <c r="BM73" s="45"/>
      <c r="BN73" s="45"/>
      <c r="BO73" s="45"/>
      <c r="BP73" s="45"/>
      <c r="BQ73" s="45"/>
      <c r="BR73" s="45"/>
      <c r="BS73" s="53"/>
      <c r="BT73" s="53"/>
    </row>
    <row r="74" spans="1:90" ht="23.25" x14ac:dyDescent="0.35">
      <c r="A74" s="54"/>
      <c r="E74" s="54"/>
      <c r="F74" s="54"/>
      <c r="G74" s="54"/>
      <c r="H74" s="54"/>
      <c r="I74" s="54"/>
      <c r="J74" s="54"/>
      <c r="K74" s="54"/>
    </row>
    <row r="75" spans="1:90" ht="24" thickBot="1" x14ac:dyDescent="0.4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X75" s="55"/>
    </row>
    <row r="76" spans="1:90" ht="15.75" customHeight="1" thickTop="1" x14ac:dyDescent="0.25">
      <c r="AD76" s="775">
        <v>81.680000000000007</v>
      </c>
      <c r="AE76" s="776"/>
      <c r="AF76" s="776"/>
      <c r="AG76" s="776"/>
      <c r="AH76" s="777"/>
      <c r="AL76" s="727" t="s">
        <v>122</v>
      </c>
      <c r="AM76" s="727"/>
      <c r="AN76" s="727"/>
      <c r="AO76" s="727" t="s">
        <v>123</v>
      </c>
      <c r="AP76" s="727"/>
      <c r="AQ76" s="727"/>
      <c r="AR76" s="727" t="s">
        <v>124</v>
      </c>
      <c r="AS76" s="727"/>
      <c r="AT76" s="727" t="s">
        <v>125</v>
      </c>
      <c r="AU76" s="727"/>
      <c r="AY76" s="739" t="s">
        <v>126</v>
      </c>
      <c r="AZ76" s="740"/>
      <c r="BA76" s="740"/>
      <c r="BB76" s="740"/>
      <c r="BC76" s="740"/>
      <c r="BD76" s="740"/>
      <c r="BE76" s="740"/>
      <c r="BF76" s="740"/>
      <c r="BG76" s="740"/>
      <c r="BH76" s="741"/>
      <c r="BI76" s="13"/>
      <c r="BJ76" s="13"/>
      <c r="BK76" s="13"/>
      <c r="BL76" s="13"/>
      <c r="BM76" s="13"/>
      <c r="BN76" s="13"/>
      <c r="BO76" s="13"/>
      <c r="BP76" s="13"/>
      <c r="BQ76" s="13"/>
      <c r="BR76" s="13"/>
    </row>
    <row r="77" spans="1:90" ht="15" customHeight="1" x14ac:dyDescent="0.25">
      <c r="O77" s="114" t="s">
        <v>127</v>
      </c>
      <c r="P77" s="114"/>
      <c r="Q77" s="114"/>
      <c r="R77" s="114"/>
      <c r="S77" s="114"/>
      <c r="T77" s="114"/>
      <c r="U77" s="114"/>
      <c r="V77" s="114"/>
      <c r="AD77" s="778"/>
      <c r="AE77" s="779"/>
      <c r="AF77" s="779"/>
      <c r="AG77" s="779"/>
      <c r="AH77" s="780"/>
      <c r="AL77" s="727"/>
      <c r="AM77" s="727"/>
      <c r="AN77" s="727"/>
      <c r="AO77" s="727"/>
      <c r="AP77" s="727"/>
      <c r="AQ77" s="727"/>
      <c r="AR77" s="727"/>
      <c r="AS77" s="727"/>
      <c r="AT77" s="727"/>
      <c r="AU77" s="727"/>
      <c r="AY77" s="750"/>
      <c r="AZ77" s="751"/>
      <c r="BA77" s="751"/>
      <c r="BB77" s="751"/>
      <c r="BC77" s="751"/>
      <c r="BD77" s="751"/>
      <c r="BE77" s="751"/>
      <c r="BF77" s="751"/>
      <c r="BG77" s="751"/>
      <c r="BH77" s="752"/>
      <c r="BI77" s="13"/>
      <c r="BJ77" s="13"/>
      <c r="BK77" s="13"/>
      <c r="BL77" s="13"/>
      <c r="BM77" s="13"/>
      <c r="BN77" s="13"/>
      <c r="BO77" s="13"/>
      <c r="BP77" s="13"/>
      <c r="BQ77" s="13"/>
      <c r="BR77" s="13"/>
    </row>
    <row r="78" spans="1:90" ht="15" customHeight="1" x14ac:dyDescent="0.25">
      <c r="O78" s="114"/>
      <c r="P78" s="114"/>
      <c r="Q78" s="114"/>
      <c r="R78" s="114"/>
      <c r="S78" s="114"/>
      <c r="T78" s="114"/>
      <c r="U78" s="114"/>
      <c r="V78" s="114"/>
      <c r="AA78" s="56"/>
      <c r="AD78" s="778"/>
      <c r="AE78" s="779"/>
      <c r="AF78" s="779"/>
      <c r="AG78" s="779"/>
      <c r="AH78" s="780"/>
      <c r="AL78" s="727"/>
      <c r="AM78" s="727"/>
      <c r="AN78" s="727"/>
      <c r="AO78" s="727"/>
      <c r="AP78" s="727"/>
      <c r="AQ78" s="727"/>
      <c r="AR78" s="727"/>
      <c r="AS78" s="727"/>
      <c r="AT78" s="727"/>
      <c r="AU78" s="727"/>
      <c r="AY78" s="742"/>
      <c r="AZ78" s="743"/>
      <c r="BA78" s="743"/>
      <c r="BB78" s="743"/>
      <c r="BC78" s="743"/>
      <c r="BD78" s="743"/>
      <c r="BE78" s="743"/>
      <c r="BF78" s="743"/>
      <c r="BG78" s="743"/>
      <c r="BH78" s="744"/>
      <c r="BI78" s="13"/>
      <c r="BJ78" s="13"/>
      <c r="BK78" s="13"/>
      <c r="BL78" s="13"/>
      <c r="BM78" s="13"/>
      <c r="BN78" s="13"/>
      <c r="BO78" s="13"/>
      <c r="BP78" s="13"/>
      <c r="BQ78" s="13"/>
      <c r="BR78" s="13"/>
    </row>
    <row r="79" spans="1:90" ht="15" customHeight="1" x14ac:dyDescent="0.25">
      <c r="O79" s="114"/>
      <c r="P79" s="114"/>
      <c r="Q79" s="114"/>
      <c r="R79" s="114"/>
      <c r="S79" s="114"/>
      <c r="T79" s="114"/>
      <c r="U79" s="114"/>
      <c r="V79" s="114"/>
      <c r="AD79" s="778"/>
      <c r="AE79" s="779"/>
      <c r="AF79" s="779"/>
      <c r="AG79" s="779"/>
      <c r="AH79" s="780"/>
      <c r="AL79" s="774">
        <v>4400</v>
      </c>
      <c r="AM79" s="774"/>
      <c r="AN79" s="774"/>
      <c r="AO79" s="774">
        <f ca="1">AT95</f>
        <v>4400</v>
      </c>
      <c r="AP79" s="774"/>
      <c r="AQ79" s="774"/>
      <c r="AR79" s="726">
        <f>AS40</f>
        <v>81.682102011000012</v>
      </c>
      <c r="AS79" s="726"/>
      <c r="AT79" s="726">
        <f>AS40+BJ42</f>
        <v>123.68210201100001</v>
      </c>
      <c r="AU79" s="726"/>
      <c r="AY79" s="727" t="s">
        <v>128</v>
      </c>
      <c r="AZ79" s="727"/>
      <c r="BA79" s="727"/>
      <c r="BB79" s="727"/>
      <c r="BC79" s="727"/>
      <c r="BD79" s="727"/>
      <c r="BE79" s="727"/>
      <c r="BF79" s="727"/>
      <c r="BG79" s="727"/>
      <c r="BH79" s="727"/>
      <c r="BI79" s="13"/>
      <c r="BJ79" s="13"/>
      <c r="BK79" s="13"/>
      <c r="BL79" s="13"/>
      <c r="BM79" s="13"/>
      <c r="BN79" s="13"/>
      <c r="BO79" s="13"/>
      <c r="BP79" s="13"/>
      <c r="BQ79" s="13"/>
      <c r="BR79" s="13"/>
    </row>
    <row r="80" spans="1:90" ht="15" customHeight="1" x14ac:dyDescent="0.25">
      <c r="O80" s="114"/>
      <c r="P80" s="114"/>
      <c r="Q80" s="114"/>
      <c r="R80" s="114"/>
      <c r="S80" s="114"/>
      <c r="T80" s="114"/>
      <c r="U80" s="114"/>
      <c r="V80" s="114"/>
      <c r="AD80" s="778"/>
      <c r="AE80" s="779"/>
      <c r="AF80" s="779"/>
      <c r="AG80" s="779"/>
      <c r="AH80" s="780"/>
      <c r="AL80" s="774"/>
      <c r="AM80" s="774"/>
      <c r="AN80" s="774"/>
      <c r="AO80" s="774"/>
      <c r="AP80" s="774"/>
      <c r="AQ80" s="774"/>
      <c r="AR80" s="726"/>
      <c r="AS80" s="726"/>
      <c r="AT80" s="726"/>
      <c r="AU80" s="726"/>
      <c r="AY80" s="727"/>
      <c r="AZ80" s="727"/>
      <c r="BA80" s="727"/>
      <c r="BB80" s="727"/>
      <c r="BC80" s="727"/>
      <c r="BD80" s="727"/>
      <c r="BE80" s="727"/>
      <c r="BF80" s="727"/>
      <c r="BG80" s="727"/>
      <c r="BH80" s="727"/>
      <c r="BI80" s="13"/>
      <c r="BJ80" s="13"/>
      <c r="BK80" s="13"/>
      <c r="BL80" s="13"/>
      <c r="BM80" s="13"/>
      <c r="BN80" s="13"/>
      <c r="BO80" s="13"/>
      <c r="BP80" s="13"/>
      <c r="BQ80" s="13"/>
      <c r="BR80" s="13"/>
    </row>
    <row r="81" spans="15:70" ht="15" customHeight="1" x14ac:dyDescent="0.25">
      <c r="O81" s="114"/>
      <c r="P81" s="114"/>
      <c r="Q81" s="114"/>
      <c r="R81" s="114"/>
      <c r="S81" s="114"/>
      <c r="T81" s="114"/>
      <c r="U81" s="114"/>
      <c r="V81" s="114"/>
      <c r="AD81" s="778"/>
      <c r="AE81" s="779"/>
      <c r="AF81" s="779"/>
      <c r="AG81" s="779"/>
      <c r="AH81" s="780"/>
      <c r="AL81" s="774"/>
      <c r="AM81" s="774"/>
      <c r="AN81" s="774"/>
      <c r="AO81" s="774"/>
      <c r="AP81" s="774"/>
      <c r="AQ81" s="774"/>
      <c r="AR81" s="726"/>
      <c r="AS81" s="726"/>
      <c r="AT81" s="726"/>
      <c r="AU81" s="726"/>
      <c r="AY81" s="728">
        <f ca="1">AR79/((36*3.1415/59)*(AO79/3.281))</f>
        <v>3.1775537535926206E-2</v>
      </c>
      <c r="AZ81" s="729"/>
      <c r="BA81" s="729"/>
      <c r="BB81" s="729"/>
      <c r="BC81" s="729"/>
      <c r="BD81" s="729"/>
      <c r="BE81" s="729"/>
      <c r="BF81" s="729"/>
      <c r="BG81" s="729"/>
      <c r="BH81" s="730"/>
      <c r="BI81" s="57"/>
      <c r="BJ81" s="57"/>
      <c r="BK81" s="57"/>
      <c r="BL81" s="57"/>
      <c r="BM81" s="57"/>
      <c r="BN81" s="57"/>
      <c r="BO81" s="57"/>
      <c r="BP81" s="57"/>
      <c r="BQ81" s="57"/>
      <c r="BR81" s="57"/>
    </row>
    <row r="82" spans="15:70" ht="15.75" customHeight="1" thickBot="1" x14ac:dyDescent="0.3">
      <c r="AD82" s="781"/>
      <c r="AE82" s="782"/>
      <c r="AF82" s="782"/>
      <c r="AG82" s="782"/>
      <c r="AH82" s="783"/>
      <c r="AL82" s="774"/>
      <c r="AM82" s="774"/>
      <c r="AN82" s="774"/>
      <c r="AO82" s="774"/>
      <c r="AP82" s="774"/>
      <c r="AQ82" s="774"/>
      <c r="AR82" s="726"/>
      <c r="AS82" s="726"/>
      <c r="AT82" s="726"/>
      <c r="AU82" s="726"/>
      <c r="AY82" s="731"/>
      <c r="AZ82" s="732"/>
      <c r="BA82" s="732"/>
      <c r="BB82" s="732"/>
      <c r="BC82" s="732"/>
      <c r="BD82" s="732"/>
      <c r="BE82" s="732"/>
      <c r="BF82" s="732"/>
      <c r="BG82" s="732"/>
      <c r="BH82" s="733"/>
      <c r="BI82" s="57"/>
      <c r="BJ82" s="57"/>
      <c r="BK82" s="57"/>
      <c r="BL82" s="57"/>
      <c r="BM82" s="57"/>
      <c r="BN82" s="57"/>
      <c r="BO82" s="57"/>
      <c r="BP82" s="57"/>
      <c r="BQ82" s="57"/>
      <c r="BR82" s="57"/>
    </row>
    <row r="83" spans="15:70" ht="15.75" customHeight="1" thickTop="1" x14ac:dyDescent="0.25">
      <c r="AY83" s="734"/>
      <c r="AZ83" s="735"/>
      <c r="BA83" s="735"/>
      <c r="BB83" s="735"/>
      <c r="BC83" s="735"/>
      <c r="BD83" s="735"/>
      <c r="BE83" s="735"/>
      <c r="BF83" s="735"/>
      <c r="BG83" s="735"/>
      <c r="BH83" s="736"/>
      <c r="BI83" s="57"/>
      <c r="BJ83" s="57"/>
      <c r="BK83" s="57"/>
      <c r="BL83" s="57"/>
      <c r="BM83" s="57"/>
      <c r="BN83" s="57"/>
      <c r="BO83" s="57"/>
      <c r="BP83" s="57"/>
      <c r="BQ83" s="57"/>
      <c r="BR83" s="57"/>
    </row>
    <row r="84" spans="15:70" x14ac:dyDescent="0.25">
      <c r="AY84" s="739" t="s">
        <v>129</v>
      </c>
      <c r="AZ84" s="740"/>
      <c r="BA84" s="740"/>
      <c r="BB84" s="740"/>
      <c r="BC84" s="740"/>
      <c r="BD84" s="740"/>
      <c r="BE84" s="740"/>
      <c r="BF84" s="740"/>
      <c r="BG84" s="740"/>
      <c r="BH84" s="741"/>
      <c r="BI84" s="13"/>
      <c r="BJ84" s="13"/>
      <c r="BK84" s="13"/>
      <c r="BL84" s="13"/>
      <c r="BM84" s="13"/>
      <c r="BN84" s="13"/>
      <c r="BO84" s="13"/>
      <c r="BP84" s="13"/>
      <c r="BQ84" s="13"/>
      <c r="BR84" s="13"/>
    </row>
    <row r="85" spans="15:70" x14ac:dyDescent="0.25">
      <c r="AY85" s="742"/>
      <c r="AZ85" s="743"/>
      <c r="BA85" s="743"/>
      <c r="BB85" s="743"/>
      <c r="BC85" s="743"/>
      <c r="BD85" s="743"/>
      <c r="BE85" s="743"/>
      <c r="BF85" s="743"/>
      <c r="BG85" s="743"/>
      <c r="BH85" s="744"/>
      <c r="BI85" s="13"/>
      <c r="BJ85" s="13"/>
      <c r="BK85" s="13"/>
      <c r="BL85" s="13"/>
      <c r="BM85" s="13"/>
      <c r="BN85" s="13"/>
      <c r="BO85" s="13"/>
      <c r="BP85" s="13"/>
      <c r="BQ85" s="13"/>
      <c r="BR85" s="13"/>
    </row>
    <row r="86" spans="15:70" ht="15" customHeight="1" x14ac:dyDescent="0.25">
      <c r="AN86" s="1255">
        <v>190</v>
      </c>
      <c r="AO86" s="1255"/>
      <c r="AP86" s="1255"/>
      <c r="AQ86" s="746" cm="1">
        <f t="array" aca="1" ref="AQ86" ca="1">SUM(COUNTIF(INDIRECT({"B8","G8","L8","Q8","V8","AA8","AF8","AK8","AP8","AU8","AZ8","BE8","BJ8","BO8","B14","G14","L14","Q14","V14","AA14"}),"&gt;0"))</f>
        <v>20</v>
      </c>
      <c r="AR86" s="746"/>
      <c r="AS86" s="746"/>
      <c r="AT86" s="747">
        <f ca="1">AQ86*AN86</f>
        <v>3800</v>
      </c>
      <c r="AU86" s="748"/>
      <c r="AV86" s="748"/>
      <c r="AW86" s="749"/>
      <c r="AY86" s="739" t="s">
        <v>130</v>
      </c>
      <c r="AZ86" s="740"/>
      <c r="BA86" s="740"/>
      <c r="BB86" s="740"/>
      <c r="BC86" s="740"/>
      <c r="BD86" s="740"/>
      <c r="BE86" s="740"/>
      <c r="BF86" s="740"/>
      <c r="BG86" s="740"/>
      <c r="BH86" s="741"/>
      <c r="BI86" s="13"/>
      <c r="BJ86" s="13"/>
      <c r="BK86" s="13"/>
      <c r="BL86" s="13"/>
      <c r="BM86" s="13"/>
      <c r="BN86" s="13"/>
      <c r="BO86" s="13"/>
      <c r="BP86" s="13"/>
      <c r="BQ86" s="13"/>
      <c r="BR86" s="13"/>
    </row>
    <row r="87" spans="15:70" ht="15" customHeight="1" x14ac:dyDescent="0.25">
      <c r="AN87" s="1255"/>
      <c r="AO87" s="1255"/>
      <c r="AP87" s="1255"/>
      <c r="AQ87" s="746"/>
      <c r="AR87" s="746"/>
      <c r="AS87" s="746"/>
      <c r="AT87" s="747"/>
      <c r="AU87" s="748"/>
      <c r="AV87" s="748"/>
      <c r="AW87" s="749"/>
      <c r="AY87" s="750"/>
      <c r="AZ87" s="751"/>
      <c r="BA87" s="751"/>
      <c r="BB87" s="751"/>
      <c r="BC87" s="751"/>
      <c r="BD87" s="751"/>
      <c r="BE87" s="751"/>
      <c r="BF87" s="751"/>
      <c r="BG87" s="751"/>
      <c r="BH87" s="752"/>
      <c r="BI87" s="13"/>
      <c r="BJ87" s="13"/>
      <c r="BK87" s="13"/>
      <c r="BL87" s="13"/>
      <c r="BM87" s="13"/>
      <c r="BN87" s="13"/>
      <c r="BO87" s="13"/>
      <c r="BP87" s="13"/>
      <c r="BQ87" s="13"/>
      <c r="BR87" s="13"/>
    </row>
    <row r="88" spans="15:70" ht="15" customHeight="1" x14ac:dyDescent="0.25">
      <c r="AN88" s="1255"/>
      <c r="AO88" s="1255"/>
      <c r="AP88" s="1255"/>
      <c r="AQ88" s="746"/>
      <c r="AR88" s="746"/>
      <c r="AS88" s="746"/>
      <c r="AT88" s="747"/>
      <c r="AU88" s="748"/>
      <c r="AV88" s="748"/>
      <c r="AW88" s="749"/>
      <c r="AY88" s="750"/>
      <c r="AZ88" s="751"/>
      <c r="BA88" s="751"/>
      <c r="BB88" s="751"/>
      <c r="BC88" s="751"/>
      <c r="BD88" s="751"/>
      <c r="BE88" s="751"/>
      <c r="BF88" s="751"/>
      <c r="BG88" s="751"/>
      <c r="BH88" s="752"/>
      <c r="BI88" s="13"/>
      <c r="BJ88" s="13"/>
      <c r="BK88" s="13"/>
      <c r="BL88" s="13"/>
      <c r="BM88" s="13"/>
      <c r="BN88" s="13"/>
      <c r="BO88" s="13"/>
      <c r="BP88" s="13"/>
      <c r="BQ88" s="13"/>
      <c r="BR88" s="13"/>
    </row>
    <row r="89" spans="15:70" ht="15" customHeight="1" x14ac:dyDescent="0.25">
      <c r="AN89" s="727">
        <v>60</v>
      </c>
      <c r="AO89" s="727"/>
      <c r="AP89" s="727"/>
      <c r="AQ89" s="746" cm="1">
        <f t="array" aca="1" ref="AQ89" ca="1">SUM(COUNTIF(INDIRECT({"AF14","AK14","AP14","AU14","AZ14","BE14","BJ14","BO14","B20","G20"}),"&gt;0"))</f>
        <v>10</v>
      </c>
      <c r="AR89" s="746"/>
      <c r="AS89" s="746"/>
      <c r="AT89" s="747">
        <f ca="1">AQ89*AN89</f>
        <v>600</v>
      </c>
      <c r="AU89" s="748"/>
      <c r="AV89" s="748"/>
      <c r="AW89" s="749"/>
      <c r="AY89" s="742"/>
      <c r="AZ89" s="743"/>
      <c r="BA89" s="743"/>
      <c r="BB89" s="743"/>
      <c r="BC89" s="743"/>
      <c r="BD89" s="743"/>
      <c r="BE89" s="743"/>
      <c r="BF89" s="743"/>
      <c r="BG89" s="743"/>
      <c r="BH89" s="744"/>
      <c r="BI89" s="13"/>
      <c r="BJ89" s="13"/>
      <c r="BK89" s="13"/>
      <c r="BL89" s="13"/>
      <c r="BM89" s="13"/>
      <c r="BN89" s="13"/>
      <c r="BO89" s="13"/>
      <c r="BP89" s="13"/>
      <c r="BQ89" s="13"/>
      <c r="BR89" s="13"/>
    </row>
    <row r="90" spans="15:70" ht="26.25" x14ac:dyDescent="0.25">
      <c r="AN90" s="727"/>
      <c r="AO90" s="727"/>
      <c r="AP90" s="727"/>
      <c r="AQ90" s="746"/>
      <c r="AR90" s="746"/>
      <c r="AS90" s="746"/>
      <c r="AT90" s="747"/>
      <c r="AU90" s="748"/>
      <c r="AV90" s="748"/>
      <c r="AW90" s="749"/>
      <c r="AY90" s="728">
        <f ca="1">AT79/((36*3.1415/59)*(AO79/3.281))</f>
        <v>4.8114154486909859E-2</v>
      </c>
      <c r="AZ90" s="729"/>
      <c r="BA90" s="729"/>
      <c r="BB90" s="729"/>
      <c r="BC90" s="729"/>
      <c r="BD90" s="729"/>
      <c r="BE90" s="729"/>
      <c r="BF90" s="729"/>
      <c r="BG90" s="729"/>
      <c r="BH90" s="730"/>
      <c r="BI90" s="57"/>
      <c r="BJ90" s="57"/>
      <c r="BK90" s="57"/>
      <c r="BL90" s="57"/>
      <c r="BM90" s="57"/>
      <c r="BN90" s="57"/>
      <c r="BO90" s="57"/>
      <c r="BP90" s="57"/>
      <c r="BQ90" s="57"/>
      <c r="BR90" s="57"/>
    </row>
    <row r="91" spans="15:70" ht="26.25" x14ac:dyDescent="0.25">
      <c r="AN91" s="727"/>
      <c r="AO91" s="727"/>
      <c r="AP91" s="727"/>
      <c r="AQ91" s="746"/>
      <c r="AR91" s="746"/>
      <c r="AS91" s="746"/>
      <c r="AT91" s="747"/>
      <c r="AU91" s="748"/>
      <c r="AV91" s="748"/>
      <c r="AW91" s="749"/>
      <c r="AY91" s="731"/>
      <c r="AZ91" s="732"/>
      <c r="BA91" s="732"/>
      <c r="BB91" s="732"/>
      <c r="BC91" s="732"/>
      <c r="BD91" s="732"/>
      <c r="BE91" s="732"/>
      <c r="BF91" s="732"/>
      <c r="BG91" s="732"/>
      <c r="BH91" s="733"/>
      <c r="BI91" s="57"/>
      <c r="BJ91" s="57"/>
      <c r="BK91" s="57"/>
      <c r="BL91" s="57"/>
      <c r="BM91" s="57"/>
      <c r="BN91" s="57"/>
      <c r="BO91" s="57"/>
      <c r="BP91" s="57"/>
      <c r="BQ91" s="57"/>
      <c r="BR91" s="57"/>
    </row>
    <row r="92" spans="15:70" ht="15" customHeight="1" x14ac:dyDescent="0.25">
      <c r="AN92" s="727"/>
      <c r="AO92" s="727"/>
      <c r="AP92" s="727"/>
      <c r="AQ92" s="746"/>
      <c r="AR92" s="746"/>
      <c r="AS92" s="746"/>
      <c r="AT92" s="747"/>
      <c r="AU92" s="748"/>
      <c r="AV92" s="748"/>
      <c r="AW92" s="749"/>
      <c r="AY92" s="731"/>
      <c r="AZ92" s="732"/>
      <c r="BA92" s="732"/>
      <c r="BB92" s="732"/>
      <c r="BC92" s="732"/>
      <c r="BD92" s="732"/>
      <c r="BE92" s="732"/>
      <c r="BF92" s="732"/>
      <c r="BG92" s="732"/>
      <c r="BH92" s="733"/>
      <c r="BI92" s="57"/>
      <c r="BJ92" s="57"/>
      <c r="BK92" s="57"/>
      <c r="BL92" s="57"/>
      <c r="BM92" s="57"/>
      <c r="BN92" s="57"/>
      <c r="BO92" s="57"/>
      <c r="BP92" s="57"/>
      <c r="BQ92" s="57"/>
      <c r="BR92" s="57"/>
    </row>
    <row r="93" spans="15:70" ht="15" customHeight="1" x14ac:dyDescent="0.25">
      <c r="AN93" s="727"/>
      <c r="AO93" s="727"/>
      <c r="AP93" s="727"/>
      <c r="AQ93" s="746"/>
      <c r="AR93" s="746"/>
      <c r="AS93" s="746"/>
      <c r="AT93" s="747"/>
      <c r="AU93" s="748"/>
      <c r="AV93" s="748"/>
      <c r="AW93" s="749"/>
      <c r="AY93" s="731"/>
      <c r="AZ93" s="732"/>
      <c r="BA93" s="732"/>
      <c r="BB93" s="732"/>
      <c r="BC93" s="732"/>
      <c r="BD93" s="732"/>
      <c r="BE93" s="732"/>
      <c r="BF93" s="732"/>
      <c r="BG93" s="732"/>
      <c r="BH93" s="733"/>
      <c r="BI93" s="57"/>
      <c r="BJ93" s="57"/>
      <c r="BK93" s="57"/>
      <c r="BL93" s="57"/>
      <c r="BM93" s="57"/>
      <c r="BN93" s="57"/>
      <c r="BO93" s="57"/>
      <c r="BP93" s="57"/>
      <c r="BQ93" s="57"/>
      <c r="BR93" s="57"/>
    </row>
    <row r="94" spans="15:70" ht="15" customHeight="1" x14ac:dyDescent="0.25">
      <c r="AN94" s="727"/>
      <c r="AO94" s="727"/>
      <c r="AP94" s="727"/>
      <c r="AQ94" s="746"/>
      <c r="AR94" s="746"/>
      <c r="AS94" s="746"/>
      <c r="AT94" s="747"/>
      <c r="AU94" s="748"/>
      <c r="AV94" s="748"/>
      <c r="AW94" s="749"/>
      <c r="AY94" s="734"/>
      <c r="AZ94" s="735"/>
      <c r="BA94" s="735"/>
      <c r="BB94" s="735"/>
      <c r="BC94" s="735"/>
      <c r="BD94" s="735"/>
      <c r="BE94" s="735"/>
      <c r="BF94" s="735"/>
      <c r="BG94" s="735"/>
      <c r="BH94" s="736"/>
      <c r="BI94" s="57"/>
      <c r="BJ94" s="57"/>
      <c r="BK94" s="57"/>
      <c r="BL94" s="57"/>
      <c r="BM94" s="57"/>
      <c r="BN94" s="57"/>
      <c r="BO94" s="57"/>
      <c r="BP94" s="57"/>
      <c r="BQ94" s="57"/>
      <c r="BR94" s="57"/>
    </row>
    <row r="95" spans="15:70" ht="15" customHeight="1" x14ac:dyDescent="0.25">
      <c r="AQ95" s="1254">
        <f ca="1">AQ92+AQ89+AQ86</f>
        <v>30</v>
      </c>
      <c r="AR95" s="1254"/>
      <c r="AS95" s="1254"/>
      <c r="AT95" s="747">
        <f ca="1">AT89+AT92+AT86</f>
        <v>4400</v>
      </c>
      <c r="AU95" s="748"/>
      <c r="AV95" s="748"/>
      <c r="AW95" s="749"/>
    </row>
    <row r="96" spans="15:70" ht="15" customHeight="1" x14ac:dyDescent="0.25">
      <c r="AQ96" s="1254"/>
      <c r="AR96" s="1254"/>
      <c r="AS96" s="1254"/>
      <c r="AT96" s="747"/>
      <c r="AU96" s="748"/>
      <c r="AV96" s="748"/>
      <c r="AW96" s="749"/>
    </row>
    <row r="97" spans="43:49" ht="15" customHeight="1" x14ac:dyDescent="0.25">
      <c r="AQ97" s="1254"/>
      <c r="AR97" s="1254"/>
      <c r="AS97" s="1254"/>
      <c r="AT97" s="747"/>
      <c r="AU97" s="748"/>
      <c r="AV97" s="748"/>
      <c r="AW97" s="749"/>
    </row>
    <row r="99" spans="43:49" ht="15" customHeight="1" x14ac:dyDescent="0.25"/>
    <row r="100" spans="43:49" ht="15" customHeight="1" x14ac:dyDescent="0.25"/>
    <row r="101" spans="43:49" ht="15" customHeight="1" x14ac:dyDescent="0.25"/>
    <row r="102" spans="43:49" ht="15" customHeight="1" x14ac:dyDescent="0.25"/>
    <row r="103" spans="43:49" ht="15" customHeight="1" x14ac:dyDescent="0.25"/>
    <row r="104" spans="43:49" ht="15" customHeight="1" x14ac:dyDescent="0.25"/>
    <row r="105" spans="43:49" ht="15" customHeight="1" x14ac:dyDescent="0.25"/>
    <row r="106" spans="43:49" ht="15" customHeight="1" x14ac:dyDescent="0.25"/>
    <row r="107" spans="43:49" ht="15" customHeight="1" x14ac:dyDescent="0.25"/>
    <row r="108" spans="43:49" ht="15" customHeight="1" x14ac:dyDescent="0.25">
      <c r="AS108" s="27"/>
      <c r="AT108" s="27"/>
      <c r="AU108" s="27"/>
    </row>
  </sheetData>
  <mergeCells count="301">
    <mergeCell ref="AQ92:AS94"/>
    <mergeCell ref="AT92:AW94"/>
    <mergeCell ref="AQ95:AS97"/>
    <mergeCell ref="AT95:AW97"/>
    <mergeCell ref="BG32:BJ35"/>
    <mergeCell ref="AY84:BH85"/>
    <mergeCell ref="AN86:AP88"/>
    <mergeCell ref="AQ86:AS88"/>
    <mergeCell ref="AT86:AW88"/>
    <mergeCell ref="AY86:BH89"/>
    <mergeCell ref="AN89:AP91"/>
    <mergeCell ref="AQ89:AS91"/>
    <mergeCell ref="AT89:AW91"/>
    <mergeCell ref="AY90:BH94"/>
    <mergeCell ref="AN92:AP94"/>
    <mergeCell ref="AY76:BH78"/>
    <mergeCell ref="AL79:AN82"/>
    <mergeCell ref="AO79:AQ82"/>
    <mergeCell ref="AR79:AS82"/>
    <mergeCell ref="AT79:AU82"/>
    <mergeCell ref="AY79:BH80"/>
    <mergeCell ref="AY81:BH83"/>
    <mergeCell ref="BJ61:BM61"/>
    <mergeCell ref="BJ55:BM55"/>
    <mergeCell ref="I60:J60"/>
    <mergeCell ref="A64:C64"/>
    <mergeCell ref="A65:C67"/>
    <mergeCell ref="AD76:AH82"/>
    <mergeCell ref="AL76:AN78"/>
    <mergeCell ref="AO76:AQ78"/>
    <mergeCell ref="AR76:AS78"/>
    <mergeCell ref="AT76:AU78"/>
    <mergeCell ref="L61:O61"/>
    <mergeCell ref="P61:P62"/>
    <mergeCell ref="Q61:T61"/>
    <mergeCell ref="U61:U62"/>
    <mergeCell ref="V61:Y61"/>
    <mergeCell ref="BN57:BP57"/>
    <mergeCell ref="BI57:BK57"/>
    <mergeCell ref="BL57:BM57"/>
    <mergeCell ref="N60:O60"/>
    <mergeCell ref="S60:T60"/>
    <mergeCell ref="X60:Y60"/>
    <mergeCell ref="BL60:BM60"/>
    <mergeCell ref="BQ60:BR60"/>
    <mergeCell ref="A61:A62"/>
    <mergeCell ref="B61:E61"/>
    <mergeCell ref="F61:F62"/>
    <mergeCell ref="G61:J61"/>
    <mergeCell ref="K61:K62"/>
    <mergeCell ref="BN61:BN62"/>
    <mergeCell ref="BO61:BR61"/>
    <mergeCell ref="BI61:BI62"/>
    <mergeCell ref="A58:C60"/>
    <mergeCell ref="F58:H60"/>
    <mergeCell ref="K58:M60"/>
    <mergeCell ref="P58:R60"/>
    <mergeCell ref="U58:W60"/>
    <mergeCell ref="BI58:BK60"/>
    <mergeCell ref="BN58:BP60"/>
    <mergeCell ref="D60:E60"/>
    <mergeCell ref="BQ51:BR51"/>
    <mergeCell ref="A52:C54"/>
    <mergeCell ref="F52:H54"/>
    <mergeCell ref="K52:M54"/>
    <mergeCell ref="P52:R54"/>
    <mergeCell ref="U52:W54"/>
    <mergeCell ref="BI52:BK54"/>
    <mergeCell ref="BN52:BP54"/>
    <mergeCell ref="D54:E54"/>
    <mergeCell ref="I54:J54"/>
    <mergeCell ref="S51:T51"/>
    <mergeCell ref="U51:W51"/>
    <mergeCell ref="X51:Y51"/>
    <mergeCell ref="BI51:BK51"/>
    <mergeCell ref="BL51:BM51"/>
    <mergeCell ref="BN51:BP51"/>
    <mergeCell ref="N54:O54"/>
    <mergeCell ref="S54:T54"/>
    <mergeCell ref="X54:Y54"/>
    <mergeCell ref="BL54:BM54"/>
    <mergeCell ref="BQ54:BR54"/>
    <mergeCell ref="F43:G43"/>
    <mergeCell ref="F44:G47"/>
    <mergeCell ref="BJ46:BP48"/>
    <mergeCell ref="A51:C51"/>
    <mergeCell ref="D51:E51"/>
    <mergeCell ref="F51:H51"/>
    <mergeCell ref="I51:J51"/>
    <mergeCell ref="K51:M51"/>
    <mergeCell ref="N51:O51"/>
    <mergeCell ref="P51:R51"/>
    <mergeCell ref="A55:A56"/>
    <mergeCell ref="B55:E55"/>
    <mergeCell ref="F55:F56"/>
    <mergeCell ref="G55:J55"/>
    <mergeCell ref="K55:K56"/>
    <mergeCell ref="BN55:BN56"/>
    <mergeCell ref="BO55:BR55"/>
    <mergeCell ref="A57:C57"/>
    <mergeCell ref="D57:E57"/>
    <mergeCell ref="F57:H57"/>
    <mergeCell ref="I57:J57"/>
    <mergeCell ref="K57:M57"/>
    <mergeCell ref="N57:O57"/>
    <mergeCell ref="P57:R57"/>
    <mergeCell ref="L55:O55"/>
    <mergeCell ref="P55:P56"/>
    <mergeCell ref="Q55:T55"/>
    <mergeCell ref="U55:U56"/>
    <mergeCell ref="V55:Y55"/>
    <mergeCell ref="BI55:BI56"/>
    <mergeCell ref="BQ57:BR57"/>
    <mergeCell ref="S57:T57"/>
    <mergeCell ref="U57:W57"/>
    <mergeCell ref="X57:Y57"/>
    <mergeCell ref="V36:AG39"/>
    <mergeCell ref="AH36:AR39"/>
    <mergeCell ref="AS36:BD39"/>
    <mergeCell ref="BE36:BI47"/>
    <mergeCell ref="BJ36:BM41"/>
    <mergeCell ref="BN36:BP41"/>
    <mergeCell ref="V40:AG47"/>
    <mergeCell ref="AH40:AR47"/>
    <mergeCell ref="AS40:BD47"/>
    <mergeCell ref="BJ42:BP45"/>
    <mergeCell ref="J31:M31"/>
    <mergeCell ref="J32:M35"/>
    <mergeCell ref="AP32:AS35"/>
    <mergeCell ref="A19:A20"/>
    <mergeCell ref="B19:E19"/>
    <mergeCell ref="F19:F20"/>
    <mergeCell ref="G19:J19"/>
    <mergeCell ref="Y32:AB35"/>
    <mergeCell ref="A18:E18"/>
    <mergeCell ref="F18:J18"/>
    <mergeCell ref="BI13:BI14"/>
    <mergeCell ref="BJ13:BM13"/>
    <mergeCell ref="BN13:BN14"/>
    <mergeCell ref="BO13:BR13"/>
    <mergeCell ref="BE13:BH13"/>
    <mergeCell ref="A15:B17"/>
    <mergeCell ref="C15:E17"/>
    <mergeCell ref="F15:G17"/>
    <mergeCell ref="H15:J17"/>
    <mergeCell ref="AT13:AT14"/>
    <mergeCell ref="AU13:AX13"/>
    <mergeCell ref="AY13:AY14"/>
    <mergeCell ref="AZ13:BC13"/>
    <mergeCell ref="BD13:BD14"/>
    <mergeCell ref="AE13:AE14"/>
    <mergeCell ref="AF13:AI13"/>
    <mergeCell ref="AJ13:AJ14"/>
    <mergeCell ref="AK13:AN13"/>
    <mergeCell ref="AO13:AO14"/>
    <mergeCell ref="AP13:AS13"/>
    <mergeCell ref="P13:P14"/>
    <mergeCell ref="Q13:T13"/>
    <mergeCell ref="U13:U14"/>
    <mergeCell ref="V13:Y13"/>
    <mergeCell ref="Z13:Z14"/>
    <mergeCell ref="AA13:AD13"/>
    <mergeCell ref="A13:A14"/>
    <mergeCell ref="B13:E13"/>
    <mergeCell ref="F13:F14"/>
    <mergeCell ref="G13:J13"/>
    <mergeCell ref="K13:K14"/>
    <mergeCell ref="L13:O13"/>
    <mergeCell ref="P12:Q12"/>
    <mergeCell ref="R12:T12"/>
    <mergeCell ref="U12:V12"/>
    <mergeCell ref="W12:Y12"/>
    <mergeCell ref="Z12:AA12"/>
    <mergeCell ref="AB12:AD12"/>
    <mergeCell ref="BI9:BJ11"/>
    <mergeCell ref="BK9:BM11"/>
    <mergeCell ref="BN9:BO11"/>
    <mergeCell ref="AB9:AD11"/>
    <mergeCell ref="AE12:AI12"/>
    <mergeCell ref="AJ12:AN12"/>
    <mergeCell ref="AO12:AS12"/>
    <mergeCell ref="AT12:AX12"/>
    <mergeCell ref="AY12:BC12"/>
    <mergeCell ref="BD12:BH12"/>
    <mergeCell ref="BI12:BM12"/>
    <mergeCell ref="BN12:BR12"/>
    <mergeCell ref="BP9:BR11"/>
    <mergeCell ref="BA9:BC11"/>
    <mergeCell ref="BD9:BE11"/>
    <mergeCell ref="BF9:BH11"/>
    <mergeCell ref="BD7:BD8"/>
    <mergeCell ref="A12:B12"/>
    <mergeCell ref="C12:E12"/>
    <mergeCell ref="F12:G12"/>
    <mergeCell ref="H12:J12"/>
    <mergeCell ref="K12:L12"/>
    <mergeCell ref="M12:O12"/>
    <mergeCell ref="AT9:AU11"/>
    <mergeCell ref="AV9:AX11"/>
    <mergeCell ref="AY9:AZ11"/>
    <mergeCell ref="AE9:AF11"/>
    <mergeCell ref="AG9:AI11"/>
    <mergeCell ref="AJ9:AK11"/>
    <mergeCell ref="AL9:AN11"/>
    <mergeCell ref="AO9:AP11"/>
    <mergeCell ref="AQ9:AS11"/>
    <mergeCell ref="P9:Q11"/>
    <mergeCell ref="R9:T11"/>
    <mergeCell ref="U9:V11"/>
    <mergeCell ref="W9:Y11"/>
    <mergeCell ref="AZ7:BC7"/>
    <mergeCell ref="A9:B11"/>
    <mergeCell ref="C9:E11"/>
    <mergeCell ref="F9:G11"/>
    <mergeCell ref="H9:J11"/>
    <mergeCell ref="K9:L11"/>
    <mergeCell ref="M9:O11"/>
    <mergeCell ref="AT7:AT8"/>
    <mergeCell ref="AU7:AX7"/>
    <mergeCell ref="AY7:AY8"/>
    <mergeCell ref="AE7:AE8"/>
    <mergeCell ref="AF7:AI7"/>
    <mergeCell ref="AJ7:AJ8"/>
    <mergeCell ref="AK7:AN7"/>
    <mergeCell ref="AO7:AO8"/>
    <mergeCell ref="AP7:AS7"/>
    <mergeCell ref="P7:P8"/>
    <mergeCell ref="Q7:T7"/>
    <mergeCell ref="Z9:AA11"/>
    <mergeCell ref="BE7:BH7"/>
    <mergeCell ref="BK6:BM6"/>
    <mergeCell ref="BN6:BO6"/>
    <mergeCell ref="BP6:BR6"/>
    <mergeCell ref="A7:A8"/>
    <mergeCell ref="B7:E7"/>
    <mergeCell ref="F7:F8"/>
    <mergeCell ref="G7:J7"/>
    <mergeCell ref="K7:K8"/>
    <mergeCell ref="L7:O7"/>
    <mergeCell ref="AT6:AU6"/>
    <mergeCell ref="AV6:AX6"/>
    <mergeCell ref="AY6:AZ6"/>
    <mergeCell ref="BA6:BC6"/>
    <mergeCell ref="BD6:BE6"/>
    <mergeCell ref="BF6:BH6"/>
    <mergeCell ref="AE6:AF6"/>
    <mergeCell ref="AG6:AI6"/>
    <mergeCell ref="AJ6:AK6"/>
    <mergeCell ref="AL6:AN6"/>
    <mergeCell ref="BI7:BI8"/>
    <mergeCell ref="BJ7:BM7"/>
    <mergeCell ref="BN7:BN8"/>
    <mergeCell ref="BO7:BR7"/>
    <mergeCell ref="BP3:BR5"/>
    <mergeCell ref="BA3:BC5"/>
    <mergeCell ref="BD3:BE5"/>
    <mergeCell ref="BF3:BH5"/>
    <mergeCell ref="A6:B6"/>
    <mergeCell ref="C6:E6"/>
    <mergeCell ref="F6:G6"/>
    <mergeCell ref="H6:J6"/>
    <mergeCell ref="K6:L6"/>
    <mergeCell ref="M6:O6"/>
    <mergeCell ref="AT3:AU5"/>
    <mergeCell ref="AV3:AX5"/>
    <mergeCell ref="AY3:AZ5"/>
    <mergeCell ref="AE3:AF5"/>
    <mergeCell ref="AG3:AI5"/>
    <mergeCell ref="AJ3:AK5"/>
    <mergeCell ref="AL3:AN5"/>
    <mergeCell ref="AO3:AP5"/>
    <mergeCell ref="AQ3:AS5"/>
    <mergeCell ref="P3:Q5"/>
    <mergeCell ref="R3:T5"/>
    <mergeCell ref="U3:V5"/>
    <mergeCell ref="AO6:AP6"/>
    <mergeCell ref="AQ6:AS6"/>
    <mergeCell ref="BG26:BJ29"/>
    <mergeCell ref="A3:B5"/>
    <mergeCell ref="C3:E5"/>
    <mergeCell ref="F3:G5"/>
    <mergeCell ref="H3:J5"/>
    <mergeCell ref="K3:L5"/>
    <mergeCell ref="M3:O5"/>
    <mergeCell ref="BK3:BM5"/>
    <mergeCell ref="BN3:BO5"/>
    <mergeCell ref="P6:Q6"/>
    <mergeCell ref="R6:T6"/>
    <mergeCell ref="U6:V6"/>
    <mergeCell ref="W6:Y6"/>
    <mergeCell ref="Z6:AA6"/>
    <mergeCell ref="AB6:AD6"/>
    <mergeCell ref="BI3:BJ5"/>
    <mergeCell ref="W3:Y5"/>
    <mergeCell ref="Z3:AA5"/>
    <mergeCell ref="AB3:AD5"/>
    <mergeCell ref="U7:U8"/>
    <mergeCell ref="V7:Y7"/>
    <mergeCell ref="Z7:Z8"/>
    <mergeCell ref="AA7:AD7"/>
    <mergeCell ref="BI6:BJ6"/>
  </mergeCells>
  <pageMargins left="0.5" right="0" top="0.65" bottom="0" header="0.3" footer="0.3"/>
  <pageSetup paperSize="8" scale="46" orientation="landscape" r:id="rId1"/>
  <colBreaks count="1" manualBreakCount="1">
    <brk id="70" max="50" man="1"/>
  </colBreaks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40A58-01F7-4A21-979C-0B1DF53D2BAE}">
  <sheetPr>
    <tabColor rgb="FFFFC000"/>
  </sheetPr>
  <dimension ref="A1:CL119"/>
  <sheetViews>
    <sheetView view="pageBreakPreview" zoomScale="51" zoomScaleNormal="115" zoomScaleSheetLayoutView="51" workbookViewId="0">
      <selection activeCell="O31" sqref="O31:R31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140625" customWidth="1"/>
    <col min="47" max="47" width="10.71093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4.140625" customWidth="1"/>
    <col min="62" max="62" width="10.7109375" customWidth="1"/>
    <col min="63" max="63" width="4.28515625" customWidth="1"/>
    <col min="64" max="65" width="5.5703125" customWidth="1"/>
    <col min="66" max="66" width="4.140625" customWidth="1"/>
    <col min="67" max="67" width="10.7109375" customWidth="1"/>
    <col min="68" max="68" width="4.28515625" customWidth="1"/>
    <col min="69" max="70" width="5.5703125" customWidth="1"/>
    <col min="71" max="71" width="1" customWidth="1"/>
    <col min="72" max="72" width="56.7109375" customWidth="1"/>
    <col min="73" max="73" width="13" customWidth="1"/>
    <col min="74" max="74" width="7" customWidth="1"/>
  </cols>
  <sheetData>
    <row r="1" spans="1:83" ht="168.75" customHeight="1" thickBot="1" x14ac:dyDescent="0.3"/>
    <row r="2" spans="1:83" ht="26.1" customHeight="1" thickTop="1" x14ac:dyDescent="0.25">
      <c r="A2" s="645" t="s">
        <v>110</v>
      </c>
      <c r="B2" s="646"/>
      <c r="C2" s="1260">
        <f>B7/((72*3.1415/59)*(50/3.281))</f>
        <v>3.128922949051232E-2</v>
      </c>
      <c r="D2" s="1260"/>
      <c r="E2" s="1261"/>
      <c r="F2" s="645" t="s">
        <v>110</v>
      </c>
      <c r="G2" s="646"/>
      <c r="H2" s="1260">
        <f>G7/((72*3.1415/59)*(50/3.281))</f>
        <v>3.902595363149239E-3</v>
      </c>
      <c r="I2" s="1260"/>
      <c r="J2" s="1261"/>
      <c r="K2" s="645" t="s">
        <v>110</v>
      </c>
      <c r="L2" s="646"/>
      <c r="M2" s="1260">
        <f>L7/((72*3.1415/59)*(50/3.281))</f>
        <v>0.29606663156312452</v>
      </c>
      <c r="N2" s="1260"/>
      <c r="O2" s="1261"/>
      <c r="P2" s="645" t="s">
        <v>110</v>
      </c>
      <c r="Q2" s="646"/>
      <c r="R2" s="1260">
        <f>Q7/((72*3.1415/59)*(50/3.281))</f>
        <v>0.14302669673015367</v>
      </c>
      <c r="S2" s="1260"/>
      <c r="T2" s="1261"/>
      <c r="U2" s="645" t="s">
        <v>110</v>
      </c>
      <c r="V2" s="646"/>
      <c r="W2" s="1260">
        <f>V7/((72*3.1415/59)*(50/3.281))</f>
        <v>7.5313243850248469E-3</v>
      </c>
      <c r="X2" s="1260"/>
      <c r="Y2" s="1261"/>
      <c r="Z2" s="645" t="s">
        <v>110</v>
      </c>
      <c r="AA2" s="646"/>
      <c r="AB2" s="1260">
        <f>AA7/((72*3.1415/59)*(50/3.281))</f>
        <v>7.5210543972270852E-2</v>
      </c>
      <c r="AC2" s="1260"/>
      <c r="AD2" s="1261"/>
      <c r="AE2" s="645" t="s">
        <v>110</v>
      </c>
      <c r="AF2" s="646"/>
      <c r="AG2" s="1260">
        <f>AF7/((72*3.1415/59)*(50/3.281))</f>
        <v>7.5648730118308666E-2</v>
      </c>
      <c r="AH2" s="1260"/>
      <c r="AI2" s="1261"/>
      <c r="AJ2" s="645" t="s">
        <v>110</v>
      </c>
      <c r="AK2" s="646"/>
      <c r="AL2" s="1260">
        <f>AK7/((72*3.1415/59)*(50/3.281))</f>
        <v>5.6074133375775902E-2</v>
      </c>
      <c r="AM2" s="1260"/>
      <c r="AN2" s="1261"/>
      <c r="AO2" s="645" t="s">
        <v>110</v>
      </c>
      <c r="AP2" s="646"/>
      <c r="AQ2" s="1260">
        <f>AP7/((72*3.1415/59)*(50/3.281))</f>
        <v>2.6017302420994924E-3</v>
      </c>
      <c r="AR2" s="1260"/>
      <c r="AS2" s="1261"/>
      <c r="AT2" s="645" t="s">
        <v>110</v>
      </c>
      <c r="AU2" s="646"/>
      <c r="AV2" s="1260">
        <f>AU7/((72*3.1415/59)*(50/3.281))</f>
        <v>1.8691377791925302E-2</v>
      </c>
      <c r="AW2" s="1260"/>
      <c r="AX2" s="1261"/>
      <c r="AY2" s="645" t="s">
        <v>110</v>
      </c>
      <c r="AZ2" s="646"/>
      <c r="BA2" s="1260">
        <f>AZ7/((72*3.1415/59)*(50/3.281))</f>
        <v>1.7116646329601924E-10</v>
      </c>
      <c r="BB2" s="1260"/>
      <c r="BC2" s="1261"/>
      <c r="BD2" s="645" t="s">
        <v>110</v>
      </c>
      <c r="BE2" s="646"/>
      <c r="BF2" s="1260">
        <f>BE7/((72*3.1415/59)*(50/3.281))</f>
        <v>1.7116646329601924E-8</v>
      </c>
      <c r="BG2" s="1260"/>
      <c r="BH2" s="1261"/>
      <c r="BI2" s="645" t="s">
        <v>110</v>
      </c>
      <c r="BJ2" s="646"/>
      <c r="BK2" s="1260">
        <f>BJ7/((72*3.1415/59)*(50/3.281))</f>
        <v>1.3912410136700443E-2</v>
      </c>
      <c r="BL2" s="1260"/>
      <c r="BM2" s="1261"/>
      <c r="BN2" s="645" t="s">
        <v>110</v>
      </c>
      <c r="BO2" s="646"/>
      <c r="BP2" s="1260">
        <f>BO7/((72*3.1415/59)*(50/3.281))</f>
        <v>1.7116646329601926E-11</v>
      </c>
      <c r="BQ2" s="1260"/>
      <c r="BR2" s="1261"/>
    </row>
    <row r="3" spans="1:83" ht="6.75" customHeight="1" x14ac:dyDescent="0.25">
      <c r="A3" s="1256"/>
      <c r="B3" s="1257"/>
      <c r="C3" s="1262"/>
      <c r="D3" s="1262"/>
      <c r="E3" s="1263"/>
      <c r="F3" s="1256"/>
      <c r="G3" s="1257"/>
      <c r="H3" s="1262"/>
      <c r="I3" s="1262"/>
      <c r="J3" s="1263"/>
      <c r="K3" s="1256"/>
      <c r="L3" s="1257"/>
      <c r="M3" s="1262"/>
      <c r="N3" s="1262"/>
      <c r="O3" s="1263"/>
      <c r="P3" s="1256"/>
      <c r="Q3" s="1257"/>
      <c r="R3" s="1262"/>
      <c r="S3" s="1262"/>
      <c r="T3" s="1263"/>
      <c r="U3" s="1256"/>
      <c r="V3" s="1257"/>
      <c r="W3" s="1262"/>
      <c r="X3" s="1262"/>
      <c r="Y3" s="1263"/>
      <c r="Z3" s="1256"/>
      <c r="AA3" s="1257"/>
      <c r="AB3" s="1262"/>
      <c r="AC3" s="1262"/>
      <c r="AD3" s="1263"/>
      <c r="AE3" s="1256"/>
      <c r="AF3" s="1257"/>
      <c r="AG3" s="1262"/>
      <c r="AH3" s="1262"/>
      <c r="AI3" s="1263"/>
      <c r="AJ3" s="1256"/>
      <c r="AK3" s="1257"/>
      <c r="AL3" s="1262"/>
      <c r="AM3" s="1262"/>
      <c r="AN3" s="1263"/>
      <c r="AO3" s="1256"/>
      <c r="AP3" s="1257"/>
      <c r="AQ3" s="1262"/>
      <c r="AR3" s="1262"/>
      <c r="AS3" s="1263"/>
      <c r="AT3" s="1256"/>
      <c r="AU3" s="1257"/>
      <c r="AV3" s="1262"/>
      <c r="AW3" s="1262"/>
      <c r="AX3" s="1263"/>
      <c r="AY3" s="1256"/>
      <c r="AZ3" s="1257"/>
      <c r="BA3" s="1262"/>
      <c r="BB3" s="1262"/>
      <c r="BC3" s="1263"/>
      <c r="BD3" s="1256"/>
      <c r="BE3" s="1257"/>
      <c r="BF3" s="1262"/>
      <c r="BG3" s="1262"/>
      <c r="BH3" s="1263"/>
      <c r="BI3" s="1256"/>
      <c r="BJ3" s="1257"/>
      <c r="BK3" s="1262"/>
      <c r="BL3" s="1262"/>
      <c r="BM3" s="1263"/>
      <c r="BN3" s="1256"/>
      <c r="BO3" s="1257"/>
      <c r="BP3" s="1262"/>
      <c r="BQ3" s="1262"/>
      <c r="BR3" s="1263"/>
    </row>
    <row r="4" spans="1:83" ht="21.95" customHeight="1" x14ac:dyDescent="0.25">
      <c r="A4" s="1256"/>
      <c r="B4" s="1257"/>
      <c r="C4" s="1262"/>
      <c r="D4" s="1262"/>
      <c r="E4" s="1263"/>
      <c r="F4" s="1256"/>
      <c r="G4" s="1257"/>
      <c r="H4" s="1262"/>
      <c r="I4" s="1262"/>
      <c r="J4" s="1263"/>
      <c r="K4" s="1256"/>
      <c r="L4" s="1257"/>
      <c r="M4" s="1262"/>
      <c r="N4" s="1262"/>
      <c r="O4" s="1263"/>
      <c r="P4" s="1256"/>
      <c r="Q4" s="1257"/>
      <c r="R4" s="1262"/>
      <c r="S4" s="1262"/>
      <c r="T4" s="1263"/>
      <c r="U4" s="1256"/>
      <c r="V4" s="1257"/>
      <c r="W4" s="1262"/>
      <c r="X4" s="1262"/>
      <c r="Y4" s="1263"/>
      <c r="Z4" s="1256"/>
      <c r="AA4" s="1257"/>
      <c r="AB4" s="1262"/>
      <c r="AC4" s="1262"/>
      <c r="AD4" s="1263"/>
      <c r="AE4" s="1256"/>
      <c r="AF4" s="1257"/>
      <c r="AG4" s="1262"/>
      <c r="AH4" s="1262"/>
      <c r="AI4" s="1263"/>
      <c r="AJ4" s="1256"/>
      <c r="AK4" s="1257"/>
      <c r="AL4" s="1262"/>
      <c r="AM4" s="1262"/>
      <c r="AN4" s="1263"/>
      <c r="AO4" s="1256"/>
      <c r="AP4" s="1257"/>
      <c r="AQ4" s="1262"/>
      <c r="AR4" s="1262"/>
      <c r="AS4" s="1263"/>
      <c r="AT4" s="1256"/>
      <c r="AU4" s="1257"/>
      <c r="AV4" s="1262"/>
      <c r="AW4" s="1262"/>
      <c r="AX4" s="1263"/>
      <c r="AY4" s="1256"/>
      <c r="AZ4" s="1257"/>
      <c r="BA4" s="1262"/>
      <c r="BB4" s="1262"/>
      <c r="BC4" s="1263"/>
      <c r="BD4" s="1256"/>
      <c r="BE4" s="1257"/>
      <c r="BF4" s="1262"/>
      <c r="BG4" s="1262"/>
      <c r="BH4" s="1263"/>
      <c r="BI4" s="1256"/>
      <c r="BJ4" s="1257"/>
      <c r="BK4" s="1262"/>
      <c r="BL4" s="1262"/>
      <c r="BM4" s="1263"/>
      <c r="BN4" s="1256"/>
      <c r="BO4" s="1257"/>
      <c r="BP4" s="1262"/>
      <c r="BQ4" s="1262"/>
      <c r="BR4" s="1263"/>
    </row>
    <row r="5" spans="1:83" ht="6" customHeight="1" x14ac:dyDescent="0.25">
      <c r="A5" s="1258"/>
      <c r="B5" s="1259"/>
      <c r="C5" s="1264"/>
      <c r="D5" s="1264"/>
      <c r="E5" s="1265"/>
      <c r="F5" s="1258"/>
      <c r="G5" s="1259"/>
      <c r="H5" s="1264"/>
      <c r="I5" s="1264"/>
      <c r="J5" s="1265"/>
      <c r="K5" s="1258"/>
      <c r="L5" s="1259"/>
      <c r="M5" s="1264"/>
      <c r="N5" s="1264"/>
      <c r="O5" s="1265"/>
      <c r="P5" s="1258"/>
      <c r="Q5" s="1259"/>
      <c r="R5" s="1264"/>
      <c r="S5" s="1264"/>
      <c r="T5" s="1265"/>
      <c r="U5" s="1258"/>
      <c r="V5" s="1259"/>
      <c r="W5" s="1264"/>
      <c r="X5" s="1264"/>
      <c r="Y5" s="1265"/>
      <c r="Z5" s="1258"/>
      <c r="AA5" s="1259"/>
      <c r="AB5" s="1264"/>
      <c r="AC5" s="1264"/>
      <c r="AD5" s="1265"/>
      <c r="AE5" s="1258"/>
      <c r="AF5" s="1259"/>
      <c r="AG5" s="1264"/>
      <c r="AH5" s="1264"/>
      <c r="AI5" s="1265"/>
      <c r="AJ5" s="1258"/>
      <c r="AK5" s="1259"/>
      <c r="AL5" s="1264"/>
      <c r="AM5" s="1264"/>
      <c r="AN5" s="1265"/>
      <c r="AO5" s="1258"/>
      <c r="AP5" s="1259"/>
      <c r="AQ5" s="1264"/>
      <c r="AR5" s="1264"/>
      <c r="AS5" s="1265"/>
      <c r="AT5" s="1258"/>
      <c r="AU5" s="1259"/>
      <c r="AV5" s="1264"/>
      <c r="AW5" s="1264"/>
      <c r="AX5" s="1265"/>
      <c r="AY5" s="1258"/>
      <c r="AZ5" s="1259"/>
      <c r="BA5" s="1264"/>
      <c r="BB5" s="1264"/>
      <c r="BC5" s="1265"/>
      <c r="BD5" s="1258"/>
      <c r="BE5" s="1259"/>
      <c r="BF5" s="1264"/>
      <c r="BG5" s="1264"/>
      <c r="BH5" s="1265"/>
      <c r="BI5" s="1258"/>
      <c r="BJ5" s="1259"/>
      <c r="BK5" s="1264"/>
      <c r="BL5" s="1264"/>
      <c r="BM5" s="1265"/>
      <c r="BN5" s="1258"/>
      <c r="BO5" s="1259"/>
      <c r="BP5" s="1264"/>
      <c r="BQ5" s="1264"/>
      <c r="BR5" s="1265"/>
    </row>
    <row r="6" spans="1:83" s="22" customFormat="1" ht="80.099999999999994" customHeight="1" x14ac:dyDescent="1.35">
      <c r="A6" s="639" t="s">
        <v>131</v>
      </c>
      <c r="B6" s="588">
        <v>1</v>
      </c>
      <c r="C6" s="589"/>
      <c r="D6" s="589"/>
      <c r="E6" s="590"/>
      <c r="F6" s="639" t="s">
        <v>131</v>
      </c>
      <c r="G6" s="588">
        <v>2</v>
      </c>
      <c r="H6" s="589"/>
      <c r="I6" s="589"/>
      <c r="J6" s="590"/>
      <c r="K6" s="639" t="s">
        <v>131</v>
      </c>
      <c r="L6" s="588">
        <v>3</v>
      </c>
      <c r="M6" s="589"/>
      <c r="N6" s="589"/>
      <c r="O6" s="590"/>
      <c r="P6" s="639" t="s">
        <v>131</v>
      </c>
      <c r="Q6" s="588">
        <v>4</v>
      </c>
      <c r="R6" s="589"/>
      <c r="S6" s="589"/>
      <c r="T6" s="590"/>
      <c r="U6" s="639" t="s">
        <v>131</v>
      </c>
      <c r="V6" s="588">
        <v>5</v>
      </c>
      <c r="W6" s="589"/>
      <c r="X6" s="589"/>
      <c r="Y6" s="590"/>
      <c r="Z6" s="639" t="s">
        <v>131</v>
      </c>
      <c r="AA6" s="588">
        <v>6</v>
      </c>
      <c r="AB6" s="589"/>
      <c r="AC6" s="589"/>
      <c r="AD6" s="590"/>
      <c r="AE6" s="639" t="s">
        <v>131</v>
      </c>
      <c r="AF6" s="588">
        <v>7</v>
      </c>
      <c r="AG6" s="589"/>
      <c r="AH6" s="589"/>
      <c r="AI6" s="590"/>
      <c r="AJ6" s="639" t="s">
        <v>131</v>
      </c>
      <c r="AK6" s="588">
        <v>8</v>
      </c>
      <c r="AL6" s="589"/>
      <c r="AM6" s="589"/>
      <c r="AN6" s="590"/>
      <c r="AO6" s="639" t="s">
        <v>131</v>
      </c>
      <c r="AP6" s="588">
        <v>9</v>
      </c>
      <c r="AQ6" s="589"/>
      <c r="AR6" s="589"/>
      <c r="AS6" s="590"/>
      <c r="AT6" s="639" t="s">
        <v>131</v>
      </c>
      <c r="AU6" s="588">
        <v>10</v>
      </c>
      <c r="AV6" s="589"/>
      <c r="AW6" s="589"/>
      <c r="AX6" s="590"/>
      <c r="AY6" s="639" t="s">
        <v>131</v>
      </c>
      <c r="AZ6" s="588">
        <v>11</v>
      </c>
      <c r="BA6" s="589"/>
      <c r="BB6" s="589"/>
      <c r="BC6" s="590"/>
      <c r="BD6" s="639" t="s">
        <v>131</v>
      </c>
      <c r="BE6" s="588">
        <v>12</v>
      </c>
      <c r="BF6" s="589"/>
      <c r="BG6" s="589"/>
      <c r="BH6" s="590"/>
      <c r="BI6" s="639" t="s">
        <v>131</v>
      </c>
      <c r="BJ6" s="588">
        <v>13</v>
      </c>
      <c r="BK6" s="589"/>
      <c r="BL6" s="589"/>
      <c r="BM6" s="590"/>
      <c r="BN6" s="639" t="s">
        <v>131</v>
      </c>
      <c r="BO6" s="588">
        <v>14</v>
      </c>
      <c r="BP6" s="589"/>
      <c r="BQ6" s="589"/>
      <c r="BR6" s="590"/>
    </row>
    <row r="7" spans="1:83" ht="27" customHeight="1" thickBot="1" x14ac:dyDescent="0.3">
      <c r="A7" s="640"/>
      <c r="B7" s="61">
        <v>1.8280000000000001</v>
      </c>
      <c r="C7" s="62" t="s">
        <v>113</v>
      </c>
      <c r="D7" s="63">
        <v>1</v>
      </c>
      <c r="E7" s="64" t="s">
        <v>114</v>
      </c>
      <c r="F7" s="640"/>
      <c r="G7" s="61">
        <v>0.22800000000000001</v>
      </c>
      <c r="H7" s="62" t="s">
        <v>113</v>
      </c>
      <c r="I7" s="63"/>
      <c r="J7" s="64" t="s">
        <v>114</v>
      </c>
      <c r="K7" s="640"/>
      <c r="L7" s="286">
        <v>17.297000000000001</v>
      </c>
      <c r="M7" s="62" t="s">
        <v>113</v>
      </c>
      <c r="N7" s="63">
        <v>1</v>
      </c>
      <c r="O7" s="64" t="s">
        <v>114</v>
      </c>
      <c r="P7" s="640"/>
      <c r="Q7" s="61">
        <v>8.3559999999999999</v>
      </c>
      <c r="R7" s="62" t="s">
        <v>113</v>
      </c>
      <c r="S7" s="63">
        <v>1</v>
      </c>
      <c r="T7" s="64" t="s">
        <v>114</v>
      </c>
      <c r="U7" s="640"/>
      <c r="V7" s="61">
        <v>0.44</v>
      </c>
      <c r="W7" s="62" t="s">
        <v>113</v>
      </c>
      <c r="X7" s="63"/>
      <c r="Y7" s="64" t="s">
        <v>114</v>
      </c>
      <c r="Z7" s="640"/>
      <c r="AA7" s="61">
        <v>4.3940000000000001</v>
      </c>
      <c r="AB7" s="62" t="s">
        <v>113</v>
      </c>
      <c r="AC7" s="63">
        <v>1</v>
      </c>
      <c r="AD7" s="64" t="s">
        <v>114</v>
      </c>
      <c r="AE7" s="640"/>
      <c r="AF7" s="61">
        <v>4.4196</v>
      </c>
      <c r="AG7" s="62" t="s">
        <v>113</v>
      </c>
      <c r="AH7" s="63">
        <v>1</v>
      </c>
      <c r="AI7" s="64" t="s">
        <v>114</v>
      </c>
      <c r="AJ7" s="640"/>
      <c r="AK7" s="61">
        <v>3.2759999999999998</v>
      </c>
      <c r="AL7" s="62" t="s">
        <v>113</v>
      </c>
      <c r="AM7" s="63"/>
      <c r="AN7" s="64" t="s">
        <v>114</v>
      </c>
      <c r="AO7" s="640"/>
      <c r="AP7" s="61">
        <v>0.152</v>
      </c>
      <c r="AQ7" s="62" t="s">
        <v>113</v>
      </c>
      <c r="AR7" s="63">
        <v>1</v>
      </c>
      <c r="AS7" s="64" t="s">
        <v>114</v>
      </c>
      <c r="AT7" s="640"/>
      <c r="AU7" s="61">
        <v>1.0920000000000001</v>
      </c>
      <c r="AV7" s="62" t="s">
        <v>113</v>
      </c>
      <c r="AW7" s="63">
        <v>1</v>
      </c>
      <c r="AX7" s="64" t="s">
        <v>114</v>
      </c>
      <c r="AY7" s="640"/>
      <c r="AZ7" s="61">
        <v>1E-8</v>
      </c>
      <c r="BA7" s="62" t="s">
        <v>113</v>
      </c>
      <c r="BB7" s="63"/>
      <c r="BC7" s="64" t="s">
        <v>114</v>
      </c>
      <c r="BD7" s="640"/>
      <c r="BE7" s="61">
        <v>9.9999999999999995E-7</v>
      </c>
      <c r="BF7" s="62" t="s">
        <v>113</v>
      </c>
      <c r="BG7" s="63">
        <v>1</v>
      </c>
      <c r="BH7" s="64" t="s">
        <v>114</v>
      </c>
      <c r="BI7" s="640"/>
      <c r="BJ7" s="61">
        <v>0.81279999999999997</v>
      </c>
      <c r="BK7" s="62" t="s">
        <v>113</v>
      </c>
      <c r="BL7" s="63">
        <v>1</v>
      </c>
      <c r="BM7" s="64" t="s">
        <v>114</v>
      </c>
      <c r="BN7" s="640"/>
      <c r="BO7" s="61">
        <v>1.0000000000000001E-9</v>
      </c>
      <c r="BP7" s="62" t="s">
        <v>113</v>
      </c>
      <c r="BQ7" s="63"/>
      <c r="BR7" s="64" t="s">
        <v>114</v>
      </c>
      <c r="BW7" s="27"/>
      <c r="BX7" s="27"/>
      <c r="BY7" s="27"/>
      <c r="BZ7" s="27"/>
      <c r="CA7" s="27"/>
      <c r="CB7" s="27"/>
      <c r="CC7" s="27"/>
      <c r="CD7" s="27"/>
      <c r="CE7" s="27"/>
    </row>
    <row r="8" spans="1:83" ht="26.1" customHeight="1" thickTop="1" x14ac:dyDescent="0.25">
      <c r="A8" s="645" t="s">
        <v>110</v>
      </c>
      <c r="B8" s="646"/>
      <c r="C8" s="1260">
        <f>B13/((72*3.1415/59)*(50/3.281))</f>
        <v>4.3476281677188892E-3</v>
      </c>
      <c r="D8" s="1260"/>
      <c r="E8" s="1261"/>
      <c r="F8" s="645" t="s">
        <v>110</v>
      </c>
      <c r="G8" s="646"/>
      <c r="H8" s="1260">
        <f>G13/((72*3.1415/59)*(50/3.281))</f>
        <v>7.825730701893999E-3</v>
      </c>
      <c r="I8" s="1260"/>
      <c r="J8" s="1261"/>
      <c r="K8" s="645" t="s">
        <v>110</v>
      </c>
      <c r="L8" s="646"/>
      <c r="M8" s="1260">
        <f>L13/((72*3.1415/59)*(50/3.281))</f>
        <v>1.0869070419297222E-2</v>
      </c>
      <c r="N8" s="1260"/>
      <c r="O8" s="1261"/>
      <c r="P8" s="645" t="s">
        <v>110</v>
      </c>
      <c r="Q8" s="646"/>
      <c r="R8" s="1260">
        <f>Q13/((72*3.1415/59)*(50/3.281))</f>
        <v>9.5647819689815543E-3</v>
      </c>
      <c r="S8" s="1260"/>
      <c r="T8" s="1261"/>
      <c r="U8" s="645" t="s">
        <v>110</v>
      </c>
      <c r="V8" s="646"/>
      <c r="W8" s="1260">
        <f>V13/((72*3.1415/59)*(50/3.281))</f>
        <v>4.7823909844907772E-3</v>
      </c>
      <c r="X8" s="1260"/>
      <c r="Y8" s="1261"/>
      <c r="Z8" s="645" t="s">
        <v>110</v>
      </c>
      <c r="AA8" s="646"/>
      <c r="AB8" s="1260">
        <f>AA13/((72*3.1415/59)*(50/3.281))</f>
        <v>1.0098821334465135E-2</v>
      </c>
      <c r="AC8" s="1260"/>
      <c r="AD8" s="1261"/>
      <c r="AE8" s="645" t="s">
        <v>110</v>
      </c>
      <c r="AF8" s="646"/>
      <c r="AG8" s="1260">
        <f>AF13/((72*3.1415/59)*(50/3.281))</f>
        <v>2.8687499248412823E-2</v>
      </c>
      <c r="AH8" s="1260"/>
      <c r="AI8" s="1261"/>
      <c r="AJ8" s="645" t="s">
        <v>110</v>
      </c>
      <c r="AK8" s="646"/>
      <c r="AL8" s="1260">
        <f>AK13/((72*3.1415/59)*(50/3.281))</f>
        <v>8.6952563354377784E-3</v>
      </c>
      <c r="AM8" s="1260"/>
      <c r="AN8" s="1261"/>
      <c r="AO8" s="645" t="s">
        <v>110</v>
      </c>
      <c r="AP8" s="646"/>
      <c r="AQ8" s="1260">
        <f>AP13/((72*3.1415/59)*(50/3.281))</f>
        <v>1.0869070419297222E-2</v>
      </c>
      <c r="AR8" s="1260"/>
      <c r="AS8" s="1261"/>
      <c r="AT8" s="645" t="s">
        <v>110</v>
      </c>
      <c r="AU8" s="646"/>
      <c r="AV8" s="1260">
        <f>AU13/((72*3.1415/59)*(50/3.281))</f>
        <v>1.0424037614727572E-2</v>
      </c>
      <c r="AW8" s="1260"/>
      <c r="AX8" s="1261"/>
      <c r="AY8" s="645" t="s">
        <v>110</v>
      </c>
      <c r="AZ8" s="646"/>
      <c r="BA8" s="1260">
        <f>AZ13/((72*3.1415/59)*(50/3.281))</f>
        <v>2.3477192105681999E-2</v>
      </c>
      <c r="BB8" s="1260"/>
      <c r="BC8" s="1261"/>
      <c r="BD8" s="645" t="s">
        <v>110</v>
      </c>
      <c r="BE8" s="646"/>
      <c r="BF8" s="1260">
        <f>BE13/((72*3.1415/59)*(50/3.281))</f>
        <v>0.23432688825225034</v>
      </c>
      <c r="BG8" s="1260"/>
      <c r="BH8" s="1261"/>
      <c r="BI8" s="645" t="s">
        <v>110</v>
      </c>
      <c r="BJ8" s="646"/>
      <c r="BK8" s="1260">
        <f>BJ13/((72*3.1415/59)*(50/3.281))</f>
        <v>0.10694480626735282</v>
      </c>
      <c r="BL8" s="1260"/>
      <c r="BM8" s="1261"/>
      <c r="BN8" s="645" t="s">
        <v>110</v>
      </c>
      <c r="BO8" s="646"/>
      <c r="BP8" s="1260">
        <f>BO13/((72*3.1415/59)*(50/3.281))</f>
        <v>9.1231724936778266E-3</v>
      </c>
      <c r="BQ8" s="1260"/>
      <c r="BR8" s="1261"/>
    </row>
    <row r="9" spans="1:83" ht="6.75" customHeight="1" x14ac:dyDescent="0.25">
      <c r="A9" s="1256"/>
      <c r="B9" s="1257"/>
      <c r="C9" s="1262"/>
      <c r="D9" s="1262"/>
      <c r="E9" s="1263"/>
      <c r="F9" s="1256"/>
      <c r="G9" s="1257"/>
      <c r="H9" s="1262"/>
      <c r="I9" s="1262"/>
      <c r="J9" s="1263"/>
      <c r="K9" s="1256"/>
      <c r="L9" s="1257"/>
      <c r="M9" s="1262"/>
      <c r="N9" s="1262"/>
      <c r="O9" s="1263"/>
      <c r="P9" s="1256"/>
      <c r="Q9" s="1257"/>
      <c r="R9" s="1262"/>
      <c r="S9" s="1262"/>
      <c r="T9" s="1263"/>
      <c r="U9" s="1256"/>
      <c r="V9" s="1257"/>
      <c r="W9" s="1262"/>
      <c r="X9" s="1262"/>
      <c r="Y9" s="1263"/>
      <c r="Z9" s="1256"/>
      <c r="AA9" s="1257"/>
      <c r="AB9" s="1262"/>
      <c r="AC9" s="1262"/>
      <c r="AD9" s="1263"/>
      <c r="AE9" s="1256"/>
      <c r="AF9" s="1257"/>
      <c r="AG9" s="1262"/>
      <c r="AH9" s="1262"/>
      <c r="AI9" s="1263"/>
      <c r="AJ9" s="1256"/>
      <c r="AK9" s="1257"/>
      <c r="AL9" s="1262"/>
      <c r="AM9" s="1262"/>
      <c r="AN9" s="1263"/>
      <c r="AO9" s="1256"/>
      <c r="AP9" s="1257"/>
      <c r="AQ9" s="1262"/>
      <c r="AR9" s="1262"/>
      <c r="AS9" s="1263"/>
      <c r="AT9" s="1256"/>
      <c r="AU9" s="1257"/>
      <c r="AV9" s="1262"/>
      <c r="AW9" s="1262"/>
      <c r="AX9" s="1263"/>
      <c r="AY9" s="1256"/>
      <c r="AZ9" s="1257"/>
      <c r="BA9" s="1262"/>
      <c r="BB9" s="1262"/>
      <c r="BC9" s="1263"/>
      <c r="BD9" s="1256"/>
      <c r="BE9" s="1257"/>
      <c r="BF9" s="1262"/>
      <c r="BG9" s="1262"/>
      <c r="BH9" s="1263"/>
      <c r="BI9" s="1256"/>
      <c r="BJ9" s="1257"/>
      <c r="BK9" s="1262"/>
      <c r="BL9" s="1262"/>
      <c r="BM9" s="1263"/>
      <c r="BN9" s="1256"/>
      <c r="BO9" s="1257"/>
      <c r="BP9" s="1262"/>
      <c r="BQ9" s="1262"/>
      <c r="BR9" s="1263"/>
    </row>
    <row r="10" spans="1:83" ht="21.95" customHeight="1" x14ac:dyDescent="0.25">
      <c r="A10" s="1256"/>
      <c r="B10" s="1257"/>
      <c r="C10" s="1262"/>
      <c r="D10" s="1262"/>
      <c r="E10" s="1263"/>
      <c r="F10" s="1256"/>
      <c r="G10" s="1257"/>
      <c r="H10" s="1262"/>
      <c r="I10" s="1262"/>
      <c r="J10" s="1263"/>
      <c r="K10" s="1256"/>
      <c r="L10" s="1257"/>
      <c r="M10" s="1262"/>
      <c r="N10" s="1262"/>
      <c r="O10" s="1263"/>
      <c r="P10" s="1256"/>
      <c r="Q10" s="1257"/>
      <c r="R10" s="1262"/>
      <c r="S10" s="1262"/>
      <c r="T10" s="1263"/>
      <c r="U10" s="1256"/>
      <c r="V10" s="1257"/>
      <c r="W10" s="1262"/>
      <c r="X10" s="1262"/>
      <c r="Y10" s="1263"/>
      <c r="Z10" s="1256"/>
      <c r="AA10" s="1257"/>
      <c r="AB10" s="1262"/>
      <c r="AC10" s="1262"/>
      <c r="AD10" s="1263"/>
      <c r="AE10" s="1256"/>
      <c r="AF10" s="1257"/>
      <c r="AG10" s="1262"/>
      <c r="AH10" s="1262"/>
      <c r="AI10" s="1263"/>
      <c r="AJ10" s="1256"/>
      <c r="AK10" s="1257"/>
      <c r="AL10" s="1262"/>
      <c r="AM10" s="1262"/>
      <c r="AN10" s="1263"/>
      <c r="AO10" s="1256"/>
      <c r="AP10" s="1257"/>
      <c r="AQ10" s="1262"/>
      <c r="AR10" s="1262"/>
      <c r="AS10" s="1263"/>
      <c r="AT10" s="1256"/>
      <c r="AU10" s="1257"/>
      <c r="AV10" s="1262"/>
      <c r="AW10" s="1262"/>
      <c r="AX10" s="1263"/>
      <c r="AY10" s="1256"/>
      <c r="AZ10" s="1257"/>
      <c r="BA10" s="1262"/>
      <c r="BB10" s="1262"/>
      <c r="BC10" s="1263"/>
      <c r="BD10" s="1256"/>
      <c r="BE10" s="1257"/>
      <c r="BF10" s="1262"/>
      <c r="BG10" s="1262"/>
      <c r="BH10" s="1263"/>
      <c r="BI10" s="1256"/>
      <c r="BJ10" s="1257"/>
      <c r="BK10" s="1262"/>
      <c r="BL10" s="1262"/>
      <c r="BM10" s="1263"/>
      <c r="BN10" s="1256"/>
      <c r="BO10" s="1257"/>
      <c r="BP10" s="1262"/>
      <c r="BQ10" s="1262"/>
      <c r="BR10" s="1263"/>
    </row>
    <row r="11" spans="1:83" ht="6" customHeight="1" x14ac:dyDescent="0.25">
      <c r="A11" s="1258"/>
      <c r="B11" s="1259"/>
      <c r="C11" s="1264"/>
      <c r="D11" s="1264"/>
      <c r="E11" s="1265"/>
      <c r="F11" s="1258"/>
      <c r="G11" s="1259"/>
      <c r="H11" s="1264"/>
      <c r="I11" s="1264"/>
      <c r="J11" s="1265"/>
      <c r="K11" s="1258"/>
      <c r="L11" s="1259"/>
      <c r="M11" s="1264"/>
      <c r="N11" s="1264"/>
      <c r="O11" s="1265"/>
      <c r="P11" s="1258"/>
      <c r="Q11" s="1259"/>
      <c r="R11" s="1264"/>
      <c r="S11" s="1264"/>
      <c r="T11" s="1265"/>
      <c r="U11" s="1258"/>
      <c r="V11" s="1259"/>
      <c r="W11" s="1264"/>
      <c r="X11" s="1264"/>
      <c r="Y11" s="1265"/>
      <c r="Z11" s="1258"/>
      <c r="AA11" s="1259"/>
      <c r="AB11" s="1264"/>
      <c r="AC11" s="1264"/>
      <c r="AD11" s="1265"/>
      <c r="AE11" s="1258"/>
      <c r="AF11" s="1259"/>
      <c r="AG11" s="1264"/>
      <c r="AH11" s="1264"/>
      <c r="AI11" s="1265"/>
      <c r="AJ11" s="1258"/>
      <c r="AK11" s="1259"/>
      <c r="AL11" s="1264"/>
      <c r="AM11" s="1264"/>
      <c r="AN11" s="1265"/>
      <c r="AO11" s="1258"/>
      <c r="AP11" s="1259"/>
      <c r="AQ11" s="1264"/>
      <c r="AR11" s="1264"/>
      <c r="AS11" s="1265"/>
      <c r="AT11" s="1258"/>
      <c r="AU11" s="1259"/>
      <c r="AV11" s="1264"/>
      <c r="AW11" s="1264"/>
      <c r="AX11" s="1265"/>
      <c r="AY11" s="1258"/>
      <c r="AZ11" s="1259"/>
      <c r="BA11" s="1264"/>
      <c r="BB11" s="1264"/>
      <c r="BC11" s="1265"/>
      <c r="BD11" s="1258"/>
      <c r="BE11" s="1259"/>
      <c r="BF11" s="1264"/>
      <c r="BG11" s="1264"/>
      <c r="BH11" s="1265"/>
      <c r="BI11" s="1258"/>
      <c r="BJ11" s="1259"/>
      <c r="BK11" s="1264"/>
      <c r="BL11" s="1264"/>
      <c r="BM11" s="1265"/>
      <c r="BN11" s="1258"/>
      <c r="BO11" s="1259"/>
      <c r="BP11" s="1264"/>
      <c r="BQ11" s="1264"/>
      <c r="BR11" s="1265"/>
    </row>
    <row r="12" spans="1:83" s="22" customFormat="1" ht="80.099999999999994" customHeight="1" x14ac:dyDescent="1.35">
      <c r="A12" s="639" t="s">
        <v>131</v>
      </c>
      <c r="B12" s="588">
        <v>15</v>
      </c>
      <c r="C12" s="589"/>
      <c r="D12" s="589"/>
      <c r="E12" s="590"/>
      <c r="F12" s="639" t="s">
        <v>131</v>
      </c>
      <c r="G12" s="588">
        <v>16</v>
      </c>
      <c r="H12" s="589"/>
      <c r="I12" s="589"/>
      <c r="J12" s="590"/>
      <c r="K12" s="639" t="s">
        <v>131</v>
      </c>
      <c r="L12" s="588">
        <v>17</v>
      </c>
      <c r="M12" s="589"/>
      <c r="N12" s="589"/>
      <c r="O12" s="590"/>
      <c r="P12" s="639" t="s">
        <v>131</v>
      </c>
      <c r="Q12" s="588">
        <v>18</v>
      </c>
      <c r="R12" s="589"/>
      <c r="S12" s="589"/>
      <c r="T12" s="590"/>
      <c r="U12" s="639" t="s">
        <v>131</v>
      </c>
      <c r="V12" s="588">
        <v>19</v>
      </c>
      <c r="W12" s="589"/>
      <c r="X12" s="589"/>
      <c r="Y12" s="590"/>
      <c r="Z12" s="639" t="s">
        <v>131</v>
      </c>
      <c r="AA12" s="588">
        <v>20</v>
      </c>
      <c r="AB12" s="589"/>
      <c r="AC12" s="589"/>
      <c r="AD12" s="590"/>
      <c r="AE12" s="639" t="s">
        <v>131</v>
      </c>
      <c r="AF12" s="588">
        <v>21</v>
      </c>
      <c r="AG12" s="589"/>
      <c r="AH12" s="589"/>
      <c r="AI12" s="590"/>
      <c r="AJ12" s="639" t="s">
        <v>131</v>
      </c>
      <c r="AK12" s="588">
        <v>22</v>
      </c>
      <c r="AL12" s="589"/>
      <c r="AM12" s="589"/>
      <c r="AN12" s="590"/>
      <c r="AO12" s="639" t="s">
        <v>131</v>
      </c>
      <c r="AP12" s="588">
        <v>23</v>
      </c>
      <c r="AQ12" s="589"/>
      <c r="AR12" s="589"/>
      <c r="AS12" s="590"/>
      <c r="AT12" s="639" t="s">
        <v>131</v>
      </c>
      <c r="AU12" s="588">
        <v>24</v>
      </c>
      <c r="AV12" s="589"/>
      <c r="AW12" s="589"/>
      <c r="AX12" s="590"/>
      <c r="AY12" s="639" t="s">
        <v>131</v>
      </c>
      <c r="AZ12" s="588">
        <v>25</v>
      </c>
      <c r="BA12" s="589"/>
      <c r="BB12" s="589"/>
      <c r="BC12" s="590"/>
      <c r="BD12" s="639" t="s">
        <v>131</v>
      </c>
      <c r="BE12" s="588">
        <v>26</v>
      </c>
      <c r="BF12" s="589"/>
      <c r="BG12" s="589"/>
      <c r="BH12" s="590"/>
      <c r="BI12" s="639" t="s">
        <v>131</v>
      </c>
      <c r="BJ12" s="588">
        <v>27</v>
      </c>
      <c r="BK12" s="589"/>
      <c r="BL12" s="589"/>
      <c r="BM12" s="590"/>
      <c r="BN12" s="639" t="s">
        <v>131</v>
      </c>
      <c r="BO12" s="588">
        <v>28</v>
      </c>
      <c r="BP12" s="589"/>
      <c r="BQ12" s="589"/>
      <c r="BR12" s="590"/>
    </row>
    <row r="13" spans="1:83" ht="27" customHeight="1" thickBot="1" x14ac:dyDescent="0.3">
      <c r="A13" s="640"/>
      <c r="B13" s="61">
        <v>0.254</v>
      </c>
      <c r="C13" s="62" t="s">
        <v>113</v>
      </c>
      <c r="D13" s="63">
        <v>1</v>
      </c>
      <c r="E13" s="64" t="s">
        <v>114</v>
      </c>
      <c r="F13" s="640"/>
      <c r="G13" s="61">
        <v>0.4572</v>
      </c>
      <c r="H13" s="62" t="s">
        <v>113</v>
      </c>
      <c r="I13" s="63"/>
      <c r="J13" s="64" t="s">
        <v>114</v>
      </c>
      <c r="K13" s="640"/>
      <c r="L13" s="61">
        <v>0.63500000000000001</v>
      </c>
      <c r="M13" s="62" t="s">
        <v>113</v>
      </c>
      <c r="N13" s="63"/>
      <c r="O13" s="64" t="s">
        <v>114</v>
      </c>
      <c r="P13" s="640"/>
      <c r="Q13" s="61">
        <v>0.55879999999999996</v>
      </c>
      <c r="R13" s="62" t="s">
        <v>113</v>
      </c>
      <c r="S13" s="63">
        <v>1</v>
      </c>
      <c r="T13" s="64" t="s">
        <v>114</v>
      </c>
      <c r="U13" s="640"/>
      <c r="V13" s="61">
        <v>0.27939999999999998</v>
      </c>
      <c r="W13" s="62" t="s">
        <v>113</v>
      </c>
      <c r="X13" s="63"/>
      <c r="Y13" s="64" t="s">
        <v>114</v>
      </c>
      <c r="Z13" s="640"/>
      <c r="AA13" s="61">
        <v>0.59</v>
      </c>
      <c r="AB13" s="62" t="s">
        <v>113</v>
      </c>
      <c r="AC13" s="63"/>
      <c r="AD13" s="64" t="s">
        <v>114</v>
      </c>
      <c r="AE13" s="640"/>
      <c r="AF13" s="61">
        <v>1.6759999999999999</v>
      </c>
      <c r="AG13" s="62" t="s">
        <v>113</v>
      </c>
      <c r="AH13" s="63">
        <v>1</v>
      </c>
      <c r="AI13" s="64" t="s">
        <v>114</v>
      </c>
      <c r="AJ13" s="640"/>
      <c r="AK13" s="61">
        <v>0.50800000000000001</v>
      </c>
      <c r="AL13" s="62" t="s">
        <v>113</v>
      </c>
      <c r="AM13" s="63"/>
      <c r="AN13" s="64" t="s">
        <v>114</v>
      </c>
      <c r="AO13" s="640"/>
      <c r="AP13" s="61">
        <v>0.63500000000000001</v>
      </c>
      <c r="AQ13" s="62" t="s">
        <v>113</v>
      </c>
      <c r="AR13" s="63">
        <v>1</v>
      </c>
      <c r="AS13" s="64" t="s">
        <v>114</v>
      </c>
      <c r="AT13" s="640"/>
      <c r="AU13" s="61">
        <v>0.60899999999999999</v>
      </c>
      <c r="AV13" s="62" t="s">
        <v>113</v>
      </c>
      <c r="AW13" s="63">
        <v>1</v>
      </c>
      <c r="AX13" s="64" t="s">
        <v>114</v>
      </c>
      <c r="AY13" s="640"/>
      <c r="AZ13" s="61">
        <v>1.3715999999999999</v>
      </c>
      <c r="BA13" s="62" t="s">
        <v>113</v>
      </c>
      <c r="BB13" s="63"/>
      <c r="BC13" s="64" t="s">
        <v>114</v>
      </c>
      <c r="BD13" s="640"/>
      <c r="BE13" s="61">
        <v>13.69</v>
      </c>
      <c r="BF13" s="62" t="s">
        <v>113</v>
      </c>
      <c r="BG13" s="63"/>
      <c r="BH13" s="64" t="s">
        <v>114</v>
      </c>
      <c r="BI13" s="640"/>
      <c r="BJ13" s="61">
        <v>6.2480000000000002</v>
      </c>
      <c r="BK13" s="62" t="s">
        <v>113</v>
      </c>
      <c r="BL13" s="63">
        <v>1</v>
      </c>
      <c r="BM13" s="64" t="s">
        <v>114</v>
      </c>
      <c r="BN13" s="640"/>
      <c r="BO13" s="61">
        <v>0.53300000000000003</v>
      </c>
      <c r="BP13" s="62" t="s">
        <v>113</v>
      </c>
      <c r="BQ13" s="63">
        <v>1</v>
      </c>
      <c r="BR13" s="64" t="s">
        <v>114</v>
      </c>
      <c r="BW13" s="27"/>
      <c r="BX13" s="27"/>
      <c r="BY13" s="27"/>
      <c r="BZ13" s="27"/>
      <c r="CA13" s="27"/>
      <c r="CB13" s="27"/>
      <c r="CC13" s="27"/>
      <c r="CD13" s="27"/>
      <c r="CE13" s="27"/>
    </row>
    <row r="14" spans="1:83" ht="26.1" customHeight="1" thickTop="1" x14ac:dyDescent="0.25">
      <c r="A14" s="645" t="s">
        <v>110</v>
      </c>
      <c r="B14" s="646"/>
      <c r="C14" s="1260">
        <f>B19/((72*3.1415/59)*(50/3.281))</f>
        <v>3.043339717403222E-2</v>
      </c>
      <c r="D14" s="1260"/>
      <c r="E14" s="1261"/>
      <c r="F14" s="645" t="s">
        <v>110</v>
      </c>
      <c r="G14" s="646"/>
      <c r="H14" s="1260">
        <f>G19/((72*3.1415/59)*(50/3.281))</f>
        <v>0.12128855589155924</v>
      </c>
      <c r="I14" s="1260"/>
      <c r="J14" s="1261"/>
      <c r="K14" s="645" t="s">
        <v>110</v>
      </c>
      <c r="L14" s="646"/>
      <c r="M14" s="1260">
        <f>L19/((72*3.1415/59)*(50/3.281))</f>
        <v>0.10302509425787398</v>
      </c>
      <c r="N14" s="1260"/>
      <c r="O14" s="1261"/>
      <c r="P14" s="645" t="s">
        <v>110</v>
      </c>
      <c r="Q14" s="646"/>
      <c r="R14" s="1260">
        <f>Q19/((72*3.1415/59)*(50/3.281))</f>
        <v>1.2597851698587017E-2</v>
      </c>
      <c r="S14" s="1260"/>
      <c r="T14" s="1261"/>
      <c r="U14" s="645" t="s">
        <v>110</v>
      </c>
      <c r="V14" s="646"/>
      <c r="W14" s="1260">
        <f>V19/((72*3.1415/59)*(50/3.281))</f>
        <v>5.9993845385254742E-2</v>
      </c>
      <c r="X14" s="1260"/>
      <c r="Y14" s="1261"/>
      <c r="Z14" s="645" t="s">
        <v>110</v>
      </c>
      <c r="AA14" s="646"/>
      <c r="AB14" s="1260">
        <f>AA19/((72*3.1415/59)*(50/3.281))</f>
        <v>6.0866794348064445E-3</v>
      </c>
      <c r="AC14" s="1260"/>
      <c r="AD14" s="1261"/>
      <c r="AE14" s="645" t="s">
        <v>110</v>
      </c>
      <c r="AF14" s="646"/>
      <c r="AG14" s="1260">
        <f>AF19/((72*3.1415/59)*(50/3.281))</f>
        <v>7.82230737262808E-3</v>
      </c>
      <c r="AH14" s="1260"/>
      <c r="AI14" s="1261"/>
      <c r="AJ14" s="645" t="s">
        <v>110</v>
      </c>
      <c r="AK14" s="646"/>
      <c r="AL14" s="1260">
        <f>AK19/((72*3.1415/59)*(50/3.281))</f>
        <v>4.3476281677188892E-3</v>
      </c>
      <c r="AM14" s="1260"/>
      <c r="AN14" s="1261"/>
      <c r="AO14" s="645" t="s">
        <v>110</v>
      </c>
      <c r="AP14" s="646"/>
      <c r="AQ14" s="1260">
        <f>AP19/((72*3.1415/59)*(50/3.281))</f>
        <v>3.3463043574371763E-2</v>
      </c>
      <c r="AR14" s="1260"/>
      <c r="AS14" s="1261"/>
      <c r="AT14" s="645" t="s">
        <v>110</v>
      </c>
      <c r="AU14" s="646"/>
      <c r="AV14" s="1260">
        <f>AU19/((72*3.1415/59)*(50/3.281))</f>
        <v>4.7755443259589374E-3</v>
      </c>
      <c r="AW14" s="1260"/>
      <c r="AX14" s="1261"/>
      <c r="AY14" s="645" t="s">
        <v>110</v>
      </c>
      <c r="AZ14" s="646"/>
      <c r="BA14" s="1260">
        <f>AZ19/((72*3.1415/59)*(50/3.281))</f>
        <v>4.782390984490778E-2</v>
      </c>
      <c r="BB14" s="1260"/>
      <c r="BC14" s="1261"/>
      <c r="BD14" s="645" t="s">
        <v>110</v>
      </c>
      <c r="BE14" s="646"/>
      <c r="BF14" s="1260">
        <f>BE19/((72*3.1415/59)*(50/3.281))</f>
        <v>1.2169935540346968E-2</v>
      </c>
      <c r="BG14" s="1260"/>
      <c r="BH14" s="1261"/>
      <c r="BI14" s="645" t="s">
        <v>110</v>
      </c>
      <c r="BJ14" s="646"/>
      <c r="BK14" s="1260">
        <f>BJ19/((72*3.1415/59)*(50/3.281))</f>
        <v>4.7823909844907772E-3</v>
      </c>
      <c r="BL14" s="1260"/>
      <c r="BM14" s="1261"/>
      <c r="BN14" s="645" t="s">
        <v>110</v>
      </c>
      <c r="BO14" s="646"/>
      <c r="BP14" s="1260">
        <f>BO19/((72*3.1415/59)*(50/3.281))</f>
        <v>2.6085769006313334E-3</v>
      </c>
      <c r="BQ14" s="1260"/>
      <c r="BR14" s="1261"/>
    </row>
    <row r="15" spans="1:83" ht="6.75" customHeight="1" x14ac:dyDescent="0.25">
      <c r="A15" s="1256"/>
      <c r="B15" s="1257"/>
      <c r="C15" s="1262"/>
      <c r="D15" s="1262"/>
      <c r="E15" s="1263"/>
      <c r="F15" s="1256"/>
      <c r="G15" s="1257"/>
      <c r="H15" s="1262"/>
      <c r="I15" s="1262"/>
      <c r="J15" s="1263"/>
      <c r="K15" s="1256"/>
      <c r="L15" s="1257"/>
      <c r="M15" s="1262"/>
      <c r="N15" s="1262"/>
      <c r="O15" s="1263"/>
      <c r="P15" s="1256"/>
      <c r="Q15" s="1257"/>
      <c r="R15" s="1262"/>
      <c r="S15" s="1262"/>
      <c r="T15" s="1263"/>
      <c r="U15" s="1256"/>
      <c r="V15" s="1257"/>
      <c r="W15" s="1262"/>
      <c r="X15" s="1262"/>
      <c r="Y15" s="1263"/>
      <c r="Z15" s="1256"/>
      <c r="AA15" s="1257"/>
      <c r="AB15" s="1262"/>
      <c r="AC15" s="1262"/>
      <c r="AD15" s="1263"/>
      <c r="AE15" s="1256"/>
      <c r="AF15" s="1257"/>
      <c r="AG15" s="1262"/>
      <c r="AH15" s="1262"/>
      <c r="AI15" s="1263"/>
      <c r="AJ15" s="1256"/>
      <c r="AK15" s="1257"/>
      <c r="AL15" s="1262"/>
      <c r="AM15" s="1262"/>
      <c r="AN15" s="1263"/>
      <c r="AO15" s="1256"/>
      <c r="AP15" s="1257"/>
      <c r="AQ15" s="1262"/>
      <c r="AR15" s="1262"/>
      <c r="AS15" s="1263"/>
      <c r="AT15" s="1256"/>
      <c r="AU15" s="1257"/>
      <c r="AV15" s="1262"/>
      <c r="AW15" s="1262"/>
      <c r="AX15" s="1263"/>
      <c r="AY15" s="1256"/>
      <c r="AZ15" s="1257"/>
      <c r="BA15" s="1262"/>
      <c r="BB15" s="1262"/>
      <c r="BC15" s="1263"/>
      <c r="BD15" s="1256"/>
      <c r="BE15" s="1257"/>
      <c r="BF15" s="1262"/>
      <c r="BG15" s="1262"/>
      <c r="BH15" s="1263"/>
      <c r="BI15" s="1256"/>
      <c r="BJ15" s="1257"/>
      <c r="BK15" s="1262"/>
      <c r="BL15" s="1262"/>
      <c r="BM15" s="1263"/>
      <c r="BN15" s="1256"/>
      <c r="BO15" s="1257"/>
      <c r="BP15" s="1262"/>
      <c r="BQ15" s="1262"/>
      <c r="BR15" s="1263"/>
    </row>
    <row r="16" spans="1:83" ht="21.95" customHeight="1" x14ac:dyDescent="0.25">
      <c r="A16" s="1256"/>
      <c r="B16" s="1257"/>
      <c r="C16" s="1262"/>
      <c r="D16" s="1262"/>
      <c r="E16" s="1263"/>
      <c r="F16" s="1256"/>
      <c r="G16" s="1257"/>
      <c r="H16" s="1262"/>
      <c r="I16" s="1262"/>
      <c r="J16" s="1263"/>
      <c r="K16" s="1256"/>
      <c r="L16" s="1257"/>
      <c r="M16" s="1262"/>
      <c r="N16" s="1262"/>
      <c r="O16" s="1263"/>
      <c r="P16" s="1256"/>
      <c r="Q16" s="1257"/>
      <c r="R16" s="1262"/>
      <c r="S16" s="1262"/>
      <c r="T16" s="1263"/>
      <c r="U16" s="1256"/>
      <c r="V16" s="1257"/>
      <c r="W16" s="1262"/>
      <c r="X16" s="1262"/>
      <c r="Y16" s="1263"/>
      <c r="Z16" s="1256"/>
      <c r="AA16" s="1257"/>
      <c r="AB16" s="1262"/>
      <c r="AC16" s="1262"/>
      <c r="AD16" s="1263"/>
      <c r="AE16" s="1256"/>
      <c r="AF16" s="1257"/>
      <c r="AG16" s="1262"/>
      <c r="AH16" s="1262"/>
      <c r="AI16" s="1263"/>
      <c r="AJ16" s="1256"/>
      <c r="AK16" s="1257"/>
      <c r="AL16" s="1262"/>
      <c r="AM16" s="1262"/>
      <c r="AN16" s="1263"/>
      <c r="AO16" s="1256"/>
      <c r="AP16" s="1257"/>
      <c r="AQ16" s="1262"/>
      <c r="AR16" s="1262"/>
      <c r="AS16" s="1263"/>
      <c r="AT16" s="1256"/>
      <c r="AU16" s="1257"/>
      <c r="AV16" s="1262"/>
      <c r="AW16" s="1262"/>
      <c r="AX16" s="1263"/>
      <c r="AY16" s="1256"/>
      <c r="AZ16" s="1257"/>
      <c r="BA16" s="1262"/>
      <c r="BB16" s="1262"/>
      <c r="BC16" s="1263"/>
      <c r="BD16" s="1256"/>
      <c r="BE16" s="1257"/>
      <c r="BF16" s="1262"/>
      <c r="BG16" s="1262"/>
      <c r="BH16" s="1263"/>
      <c r="BI16" s="1256"/>
      <c r="BJ16" s="1257"/>
      <c r="BK16" s="1262"/>
      <c r="BL16" s="1262"/>
      <c r="BM16" s="1263"/>
      <c r="BN16" s="1256"/>
      <c r="BO16" s="1257"/>
      <c r="BP16" s="1262"/>
      <c r="BQ16" s="1262"/>
      <c r="BR16" s="1263"/>
    </row>
    <row r="17" spans="1:83" ht="6" customHeight="1" x14ac:dyDescent="0.25">
      <c r="A17" s="1258"/>
      <c r="B17" s="1259"/>
      <c r="C17" s="1264"/>
      <c r="D17" s="1264"/>
      <c r="E17" s="1265"/>
      <c r="F17" s="1258"/>
      <c r="G17" s="1259"/>
      <c r="H17" s="1264"/>
      <c r="I17" s="1264"/>
      <c r="J17" s="1265"/>
      <c r="K17" s="1258"/>
      <c r="L17" s="1259"/>
      <c r="M17" s="1264"/>
      <c r="N17" s="1264"/>
      <c r="O17" s="1265"/>
      <c r="P17" s="1258"/>
      <c r="Q17" s="1259"/>
      <c r="R17" s="1264"/>
      <c r="S17" s="1264"/>
      <c r="T17" s="1265"/>
      <c r="U17" s="1258"/>
      <c r="V17" s="1259"/>
      <c r="W17" s="1264"/>
      <c r="X17" s="1264"/>
      <c r="Y17" s="1265"/>
      <c r="Z17" s="1258"/>
      <c r="AA17" s="1259"/>
      <c r="AB17" s="1264"/>
      <c r="AC17" s="1264"/>
      <c r="AD17" s="1265"/>
      <c r="AE17" s="1258"/>
      <c r="AF17" s="1259"/>
      <c r="AG17" s="1264"/>
      <c r="AH17" s="1264"/>
      <c r="AI17" s="1265"/>
      <c r="AJ17" s="1258"/>
      <c r="AK17" s="1259"/>
      <c r="AL17" s="1264"/>
      <c r="AM17" s="1264"/>
      <c r="AN17" s="1265"/>
      <c r="AO17" s="1258"/>
      <c r="AP17" s="1259"/>
      <c r="AQ17" s="1264"/>
      <c r="AR17" s="1264"/>
      <c r="AS17" s="1265"/>
      <c r="AT17" s="1258"/>
      <c r="AU17" s="1259"/>
      <c r="AV17" s="1264"/>
      <c r="AW17" s="1264"/>
      <c r="AX17" s="1265"/>
      <c r="AY17" s="1258"/>
      <c r="AZ17" s="1259"/>
      <c r="BA17" s="1264"/>
      <c r="BB17" s="1264"/>
      <c r="BC17" s="1265"/>
      <c r="BD17" s="1258"/>
      <c r="BE17" s="1259"/>
      <c r="BF17" s="1264"/>
      <c r="BG17" s="1264"/>
      <c r="BH17" s="1265"/>
      <c r="BI17" s="1258"/>
      <c r="BJ17" s="1259"/>
      <c r="BK17" s="1264"/>
      <c r="BL17" s="1264"/>
      <c r="BM17" s="1265"/>
      <c r="BN17" s="1258"/>
      <c r="BO17" s="1259"/>
      <c r="BP17" s="1264"/>
      <c r="BQ17" s="1264"/>
      <c r="BR17" s="1265"/>
    </row>
    <row r="18" spans="1:83" s="22" customFormat="1" ht="80.099999999999994" customHeight="1" x14ac:dyDescent="1.35">
      <c r="A18" s="639" t="s">
        <v>131</v>
      </c>
      <c r="B18" s="588">
        <v>29</v>
      </c>
      <c r="C18" s="589"/>
      <c r="D18" s="589"/>
      <c r="E18" s="590"/>
      <c r="F18" s="639" t="s">
        <v>131</v>
      </c>
      <c r="G18" s="588">
        <v>30</v>
      </c>
      <c r="H18" s="589"/>
      <c r="I18" s="589"/>
      <c r="J18" s="590"/>
      <c r="K18" s="639" t="s">
        <v>131</v>
      </c>
      <c r="L18" s="588">
        <v>31</v>
      </c>
      <c r="M18" s="589"/>
      <c r="N18" s="589"/>
      <c r="O18" s="590"/>
      <c r="P18" s="639" t="s">
        <v>131</v>
      </c>
      <c r="Q18" s="588">
        <v>32</v>
      </c>
      <c r="R18" s="589"/>
      <c r="S18" s="589"/>
      <c r="T18" s="590"/>
      <c r="U18" s="639" t="s">
        <v>131</v>
      </c>
      <c r="V18" s="588">
        <v>33</v>
      </c>
      <c r="W18" s="589"/>
      <c r="X18" s="589"/>
      <c r="Y18" s="590"/>
      <c r="Z18" s="639" t="s">
        <v>131</v>
      </c>
      <c r="AA18" s="588">
        <v>34</v>
      </c>
      <c r="AB18" s="589"/>
      <c r="AC18" s="589"/>
      <c r="AD18" s="590"/>
      <c r="AE18" s="639" t="s">
        <v>131</v>
      </c>
      <c r="AF18" s="588">
        <v>35</v>
      </c>
      <c r="AG18" s="589"/>
      <c r="AH18" s="589"/>
      <c r="AI18" s="590"/>
      <c r="AJ18" s="639" t="s">
        <v>131</v>
      </c>
      <c r="AK18" s="588">
        <v>36</v>
      </c>
      <c r="AL18" s="589"/>
      <c r="AM18" s="589"/>
      <c r="AN18" s="590"/>
      <c r="AO18" s="639" t="s">
        <v>131</v>
      </c>
      <c r="AP18" s="588">
        <v>37</v>
      </c>
      <c r="AQ18" s="589"/>
      <c r="AR18" s="589"/>
      <c r="AS18" s="590"/>
      <c r="AT18" s="639" t="s">
        <v>131</v>
      </c>
      <c r="AU18" s="588">
        <v>38</v>
      </c>
      <c r="AV18" s="589"/>
      <c r="AW18" s="589"/>
      <c r="AX18" s="590"/>
      <c r="AY18" s="639" t="s">
        <v>131</v>
      </c>
      <c r="AZ18" s="588">
        <v>39</v>
      </c>
      <c r="BA18" s="589"/>
      <c r="BB18" s="589"/>
      <c r="BC18" s="590"/>
      <c r="BD18" s="639" t="s">
        <v>131</v>
      </c>
      <c r="BE18" s="588">
        <v>40</v>
      </c>
      <c r="BF18" s="589"/>
      <c r="BG18" s="589"/>
      <c r="BH18" s="590"/>
      <c r="BI18" s="639" t="s">
        <v>131</v>
      </c>
      <c r="BJ18" s="588">
        <v>41</v>
      </c>
      <c r="BK18" s="589"/>
      <c r="BL18" s="589"/>
      <c r="BM18" s="590"/>
      <c r="BN18" s="639" t="s">
        <v>131</v>
      </c>
      <c r="BO18" s="588">
        <v>42</v>
      </c>
      <c r="BP18" s="589"/>
      <c r="BQ18" s="589"/>
      <c r="BR18" s="590"/>
    </row>
    <row r="19" spans="1:83" ht="27" customHeight="1" thickBot="1" x14ac:dyDescent="0.3">
      <c r="A19" s="640"/>
      <c r="B19" s="61">
        <v>1.778</v>
      </c>
      <c r="C19" s="62" t="s">
        <v>113</v>
      </c>
      <c r="D19" s="63"/>
      <c r="E19" s="64" t="s">
        <v>114</v>
      </c>
      <c r="F19" s="640"/>
      <c r="G19" s="61">
        <v>7.0860000000000003</v>
      </c>
      <c r="H19" s="62" t="s">
        <v>113</v>
      </c>
      <c r="I19" s="63">
        <v>1</v>
      </c>
      <c r="J19" s="64" t="s">
        <v>114</v>
      </c>
      <c r="K19" s="640"/>
      <c r="L19" s="61">
        <v>6.0190000000000001</v>
      </c>
      <c r="M19" s="62" t="s">
        <v>113</v>
      </c>
      <c r="N19" s="63">
        <v>1</v>
      </c>
      <c r="O19" s="64" t="s">
        <v>114</v>
      </c>
      <c r="P19" s="640"/>
      <c r="Q19" s="61">
        <v>0.73599999999999999</v>
      </c>
      <c r="R19" s="62" t="s">
        <v>113</v>
      </c>
      <c r="S19" s="63"/>
      <c r="T19" s="64" t="s">
        <v>114</v>
      </c>
      <c r="U19" s="640"/>
      <c r="V19" s="61">
        <v>3.5049999999999999</v>
      </c>
      <c r="W19" s="62" t="s">
        <v>113</v>
      </c>
      <c r="X19" s="63">
        <v>1</v>
      </c>
      <c r="Y19" s="64" t="s">
        <v>114</v>
      </c>
      <c r="Z19" s="640"/>
      <c r="AA19" s="61">
        <v>0.35560000000000003</v>
      </c>
      <c r="AB19" s="62" t="s">
        <v>113</v>
      </c>
      <c r="AC19" s="63">
        <v>1</v>
      </c>
      <c r="AD19" s="64" t="s">
        <v>114</v>
      </c>
      <c r="AE19" s="640"/>
      <c r="AF19" s="61">
        <v>0.45700000000000002</v>
      </c>
      <c r="AG19" s="62" t="s">
        <v>113</v>
      </c>
      <c r="AH19" s="63"/>
      <c r="AI19" s="64" t="s">
        <v>114</v>
      </c>
      <c r="AJ19" s="640"/>
      <c r="AK19" s="61">
        <v>0.254</v>
      </c>
      <c r="AL19" s="62" t="s">
        <v>113</v>
      </c>
      <c r="AM19" s="63">
        <v>1</v>
      </c>
      <c r="AN19" s="64" t="s">
        <v>114</v>
      </c>
      <c r="AO19" s="640"/>
      <c r="AP19" s="61">
        <v>1.9550000000000001</v>
      </c>
      <c r="AQ19" s="62" t="s">
        <v>113</v>
      </c>
      <c r="AR19" s="63">
        <v>1</v>
      </c>
      <c r="AS19" s="64" t="s">
        <v>114</v>
      </c>
      <c r="AT19" s="640"/>
      <c r="AU19" s="61">
        <v>0.27900000000000003</v>
      </c>
      <c r="AV19" s="62" t="s">
        <v>113</v>
      </c>
      <c r="AW19" s="63"/>
      <c r="AX19" s="64" t="s">
        <v>114</v>
      </c>
      <c r="AY19" s="640"/>
      <c r="AZ19" s="61">
        <v>2.794</v>
      </c>
      <c r="BA19" s="62" t="s">
        <v>113</v>
      </c>
      <c r="BB19" s="63">
        <v>1</v>
      </c>
      <c r="BC19" s="64" t="s">
        <v>114</v>
      </c>
      <c r="BD19" s="640"/>
      <c r="BE19" s="61">
        <v>0.71099999999999997</v>
      </c>
      <c r="BF19" s="62" t="s">
        <v>113</v>
      </c>
      <c r="BG19" s="63"/>
      <c r="BH19" s="64" t="s">
        <v>114</v>
      </c>
      <c r="BI19" s="640"/>
      <c r="BJ19" s="61">
        <v>0.27939999999999998</v>
      </c>
      <c r="BK19" s="62" t="s">
        <v>113</v>
      </c>
      <c r="BL19" s="63">
        <v>1</v>
      </c>
      <c r="BM19" s="64" t="s">
        <v>114</v>
      </c>
      <c r="BN19" s="640"/>
      <c r="BO19" s="61">
        <v>0.15240000000000001</v>
      </c>
      <c r="BP19" s="62" t="s">
        <v>113</v>
      </c>
      <c r="BQ19" s="63">
        <v>1</v>
      </c>
      <c r="BR19" s="64" t="s">
        <v>114</v>
      </c>
      <c r="BW19" s="27"/>
      <c r="BX19" s="27"/>
      <c r="BY19" s="27"/>
      <c r="BZ19" s="27"/>
      <c r="CA19" s="27"/>
      <c r="CB19" s="27"/>
      <c r="CC19" s="27"/>
      <c r="CD19" s="27"/>
      <c r="CE19" s="27"/>
    </row>
    <row r="20" spans="1:83" ht="26.1" customHeight="1" thickTop="1" x14ac:dyDescent="0.25">
      <c r="A20" s="645" t="s">
        <v>110</v>
      </c>
      <c r="B20" s="646"/>
      <c r="C20" s="1260">
        <f>B25/((72*3.1415/59)*(50/3.281))</f>
        <v>2.1738140838594446E-3</v>
      </c>
      <c r="D20" s="1260"/>
      <c r="E20" s="1261"/>
      <c r="F20" s="645" t="s">
        <v>110</v>
      </c>
      <c r="G20" s="646"/>
      <c r="H20" s="1260">
        <f>G25/((72*3.1415/59)*(50/3.281))</f>
        <v>1.7116646329601925E-12</v>
      </c>
      <c r="I20" s="1260"/>
      <c r="J20" s="1261"/>
      <c r="K20" s="645" t="s">
        <v>110</v>
      </c>
      <c r="L20" s="646"/>
      <c r="M20" s="1260">
        <f>L25/((72*3.1415/59)*(50/3.281))</f>
        <v>1.7116646329601924E-8</v>
      </c>
      <c r="N20" s="1260"/>
      <c r="O20" s="1261"/>
      <c r="P20" s="645" t="s">
        <v>110</v>
      </c>
      <c r="Q20" s="646"/>
      <c r="R20" s="1260">
        <f>Q25/((72*3.1415/59)*(50/3.281))</f>
        <v>6.9493584098183816E-3</v>
      </c>
      <c r="S20" s="1260"/>
      <c r="T20" s="1261"/>
      <c r="U20" s="645" t="s">
        <v>110</v>
      </c>
      <c r="V20" s="646"/>
      <c r="W20" s="1260">
        <f>V25/((72*3.1415/59)*(50/3.281))</f>
        <v>1.8691377791925302E-2</v>
      </c>
      <c r="X20" s="1260"/>
      <c r="Y20" s="1261"/>
      <c r="Z20" s="645" t="s">
        <v>110</v>
      </c>
      <c r="AA20" s="646"/>
      <c r="AB20" s="1260">
        <f>AA25/((72*3.1415/59)*(50/3.281))</f>
        <v>8.2502235308681265E-3</v>
      </c>
      <c r="AC20" s="1260"/>
      <c r="AD20" s="1261"/>
      <c r="AE20" s="712"/>
      <c r="AF20" s="710"/>
      <c r="AG20" s="1804"/>
      <c r="AH20" s="1804"/>
      <c r="AI20" s="1804"/>
      <c r="AJ20" s="710"/>
      <c r="AK20" s="710"/>
      <c r="AL20" s="1804"/>
      <c r="AM20" s="1804"/>
      <c r="AN20" s="1804"/>
      <c r="AO20" s="710"/>
      <c r="AP20" s="710"/>
      <c r="AQ20" s="1804"/>
      <c r="AR20" s="1804"/>
      <c r="AS20" s="1804"/>
      <c r="AT20" s="710"/>
      <c r="AU20" s="710"/>
      <c r="AV20" s="1804"/>
      <c r="AW20" s="1804"/>
      <c r="AX20" s="1804"/>
      <c r="AY20" s="710"/>
      <c r="AZ20" s="710"/>
      <c r="BA20" s="1804"/>
      <c r="BB20" s="1804"/>
      <c r="BC20" s="1804"/>
      <c r="BD20" s="710"/>
      <c r="BE20" s="710"/>
      <c r="BF20" s="1804"/>
      <c r="BG20" s="1804"/>
      <c r="BH20" s="1804"/>
      <c r="BI20" s="710"/>
      <c r="BJ20" s="710"/>
      <c r="BK20" s="1804"/>
      <c r="BL20" s="1804"/>
      <c r="BM20" s="1804"/>
      <c r="BN20" s="710"/>
      <c r="BO20" s="710"/>
      <c r="BP20" s="1804"/>
      <c r="BQ20" s="1804"/>
      <c r="BR20" s="1804"/>
    </row>
    <row r="21" spans="1:83" ht="6.75" customHeight="1" x14ac:dyDescent="0.25">
      <c r="A21" s="1256"/>
      <c r="B21" s="1257"/>
      <c r="C21" s="1262"/>
      <c r="D21" s="1262"/>
      <c r="E21" s="1263"/>
      <c r="F21" s="1256"/>
      <c r="G21" s="1257"/>
      <c r="H21" s="1262"/>
      <c r="I21" s="1262"/>
      <c r="J21" s="1263"/>
      <c r="K21" s="1256"/>
      <c r="L21" s="1257"/>
      <c r="M21" s="1262"/>
      <c r="N21" s="1262"/>
      <c r="O21" s="1263"/>
      <c r="P21" s="1256"/>
      <c r="Q21" s="1257"/>
      <c r="R21" s="1262"/>
      <c r="S21" s="1262"/>
      <c r="T21" s="1263"/>
      <c r="U21" s="1256"/>
      <c r="V21" s="1257"/>
      <c r="W21" s="1262"/>
      <c r="X21" s="1262"/>
      <c r="Y21" s="1263"/>
      <c r="Z21" s="1256"/>
      <c r="AA21" s="1257"/>
      <c r="AB21" s="1262"/>
      <c r="AC21" s="1262"/>
      <c r="AD21" s="1263"/>
      <c r="AE21" s="1859"/>
      <c r="AF21" s="719"/>
      <c r="AG21" s="1300"/>
      <c r="AH21" s="1300"/>
      <c r="AI21" s="1300"/>
      <c r="AJ21" s="719"/>
      <c r="AK21" s="719"/>
      <c r="AL21" s="1300"/>
      <c r="AM21" s="1300"/>
      <c r="AN21" s="1300"/>
      <c r="AO21" s="719"/>
      <c r="AP21" s="719"/>
      <c r="AQ21" s="1300"/>
      <c r="AR21" s="1300"/>
      <c r="AS21" s="1300"/>
      <c r="AT21" s="719"/>
      <c r="AU21" s="719"/>
      <c r="AV21" s="1300"/>
      <c r="AW21" s="1300"/>
      <c r="AX21" s="1300"/>
      <c r="AY21" s="719"/>
      <c r="AZ21" s="719"/>
      <c r="BA21" s="1300"/>
      <c r="BB21" s="1300"/>
      <c r="BC21" s="1300"/>
      <c r="BD21" s="719"/>
      <c r="BE21" s="719"/>
      <c r="BF21" s="1300"/>
      <c r="BG21" s="1300"/>
      <c r="BH21" s="1300"/>
      <c r="BI21" s="719"/>
      <c r="BJ21" s="719"/>
      <c r="BK21" s="1300"/>
      <c r="BL21" s="1300"/>
      <c r="BM21" s="1300"/>
      <c r="BN21" s="719"/>
      <c r="BO21" s="719"/>
      <c r="BP21" s="1300"/>
      <c r="BQ21" s="1300"/>
      <c r="BR21" s="1300"/>
    </row>
    <row r="22" spans="1:83" ht="21.95" customHeight="1" x14ac:dyDescent="0.25">
      <c r="A22" s="1256"/>
      <c r="B22" s="1257"/>
      <c r="C22" s="1262"/>
      <c r="D22" s="1262"/>
      <c r="E22" s="1263"/>
      <c r="F22" s="1256"/>
      <c r="G22" s="1257"/>
      <c r="H22" s="1262"/>
      <c r="I22" s="1262"/>
      <c r="J22" s="1263"/>
      <c r="K22" s="1256"/>
      <c r="L22" s="1257"/>
      <c r="M22" s="1262"/>
      <c r="N22" s="1262"/>
      <c r="O22" s="1263"/>
      <c r="P22" s="1256"/>
      <c r="Q22" s="1257"/>
      <c r="R22" s="1262"/>
      <c r="S22" s="1262"/>
      <c r="T22" s="1263"/>
      <c r="U22" s="1256"/>
      <c r="V22" s="1257"/>
      <c r="W22" s="1262"/>
      <c r="X22" s="1262"/>
      <c r="Y22" s="1263"/>
      <c r="Z22" s="1256"/>
      <c r="AA22" s="1257"/>
      <c r="AB22" s="1262"/>
      <c r="AC22" s="1262"/>
      <c r="AD22" s="1263"/>
      <c r="AE22" s="1859"/>
      <c r="AF22" s="719"/>
      <c r="AG22" s="1300"/>
      <c r="AH22" s="1300"/>
      <c r="AI22" s="1300"/>
      <c r="AJ22" s="719"/>
      <c r="AK22" s="719"/>
      <c r="AL22" s="1300"/>
      <c r="AM22" s="1300"/>
      <c r="AN22" s="1300"/>
      <c r="AO22" s="719"/>
      <c r="AP22" s="719"/>
      <c r="AQ22" s="1300"/>
      <c r="AR22" s="1300"/>
      <c r="AS22" s="1300"/>
      <c r="AT22" s="719"/>
      <c r="AU22" s="719"/>
      <c r="AV22" s="1300"/>
      <c r="AW22" s="1300"/>
      <c r="AX22" s="1300"/>
      <c r="AY22" s="719"/>
      <c r="AZ22" s="719"/>
      <c r="BA22" s="1300"/>
      <c r="BB22" s="1300"/>
      <c r="BC22" s="1300"/>
      <c r="BD22" s="719"/>
      <c r="BE22" s="719"/>
      <c r="BF22" s="1300"/>
      <c r="BG22" s="1300"/>
      <c r="BH22" s="1300"/>
      <c r="BI22" s="719"/>
      <c r="BJ22" s="719"/>
      <c r="BK22" s="1300"/>
      <c r="BL22" s="1300"/>
      <c r="BM22" s="1300"/>
      <c r="BN22" s="719"/>
      <c r="BO22" s="719"/>
      <c r="BP22" s="1300"/>
      <c r="BQ22" s="1300"/>
      <c r="BR22" s="1300"/>
    </row>
    <row r="23" spans="1:83" ht="6" customHeight="1" x14ac:dyDescent="0.25">
      <c r="A23" s="1258"/>
      <c r="B23" s="1259"/>
      <c r="C23" s="1264"/>
      <c r="D23" s="1264"/>
      <c r="E23" s="1265"/>
      <c r="F23" s="1258"/>
      <c r="G23" s="1259"/>
      <c r="H23" s="1264"/>
      <c r="I23" s="1264"/>
      <c r="J23" s="1265"/>
      <c r="K23" s="1258"/>
      <c r="L23" s="1259"/>
      <c r="M23" s="1264"/>
      <c r="N23" s="1264"/>
      <c r="O23" s="1265"/>
      <c r="P23" s="1258"/>
      <c r="Q23" s="1259"/>
      <c r="R23" s="1264"/>
      <c r="S23" s="1264"/>
      <c r="T23" s="1265"/>
      <c r="U23" s="1258"/>
      <c r="V23" s="1259"/>
      <c r="W23" s="1264"/>
      <c r="X23" s="1264"/>
      <c r="Y23" s="1265"/>
      <c r="Z23" s="1258"/>
      <c r="AA23" s="1259"/>
      <c r="AB23" s="1264"/>
      <c r="AC23" s="1264"/>
      <c r="AD23" s="1265"/>
      <c r="AE23" s="1859"/>
      <c r="AF23" s="719"/>
      <c r="AG23" s="1300"/>
      <c r="AH23" s="1300"/>
      <c r="AI23" s="1300"/>
      <c r="AJ23" s="719"/>
      <c r="AK23" s="719"/>
      <c r="AL23" s="1300"/>
      <c r="AM23" s="1300"/>
      <c r="AN23" s="1300"/>
      <c r="AO23" s="719"/>
      <c r="AP23" s="719"/>
      <c r="AQ23" s="1300"/>
      <c r="AR23" s="1300"/>
      <c r="AS23" s="1300"/>
      <c r="AT23" s="719"/>
      <c r="AU23" s="719"/>
      <c r="AV23" s="1300"/>
      <c r="AW23" s="1300"/>
      <c r="AX23" s="1300"/>
      <c r="AY23" s="719"/>
      <c r="AZ23" s="719"/>
      <c r="BA23" s="1300"/>
      <c r="BB23" s="1300"/>
      <c r="BC23" s="1300"/>
      <c r="BD23" s="719"/>
      <c r="BE23" s="719"/>
      <c r="BF23" s="1300"/>
      <c r="BG23" s="1300"/>
      <c r="BH23" s="1300"/>
      <c r="BI23" s="719"/>
      <c r="BJ23" s="719"/>
      <c r="BK23" s="1300"/>
      <c r="BL23" s="1300"/>
      <c r="BM23" s="1300"/>
      <c r="BN23" s="719"/>
      <c r="BO23" s="719"/>
      <c r="BP23" s="1300"/>
      <c r="BQ23" s="1300"/>
      <c r="BR23" s="1300"/>
    </row>
    <row r="24" spans="1:83" s="22" customFormat="1" ht="80.099999999999994" customHeight="1" x14ac:dyDescent="1.35">
      <c r="A24" s="639" t="s">
        <v>131</v>
      </c>
      <c r="B24" s="588">
        <v>43</v>
      </c>
      <c r="C24" s="589"/>
      <c r="D24" s="589"/>
      <c r="E24" s="590"/>
      <c r="F24" s="639" t="s">
        <v>131</v>
      </c>
      <c r="G24" s="588">
        <v>44</v>
      </c>
      <c r="H24" s="589"/>
      <c r="I24" s="589"/>
      <c r="J24" s="590"/>
      <c r="K24" s="639" t="s">
        <v>131</v>
      </c>
      <c r="L24" s="588">
        <v>45</v>
      </c>
      <c r="M24" s="589"/>
      <c r="N24" s="589"/>
      <c r="O24" s="590"/>
      <c r="P24" s="639" t="s">
        <v>131</v>
      </c>
      <c r="Q24" s="588">
        <v>46</v>
      </c>
      <c r="R24" s="589"/>
      <c r="S24" s="589"/>
      <c r="T24" s="590"/>
      <c r="U24" s="639" t="s">
        <v>131</v>
      </c>
      <c r="V24" s="588">
        <v>47</v>
      </c>
      <c r="W24" s="589"/>
      <c r="X24" s="589"/>
      <c r="Y24" s="590"/>
      <c r="Z24" s="639" t="s">
        <v>131</v>
      </c>
      <c r="AA24" s="588">
        <v>48</v>
      </c>
      <c r="AB24" s="589"/>
      <c r="AC24" s="589"/>
      <c r="AD24" s="590"/>
      <c r="AE24" s="718"/>
      <c r="AF24" s="1923"/>
      <c r="AG24" s="1923"/>
      <c r="AH24" s="1923"/>
      <c r="AI24" s="1923"/>
      <c r="AJ24" s="716"/>
      <c r="AK24" s="1923"/>
      <c r="AL24" s="1923"/>
      <c r="AM24" s="1923"/>
      <c r="AN24" s="1923"/>
      <c r="AO24" s="716"/>
      <c r="AP24" s="1923"/>
      <c r="AQ24" s="1923"/>
      <c r="AR24" s="1923"/>
      <c r="AS24" s="1923"/>
      <c r="AT24" s="716"/>
      <c r="AU24" s="1923"/>
      <c r="AV24" s="1923"/>
      <c r="AW24" s="1923"/>
      <c r="AX24" s="1923"/>
      <c r="AY24" s="716"/>
      <c r="AZ24" s="1923"/>
      <c r="BA24" s="1923"/>
      <c r="BB24" s="1923"/>
      <c r="BC24" s="1923"/>
      <c r="BD24" s="716"/>
      <c r="BE24" s="1923"/>
      <c r="BF24" s="1923"/>
      <c r="BG24" s="1923"/>
      <c r="BH24" s="1923"/>
      <c r="BI24" s="716"/>
      <c r="BJ24" s="1923"/>
      <c r="BK24" s="1923"/>
      <c r="BL24" s="1923"/>
      <c r="BM24" s="1923"/>
      <c r="BN24" s="716"/>
      <c r="BO24" s="1923"/>
      <c r="BP24" s="1923"/>
      <c r="BQ24" s="1923"/>
      <c r="BR24" s="1923"/>
    </row>
    <row r="25" spans="1:83" ht="27" customHeight="1" thickBot="1" x14ac:dyDescent="0.3">
      <c r="A25" s="640"/>
      <c r="B25" s="61">
        <v>0.127</v>
      </c>
      <c r="C25" s="62" t="s">
        <v>113</v>
      </c>
      <c r="D25" s="63"/>
      <c r="E25" s="64" t="s">
        <v>114</v>
      </c>
      <c r="F25" s="640"/>
      <c r="G25" s="61">
        <v>1E-10</v>
      </c>
      <c r="H25" s="62" t="s">
        <v>113</v>
      </c>
      <c r="I25" s="63">
        <v>1</v>
      </c>
      <c r="J25" s="64" t="s">
        <v>114</v>
      </c>
      <c r="K25" s="640"/>
      <c r="L25" s="61">
        <v>9.9999999999999995E-7</v>
      </c>
      <c r="M25" s="62" t="s">
        <v>113</v>
      </c>
      <c r="N25" s="63">
        <v>1</v>
      </c>
      <c r="O25" s="64" t="s">
        <v>114</v>
      </c>
      <c r="P25" s="640"/>
      <c r="Q25" s="61">
        <v>0.40600000000000003</v>
      </c>
      <c r="R25" s="62" t="s">
        <v>113</v>
      </c>
      <c r="S25" s="63"/>
      <c r="T25" s="64" t="s">
        <v>114</v>
      </c>
      <c r="U25" s="640"/>
      <c r="V25" s="61">
        <v>1.0920000000000001</v>
      </c>
      <c r="W25" s="62" t="s">
        <v>113</v>
      </c>
      <c r="X25" s="63">
        <v>1</v>
      </c>
      <c r="Y25" s="64" t="s">
        <v>114</v>
      </c>
      <c r="Z25" s="640"/>
      <c r="AA25" s="61">
        <v>0.48199999999999998</v>
      </c>
      <c r="AB25" s="62" t="s">
        <v>113</v>
      </c>
      <c r="AC25" s="63">
        <v>1</v>
      </c>
      <c r="AD25" s="64" t="s">
        <v>114</v>
      </c>
      <c r="AE25" s="718"/>
      <c r="AF25" s="32"/>
      <c r="AG25" s="33"/>
      <c r="AH25" s="34"/>
      <c r="AI25" s="35"/>
      <c r="AJ25" s="716"/>
      <c r="AK25" s="32"/>
      <c r="AL25" s="33"/>
      <c r="AM25" s="34"/>
      <c r="AN25" s="35"/>
      <c r="AO25" s="716"/>
      <c r="AP25" s="32"/>
      <c r="AQ25" s="33"/>
      <c r="AR25" s="34"/>
      <c r="AS25" s="35"/>
      <c r="AT25" s="716"/>
      <c r="AU25" s="32"/>
      <c r="AV25" s="33"/>
      <c r="AW25" s="34"/>
      <c r="AX25" s="35"/>
      <c r="AY25" s="716"/>
      <c r="AZ25" s="32"/>
      <c r="BA25" s="33"/>
      <c r="BB25" s="34"/>
      <c r="BC25" s="35"/>
      <c r="BD25" s="716"/>
      <c r="BE25" s="32"/>
      <c r="BF25" s="33"/>
      <c r="BG25" s="34"/>
      <c r="BH25" s="35"/>
      <c r="BI25" s="716"/>
      <c r="BJ25" s="32"/>
      <c r="BK25" s="33"/>
      <c r="BL25" s="34"/>
      <c r="BM25" s="35"/>
      <c r="BN25" s="716"/>
      <c r="BO25" s="32"/>
      <c r="BP25" s="33"/>
      <c r="BQ25" s="34"/>
      <c r="BR25" s="35"/>
      <c r="BW25" s="27"/>
      <c r="BX25" s="27"/>
      <c r="BY25" s="27"/>
      <c r="BZ25" s="27"/>
      <c r="CA25" s="27"/>
      <c r="CB25" s="27"/>
      <c r="CC25" s="27"/>
      <c r="CD25" s="27"/>
      <c r="CE25" s="27"/>
    </row>
    <row r="26" spans="1:83" ht="106.5" customHeight="1" thickTop="1" x14ac:dyDescent="0.25">
      <c r="A26" s="118"/>
      <c r="B26" s="118"/>
      <c r="C26" s="118"/>
      <c r="D26" s="118"/>
      <c r="E26" s="118"/>
      <c r="F26" s="118"/>
      <c r="G26" s="118"/>
      <c r="H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4"/>
      <c r="BK26" s="44"/>
      <c r="BL26" s="44"/>
      <c r="BM26" s="44"/>
      <c r="BN26" s="44"/>
      <c r="BO26" s="44"/>
      <c r="BP26" s="44"/>
      <c r="BQ26" s="44"/>
      <c r="BR26" s="44"/>
    </row>
    <row r="27" spans="1:83" ht="127.5" customHeight="1" x14ac:dyDescent="0.25">
      <c r="A27" s="44"/>
      <c r="B27" s="44"/>
      <c r="C27" s="44"/>
      <c r="D27" s="44"/>
      <c r="E27" s="44"/>
      <c r="F27" s="44"/>
      <c r="G27" s="44"/>
      <c r="H27" s="44"/>
      <c r="M27" s="44"/>
      <c r="N27" s="44"/>
      <c r="Q27" s="1468" cm="1">
        <f t="array" aca="1" ref="Q27" ca="1">SUM(COUNTIF(INDIRECT({"B6","G6","L6","Q6","V6","AA6","AF6","AK6","AP6","AU6","AZ6","BE6","BJ6","BO6","B12","G12","L12","Q12","V12","AA12","AF12","AK12","AP12","AU12","AZ12","BE12","BJ12","BO12","B18","G18","L18","Q18","V18","AA18","AF18","AK18","AP18","AU18","AZ18","BE18","BJ18","BO18","B24","G24","L24","Q24","V24","AA24"}),"&gt;0"))</f>
        <v>48</v>
      </c>
      <c r="R27" s="1468"/>
      <c r="S27" s="1468"/>
      <c r="T27" s="1468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4"/>
      <c r="BK27" s="44"/>
      <c r="BL27" s="44"/>
      <c r="BM27" s="44"/>
      <c r="BN27" s="44"/>
      <c r="BO27" s="44"/>
      <c r="BP27" s="44"/>
      <c r="BQ27" s="44"/>
      <c r="BR27" s="44"/>
    </row>
    <row r="28" spans="1:83" ht="127.5" customHeight="1" x14ac:dyDescent="0.25">
      <c r="A28" s="44"/>
      <c r="B28" s="44"/>
      <c r="C28" s="44"/>
      <c r="D28" s="44"/>
      <c r="E28" s="44"/>
      <c r="F28" s="44"/>
      <c r="G28" s="44"/>
      <c r="H28" s="44"/>
      <c r="M28" s="44"/>
      <c r="N28" s="44"/>
      <c r="O28" s="48"/>
      <c r="P28" s="48"/>
      <c r="Q28" s="1462" cm="1">
        <f t="array" aca="1" ref="Q28" ca="1">SUM(COUNTIF(INDIRECT({"B7","G7","L7","Q7","V7","AA7","AF7","AK7","AP7","AU7","AZ7","BE7","BJ7","BO7","B13","G13","L13","Q13","V13","AA13","AF13","AK13","AP13","AU13","AZ13","BE13","BJ13","BO13","B19","G19","L19","Q19","V19","AA19","AF19","AK19","AP19","AU19","AZ19","BE19","BJ19","BO19","B25","G25","L25","Q25","V25","AA25"}),"&gt;0"))</f>
        <v>48</v>
      </c>
      <c r="R28" s="1462"/>
      <c r="S28" s="1462"/>
      <c r="T28" s="1462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  <c r="BM28" s="44"/>
      <c r="BN28" s="44"/>
      <c r="BO28" s="44"/>
      <c r="BP28" s="44"/>
      <c r="BQ28" s="44"/>
      <c r="BR28" s="44"/>
    </row>
    <row r="29" spans="1:83" ht="66.75" customHeight="1" x14ac:dyDescent="0.25">
      <c r="A29" s="44"/>
      <c r="B29" s="44"/>
      <c r="C29" s="44"/>
      <c r="D29" s="44"/>
      <c r="E29" s="44"/>
      <c r="F29" s="44"/>
      <c r="G29" s="44"/>
      <c r="H29" s="44"/>
      <c r="I29" s="71"/>
      <c r="J29" s="71"/>
      <c r="K29" s="71"/>
      <c r="L29" s="44"/>
      <c r="M29" s="44"/>
      <c r="N29" s="44"/>
      <c r="O29" s="44"/>
      <c r="P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  <c r="BC29" s="44"/>
      <c r="BD29" s="44"/>
      <c r="BE29" s="44"/>
      <c r="BF29" s="44"/>
      <c r="BG29" s="44"/>
      <c r="BH29" s="44"/>
      <c r="BI29" s="44"/>
      <c r="BJ29" s="44"/>
      <c r="BK29" s="44"/>
      <c r="BL29" s="44"/>
      <c r="BM29" s="44"/>
      <c r="BN29" s="44"/>
      <c r="BO29" s="44"/>
      <c r="BP29" s="44"/>
      <c r="BQ29" s="44"/>
      <c r="BR29" s="44"/>
    </row>
    <row r="30" spans="1:83" s="22" customFormat="1" ht="50.25" customHeight="1" x14ac:dyDescent="1.35">
      <c r="A30" s="44"/>
      <c r="B30" s="44"/>
      <c r="C30" s="44"/>
      <c r="D30" s="44"/>
      <c r="E30" s="44"/>
      <c r="F30" s="44"/>
      <c r="G30" s="44"/>
      <c r="H30" s="44"/>
      <c r="I30" s="71"/>
      <c r="J30" s="71"/>
      <c r="K30" s="71"/>
      <c r="L30" s="44"/>
      <c r="M30" s="44"/>
      <c r="N30" s="44"/>
      <c r="O30" s="44"/>
      <c r="P30" s="44"/>
      <c r="U30" s="44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37"/>
      <c r="AI30" s="38"/>
      <c r="AJ30" s="39"/>
      <c r="AK30" s="40"/>
      <c r="AL30" s="41"/>
      <c r="AM30" s="37"/>
      <c r="AN30" s="38"/>
      <c r="AO30" s="39"/>
      <c r="AP30" s="40"/>
      <c r="AQ30" s="41"/>
      <c r="AR30" s="37"/>
      <c r="AS30" s="38"/>
      <c r="AT30" s="39"/>
      <c r="AU30" s="40"/>
      <c r="AV30" s="41"/>
      <c r="AW30" s="37"/>
      <c r="AX30" s="38"/>
      <c r="AY30" s="39"/>
      <c r="AZ30" s="40"/>
      <c r="BA30" s="41"/>
      <c r="BB30" s="37"/>
      <c r="BC30" s="38"/>
      <c r="BD30" s="39"/>
      <c r="BE30" s="40"/>
      <c r="BF30" s="41"/>
      <c r="BG30" s="37"/>
      <c r="BH30" s="38"/>
      <c r="BI30" s="39"/>
      <c r="BJ30" s="40"/>
      <c r="BK30" s="41"/>
      <c r="BL30" s="37"/>
      <c r="BM30" s="38"/>
      <c r="BN30" s="39"/>
      <c r="BO30" s="40"/>
      <c r="BP30" s="41"/>
      <c r="BQ30" s="44"/>
      <c r="BR30" s="44"/>
    </row>
    <row r="31" spans="1:83" ht="15" hidden="1" customHeight="1" x14ac:dyDescent="0.25">
      <c r="A31" s="44"/>
      <c r="B31" s="44"/>
      <c r="C31" s="44"/>
      <c r="D31" s="44"/>
      <c r="E31" s="44"/>
      <c r="F31" s="44"/>
      <c r="G31" s="44"/>
      <c r="H31" s="44"/>
      <c r="I31" s="71"/>
      <c r="J31" s="71"/>
      <c r="K31" s="71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697" t="s">
        <v>116</v>
      </c>
      <c r="W31" s="697"/>
      <c r="X31" s="697"/>
      <c r="Y31" s="697"/>
      <c r="Z31" s="697"/>
      <c r="AA31" s="697"/>
      <c r="AB31" s="697"/>
      <c r="AC31" s="697"/>
      <c r="AD31" s="697"/>
      <c r="AE31" s="697"/>
      <c r="AF31" s="697"/>
      <c r="AG31" s="697"/>
      <c r="AH31" s="697" t="s">
        <v>117</v>
      </c>
      <c r="AI31" s="697"/>
      <c r="AJ31" s="697"/>
      <c r="AK31" s="697"/>
      <c r="AL31" s="697"/>
      <c r="AM31" s="697"/>
      <c r="AN31" s="697"/>
      <c r="AO31" s="697"/>
      <c r="AP31" s="697"/>
      <c r="AQ31" s="697"/>
      <c r="AR31" s="46"/>
      <c r="AS31" s="698" t="s">
        <v>118</v>
      </c>
      <c r="AT31" s="698"/>
      <c r="AU31" s="698"/>
      <c r="AV31" s="698"/>
      <c r="AW31" s="698"/>
      <c r="AX31" s="698"/>
      <c r="AY31" s="698"/>
      <c r="AZ31" s="698"/>
      <c r="BA31" s="698"/>
      <c r="BB31" s="698"/>
      <c r="BC31" s="698"/>
      <c r="BD31" s="698"/>
      <c r="BE31" s="699" t="s">
        <v>119</v>
      </c>
      <c r="BF31" s="699"/>
      <c r="BG31" s="699"/>
      <c r="BH31" s="699"/>
      <c r="BI31" s="699"/>
      <c r="BJ31" s="700">
        <f>D7+I7+N7+S7+X7+AC7+AH7+AM7+AR7+AW7+BB7+BG7+BL7+BQ7+AC13+X13+S13+N13+I13+D13+AH13+AM13+AR13+AW13+BB13+BG13+BL13+BQ13+D19+I19+N19+S19+X19+AC19+AH19+AM19+AR19+AW19+BB19+BG19+BL19+BQ19+D25+I25+N25+S25+X25+AC25</f>
        <v>29</v>
      </c>
      <c r="BK31" s="700"/>
      <c r="BL31" s="700"/>
      <c r="BM31" s="700"/>
      <c r="BN31" s="701" t="s">
        <v>120</v>
      </c>
      <c r="BO31" s="701"/>
      <c r="BP31" s="701"/>
      <c r="BQ31" s="44"/>
      <c r="BR31" s="44"/>
      <c r="BW31" s="27"/>
      <c r="BX31" s="27"/>
      <c r="BY31" s="27"/>
      <c r="BZ31" s="27"/>
      <c r="CA31" s="27"/>
      <c r="CB31" s="27"/>
      <c r="CC31" s="27"/>
      <c r="CD31" s="27"/>
      <c r="CE31" s="27"/>
    </row>
    <row r="32" spans="1:83" ht="6.75" hidden="1" customHeight="1" x14ac:dyDescent="0.25">
      <c r="A32" s="44"/>
      <c r="B32" s="44"/>
      <c r="C32" s="44"/>
      <c r="D32" s="44"/>
      <c r="E32" s="44"/>
      <c r="F32" s="44"/>
      <c r="G32" s="44"/>
      <c r="H32" s="44"/>
      <c r="I32" s="71"/>
      <c r="J32" s="71"/>
      <c r="K32" s="71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697"/>
      <c r="W32" s="697"/>
      <c r="X32" s="697"/>
      <c r="Y32" s="697"/>
      <c r="Z32" s="697"/>
      <c r="AA32" s="697"/>
      <c r="AB32" s="697"/>
      <c r="AC32" s="697"/>
      <c r="AD32" s="697"/>
      <c r="AE32" s="697"/>
      <c r="AF32" s="697"/>
      <c r="AG32" s="697"/>
      <c r="AH32" s="697"/>
      <c r="AI32" s="697"/>
      <c r="AJ32" s="697"/>
      <c r="AK32" s="697"/>
      <c r="AL32" s="697"/>
      <c r="AM32" s="697"/>
      <c r="AN32" s="697"/>
      <c r="AO32" s="697"/>
      <c r="AP32" s="697"/>
      <c r="AQ32" s="697"/>
      <c r="AR32" s="46"/>
      <c r="AS32" s="698"/>
      <c r="AT32" s="698"/>
      <c r="AU32" s="698"/>
      <c r="AV32" s="698"/>
      <c r="AW32" s="698"/>
      <c r="AX32" s="698"/>
      <c r="AY32" s="698"/>
      <c r="AZ32" s="698"/>
      <c r="BA32" s="698"/>
      <c r="BB32" s="698"/>
      <c r="BC32" s="698"/>
      <c r="BD32" s="698"/>
      <c r="BE32" s="699"/>
      <c r="BF32" s="699"/>
      <c r="BG32" s="699"/>
      <c r="BH32" s="699"/>
      <c r="BI32" s="699"/>
      <c r="BJ32" s="700"/>
      <c r="BK32" s="700"/>
      <c r="BL32" s="700"/>
      <c r="BM32" s="700"/>
      <c r="BN32" s="701"/>
      <c r="BO32" s="701"/>
      <c r="BP32" s="701"/>
      <c r="BQ32" s="44"/>
      <c r="BR32" s="44"/>
    </row>
    <row r="33" spans="1:83" ht="20.25" customHeight="1" x14ac:dyDescent="0.25">
      <c r="A33" s="44"/>
      <c r="B33" s="44"/>
      <c r="C33" s="44"/>
      <c r="D33" s="44"/>
      <c r="E33" s="44"/>
      <c r="F33" s="44"/>
      <c r="G33" s="44"/>
      <c r="H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697"/>
      <c r="W33" s="697"/>
      <c r="X33" s="697"/>
      <c r="Y33" s="697"/>
      <c r="Z33" s="697"/>
      <c r="AA33" s="697"/>
      <c r="AB33" s="697"/>
      <c r="AC33" s="697"/>
      <c r="AD33" s="697"/>
      <c r="AE33" s="697"/>
      <c r="AF33" s="697"/>
      <c r="AG33" s="697"/>
      <c r="AH33" s="697"/>
      <c r="AI33" s="697"/>
      <c r="AJ33" s="697"/>
      <c r="AK33" s="697"/>
      <c r="AL33" s="697"/>
      <c r="AM33" s="697"/>
      <c r="AN33" s="697"/>
      <c r="AO33" s="697"/>
      <c r="AP33" s="697"/>
      <c r="AQ33" s="697"/>
      <c r="AR33" s="46"/>
      <c r="AS33" s="698"/>
      <c r="AT33" s="698"/>
      <c r="AU33" s="698"/>
      <c r="AV33" s="698"/>
      <c r="AW33" s="698"/>
      <c r="AX33" s="698"/>
      <c r="AY33" s="698"/>
      <c r="AZ33" s="698"/>
      <c r="BA33" s="698"/>
      <c r="BB33" s="698"/>
      <c r="BC33" s="698"/>
      <c r="BD33" s="698"/>
      <c r="BE33" s="699"/>
      <c r="BF33" s="699"/>
      <c r="BG33" s="699"/>
      <c r="BH33" s="699"/>
      <c r="BI33" s="699"/>
      <c r="BJ33" s="700"/>
      <c r="BK33" s="700"/>
      <c r="BL33" s="700"/>
      <c r="BM33" s="700"/>
      <c r="BN33" s="701"/>
      <c r="BO33" s="701"/>
      <c r="BP33" s="701"/>
      <c r="BQ33" s="44"/>
      <c r="BR33" s="44"/>
    </row>
    <row r="34" spans="1:83" ht="93" customHeight="1" x14ac:dyDescent="0.25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697"/>
      <c r="W34" s="697"/>
      <c r="X34" s="697"/>
      <c r="Y34" s="697"/>
      <c r="Z34" s="697"/>
      <c r="AA34" s="697"/>
      <c r="AB34" s="697"/>
      <c r="AC34" s="697"/>
      <c r="AD34" s="697"/>
      <c r="AE34" s="697"/>
      <c r="AF34" s="697"/>
      <c r="AG34" s="697"/>
      <c r="AH34" s="697"/>
      <c r="AI34" s="697"/>
      <c r="AJ34" s="697"/>
      <c r="AK34" s="697"/>
      <c r="AL34" s="697"/>
      <c r="AM34" s="697"/>
      <c r="AN34" s="697"/>
      <c r="AO34" s="697"/>
      <c r="AP34" s="697"/>
      <c r="AQ34" s="697"/>
      <c r="AR34" s="46"/>
      <c r="AS34" s="698"/>
      <c r="AT34" s="698"/>
      <c r="AU34" s="698"/>
      <c r="AV34" s="698"/>
      <c r="AW34" s="698"/>
      <c r="AX34" s="698"/>
      <c r="AY34" s="698"/>
      <c r="AZ34" s="698"/>
      <c r="BA34" s="698"/>
      <c r="BB34" s="698"/>
      <c r="BC34" s="698"/>
      <c r="BD34" s="698"/>
      <c r="BE34" s="699"/>
      <c r="BF34" s="699"/>
      <c r="BG34" s="699"/>
      <c r="BH34" s="699"/>
      <c r="BI34" s="699"/>
      <c r="BJ34" s="700"/>
      <c r="BK34" s="700"/>
      <c r="BL34" s="700"/>
      <c r="BM34" s="700"/>
      <c r="BN34" s="701"/>
      <c r="BO34" s="701"/>
      <c r="BP34" s="701"/>
      <c r="BQ34" s="44"/>
      <c r="BR34" s="44"/>
    </row>
    <row r="35" spans="1:83" ht="6" customHeight="1" x14ac:dyDescent="0.25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722" t="s">
        <v>13</v>
      </c>
      <c r="W35" s="722"/>
      <c r="X35" s="722"/>
      <c r="Y35" s="722"/>
      <c r="Z35" s="722"/>
      <c r="AA35" s="722"/>
      <c r="AB35" s="722"/>
      <c r="AC35" s="722"/>
      <c r="AD35" s="722"/>
      <c r="AE35" s="722"/>
      <c r="AF35" s="722"/>
      <c r="AG35" s="722"/>
      <c r="AH35" s="723">
        <f>AS35-AD87</f>
        <v>-1.1979889000031108E-3</v>
      </c>
      <c r="AI35" s="723"/>
      <c r="AJ35" s="723"/>
      <c r="AK35" s="723"/>
      <c r="AL35" s="723"/>
      <c r="AM35" s="723"/>
      <c r="AN35" s="723"/>
      <c r="AO35" s="723"/>
      <c r="AP35" s="723"/>
      <c r="AQ35" s="723"/>
      <c r="AR35" s="723"/>
      <c r="AS35" s="707">
        <f>B7+G7+L7+Q7+V7+AA7+AF7+AK7+AP7+AU7+AZ7+BE7+BJ7+BO7+B13+G13+L13+Q13+V13+AA13+AF13+AK13+AP13+AU13+AZ13+BE13+BJ13+BO13+B19+G19+L19+Q19+V19+AA19+AF19+AK19+AP19+AU19+AZ19+BE19+BJ19+BO19+B25+G25+L25+Q25+V25+AA25</f>
        <v>98.808802011099999</v>
      </c>
      <c r="AT35" s="707"/>
      <c r="AU35" s="707"/>
      <c r="AV35" s="707"/>
      <c r="AW35" s="707"/>
      <c r="AX35" s="707"/>
      <c r="AY35" s="707"/>
      <c r="AZ35" s="707"/>
      <c r="BA35" s="707"/>
      <c r="BB35" s="707"/>
      <c r="BC35" s="707"/>
      <c r="BD35" s="707"/>
      <c r="BE35" s="699"/>
      <c r="BF35" s="699"/>
      <c r="BG35" s="699"/>
      <c r="BH35" s="699"/>
      <c r="BI35" s="699"/>
      <c r="BJ35" s="708">
        <f>BJ31*1.5</f>
        <v>43.5</v>
      </c>
      <c r="BK35" s="708"/>
      <c r="BL35" s="708"/>
      <c r="BM35" s="708"/>
      <c r="BN35" s="708"/>
      <c r="BO35" s="708"/>
      <c r="BP35" s="708"/>
      <c r="BQ35" s="44"/>
      <c r="BR35" s="44"/>
    </row>
    <row r="36" spans="1:83" s="22" customFormat="1" ht="80.099999999999994" customHeight="1" x14ac:dyDescent="1.35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722"/>
      <c r="W36" s="722"/>
      <c r="X36" s="722"/>
      <c r="Y36" s="722"/>
      <c r="Z36" s="722"/>
      <c r="AA36" s="722"/>
      <c r="AB36" s="722"/>
      <c r="AC36" s="722"/>
      <c r="AD36" s="722"/>
      <c r="AE36" s="722"/>
      <c r="AF36" s="722"/>
      <c r="AG36" s="722"/>
      <c r="AH36" s="723"/>
      <c r="AI36" s="723"/>
      <c r="AJ36" s="723"/>
      <c r="AK36" s="723"/>
      <c r="AL36" s="723"/>
      <c r="AM36" s="723"/>
      <c r="AN36" s="723"/>
      <c r="AO36" s="723"/>
      <c r="AP36" s="723"/>
      <c r="AQ36" s="723"/>
      <c r="AR36" s="723"/>
      <c r="AS36" s="707"/>
      <c r="AT36" s="707"/>
      <c r="AU36" s="707"/>
      <c r="AV36" s="707"/>
      <c r="AW36" s="707"/>
      <c r="AX36" s="707"/>
      <c r="AY36" s="707"/>
      <c r="AZ36" s="707"/>
      <c r="BA36" s="707"/>
      <c r="BB36" s="707"/>
      <c r="BC36" s="707"/>
      <c r="BD36" s="707"/>
      <c r="BE36" s="699"/>
      <c r="BF36" s="699"/>
      <c r="BG36" s="699"/>
      <c r="BH36" s="699"/>
      <c r="BI36" s="699"/>
      <c r="BJ36" s="708"/>
      <c r="BK36" s="708"/>
      <c r="BL36" s="708"/>
      <c r="BM36" s="708"/>
      <c r="BN36" s="708"/>
      <c r="BO36" s="708"/>
      <c r="BP36" s="708"/>
      <c r="BQ36" s="44"/>
      <c r="BR36" s="44"/>
    </row>
    <row r="37" spans="1:83" ht="27" customHeight="1" x14ac:dyDescent="0.25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1988">
        <v>48</v>
      </c>
      <c r="R37" s="1988"/>
      <c r="S37" s="1988"/>
      <c r="T37" s="1988"/>
      <c r="U37" s="44"/>
      <c r="V37" s="722"/>
      <c r="W37" s="722"/>
      <c r="X37" s="722"/>
      <c r="Y37" s="722"/>
      <c r="Z37" s="722"/>
      <c r="AA37" s="722"/>
      <c r="AB37" s="722"/>
      <c r="AC37" s="722"/>
      <c r="AD37" s="722"/>
      <c r="AE37" s="722"/>
      <c r="AF37" s="722"/>
      <c r="AG37" s="722"/>
      <c r="AH37" s="723"/>
      <c r="AI37" s="723"/>
      <c r="AJ37" s="723"/>
      <c r="AK37" s="723"/>
      <c r="AL37" s="723"/>
      <c r="AM37" s="723"/>
      <c r="AN37" s="723"/>
      <c r="AO37" s="723"/>
      <c r="AP37" s="723"/>
      <c r="AQ37" s="723"/>
      <c r="AR37" s="723"/>
      <c r="AS37" s="707"/>
      <c r="AT37" s="707"/>
      <c r="AU37" s="707"/>
      <c r="AV37" s="707"/>
      <c r="AW37" s="707"/>
      <c r="AX37" s="707"/>
      <c r="AY37" s="707"/>
      <c r="AZ37" s="707"/>
      <c r="BA37" s="707"/>
      <c r="BB37" s="707"/>
      <c r="BC37" s="707"/>
      <c r="BD37" s="707"/>
      <c r="BE37" s="699"/>
      <c r="BF37" s="699"/>
      <c r="BG37" s="699"/>
      <c r="BH37" s="699"/>
      <c r="BI37" s="699"/>
      <c r="BJ37" s="708"/>
      <c r="BK37" s="708"/>
      <c r="BL37" s="708"/>
      <c r="BM37" s="708"/>
      <c r="BN37" s="708"/>
      <c r="BO37" s="708"/>
      <c r="BP37" s="708"/>
      <c r="BQ37" s="44"/>
      <c r="BR37" s="44"/>
      <c r="BW37" s="27"/>
      <c r="BX37" s="27"/>
      <c r="BY37" s="27"/>
      <c r="BZ37" s="27"/>
      <c r="CA37" s="27"/>
      <c r="CB37" s="27"/>
      <c r="CC37" s="27"/>
      <c r="CD37" s="27"/>
      <c r="CE37" s="27"/>
    </row>
    <row r="38" spans="1:83" ht="26.1" customHeight="1" x14ac:dyDescent="0.25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1988"/>
      <c r="R38" s="1988"/>
      <c r="S38" s="1988"/>
      <c r="T38" s="1988"/>
      <c r="U38" s="44"/>
      <c r="V38" s="722"/>
      <c r="W38" s="722"/>
      <c r="X38" s="722"/>
      <c r="Y38" s="722"/>
      <c r="Z38" s="722"/>
      <c r="AA38" s="722"/>
      <c r="AB38" s="722"/>
      <c r="AC38" s="722"/>
      <c r="AD38" s="722"/>
      <c r="AE38" s="722"/>
      <c r="AF38" s="722"/>
      <c r="AG38" s="722"/>
      <c r="AH38" s="723"/>
      <c r="AI38" s="723"/>
      <c r="AJ38" s="723"/>
      <c r="AK38" s="723"/>
      <c r="AL38" s="723"/>
      <c r="AM38" s="723"/>
      <c r="AN38" s="723"/>
      <c r="AO38" s="723"/>
      <c r="AP38" s="723"/>
      <c r="AQ38" s="723"/>
      <c r="AR38" s="723"/>
      <c r="AS38" s="707"/>
      <c r="AT38" s="707"/>
      <c r="AU38" s="707"/>
      <c r="AV38" s="707"/>
      <c r="AW38" s="707"/>
      <c r="AX38" s="707"/>
      <c r="AY38" s="707"/>
      <c r="AZ38" s="707"/>
      <c r="BA38" s="707"/>
      <c r="BB38" s="707"/>
      <c r="BC38" s="707"/>
      <c r="BD38" s="707"/>
      <c r="BE38" s="699"/>
      <c r="BF38" s="699"/>
      <c r="BG38" s="699"/>
      <c r="BH38" s="699"/>
      <c r="BI38" s="699"/>
      <c r="BJ38" s="708"/>
      <c r="BK38" s="708"/>
      <c r="BL38" s="708"/>
      <c r="BM38" s="708"/>
      <c r="BN38" s="708"/>
      <c r="BO38" s="708"/>
      <c r="BP38" s="708"/>
      <c r="BQ38" s="44"/>
      <c r="BR38" s="44"/>
    </row>
    <row r="39" spans="1:83" ht="6.75" customHeight="1" x14ac:dyDescent="0.25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1988"/>
      <c r="R39" s="1988"/>
      <c r="S39" s="1988"/>
      <c r="T39" s="1988"/>
      <c r="U39" s="44"/>
      <c r="V39" s="722"/>
      <c r="W39" s="722"/>
      <c r="X39" s="722"/>
      <c r="Y39" s="722"/>
      <c r="Z39" s="722"/>
      <c r="AA39" s="722"/>
      <c r="AB39" s="722"/>
      <c r="AC39" s="722"/>
      <c r="AD39" s="722"/>
      <c r="AE39" s="722"/>
      <c r="AF39" s="722"/>
      <c r="AG39" s="722"/>
      <c r="AH39" s="723"/>
      <c r="AI39" s="723"/>
      <c r="AJ39" s="723"/>
      <c r="AK39" s="723"/>
      <c r="AL39" s="723"/>
      <c r="AM39" s="723"/>
      <c r="AN39" s="723"/>
      <c r="AO39" s="723"/>
      <c r="AP39" s="723"/>
      <c r="AQ39" s="723"/>
      <c r="AR39" s="723"/>
      <c r="AS39" s="707"/>
      <c r="AT39" s="707"/>
      <c r="AU39" s="707"/>
      <c r="AV39" s="707"/>
      <c r="AW39" s="707"/>
      <c r="AX39" s="707"/>
      <c r="AY39" s="707"/>
      <c r="AZ39" s="707"/>
      <c r="BA39" s="707"/>
      <c r="BB39" s="707"/>
      <c r="BC39" s="707"/>
      <c r="BD39" s="707"/>
      <c r="BE39" s="699"/>
      <c r="BF39" s="699"/>
      <c r="BG39" s="699"/>
      <c r="BH39" s="699"/>
      <c r="BI39" s="699"/>
      <c r="BJ39" s="699" t="s">
        <v>121</v>
      </c>
      <c r="BK39" s="699"/>
      <c r="BL39" s="699"/>
      <c r="BM39" s="699"/>
      <c r="BN39" s="699"/>
      <c r="BO39" s="699"/>
      <c r="BP39" s="699"/>
      <c r="BQ39" s="44"/>
      <c r="BR39" s="44"/>
    </row>
    <row r="40" spans="1:83" ht="21.95" customHeight="1" x14ac:dyDescent="0.25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1988"/>
      <c r="R40" s="1988"/>
      <c r="S40" s="1988"/>
      <c r="T40" s="1988"/>
      <c r="U40" s="44"/>
      <c r="V40" s="722"/>
      <c r="W40" s="722"/>
      <c r="X40" s="722"/>
      <c r="Y40" s="722"/>
      <c r="Z40" s="722"/>
      <c r="AA40" s="722"/>
      <c r="AB40" s="722"/>
      <c r="AC40" s="722"/>
      <c r="AD40" s="722"/>
      <c r="AE40" s="722"/>
      <c r="AF40" s="722"/>
      <c r="AG40" s="722"/>
      <c r="AH40" s="723"/>
      <c r="AI40" s="723"/>
      <c r="AJ40" s="723"/>
      <c r="AK40" s="723"/>
      <c r="AL40" s="723"/>
      <c r="AM40" s="723"/>
      <c r="AN40" s="723"/>
      <c r="AO40" s="723"/>
      <c r="AP40" s="723"/>
      <c r="AQ40" s="723"/>
      <c r="AR40" s="723"/>
      <c r="AS40" s="707"/>
      <c r="AT40" s="707"/>
      <c r="AU40" s="707"/>
      <c r="AV40" s="707"/>
      <c r="AW40" s="707"/>
      <c r="AX40" s="707"/>
      <c r="AY40" s="707"/>
      <c r="AZ40" s="707"/>
      <c r="BA40" s="707"/>
      <c r="BB40" s="707"/>
      <c r="BC40" s="707"/>
      <c r="BD40" s="707"/>
      <c r="BE40" s="699"/>
      <c r="BF40" s="699"/>
      <c r="BG40" s="699"/>
      <c r="BH40" s="699"/>
      <c r="BI40" s="699"/>
      <c r="BJ40" s="699"/>
      <c r="BK40" s="699"/>
      <c r="BL40" s="699"/>
      <c r="BM40" s="699"/>
      <c r="BN40" s="699"/>
      <c r="BO40" s="699"/>
      <c r="BP40" s="699"/>
      <c r="BQ40" s="44"/>
      <c r="BR40" s="44"/>
    </row>
    <row r="41" spans="1:83" ht="6" customHeight="1" x14ac:dyDescent="0.25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1988"/>
      <c r="R41" s="1988"/>
      <c r="S41" s="1988"/>
      <c r="T41" s="1988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44"/>
      <c r="BE41" s="44"/>
      <c r="BF41" s="44"/>
      <c r="BG41" s="44"/>
      <c r="BH41" s="44"/>
      <c r="BI41" s="44"/>
      <c r="BJ41" s="44"/>
      <c r="BK41" s="44"/>
      <c r="BL41" s="44"/>
      <c r="BM41" s="44"/>
      <c r="BN41" s="44"/>
      <c r="BO41" s="44"/>
      <c r="BP41" s="44"/>
      <c r="BQ41" s="44"/>
      <c r="BR41" s="44"/>
    </row>
    <row r="42" spans="1:83" s="22" customFormat="1" ht="38.25" customHeight="1" x14ac:dyDescent="1.35">
      <c r="A42" s="44"/>
      <c r="B42" s="44"/>
      <c r="C42" s="44"/>
      <c r="D42" s="44"/>
      <c r="E42" s="44"/>
      <c r="F42" s="44"/>
      <c r="J42" s="1989"/>
      <c r="K42" s="1989"/>
      <c r="L42" s="1989"/>
      <c r="M42" s="44"/>
      <c r="N42" s="44"/>
      <c r="O42" s="44"/>
      <c r="P42" s="44"/>
      <c r="Q42" s="1988"/>
      <c r="R42" s="1988"/>
      <c r="S42" s="1988"/>
      <c r="T42" s="1988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44"/>
      <c r="BC42" s="44"/>
      <c r="BD42" s="44"/>
      <c r="BE42" s="44"/>
      <c r="BF42" s="44"/>
      <c r="BG42" s="44"/>
      <c r="BH42" s="44"/>
      <c r="BI42" s="44"/>
      <c r="BJ42" s="44"/>
      <c r="BK42" s="44"/>
      <c r="BL42" s="44"/>
      <c r="BM42" s="44"/>
      <c r="BN42" s="44"/>
      <c r="BO42" s="44"/>
      <c r="BP42" s="44"/>
      <c r="BQ42" s="44"/>
      <c r="BR42" s="44"/>
    </row>
    <row r="43" spans="1:83" ht="15" hidden="1" customHeight="1" x14ac:dyDescent="0.25">
      <c r="A43" s="44"/>
      <c r="B43" s="44"/>
      <c r="C43" s="44"/>
      <c r="D43" s="44"/>
      <c r="E43" s="44"/>
      <c r="F43" s="44"/>
      <c r="J43" s="1990"/>
      <c r="K43" s="1990"/>
      <c r="L43" s="1990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44"/>
      <c r="BB43" s="44"/>
      <c r="BC43" s="44"/>
      <c r="BD43" s="44"/>
      <c r="BE43" s="44"/>
      <c r="BF43" s="44"/>
      <c r="BG43" s="44"/>
      <c r="BH43" s="44"/>
      <c r="BI43" s="44"/>
      <c r="BJ43" s="44"/>
      <c r="BK43" s="44"/>
      <c r="BL43" s="44"/>
      <c r="BM43" s="44"/>
      <c r="BN43" s="44"/>
      <c r="BO43" s="44"/>
      <c r="BP43" s="44"/>
      <c r="BQ43" s="44"/>
      <c r="BR43" s="44"/>
      <c r="BW43" s="27"/>
      <c r="BX43" s="27"/>
      <c r="BY43" s="27"/>
      <c r="BZ43" s="27"/>
      <c r="CA43" s="27"/>
      <c r="CB43" s="27"/>
      <c r="CC43" s="27"/>
      <c r="CD43" s="27"/>
      <c r="CE43" s="27"/>
    </row>
    <row r="44" spans="1:83" ht="25.5" hidden="1" customHeight="1" x14ac:dyDescent="0.25">
      <c r="A44" s="44"/>
      <c r="B44" s="44"/>
      <c r="C44" s="44"/>
      <c r="D44" s="44"/>
      <c r="E44" s="44"/>
      <c r="F44" s="44"/>
      <c r="J44" s="1990"/>
      <c r="K44" s="1990"/>
      <c r="L44" s="1990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44"/>
      <c r="BJ44" s="44"/>
      <c r="BK44" s="44"/>
      <c r="BL44" s="44"/>
      <c r="BM44" s="44"/>
      <c r="BN44" s="44"/>
      <c r="BO44" s="44"/>
      <c r="BP44" s="44"/>
      <c r="BQ44" s="44"/>
      <c r="BR44" s="44"/>
    </row>
    <row r="45" spans="1:83" ht="6.75" hidden="1" customHeight="1" x14ac:dyDescent="0.25">
      <c r="A45" s="44"/>
      <c r="B45" s="44"/>
      <c r="C45" s="44"/>
      <c r="D45" s="44"/>
      <c r="E45" s="44"/>
      <c r="F45" s="44"/>
      <c r="J45" s="1990"/>
      <c r="K45" s="1990"/>
      <c r="L45" s="1990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44"/>
      <c r="BJ45" s="44"/>
      <c r="BK45" s="44"/>
      <c r="BL45" s="44"/>
      <c r="BM45" s="44"/>
      <c r="BN45" s="44"/>
      <c r="BO45" s="44"/>
      <c r="BP45" s="44"/>
      <c r="BQ45" s="44"/>
      <c r="BR45" s="44"/>
    </row>
    <row r="46" spans="1:83" ht="21.75" hidden="1" customHeight="1" x14ac:dyDescent="0.25">
      <c r="A46" s="44"/>
      <c r="B46" s="44"/>
      <c r="C46" s="44"/>
      <c r="D46" s="44"/>
      <c r="E46" s="44"/>
      <c r="F46" s="44"/>
      <c r="J46" s="1990"/>
      <c r="K46" s="1990"/>
      <c r="L46" s="1990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44"/>
      <c r="BJ46" s="44"/>
      <c r="BK46" s="44"/>
      <c r="BL46" s="44"/>
      <c r="BM46" s="44"/>
      <c r="BN46" s="44"/>
      <c r="BO46" s="44"/>
      <c r="BP46" s="44"/>
      <c r="BQ46" s="44"/>
      <c r="BR46" s="44"/>
    </row>
    <row r="47" spans="1:83" ht="6" hidden="1" customHeight="1" x14ac:dyDescent="0.25">
      <c r="A47" s="44"/>
      <c r="B47" s="44"/>
      <c r="C47" s="44"/>
      <c r="D47" s="44"/>
      <c r="E47" s="44"/>
      <c r="F47" s="44"/>
      <c r="J47" s="1990"/>
      <c r="K47" s="1990"/>
      <c r="L47" s="1990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44"/>
      <c r="BJ47" s="44"/>
      <c r="BK47" s="44"/>
      <c r="BL47" s="44"/>
      <c r="BM47" s="44"/>
      <c r="BN47" s="44"/>
      <c r="BO47" s="44"/>
      <c r="BP47" s="44"/>
      <c r="BQ47" s="44"/>
      <c r="BR47" s="44"/>
    </row>
    <row r="48" spans="1:83" s="22" customFormat="1" ht="79.5" hidden="1" customHeight="1" x14ac:dyDescent="1.35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4"/>
      <c r="BK48" s="44"/>
      <c r="BL48" s="44"/>
      <c r="BM48" s="44"/>
      <c r="BN48" s="44"/>
      <c r="BO48" s="44"/>
      <c r="BP48" s="44"/>
      <c r="BQ48" s="44"/>
      <c r="BR48" s="44"/>
    </row>
    <row r="49" spans="1:83" ht="15" customHeight="1" x14ac:dyDescent="0.25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4"/>
      <c r="BI49" s="44"/>
      <c r="BJ49" s="44"/>
      <c r="BK49" s="44"/>
      <c r="BL49" s="44"/>
      <c r="BM49" s="44"/>
      <c r="BN49" s="44"/>
      <c r="BO49" s="44"/>
      <c r="BP49" s="44"/>
      <c r="BQ49" s="44"/>
      <c r="BR49" s="44"/>
      <c r="BW49" s="27"/>
      <c r="BX49" s="27"/>
      <c r="BY49" s="27"/>
      <c r="BZ49" s="27"/>
      <c r="CA49" s="27"/>
      <c r="CB49" s="27"/>
      <c r="CC49" s="27"/>
      <c r="CD49" s="27"/>
      <c r="CE49" s="27"/>
    </row>
    <row r="50" spans="1:83" ht="26.1" customHeight="1" x14ac:dyDescent="0.25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</row>
    <row r="51" spans="1:83" ht="6.75" customHeight="1" x14ac:dyDescent="0.25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</row>
    <row r="52" spans="1:83" ht="21.95" customHeight="1" x14ac:dyDescent="0.25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</row>
    <row r="53" spans="1:83" ht="6" customHeight="1" x14ac:dyDescent="0.25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</row>
    <row r="54" spans="1:83" s="22" customFormat="1" ht="80.099999999999994" customHeight="1" x14ac:dyDescent="1.35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</row>
    <row r="55" spans="1:83" ht="15" customHeight="1" x14ac:dyDescent="0.25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W55" s="27"/>
      <c r="BX55" s="27"/>
      <c r="BY55" s="27"/>
      <c r="BZ55" s="27"/>
      <c r="CA55" s="27"/>
      <c r="CB55" s="27"/>
      <c r="CC55" s="27"/>
      <c r="CD55" s="27"/>
      <c r="CE55" s="27"/>
    </row>
    <row r="56" spans="1:83" ht="26.1" customHeight="1" x14ac:dyDescent="0.25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</row>
    <row r="57" spans="1:83" ht="6.75" customHeight="1" x14ac:dyDescent="0.25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</row>
    <row r="58" spans="1:83" ht="21.95" customHeight="1" x14ac:dyDescent="0.25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</row>
    <row r="59" spans="1:83" ht="6" customHeight="1" x14ac:dyDescent="0.25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</row>
    <row r="60" spans="1:83" s="22" customFormat="1" ht="80.099999999999994" customHeight="1" x14ac:dyDescent="1.35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44"/>
      <c r="AM60" s="44"/>
      <c r="AN60" s="44"/>
      <c r="AO60" s="44"/>
      <c r="AP60" s="44"/>
      <c r="AQ60" s="44"/>
      <c r="AR60" s="44"/>
      <c r="AS60" s="44"/>
      <c r="AT60" s="44"/>
      <c r="AU60" s="44"/>
      <c r="AV60" s="44"/>
      <c r="AW60" s="44"/>
      <c r="AX60" s="44"/>
      <c r="AY60" s="44"/>
      <c r="AZ60" s="44"/>
      <c r="BA60" s="44"/>
      <c r="BB60" s="44"/>
      <c r="BC60" s="44"/>
      <c r="BD60" s="44"/>
      <c r="BE60" s="44"/>
      <c r="BF60" s="44"/>
      <c r="BG60" s="44"/>
      <c r="BH60" s="44"/>
      <c r="BI60" s="44"/>
      <c r="BJ60" s="44"/>
      <c r="BK60" s="44"/>
      <c r="BL60" s="44"/>
      <c r="BM60" s="44"/>
      <c r="BN60" s="44"/>
      <c r="BO60" s="44"/>
      <c r="BP60" s="44"/>
      <c r="BQ60" s="44"/>
      <c r="BR60" s="44"/>
    </row>
    <row r="61" spans="1:83" ht="15.75" customHeight="1" thickBot="1" x14ac:dyDescent="0.3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44"/>
      <c r="BC61" s="44"/>
      <c r="BD61" s="44"/>
      <c r="BE61" s="44"/>
      <c r="BF61" s="44"/>
      <c r="BG61" s="44"/>
      <c r="BH61" s="44"/>
      <c r="BI61" s="44"/>
      <c r="BJ61" s="44"/>
      <c r="BK61" s="44"/>
      <c r="BL61" s="44"/>
      <c r="BM61" s="44"/>
      <c r="BN61" s="44"/>
      <c r="BO61" s="44"/>
      <c r="BP61" s="44"/>
      <c r="BQ61" s="44"/>
      <c r="BR61" s="44"/>
      <c r="BW61" s="27"/>
      <c r="BX61" s="27"/>
      <c r="BY61" s="27"/>
      <c r="BZ61" s="27"/>
      <c r="CA61" s="27"/>
      <c r="CB61" s="27"/>
      <c r="CC61" s="27"/>
      <c r="CD61" s="27"/>
      <c r="CE61" s="27"/>
    </row>
    <row r="62" spans="1:83" ht="26.1" hidden="1" customHeight="1" thickTop="1" x14ac:dyDescent="0.25">
      <c r="A62" s="672"/>
      <c r="B62" s="672"/>
      <c r="C62" s="672"/>
      <c r="D62" s="673"/>
      <c r="E62" s="673"/>
      <c r="F62" s="672"/>
      <c r="G62" s="672"/>
      <c r="H62" s="672"/>
      <c r="I62" s="673"/>
      <c r="J62" s="673"/>
      <c r="K62" s="672"/>
      <c r="L62" s="672"/>
      <c r="M62" s="672"/>
      <c r="N62" s="673"/>
      <c r="O62" s="673"/>
      <c r="P62" s="672"/>
      <c r="Q62" s="672"/>
      <c r="R62" s="672"/>
      <c r="S62" s="673"/>
      <c r="T62" s="673"/>
      <c r="U62" s="674"/>
      <c r="V62" s="674"/>
      <c r="W62" s="674"/>
      <c r="X62" s="675"/>
      <c r="Y62" s="675"/>
      <c r="Z62" s="674"/>
      <c r="AA62" s="674"/>
      <c r="AB62" s="674"/>
      <c r="AC62" s="675"/>
      <c r="AD62" s="675"/>
      <c r="AE62" s="674"/>
      <c r="AF62" s="674"/>
      <c r="AG62" s="674"/>
      <c r="AH62" s="675"/>
      <c r="AI62" s="675"/>
      <c r="AJ62" s="674"/>
      <c r="AK62" s="674"/>
      <c r="AL62" s="674"/>
      <c r="AM62" s="675"/>
      <c r="AN62" s="675"/>
      <c r="AO62" s="674"/>
      <c r="AP62" s="674"/>
      <c r="AQ62" s="674"/>
      <c r="AR62" s="675"/>
      <c r="AS62" s="675"/>
      <c r="AT62" s="674"/>
      <c r="AU62" s="674"/>
      <c r="AV62" s="674"/>
      <c r="AW62" s="675"/>
      <c r="AX62" s="675"/>
      <c r="AY62" s="674"/>
      <c r="AZ62" s="674"/>
      <c r="BA62" s="674"/>
      <c r="BB62" s="675"/>
      <c r="BC62" s="675"/>
      <c r="BD62" s="674"/>
      <c r="BE62" s="674"/>
      <c r="BF62" s="674"/>
      <c r="BG62" s="675"/>
      <c r="BH62" s="675"/>
      <c r="BI62" s="674"/>
      <c r="BJ62" s="674"/>
      <c r="BK62" s="674"/>
      <c r="BL62" s="675"/>
      <c r="BM62" s="675"/>
      <c r="BN62" s="674"/>
      <c r="BO62" s="674"/>
      <c r="BP62" s="674"/>
      <c r="BQ62" s="675"/>
      <c r="BR62" s="675"/>
    </row>
    <row r="63" spans="1:83" ht="6.75" hidden="1" customHeight="1" x14ac:dyDescent="0.25">
      <c r="A63" s="676"/>
      <c r="B63" s="676"/>
      <c r="C63" s="676"/>
      <c r="D63" s="29"/>
      <c r="E63" s="29"/>
      <c r="F63" s="676"/>
      <c r="G63" s="676"/>
      <c r="H63" s="676"/>
      <c r="I63" s="29"/>
      <c r="J63" s="29"/>
      <c r="K63" s="676"/>
      <c r="L63" s="676"/>
      <c r="M63" s="676"/>
      <c r="N63" s="29"/>
      <c r="O63" s="29"/>
      <c r="P63" s="676"/>
      <c r="Q63" s="676"/>
      <c r="R63" s="676"/>
      <c r="S63" s="29"/>
      <c r="T63" s="29"/>
      <c r="U63" s="676"/>
      <c r="V63" s="676"/>
      <c r="W63" s="676"/>
      <c r="X63" s="29"/>
      <c r="Y63" s="29"/>
      <c r="Z63" s="676"/>
      <c r="AA63" s="676"/>
      <c r="AB63" s="676"/>
      <c r="AC63" s="29"/>
      <c r="AD63" s="29"/>
      <c r="AE63" s="676"/>
      <c r="AF63" s="676"/>
      <c r="AG63" s="676"/>
      <c r="AH63" s="29"/>
      <c r="AI63" s="29"/>
      <c r="AJ63" s="676"/>
      <c r="AK63" s="676"/>
      <c r="AL63" s="676"/>
      <c r="AM63" s="29"/>
      <c r="AN63" s="29"/>
      <c r="AO63" s="676"/>
      <c r="AP63" s="676"/>
      <c r="AQ63" s="676"/>
      <c r="AR63" s="29"/>
      <c r="AS63" s="29"/>
      <c r="AT63" s="676"/>
      <c r="AU63" s="676"/>
      <c r="AV63" s="676"/>
      <c r="AW63" s="29"/>
      <c r="AX63" s="29"/>
      <c r="AY63" s="676"/>
      <c r="AZ63" s="676"/>
      <c r="BA63" s="676"/>
      <c r="BB63" s="29"/>
      <c r="BC63" s="29"/>
      <c r="BD63" s="676"/>
      <c r="BE63" s="676"/>
      <c r="BF63" s="676"/>
      <c r="BG63" s="29"/>
      <c r="BH63" s="29"/>
      <c r="BI63" s="676"/>
      <c r="BJ63" s="676"/>
      <c r="BK63" s="676"/>
      <c r="BL63" s="29"/>
      <c r="BM63" s="29"/>
      <c r="BN63" s="676"/>
      <c r="BO63" s="676"/>
      <c r="BP63" s="676"/>
      <c r="BQ63" s="29"/>
      <c r="BR63" s="29"/>
    </row>
    <row r="64" spans="1:83" ht="21.95" hidden="1" customHeight="1" x14ac:dyDescent="0.25">
      <c r="A64" s="676"/>
      <c r="B64" s="676"/>
      <c r="C64" s="676"/>
      <c r="D64" s="30"/>
      <c r="E64" s="29"/>
      <c r="F64" s="676"/>
      <c r="G64" s="676"/>
      <c r="H64" s="676"/>
      <c r="I64" s="30"/>
      <c r="J64" s="29"/>
      <c r="K64" s="676"/>
      <c r="L64" s="676"/>
      <c r="M64" s="676"/>
      <c r="N64" s="30"/>
      <c r="O64" s="29"/>
      <c r="P64" s="676"/>
      <c r="Q64" s="676"/>
      <c r="R64" s="676"/>
      <c r="S64" s="30"/>
      <c r="T64" s="29"/>
      <c r="U64" s="676"/>
      <c r="V64" s="676"/>
      <c r="W64" s="676"/>
      <c r="X64" s="30"/>
      <c r="Y64" s="29"/>
      <c r="Z64" s="676"/>
      <c r="AA64" s="676"/>
      <c r="AB64" s="676"/>
      <c r="AC64" s="30"/>
      <c r="AD64" s="29"/>
      <c r="AE64" s="676"/>
      <c r="AF64" s="676"/>
      <c r="AG64" s="676"/>
      <c r="AH64" s="30"/>
      <c r="AI64" s="29"/>
      <c r="AJ64" s="676"/>
      <c r="AK64" s="676"/>
      <c r="AL64" s="676"/>
      <c r="AM64" s="30"/>
      <c r="AN64" s="29"/>
      <c r="AO64" s="676"/>
      <c r="AP64" s="676"/>
      <c r="AQ64" s="676"/>
      <c r="AR64" s="30"/>
      <c r="AS64" s="29"/>
      <c r="AT64" s="676"/>
      <c r="AU64" s="676"/>
      <c r="AV64" s="676"/>
      <c r="AW64" s="30"/>
      <c r="AX64" s="29"/>
      <c r="AY64" s="676"/>
      <c r="AZ64" s="676"/>
      <c r="BA64" s="676"/>
      <c r="BB64" s="30"/>
      <c r="BC64" s="29"/>
      <c r="BD64" s="676"/>
      <c r="BE64" s="676"/>
      <c r="BF64" s="676"/>
      <c r="BG64" s="30"/>
      <c r="BH64" s="29"/>
      <c r="BI64" s="676"/>
      <c r="BJ64" s="676"/>
      <c r="BK64" s="676"/>
      <c r="BL64" s="30"/>
      <c r="BM64" s="29"/>
      <c r="BN64" s="676"/>
      <c r="BO64" s="676"/>
      <c r="BP64" s="676"/>
      <c r="BQ64" s="30"/>
      <c r="BR64" s="29"/>
    </row>
    <row r="65" spans="1:90" ht="6" hidden="1" customHeight="1" x14ac:dyDescent="0.25">
      <c r="A65" s="676"/>
      <c r="B65" s="676"/>
      <c r="C65" s="676"/>
      <c r="D65" s="675"/>
      <c r="E65" s="675"/>
      <c r="F65" s="676"/>
      <c r="G65" s="676"/>
      <c r="H65" s="676"/>
      <c r="I65" s="675"/>
      <c r="J65" s="675"/>
      <c r="K65" s="676"/>
      <c r="L65" s="676"/>
      <c r="M65" s="676"/>
      <c r="N65" s="675"/>
      <c r="O65" s="675"/>
      <c r="P65" s="676"/>
      <c r="Q65" s="676"/>
      <c r="R65" s="676"/>
      <c r="S65" s="675"/>
      <c r="T65" s="675"/>
      <c r="U65" s="676"/>
      <c r="V65" s="676"/>
      <c r="W65" s="676"/>
      <c r="X65" s="675"/>
      <c r="Y65" s="675"/>
      <c r="Z65" s="676"/>
      <c r="AA65" s="676"/>
      <c r="AB65" s="676"/>
      <c r="AC65" s="675"/>
      <c r="AD65" s="675"/>
      <c r="AE65" s="676"/>
      <c r="AF65" s="676"/>
      <c r="AG65" s="676"/>
      <c r="AH65" s="675"/>
      <c r="AI65" s="675"/>
      <c r="AJ65" s="676"/>
      <c r="AK65" s="676"/>
      <c r="AL65" s="676"/>
      <c r="AM65" s="675"/>
      <c r="AN65" s="675"/>
      <c r="AO65" s="676"/>
      <c r="AP65" s="676"/>
      <c r="AQ65" s="676"/>
      <c r="AR65" s="675"/>
      <c r="AS65" s="675"/>
      <c r="AT65" s="676"/>
      <c r="AU65" s="676"/>
      <c r="AV65" s="676"/>
      <c r="AW65" s="675"/>
      <c r="AX65" s="675"/>
      <c r="AY65" s="676"/>
      <c r="AZ65" s="676"/>
      <c r="BA65" s="676"/>
      <c r="BB65" s="675"/>
      <c r="BC65" s="675"/>
      <c r="BD65" s="676"/>
      <c r="BE65" s="676"/>
      <c r="BF65" s="676"/>
      <c r="BG65" s="675"/>
      <c r="BH65" s="675"/>
      <c r="BI65" s="676"/>
      <c r="BJ65" s="676"/>
      <c r="BK65" s="676"/>
      <c r="BL65" s="675"/>
      <c r="BM65" s="675"/>
      <c r="BN65" s="676"/>
      <c r="BO65" s="676"/>
      <c r="BP65" s="676"/>
      <c r="BQ65" s="675"/>
      <c r="BR65" s="675"/>
    </row>
    <row r="66" spans="1:90" ht="59.25" hidden="1" thickBot="1" x14ac:dyDescent="0.3">
      <c r="A66" s="677"/>
      <c r="B66" s="678"/>
      <c r="C66" s="678"/>
      <c r="D66" s="678"/>
      <c r="E66" s="678"/>
      <c r="F66" s="677"/>
      <c r="G66" s="678"/>
      <c r="H66" s="678"/>
      <c r="I66" s="678"/>
      <c r="J66" s="678"/>
      <c r="K66" s="677"/>
      <c r="L66" s="678"/>
      <c r="M66" s="678"/>
      <c r="N66" s="678"/>
      <c r="O66" s="678"/>
      <c r="P66" s="677"/>
      <c r="Q66" s="678"/>
      <c r="R66" s="678"/>
      <c r="S66" s="678"/>
      <c r="T66" s="678"/>
      <c r="U66" s="677"/>
      <c r="V66" s="678"/>
      <c r="W66" s="678"/>
      <c r="X66" s="678"/>
      <c r="Y66" s="678"/>
      <c r="Z66" s="677"/>
      <c r="AA66" s="678"/>
      <c r="AB66" s="678"/>
      <c r="AC66" s="678"/>
      <c r="AD66" s="678"/>
      <c r="AE66" s="677"/>
      <c r="AF66" s="678"/>
      <c r="AG66" s="678"/>
      <c r="AH66" s="678"/>
      <c r="AI66" s="678"/>
      <c r="AJ66" s="677"/>
      <c r="AK66" s="678"/>
      <c r="AL66" s="678"/>
      <c r="AM66" s="678"/>
      <c r="AN66" s="678"/>
      <c r="AO66" s="677"/>
      <c r="AP66" s="678"/>
      <c r="AQ66" s="678"/>
      <c r="AR66" s="678"/>
      <c r="AS66" s="678"/>
      <c r="AT66" s="677"/>
      <c r="AU66" s="678"/>
      <c r="AV66" s="678"/>
      <c r="AW66" s="678"/>
      <c r="AX66" s="678"/>
      <c r="AY66" s="677"/>
      <c r="AZ66" s="678"/>
      <c r="BA66" s="678"/>
      <c r="BB66" s="678"/>
      <c r="BC66" s="678"/>
      <c r="BD66" s="677"/>
      <c r="BE66" s="678"/>
      <c r="BF66" s="678"/>
      <c r="BG66" s="678"/>
      <c r="BH66" s="678"/>
      <c r="BI66" s="677"/>
      <c r="BJ66" s="678"/>
      <c r="BK66" s="678"/>
      <c r="BL66" s="678"/>
      <c r="BM66" s="678"/>
      <c r="BN66" s="677"/>
      <c r="BO66" s="678"/>
      <c r="BP66" s="678"/>
      <c r="BQ66" s="678"/>
      <c r="BR66" s="678"/>
    </row>
    <row r="67" spans="1:90" ht="27" hidden="1" thickBot="1" x14ac:dyDescent="0.3">
      <c r="A67" s="677"/>
      <c r="B67" s="32"/>
      <c r="C67" s="33"/>
      <c r="D67" s="34"/>
      <c r="E67" s="35"/>
      <c r="F67" s="677"/>
      <c r="G67" s="32"/>
      <c r="H67" s="33"/>
      <c r="I67" s="34"/>
      <c r="J67" s="35"/>
      <c r="K67" s="677"/>
      <c r="L67" s="32"/>
      <c r="M67" s="33"/>
      <c r="N67" s="34"/>
      <c r="O67" s="35"/>
      <c r="P67" s="677"/>
      <c r="Q67" s="32"/>
      <c r="R67" s="33"/>
      <c r="S67" s="34"/>
      <c r="T67" s="35"/>
      <c r="U67" s="677"/>
      <c r="V67" s="32"/>
      <c r="W67" s="33"/>
      <c r="X67" s="34"/>
      <c r="Y67" s="35"/>
      <c r="Z67" s="677"/>
      <c r="AA67" s="32"/>
      <c r="AB67" s="33"/>
      <c r="AC67" s="34"/>
      <c r="AD67" s="35"/>
      <c r="AE67" s="677"/>
      <c r="AF67" s="32"/>
      <c r="AG67" s="33"/>
      <c r="AH67" s="34"/>
      <c r="AI67" s="35"/>
      <c r="AJ67" s="677"/>
      <c r="AK67" s="32"/>
      <c r="AL67" s="33"/>
      <c r="AM67" s="34"/>
      <c r="AN67" s="35"/>
      <c r="AO67" s="677"/>
      <c r="AP67" s="32"/>
      <c r="AQ67" s="33"/>
      <c r="AR67" s="34"/>
      <c r="AS67" s="35"/>
      <c r="AT67" s="677"/>
      <c r="AU67" s="32"/>
      <c r="AV67" s="33"/>
      <c r="AW67" s="34"/>
      <c r="AX67" s="35"/>
      <c r="AY67" s="677"/>
      <c r="AZ67" s="32"/>
      <c r="BA67" s="33"/>
      <c r="BB67" s="34"/>
      <c r="BC67" s="35"/>
      <c r="BD67" s="677"/>
      <c r="BE67" s="32"/>
      <c r="BF67" s="33"/>
      <c r="BG67" s="34"/>
      <c r="BH67" s="35"/>
      <c r="BI67" s="677"/>
      <c r="BJ67" s="32"/>
      <c r="BK67" s="33"/>
      <c r="BL67" s="34"/>
      <c r="BM67" s="35"/>
      <c r="BN67" s="677"/>
      <c r="BO67" s="32"/>
      <c r="BP67" s="33"/>
      <c r="BQ67" s="34"/>
      <c r="BR67" s="35"/>
      <c r="BW67" s="27"/>
      <c r="BX67" s="27"/>
      <c r="BY67" s="27"/>
      <c r="BZ67" s="27"/>
      <c r="CA67" s="27"/>
      <c r="CB67" s="27"/>
      <c r="CC67" s="27"/>
      <c r="CD67" s="27"/>
      <c r="CE67" s="27"/>
    </row>
    <row r="68" spans="1:90" ht="26.1" hidden="1" customHeight="1" x14ac:dyDescent="0.25">
      <c r="A68" s="674"/>
      <c r="B68" s="674"/>
      <c r="C68" s="674"/>
      <c r="D68" s="675"/>
      <c r="E68" s="675"/>
      <c r="F68" s="674"/>
      <c r="G68" s="674"/>
      <c r="H68" s="674"/>
      <c r="I68" s="675"/>
      <c r="J68" s="675"/>
      <c r="K68" s="674"/>
      <c r="L68" s="674"/>
      <c r="M68" s="674"/>
      <c r="N68" s="675"/>
      <c r="O68" s="675"/>
      <c r="P68" s="674"/>
      <c r="Q68" s="674"/>
      <c r="R68" s="674"/>
      <c r="S68" s="675"/>
      <c r="T68" s="675"/>
      <c r="U68" s="674"/>
      <c r="V68" s="674"/>
      <c r="W68" s="674"/>
      <c r="X68" s="675"/>
      <c r="Y68" s="675"/>
      <c r="Z68" s="674"/>
      <c r="AA68" s="674"/>
      <c r="AB68" s="674"/>
      <c r="AC68" s="675"/>
      <c r="AD68" s="675"/>
      <c r="AE68" s="674"/>
      <c r="AF68" s="674"/>
      <c r="AG68" s="674"/>
      <c r="AH68" s="675"/>
      <c r="AI68" s="675"/>
      <c r="AJ68" s="674"/>
      <c r="AK68" s="674"/>
      <c r="AL68" s="674"/>
      <c r="AM68" s="675"/>
      <c r="AN68" s="675"/>
      <c r="AO68" s="674"/>
      <c r="AP68" s="674"/>
      <c r="AQ68" s="674"/>
      <c r="AR68" s="675"/>
      <c r="AS68" s="675"/>
      <c r="AT68" s="674"/>
      <c r="AU68" s="674"/>
      <c r="AV68" s="674"/>
      <c r="AW68" s="675"/>
      <c r="AX68" s="675"/>
      <c r="AY68" s="674"/>
      <c r="AZ68" s="674"/>
      <c r="BA68" s="674"/>
      <c r="BB68" s="675"/>
      <c r="BC68" s="675"/>
      <c r="BD68" s="674"/>
      <c r="BE68" s="674"/>
      <c r="BF68" s="674"/>
      <c r="BG68" s="675"/>
      <c r="BH68" s="675"/>
      <c r="BI68" s="674"/>
      <c r="BJ68" s="674"/>
      <c r="BK68" s="674"/>
      <c r="BL68" s="675"/>
      <c r="BM68" s="675"/>
      <c r="BN68" s="674"/>
      <c r="BO68" s="674"/>
      <c r="BP68" s="674"/>
      <c r="BQ68" s="675"/>
      <c r="BR68" s="675"/>
    </row>
    <row r="69" spans="1:90" ht="6.75" hidden="1" customHeight="1" x14ac:dyDescent="0.25">
      <c r="A69" s="676"/>
      <c r="B69" s="676"/>
      <c r="C69" s="676"/>
      <c r="D69" s="29"/>
      <c r="E69" s="29"/>
      <c r="F69" s="676"/>
      <c r="G69" s="676"/>
      <c r="H69" s="676"/>
      <c r="I69" s="29"/>
      <c r="J69" s="29"/>
      <c r="K69" s="676"/>
      <c r="L69" s="676"/>
      <c r="M69" s="676"/>
      <c r="N69" s="29"/>
      <c r="O69" s="29"/>
      <c r="P69" s="676"/>
      <c r="Q69" s="676"/>
      <c r="R69" s="676"/>
      <c r="S69" s="29"/>
      <c r="T69" s="29"/>
      <c r="U69" s="676"/>
      <c r="V69" s="676"/>
      <c r="W69" s="676"/>
      <c r="X69" s="29"/>
      <c r="Y69" s="29"/>
      <c r="Z69" s="676"/>
      <c r="AA69" s="676"/>
      <c r="AB69" s="676"/>
      <c r="AC69" s="29"/>
      <c r="AD69" s="29"/>
      <c r="AE69" s="676"/>
      <c r="AF69" s="676"/>
      <c r="AG69" s="676"/>
      <c r="AH69" s="29"/>
      <c r="AI69" s="29"/>
      <c r="AJ69" s="676"/>
      <c r="AK69" s="676"/>
      <c r="AL69" s="676"/>
      <c r="AM69" s="29"/>
      <c r="AN69" s="29"/>
      <c r="AO69" s="676"/>
      <c r="AP69" s="676"/>
      <c r="AQ69" s="676"/>
      <c r="AR69" s="29"/>
      <c r="AS69" s="29"/>
      <c r="AT69" s="676"/>
      <c r="AU69" s="676"/>
      <c r="AV69" s="676"/>
      <c r="AW69" s="29"/>
      <c r="AX69" s="29"/>
      <c r="AY69" s="676"/>
      <c r="AZ69" s="676"/>
      <c r="BA69" s="676"/>
      <c r="BB69" s="29"/>
      <c r="BC69" s="29"/>
      <c r="BD69" s="676"/>
      <c r="BE69" s="676"/>
      <c r="BF69" s="676"/>
      <c r="BG69" s="29"/>
      <c r="BH69" s="29"/>
      <c r="BI69" s="676"/>
      <c r="BJ69" s="676"/>
      <c r="BK69" s="676"/>
      <c r="BL69" s="29"/>
      <c r="BM69" s="29"/>
      <c r="BN69" s="676"/>
      <c r="BO69" s="676"/>
      <c r="BP69" s="676"/>
      <c r="BQ69" s="29"/>
      <c r="BR69" s="29"/>
    </row>
    <row r="70" spans="1:90" ht="21.95" hidden="1" customHeight="1" x14ac:dyDescent="0.25">
      <c r="A70" s="676"/>
      <c r="B70" s="676"/>
      <c r="C70" s="676"/>
      <c r="D70" s="30"/>
      <c r="E70" s="29"/>
      <c r="F70" s="676"/>
      <c r="G70" s="676"/>
      <c r="H70" s="676"/>
      <c r="I70" s="30"/>
      <c r="J70" s="29"/>
      <c r="K70" s="676"/>
      <c r="L70" s="676"/>
      <c r="M70" s="676"/>
      <c r="N70" s="30"/>
      <c r="O70" s="29"/>
      <c r="P70" s="676"/>
      <c r="Q70" s="676"/>
      <c r="R70" s="676"/>
      <c r="S70" s="30"/>
      <c r="T70" s="29"/>
      <c r="U70" s="676"/>
      <c r="V70" s="676"/>
      <c r="W70" s="676"/>
      <c r="X70" s="30"/>
      <c r="Y70" s="29"/>
      <c r="Z70" s="676"/>
      <c r="AA70" s="676"/>
      <c r="AB70" s="676"/>
      <c r="AC70" s="30"/>
      <c r="AD70" s="29"/>
      <c r="AE70" s="676"/>
      <c r="AF70" s="676"/>
      <c r="AG70" s="676"/>
      <c r="AH70" s="30"/>
      <c r="AI70" s="29"/>
      <c r="AJ70" s="676"/>
      <c r="AK70" s="676"/>
      <c r="AL70" s="676"/>
      <c r="AM70" s="30"/>
      <c r="AN70" s="29"/>
      <c r="AO70" s="676"/>
      <c r="AP70" s="676"/>
      <c r="AQ70" s="676"/>
      <c r="AR70" s="30"/>
      <c r="AS70" s="29"/>
      <c r="AT70" s="676"/>
      <c r="AU70" s="676"/>
      <c r="AV70" s="676"/>
      <c r="AW70" s="30"/>
      <c r="AX70" s="29"/>
      <c r="AY70" s="676"/>
      <c r="AZ70" s="676"/>
      <c r="BA70" s="676"/>
      <c r="BB70" s="30"/>
      <c r="BC70" s="29"/>
      <c r="BD70" s="676"/>
      <c r="BE70" s="676"/>
      <c r="BF70" s="676"/>
      <c r="BG70" s="30"/>
      <c r="BH70" s="29"/>
      <c r="BI70" s="676"/>
      <c r="BJ70" s="676"/>
      <c r="BK70" s="676"/>
      <c r="BL70" s="30"/>
      <c r="BM70" s="29"/>
      <c r="BN70" s="676"/>
      <c r="BO70" s="676"/>
      <c r="BP70" s="676"/>
      <c r="BQ70" s="30"/>
      <c r="BR70" s="29"/>
    </row>
    <row r="71" spans="1:90" ht="6" hidden="1" customHeight="1" x14ac:dyDescent="0.25">
      <c r="A71" s="676"/>
      <c r="B71" s="676"/>
      <c r="C71" s="676"/>
      <c r="D71" s="675"/>
      <c r="E71" s="675"/>
      <c r="F71" s="676"/>
      <c r="G71" s="676"/>
      <c r="H71" s="676"/>
      <c r="I71" s="675"/>
      <c r="J71" s="675"/>
      <c r="K71" s="676"/>
      <c r="L71" s="676"/>
      <c r="M71" s="676"/>
      <c r="N71" s="675"/>
      <c r="O71" s="675"/>
      <c r="P71" s="676"/>
      <c r="Q71" s="676"/>
      <c r="R71" s="676"/>
      <c r="S71" s="675"/>
      <c r="T71" s="675"/>
      <c r="U71" s="676"/>
      <c r="V71" s="676"/>
      <c r="W71" s="676"/>
      <c r="X71" s="675"/>
      <c r="Y71" s="675"/>
      <c r="Z71" s="676"/>
      <c r="AA71" s="676"/>
      <c r="AB71" s="676"/>
      <c r="AC71" s="675"/>
      <c r="AD71" s="675"/>
      <c r="AE71" s="676"/>
      <c r="AF71" s="676"/>
      <c r="AG71" s="676"/>
      <c r="AH71" s="675"/>
      <c r="AI71" s="675"/>
      <c r="AJ71" s="676"/>
      <c r="AK71" s="676"/>
      <c r="AL71" s="676"/>
      <c r="AM71" s="675"/>
      <c r="AN71" s="675"/>
      <c r="AO71" s="676"/>
      <c r="AP71" s="676"/>
      <c r="AQ71" s="676"/>
      <c r="AR71" s="675"/>
      <c r="AS71" s="675"/>
      <c r="AT71" s="676"/>
      <c r="AU71" s="676"/>
      <c r="AV71" s="676"/>
      <c r="AW71" s="675"/>
      <c r="AX71" s="675"/>
      <c r="AY71" s="676"/>
      <c r="AZ71" s="676"/>
      <c r="BA71" s="676"/>
      <c r="BB71" s="675"/>
      <c r="BC71" s="675"/>
      <c r="BD71" s="676"/>
      <c r="BE71" s="676"/>
      <c r="BF71" s="676"/>
      <c r="BG71" s="675"/>
      <c r="BH71" s="675"/>
      <c r="BI71" s="676"/>
      <c r="BJ71" s="676"/>
      <c r="BK71" s="676"/>
      <c r="BL71" s="675"/>
      <c r="BM71" s="675"/>
      <c r="BN71" s="676"/>
      <c r="BO71" s="676"/>
      <c r="BP71" s="676"/>
      <c r="BQ71" s="675"/>
      <c r="BR71" s="675"/>
    </row>
    <row r="72" spans="1:90" ht="59.25" hidden="1" thickBot="1" x14ac:dyDescent="0.3">
      <c r="A72" s="677"/>
      <c r="B72" s="678"/>
      <c r="C72" s="678"/>
      <c r="D72" s="678"/>
      <c r="E72" s="678"/>
      <c r="F72" s="677"/>
      <c r="G72" s="678"/>
      <c r="H72" s="678"/>
      <c r="I72" s="678"/>
      <c r="J72" s="678"/>
      <c r="K72" s="677"/>
      <c r="L72" s="678"/>
      <c r="M72" s="678"/>
      <c r="N72" s="678"/>
      <c r="O72" s="678"/>
      <c r="P72" s="677"/>
      <c r="Q72" s="678"/>
      <c r="R72" s="678"/>
      <c r="S72" s="678"/>
      <c r="T72" s="678"/>
      <c r="U72" s="677"/>
      <c r="V72" s="678"/>
      <c r="W72" s="678"/>
      <c r="X72" s="678"/>
      <c r="Y72" s="678"/>
      <c r="Z72" s="677"/>
      <c r="AA72" s="678"/>
      <c r="AB72" s="678"/>
      <c r="AC72" s="678"/>
      <c r="AD72" s="678"/>
      <c r="AE72" s="677"/>
      <c r="AF72" s="678"/>
      <c r="AG72" s="678"/>
      <c r="AH72" s="678"/>
      <c r="AI72" s="678"/>
      <c r="AJ72" s="677"/>
      <c r="AK72" s="678"/>
      <c r="AL72" s="678"/>
      <c r="AM72" s="678"/>
      <c r="AN72" s="678"/>
      <c r="AO72" s="677"/>
      <c r="AP72" s="678"/>
      <c r="AQ72" s="678"/>
      <c r="AR72" s="678"/>
      <c r="AS72" s="678"/>
      <c r="AT72" s="677"/>
      <c r="AU72" s="678"/>
      <c r="AV72" s="678"/>
      <c r="AW72" s="678"/>
      <c r="AX72" s="678"/>
      <c r="AY72" s="677"/>
      <c r="AZ72" s="678"/>
      <c r="BA72" s="678"/>
      <c r="BB72" s="678"/>
      <c r="BC72" s="678"/>
      <c r="BD72" s="677"/>
      <c r="BE72" s="678"/>
      <c r="BF72" s="678"/>
      <c r="BG72" s="678"/>
      <c r="BH72" s="678"/>
      <c r="BI72" s="677"/>
      <c r="BJ72" s="678"/>
      <c r="BK72" s="678"/>
      <c r="BL72" s="678"/>
      <c r="BM72" s="678"/>
      <c r="BN72" s="677"/>
      <c r="BO72" s="678"/>
      <c r="BP72" s="678"/>
      <c r="BQ72" s="678"/>
      <c r="BR72" s="678"/>
    </row>
    <row r="73" spans="1:90" ht="27" hidden="1" thickBot="1" x14ac:dyDescent="0.3">
      <c r="A73" s="677"/>
      <c r="B73" s="32"/>
      <c r="C73" s="33"/>
      <c r="D73" s="34"/>
      <c r="E73" s="35"/>
      <c r="F73" s="677"/>
      <c r="G73" s="32"/>
      <c r="H73" s="33"/>
      <c r="I73" s="34"/>
      <c r="J73" s="35"/>
      <c r="K73" s="677"/>
      <c r="L73" s="32"/>
      <c r="M73" s="33"/>
      <c r="N73" s="34"/>
      <c r="O73" s="35"/>
      <c r="P73" s="677"/>
      <c r="Q73" s="32"/>
      <c r="R73" s="33"/>
      <c r="S73" s="34"/>
      <c r="T73" s="35"/>
      <c r="U73" s="677"/>
      <c r="V73" s="32"/>
      <c r="W73" s="33"/>
      <c r="X73" s="34"/>
      <c r="Y73" s="35"/>
      <c r="Z73" s="677"/>
      <c r="AA73" s="32"/>
      <c r="AB73" s="33"/>
      <c r="AC73" s="34"/>
      <c r="AD73" s="35"/>
      <c r="AE73" s="677"/>
      <c r="AF73" s="32"/>
      <c r="AG73" s="33"/>
      <c r="AH73" s="34"/>
      <c r="AI73" s="35"/>
      <c r="AJ73" s="677"/>
      <c r="AK73" s="32"/>
      <c r="AL73" s="33"/>
      <c r="AM73" s="34"/>
      <c r="AN73" s="35"/>
      <c r="AO73" s="677"/>
      <c r="AP73" s="32"/>
      <c r="AQ73" s="33"/>
      <c r="AR73" s="34"/>
      <c r="AS73" s="35"/>
      <c r="AT73" s="677"/>
      <c r="AU73" s="32"/>
      <c r="AV73" s="33"/>
      <c r="AW73" s="34"/>
      <c r="AX73" s="35"/>
      <c r="AY73" s="677"/>
      <c r="AZ73" s="32"/>
      <c r="BA73" s="33"/>
      <c r="BB73" s="34"/>
      <c r="BC73" s="35"/>
      <c r="BD73" s="677"/>
      <c r="BE73" s="32"/>
      <c r="BF73" s="33"/>
      <c r="BG73" s="34"/>
      <c r="BH73" s="35"/>
      <c r="BI73" s="677"/>
      <c r="BJ73" s="32"/>
      <c r="BK73" s="33"/>
      <c r="BL73" s="34"/>
      <c r="BM73" s="35"/>
      <c r="BN73" s="677"/>
      <c r="BO73" s="32"/>
      <c r="BP73" s="33"/>
      <c r="BQ73" s="34"/>
      <c r="BR73" s="35"/>
      <c r="BW73" s="27"/>
      <c r="BX73" s="27"/>
      <c r="BY73" s="27"/>
      <c r="BZ73" s="27"/>
      <c r="CA73" s="27"/>
      <c r="CB73" s="27"/>
      <c r="CC73" s="27"/>
      <c r="CD73" s="27"/>
      <c r="CE73" s="27"/>
    </row>
    <row r="74" spans="1:90" s="42" customFormat="1" ht="30" customHeight="1" thickTop="1" x14ac:dyDescent="0.25">
      <c r="A74" s="37"/>
      <c r="B74" s="38"/>
      <c r="C74" s="39"/>
      <c r="D74" s="40"/>
      <c r="E74" s="41"/>
      <c r="F74" s="37"/>
      <c r="G74" s="38"/>
      <c r="H74" s="39"/>
      <c r="I74" s="40"/>
      <c r="J74" s="41"/>
      <c r="K74" s="37"/>
      <c r="L74" s="38"/>
      <c r="M74" s="39"/>
      <c r="N74" s="40"/>
      <c r="O74" s="41"/>
      <c r="P74" s="37"/>
      <c r="Q74" s="38"/>
      <c r="R74" s="39"/>
      <c r="S74" s="40"/>
      <c r="T74" s="41"/>
      <c r="U74" s="37"/>
      <c r="V74" s="38"/>
      <c r="W74" s="39"/>
      <c r="X74" s="90"/>
      <c r="Y74" s="90"/>
      <c r="Z74" s="90"/>
      <c r="AA74" s="90"/>
      <c r="AB74" s="90"/>
      <c r="AC74" s="90"/>
      <c r="AD74" s="90"/>
      <c r="AE74" s="90"/>
      <c r="AF74" s="90"/>
      <c r="AG74" s="90"/>
      <c r="AH74" s="90"/>
      <c r="AI74" s="90"/>
      <c r="AJ74" s="37"/>
      <c r="AK74" s="38"/>
      <c r="AL74" s="39"/>
      <c r="AM74" s="40"/>
      <c r="AN74" s="41"/>
      <c r="AO74" s="37"/>
      <c r="AP74" s="38"/>
      <c r="AQ74" s="39"/>
      <c r="AR74" s="40"/>
      <c r="AS74" s="41"/>
      <c r="AT74" s="37"/>
      <c r="AU74" s="38"/>
      <c r="AV74" s="39"/>
      <c r="AW74" s="40"/>
      <c r="AX74" s="41"/>
      <c r="AY74" s="37"/>
      <c r="AZ74" s="38"/>
      <c r="BA74" s="39"/>
      <c r="BB74" s="40"/>
      <c r="BC74" s="41"/>
      <c r="BD74" s="37"/>
      <c r="BE74" s="38"/>
      <c r="BF74" s="39"/>
      <c r="BG74" s="40"/>
      <c r="BH74" s="41"/>
      <c r="BI74" s="37"/>
      <c r="BJ74" s="38"/>
      <c r="BK74" s="39"/>
      <c r="BL74" s="40"/>
      <c r="BM74" s="41"/>
      <c r="BN74" s="37"/>
      <c r="BO74" s="38"/>
      <c r="BP74" s="39"/>
      <c r="BQ74" s="40"/>
      <c r="BR74" s="41"/>
      <c r="BW74" s="43"/>
      <c r="BX74" s="43"/>
      <c r="BY74" s="43"/>
      <c r="BZ74" s="43"/>
      <c r="CA74" s="43"/>
      <c r="CB74" s="43"/>
      <c r="CC74" s="43"/>
      <c r="CD74" s="43"/>
      <c r="CE74" s="43"/>
    </row>
    <row r="75" spans="1:90" ht="21.95" customHeight="1" x14ac:dyDescent="0.25">
      <c r="A75" s="674"/>
      <c r="B75" s="674"/>
      <c r="C75" s="674"/>
      <c r="D75" s="675"/>
      <c r="E75" s="675"/>
      <c r="F75" s="44"/>
      <c r="G75" s="702"/>
      <c r="H75" s="702"/>
      <c r="I75" s="702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90"/>
      <c r="Y75" s="90"/>
      <c r="Z75" s="90"/>
      <c r="AA75" s="90"/>
      <c r="AB75" s="90"/>
      <c r="AC75" s="90"/>
      <c r="AD75" s="90"/>
      <c r="AE75" s="90"/>
      <c r="AF75" s="90"/>
      <c r="AG75" s="90"/>
      <c r="AH75" s="90"/>
      <c r="AI75" s="90"/>
      <c r="AJ75" s="90"/>
      <c r="AK75" s="90"/>
      <c r="AL75" s="90"/>
      <c r="AM75" s="90"/>
      <c r="AN75" s="90"/>
      <c r="AO75" s="90"/>
      <c r="AP75" s="90"/>
      <c r="AQ75" s="90"/>
      <c r="AR75" s="90"/>
      <c r="AS75" s="90"/>
      <c r="AT75" s="46"/>
      <c r="AU75" s="91"/>
      <c r="AV75" s="91"/>
      <c r="AW75" s="91"/>
      <c r="AX75" s="91"/>
      <c r="AY75" s="91"/>
      <c r="AZ75" s="91"/>
      <c r="BA75" s="91"/>
      <c r="BB75" s="91"/>
      <c r="BC75" s="91"/>
      <c r="BD75" s="91"/>
      <c r="BE75" s="91"/>
      <c r="BF75" s="91"/>
      <c r="BG75" s="45"/>
      <c r="BH75" s="45"/>
      <c r="BI75" s="45"/>
      <c r="BJ75" s="45"/>
      <c r="BK75" s="45"/>
      <c r="BL75" s="92"/>
      <c r="BM75" s="92"/>
      <c r="BN75" s="92"/>
      <c r="BO75" s="92"/>
      <c r="BP75" s="93"/>
      <c r="BQ75" s="93"/>
      <c r="BR75" s="93"/>
    </row>
    <row r="76" spans="1:90" ht="6.75" customHeight="1" x14ac:dyDescent="0.25">
      <c r="A76" s="676"/>
      <c r="B76" s="676"/>
      <c r="C76" s="676"/>
      <c r="D76" s="29"/>
      <c r="E76" s="29"/>
      <c r="F76" s="47"/>
      <c r="G76" s="702"/>
      <c r="H76" s="702"/>
      <c r="I76" s="702"/>
      <c r="J76" s="48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90"/>
      <c r="Y76" s="90"/>
      <c r="Z76" s="90"/>
      <c r="AA76" s="90"/>
      <c r="AB76" s="90"/>
      <c r="AC76" s="90"/>
      <c r="AD76" s="90"/>
      <c r="AE76" s="90"/>
      <c r="AF76" s="90"/>
      <c r="AG76" s="90"/>
      <c r="AH76" s="90"/>
      <c r="AI76" s="90"/>
      <c r="AJ76" s="90"/>
      <c r="AK76" s="90"/>
      <c r="AL76" s="90"/>
      <c r="AM76" s="90"/>
      <c r="AN76" s="90"/>
      <c r="AO76" s="90"/>
      <c r="AP76" s="90"/>
      <c r="AQ76" s="90"/>
      <c r="AR76" s="90"/>
      <c r="AS76" s="90"/>
      <c r="AT76" s="46"/>
      <c r="AU76" s="91"/>
      <c r="AV76" s="91"/>
      <c r="AW76" s="91"/>
      <c r="AX76" s="91"/>
      <c r="AY76" s="91"/>
      <c r="AZ76" s="91"/>
      <c r="BA76" s="91"/>
      <c r="BB76" s="91"/>
      <c r="BC76" s="91"/>
      <c r="BD76" s="91"/>
      <c r="BE76" s="91"/>
      <c r="BF76" s="91"/>
      <c r="BG76" s="45"/>
      <c r="BH76" s="45"/>
      <c r="BI76" s="45"/>
      <c r="BJ76" s="45"/>
      <c r="BK76" s="45"/>
      <c r="BL76" s="92"/>
      <c r="BM76" s="92"/>
      <c r="BN76" s="92"/>
      <c r="BO76" s="92"/>
      <c r="BP76" s="93"/>
      <c r="BQ76" s="93"/>
      <c r="BR76" s="93"/>
    </row>
    <row r="77" spans="1:90" ht="37.5" customHeight="1" x14ac:dyDescent="0.25">
      <c r="A77" s="676"/>
      <c r="B77" s="676"/>
      <c r="C77" s="676"/>
      <c r="D77" s="29"/>
      <c r="E77" s="29"/>
      <c r="F77" s="47"/>
      <c r="G77" s="702"/>
      <c r="H77" s="702"/>
      <c r="I77" s="702"/>
      <c r="J77" s="48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90"/>
      <c r="Y77" s="90"/>
      <c r="Z77" s="90"/>
      <c r="AA77" s="90"/>
      <c r="AB77" s="90"/>
      <c r="AC77" s="90"/>
      <c r="AD77" s="90"/>
      <c r="AE77" s="90"/>
      <c r="AF77" s="90"/>
      <c r="AG77" s="90"/>
      <c r="AH77" s="90"/>
      <c r="AI77" s="90"/>
      <c r="AJ77" s="90"/>
      <c r="AK77" s="90"/>
      <c r="AL77" s="90"/>
      <c r="AM77" s="90"/>
      <c r="AN77" s="90"/>
      <c r="AO77" s="90"/>
      <c r="AP77" s="90"/>
      <c r="AQ77" s="90"/>
      <c r="AR77" s="90"/>
      <c r="AS77" s="90"/>
      <c r="AT77" s="46"/>
      <c r="AU77" s="91"/>
      <c r="AV77" s="91"/>
      <c r="AW77" s="91"/>
      <c r="AX77" s="91"/>
      <c r="AY77" s="91"/>
      <c r="AZ77" s="91"/>
      <c r="BA77" s="91"/>
      <c r="BB77" s="91"/>
      <c r="BC77" s="91"/>
      <c r="BD77" s="91"/>
      <c r="BE77" s="91"/>
      <c r="BF77" s="91"/>
      <c r="BG77" s="45"/>
      <c r="BH77" s="45"/>
      <c r="BI77" s="45"/>
      <c r="BJ77" s="45"/>
      <c r="BK77" s="45"/>
      <c r="BL77" s="92"/>
      <c r="BM77" s="92"/>
      <c r="BN77" s="92"/>
      <c r="BO77" s="92"/>
      <c r="BP77" s="93"/>
      <c r="BQ77" s="93"/>
      <c r="BR77" s="93"/>
    </row>
    <row r="78" spans="1:90" ht="6" customHeight="1" x14ac:dyDescent="0.25">
      <c r="A78" s="676"/>
      <c r="B78" s="676"/>
      <c r="C78" s="676"/>
      <c r="D78" s="675"/>
      <c r="E78" s="675"/>
      <c r="F78" s="47"/>
      <c r="G78" s="703"/>
      <c r="H78" s="703"/>
      <c r="I78" s="703"/>
      <c r="J78" s="48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90"/>
      <c r="Y78" s="90"/>
      <c r="Z78" s="90"/>
      <c r="AA78" s="90"/>
      <c r="AB78" s="90"/>
      <c r="AC78" s="90"/>
      <c r="AD78" s="90"/>
      <c r="AE78" s="90"/>
      <c r="AF78" s="90"/>
      <c r="AG78" s="90"/>
      <c r="AH78" s="90"/>
      <c r="AI78" s="90"/>
      <c r="AJ78" s="90"/>
      <c r="AK78" s="90"/>
      <c r="AL78" s="90"/>
      <c r="AM78" s="90"/>
      <c r="AN78" s="90"/>
      <c r="AO78" s="90"/>
      <c r="AP78" s="90"/>
      <c r="AQ78" s="90"/>
      <c r="AR78" s="90"/>
      <c r="AS78" s="90"/>
      <c r="AT78" s="46"/>
      <c r="AU78" s="91"/>
      <c r="AV78" s="91"/>
      <c r="AW78" s="91"/>
      <c r="AX78" s="91"/>
      <c r="AY78" s="91"/>
      <c r="AZ78" s="91"/>
      <c r="BA78" s="91"/>
      <c r="BB78" s="91"/>
      <c r="BC78" s="91"/>
      <c r="BD78" s="91"/>
      <c r="BE78" s="91"/>
      <c r="BF78" s="91"/>
      <c r="BG78" s="45"/>
      <c r="BH78" s="45"/>
      <c r="BI78" s="45"/>
      <c r="BJ78" s="45"/>
      <c r="BK78" s="45"/>
      <c r="BL78" s="92"/>
      <c r="BM78" s="92"/>
      <c r="BN78" s="92"/>
      <c r="BO78" s="92"/>
      <c r="BP78" s="93"/>
      <c r="BQ78" s="93"/>
      <c r="BR78" s="93"/>
    </row>
    <row r="79" spans="1:90" ht="30" customHeight="1" x14ac:dyDescent="0.25">
      <c r="B79" s="17"/>
      <c r="G79" s="703"/>
      <c r="H79" s="703"/>
      <c r="I79" s="703"/>
      <c r="J79" s="48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116"/>
      <c r="Y79" s="116"/>
      <c r="Z79" s="116"/>
      <c r="AA79" s="116"/>
      <c r="AB79" s="116"/>
      <c r="AC79" s="116"/>
      <c r="AD79" s="116"/>
      <c r="AE79" s="116"/>
      <c r="AF79" s="116"/>
      <c r="AG79" s="116"/>
      <c r="AH79" s="116"/>
      <c r="AI79" s="116"/>
      <c r="AJ79" s="115"/>
      <c r="AK79" s="115"/>
      <c r="AL79" s="115"/>
      <c r="AM79" s="115"/>
      <c r="AN79" s="115"/>
      <c r="AO79" s="115"/>
      <c r="AP79" s="115"/>
      <c r="AQ79" s="115"/>
      <c r="AR79" s="115"/>
      <c r="AS79" s="115"/>
      <c r="AT79" s="115"/>
      <c r="AU79" s="94"/>
      <c r="AV79" s="94"/>
      <c r="AW79" s="94"/>
      <c r="AX79" s="94"/>
      <c r="AY79" s="94"/>
      <c r="AZ79" s="94"/>
      <c r="BA79" s="94"/>
      <c r="BB79" s="94"/>
      <c r="BC79" s="94"/>
      <c r="BD79" s="94"/>
      <c r="BE79" s="94"/>
      <c r="BF79" s="94"/>
      <c r="BG79" s="45"/>
      <c r="BH79" s="45"/>
      <c r="BI79" s="45"/>
      <c r="BJ79" s="45"/>
      <c r="BK79" s="45"/>
      <c r="BL79" s="95"/>
      <c r="BM79" s="95"/>
      <c r="BN79" s="95"/>
      <c r="BO79" s="95"/>
      <c r="BP79" s="95"/>
      <c r="BQ79" s="95"/>
      <c r="BR79" s="95"/>
      <c r="BS79" s="50"/>
      <c r="BT79" s="50"/>
      <c r="BW79" s="51"/>
      <c r="BX79" s="51"/>
      <c r="BY79" s="51"/>
      <c r="BZ79" s="51"/>
      <c r="CA79" s="51"/>
      <c r="CB79" s="51"/>
      <c r="CC79" s="27"/>
      <c r="CD79" s="27"/>
      <c r="CE79" s="27"/>
      <c r="CG79" s="27"/>
      <c r="CH79" s="27"/>
      <c r="CI79" s="27"/>
      <c r="CJ79" s="27"/>
      <c r="CK79" s="27"/>
      <c r="CL79" s="27"/>
    </row>
    <row r="80" spans="1:90" ht="34.5" customHeight="1" x14ac:dyDescent="0.25">
      <c r="G80" s="703"/>
      <c r="H80" s="703"/>
      <c r="I80" s="703"/>
      <c r="J80" s="52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116"/>
      <c r="Y80" s="116"/>
      <c r="Z80" s="116"/>
      <c r="AA80" s="116"/>
      <c r="AB80" s="116"/>
      <c r="AC80" s="116"/>
      <c r="AD80" s="116"/>
      <c r="AE80" s="116"/>
      <c r="AF80" s="116"/>
      <c r="AG80" s="116"/>
      <c r="AH80" s="116"/>
      <c r="AI80" s="116"/>
      <c r="AJ80" s="115"/>
      <c r="AK80" s="115"/>
      <c r="AL80" s="115"/>
      <c r="AM80" s="115"/>
      <c r="AN80" s="115"/>
      <c r="AO80" s="115"/>
      <c r="AP80" s="115"/>
      <c r="AQ80" s="115"/>
      <c r="AR80" s="115"/>
      <c r="AS80" s="115"/>
      <c r="AT80" s="115"/>
      <c r="AU80" s="94"/>
      <c r="AV80" s="94"/>
      <c r="AW80" s="94"/>
      <c r="AX80" s="94"/>
      <c r="AY80" s="94"/>
      <c r="AZ80" s="94"/>
      <c r="BA80" s="94"/>
      <c r="BB80" s="94"/>
      <c r="BC80" s="94"/>
      <c r="BD80" s="94"/>
      <c r="BE80" s="94"/>
      <c r="BF80" s="94"/>
      <c r="BG80" s="45"/>
      <c r="BH80" s="45"/>
      <c r="BI80" s="45"/>
      <c r="BJ80" s="45"/>
      <c r="BK80" s="45"/>
      <c r="BL80" s="95"/>
      <c r="BM80" s="95"/>
      <c r="BN80" s="95"/>
      <c r="BO80" s="95"/>
      <c r="BP80" s="95"/>
      <c r="BQ80" s="95"/>
      <c r="BR80" s="95"/>
      <c r="BS80" s="50"/>
      <c r="BT80" s="50"/>
      <c r="BW80" s="27"/>
      <c r="BX80" s="27"/>
      <c r="BY80" s="27"/>
      <c r="BZ80" s="27"/>
      <c r="CA80" s="27"/>
      <c r="CB80" s="27"/>
      <c r="CC80" s="27"/>
      <c r="CD80" s="27"/>
      <c r="CE80" s="27"/>
      <c r="CG80" s="27"/>
      <c r="CH80" s="27"/>
      <c r="CI80" s="27"/>
      <c r="CJ80" s="27"/>
      <c r="CK80" s="27"/>
      <c r="CL80" s="27"/>
    </row>
    <row r="81" spans="1:90" ht="15" customHeight="1" x14ac:dyDescent="0.25">
      <c r="G81" s="709"/>
      <c r="H81" s="709"/>
      <c r="I81" s="709"/>
      <c r="J81" s="52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116"/>
      <c r="Y81" s="116"/>
      <c r="Z81" s="116"/>
      <c r="AA81" s="116"/>
      <c r="AB81" s="116"/>
      <c r="AC81" s="116"/>
      <c r="AD81" s="116"/>
      <c r="AE81" s="116"/>
      <c r="AF81" s="116"/>
      <c r="AG81" s="116"/>
      <c r="AH81" s="116"/>
      <c r="AI81" s="116"/>
      <c r="AJ81" s="115"/>
      <c r="AK81" s="115"/>
      <c r="AL81" s="115"/>
      <c r="AM81" s="115"/>
      <c r="AN81" s="115"/>
      <c r="AO81" s="115"/>
      <c r="AP81" s="115"/>
      <c r="AQ81" s="115"/>
      <c r="AR81" s="115"/>
      <c r="AS81" s="115"/>
      <c r="AT81" s="115"/>
      <c r="AU81" s="94"/>
      <c r="AV81" s="94"/>
      <c r="AW81" s="94"/>
      <c r="AX81" s="94"/>
      <c r="AY81" s="94"/>
      <c r="AZ81" s="94"/>
      <c r="BA81" s="94"/>
      <c r="BB81" s="94"/>
      <c r="BC81" s="94"/>
      <c r="BD81" s="94"/>
      <c r="BE81" s="94"/>
      <c r="BF81" s="94"/>
      <c r="BG81" s="45"/>
      <c r="BH81" s="45"/>
      <c r="BI81" s="45"/>
      <c r="BJ81" s="45"/>
      <c r="BK81" s="45"/>
      <c r="BL81" s="95"/>
      <c r="BM81" s="95"/>
      <c r="BN81" s="95"/>
      <c r="BO81" s="95"/>
      <c r="BP81" s="95"/>
      <c r="BQ81" s="95"/>
      <c r="BR81" s="95"/>
      <c r="BS81" s="50"/>
      <c r="BT81" s="50"/>
      <c r="BW81" s="27"/>
      <c r="BX81" s="27"/>
      <c r="BY81" s="27"/>
      <c r="BZ81" s="27"/>
      <c r="CA81" s="27"/>
      <c r="CB81" s="27"/>
      <c r="CC81" s="27"/>
      <c r="CD81" s="27"/>
      <c r="CE81" s="27"/>
      <c r="CG81" s="27"/>
      <c r="CH81" s="27"/>
      <c r="CI81" s="27"/>
      <c r="CJ81" s="27"/>
      <c r="CK81" s="27"/>
      <c r="CL81" s="27"/>
    </row>
    <row r="82" spans="1:90" ht="15" customHeight="1" x14ac:dyDescent="0.25">
      <c r="G82" s="709"/>
      <c r="H82" s="709"/>
      <c r="I82" s="709"/>
      <c r="J82" s="52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116"/>
      <c r="Y82" s="116"/>
      <c r="Z82" s="116"/>
      <c r="AA82" s="116"/>
      <c r="AB82" s="116"/>
      <c r="AC82" s="116"/>
      <c r="AD82" s="116"/>
      <c r="AE82" s="116"/>
      <c r="AF82" s="116"/>
      <c r="AG82" s="116"/>
      <c r="AH82" s="116"/>
      <c r="AI82" s="116"/>
      <c r="AJ82" s="115"/>
      <c r="AK82" s="115"/>
      <c r="AL82" s="115"/>
      <c r="AM82" s="115"/>
      <c r="AN82" s="115"/>
      <c r="AO82" s="115"/>
      <c r="AP82" s="115"/>
      <c r="AQ82" s="115"/>
      <c r="AR82" s="115"/>
      <c r="AS82" s="115"/>
      <c r="AT82" s="115"/>
      <c r="AU82" s="94"/>
      <c r="AV82" s="94"/>
      <c r="AW82" s="94"/>
      <c r="AX82" s="94"/>
      <c r="AY82" s="94"/>
      <c r="AZ82" s="94"/>
      <c r="BA82" s="94"/>
      <c r="BB82" s="94"/>
      <c r="BC82" s="94"/>
      <c r="BD82" s="94"/>
      <c r="BE82" s="94"/>
      <c r="BF82" s="94"/>
      <c r="BG82" s="45"/>
      <c r="BH82" s="45"/>
      <c r="BI82" s="45"/>
      <c r="BJ82" s="45"/>
      <c r="BK82" s="45"/>
      <c r="BL82" s="95"/>
      <c r="BM82" s="95"/>
      <c r="BN82" s="95"/>
      <c r="BO82" s="95"/>
      <c r="BP82" s="95"/>
      <c r="BQ82" s="95"/>
      <c r="BR82" s="95"/>
      <c r="BS82" s="50"/>
      <c r="BT82" s="50"/>
      <c r="BW82" s="27"/>
      <c r="BX82" s="27"/>
      <c r="BY82" s="27"/>
      <c r="BZ82" s="27"/>
      <c r="CA82" s="27"/>
      <c r="CB82" s="27"/>
      <c r="CC82" s="27"/>
      <c r="CD82" s="27"/>
      <c r="CE82" s="27"/>
      <c r="CG82" s="27"/>
      <c r="CH82" s="27"/>
      <c r="CI82" s="27"/>
      <c r="CJ82" s="27"/>
      <c r="CK82" s="27"/>
      <c r="CL82" s="27"/>
    </row>
    <row r="83" spans="1:90" ht="15" customHeight="1" x14ac:dyDescent="0.25">
      <c r="G83" s="709"/>
      <c r="H83" s="709"/>
      <c r="I83" s="709"/>
      <c r="J83" s="52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116"/>
      <c r="Y83" s="116"/>
      <c r="Z83" s="116"/>
      <c r="AA83" s="116"/>
      <c r="AB83" s="116"/>
      <c r="AC83" s="116"/>
      <c r="AD83" s="116"/>
      <c r="AE83" s="116"/>
      <c r="AF83" s="116"/>
      <c r="AG83" s="116"/>
      <c r="AH83" s="116"/>
      <c r="AI83" s="116"/>
      <c r="AJ83" s="115"/>
      <c r="AK83" s="115"/>
      <c r="AL83" s="115"/>
      <c r="AM83" s="115"/>
      <c r="AN83" s="115"/>
      <c r="AO83" s="115"/>
      <c r="AP83" s="115"/>
      <c r="AQ83" s="115"/>
      <c r="AR83" s="115"/>
      <c r="AS83" s="115"/>
      <c r="AT83" s="115"/>
      <c r="AU83" s="94"/>
      <c r="AV83" s="94"/>
      <c r="AW83" s="94"/>
      <c r="AX83" s="94"/>
      <c r="AY83" s="94"/>
      <c r="AZ83" s="94"/>
      <c r="BA83" s="94"/>
      <c r="BB83" s="94"/>
      <c r="BC83" s="94"/>
      <c r="BD83" s="94"/>
      <c r="BE83" s="94"/>
      <c r="BF83" s="94"/>
      <c r="BG83" s="45"/>
      <c r="BH83" s="45"/>
      <c r="BI83" s="45"/>
      <c r="BJ83" s="45"/>
      <c r="BK83" s="45"/>
      <c r="BL83" s="45"/>
      <c r="BM83" s="45"/>
      <c r="BN83" s="45"/>
      <c r="BO83" s="45"/>
      <c r="BP83" s="45"/>
      <c r="BQ83" s="45"/>
      <c r="BR83" s="45"/>
      <c r="BS83" s="53"/>
      <c r="BT83" s="53"/>
    </row>
    <row r="84" spans="1:90" ht="22.5" customHeight="1" x14ac:dyDescent="0.25">
      <c r="G84" s="709"/>
      <c r="H84" s="709"/>
      <c r="I84" s="709"/>
      <c r="J84" s="52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116"/>
      <c r="Y84" s="116"/>
      <c r="Z84" s="116"/>
      <c r="AA84" s="116"/>
      <c r="AB84" s="116"/>
      <c r="AC84" s="116"/>
      <c r="AD84" s="116"/>
      <c r="AE84" s="116"/>
      <c r="AF84" s="116"/>
      <c r="AG84" s="116"/>
      <c r="AH84" s="116"/>
      <c r="AI84" s="116"/>
      <c r="AJ84" s="115"/>
      <c r="AK84" s="115"/>
      <c r="AL84" s="115"/>
      <c r="AM84" s="115"/>
      <c r="AN84" s="115"/>
      <c r="AO84" s="115"/>
      <c r="AP84" s="115"/>
      <c r="AQ84" s="115"/>
      <c r="AR84" s="115"/>
      <c r="AS84" s="115"/>
      <c r="AT84" s="115"/>
      <c r="AU84" s="94"/>
      <c r="AV84" s="94"/>
      <c r="AW84" s="94"/>
      <c r="AX84" s="94"/>
      <c r="AY84" s="94"/>
      <c r="AZ84" s="94"/>
      <c r="BA84" s="94"/>
      <c r="BB84" s="94"/>
      <c r="BC84" s="94"/>
      <c r="BD84" s="94"/>
      <c r="BE84" s="94"/>
      <c r="BF84" s="94"/>
      <c r="BG84" s="45"/>
      <c r="BH84" s="45"/>
      <c r="BI84" s="45"/>
      <c r="BJ84" s="45"/>
      <c r="BK84" s="45"/>
      <c r="BL84" s="45"/>
      <c r="BM84" s="45"/>
      <c r="BN84" s="45"/>
      <c r="BO84" s="45"/>
      <c r="BP84" s="45"/>
      <c r="BQ84" s="45"/>
      <c r="BR84" s="45"/>
      <c r="BS84" s="53"/>
      <c r="BT84" s="53"/>
    </row>
    <row r="85" spans="1:90" ht="23.25" x14ac:dyDescent="0.35">
      <c r="A85" s="54"/>
      <c r="E85" s="54"/>
      <c r="F85" s="54"/>
      <c r="G85" s="54"/>
      <c r="H85" s="54"/>
      <c r="I85" s="54"/>
      <c r="J85" s="54"/>
      <c r="K85" s="54"/>
    </row>
    <row r="86" spans="1:90" ht="24" thickBot="1" x14ac:dyDescent="0.4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X86" s="55"/>
    </row>
    <row r="87" spans="1:90" ht="15.75" thickTop="1" x14ac:dyDescent="0.25">
      <c r="AD87" s="775">
        <v>98.81</v>
      </c>
      <c r="AE87" s="776"/>
      <c r="AF87" s="776"/>
      <c r="AG87" s="776"/>
      <c r="AH87" s="777"/>
      <c r="AL87" s="727" t="s">
        <v>122</v>
      </c>
      <c r="AM87" s="727"/>
      <c r="AN87" s="727"/>
      <c r="AO87" s="727" t="s">
        <v>123</v>
      </c>
      <c r="AP87" s="727"/>
      <c r="AQ87" s="727"/>
      <c r="AR87" s="727" t="s">
        <v>124</v>
      </c>
      <c r="AS87" s="727"/>
      <c r="AT87" s="727" t="s">
        <v>125</v>
      </c>
      <c r="AU87" s="727"/>
      <c r="AY87" s="739" t="s">
        <v>126</v>
      </c>
      <c r="AZ87" s="740"/>
      <c r="BA87" s="740"/>
      <c r="BB87" s="740"/>
      <c r="BC87" s="740"/>
      <c r="BD87" s="740"/>
      <c r="BE87" s="740"/>
      <c r="BF87" s="740"/>
      <c r="BG87" s="740"/>
      <c r="BH87" s="741"/>
      <c r="BI87" s="13"/>
      <c r="BJ87" s="13"/>
      <c r="BK87" s="13"/>
      <c r="BL87" s="13"/>
      <c r="BM87" s="13"/>
      <c r="BN87" s="13"/>
      <c r="BO87" s="13"/>
      <c r="BP87" s="13"/>
      <c r="BQ87" s="13"/>
      <c r="BR87" s="13"/>
    </row>
    <row r="88" spans="1:90" x14ac:dyDescent="0.25">
      <c r="O88" s="1992" t="s">
        <v>127</v>
      </c>
      <c r="P88" s="1992"/>
      <c r="Q88" s="1992"/>
      <c r="R88" s="1992"/>
      <c r="S88" s="1992"/>
      <c r="T88" s="1992"/>
      <c r="U88" s="1992"/>
      <c r="V88" s="1992"/>
      <c r="AD88" s="778"/>
      <c r="AE88" s="779"/>
      <c r="AF88" s="779"/>
      <c r="AG88" s="779"/>
      <c r="AH88" s="780"/>
      <c r="AL88" s="727"/>
      <c r="AM88" s="727"/>
      <c r="AN88" s="727"/>
      <c r="AO88" s="727"/>
      <c r="AP88" s="727"/>
      <c r="AQ88" s="727"/>
      <c r="AR88" s="727"/>
      <c r="AS88" s="727"/>
      <c r="AT88" s="727"/>
      <c r="AU88" s="727"/>
      <c r="AY88" s="750"/>
      <c r="AZ88" s="751"/>
      <c r="BA88" s="751"/>
      <c r="BB88" s="751"/>
      <c r="BC88" s="751"/>
      <c r="BD88" s="751"/>
      <c r="BE88" s="751"/>
      <c r="BF88" s="751"/>
      <c r="BG88" s="751"/>
      <c r="BH88" s="752"/>
      <c r="BI88" s="13"/>
      <c r="BJ88" s="13"/>
      <c r="BK88" s="13"/>
      <c r="BL88" s="13"/>
      <c r="BM88" s="13"/>
      <c r="BN88" s="13"/>
      <c r="BO88" s="13"/>
      <c r="BP88" s="13"/>
      <c r="BQ88" s="13"/>
      <c r="BR88" s="13"/>
    </row>
    <row r="89" spans="1:90" x14ac:dyDescent="0.25">
      <c r="O89" s="1992"/>
      <c r="P89" s="1992"/>
      <c r="Q89" s="1992"/>
      <c r="R89" s="1992"/>
      <c r="S89" s="1992"/>
      <c r="T89" s="1992"/>
      <c r="U89" s="1992"/>
      <c r="V89" s="1992"/>
      <c r="AA89" s="56"/>
      <c r="AD89" s="778"/>
      <c r="AE89" s="779"/>
      <c r="AF89" s="779"/>
      <c r="AG89" s="779"/>
      <c r="AH89" s="780"/>
      <c r="AL89" s="727"/>
      <c r="AM89" s="727"/>
      <c r="AN89" s="727"/>
      <c r="AO89" s="727"/>
      <c r="AP89" s="727"/>
      <c r="AQ89" s="727"/>
      <c r="AR89" s="727"/>
      <c r="AS89" s="727"/>
      <c r="AT89" s="727"/>
      <c r="AU89" s="727"/>
      <c r="AY89" s="742"/>
      <c r="AZ89" s="743"/>
      <c r="BA89" s="743"/>
      <c r="BB89" s="743"/>
      <c r="BC89" s="743"/>
      <c r="BD89" s="743"/>
      <c r="BE89" s="743"/>
      <c r="BF89" s="743"/>
      <c r="BG89" s="743"/>
      <c r="BH89" s="744"/>
      <c r="BI89" s="13"/>
      <c r="BJ89" s="13"/>
      <c r="BK89" s="13"/>
      <c r="BL89" s="13"/>
      <c r="BM89" s="13"/>
      <c r="BN89" s="13"/>
      <c r="BO89" s="13"/>
      <c r="BP89" s="13"/>
      <c r="BQ89" s="13"/>
      <c r="BR89" s="13"/>
    </row>
    <row r="90" spans="1:90" x14ac:dyDescent="0.25">
      <c r="O90" s="1992"/>
      <c r="P90" s="1992"/>
      <c r="Q90" s="1992"/>
      <c r="R90" s="1992"/>
      <c r="S90" s="1992"/>
      <c r="T90" s="1992"/>
      <c r="U90" s="1992"/>
      <c r="V90" s="1992"/>
      <c r="AD90" s="778"/>
      <c r="AE90" s="779"/>
      <c r="AF90" s="779"/>
      <c r="AG90" s="779"/>
      <c r="AH90" s="780"/>
      <c r="AL90" s="774">
        <v>2400</v>
      </c>
      <c r="AM90" s="774"/>
      <c r="AN90" s="774"/>
      <c r="AO90" s="774">
        <f ca="1">AT106</f>
        <v>2400</v>
      </c>
      <c r="AP90" s="774"/>
      <c r="AQ90" s="774"/>
      <c r="AR90" s="726">
        <f>AS35</f>
        <v>98.808802011099999</v>
      </c>
      <c r="AS90" s="726"/>
      <c r="AT90" s="726">
        <f>AS35+BJ35</f>
        <v>142.3088020111</v>
      </c>
      <c r="AU90" s="726"/>
      <c r="AY90" s="727" t="s">
        <v>128</v>
      </c>
      <c r="AZ90" s="727"/>
      <c r="BA90" s="727"/>
      <c r="BB90" s="727"/>
      <c r="BC90" s="727"/>
      <c r="BD90" s="727"/>
      <c r="BE90" s="727"/>
      <c r="BF90" s="727"/>
      <c r="BG90" s="727"/>
      <c r="BH90" s="727"/>
      <c r="BI90" s="13"/>
      <c r="BJ90" s="13"/>
      <c r="BK90" s="13"/>
      <c r="BL90" s="13"/>
      <c r="BM90" s="13"/>
      <c r="BN90" s="13"/>
      <c r="BO90" s="13"/>
      <c r="BP90" s="13"/>
      <c r="BQ90" s="13"/>
      <c r="BR90" s="13"/>
    </row>
    <row r="91" spans="1:90" x14ac:dyDescent="0.25">
      <c r="O91" s="1992"/>
      <c r="P91" s="1992"/>
      <c r="Q91" s="1992"/>
      <c r="R91" s="1992"/>
      <c r="S91" s="1992"/>
      <c r="T91" s="1992"/>
      <c r="U91" s="1992"/>
      <c r="V91" s="1992"/>
      <c r="AD91" s="778"/>
      <c r="AE91" s="779"/>
      <c r="AF91" s="779"/>
      <c r="AG91" s="779"/>
      <c r="AH91" s="780"/>
      <c r="AL91" s="774"/>
      <c r="AM91" s="774"/>
      <c r="AN91" s="774"/>
      <c r="AO91" s="774"/>
      <c r="AP91" s="774"/>
      <c r="AQ91" s="774"/>
      <c r="AR91" s="726"/>
      <c r="AS91" s="726"/>
      <c r="AT91" s="726"/>
      <c r="AU91" s="726"/>
      <c r="AY91" s="727"/>
      <c r="AZ91" s="727"/>
      <c r="BA91" s="727"/>
      <c r="BB91" s="727"/>
      <c r="BC91" s="727"/>
      <c r="BD91" s="727"/>
      <c r="BE91" s="727"/>
      <c r="BF91" s="727"/>
      <c r="BG91" s="727"/>
      <c r="BH91" s="727"/>
      <c r="BI91" s="13"/>
      <c r="BJ91" s="13"/>
      <c r="BK91" s="13"/>
      <c r="BL91" s="13"/>
      <c r="BM91" s="13"/>
      <c r="BN91" s="13"/>
      <c r="BO91" s="13"/>
      <c r="BP91" s="13"/>
      <c r="BQ91" s="13"/>
      <c r="BR91" s="13"/>
    </row>
    <row r="92" spans="1:90" ht="15" customHeight="1" x14ac:dyDescent="0.25">
      <c r="O92" s="1992"/>
      <c r="P92" s="1992"/>
      <c r="Q92" s="1992"/>
      <c r="R92" s="1992"/>
      <c r="S92" s="1992"/>
      <c r="T92" s="1992"/>
      <c r="U92" s="1992"/>
      <c r="V92" s="1992"/>
      <c r="AD92" s="778"/>
      <c r="AE92" s="779"/>
      <c r="AF92" s="779"/>
      <c r="AG92" s="779"/>
      <c r="AH92" s="780"/>
      <c r="AL92" s="774"/>
      <c r="AM92" s="774"/>
      <c r="AN92" s="774"/>
      <c r="AO92" s="774"/>
      <c r="AP92" s="774"/>
      <c r="AQ92" s="774"/>
      <c r="AR92" s="726"/>
      <c r="AS92" s="726"/>
      <c r="AT92" s="726"/>
      <c r="AU92" s="726"/>
      <c r="AY92" s="728">
        <f ca="1">AR90/((72*3.1415/59)*(AO90/3.281))</f>
        <v>3.5234902464076207E-2</v>
      </c>
      <c r="AZ92" s="729"/>
      <c r="BA92" s="729"/>
      <c r="BB92" s="729"/>
      <c r="BC92" s="729"/>
      <c r="BD92" s="729"/>
      <c r="BE92" s="729"/>
      <c r="BF92" s="729"/>
      <c r="BG92" s="729"/>
      <c r="BH92" s="730"/>
      <c r="BI92" s="57"/>
      <c r="BJ92" s="57"/>
      <c r="BK92" s="57"/>
      <c r="BL92" s="57"/>
      <c r="BM92" s="57"/>
      <c r="BN92" s="57"/>
      <c r="BO92" s="57"/>
      <c r="BP92" s="57"/>
      <c r="BQ92" s="57"/>
      <c r="BR92" s="57"/>
    </row>
    <row r="93" spans="1:90" ht="15.75" customHeight="1" thickBot="1" x14ac:dyDescent="0.3">
      <c r="AD93" s="781"/>
      <c r="AE93" s="782"/>
      <c r="AF93" s="782"/>
      <c r="AG93" s="782"/>
      <c r="AH93" s="783"/>
      <c r="AL93" s="774"/>
      <c r="AM93" s="774"/>
      <c r="AN93" s="774"/>
      <c r="AO93" s="774"/>
      <c r="AP93" s="774"/>
      <c r="AQ93" s="774"/>
      <c r="AR93" s="726"/>
      <c r="AS93" s="726"/>
      <c r="AT93" s="726"/>
      <c r="AU93" s="726"/>
      <c r="AY93" s="731"/>
      <c r="AZ93" s="732"/>
      <c r="BA93" s="732"/>
      <c r="BB93" s="732"/>
      <c r="BC93" s="732"/>
      <c r="BD93" s="732"/>
      <c r="BE93" s="732"/>
      <c r="BF93" s="732"/>
      <c r="BG93" s="732"/>
      <c r="BH93" s="733"/>
      <c r="BI93" s="57"/>
      <c r="BJ93" s="57"/>
      <c r="BK93" s="57"/>
      <c r="BL93" s="57"/>
      <c r="BM93" s="57"/>
      <c r="BN93" s="57"/>
      <c r="BO93" s="57"/>
      <c r="BP93" s="57"/>
      <c r="BQ93" s="57"/>
      <c r="BR93" s="57"/>
    </row>
    <row r="94" spans="1:90" ht="15.75" customHeight="1" thickTop="1" x14ac:dyDescent="0.25">
      <c r="AY94" s="734"/>
      <c r="AZ94" s="735"/>
      <c r="BA94" s="735"/>
      <c r="BB94" s="735"/>
      <c r="BC94" s="735"/>
      <c r="BD94" s="735"/>
      <c r="BE94" s="735"/>
      <c r="BF94" s="735"/>
      <c r="BG94" s="735"/>
      <c r="BH94" s="736"/>
      <c r="BI94" s="57"/>
      <c r="BJ94" s="57"/>
      <c r="BK94" s="57"/>
      <c r="BL94" s="57"/>
      <c r="BM94" s="57"/>
      <c r="BN94" s="57"/>
      <c r="BO94" s="57"/>
      <c r="BP94" s="57"/>
      <c r="BQ94" s="57"/>
      <c r="BR94" s="57"/>
    </row>
    <row r="95" spans="1:90" x14ac:dyDescent="0.25">
      <c r="AY95" s="739" t="s">
        <v>129</v>
      </c>
      <c r="AZ95" s="740"/>
      <c r="BA95" s="740"/>
      <c r="BB95" s="740"/>
      <c r="BC95" s="740"/>
      <c r="BD95" s="740"/>
      <c r="BE95" s="740"/>
      <c r="BF95" s="740"/>
      <c r="BG95" s="740"/>
      <c r="BH95" s="741"/>
      <c r="BI95" s="13"/>
      <c r="BJ95" s="13"/>
      <c r="BK95" s="13"/>
      <c r="BL95" s="13"/>
      <c r="BM95" s="13"/>
      <c r="BN95" s="13"/>
      <c r="BO95" s="13"/>
      <c r="BP95" s="13"/>
      <c r="BQ95" s="13"/>
      <c r="BR95" s="13"/>
    </row>
    <row r="96" spans="1:90" x14ac:dyDescent="0.25">
      <c r="AY96" s="742"/>
      <c r="AZ96" s="743"/>
      <c r="BA96" s="743"/>
      <c r="BB96" s="743"/>
      <c r="BC96" s="743"/>
      <c r="BD96" s="743"/>
      <c r="BE96" s="743"/>
      <c r="BF96" s="743"/>
      <c r="BG96" s="743"/>
      <c r="BH96" s="744"/>
      <c r="BI96" s="13"/>
      <c r="BJ96" s="13"/>
      <c r="BK96" s="13"/>
      <c r="BL96" s="13"/>
      <c r="BM96" s="13"/>
      <c r="BN96" s="13"/>
      <c r="BO96" s="13"/>
      <c r="BP96" s="13"/>
      <c r="BQ96" s="13"/>
      <c r="BR96" s="13"/>
    </row>
    <row r="97" spans="40:70" x14ac:dyDescent="0.25">
      <c r="AN97" s="1255">
        <v>50</v>
      </c>
      <c r="AO97" s="1255"/>
      <c r="AP97" s="1255"/>
      <c r="AQ97" s="746" cm="1">
        <f t="array" aca="1" ref="AQ97" ca="1">SUM(COUNTIF(INDIRECT({"B7","G7","L7","Q7","V7","AA7","AF7","AK7","AP7","AU7","AZ7","BE7","BJ7","BO7","B13","G13","L13","Q13","V13","AA13","AF13","AK13","AP13","AU13","AZ13","BE13","BJ13","BO13","B19","G19","L19","Q19","V19","AA19","AF19","AK19","AP19","AU19","AZ19","BE19","BJ19","BO19","B25","G25","L25","Q25","V25","AA25"}),"&gt;0"))</f>
        <v>48</v>
      </c>
      <c r="AR97" s="746"/>
      <c r="AS97" s="746"/>
      <c r="AT97" s="747">
        <f ca="1">AQ97*AN97</f>
        <v>2400</v>
      </c>
      <c r="AU97" s="748"/>
      <c r="AV97" s="748"/>
      <c r="AW97" s="749"/>
      <c r="AY97" s="739" t="s">
        <v>130</v>
      </c>
      <c r="AZ97" s="740"/>
      <c r="BA97" s="740"/>
      <c r="BB97" s="740"/>
      <c r="BC97" s="740"/>
      <c r="BD97" s="740"/>
      <c r="BE97" s="740"/>
      <c r="BF97" s="740"/>
      <c r="BG97" s="740"/>
      <c r="BH97" s="741"/>
      <c r="BI97" s="13"/>
      <c r="BJ97" s="13"/>
      <c r="BK97" s="13"/>
      <c r="BL97" s="13"/>
      <c r="BM97" s="13"/>
      <c r="BN97" s="13"/>
      <c r="BO97" s="13"/>
      <c r="BP97" s="13"/>
      <c r="BQ97" s="13"/>
      <c r="BR97" s="13"/>
    </row>
    <row r="98" spans="40:70" x14ac:dyDescent="0.25">
      <c r="AN98" s="1255"/>
      <c r="AO98" s="1255"/>
      <c r="AP98" s="1255"/>
      <c r="AQ98" s="746"/>
      <c r="AR98" s="746"/>
      <c r="AS98" s="746"/>
      <c r="AT98" s="747"/>
      <c r="AU98" s="748"/>
      <c r="AV98" s="748"/>
      <c r="AW98" s="749"/>
      <c r="AY98" s="750"/>
      <c r="AZ98" s="751"/>
      <c r="BA98" s="751"/>
      <c r="BB98" s="751"/>
      <c r="BC98" s="751"/>
      <c r="BD98" s="751"/>
      <c r="BE98" s="751"/>
      <c r="BF98" s="751"/>
      <c r="BG98" s="751"/>
      <c r="BH98" s="752"/>
      <c r="BI98" s="13"/>
      <c r="BJ98" s="13"/>
      <c r="BK98" s="13"/>
      <c r="BL98" s="13"/>
      <c r="BM98" s="13"/>
      <c r="BN98" s="13"/>
      <c r="BO98" s="13"/>
      <c r="BP98" s="13"/>
      <c r="BQ98" s="13"/>
      <c r="BR98" s="13"/>
    </row>
    <row r="99" spans="40:70" ht="15" customHeight="1" x14ac:dyDescent="0.25">
      <c r="AN99" s="1255"/>
      <c r="AO99" s="1255"/>
      <c r="AP99" s="1255"/>
      <c r="AQ99" s="746"/>
      <c r="AR99" s="746"/>
      <c r="AS99" s="746"/>
      <c r="AT99" s="747"/>
      <c r="AU99" s="748"/>
      <c r="AV99" s="748"/>
      <c r="AW99" s="749"/>
      <c r="AY99" s="750"/>
      <c r="AZ99" s="751"/>
      <c r="BA99" s="751"/>
      <c r="BB99" s="751"/>
      <c r="BC99" s="751"/>
      <c r="BD99" s="751"/>
      <c r="BE99" s="751"/>
      <c r="BF99" s="751"/>
      <c r="BG99" s="751"/>
      <c r="BH99" s="752"/>
      <c r="BI99" s="13"/>
      <c r="BJ99" s="13"/>
      <c r="BK99" s="13"/>
      <c r="BL99" s="13"/>
      <c r="BM99" s="13"/>
      <c r="BN99" s="13"/>
      <c r="BO99" s="13"/>
      <c r="BP99" s="13"/>
      <c r="BQ99" s="13"/>
      <c r="BR99" s="13"/>
    </row>
    <row r="100" spans="40:70" ht="15" customHeight="1" x14ac:dyDescent="0.25">
      <c r="AN100" s="727"/>
      <c r="AO100" s="727"/>
      <c r="AP100" s="727"/>
      <c r="AQ100" s="746"/>
      <c r="AR100" s="746"/>
      <c r="AS100" s="746"/>
      <c r="AT100" s="747"/>
      <c r="AU100" s="748"/>
      <c r="AV100" s="748"/>
      <c r="AW100" s="749"/>
      <c r="AY100" s="742"/>
      <c r="AZ100" s="743"/>
      <c r="BA100" s="743"/>
      <c r="BB100" s="743"/>
      <c r="BC100" s="743"/>
      <c r="BD100" s="743"/>
      <c r="BE100" s="743"/>
      <c r="BF100" s="743"/>
      <c r="BG100" s="743"/>
      <c r="BH100" s="744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</row>
    <row r="101" spans="40:70" ht="26.25" x14ac:dyDescent="0.25">
      <c r="AN101" s="727"/>
      <c r="AO101" s="727"/>
      <c r="AP101" s="727"/>
      <c r="AQ101" s="746"/>
      <c r="AR101" s="746"/>
      <c r="AS101" s="746"/>
      <c r="AT101" s="747"/>
      <c r="AU101" s="748"/>
      <c r="AV101" s="748"/>
      <c r="AW101" s="749"/>
      <c r="AY101" s="728">
        <f ca="1">AT90/((72*3.1415/59)*(AO90/3.281))</f>
        <v>5.074686320027795E-2</v>
      </c>
      <c r="AZ101" s="729"/>
      <c r="BA101" s="729"/>
      <c r="BB101" s="729"/>
      <c r="BC101" s="729"/>
      <c r="BD101" s="729"/>
      <c r="BE101" s="729"/>
      <c r="BF101" s="729"/>
      <c r="BG101" s="729"/>
      <c r="BH101" s="730"/>
      <c r="BI101" s="57"/>
      <c r="BJ101" s="57"/>
      <c r="BK101" s="57"/>
      <c r="BL101" s="57"/>
      <c r="BM101" s="57"/>
      <c r="BN101" s="57"/>
      <c r="BO101" s="57"/>
      <c r="BP101" s="57"/>
      <c r="BQ101" s="57"/>
      <c r="BR101" s="57"/>
    </row>
    <row r="102" spans="40:70" ht="26.25" x14ac:dyDescent="0.25">
      <c r="AN102" s="727"/>
      <c r="AO102" s="727"/>
      <c r="AP102" s="727"/>
      <c r="AQ102" s="746"/>
      <c r="AR102" s="746"/>
      <c r="AS102" s="746"/>
      <c r="AT102" s="747"/>
      <c r="AU102" s="748"/>
      <c r="AV102" s="748"/>
      <c r="AW102" s="749"/>
      <c r="AY102" s="731"/>
      <c r="AZ102" s="732"/>
      <c r="BA102" s="732"/>
      <c r="BB102" s="732"/>
      <c r="BC102" s="732"/>
      <c r="BD102" s="732"/>
      <c r="BE102" s="732"/>
      <c r="BF102" s="732"/>
      <c r="BG102" s="732"/>
      <c r="BH102" s="733"/>
      <c r="BI102" s="57"/>
      <c r="BJ102" s="57"/>
      <c r="BK102" s="57"/>
      <c r="BL102" s="57"/>
      <c r="BM102" s="57"/>
      <c r="BN102" s="57"/>
      <c r="BO102" s="57"/>
      <c r="BP102" s="57"/>
      <c r="BQ102" s="57"/>
      <c r="BR102" s="57"/>
    </row>
    <row r="103" spans="40:70" ht="15" customHeight="1" x14ac:dyDescent="0.25">
      <c r="AN103" s="727"/>
      <c r="AO103" s="727"/>
      <c r="AP103" s="727"/>
      <c r="AQ103" s="746"/>
      <c r="AR103" s="746"/>
      <c r="AS103" s="746"/>
      <c r="AT103" s="747"/>
      <c r="AU103" s="748"/>
      <c r="AV103" s="748"/>
      <c r="AW103" s="749"/>
      <c r="AY103" s="731"/>
      <c r="AZ103" s="732"/>
      <c r="BA103" s="732"/>
      <c r="BB103" s="732"/>
      <c r="BC103" s="732"/>
      <c r="BD103" s="732"/>
      <c r="BE103" s="732"/>
      <c r="BF103" s="732"/>
      <c r="BG103" s="732"/>
      <c r="BH103" s="733"/>
      <c r="BI103" s="57"/>
      <c r="BJ103" s="57"/>
      <c r="BK103" s="57"/>
      <c r="BL103" s="57"/>
      <c r="BM103" s="57"/>
      <c r="BN103" s="57"/>
      <c r="BO103" s="57"/>
      <c r="BP103" s="57"/>
      <c r="BQ103" s="57"/>
      <c r="BR103" s="57"/>
    </row>
    <row r="104" spans="40:70" ht="15" customHeight="1" x14ac:dyDescent="0.25">
      <c r="AN104" s="727"/>
      <c r="AO104" s="727"/>
      <c r="AP104" s="727"/>
      <c r="AQ104" s="746"/>
      <c r="AR104" s="746"/>
      <c r="AS104" s="746"/>
      <c r="AT104" s="747"/>
      <c r="AU104" s="748"/>
      <c r="AV104" s="748"/>
      <c r="AW104" s="749"/>
      <c r="AY104" s="731"/>
      <c r="AZ104" s="732"/>
      <c r="BA104" s="732"/>
      <c r="BB104" s="732"/>
      <c r="BC104" s="732"/>
      <c r="BD104" s="732"/>
      <c r="BE104" s="732"/>
      <c r="BF104" s="732"/>
      <c r="BG104" s="732"/>
      <c r="BH104" s="733"/>
      <c r="BI104" s="57"/>
      <c r="BJ104" s="57"/>
      <c r="BK104" s="57"/>
      <c r="BL104" s="57"/>
      <c r="BM104" s="57"/>
      <c r="BN104" s="57"/>
      <c r="BO104" s="57"/>
      <c r="BP104" s="57"/>
      <c r="BQ104" s="57"/>
      <c r="BR104" s="57"/>
    </row>
    <row r="105" spans="40:70" ht="15" customHeight="1" x14ac:dyDescent="0.25">
      <c r="AN105" s="727"/>
      <c r="AO105" s="727"/>
      <c r="AP105" s="727"/>
      <c r="AQ105" s="746"/>
      <c r="AR105" s="746"/>
      <c r="AS105" s="746"/>
      <c r="AT105" s="747"/>
      <c r="AU105" s="748"/>
      <c r="AV105" s="748"/>
      <c r="AW105" s="749"/>
      <c r="AY105" s="734"/>
      <c r="AZ105" s="735"/>
      <c r="BA105" s="735"/>
      <c r="BB105" s="735"/>
      <c r="BC105" s="735"/>
      <c r="BD105" s="735"/>
      <c r="BE105" s="735"/>
      <c r="BF105" s="735"/>
      <c r="BG105" s="735"/>
      <c r="BH105" s="736"/>
      <c r="BI105" s="57"/>
      <c r="BJ105" s="57"/>
      <c r="BK105" s="57"/>
      <c r="BL105" s="57"/>
      <c r="BM105" s="57"/>
      <c r="BN105" s="57"/>
      <c r="BO105" s="57"/>
      <c r="BP105" s="57"/>
      <c r="BQ105" s="57"/>
      <c r="BR105" s="57"/>
    </row>
    <row r="106" spans="40:70" x14ac:dyDescent="0.25">
      <c r="AQ106" s="1254">
        <f ca="1">AQ103+AQ100+AQ97</f>
        <v>48</v>
      </c>
      <c r="AR106" s="1254"/>
      <c r="AS106" s="1254"/>
      <c r="AT106" s="747">
        <f ca="1">AT100+AT103+AT97</f>
        <v>2400</v>
      </c>
      <c r="AU106" s="748"/>
      <c r="AV106" s="748"/>
      <c r="AW106" s="749"/>
    </row>
    <row r="107" spans="40:70" x14ac:dyDescent="0.25">
      <c r="AQ107" s="1254"/>
      <c r="AR107" s="1254"/>
      <c r="AS107" s="1254"/>
      <c r="AT107" s="747"/>
      <c r="AU107" s="748"/>
      <c r="AV107" s="748"/>
      <c r="AW107" s="749"/>
    </row>
    <row r="108" spans="40:70" ht="15" customHeight="1" x14ac:dyDescent="0.25">
      <c r="AQ108" s="1254"/>
      <c r="AR108" s="1254"/>
      <c r="AS108" s="1254"/>
      <c r="AT108" s="747"/>
      <c r="AU108" s="748"/>
      <c r="AV108" s="748"/>
      <c r="AW108" s="749"/>
    </row>
    <row r="109" spans="40:70" ht="15" customHeight="1" x14ac:dyDescent="0.25"/>
    <row r="110" spans="40:70" ht="15" customHeight="1" x14ac:dyDescent="0.25"/>
    <row r="111" spans="40:70" ht="15" customHeight="1" x14ac:dyDescent="0.25"/>
    <row r="112" spans="40:70" ht="15" customHeight="1" x14ac:dyDescent="0.25"/>
    <row r="113" spans="45:47" ht="15" customHeight="1" x14ac:dyDescent="0.25"/>
    <row r="114" spans="45:47" ht="15" customHeight="1" x14ac:dyDescent="0.25"/>
    <row r="115" spans="45:47" ht="15" customHeight="1" x14ac:dyDescent="0.25"/>
    <row r="116" spans="45:47" ht="15" customHeight="1" x14ac:dyDescent="0.25"/>
    <row r="117" spans="45:47" ht="15" customHeight="1" x14ac:dyDescent="0.25"/>
    <row r="118" spans="45:47" ht="15" customHeight="1" x14ac:dyDescent="0.25"/>
    <row r="119" spans="45:47" ht="15" customHeight="1" x14ac:dyDescent="0.25">
      <c r="AS119" s="27"/>
      <c r="AT119" s="27"/>
      <c r="AU119" s="27"/>
    </row>
  </sheetData>
  <mergeCells count="442">
    <mergeCell ref="BN24:BN25"/>
    <mergeCell ref="BO24:BR24"/>
    <mergeCell ref="J42:L42"/>
    <mergeCell ref="J43:L47"/>
    <mergeCell ref="BN20:BO23"/>
    <mergeCell ref="BP20:BR23"/>
    <mergeCell ref="V24:Y24"/>
    <mergeCell ref="Z24:Z25"/>
    <mergeCell ref="AA24:AD24"/>
    <mergeCell ref="AE24:AE25"/>
    <mergeCell ref="AF24:AI24"/>
    <mergeCell ref="AJ24:AJ25"/>
    <mergeCell ref="AK24:AN24"/>
    <mergeCell ref="AO24:AO25"/>
    <mergeCell ref="AP24:AS24"/>
    <mergeCell ref="AT24:AT25"/>
    <mergeCell ref="AU24:AX24"/>
    <mergeCell ref="AY24:AY25"/>
    <mergeCell ref="AZ24:BC24"/>
    <mergeCell ref="AQ20:AS23"/>
    <mergeCell ref="BF20:BH23"/>
    <mergeCell ref="BI20:BJ23"/>
    <mergeCell ref="BK20:BM23"/>
    <mergeCell ref="Q27:T27"/>
    <mergeCell ref="AZ18:BC18"/>
    <mergeCell ref="BD18:BD19"/>
    <mergeCell ref="BE18:BH18"/>
    <mergeCell ref="BI18:BI19"/>
    <mergeCell ref="BJ18:BM18"/>
    <mergeCell ref="A24:A25"/>
    <mergeCell ref="B24:E24"/>
    <mergeCell ref="F24:F25"/>
    <mergeCell ref="G24:J24"/>
    <mergeCell ref="K24:K25"/>
    <mergeCell ref="L24:O24"/>
    <mergeCell ref="P24:P25"/>
    <mergeCell ref="Q24:T24"/>
    <mergeCell ref="U24:U25"/>
    <mergeCell ref="BD24:BD25"/>
    <mergeCell ref="BE24:BH24"/>
    <mergeCell ref="BI24:BI25"/>
    <mergeCell ref="BJ24:BM24"/>
    <mergeCell ref="BN18:BN19"/>
    <mergeCell ref="BO18:BR18"/>
    <mergeCell ref="A20:B23"/>
    <mergeCell ref="C20:E23"/>
    <mergeCell ref="F20:G23"/>
    <mergeCell ref="H20:J23"/>
    <mergeCell ref="K20:L23"/>
    <mergeCell ref="M20:O23"/>
    <mergeCell ref="P20:Q23"/>
    <mergeCell ref="R20:T23"/>
    <mergeCell ref="U20:V23"/>
    <mergeCell ref="W20:Y23"/>
    <mergeCell ref="Z20:AA23"/>
    <mergeCell ref="AB20:AD23"/>
    <mergeCell ref="AE20:AF23"/>
    <mergeCell ref="AG20:AI23"/>
    <mergeCell ref="AJ20:AK23"/>
    <mergeCell ref="AL20:AN23"/>
    <mergeCell ref="AO20:AP23"/>
    <mergeCell ref="AT20:AU23"/>
    <mergeCell ref="AV20:AX23"/>
    <mergeCell ref="AY20:AZ23"/>
    <mergeCell ref="BA20:BC23"/>
    <mergeCell ref="BD20:BE23"/>
    <mergeCell ref="BK14:BM17"/>
    <mergeCell ref="BN14:BO17"/>
    <mergeCell ref="BP14:BR17"/>
    <mergeCell ref="A18:A19"/>
    <mergeCell ref="B18:E18"/>
    <mergeCell ref="F18:F19"/>
    <mergeCell ref="G18:J18"/>
    <mergeCell ref="K18:K19"/>
    <mergeCell ref="L18:O18"/>
    <mergeCell ref="P18:P19"/>
    <mergeCell ref="Q18:T18"/>
    <mergeCell ref="U18:U19"/>
    <mergeCell ref="V18:Y18"/>
    <mergeCell ref="Z18:Z19"/>
    <mergeCell ref="AA18:AD18"/>
    <mergeCell ref="AE18:AE19"/>
    <mergeCell ref="AF18:AI18"/>
    <mergeCell ref="AJ18:AJ19"/>
    <mergeCell ref="AK18:AN18"/>
    <mergeCell ref="AO18:AO19"/>
    <mergeCell ref="AP18:AS18"/>
    <mergeCell ref="AT18:AT19"/>
    <mergeCell ref="AU18:AX18"/>
    <mergeCell ref="AY18:AY19"/>
    <mergeCell ref="AO14:AP17"/>
    <mergeCell ref="AQ14:AS17"/>
    <mergeCell ref="AT14:AU17"/>
    <mergeCell ref="AV14:AX17"/>
    <mergeCell ref="AY14:AZ17"/>
    <mergeCell ref="BA14:BC17"/>
    <mergeCell ref="BD14:BE17"/>
    <mergeCell ref="BF14:BH17"/>
    <mergeCell ref="BI14:BJ17"/>
    <mergeCell ref="BI8:BJ11"/>
    <mergeCell ref="BK8:BM11"/>
    <mergeCell ref="BN8:BO11"/>
    <mergeCell ref="BP8:BR11"/>
    <mergeCell ref="BI12:BI13"/>
    <mergeCell ref="BJ12:BM12"/>
    <mergeCell ref="BN12:BN13"/>
    <mergeCell ref="BO12:BR12"/>
    <mergeCell ref="A14:B17"/>
    <mergeCell ref="C14:E17"/>
    <mergeCell ref="F14:G17"/>
    <mergeCell ref="H14:J17"/>
    <mergeCell ref="K14:L17"/>
    <mergeCell ref="M14:O17"/>
    <mergeCell ref="P14:Q17"/>
    <mergeCell ref="R14:T17"/>
    <mergeCell ref="U14:V17"/>
    <mergeCell ref="W14:Y17"/>
    <mergeCell ref="Z14:AA17"/>
    <mergeCell ref="AB14:AD17"/>
    <mergeCell ref="AE14:AF17"/>
    <mergeCell ref="AG14:AI17"/>
    <mergeCell ref="AJ14:AK17"/>
    <mergeCell ref="AL14:AN17"/>
    <mergeCell ref="BE12:BH12"/>
    <mergeCell ref="AJ8:AK11"/>
    <mergeCell ref="AL8:AN11"/>
    <mergeCell ref="AO8:AP11"/>
    <mergeCell ref="AQ8:AS11"/>
    <mergeCell ref="AT8:AU11"/>
    <mergeCell ref="AV8:AX11"/>
    <mergeCell ref="AY8:AZ11"/>
    <mergeCell ref="BA8:BC11"/>
    <mergeCell ref="BD8:BE11"/>
    <mergeCell ref="AJ12:AJ13"/>
    <mergeCell ref="AK12:AN12"/>
    <mergeCell ref="AO12:AO13"/>
    <mergeCell ref="AP12:AS12"/>
    <mergeCell ref="AT12:AT13"/>
    <mergeCell ref="AU12:AX12"/>
    <mergeCell ref="AY12:AY13"/>
    <mergeCell ref="AZ12:BC12"/>
    <mergeCell ref="BD12:BD13"/>
    <mergeCell ref="BP2:BR5"/>
    <mergeCell ref="AA6:AD6"/>
    <mergeCell ref="H2:J5"/>
    <mergeCell ref="K2:L5"/>
    <mergeCell ref="M2:O5"/>
    <mergeCell ref="BJ39:BP40"/>
    <mergeCell ref="AO2:AP5"/>
    <mergeCell ref="AQ2:AS5"/>
    <mergeCell ref="P2:Q5"/>
    <mergeCell ref="R2:T5"/>
    <mergeCell ref="U2:V5"/>
    <mergeCell ref="W2:Y5"/>
    <mergeCell ref="Z2:AA5"/>
    <mergeCell ref="AH31:AQ34"/>
    <mergeCell ref="AS31:BD34"/>
    <mergeCell ref="BE31:BI40"/>
    <mergeCell ref="BJ31:BM34"/>
    <mergeCell ref="BN31:BP34"/>
    <mergeCell ref="V35:AG40"/>
    <mergeCell ref="AH35:AR40"/>
    <mergeCell ref="AS35:BD40"/>
    <mergeCell ref="BJ35:BP38"/>
    <mergeCell ref="BF8:BH11"/>
    <mergeCell ref="AE12:AE13"/>
    <mergeCell ref="BN2:BO5"/>
    <mergeCell ref="BI2:BJ5"/>
    <mergeCell ref="BK2:BM5"/>
    <mergeCell ref="AY2:AZ5"/>
    <mergeCell ref="BA2:BC5"/>
    <mergeCell ref="BD2:BE5"/>
    <mergeCell ref="BF2:BH5"/>
    <mergeCell ref="AB2:AD5"/>
    <mergeCell ref="A2:B5"/>
    <mergeCell ref="C2:E5"/>
    <mergeCell ref="F2:G5"/>
    <mergeCell ref="AE2:AF5"/>
    <mergeCell ref="AG2:AI5"/>
    <mergeCell ref="AJ2:AK5"/>
    <mergeCell ref="AL2:AN5"/>
    <mergeCell ref="AT2:AU5"/>
    <mergeCell ref="AV2:AX5"/>
    <mergeCell ref="BN6:BN7"/>
    <mergeCell ref="BO6:BR6"/>
    <mergeCell ref="A8:B11"/>
    <mergeCell ref="C8:E11"/>
    <mergeCell ref="F8:G11"/>
    <mergeCell ref="H8:J11"/>
    <mergeCell ref="K8:L11"/>
    <mergeCell ref="M8:O11"/>
    <mergeCell ref="AT6:AT7"/>
    <mergeCell ref="AU6:AX6"/>
    <mergeCell ref="BI6:BI7"/>
    <mergeCell ref="BJ6:BM6"/>
    <mergeCell ref="AY6:AY7"/>
    <mergeCell ref="AZ6:BC6"/>
    <mergeCell ref="BD6:BD7"/>
    <mergeCell ref="BE6:BH6"/>
    <mergeCell ref="AE6:AE7"/>
    <mergeCell ref="AF6:AI6"/>
    <mergeCell ref="AJ6:AJ7"/>
    <mergeCell ref="AK6:AN6"/>
    <mergeCell ref="AO6:AO7"/>
    <mergeCell ref="AP6:AS6"/>
    <mergeCell ref="A6:A7"/>
    <mergeCell ref="B6:E6"/>
    <mergeCell ref="P12:P13"/>
    <mergeCell ref="Q12:T12"/>
    <mergeCell ref="U12:U13"/>
    <mergeCell ref="V12:Y12"/>
    <mergeCell ref="Z12:Z13"/>
    <mergeCell ref="P6:P7"/>
    <mergeCell ref="Q6:T6"/>
    <mergeCell ref="A12:A13"/>
    <mergeCell ref="B12:E12"/>
    <mergeCell ref="F12:F13"/>
    <mergeCell ref="G12:J12"/>
    <mergeCell ref="K12:K13"/>
    <mergeCell ref="L12:O12"/>
    <mergeCell ref="P8:Q11"/>
    <mergeCell ref="R8:T11"/>
    <mergeCell ref="F6:F7"/>
    <mergeCell ref="G6:J6"/>
    <mergeCell ref="K6:K7"/>
    <mergeCell ref="L6:O6"/>
    <mergeCell ref="U6:U7"/>
    <mergeCell ref="V6:Y6"/>
    <mergeCell ref="Z6:Z7"/>
    <mergeCell ref="AA12:AD12"/>
    <mergeCell ref="W8:Y11"/>
    <mergeCell ref="Z8:AA11"/>
    <mergeCell ref="AB8:AD11"/>
    <mergeCell ref="U62:W62"/>
    <mergeCell ref="X62:Y62"/>
    <mergeCell ref="Z62:AB62"/>
    <mergeCell ref="AC62:AD62"/>
    <mergeCell ref="U8:V11"/>
    <mergeCell ref="V31:AG34"/>
    <mergeCell ref="AE8:AF11"/>
    <mergeCell ref="AG8:AI11"/>
    <mergeCell ref="AF12:AI12"/>
    <mergeCell ref="BB62:BC62"/>
    <mergeCell ref="A62:C62"/>
    <mergeCell ref="D62:E62"/>
    <mergeCell ref="F62:H62"/>
    <mergeCell ref="I62:J62"/>
    <mergeCell ref="K62:M62"/>
    <mergeCell ref="N62:O62"/>
    <mergeCell ref="AT62:AV62"/>
    <mergeCell ref="AW62:AX62"/>
    <mergeCell ref="AY62:BA62"/>
    <mergeCell ref="P62:R62"/>
    <mergeCell ref="S62:T62"/>
    <mergeCell ref="BL65:BM65"/>
    <mergeCell ref="BQ65:BR65"/>
    <mergeCell ref="A66:A67"/>
    <mergeCell ref="B66:E66"/>
    <mergeCell ref="F66:F67"/>
    <mergeCell ref="G66:J66"/>
    <mergeCell ref="K66:K67"/>
    <mergeCell ref="L66:O66"/>
    <mergeCell ref="BD62:BF62"/>
    <mergeCell ref="BG62:BH62"/>
    <mergeCell ref="AE62:AG62"/>
    <mergeCell ref="AH62:AI62"/>
    <mergeCell ref="AJ62:AL62"/>
    <mergeCell ref="AM62:AN62"/>
    <mergeCell ref="AO62:AQ62"/>
    <mergeCell ref="AR62:AS62"/>
    <mergeCell ref="BI62:BK62"/>
    <mergeCell ref="BL62:BM62"/>
    <mergeCell ref="BN62:BP62"/>
    <mergeCell ref="BQ62:BR62"/>
    <mergeCell ref="A63:C65"/>
    <mergeCell ref="F63:H65"/>
    <mergeCell ref="BI63:BK65"/>
    <mergeCell ref="BN63:BP65"/>
    <mergeCell ref="AE63:AG65"/>
    <mergeCell ref="AJ63:AL65"/>
    <mergeCell ref="AO63:AQ65"/>
    <mergeCell ref="AT63:AV65"/>
    <mergeCell ref="AY63:BA65"/>
    <mergeCell ref="BG68:BH68"/>
    <mergeCell ref="AY68:BA68"/>
    <mergeCell ref="D65:E65"/>
    <mergeCell ref="I65:J65"/>
    <mergeCell ref="N65:O65"/>
    <mergeCell ref="S65:T65"/>
    <mergeCell ref="X65:Y65"/>
    <mergeCell ref="AC65:AD65"/>
    <mergeCell ref="AH65:AI65"/>
    <mergeCell ref="K63:M65"/>
    <mergeCell ref="P63:R65"/>
    <mergeCell ref="U63:W65"/>
    <mergeCell ref="Z63:AB65"/>
    <mergeCell ref="X68:Y68"/>
    <mergeCell ref="Z68:AB68"/>
    <mergeCell ref="AC68:AD68"/>
    <mergeCell ref="AE68:AG68"/>
    <mergeCell ref="AU66:AX66"/>
    <mergeCell ref="AP66:AS66"/>
    <mergeCell ref="BG65:BH65"/>
    <mergeCell ref="BD63:BF65"/>
    <mergeCell ref="AR65:AS65"/>
    <mergeCell ref="AW65:AX65"/>
    <mergeCell ref="BB65:BC65"/>
    <mergeCell ref="AM65:AN65"/>
    <mergeCell ref="AO68:AQ68"/>
    <mergeCell ref="AR68:AS68"/>
    <mergeCell ref="AT68:AV68"/>
    <mergeCell ref="AW68:AX68"/>
    <mergeCell ref="AT66:AT67"/>
    <mergeCell ref="AK66:AN66"/>
    <mergeCell ref="AO66:AO67"/>
    <mergeCell ref="BB68:BC68"/>
    <mergeCell ref="BD68:BF68"/>
    <mergeCell ref="BJ66:BM66"/>
    <mergeCell ref="BN66:BN67"/>
    <mergeCell ref="BO66:BR66"/>
    <mergeCell ref="A68:C68"/>
    <mergeCell ref="D68:E68"/>
    <mergeCell ref="F68:H68"/>
    <mergeCell ref="I68:J68"/>
    <mergeCell ref="K68:M68"/>
    <mergeCell ref="N68:O68"/>
    <mergeCell ref="P68:R68"/>
    <mergeCell ref="Q66:T66"/>
    <mergeCell ref="U66:U67"/>
    <mergeCell ref="P66:P67"/>
    <mergeCell ref="AY66:AY67"/>
    <mergeCell ref="AZ66:BC66"/>
    <mergeCell ref="BD66:BD67"/>
    <mergeCell ref="BE66:BH66"/>
    <mergeCell ref="BI66:BI67"/>
    <mergeCell ref="AF66:AI66"/>
    <mergeCell ref="AJ66:AJ67"/>
    <mergeCell ref="V66:Y66"/>
    <mergeCell ref="Z66:Z67"/>
    <mergeCell ref="AA66:AD66"/>
    <mergeCell ref="AE66:AE67"/>
    <mergeCell ref="D71:E71"/>
    <mergeCell ref="I71:J71"/>
    <mergeCell ref="N71:O71"/>
    <mergeCell ref="S71:T71"/>
    <mergeCell ref="BI68:BK68"/>
    <mergeCell ref="BL68:BM68"/>
    <mergeCell ref="BN68:BP68"/>
    <mergeCell ref="BQ68:BR68"/>
    <mergeCell ref="A69:C71"/>
    <mergeCell ref="F69:H71"/>
    <mergeCell ref="K69:M71"/>
    <mergeCell ref="P69:R71"/>
    <mergeCell ref="U69:W71"/>
    <mergeCell ref="Z69:AB71"/>
    <mergeCell ref="AE69:AG71"/>
    <mergeCell ref="S68:T68"/>
    <mergeCell ref="U68:W68"/>
    <mergeCell ref="AJ69:AL71"/>
    <mergeCell ref="AO69:AQ71"/>
    <mergeCell ref="AT69:AV71"/>
    <mergeCell ref="AY69:BA71"/>
    <mergeCell ref="AH68:AI68"/>
    <mergeCell ref="AJ68:AL68"/>
    <mergeCell ref="AM68:AN68"/>
    <mergeCell ref="BL71:BM71"/>
    <mergeCell ref="AP72:AS72"/>
    <mergeCell ref="AT72:AT73"/>
    <mergeCell ref="AU72:AX72"/>
    <mergeCell ref="BQ71:BR71"/>
    <mergeCell ref="BD69:BF71"/>
    <mergeCell ref="BI69:BK71"/>
    <mergeCell ref="AW71:AX71"/>
    <mergeCell ref="BB71:BC71"/>
    <mergeCell ref="BG71:BH71"/>
    <mergeCell ref="BJ72:BM72"/>
    <mergeCell ref="BN69:BP71"/>
    <mergeCell ref="BN72:BN73"/>
    <mergeCell ref="BO72:BR72"/>
    <mergeCell ref="A75:C75"/>
    <mergeCell ref="D75:E75"/>
    <mergeCell ref="G75:I77"/>
    <mergeCell ref="AY72:AY73"/>
    <mergeCell ref="AZ72:BC72"/>
    <mergeCell ref="BD72:BD73"/>
    <mergeCell ref="BE72:BH72"/>
    <mergeCell ref="BI72:BI73"/>
    <mergeCell ref="U72:U73"/>
    <mergeCell ref="V72:Y72"/>
    <mergeCell ref="A76:C78"/>
    <mergeCell ref="D78:E78"/>
    <mergeCell ref="G78:I80"/>
    <mergeCell ref="A72:A73"/>
    <mergeCell ref="B72:E72"/>
    <mergeCell ref="F72:F73"/>
    <mergeCell ref="G72:J72"/>
    <mergeCell ref="K72:K73"/>
    <mergeCell ref="L72:O72"/>
    <mergeCell ref="P72:P73"/>
    <mergeCell ref="Q72:T72"/>
    <mergeCell ref="Z72:Z73"/>
    <mergeCell ref="AA72:AD72"/>
    <mergeCell ref="AE72:AE73"/>
    <mergeCell ref="X71:Y71"/>
    <mergeCell ref="G81:I84"/>
    <mergeCell ref="AJ72:AJ73"/>
    <mergeCell ref="AK72:AN72"/>
    <mergeCell ref="AO72:AO73"/>
    <mergeCell ref="AR87:AS89"/>
    <mergeCell ref="AT87:AU89"/>
    <mergeCell ref="AY87:BH89"/>
    <mergeCell ref="AQ103:AS105"/>
    <mergeCell ref="AT103:AW105"/>
    <mergeCell ref="AC71:AD71"/>
    <mergeCell ref="AH71:AI71"/>
    <mergeCell ref="AM71:AN71"/>
    <mergeCell ref="AR71:AS71"/>
    <mergeCell ref="AF72:AI72"/>
    <mergeCell ref="Q37:T42"/>
    <mergeCell ref="Q28:T28"/>
    <mergeCell ref="AQ106:AS108"/>
    <mergeCell ref="AT106:AW108"/>
    <mergeCell ref="AY95:BH96"/>
    <mergeCell ref="O88:V92"/>
    <mergeCell ref="AL90:AN93"/>
    <mergeCell ref="AO90:AQ93"/>
    <mergeCell ref="AR90:AS93"/>
    <mergeCell ref="AT90:AU93"/>
    <mergeCell ref="AY90:BH91"/>
    <mergeCell ref="AY92:BH94"/>
    <mergeCell ref="AD87:AH93"/>
    <mergeCell ref="AL87:AN89"/>
    <mergeCell ref="AO87:AQ89"/>
    <mergeCell ref="AN97:AP99"/>
    <mergeCell ref="AQ97:AS99"/>
    <mergeCell ref="AT97:AW99"/>
    <mergeCell ref="AY97:BH100"/>
    <mergeCell ref="AN100:AP102"/>
    <mergeCell ref="AQ100:AS102"/>
    <mergeCell ref="AT100:AW102"/>
    <mergeCell ref="AY101:BH105"/>
    <mergeCell ref="AN103:AP105"/>
  </mergeCells>
  <pageMargins left="0.5" right="0" top="0.65" bottom="0" header="0.3" footer="0.3"/>
  <pageSetup paperSize="8" scale="46" orientation="landscape" r:id="rId1"/>
  <colBreaks count="1" manualBreakCount="1">
    <brk id="70" max="50" man="1"/>
  </colBreaks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70517-D532-47E6-BBB3-591219D1BBB0}">
  <sheetPr>
    <tabColor rgb="FFFFC000"/>
  </sheetPr>
  <dimension ref="A1:CL108"/>
  <sheetViews>
    <sheetView view="pageBreakPreview" zoomScale="55" zoomScaleNormal="115" zoomScaleSheetLayoutView="55" workbookViewId="0">
      <selection activeCell="O31" sqref="O31:R31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140625" customWidth="1"/>
    <col min="47" max="47" width="10.71093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4.140625" customWidth="1"/>
    <col min="62" max="62" width="10.7109375" customWidth="1"/>
    <col min="63" max="63" width="4.28515625" customWidth="1"/>
    <col min="64" max="65" width="5.5703125" customWidth="1"/>
    <col min="66" max="66" width="4.140625" customWidth="1"/>
    <col min="67" max="67" width="10.7109375" customWidth="1"/>
    <col min="68" max="68" width="4.28515625" customWidth="1"/>
    <col min="69" max="70" width="5.5703125" customWidth="1"/>
    <col min="71" max="71" width="1" customWidth="1"/>
    <col min="72" max="72" width="56.7109375" customWidth="1"/>
    <col min="73" max="73" width="13" customWidth="1"/>
    <col min="74" max="74" width="7" customWidth="1"/>
  </cols>
  <sheetData>
    <row r="1" spans="1:83" ht="75" customHeight="1" x14ac:dyDescent="0.25"/>
    <row r="2" spans="1:83" ht="75" customHeight="1" x14ac:dyDescent="0.25"/>
    <row r="3" spans="1:83" ht="15" customHeight="1" x14ac:dyDescent="0.25">
      <c r="A3" s="3229" t="s">
        <v>110</v>
      </c>
      <c r="B3" s="3229"/>
      <c r="C3" s="3230">
        <f>B8/((42*3.1415/59)*(145/3.281))</f>
        <v>6.6820689080211481E-3</v>
      </c>
      <c r="D3" s="3230"/>
      <c r="E3" s="3230"/>
      <c r="F3" s="3229" t="s">
        <v>110</v>
      </c>
      <c r="G3" s="3229"/>
      <c r="H3" s="3230">
        <f t="shared" ref="H3" si="0">G8/((42*3.1415/59)*(145/3.281))</f>
        <v>5.6459637351238658E-3</v>
      </c>
      <c r="I3" s="3230"/>
      <c r="J3" s="3230"/>
      <c r="K3" s="3229" t="s">
        <v>110</v>
      </c>
      <c r="L3" s="3229"/>
      <c r="M3" s="3230">
        <f t="shared" ref="M3" si="1">L8/((42*3.1415/59)*(145/3.281))</f>
        <v>1.0118214579075029E-7</v>
      </c>
      <c r="N3" s="3230"/>
      <c r="O3" s="3230"/>
      <c r="P3" s="3229" t="s">
        <v>110</v>
      </c>
      <c r="Q3" s="3229"/>
      <c r="R3" s="3230">
        <f t="shared" ref="R3" si="2">Q8/((42*3.1415/59)*(145/3.281))</f>
        <v>1.0118214579075027E-9</v>
      </c>
      <c r="S3" s="3230"/>
      <c r="T3" s="3230"/>
      <c r="U3" s="3229" t="s">
        <v>110</v>
      </c>
      <c r="V3" s="3229"/>
      <c r="W3" s="3230">
        <f t="shared" ref="W3" si="3">V8/((42*3.1415/59)*(145/3.281))</f>
        <v>2.5184236087317742E-2</v>
      </c>
      <c r="X3" s="3230"/>
      <c r="Y3" s="3230"/>
      <c r="Z3" s="3229" t="s">
        <v>110</v>
      </c>
      <c r="AA3" s="3229"/>
      <c r="AB3" s="3230">
        <f t="shared" ref="AB3" si="4">AA8/((42*3.1415/59)*(145/3.281))</f>
        <v>3.0759372320388082E-3</v>
      </c>
      <c r="AC3" s="3230"/>
      <c r="AD3" s="3230"/>
      <c r="AE3" s="3229" t="s">
        <v>110</v>
      </c>
      <c r="AF3" s="3229"/>
      <c r="AG3" s="3230">
        <f t="shared" ref="AG3" si="5">AF8/((42*3.1415/59)*(145/3.281))</f>
        <v>1.2587058936369334E-2</v>
      </c>
      <c r="AH3" s="3230"/>
      <c r="AI3" s="3230"/>
      <c r="AJ3" s="3229" t="s">
        <v>110</v>
      </c>
      <c r="AK3" s="3229"/>
      <c r="AL3" s="3230">
        <f t="shared" ref="AL3" si="6">AK8/((42*3.1415/59)*(145/3.281))</f>
        <v>2.3130238527765513E-2</v>
      </c>
      <c r="AM3" s="3230"/>
      <c r="AN3" s="3230"/>
      <c r="AO3" s="3229" t="s">
        <v>110</v>
      </c>
      <c r="AP3" s="3229"/>
      <c r="AQ3" s="3230">
        <f t="shared" ref="AQ3" si="7">AP8/((42*3.1415/59)*(145/3.281))</f>
        <v>9.2480481252745755E-3</v>
      </c>
      <c r="AR3" s="3230"/>
      <c r="AS3" s="3230"/>
      <c r="AT3" s="3229" t="s">
        <v>110</v>
      </c>
      <c r="AU3" s="3229"/>
      <c r="AV3" s="3230">
        <f t="shared" ref="AV3" si="8">AU8/((42*3.1415/59)*(145/3.281))</f>
        <v>5.6459637351238658E-3</v>
      </c>
      <c r="AW3" s="3230"/>
      <c r="AX3" s="3230"/>
      <c r="AY3" s="3229" t="s">
        <v>110</v>
      </c>
      <c r="AZ3" s="3229"/>
      <c r="BA3" s="3230">
        <f t="shared" ref="BA3" si="9">AZ8/((42*3.1415/59)*(145/3.281))</f>
        <v>6.1680636074041371E-3</v>
      </c>
      <c r="BB3" s="3230"/>
      <c r="BC3" s="3230"/>
      <c r="BD3" s="3229" t="s">
        <v>110</v>
      </c>
      <c r="BE3" s="3229"/>
      <c r="BF3" s="3230">
        <f t="shared" ref="BF3" si="10">BE8/((42*3.1415/59)*(145/3.281))</f>
        <v>1.5379686160194041E-3</v>
      </c>
      <c r="BG3" s="3230"/>
      <c r="BH3" s="3230"/>
      <c r="BI3" s="3229" t="s">
        <v>110</v>
      </c>
      <c r="BJ3" s="3229"/>
      <c r="BK3" s="3230">
        <f t="shared" ref="BK3" si="11">BJ8/((42*3.1415/59)*(145/3.281))</f>
        <v>1.0118214579075028E-10</v>
      </c>
      <c r="BL3" s="3230"/>
      <c r="BM3" s="3230"/>
      <c r="BN3" s="3229" t="s">
        <v>110</v>
      </c>
      <c r="BO3" s="3229"/>
      <c r="BP3" s="3230">
        <f t="shared" ref="BP3" si="12">BO8/((42*3.1415/59)*(145/3.281))</f>
        <v>8.4871583889281326E-3</v>
      </c>
      <c r="BQ3" s="3230"/>
      <c r="BR3" s="3230"/>
    </row>
    <row r="4" spans="1:83" ht="15" customHeight="1" x14ac:dyDescent="0.25">
      <c r="A4" s="3229"/>
      <c r="B4" s="3229"/>
      <c r="C4" s="3230"/>
      <c r="D4" s="3230"/>
      <c r="E4" s="3230"/>
      <c r="F4" s="3229"/>
      <c r="G4" s="3229"/>
      <c r="H4" s="3230"/>
      <c r="I4" s="3230"/>
      <c r="J4" s="3230"/>
      <c r="K4" s="3229"/>
      <c r="L4" s="3229"/>
      <c r="M4" s="3230"/>
      <c r="N4" s="3230"/>
      <c r="O4" s="3230"/>
      <c r="P4" s="3229"/>
      <c r="Q4" s="3229"/>
      <c r="R4" s="3230"/>
      <c r="S4" s="3230"/>
      <c r="T4" s="3230"/>
      <c r="U4" s="3229"/>
      <c r="V4" s="3229"/>
      <c r="W4" s="3230"/>
      <c r="X4" s="3230"/>
      <c r="Y4" s="3230"/>
      <c r="Z4" s="3229"/>
      <c r="AA4" s="3229"/>
      <c r="AB4" s="3230"/>
      <c r="AC4" s="3230"/>
      <c r="AD4" s="3230"/>
      <c r="AE4" s="3229"/>
      <c r="AF4" s="3229"/>
      <c r="AG4" s="3230"/>
      <c r="AH4" s="3230"/>
      <c r="AI4" s="3230"/>
      <c r="AJ4" s="3229"/>
      <c r="AK4" s="3229"/>
      <c r="AL4" s="3230"/>
      <c r="AM4" s="3230"/>
      <c r="AN4" s="3230"/>
      <c r="AO4" s="3229"/>
      <c r="AP4" s="3229"/>
      <c r="AQ4" s="3230"/>
      <c r="AR4" s="3230"/>
      <c r="AS4" s="3230"/>
      <c r="AT4" s="3229"/>
      <c r="AU4" s="3229"/>
      <c r="AV4" s="3230"/>
      <c r="AW4" s="3230"/>
      <c r="AX4" s="3230"/>
      <c r="AY4" s="3229"/>
      <c r="AZ4" s="3229"/>
      <c r="BA4" s="3230"/>
      <c r="BB4" s="3230"/>
      <c r="BC4" s="3230"/>
      <c r="BD4" s="3229"/>
      <c r="BE4" s="3229"/>
      <c r="BF4" s="3230"/>
      <c r="BG4" s="3230"/>
      <c r="BH4" s="3230"/>
      <c r="BI4" s="3229"/>
      <c r="BJ4" s="3229"/>
      <c r="BK4" s="3230"/>
      <c r="BL4" s="3230"/>
      <c r="BM4" s="3230"/>
      <c r="BN4" s="3229"/>
      <c r="BO4" s="3229"/>
      <c r="BP4" s="3230"/>
      <c r="BQ4" s="3230"/>
      <c r="BR4" s="3230"/>
    </row>
    <row r="5" spans="1:83" ht="15" customHeight="1" x14ac:dyDescent="0.25">
      <c r="A5" s="3229"/>
      <c r="B5" s="3229"/>
      <c r="C5" s="3230"/>
      <c r="D5" s="3230"/>
      <c r="E5" s="3230"/>
      <c r="F5" s="3229"/>
      <c r="G5" s="3229"/>
      <c r="H5" s="3230"/>
      <c r="I5" s="3230"/>
      <c r="J5" s="3230"/>
      <c r="K5" s="3229"/>
      <c r="L5" s="3229"/>
      <c r="M5" s="3230"/>
      <c r="N5" s="3230"/>
      <c r="O5" s="3230"/>
      <c r="P5" s="3229"/>
      <c r="Q5" s="3229"/>
      <c r="R5" s="3230"/>
      <c r="S5" s="3230"/>
      <c r="T5" s="3230"/>
      <c r="U5" s="3229"/>
      <c r="V5" s="3229"/>
      <c r="W5" s="3230"/>
      <c r="X5" s="3230"/>
      <c r="Y5" s="3230"/>
      <c r="Z5" s="3229"/>
      <c r="AA5" s="3229"/>
      <c r="AB5" s="3230"/>
      <c r="AC5" s="3230"/>
      <c r="AD5" s="3230"/>
      <c r="AE5" s="3229"/>
      <c r="AF5" s="3229"/>
      <c r="AG5" s="3230"/>
      <c r="AH5" s="3230"/>
      <c r="AI5" s="3230"/>
      <c r="AJ5" s="3229"/>
      <c r="AK5" s="3229"/>
      <c r="AL5" s="3230"/>
      <c r="AM5" s="3230"/>
      <c r="AN5" s="3230"/>
      <c r="AO5" s="3229"/>
      <c r="AP5" s="3229"/>
      <c r="AQ5" s="3230"/>
      <c r="AR5" s="3230"/>
      <c r="AS5" s="3230"/>
      <c r="AT5" s="3229"/>
      <c r="AU5" s="3229"/>
      <c r="AV5" s="3230"/>
      <c r="AW5" s="3230"/>
      <c r="AX5" s="3230"/>
      <c r="AY5" s="3229"/>
      <c r="AZ5" s="3229"/>
      <c r="BA5" s="3230"/>
      <c r="BB5" s="3230"/>
      <c r="BC5" s="3230"/>
      <c r="BD5" s="3229"/>
      <c r="BE5" s="3229"/>
      <c r="BF5" s="3230"/>
      <c r="BG5" s="3230"/>
      <c r="BH5" s="3230"/>
      <c r="BI5" s="3229"/>
      <c r="BJ5" s="3229"/>
      <c r="BK5" s="3230"/>
      <c r="BL5" s="3230"/>
      <c r="BM5" s="3230"/>
      <c r="BN5" s="3229"/>
      <c r="BO5" s="3229"/>
      <c r="BP5" s="3230"/>
      <c r="BQ5" s="3230"/>
      <c r="BR5" s="3230"/>
    </row>
    <row r="6" spans="1:83" ht="24.95" customHeight="1" x14ac:dyDescent="0.25">
      <c r="A6" s="2043" t="s">
        <v>111</v>
      </c>
      <c r="B6" s="2043"/>
      <c r="C6" s="2043" t="s">
        <v>466</v>
      </c>
      <c r="D6" s="2043"/>
      <c r="E6" s="2043"/>
      <c r="F6" s="2043" t="s">
        <v>111</v>
      </c>
      <c r="G6" s="2043"/>
      <c r="H6" s="2043" t="s">
        <v>466</v>
      </c>
      <c r="I6" s="2043"/>
      <c r="J6" s="2043"/>
      <c r="K6" s="2043" t="s">
        <v>111</v>
      </c>
      <c r="L6" s="2043"/>
      <c r="M6" s="2043" t="s">
        <v>466</v>
      </c>
      <c r="N6" s="2043"/>
      <c r="O6" s="2043"/>
      <c r="P6" s="2043" t="s">
        <v>111</v>
      </c>
      <c r="Q6" s="2043"/>
      <c r="R6" s="2043" t="s">
        <v>466</v>
      </c>
      <c r="S6" s="2043"/>
      <c r="T6" s="2043"/>
      <c r="U6" s="2043" t="s">
        <v>111</v>
      </c>
      <c r="V6" s="2043"/>
      <c r="W6" s="2043" t="s">
        <v>466</v>
      </c>
      <c r="X6" s="2043"/>
      <c r="Y6" s="2043"/>
      <c r="Z6" s="2043" t="s">
        <v>111</v>
      </c>
      <c r="AA6" s="2043"/>
      <c r="AB6" s="2043" t="s">
        <v>466</v>
      </c>
      <c r="AC6" s="2043"/>
      <c r="AD6" s="2043"/>
      <c r="AE6" s="2043" t="s">
        <v>111</v>
      </c>
      <c r="AF6" s="2043"/>
      <c r="AG6" s="2043" t="s">
        <v>466</v>
      </c>
      <c r="AH6" s="2043"/>
      <c r="AI6" s="2043"/>
      <c r="AJ6" s="2043" t="s">
        <v>111</v>
      </c>
      <c r="AK6" s="2043"/>
      <c r="AL6" s="2043" t="s">
        <v>466</v>
      </c>
      <c r="AM6" s="2043"/>
      <c r="AN6" s="2043"/>
      <c r="AO6" s="2043" t="s">
        <v>111</v>
      </c>
      <c r="AP6" s="2043"/>
      <c r="AQ6" s="2043" t="s">
        <v>466</v>
      </c>
      <c r="AR6" s="2043"/>
      <c r="AS6" s="2043"/>
      <c r="AT6" s="2043" t="s">
        <v>111</v>
      </c>
      <c r="AU6" s="2043"/>
      <c r="AV6" s="2043" t="s">
        <v>466</v>
      </c>
      <c r="AW6" s="2043"/>
      <c r="AX6" s="2043"/>
      <c r="AY6" s="2043" t="s">
        <v>111</v>
      </c>
      <c r="AZ6" s="2043"/>
      <c r="BA6" s="2043" t="s">
        <v>466</v>
      </c>
      <c r="BB6" s="2043"/>
      <c r="BC6" s="2043"/>
      <c r="BD6" s="2043" t="s">
        <v>111</v>
      </c>
      <c r="BE6" s="2043"/>
      <c r="BF6" s="2043" t="s">
        <v>466</v>
      </c>
      <c r="BG6" s="2043"/>
      <c r="BH6" s="2043"/>
      <c r="BI6" s="2043" t="s">
        <v>111</v>
      </c>
      <c r="BJ6" s="2043"/>
      <c r="BK6" s="2043" t="s">
        <v>466</v>
      </c>
      <c r="BL6" s="2043"/>
      <c r="BM6" s="2043"/>
      <c r="BN6" s="2043" t="s">
        <v>111</v>
      </c>
      <c r="BO6" s="2043"/>
      <c r="BP6" s="2043" t="s">
        <v>466</v>
      </c>
      <c r="BQ6" s="2043"/>
      <c r="BR6" s="2043"/>
    </row>
    <row r="7" spans="1:83" s="22" customFormat="1" ht="80.099999999999994" customHeight="1" x14ac:dyDescent="1.35">
      <c r="A7" s="3231" t="s">
        <v>465</v>
      </c>
      <c r="B7" s="3232">
        <v>1</v>
      </c>
      <c r="C7" s="3232"/>
      <c r="D7" s="3232"/>
      <c r="E7" s="3232"/>
      <c r="F7" s="3231" t="s">
        <v>465</v>
      </c>
      <c r="G7" s="3232">
        <v>2</v>
      </c>
      <c r="H7" s="3232"/>
      <c r="I7" s="3232"/>
      <c r="J7" s="3232"/>
      <c r="K7" s="3231" t="s">
        <v>465</v>
      </c>
      <c r="L7" s="3232">
        <v>3</v>
      </c>
      <c r="M7" s="3232"/>
      <c r="N7" s="3232"/>
      <c r="O7" s="3232"/>
      <c r="P7" s="3231" t="s">
        <v>465</v>
      </c>
      <c r="Q7" s="3232">
        <v>4</v>
      </c>
      <c r="R7" s="3232"/>
      <c r="S7" s="3232"/>
      <c r="T7" s="3232"/>
      <c r="U7" s="3231" t="s">
        <v>465</v>
      </c>
      <c r="V7" s="3232">
        <v>5</v>
      </c>
      <c r="W7" s="3232"/>
      <c r="X7" s="3232"/>
      <c r="Y7" s="3232"/>
      <c r="Z7" s="3231" t="s">
        <v>465</v>
      </c>
      <c r="AA7" s="3232">
        <v>6</v>
      </c>
      <c r="AB7" s="3232"/>
      <c r="AC7" s="3232"/>
      <c r="AD7" s="3232"/>
      <c r="AE7" s="3231" t="s">
        <v>465</v>
      </c>
      <c r="AF7" s="3232">
        <v>7</v>
      </c>
      <c r="AG7" s="3232"/>
      <c r="AH7" s="3232"/>
      <c r="AI7" s="3232"/>
      <c r="AJ7" s="3231" t="s">
        <v>465</v>
      </c>
      <c r="AK7" s="3232">
        <v>8</v>
      </c>
      <c r="AL7" s="3232"/>
      <c r="AM7" s="3232"/>
      <c r="AN7" s="3232"/>
      <c r="AO7" s="3231" t="s">
        <v>465</v>
      </c>
      <c r="AP7" s="3232">
        <v>9</v>
      </c>
      <c r="AQ7" s="3232"/>
      <c r="AR7" s="3232"/>
      <c r="AS7" s="3232"/>
      <c r="AT7" s="3231" t="s">
        <v>465</v>
      </c>
      <c r="AU7" s="3232">
        <v>10</v>
      </c>
      <c r="AV7" s="3232"/>
      <c r="AW7" s="3232"/>
      <c r="AX7" s="3232"/>
      <c r="AY7" s="3231" t="s">
        <v>465</v>
      </c>
      <c r="AZ7" s="3232">
        <v>11</v>
      </c>
      <c r="BA7" s="3232"/>
      <c r="BB7" s="3232"/>
      <c r="BC7" s="3232"/>
      <c r="BD7" s="3231" t="s">
        <v>465</v>
      </c>
      <c r="BE7" s="3232">
        <v>12</v>
      </c>
      <c r="BF7" s="3232"/>
      <c r="BG7" s="3232"/>
      <c r="BH7" s="3232"/>
      <c r="BI7" s="3231" t="s">
        <v>465</v>
      </c>
      <c r="BJ7" s="3232">
        <v>13</v>
      </c>
      <c r="BK7" s="3232"/>
      <c r="BL7" s="3232"/>
      <c r="BM7" s="3232"/>
      <c r="BN7" s="3231" t="s">
        <v>465</v>
      </c>
      <c r="BO7" s="3232">
        <v>14</v>
      </c>
      <c r="BP7" s="3232"/>
      <c r="BQ7" s="3232"/>
      <c r="BR7" s="3232"/>
    </row>
    <row r="8" spans="1:83" ht="27" customHeight="1" x14ac:dyDescent="0.25">
      <c r="A8" s="3231"/>
      <c r="B8" s="323">
        <v>0.66039999999999999</v>
      </c>
      <c r="C8" s="324" t="s">
        <v>113</v>
      </c>
      <c r="D8" s="325">
        <v>1</v>
      </c>
      <c r="E8" s="326" t="s">
        <v>114</v>
      </c>
      <c r="F8" s="3231"/>
      <c r="G8" s="323">
        <v>0.55800000000000005</v>
      </c>
      <c r="H8" s="324" t="s">
        <v>113</v>
      </c>
      <c r="I8" s="325">
        <v>1</v>
      </c>
      <c r="J8" s="326" t="s">
        <v>114</v>
      </c>
      <c r="K8" s="3231"/>
      <c r="L8" s="323">
        <v>1.0000000000000001E-5</v>
      </c>
      <c r="M8" s="324" t="s">
        <v>113</v>
      </c>
      <c r="N8" s="325">
        <v>1</v>
      </c>
      <c r="O8" s="326" t="s">
        <v>114</v>
      </c>
      <c r="P8" s="3231"/>
      <c r="Q8" s="323">
        <v>9.9999999999999995E-8</v>
      </c>
      <c r="R8" s="324" t="s">
        <v>113</v>
      </c>
      <c r="S8" s="325">
        <v>1</v>
      </c>
      <c r="T8" s="326" t="s">
        <v>114</v>
      </c>
      <c r="U8" s="3231"/>
      <c r="V8" s="323">
        <v>2.4889999999999999</v>
      </c>
      <c r="W8" s="324" t="s">
        <v>113</v>
      </c>
      <c r="X8" s="325">
        <v>1</v>
      </c>
      <c r="Y8" s="326" t="s">
        <v>114</v>
      </c>
      <c r="Z8" s="3231"/>
      <c r="AA8" s="323">
        <v>0.30399999999999999</v>
      </c>
      <c r="AB8" s="324" t="s">
        <v>113</v>
      </c>
      <c r="AC8" s="325">
        <v>1</v>
      </c>
      <c r="AD8" s="326" t="s">
        <v>114</v>
      </c>
      <c r="AE8" s="3231"/>
      <c r="AF8" s="323">
        <v>1.244</v>
      </c>
      <c r="AG8" s="324" t="s">
        <v>113</v>
      </c>
      <c r="AH8" s="325">
        <v>1</v>
      </c>
      <c r="AI8" s="326" t="s">
        <v>114</v>
      </c>
      <c r="AJ8" s="3231"/>
      <c r="AK8" s="323">
        <v>2.286</v>
      </c>
      <c r="AL8" s="324" t="s">
        <v>113</v>
      </c>
      <c r="AM8" s="325">
        <v>1</v>
      </c>
      <c r="AN8" s="326" t="s">
        <v>114</v>
      </c>
      <c r="AO8" s="3231"/>
      <c r="AP8" s="323">
        <v>0.91400000000000003</v>
      </c>
      <c r="AQ8" s="324" t="s">
        <v>113</v>
      </c>
      <c r="AR8" s="325">
        <v>2</v>
      </c>
      <c r="AS8" s="326" t="s">
        <v>114</v>
      </c>
      <c r="AT8" s="3231"/>
      <c r="AU8" s="323">
        <v>0.55800000000000005</v>
      </c>
      <c r="AV8" s="324" t="s">
        <v>113</v>
      </c>
      <c r="AW8" s="325">
        <v>1</v>
      </c>
      <c r="AX8" s="326" t="s">
        <v>114</v>
      </c>
      <c r="AY8" s="3231"/>
      <c r="AZ8" s="323">
        <v>0.60960000000000003</v>
      </c>
      <c r="BA8" s="324" t="s">
        <v>113</v>
      </c>
      <c r="BB8" s="325">
        <v>1</v>
      </c>
      <c r="BC8" s="326" t="s">
        <v>114</v>
      </c>
      <c r="BD8" s="3231"/>
      <c r="BE8" s="323">
        <v>0.152</v>
      </c>
      <c r="BF8" s="324" t="s">
        <v>113</v>
      </c>
      <c r="BG8" s="325">
        <v>1</v>
      </c>
      <c r="BH8" s="326" t="s">
        <v>114</v>
      </c>
      <c r="BI8" s="3231"/>
      <c r="BJ8" s="323">
        <v>1E-8</v>
      </c>
      <c r="BK8" s="324" t="s">
        <v>113</v>
      </c>
      <c r="BL8" s="325">
        <v>1</v>
      </c>
      <c r="BM8" s="326" t="s">
        <v>114</v>
      </c>
      <c r="BN8" s="3231"/>
      <c r="BO8" s="323">
        <v>0.83879999999999999</v>
      </c>
      <c r="BP8" s="324" t="s">
        <v>113</v>
      </c>
      <c r="BQ8" s="325">
        <v>1</v>
      </c>
      <c r="BR8" s="326" t="s">
        <v>114</v>
      </c>
      <c r="BW8" s="27"/>
      <c r="BX8" s="27"/>
      <c r="BY8" s="27"/>
      <c r="BZ8" s="27"/>
      <c r="CA8" s="27"/>
      <c r="CB8" s="27"/>
      <c r="CC8" s="27"/>
      <c r="CD8" s="27"/>
      <c r="CE8" s="27"/>
    </row>
    <row r="9" spans="1:83" ht="15" customHeight="1" x14ac:dyDescent="0.25">
      <c r="A9" s="3229" t="s">
        <v>110</v>
      </c>
      <c r="B9" s="3229"/>
      <c r="C9" s="3230">
        <f t="shared" ref="C9" si="13">B14/((42*3.1415/59)*(145/3.281))</f>
        <v>6.6780216221895188E-3</v>
      </c>
      <c r="D9" s="3230"/>
      <c r="E9" s="3230"/>
      <c r="F9" s="3229" t="s">
        <v>110</v>
      </c>
      <c r="G9" s="3229"/>
      <c r="H9" s="3230">
        <f t="shared" ref="H9" si="14">G14/((42*3.1415/59)*(145/3.281))</f>
        <v>1.0118214579075028E-12</v>
      </c>
      <c r="I9" s="3230"/>
      <c r="J9" s="3230"/>
      <c r="K9" s="3229" t="s">
        <v>110</v>
      </c>
      <c r="L9" s="3229"/>
      <c r="M9" s="3230">
        <f t="shared" ref="M9" si="15">L14/((42*3.1415/59)*(145/3.281))</f>
        <v>7.4470059301992202E-3</v>
      </c>
      <c r="N9" s="3230"/>
      <c r="O9" s="3230"/>
      <c r="P9" s="3229" t="s">
        <v>110</v>
      </c>
      <c r="Q9" s="3229"/>
      <c r="R9" s="3230">
        <f t="shared" ref="R9" si="16">Q14/((42*3.1415/59)*(145/3.281))</f>
        <v>3.0759372320388082E-3</v>
      </c>
      <c r="S9" s="3230"/>
      <c r="T9" s="3230"/>
      <c r="U9" s="3229" t="s">
        <v>110</v>
      </c>
      <c r="V9" s="3229"/>
      <c r="W9" s="3230">
        <f t="shared" ref="W9" si="17">V14/((42*3.1415/59)*(145/3.281))</f>
        <v>7.1940505657223444E-3</v>
      </c>
      <c r="X9" s="3230"/>
      <c r="Y9" s="3230"/>
      <c r="Z9" s="3229" t="s">
        <v>110</v>
      </c>
      <c r="AA9" s="3229"/>
      <c r="AB9" s="3230">
        <f t="shared" ref="AB9" si="18">AA14/((42*3.1415/59)*(145/3.281))</f>
        <v>1.5379686160194041E-3</v>
      </c>
      <c r="AC9" s="3230"/>
      <c r="AD9" s="3230"/>
      <c r="AE9" s="3229" t="s">
        <v>110</v>
      </c>
      <c r="AF9" s="3229"/>
      <c r="AG9" s="3230">
        <f t="shared" ref="AG9" si="19">AF14/((42*3.1415/59)*(145/3.281))</f>
        <v>2.0560212024680457E-3</v>
      </c>
      <c r="AH9" s="3230"/>
      <c r="AI9" s="3230"/>
      <c r="AJ9" s="3229" t="s">
        <v>110</v>
      </c>
      <c r="AK9" s="3229"/>
      <c r="AL9" s="3230">
        <f t="shared" ref="AL9" si="20">AK14/((42*3.1415/59)*(145/3.281))</f>
        <v>4.6240240626372877E-3</v>
      </c>
      <c r="AM9" s="3230"/>
      <c r="AN9" s="3230"/>
      <c r="AO9" s="3229" t="s">
        <v>110</v>
      </c>
      <c r="AP9" s="3229"/>
      <c r="AQ9" s="3230">
        <f t="shared" ref="AQ9" si="21">AP14/((42*3.1415/59)*(145/3.281))</f>
        <v>1.0118214579075028E-12</v>
      </c>
      <c r="AR9" s="3230"/>
      <c r="AS9" s="3230"/>
      <c r="AT9" s="3229" t="s">
        <v>110</v>
      </c>
      <c r="AU9" s="3229"/>
      <c r="AV9" s="3230">
        <f t="shared" ref="AV9" si="22">AU14/((42*3.1415/59)*(145/3.281))</f>
        <v>2.1066122753634207E-2</v>
      </c>
      <c r="AW9" s="3230"/>
      <c r="AX9" s="3230"/>
      <c r="AY9" s="3229" t="s">
        <v>110</v>
      </c>
      <c r="AZ9" s="3229"/>
      <c r="BA9" s="3230">
        <f t="shared" ref="BA9" si="23">AZ14/((42*3.1415/59)*(145/3.281))</f>
        <v>5.5761480545282481E-2</v>
      </c>
      <c r="BB9" s="3230"/>
      <c r="BC9" s="3230"/>
      <c r="BD9" s="3229" t="s">
        <v>110</v>
      </c>
      <c r="BE9" s="3229"/>
      <c r="BF9" s="3230">
        <f t="shared" ref="BF9" si="24">BE14/((42*3.1415/59)*(145/3.281))</f>
        <v>1.2587058936369334E-2</v>
      </c>
      <c r="BG9" s="3230"/>
      <c r="BH9" s="3230"/>
      <c r="BI9" s="3229" t="s">
        <v>110</v>
      </c>
      <c r="BJ9" s="3229"/>
      <c r="BK9" s="3230">
        <f t="shared" ref="BK9" si="25">BJ14/((42*3.1415/59)*(145/3.281))</f>
        <v>6.9309769866663946E-3</v>
      </c>
      <c r="BL9" s="3230"/>
      <c r="BM9" s="3230"/>
      <c r="BN9" s="3229" t="s">
        <v>110</v>
      </c>
      <c r="BO9" s="3229"/>
      <c r="BP9" s="3230">
        <f t="shared" ref="BP9" si="26">BO14/((42*3.1415/59)*(145/3.281))</f>
        <v>1.2850132515425286E-3</v>
      </c>
      <c r="BQ9" s="3230"/>
      <c r="BR9" s="3230"/>
    </row>
    <row r="10" spans="1:83" ht="15" customHeight="1" x14ac:dyDescent="0.25">
      <c r="A10" s="3229"/>
      <c r="B10" s="3229"/>
      <c r="C10" s="3230"/>
      <c r="D10" s="3230"/>
      <c r="E10" s="3230"/>
      <c r="F10" s="3229"/>
      <c r="G10" s="3229"/>
      <c r="H10" s="3230"/>
      <c r="I10" s="3230"/>
      <c r="J10" s="3230"/>
      <c r="K10" s="3229"/>
      <c r="L10" s="3229"/>
      <c r="M10" s="3230"/>
      <c r="N10" s="3230"/>
      <c r="O10" s="3230"/>
      <c r="P10" s="3229"/>
      <c r="Q10" s="3229"/>
      <c r="R10" s="3230"/>
      <c r="S10" s="3230"/>
      <c r="T10" s="3230"/>
      <c r="U10" s="3229"/>
      <c r="V10" s="3229"/>
      <c r="W10" s="3230"/>
      <c r="X10" s="3230"/>
      <c r="Y10" s="3230"/>
      <c r="Z10" s="3229"/>
      <c r="AA10" s="3229"/>
      <c r="AB10" s="3230"/>
      <c r="AC10" s="3230"/>
      <c r="AD10" s="3230"/>
      <c r="AE10" s="3229"/>
      <c r="AF10" s="3229"/>
      <c r="AG10" s="3230"/>
      <c r="AH10" s="3230"/>
      <c r="AI10" s="3230"/>
      <c r="AJ10" s="3229"/>
      <c r="AK10" s="3229"/>
      <c r="AL10" s="3230"/>
      <c r="AM10" s="3230"/>
      <c r="AN10" s="3230"/>
      <c r="AO10" s="3229"/>
      <c r="AP10" s="3229"/>
      <c r="AQ10" s="3230"/>
      <c r="AR10" s="3230"/>
      <c r="AS10" s="3230"/>
      <c r="AT10" s="3229"/>
      <c r="AU10" s="3229"/>
      <c r="AV10" s="3230"/>
      <c r="AW10" s="3230"/>
      <c r="AX10" s="3230"/>
      <c r="AY10" s="3229"/>
      <c r="AZ10" s="3229"/>
      <c r="BA10" s="3230"/>
      <c r="BB10" s="3230"/>
      <c r="BC10" s="3230"/>
      <c r="BD10" s="3229"/>
      <c r="BE10" s="3229"/>
      <c r="BF10" s="3230"/>
      <c r="BG10" s="3230"/>
      <c r="BH10" s="3230"/>
      <c r="BI10" s="3229"/>
      <c r="BJ10" s="3229"/>
      <c r="BK10" s="3230"/>
      <c r="BL10" s="3230"/>
      <c r="BM10" s="3230"/>
      <c r="BN10" s="3229"/>
      <c r="BO10" s="3229"/>
      <c r="BP10" s="3230"/>
      <c r="BQ10" s="3230"/>
      <c r="BR10" s="3230"/>
    </row>
    <row r="11" spans="1:83" ht="15" customHeight="1" x14ac:dyDescent="0.25">
      <c r="A11" s="3229"/>
      <c r="B11" s="3229"/>
      <c r="C11" s="3230"/>
      <c r="D11" s="3230"/>
      <c r="E11" s="3230"/>
      <c r="F11" s="3229"/>
      <c r="G11" s="3229"/>
      <c r="H11" s="3230"/>
      <c r="I11" s="3230"/>
      <c r="J11" s="3230"/>
      <c r="K11" s="3229"/>
      <c r="L11" s="3229"/>
      <c r="M11" s="3230"/>
      <c r="N11" s="3230"/>
      <c r="O11" s="3230"/>
      <c r="P11" s="3229"/>
      <c r="Q11" s="3229"/>
      <c r="R11" s="3230"/>
      <c r="S11" s="3230"/>
      <c r="T11" s="3230"/>
      <c r="U11" s="3229"/>
      <c r="V11" s="3229"/>
      <c r="W11" s="3230"/>
      <c r="X11" s="3230"/>
      <c r="Y11" s="3230"/>
      <c r="Z11" s="3229"/>
      <c r="AA11" s="3229"/>
      <c r="AB11" s="3230"/>
      <c r="AC11" s="3230"/>
      <c r="AD11" s="3230"/>
      <c r="AE11" s="3229"/>
      <c r="AF11" s="3229"/>
      <c r="AG11" s="3230"/>
      <c r="AH11" s="3230"/>
      <c r="AI11" s="3230"/>
      <c r="AJ11" s="3229"/>
      <c r="AK11" s="3229"/>
      <c r="AL11" s="3230"/>
      <c r="AM11" s="3230"/>
      <c r="AN11" s="3230"/>
      <c r="AO11" s="3229"/>
      <c r="AP11" s="3229"/>
      <c r="AQ11" s="3230"/>
      <c r="AR11" s="3230"/>
      <c r="AS11" s="3230"/>
      <c r="AT11" s="3229"/>
      <c r="AU11" s="3229"/>
      <c r="AV11" s="3230"/>
      <c r="AW11" s="3230"/>
      <c r="AX11" s="3230"/>
      <c r="AY11" s="3229"/>
      <c r="AZ11" s="3229"/>
      <c r="BA11" s="3230"/>
      <c r="BB11" s="3230"/>
      <c r="BC11" s="3230"/>
      <c r="BD11" s="3229"/>
      <c r="BE11" s="3229"/>
      <c r="BF11" s="3230"/>
      <c r="BG11" s="3230"/>
      <c r="BH11" s="3230"/>
      <c r="BI11" s="3229"/>
      <c r="BJ11" s="3229"/>
      <c r="BK11" s="3230"/>
      <c r="BL11" s="3230"/>
      <c r="BM11" s="3230"/>
      <c r="BN11" s="3229"/>
      <c r="BO11" s="3229"/>
      <c r="BP11" s="3230"/>
      <c r="BQ11" s="3230"/>
      <c r="BR11" s="3230"/>
    </row>
    <row r="12" spans="1:83" ht="24.95" customHeight="1" x14ac:dyDescent="0.25">
      <c r="A12" s="2043" t="s">
        <v>111</v>
      </c>
      <c r="B12" s="2043"/>
      <c r="C12" s="2043" t="s">
        <v>466</v>
      </c>
      <c r="D12" s="2043"/>
      <c r="E12" s="2043"/>
      <c r="F12" s="2043" t="s">
        <v>111</v>
      </c>
      <c r="G12" s="2043"/>
      <c r="H12" s="2043" t="s">
        <v>466</v>
      </c>
      <c r="I12" s="2043"/>
      <c r="J12" s="2043"/>
      <c r="K12" s="2043" t="s">
        <v>111</v>
      </c>
      <c r="L12" s="2043"/>
      <c r="M12" s="2043" t="s">
        <v>466</v>
      </c>
      <c r="N12" s="2043"/>
      <c r="O12" s="2043"/>
      <c r="P12" s="2043" t="s">
        <v>111</v>
      </c>
      <c r="Q12" s="2043"/>
      <c r="R12" s="2043" t="s">
        <v>466</v>
      </c>
      <c r="S12" s="2043"/>
      <c r="T12" s="2043"/>
      <c r="U12" s="2043" t="s">
        <v>111</v>
      </c>
      <c r="V12" s="2043"/>
      <c r="W12" s="2043" t="s">
        <v>466</v>
      </c>
      <c r="X12" s="2043"/>
      <c r="Y12" s="2043"/>
      <c r="Z12" s="2043" t="s">
        <v>111</v>
      </c>
      <c r="AA12" s="2043"/>
      <c r="AB12" s="2043" t="s">
        <v>466</v>
      </c>
      <c r="AC12" s="2043"/>
      <c r="AD12" s="2043"/>
      <c r="AE12" s="2043" t="s">
        <v>111</v>
      </c>
      <c r="AF12" s="2043"/>
      <c r="AG12" s="2043" t="s">
        <v>466</v>
      </c>
      <c r="AH12" s="2043"/>
      <c r="AI12" s="2043"/>
      <c r="AJ12" s="2043" t="s">
        <v>111</v>
      </c>
      <c r="AK12" s="2043"/>
      <c r="AL12" s="2043" t="s">
        <v>466</v>
      </c>
      <c r="AM12" s="2043"/>
      <c r="AN12" s="2043"/>
      <c r="AO12" s="2043" t="s">
        <v>111</v>
      </c>
      <c r="AP12" s="2043"/>
      <c r="AQ12" s="2043" t="s">
        <v>466</v>
      </c>
      <c r="AR12" s="2043"/>
      <c r="AS12" s="2043"/>
      <c r="AT12" s="2043" t="s">
        <v>111</v>
      </c>
      <c r="AU12" s="2043"/>
      <c r="AV12" s="2043" t="s">
        <v>466</v>
      </c>
      <c r="AW12" s="2043"/>
      <c r="AX12" s="2043"/>
      <c r="AY12" s="2043" t="s">
        <v>111</v>
      </c>
      <c r="AZ12" s="2043"/>
      <c r="BA12" s="2043" t="s">
        <v>466</v>
      </c>
      <c r="BB12" s="2043"/>
      <c r="BC12" s="2043"/>
      <c r="BD12" s="2043" t="s">
        <v>111</v>
      </c>
      <c r="BE12" s="2043"/>
      <c r="BF12" s="2043" t="s">
        <v>466</v>
      </c>
      <c r="BG12" s="2043"/>
      <c r="BH12" s="2043"/>
      <c r="BI12" s="2043" t="s">
        <v>111</v>
      </c>
      <c r="BJ12" s="2043"/>
      <c r="BK12" s="2043" t="s">
        <v>466</v>
      </c>
      <c r="BL12" s="2043"/>
      <c r="BM12" s="2043"/>
      <c r="BN12" s="2043" t="s">
        <v>111</v>
      </c>
      <c r="BO12" s="2043"/>
      <c r="BP12" s="2043" t="s">
        <v>466</v>
      </c>
      <c r="BQ12" s="2043"/>
      <c r="BR12" s="2043"/>
    </row>
    <row r="13" spans="1:83" s="22" customFormat="1" ht="80.099999999999994" customHeight="1" x14ac:dyDescent="1.35">
      <c r="A13" s="3231" t="s">
        <v>465</v>
      </c>
      <c r="B13" s="3232">
        <v>15</v>
      </c>
      <c r="C13" s="3232"/>
      <c r="D13" s="3232"/>
      <c r="E13" s="3232"/>
      <c r="F13" s="3231" t="s">
        <v>465</v>
      </c>
      <c r="G13" s="3232">
        <v>16</v>
      </c>
      <c r="H13" s="3232"/>
      <c r="I13" s="3232"/>
      <c r="J13" s="3232"/>
      <c r="K13" s="3231" t="s">
        <v>465</v>
      </c>
      <c r="L13" s="3232">
        <v>17</v>
      </c>
      <c r="M13" s="3232"/>
      <c r="N13" s="3232"/>
      <c r="O13" s="3232"/>
      <c r="P13" s="3231" t="s">
        <v>465</v>
      </c>
      <c r="Q13" s="3232">
        <v>18</v>
      </c>
      <c r="R13" s="3232"/>
      <c r="S13" s="3232"/>
      <c r="T13" s="3232"/>
      <c r="U13" s="3231" t="s">
        <v>465</v>
      </c>
      <c r="V13" s="3232">
        <v>19</v>
      </c>
      <c r="W13" s="3232"/>
      <c r="X13" s="3232"/>
      <c r="Y13" s="3232"/>
      <c r="Z13" s="3231" t="s">
        <v>465</v>
      </c>
      <c r="AA13" s="3232">
        <v>20</v>
      </c>
      <c r="AB13" s="3232"/>
      <c r="AC13" s="3232"/>
      <c r="AD13" s="3232"/>
      <c r="AE13" s="3231" t="s">
        <v>465</v>
      </c>
      <c r="AF13" s="3232">
        <v>21</v>
      </c>
      <c r="AG13" s="3232"/>
      <c r="AH13" s="3232"/>
      <c r="AI13" s="3232"/>
      <c r="AJ13" s="3231" t="s">
        <v>465</v>
      </c>
      <c r="AK13" s="3232">
        <v>22</v>
      </c>
      <c r="AL13" s="3232"/>
      <c r="AM13" s="3232"/>
      <c r="AN13" s="3232"/>
      <c r="AO13" s="3231" t="s">
        <v>465</v>
      </c>
      <c r="AP13" s="3232">
        <v>23</v>
      </c>
      <c r="AQ13" s="3232"/>
      <c r="AR13" s="3232"/>
      <c r="AS13" s="3232"/>
      <c r="AT13" s="3231" t="s">
        <v>465</v>
      </c>
      <c r="AU13" s="3232">
        <v>24</v>
      </c>
      <c r="AV13" s="3232"/>
      <c r="AW13" s="3232"/>
      <c r="AX13" s="3232"/>
      <c r="AY13" s="3231" t="s">
        <v>465</v>
      </c>
      <c r="AZ13" s="3232">
        <v>25</v>
      </c>
      <c r="BA13" s="3232"/>
      <c r="BB13" s="3232"/>
      <c r="BC13" s="3232"/>
      <c r="BD13" s="3231" t="s">
        <v>465</v>
      </c>
      <c r="BE13" s="3232">
        <v>26</v>
      </c>
      <c r="BF13" s="3232"/>
      <c r="BG13" s="3232"/>
      <c r="BH13" s="3232"/>
      <c r="BI13" s="3231" t="s">
        <v>465</v>
      </c>
      <c r="BJ13" s="3232">
        <v>27</v>
      </c>
      <c r="BK13" s="3232"/>
      <c r="BL13" s="3232"/>
      <c r="BM13" s="3232"/>
      <c r="BN13" s="3231" t="s">
        <v>465</v>
      </c>
      <c r="BO13" s="3232">
        <v>28</v>
      </c>
      <c r="BP13" s="3232"/>
      <c r="BQ13" s="3232"/>
      <c r="BR13" s="3232"/>
    </row>
    <row r="14" spans="1:83" ht="27" customHeight="1" x14ac:dyDescent="0.25">
      <c r="A14" s="3231"/>
      <c r="B14" s="323">
        <v>0.66</v>
      </c>
      <c r="C14" s="324" t="s">
        <v>113</v>
      </c>
      <c r="D14" s="325">
        <v>1</v>
      </c>
      <c r="E14" s="326" t="s">
        <v>114</v>
      </c>
      <c r="F14" s="3231"/>
      <c r="G14" s="323">
        <v>1E-10</v>
      </c>
      <c r="H14" s="324" t="s">
        <v>113</v>
      </c>
      <c r="I14" s="325">
        <v>1</v>
      </c>
      <c r="J14" s="326" t="s">
        <v>114</v>
      </c>
      <c r="K14" s="3231"/>
      <c r="L14" s="323">
        <v>0.73599999999999999</v>
      </c>
      <c r="M14" s="324" t="s">
        <v>113</v>
      </c>
      <c r="N14" s="325">
        <v>1</v>
      </c>
      <c r="O14" s="326" t="s">
        <v>114</v>
      </c>
      <c r="P14" s="3231"/>
      <c r="Q14" s="323">
        <v>0.30399999999999999</v>
      </c>
      <c r="R14" s="324" t="s">
        <v>113</v>
      </c>
      <c r="S14" s="325">
        <v>1</v>
      </c>
      <c r="T14" s="326" t="s">
        <v>114</v>
      </c>
      <c r="U14" s="3231"/>
      <c r="V14" s="323">
        <v>0.71099999999999997</v>
      </c>
      <c r="W14" s="324" t="s">
        <v>113</v>
      </c>
      <c r="X14" s="325">
        <v>2</v>
      </c>
      <c r="Y14" s="326" t="s">
        <v>114</v>
      </c>
      <c r="Z14" s="3231"/>
      <c r="AA14" s="323">
        <v>0.152</v>
      </c>
      <c r="AB14" s="324" t="s">
        <v>113</v>
      </c>
      <c r="AC14" s="325">
        <v>1</v>
      </c>
      <c r="AD14" s="326" t="s">
        <v>114</v>
      </c>
      <c r="AE14" s="3231"/>
      <c r="AF14" s="323">
        <v>0.20319999999999999</v>
      </c>
      <c r="AG14" s="324" t="s">
        <v>113</v>
      </c>
      <c r="AH14" s="325">
        <v>1</v>
      </c>
      <c r="AI14" s="326" t="s">
        <v>114</v>
      </c>
      <c r="AJ14" s="3231"/>
      <c r="AK14" s="323">
        <v>0.45700000000000002</v>
      </c>
      <c r="AL14" s="324" t="s">
        <v>113</v>
      </c>
      <c r="AM14" s="325">
        <v>1</v>
      </c>
      <c r="AN14" s="326" t="s">
        <v>114</v>
      </c>
      <c r="AO14" s="3231"/>
      <c r="AP14" s="323">
        <v>1E-10</v>
      </c>
      <c r="AQ14" s="324" t="s">
        <v>113</v>
      </c>
      <c r="AR14" s="325">
        <v>1</v>
      </c>
      <c r="AS14" s="326" t="s">
        <v>114</v>
      </c>
      <c r="AT14" s="3231"/>
      <c r="AU14" s="323">
        <v>2.0819999999999999</v>
      </c>
      <c r="AV14" s="324" t="s">
        <v>113</v>
      </c>
      <c r="AW14" s="325">
        <v>1</v>
      </c>
      <c r="AX14" s="326" t="s">
        <v>114</v>
      </c>
      <c r="AY14" s="3231"/>
      <c r="AZ14" s="323">
        <v>5.5110000000000001</v>
      </c>
      <c r="BA14" s="324" t="s">
        <v>113</v>
      </c>
      <c r="BB14" s="325">
        <v>1</v>
      </c>
      <c r="BC14" s="326" t="s">
        <v>114</v>
      </c>
      <c r="BD14" s="3231"/>
      <c r="BE14" s="323">
        <v>1.244</v>
      </c>
      <c r="BF14" s="324" t="s">
        <v>113</v>
      </c>
      <c r="BG14" s="325">
        <v>1</v>
      </c>
      <c r="BH14" s="326" t="s">
        <v>114</v>
      </c>
      <c r="BI14" s="3231"/>
      <c r="BJ14" s="323">
        <v>0.68500000000000005</v>
      </c>
      <c r="BK14" s="324" t="s">
        <v>113</v>
      </c>
      <c r="BL14" s="325">
        <v>1</v>
      </c>
      <c r="BM14" s="326" t="s">
        <v>114</v>
      </c>
      <c r="BN14" s="3231"/>
      <c r="BO14" s="323">
        <v>0.127</v>
      </c>
      <c r="BP14" s="324" t="s">
        <v>113</v>
      </c>
      <c r="BQ14" s="325">
        <v>1</v>
      </c>
      <c r="BR14" s="326" t="s">
        <v>114</v>
      </c>
      <c r="BW14" s="27"/>
      <c r="BX14" s="27"/>
      <c r="BY14" s="27"/>
      <c r="BZ14" s="27"/>
      <c r="CA14" s="27"/>
      <c r="CB14" s="27"/>
      <c r="CC14" s="27"/>
      <c r="CD14" s="27"/>
      <c r="CE14" s="27"/>
    </row>
    <row r="15" spans="1:83" ht="15" customHeight="1" x14ac:dyDescent="0.25">
      <c r="A15" s="3229" t="s">
        <v>110</v>
      </c>
      <c r="B15" s="3229"/>
      <c r="C15" s="3230">
        <f t="shared" ref="C15" si="27">B20/((42*3.1415/59)*(145/3.281))</f>
        <v>1.772711194253945E-2</v>
      </c>
      <c r="D15" s="3230"/>
      <c r="E15" s="3230"/>
      <c r="F15" s="3229" t="s">
        <v>110</v>
      </c>
      <c r="G15" s="3229"/>
      <c r="H15" s="3230">
        <f t="shared" ref="H15" si="28">G20/((42*3.1415/59)*(145/3.281))</f>
        <v>1.0017032433284277E-2</v>
      </c>
      <c r="I15" s="3230"/>
      <c r="J15" s="3230"/>
      <c r="K15" s="3229" t="s">
        <v>110</v>
      </c>
      <c r="L15" s="3229"/>
      <c r="M15" s="3230">
        <f t="shared" ref="M15" si="29">L20/((42*3.1415/59)*(145/3.281))</f>
        <v>4.8830503558616083E-3</v>
      </c>
      <c r="N15" s="3230"/>
      <c r="O15" s="3230"/>
      <c r="P15" s="3229" t="s">
        <v>110</v>
      </c>
      <c r="Q15" s="3229"/>
      <c r="R15" s="3230">
        <f t="shared" ref="R15" si="30">Q20/((42*3.1415/59)*(145/3.281))</f>
        <v>1.9528154137614804E-2</v>
      </c>
      <c r="S15" s="3230"/>
      <c r="T15" s="3230"/>
      <c r="U15" s="3229" t="s">
        <v>110</v>
      </c>
      <c r="V15" s="3229"/>
      <c r="W15" s="3230">
        <f t="shared" ref="W15" si="31">V20/((42*3.1415/59)*(145/3.281))</f>
        <v>7.9630348737320476E-3</v>
      </c>
      <c r="X15" s="3230"/>
      <c r="Y15" s="3230"/>
      <c r="Z15" s="3229" t="s">
        <v>110</v>
      </c>
      <c r="AA15" s="3229"/>
      <c r="AB15" s="3230">
        <f t="shared" ref="AB15" si="32">AA20/((42*3.1415/59)*(145/3.281))</f>
        <v>1.8496096250549151E-2</v>
      </c>
      <c r="AC15" s="3230"/>
      <c r="AD15" s="3230"/>
      <c r="AE15" s="3229" t="s">
        <v>110</v>
      </c>
      <c r="AF15" s="3229"/>
      <c r="AG15" s="3230">
        <f t="shared" ref="AG15" si="33">AF20/((42*3.1415/59)*(145/3.281))</f>
        <v>2.2351136005176738E-2</v>
      </c>
      <c r="AH15" s="3230"/>
      <c r="AI15" s="3230"/>
      <c r="AJ15" s="3229" t="s">
        <v>110</v>
      </c>
      <c r="AK15" s="3229"/>
      <c r="AL15" s="3230">
        <f t="shared" ref="AL15" si="34">AK20/((42*3.1415/59)*(145/3.281))</f>
        <v>4.4712390224932543E-2</v>
      </c>
      <c r="AM15" s="3230"/>
      <c r="AN15" s="3230"/>
      <c r="AO15" s="3229" t="s">
        <v>110</v>
      </c>
      <c r="AP15" s="3229"/>
      <c r="AQ15" s="3230">
        <f t="shared" ref="AQ15" si="35">AP20/((42*3.1415/59)*(145/3.281))</f>
        <v>3.1868227456108913E-2</v>
      </c>
      <c r="AR15" s="3230"/>
      <c r="AS15" s="3230"/>
      <c r="AT15" s="3229" t="s">
        <v>110</v>
      </c>
      <c r="AU15" s="3229"/>
      <c r="AV15" s="3230">
        <f t="shared" ref="AV15" si="36">AU20/((42*3.1415/59)*(145/3.281))</f>
        <v>0.14931449254341017</v>
      </c>
      <c r="AW15" s="3230"/>
      <c r="AX15" s="3230"/>
      <c r="AY15" s="121"/>
      <c r="AZ15" s="121"/>
      <c r="BA15" s="121"/>
      <c r="BB15" s="31"/>
      <c r="BC15" s="121"/>
      <c r="BD15" s="121"/>
      <c r="BE15" s="121"/>
      <c r="BF15" s="121"/>
      <c r="BG15" s="121"/>
      <c r="BH15" s="31"/>
      <c r="BI15" s="121"/>
      <c r="BJ15" s="121"/>
      <c r="BK15" s="121"/>
      <c r="BL15" s="121"/>
      <c r="BM15" s="121"/>
      <c r="BN15" s="31"/>
      <c r="BO15" s="121"/>
      <c r="BP15" s="121"/>
      <c r="BQ15" s="121"/>
      <c r="BR15" s="121"/>
    </row>
    <row r="16" spans="1:83" ht="15" customHeight="1" x14ac:dyDescent="0.25">
      <c r="A16" s="3229"/>
      <c r="B16" s="3229"/>
      <c r="C16" s="3230"/>
      <c r="D16" s="3230"/>
      <c r="E16" s="3230"/>
      <c r="F16" s="3229"/>
      <c r="G16" s="3229"/>
      <c r="H16" s="3230"/>
      <c r="I16" s="3230"/>
      <c r="J16" s="3230"/>
      <c r="K16" s="3229"/>
      <c r="L16" s="3229"/>
      <c r="M16" s="3230"/>
      <c r="N16" s="3230"/>
      <c r="O16" s="3230"/>
      <c r="P16" s="3229"/>
      <c r="Q16" s="3229"/>
      <c r="R16" s="3230"/>
      <c r="S16" s="3230"/>
      <c r="T16" s="3230"/>
      <c r="U16" s="3229"/>
      <c r="V16" s="3229"/>
      <c r="W16" s="3230"/>
      <c r="X16" s="3230"/>
      <c r="Y16" s="3230"/>
      <c r="Z16" s="3229"/>
      <c r="AA16" s="3229"/>
      <c r="AB16" s="3230"/>
      <c r="AC16" s="3230"/>
      <c r="AD16" s="3230"/>
      <c r="AE16" s="3229"/>
      <c r="AF16" s="3229"/>
      <c r="AG16" s="3230"/>
      <c r="AH16" s="3230"/>
      <c r="AI16" s="3230"/>
      <c r="AJ16" s="3229"/>
      <c r="AK16" s="3229"/>
      <c r="AL16" s="3230"/>
      <c r="AM16" s="3230"/>
      <c r="AN16" s="3230"/>
      <c r="AO16" s="3229"/>
      <c r="AP16" s="3229"/>
      <c r="AQ16" s="3230"/>
      <c r="AR16" s="3230"/>
      <c r="AS16" s="3230"/>
      <c r="AT16" s="3229"/>
      <c r="AU16" s="3229"/>
      <c r="AV16" s="3230"/>
      <c r="AW16" s="3230"/>
      <c r="AX16" s="3230"/>
      <c r="AY16" s="34"/>
      <c r="AZ16" s="35"/>
      <c r="BA16" s="31"/>
      <c r="BB16" s="32"/>
      <c r="BC16" s="33"/>
      <c r="BD16" s="34"/>
      <c r="BE16" s="34"/>
      <c r="BF16" s="35"/>
      <c r="BG16" s="31"/>
      <c r="BH16" s="32"/>
      <c r="BI16" s="33"/>
      <c r="BJ16" s="34"/>
      <c r="BK16" s="34"/>
      <c r="BL16" s="35"/>
      <c r="BM16" s="31"/>
      <c r="BN16" s="32"/>
      <c r="BO16" s="33"/>
      <c r="BP16" s="34"/>
      <c r="BQ16" s="34"/>
      <c r="BR16" s="35"/>
    </row>
    <row r="17" spans="1:83" ht="15" customHeight="1" x14ac:dyDescent="0.25">
      <c r="A17" s="3229"/>
      <c r="B17" s="3229"/>
      <c r="C17" s="3230"/>
      <c r="D17" s="3230"/>
      <c r="E17" s="3230"/>
      <c r="F17" s="3229"/>
      <c r="G17" s="3229"/>
      <c r="H17" s="3230"/>
      <c r="I17" s="3230"/>
      <c r="J17" s="3230"/>
      <c r="K17" s="3229"/>
      <c r="L17" s="3229"/>
      <c r="M17" s="3230"/>
      <c r="N17" s="3230"/>
      <c r="O17" s="3230"/>
      <c r="P17" s="3229"/>
      <c r="Q17" s="3229"/>
      <c r="R17" s="3230"/>
      <c r="S17" s="3230"/>
      <c r="T17" s="3230"/>
      <c r="U17" s="3229"/>
      <c r="V17" s="3229"/>
      <c r="W17" s="3230"/>
      <c r="X17" s="3230"/>
      <c r="Y17" s="3230"/>
      <c r="Z17" s="3229"/>
      <c r="AA17" s="3229"/>
      <c r="AB17" s="3230"/>
      <c r="AC17" s="3230"/>
      <c r="AD17" s="3230"/>
      <c r="AE17" s="3229"/>
      <c r="AF17" s="3229"/>
      <c r="AG17" s="3230"/>
      <c r="AH17" s="3230"/>
      <c r="AI17" s="3230"/>
      <c r="AJ17" s="3229"/>
      <c r="AK17" s="3229"/>
      <c r="AL17" s="3230"/>
      <c r="AM17" s="3230"/>
      <c r="AN17" s="3230"/>
      <c r="AO17" s="3229"/>
      <c r="AP17" s="3229"/>
      <c r="AQ17" s="3230"/>
      <c r="AR17" s="3230"/>
      <c r="AS17" s="3230"/>
      <c r="AT17" s="3229"/>
      <c r="AU17" s="3229"/>
      <c r="AV17" s="3230"/>
      <c r="AW17" s="3230"/>
      <c r="AX17" s="3230"/>
      <c r="AY17" s="34"/>
      <c r="AZ17" s="35"/>
      <c r="BA17" s="31"/>
      <c r="BB17" s="32"/>
      <c r="BC17" s="33"/>
      <c r="BD17" s="34"/>
      <c r="BE17" s="34"/>
      <c r="BF17" s="35"/>
      <c r="BG17" s="31"/>
      <c r="BH17" s="32"/>
      <c r="BI17" s="33"/>
      <c r="BJ17" s="34"/>
      <c r="BK17" s="34"/>
      <c r="BL17" s="35"/>
      <c r="BM17" s="31"/>
      <c r="BN17" s="32"/>
      <c r="BO17" s="33"/>
      <c r="BP17" s="34"/>
      <c r="BQ17" s="34"/>
      <c r="BR17" s="35"/>
    </row>
    <row r="18" spans="1:83" ht="24.95" customHeight="1" x14ac:dyDescent="0.25">
      <c r="A18" s="2043" t="s">
        <v>111</v>
      </c>
      <c r="B18" s="2043"/>
      <c r="C18" s="2043" t="s">
        <v>466</v>
      </c>
      <c r="D18" s="2043"/>
      <c r="E18" s="2043"/>
      <c r="F18" s="2043" t="s">
        <v>111</v>
      </c>
      <c r="G18" s="2043"/>
      <c r="H18" s="2043" t="s">
        <v>466</v>
      </c>
      <c r="I18" s="2043"/>
      <c r="J18" s="2043"/>
      <c r="K18" s="2043" t="s">
        <v>111</v>
      </c>
      <c r="L18" s="2043"/>
      <c r="M18" s="2043" t="s">
        <v>466</v>
      </c>
      <c r="N18" s="2043"/>
      <c r="O18" s="2043"/>
      <c r="P18" s="2043" t="s">
        <v>111</v>
      </c>
      <c r="Q18" s="2043"/>
      <c r="R18" s="2043" t="s">
        <v>466</v>
      </c>
      <c r="S18" s="2043"/>
      <c r="T18" s="2043"/>
      <c r="U18" s="2043" t="s">
        <v>111</v>
      </c>
      <c r="V18" s="2043"/>
      <c r="W18" s="2043" t="s">
        <v>466</v>
      </c>
      <c r="X18" s="2043"/>
      <c r="Y18" s="2043"/>
      <c r="Z18" s="2043" t="s">
        <v>111</v>
      </c>
      <c r="AA18" s="2043"/>
      <c r="AB18" s="2043" t="s">
        <v>466</v>
      </c>
      <c r="AC18" s="2043"/>
      <c r="AD18" s="2043"/>
      <c r="AE18" s="2043" t="s">
        <v>111</v>
      </c>
      <c r="AF18" s="2043"/>
      <c r="AG18" s="2043" t="s">
        <v>466</v>
      </c>
      <c r="AH18" s="2043"/>
      <c r="AI18" s="2043"/>
      <c r="AJ18" s="2043" t="s">
        <v>111</v>
      </c>
      <c r="AK18" s="2043"/>
      <c r="AL18" s="2043" t="s">
        <v>466</v>
      </c>
      <c r="AM18" s="2043"/>
      <c r="AN18" s="2043"/>
      <c r="AO18" s="2043" t="s">
        <v>111</v>
      </c>
      <c r="AP18" s="2043"/>
      <c r="AQ18" s="2043" t="s">
        <v>466</v>
      </c>
      <c r="AR18" s="2043"/>
      <c r="AS18" s="2043"/>
      <c r="AT18" s="2043" t="s">
        <v>111</v>
      </c>
      <c r="AU18" s="2043"/>
      <c r="AV18" s="2043" t="s">
        <v>466</v>
      </c>
      <c r="AW18" s="2043"/>
      <c r="AX18" s="2043"/>
      <c r="AY18" s="121"/>
      <c r="AZ18" s="121"/>
      <c r="BA18" s="121"/>
      <c r="BB18" s="31"/>
      <c r="BC18" s="121"/>
      <c r="BD18" s="121"/>
      <c r="BE18" s="121"/>
      <c r="BF18" s="121"/>
      <c r="BG18" s="121"/>
      <c r="BH18" s="31"/>
      <c r="BI18" s="121"/>
      <c r="BJ18" s="121"/>
      <c r="BK18" s="121"/>
      <c r="BL18" s="121"/>
      <c r="BM18" s="121"/>
      <c r="BN18" s="31"/>
      <c r="BO18" s="121"/>
      <c r="BP18" s="121"/>
      <c r="BQ18" s="121"/>
      <c r="BR18" s="121"/>
    </row>
    <row r="19" spans="1:83" s="22" customFormat="1" ht="80.099999999999994" customHeight="1" x14ac:dyDescent="1.35">
      <c r="A19" s="3231" t="s">
        <v>465</v>
      </c>
      <c r="B19" s="3232">
        <v>29</v>
      </c>
      <c r="C19" s="3232"/>
      <c r="D19" s="3232"/>
      <c r="E19" s="3232"/>
      <c r="F19" s="3231" t="s">
        <v>465</v>
      </c>
      <c r="G19" s="3232">
        <v>30</v>
      </c>
      <c r="H19" s="3232"/>
      <c r="I19" s="3232"/>
      <c r="J19" s="3232"/>
      <c r="K19" s="3231" t="s">
        <v>465</v>
      </c>
      <c r="L19" s="3232">
        <v>31</v>
      </c>
      <c r="M19" s="3232"/>
      <c r="N19" s="3232"/>
      <c r="O19" s="3232"/>
      <c r="P19" s="3231" t="s">
        <v>465</v>
      </c>
      <c r="Q19" s="3232">
        <v>32</v>
      </c>
      <c r="R19" s="3232"/>
      <c r="S19" s="3232"/>
      <c r="T19" s="3232"/>
      <c r="U19" s="3231" t="s">
        <v>465</v>
      </c>
      <c r="V19" s="3232">
        <v>33</v>
      </c>
      <c r="W19" s="3232"/>
      <c r="X19" s="3232"/>
      <c r="Y19" s="3232"/>
      <c r="Z19" s="3231" t="s">
        <v>465</v>
      </c>
      <c r="AA19" s="3232">
        <v>34</v>
      </c>
      <c r="AB19" s="3232"/>
      <c r="AC19" s="3232"/>
      <c r="AD19" s="3232"/>
      <c r="AE19" s="3231" t="s">
        <v>465</v>
      </c>
      <c r="AF19" s="3232">
        <v>35</v>
      </c>
      <c r="AG19" s="3232"/>
      <c r="AH19" s="3232"/>
      <c r="AI19" s="3232"/>
      <c r="AJ19" s="3231" t="s">
        <v>465</v>
      </c>
      <c r="AK19" s="3232">
        <v>36</v>
      </c>
      <c r="AL19" s="3232"/>
      <c r="AM19" s="3232"/>
      <c r="AN19" s="3232"/>
      <c r="AO19" s="3231" t="s">
        <v>465</v>
      </c>
      <c r="AP19" s="3232">
        <v>37</v>
      </c>
      <c r="AQ19" s="3232"/>
      <c r="AR19" s="3232"/>
      <c r="AS19" s="3232"/>
      <c r="AT19" s="3231" t="s">
        <v>465</v>
      </c>
      <c r="AU19" s="3232">
        <v>38</v>
      </c>
      <c r="AV19" s="3232"/>
      <c r="AW19" s="3232"/>
      <c r="AX19" s="3232"/>
      <c r="AY19" s="34"/>
      <c r="AZ19" s="35"/>
      <c r="BA19" s="31"/>
      <c r="BB19" s="32"/>
      <c r="BC19" s="33"/>
      <c r="BD19" s="34"/>
      <c r="BE19" s="34"/>
      <c r="BF19" s="35"/>
      <c r="BG19" s="31"/>
      <c r="BH19" s="32"/>
      <c r="BI19" s="33"/>
      <c r="BJ19" s="34"/>
      <c r="BK19" s="34"/>
      <c r="BL19" s="35"/>
      <c r="BM19" s="31"/>
      <c r="BN19" s="32"/>
      <c r="BO19" s="33"/>
      <c r="BP19" s="34"/>
      <c r="BQ19" s="34"/>
      <c r="BR19" s="35"/>
    </row>
    <row r="20" spans="1:83" ht="26.25" x14ac:dyDescent="0.25">
      <c r="A20" s="3231"/>
      <c r="B20" s="323">
        <v>1.752</v>
      </c>
      <c r="C20" s="324" t="s">
        <v>113</v>
      </c>
      <c r="D20" s="325">
        <v>1</v>
      </c>
      <c r="E20" s="326" t="s">
        <v>114</v>
      </c>
      <c r="F20" s="3231"/>
      <c r="G20" s="323">
        <v>0.99</v>
      </c>
      <c r="H20" s="324" t="s">
        <v>113</v>
      </c>
      <c r="I20" s="325">
        <v>2</v>
      </c>
      <c r="J20" s="326" t="s">
        <v>114</v>
      </c>
      <c r="K20" s="3231"/>
      <c r="L20" s="323">
        <v>0.48259999999999997</v>
      </c>
      <c r="M20" s="324" t="s">
        <v>113</v>
      </c>
      <c r="N20" s="325">
        <v>1</v>
      </c>
      <c r="O20" s="326" t="s">
        <v>114</v>
      </c>
      <c r="P20" s="3231"/>
      <c r="Q20" s="323">
        <v>1.93</v>
      </c>
      <c r="R20" s="324" t="s">
        <v>113</v>
      </c>
      <c r="S20" s="325">
        <v>1</v>
      </c>
      <c r="T20" s="326" t="s">
        <v>114</v>
      </c>
      <c r="U20" s="3231"/>
      <c r="V20" s="323">
        <v>0.78700000000000003</v>
      </c>
      <c r="W20" s="324" t="s">
        <v>113</v>
      </c>
      <c r="X20" s="325">
        <v>1</v>
      </c>
      <c r="Y20" s="326" t="s">
        <v>114</v>
      </c>
      <c r="Z20" s="3231"/>
      <c r="AA20" s="323">
        <v>1.8280000000000001</v>
      </c>
      <c r="AB20" s="324" t="s">
        <v>113</v>
      </c>
      <c r="AC20" s="325">
        <v>1</v>
      </c>
      <c r="AD20" s="326" t="s">
        <v>114</v>
      </c>
      <c r="AE20" s="3231"/>
      <c r="AF20" s="323">
        <v>2.2090000000000001</v>
      </c>
      <c r="AG20" s="324" t="s">
        <v>113</v>
      </c>
      <c r="AH20" s="325">
        <v>1</v>
      </c>
      <c r="AI20" s="326" t="s">
        <v>114</v>
      </c>
      <c r="AJ20" s="3231"/>
      <c r="AK20" s="323">
        <v>4.4189999999999996</v>
      </c>
      <c r="AL20" s="324" t="s">
        <v>113</v>
      </c>
      <c r="AM20" s="325">
        <v>1</v>
      </c>
      <c r="AN20" s="326" t="s">
        <v>114</v>
      </c>
      <c r="AO20" s="3231"/>
      <c r="AP20" s="323">
        <v>3.1495899999999999</v>
      </c>
      <c r="AQ20" s="324" t="s">
        <v>113</v>
      </c>
      <c r="AR20" s="325">
        <v>1</v>
      </c>
      <c r="AS20" s="326" t="s">
        <v>114</v>
      </c>
      <c r="AT20" s="3231"/>
      <c r="AU20" s="323">
        <v>14.757</v>
      </c>
      <c r="AV20" s="324" t="s">
        <v>113</v>
      </c>
      <c r="AW20" s="325">
        <v>1</v>
      </c>
      <c r="AX20" s="326" t="s">
        <v>114</v>
      </c>
      <c r="AY20" s="34"/>
      <c r="AZ20" s="35"/>
      <c r="BA20" s="31"/>
      <c r="BB20" s="32"/>
      <c r="BC20" s="33"/>
      <c r="BD20" s="34"/>
      <c r="BE20" s="34"/>
      <c r="BF20" s="35"/>
      <c r="BG20" s="31"/>
      <c r="BH20" s="32"/>
      <c r="BI20" s="33"/>
      <c r="BJ20" s="34"/>
      <c r="BK20" s="34"/>
      <c r="BL20" s="35"/>
      <c r="BM20" s="31"/>
      <c r="BN20" s="32"/>
      <c r="BO20" s="33"/>
      <c r="BP20" s="34"/>
      <c r="BQ20" s="34"/>
      <c r="BR20" s="35"/>
      <c r="BW20" s="27"/>
      <c r="BX20" s="27"/>
      <c r="BY20" s="27"/>
      <c r="BZ20" s="27"/>
      <c r="CA20" s="27"/>
      <c r="CB20" s="27"/>
      <c r="CC20" s="27"/>
      <c r="CD20" s="27"/>
      <c r="CE20" s="27"/>
    </row>
    <row r="21" spans="1:83" ht="26.1" customHeight="1" x14ac:dyDescent="0.25">
      <c r="A21" s="121"/>
      <c r="B21" s="121"/>
      <c r="C21" s="121"/>
      <c r="D21" s="31"/>
      <c r="E21" s="121"/>
      <c r="F21" s="121"/>
      <c r="G21" s="121"/>
      <c r="H21" s="121"/>
      <c r="I21" s="121"/>
      <c r="J21" s="31"/>
      <c r="K21" s="121"/>
      <c r="L21" s="121"/>
      <c r="M21" s="121"/>
      <c r="N21" s="121"/>
      <c r="O21" s="121"/>
      <c r="P21" s="31"/>
      <c r="Q21" s="121"/>
      <c r="R21" s="121"/>
      <c r="S21" s="121"/>
      <c r="T21" s="121"/>
      <c r="U21" s="121"/>
      <c r="V21" s="31"/>
      <c r="W21" s="121"/>
      <c r="X21" s="121"/>
      <c r="Y21" s="121"/>
      <c r="Z21" s="121"/>
      <c r="AA21" s="121"/>
      <c r="AB21" s="31"/>
      <c r="AC21" s="121"/>
      <c r="AD21" s="121"/>
      <c r="AE21" s="121"/>
      <c r="AF21" s="121"/>
      <c r="AG21" s="121"/>
      <c r="AH21" s="31"/>
      <c r="AI21" s="121"/>
      <c r="AJ21" s="121"/>
      <c r="AK21" s="121"/>
      <c r="AL21" s="121"/>
      <c r="AM21" s="121"/>
      <c r="AN21" s="31"/>
      <c r="AO21" s="121"/>
      <c r="AP21" s="121"/>
      <c r="AQ21" s="121"/>
      <c r="AR21" s="121"/>
      <c r="AS21" s="121"/>
      <c r="AT21" s="31"/>
      <c r="AU21" s="121"/>
      <c r="AV21" s="121"/>
      <c r="AW21" s="121"/>
      <c r="AX21" s="121"/>
      <c r="AY21" s="121"/>
      <c r="AZ21" s="121"/>
      <c r="BA21" s="121"/>
      <c r="BB21" s="31"/>
      <c r="BC21" s="121"/>
      <c r="BD21" s="121"/>
      <c r="BE21" s="121"/>
      <c r="BF21" s="121"/>
      <c r="BG21" s="121"/>
      <c r="BH21" s="31"/>
      <c r="BI21" s="121"/>
      <c r="BJ21" s="121"/>
      <c r="BK21" s="121"/>
      <c r="BL21" s="121"/>
      <c r="BM21" s="121"/>
      <c r="BN21" s="31"/>
      <c r="BO21" s="121"/>
      <c r="BP21" s="121"/>
      <c r="BQ21" s="121"/>
      <c r="BR21" s="121"/>
    </row>
    <row r="22" spans="1:83" ht="6.75" customHeight="1" x14ac:dyDescent="0.25">
      <c r="A22" s="34"/>
      <c r="B22" s="35"/>
      <c r="C22" s="31"/>
      <c r="D22" s="32"/>
      <c r="E22" s="33"/>
      <c r="F22" s="34"/>
      <c r="G22" s="34"/>
      <c r="H22" s="35"/>
      <c r="I22" s="31"/>
      <c r="J22" s="32"/>
      <c r="K22" s="33"/>
      <c r="L22" s="34"/>
      <c r="M22" s="34"/>
      <c r="N22" s="35"/>
      <c r="O22" s="31"/>
      <c r="P22" s="32"/>
      <c r="Q22" s="33"/>
      <c r="R22" s="34"/>
      <c r="S22" s="34"/>
      <c r="T22" s="35"/>
      <c r="U22" s="31"/>
      <c r="V22" s="32"/>
      <c r="W22" s="33"/>
      <c r="X22" s="34"/>
      <c r="Y22" s="34"/>
      <c r="Z22" s="35"/>
      <c r="AA22" s="31"/>
      <c r="AB22" s="32"/>
      <c r="AC22" s="33"/>
      <c r="AD22" s="34"/>
      <c r="AE22" s="34"/>
      <c r="AF22" s="35"/>
      <c r="AG22" s="31"/>
      <c r="AH22" s="32"/>
      <c r="AI22" s="33"/>
      <c r="AJ22" s="34"/>
      <c r="AK22" s="34"/>
      <c r="AL22" s="35"/>
      <c r="AM22" s="31"/>
      <c r="AN22" s="32"/>
      <c r="AO22" s="33"/>
      <c r="AP22" s="34"/>
      <c r="AQ22" s="34"/>
      <c r="AR22" s="35"/>
      <c r="AS22" s="31"/>
      <c r="AT22" s="32"/>
      <c r="AU22" s="33"/>
      <c r="AV22" s="34"/>
      <c r="AW22" s="34"/>
      <c r="AX22" s="35"/>
      <c r="AY22" s="34"/>
      <c r="AZ22" s="35"/>
      <c r="BA22" s="31"/>
      <c r="BB22" s="32"/>
      <c r="BC22" s="33"/>
      <c r="BD22" s="34"/>
      <c r="BE22" s="34"/>
      <c r="BF22" s="35"/>
      <c r="BG22" s="31"/>
      <c r="BH22" s="32"/>
      <c r="BI22" s="33"/>
      <c r="BJ22" s="34"/>
      <c r="BK22" s="34"/>
      <c r="BL22" s="35"/>
      <c r="BM22" s="31"/>
      <c r="BN22" s="32"/>
      <c r="BO22" s="33"/>
      <c r="BP22" s="34"/>
      <c r="BQ22" s="34"/>
      <c r="BR22" s="35"/>
    </row>
    <row r="23" spans="1:83" ht="21.95" customHeight="1" x14ac:dyDescent="0.25">
      <c r="A23" s="34"/>
      <c r="B23" s="35"/>
      <c r="C23" s="31"/>
      <c r="D23" s="32"/>
      <c r="E23" s="33"/>
      <c r="F23" s="34"/>
      <c r="G23" s="34"/>
      <c r="H23" s="35"/>
      <c r="I23" s="31"/>
      <c r="J23" s="32"/>
      <c r="K23" s="33"/>
      <c r="L23" s="34"/>
      <c r="M23" s="34"/>
      <c r="N23" s="35"/>
      <c r="O23" s="31"/>
      <c r="P23" s="32"/>
      <c r="Q23" s="33"/>
      <c r="R23" s="34"/>
      <c r="S23" s="34"/>
      <c r="T23" s="35"/>
      <c r="U23" s="31"/>
      <c r="V23" s="32"/>
      <c r="W23" s="33"/>
      <c r="X23" s="34"/>
      <c r="Y23" s="34"/>
      <c r="Z23" s="35"/>
      <c r="AA23" s="31"/>
      <c r="AB23" s="32"/>
      <c r="AC23" s="33"/>
      <c r="AD23" s="34"/>
      <c r="AE23" s="34"/>
      <c r="AF23" s="35"/>
      <c r="AG23" s="31"/>
      <c r="AH23" s="32"/>
      <c r="AI23" s="33"/>
      <c r="AJ23" s="34"/>
      <c r="AK23" s="34"/>
      <c r="AL23" s="35"/>
      <c r="AM23" s="31"/>
      <c r="AN23" s="32"/>
      <c r="AO23" s="33"/>
      <c r="AP23" s="34"/>
      <c r="AQ23" s="34"/>
      <c r="AR23" s="35"/>
      <c r="AS23" s="31"/>
      <c r="AT23" s="32"/>
      <c r="AU23" s="33"/>
      <c r="AV23" s="34"/>
      <c r="AW23" s="34"/>
      <c r="AX23" s="35"/>
      <c r="AY23" s="34"/>
      <c r="AZ23" s="35"/>
      <c r="BA23" s="31"/>
      <c r="BB23" s="32"/>
      <c r="BC23" s="33"/>
      <c r="BD23" s="34"/>
      <c r="BE23" s="34"/>
      <c r="BF23" s="35"/>
      <c r="BG23" s="31"/>
      <c r="BH23" s="32"/>
      <c r="BI23" s="33"/>
      <c r="BJ23" s="34"/>
      <c r="BK23" s="34"/>
      <c r="BL23" s="35"/>
      <c r="BM23" s="31"/>
      <c r="BN23" s="32"/>
      <c r="BO23" s="33"/>
      <c r="BP23" s="34"/>
      <c r="BQ23" s="34"/>
      <c r="BR23" s="35"/>
    </row>
    <row r="24" spans="1:83" ht="6" customHeight="1" x14ac:dyDescent="0.25">
      <c r="A24" s="121"/>
      <c r="B24" s="121"/>
      <c r="C24" s="121"/>
      <c r="D24" s="31"/>
      <c r="E24" s="121"/>
      <c r="F24" s="121"/>
      <c r="G24" s="121"/>
      <c r="H24" s="121"/>
      <c r="I24" s="121"/>
      <c r="J24" s="31"/>
      <c r="K24" s="121"/>
      <c r="L24" s="121"/>
      <c r="M24" s="121"/>
      <c r="N24" s="121"/>
      <c r="O24" s="121"/>
      <c r="P24" s="31"/>
      <c r="Q24" s="121"/>
      <c r="R24" s="121"/>
      <c r="S24" s="121"/>
      <c r="T24" s="121"/>
      <c r="U24" s="121"/>
      <c r="V24" s="31"/>
      <c r="W24" s="121"/>
      <c r="X24" s="121"/>
      <c r="Y24" s="121"/>
      <c r="Z24" s="121"/>
      <c r="AA24" s="121"/>
      <c r="AB24" s="121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21"/>
      <c r="AQ24" s="121"/>
      <c r="AR24" s="121"/>
      <c r="AS24" s="121"/>
      <c r="AT24" s="31"/>
      <c r="AU24" s="121"/>
      <c r="AV24" s="121"/>
      <c r="AW24" s="121"/>
      <c r="AX24" s="121"/>
      <c r="AY24" s="121"/>
      <c r="AZ24" s="121"/>
      <c r="BA24" s="121"/>
      <c r="BB24" s="31"/>
      <c r="BC24" s="121"/>
      <c r="BD24" s="121"/>
      <c r="BE24" s="121"/>
      <c r="BF24" s="121"/>
      <c r="BG24" s="121"/>
      <c r="BH24" s="31"/>
      <c r="BI24" s="121"/>
      <c r="BJ24" s="121"/>
      <c r="BK24" s="121"/>
      <c r="BL24" s="121"/>
      <c r="BM24" s="121"/>
      <c r="BN24" s="31"/>
      <c r="BO24" s="121"/>
      <c r="BP24" s="121"/>
      <c r="BQ24" s="121"/>
      <c r="BR24" s="121"/>
    </row>
    <row r="25" spans="1:83" s="22" customFormat="1" ht="80.099999999999994" customHeight="1" x14ac:dyDescent="1.35">
      <c r="A25" s="34"/>
      <c r="B25" s="121"/>
      <c r="C25" s="121"/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35"/>
      <c r="U25" s="31"/>
      <c r="V25" s="32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3"/>
      <c r="AP25" s="34"/>
      <c r="AQ25" s="34"/>
      <c r="AR25" s="35"/>
      <c r="AS25" s="31"/>
      <c r="AT25" s="32"/>
      <c r="AU25" s="33"/>
      <c r="AV25" s="34"/>
      <c r="AW25" s="34"/>
      <c r="AX25" s="35"/>
      <c r="AY25" s="34"/>
      <c r="AZ25" s="35"/>
      <c r="BA25" s="31"/>
      <c r="BB25" s="32"/>
      <c r="BC25" s="33"/>
      <c r="BD25" s="34"/>
      <c r="BE25" s="34"/>
      <c r="BF25" s="35"/>
      <c r="BG25" s="31"/>
      <c r="BH25" s="32"/>
      <c r="BI25" s="33"/>
      <c r="BJ25" s="34"/>
      <c r="BK25" s="34"/>
      <c r="BL25" s="35"/>
      <c r="BM25" s="31"/>
      <c r="BN25" s="32"/>
      <c r="BO25" s="33"/>
      <c r="BP25" s="34"/>
      <c r="BQ25" s="34"/>
      <c r="BR25" s="35"/>
    </row>
    <row r="26" spans="1:83" ht="27" customHeight="1" x14ac:dyDescent="0.25">
      <c r="A26" s="34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1"/>
      <c r="V26" s="32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3"/>
      <c r="AP26" s="34"/>
      <c r="AQ26" s="34"/>
      <c r="AR26" s="35"/>
      <c r="AS26" s="31"/>
      <c r="AT26" s="32"/>
      <c r="AU26" s="33"/>
      <c r="AV26" s="34"/>
      <c r="AW26" s="34"/>
      <c r="AX26" s="35"/>
      <c r="AY26" s="34"/>
      <c r="AZ26" s="35"/>
      <c r="BA26" s="31"/>
      <c r="BB26" s="32"/>
      <c r="BC26" s="33"/>
      <c r="BD26" s="34"/>
      <c r="BE26" s="34"/>
      <c r="BF26" s="35"/>
      <c r="BG26" s="31"/>
      <c r="BH26" s="32"/>
      <c r="BI26" s="33"/>
      <c r="BJ26" s="34"/>
      <c r="BK26" s="34"/>
      <c r="BL26" s="35"/>
      <c r="BM26" s="31"/>
      <c r="BN26" s="32"/>
      <c r="BO26" s="33"/>
      <c r="BP26" s="34"/>
      <c r="BQ26" s="34"/>
      <c r="BR26" s="35"/>
      <c r="BW26" s="27"/>
      <c r="BX26" s="27"/>
      <c r="BY26" s="27"/>
      <c r="BZ26" s="27"/>
      <c r="CA26" s="27"/>
      <c r="CB26" s="27"/>
      <c r="CC26" s="27"/>
      <c r="CD26" s="27"/>
      <c r="CE26" s="27"/>
    </row>
    <row r="27" spans="1:83" ht="26.1" customHeight="1" x14ac:dyDescent="0.25">
      <c r="A27" s="12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121"/>
      <c r="U27" s="121"/>
      <c r="V27" s="31"/>
      <c r="W27" s="121"/>
      <c r="X27" s="121"/>
      <c r="Y27" s="121"/>
      <c r="Z27" s="121"/>
      <c r="AA27" s="121"/>
      <c r="AB27" s="31"/>
      <c r="AC27" s="121"/>
      <c r="AD27" s="121"/>
      <c r="AE27" s="121"/>
      <c r="AF27" s="121"/>
      <c r="AG27" s="121"/>
      <c r="AH27" s="31"/>
      <c r="AI27" s="121"/>
      <c r="AJ27" s="121"/>
      <c r="AK27" s="121"/>
      <c r="AL27" s="121"/>
      <c r="AM27" s="121"/>
      <c r="AN27" s="31"/>
      <c r="AO27" s="121"/>
      <c r="AP27" s="121"/>
      <c r="AQ27" s="121"/>
      <c r="AR27" s="121"/>
      <c r="AS27" s="121"/>
      <c r="AT27" s="31"/>
      <c r="AU27" s="121"/>
      <c r="AV27" s="121"/>
      <c r="AW27" s="121"/>
      <c r="AX27" s="121"/>
      <c r="AY27" s="121"/>
      <c r="AZ27" s="121"/>
      <c r="BA27" s="121"/>
      <c r="BB27" s="31"/>
      <c r="BC27" s="121"/>
      <c r="BD27" s="121"/>
      <c r="BE27" s="121"/>
      <c r="BF27" s="121"/>
      <c r="BG27" s="121"/>
      <c r="BH27" s="31"/>
      <c r="BI27" s="121"/>
      <c r="BJ27" s="121"/>
      <c r="BK27" s="121"/>
      <c r="BL27" s="121"/>
      <c r="BM27" s="121"/>
      <c r="BN27" s="31"/>
      <c r="BO27" s="121"/>
      <c r="BP27" s="121"/>
      <c r="BQ27" s="121"/>
      <c r="BR27" s="121"/>
    </row>
    <row r="28" spans="1:83" ht="6.75" customHeight="1" x14ac:dyDescent="0.25">
      <c r="A28" s="34"/>
      <c r="B28" s="35"/>
      <c r="C28" s="31"/>
      <c r="D28" s="32"/>
      <c r="E28" s="33"/>
      <c r="F28" s="34"/>
      <c r="G28" s="34"/>
      <c r="H28" s="35"/>
      <c r="I28" s="31"/>
      <c r="J28" s="32"/>
      <c r="K28" s="33"/>
      <c r="L28" s="34"/>
      <c r="M28" s="34"/>
      <c r="N28" s="35"/>
      <c r="O28" s="31"/>
      <c r="P28" s="32"/>
      <c r="Q28" s="33"/>
      <c r="R28" s="34"/>
      <c r="S28" s="34"/>
      <c r="T28" s="35"/>
      <c r="U28" s="31"/>
      <c r="V28" s="32"/>
      <c r="W28" s="33"/>
      <c r="X28" s="34"/>
      <c r="Y28" s="34"/>
      <c r="Z28" s="35"/>
      <c r="AA28" s="31"/>
      <c r="AB28" s="32"/>
      <c r="AC28" s="33"/>
      <c r="AD28" s="34"/>
      <c r="AE28" s="34"/>
      <c r="AF28" s="35"/>
      <c r="AG28" s="31"/>
      <c r="AH28" s="32"/>
      <c r="AI28" s="33"/>
      <c r="AJ28" s="34"/>
      <c r="AK28" s="34"/>
      <c r="AL28" s="35"/>
      <c r="AM28" s="31"/>
      <c r="AN28" s="32"/>
      <c r="AO28" s="33"/>
      <c r="AP28" s="34"/>
      <c r="AQ28" s="34"/>
      <c r="AR28" s="35"/>
      <c r="AS28" s="31"/>
      <c r="AT28" s="32"/>
      <c r="AU28" s="33"/>
      <c r="AV28" s="34"/>
      <c r="AW28" s="34"/>
      <c r="AX28" s="35"/>
      <c r="AY28" s="34"/>
      <c r="AZ28" s="35"/>
      <c r="BA28" s="31"/>
      <c r="BB28" s="32"/>
      <c r="BC28" s="33"/>
      <c r="BD28" s="34"/>
      <c r="BE28" s="34"/>
      <c r="BF28" s="35"/>
      <c r="BG28" s="31"/>
      <c r="BH28" s="32"/>
      <c r="BI28" s="33"/>
      <c r="BJ28" s="34"/>
      <c r="BK28" s="34"/>
      <c r="BL28" s="35"/>
      <c r="BM28" s="31"/>
      <c r="BN28" s="32"/>
      <c r="BO28" s="33"/>
      <c r="BP28" s="34"/>
      <c r="BQ28" s="34"/>
      <c r="BR28" s="35"/>
    </row>
    <row r="29" spans="1:83" ht="21.95" customHeight="1" x14ac:dyDescent="0.25">
      <c r="A29" s="34"/>
      <c r="B29" s="35"/>
      <c r="C29" s="31"/>
      <c r="D29" s="32"/>
      <c r="E29" s="33"/>
      <c r="F29" s="34"/>
      <c r="G29" s="34"/>
      <c r="H29" s="35"/>
      <c r="I29" s="31"/>
      <c r="J29" s="32"/>
      <c r="K29" s="33"/>
      <c r="L29" s="34"/>
      <c r="M29" s="34"/>
      <c r="N29" s="35"/>
      <c r="O29" s="31"/>
      <c r="P29" s="32"/>
      <c r="Q29" s="33"/>
      <c r="R29" s="34"/>
      <c r="S29" s="34"/>
      <c r="T29" s="35"/>
      <c r="U29" s="31"/>
      <c r="V29" s="32"/>
      <c r="W29" s="33"/>
      <c r="X29" s="34"/>
      <c r="Y29" s="34"/>
      <c r="Z29" s="35"/>
      <c r="AA29" s="31"/>
      <c r="AB29" s="32"/>
      <c r="AC29" s="33"/>
      <c r="AD29" s="34"/>
      <c r="AE29" s="34"/>
      <c r="AF29" s="35"/>
      <c r="AG29" s="31"/>
      <c r="AH29" s="32"/>
      <c r="AI29" s="33"/>
      <c r="AJ29" s="34"/>
      <c r="AK29" s="34"/>
      <c r="AL29" s="35"/>
      <c r="AM29" s="31"/>
      <c r="AN29" s="32"/>
      <c r="AO29" s="33"/>
      <c r="AP29" s="34"/>
      <c r="AQ29" s="34"/>
      <c r="AR29" s="35"/>
      <c r="AS29" s="31"/>
      <c r="AT29" s="32"/>
      <c r="AU29" s="33"/>
      <c r="AV29" s="34"/>
      <c r="AW29" s="34"/>
      <c r="AX29" s="35"/>
      <c r="AY29" s="34"/>
      <c r="AZ29" s="35"/>
      <c r="BA29" s="31"/>
      <c r="BB29" s="32"/>
      <c r="BC29" s="33"/>
      <c r="BD29" s="34"/>
      <c r="BE29" s="34"/>
      <c r="BF29" s="35"/>
      <c r="BG29" s="31"/>
      <c r="BH29" s="32"/>
      <c r="BI29" s="33"/>
      <c r="BJ29" s="34"/>
      <c r="BK29" s="34"/>
      <c r="BL29" s="35"/>
      <c r="BM29" s="31"/>
      <c r="BN29" s="32"/>
      <c r="BO29" s="33"/>
      <c r="BP29" s="34"/>
      <c r="BQ29" s="34"/>
      <c r="BR29" s="35"/>
    </row>
    <row r="30" spans="1:83" ht="6" customHeight="1" x14ac:dyDescent="0.25">
      <c r="A30" s="121"/>
      <c r="B30" s="121"/>
      <c r="C30" s="121"/>
      <c r="D30" s="31"/>
      <c r="E30" s="121"/>
      <c r="F30" s="121"/>
      <c r="G30" s="121"/>
      <c r="H30" s="121"/>
      <c r="I30" s="121"/>
      <c r="J30" s="31"/>
      <c r="K30" s="121"/>
      <c r="L30" s="121"/>
      <c r="M30" s="121"/>
      <c r="N30" s="121"/>
      <c r="O30" s="121"/>
      <c r="P30" s="31"/>
      <c r="Q30" s="121"/>
      <c r="R30" s="121"/>
      <c r="S30" s="121"/>
      <c r="T30" s="121"/>
      <c r="U30" s="121"/>
      <c r="V30" s="31"/>
      <c r="W30" s="121"/>
      <c r="X30" s="121"/>
      <c r="Y30" s="121"/>
      <c r="Z30" s="121"/>
      <c r="AA30" s="121"/>
      <c r="AB30" s="31"/>
      <c r="AC30" s="121"/>
      <c r="AD30" s="121"/>
      <c r="AE30" s="121"/>
      <c r="AF30" s="121"/>
      <c r="AG30" s="121"/>
      <c r="AH30" s="31"/>
      <c r="AI30" s="121"/>
      <c r="AJ30" s="121"/>
      <c r="AK30" s="121"/>
      <c r="AL30" s="121"/>
      <c r="AM30" s="121"/>
      <c r="AN30" s="31"/>
      <c r="AO30" s="121"/>
      <c r="AP30" s="121"/>
      <c r="AQ30" s="121"/>
      <c r="AR30" s="121"/>
      <c r="AS30" s="121"/>
      <c r="AT30" s="31"/>
      <c r="AU30" s="121"/>
      <c r="AV30" s="121"/>
      <c r="AW30" s="121"/>
      <c r="AX30" s="121"/>
      <c r="AY30" s="121"/>
      <c r="AZ30" s="121"/>
      <c r="BA30" s="121"/>
      <c r="BB30" s="31"/>
      <c r="BC30" s="121"/>
      <c r="BD30" s="121"/>
      <c r="BE30" s="121"/>
      <c r="BF30" s="121"/>
      <c r="BG30" s="121"/>
      <c r="BH30" s="31"/>
      <c r="BI30" s="121"/>
      <c r="BJ30" s="121"/>
      <c r="BK30" s="121"/>
      <c r="BL30" s="121"/>
      <c r="BM30" s="121"/>
      <c r="BN30" s="31"/>
      <c r="BO30" s="121"/>
      <c r="BP30" s="121"/>
      <c r="BQ30" s="121"/>
      <c r="BR30" s="121"/>
    </row>
    <row r="31" spans="1:83" s="22" customFormat="1" ht="80.099999999999994" customHeight="1" x14ac:dyDescent="1.35">
      <c r="A31" s="34"/>
      <c r="B31" s="35"/>
      <c r="C31" s="31"/>
      <c r="D31" s="32"/>
      <c r="E31" s="33"/>
      <c r="F31" s="34"/>
      <c r="G31" s="34"/>
      <c r="H31" s="35"/>
      <c r="I31" s="31"/>
      <c r="J31" s="1797"/>
      <c r="K31" s="1797"/>
      <c r="L31" s="1797"/>
      <c r="M31" s="1797"/>
      <c r="N31" s="35"/>
      <c r="O31" s="31"/>
      <c r="P31" s="32"/>
      <c r="Q31" s="33"/>
      <c r="R31" s="34"/>
      <c r="S31" s="34"/>
      <c r="T31" s="35"/>
      <c r="U31" s="31"/>
      <c r="V31" s="32"/>
      <c r="W31" s="33"/>
      <c r="X31" s="34"/>
      <c r="Y31" s="34"/>
      <c r="Z31" s="35"/>
      <c r="AA31" s="31"/>
      <c r="AB31" s="32"/>
      <c r="AC31" s="33"/>
      <c r="AD31" s="34"/>
      <c r="AE31" s="34"/>
      <c r="AF31" s="35"/>
      <c r="AG31" s="31"/>
      <c r="AH31" s="32"/>
      <c r="AI31" s="33"/>
      <c r="AJ31" s="34"/>
      <c r="AK31" s="34"/>
      <c r="AL31" s="35"/>
      <c r="AM31" s="31"/>
      <c r="AN31" s="32"/>
      <c r="AO31" s="33"/>
      <c r="AP31" s="34"/>
      <c r="AQ31" s="34"/>
      <c r="AR31" s="35"/>
      <c r="AS31" s="31"/>
      <c r="AT31" s="32"/>
      <c r="AU31" s="33"/>
      <c r="AV31" s="34"/>
      <c r="AW31" s="34"/>
      <c r="AX31" s="35"/>
      <c r="AY31" s="34"/>
      <c r="AZ31" s="35"/>
      <c r="BA31" s="31"/>
      <c r="BB31" s="32"/>
      <c r="BC31" s="33"/>
      <c r="BD31" s="34"/>
      <c r="BE31" s="34"/>
      <c r="BF31" s="35"/>
      <c r="BG31" s="31"/>
      <c r="BH31" s="32"/>
      <c r="BI31" s="33"/>
      <c r="BJ31" s="34"/>
      <c r="BK31" s="34"/>
      <c r="BL31" s="35"/>
      <c r="BM31" s="31"/>
      <c r="BN31" s="32"/>
      <c r="BO31" s="33"/>
      <c r="BP31" s="34"/>
      <c r="BQ31" s="34"/>
      <c r="BR31" s="35"/>
    </row>
    <row r="32" spans="1:83" ht="26.25" customHeight="1" x14ac:dyDescent="0.25">
      <c r="A32" s="34"/>
      <c r="B32" s="35"/>
      <c r="C32" s="31"/>
      <c r="D32" s="32"/>
      <c r="E32" s="33"/>
      <c r="F32" s="34"/>
      <c r="G32" s="34"/>
      <c r="H32" s="35"/>
      <c r="I32" s="31"/>
      <c r="J32" s="1923" cm="1">
        <f t="array" aca="1" ref="J32" ca="1">SUM(COUNTIF(INDIRECT({"B7","G7","L7","Q7","V7","AA7","AF7","AK7","AP7","AU7","AZ7","BE7","BJ7","BO7","B13","G13","L13","Q13","V13","AA13","AF13","AK13","AP13","AU13","AZ13","BE13","BJ13","BO13","B19","G19","L19","Q19","V19","AA19","AF19","AK19","AP19","AU19"}),"&gt;0"))</f>
        <v>38</v>
      </c>
      <c r="K32" s="1923"/>
      <c r="L32" s="1923"/>
      <c r="M32" s="1923"/>
      <c r="N32" s="35"/>
      <c r="O32" s="31"/>
      <c r="P32" s="32"/>
      <c r="Q32" s="33"/>
      <c r="R32" s="34"/>
      <c r="S32" s="34"/>
      <c r="T32" s="35"/>
      <c r="U32" s="33"/>
      <c r="V32" s="34"/>
      <c r="W32" s="34"/>
      <c r="X32" s="33"/>
      <c r="Y32" s="717" cm="1">
        <f t="array" aca="1" ref="Y32" ca="1">SUM(COUNTIF(INDIRECT({"B8","G8","L8","Q8","V8","AA8","AF8","AK8","AP8","AU8","AZ8","BE8","BJ8","BO8","B14","G14","L14","Q14","V14","AA14","AF14","AK14","AP14","AU14","AZ14","BE14","BJ14","BO14","B20","G20","L20","Q20","V20","AA20","AF20","AK20","AP20","AU20"}),"&gt;0"))</f>
        <v>38</v>
      </c>
      <c r="Z32" s="717"/>
      <c r="AA32" s="717"/>
      <c r="AB32" s="717"/>
      <c r="AC32" s="34"/>
      <c r="AD32" s="33"/>
      <c r="AE32" s="34"/>
      <c r="AF32" s="34"/>
      <c r="AG32" s="33"/>
      <c r="AH32" s="34"/>
      <c r="AI32" s="34"/>
      <c r="AJ32" s="33"/>
      <c r="AK32" s="34"/>
      <c r="AL32" s="34"/>
      <c r="AM32" s="33"/>
      <c r="AN32" s="34"/>
      <c r="AO32" s="34"/>
      <c r="AP32" s="2047">
        <v>38</v>
      </c>
      <c r="AQ32" s="2047"/>
      <c r="AR32" s="2047"/>
      <c r="AS32" s="2047"/>
      <c r="AT32" s="34"/>
      <c r="AU32" s="34"/>
      <c r="AV32" s="33"/>
      <c r="AW32" s="34"/>
      <c r="AX32" s="34"/>
      <c r="AY32" s="33"/>
      <c r="AZ32" s="34"/>
      <c r="BA32" s="34"/>
      <c r="BB32" s="33"/>
      <c r="BC32" s="34"/>
      <c r="BD32" s="34"/>
      <c r="BE32" s="33"/>
      <c r="BF32" s="717">
        <v>38</v>
      </c>
      <c r="BG32" s="717"/>
      <c r="BH32" s="717"/>
      <c r="BI32" s="717"/>
      <c r="BJ32" s="717"/>
      <c r="BK32" s="33"/>
      <c r="BL32" s="34"/>
      <c r="BM32" s="34"/>
      <c r="BN32" s="33"/>
      <c r="BO32" s="34"/>
      <c r="BP32" s="34"/>
      <c r="BQ32" s="33"/>
      <c r="BR32" s="34"/>
      <c r="BW32" s="27"/>
      <c r="BX32" s="27"/>
      <c r="BY32" s="27"/>
      <c r="BZ32" s="27"/>
      <c r="CA32" s="27"/>
      <c r="CB32" s="27"/>
      <c r="CC32" s="27"/>
      <c r="CD32" s="27"/>
      <c r="CE32" s="27"/>
    </row>
    <row r="33" spans="1:83" ht="26.1" customHeight="1" x14ac:dyDescent="0.25">
      <c r="A33" s="30"/>
      <c r="B33" s="29"/>
      <c r="C33" s="28"/>
      <c r="D33" s="28"/>
      <c r="E33" s="28"/>
      <c r="F33" s="30"/>
      <c r="G33" s="29"/>
      <c r="H33" s="28"/>
      <c r="I33" s="28"/>
      <c r="J33" s="1923"/>
      <c r="K33" s="1923"/>
      <c r="L33" s="1923"/>
      <c r="M33" s="1923"/>
      <c r="N33" s="28"/>
      <c r="O33" s="28"/>
      <c r="P33" s="30"/>
      <c r="Q33" s="29"/>
      <c r="R33" s="28"/>
      <c r="S33" s="28"/>
      <c r="T33" s="28"/>
      <c r="U33" s="29"/>
      <c r="V33" s="28"/>
      <c r="W33" s="28"/>
      <c r="X33" s="29"/>
      <c r="Y33" s="717"/>
      <c r="Z33" s="717"/>
      <c r="AA33" s="717"/>
      <c r="AB33" s="717"/>
      <c r="AC33" s="28"/>
      <c r="AD33" s="29"/>
      <c r="AE33" s="28"/>
      <c r="AF33" s="28"/>
      <c r="AG33" s="29"/>
      <c r="AH33" s="28"/>
      <c r="AI33" s="28"/>
      <c r="AJ33" s="29"/>
      <c r="AK33" s="28"/>
      <c r="AL33" s="28"/>
      <c r="AM33" s="29"/>
      <c r="AN33" s="28"/>
      <c r="AO33" s="28"/>
      <c r="AP33" s="2047"/>
      <c r="AQ33" s="2047"/>
      <c r="AR33" s="2047"/>
      <c r="AS33" s="2047"/>
      <c r="AT33" s="28"/>
      <c r="AU33" s="28"/>
      <c r="AV33" s="29"/>
      <c r="AW33" s="28"/>
      <c r="AX33" s="28"/>
      <c r="AY33" s="29"/>
      <c r="AZ33" s="28"/>
      <c r="BA33" s="28"/>
      <c r="BB33" s="29"/>
      <c r="BC33" s="28"/>
      <c r="BD33" s="28"/>
      <c r="BE33" s="29"/>
      <c r="BF33" s="717"/>
      <c r="BG33" s="717"/>
      <c r="BH33" s="717"/>
      <c r="BI33" s="717"/>
      <c r="BJ33" s="717"/>
      <c r="BK33" s="29"/>
      <c r="BL33" s="28"/>
      <c r="BM33" s="28"/>
      <c r="BN33" s="29"/>
      <c r="BO33" s="28"/>
      <c r="BP33" s="28"/>
      <c r="BQ33" s="29"/>
      <c r="BR33" s="28"/>
    </row>
    <row r="34" spans="1:83" ht="6.75" customHeight="1" x14ac:dyDescent="0.25">
      <c r="A34" s="29"/>
      <c r="B34" s="29"/>
      <c r="C34" s="28"/>
      <c r="D34" s="28"/>
      <c r="E34" s="28"/>
      <c r="F34" s="29"/>
      <c r="G34" s="29"/>
      <c r="H34" s="28"/>
      <c r="I34" s="28"/>
      <c r="J34" s="1923"/>
      <c r="K34" s="1923"/>
      <c r="L34" s="1923"/>
      <c r="M34" s="1923"/>
      <c r="N34" s="28"/>
      <c r="O34" s="28"/>
      <c r="P34" s="29"/>
      <c r="Q34" s="29"/>
      <c r="R34" s="28"/>
      <c r="S34" s="28"/>
      <c r="T34" s="28"/>
      <c r="U34" s="28"/>
      <c r="V34" s="29"/>
      <c r="W34" s="29"/>
      <c r="X34" s="28"/>
      <c r="Y34" s="717"/>
      <c r="Z34" s="717"/>
      <c r="AA34" s="717"/>
      <c r="AB34" s="717"/>
      <c r="AC34" s="28"/>
      <c r="AD34" s="28"/>
      <c r="AE34" s="28"/>
      <c r="AF34" s="29"/>
      <c r="AG34" s="29"/>
      <c r="AH34" s="28"/>
      <c r="AI34" s="28"/>
      <c r="AJ34" s="28"/>
      <c r="AK34" s="29"/>
      <c r="AL34" s="29"/>
      <c r="AM34" s="28"/>
      <c r="AN34" s="28"/>
      <c r="AO34" s="28"/>
      <c r="AP34" s="2047"/>
      <c r="AQ34" s="2047"/>
      <c r="AR34" s="2047"/>
      <c r="AS34" s="2047"/>
      <c r="AT34" s="28"/>
      <c r="AU34" s="29"/>
      <c r="AV34" s="29"/>
      <c r="AW34" s="28"/>
      <c r="AX34" s="28"/>
      <c r="AY34" s="28"/>
      <c r="AZ34" s="29"/>
      <c r="BA34" s="29"/>
      <c r="BB34" s="28"/>
      <c r="BC34" s="28"/>
      <c r="BD34" s="28"/>
      <c r="BE34" s="28"/>
      <c r="BF34" s="717"/>
      <c r="BG34" s="717"/>
      <c r="BH34" s="717"/>
      <c r="BI34" s="717"/>
      <c r="BJ34" s="717"/>
      <c r="BK34" s="29"/>
      <c r="BL34" s="29"/>
      <c r="BM34" s="28"/>
      <c r="BN34" s="28"/>
      <c r="BO34" s="28"/>
      <c r="BP34" s="29"/>
      <c r="BQ34" s="29"/>
      <c r="BR34" s="28"/>
    </row>
    <row r="35" spans="1:83" ht="21.95" customHeight="1" x14ac:dyDescent="0.25">
      <c r="A35" s="121"/>
      <c r="B35" s="121"/>
      <c r="C35" s="31"/>
      <c r="D35" s="121"/>
      <c r="E35" s="121"/>
      <c r="F35" s="121"/>
      <c r="G35" s="121"/>
      <c r="H35" s="31"/>
      <c r="I35" s="121"/>
      <c r="J35" s="1923"/>
      <c r="K35" s="1923"/>
      <c r="L35" s="1923"/>
      <c r="M35" s="1923"/>
      <c r="N35" s="121"/>
      <c r="O35" s="121"/>
      <c r="P35" s="121"/>
      <c r="Q35" s="121"/>
      <c r="R35" s="31"/>
      <c r="S35" s="121"/>
      <c r="T35" s="121"/>
      <c r="U35" s="28"/>
      <c r="V35" s="30"/>
      <c r="W35" s="29"/>
      <c r="X35" s="28"/>
      <c r="Y35" s="717"/>
      <c r="Z35" s="717"/>
      <c r="AA35" s="717"/>
      <c r="AB35" s="717"/>
      <c r="AC35" s="28"/>
      <c r="AD35" s="28"/>
      <c r="AE35" s="28"/>
      <c r="AF35" s="30"/>
      <c r="AG35" s="29"/>
      <c r="AH35" s="28"/>
      <c r="AI35" s="28"/>
      <c r="AJ35" s="28"/>
      <c r="AK35" s="30"/>
      <c r="AL35" s="29"/>
      <c r="AM35" s="28"/>
      <c r="AN35" s="28"/>
      <c r="AO35" s="28"/>
      <c r="AP35" s="2047"/>
      <c r="AQ35" s="2047"/>
      <c r="AR35" s="2047"/>
      <c r="AS35" s="2047"/>
      <c r="AT35" s="28"/>
      <c r="AU35" s="30"/>
      <c r="AV35" s="29"/>
      <c r="AW35" s="28"/>
      <c r="AX35" s="28"/>
      <c r="AY35" s="28"/>
      <c r="AZ35" s="30"/>
      <c r="BA35" s="29"/>
      <c r="BB35" s="28"/>
      <c r="BC35" s="28"/>
      <c r="BD35" s="28"/>
      <c r="BE35" s="28"/>
      <c r="BF35" s="717"/>
      <c r="BG35" s="717"/>
      <c r="BH35" s="717"/>
      <c r="BI35" s="717"/>
      <c r="BJ35" s="717"/>
      <c r="BK35" s="30"/>
      <c r="BL35" s="29"/>
      <c r="BM35" s="28"/>
      <c r="BN35" s="28"/>
      <c r="BO35" s="28"/>
      <c r="BP35" s="30"/>
      <c r="BQ35" s="29"/>
      <c r="BR35" s="28"/>
    </row>
    <row r="36" spans="1:83" ht="6" customHeight="1" x14ac:dyDescent="0.25">
      <c r="A36" s="35"/>
      <c r="B36" s="31"/>
      <c r="C36" s="32"/>
      <c r="D36" s="33"/>
      <c r="E36" s="34"/>
      <c r="F36" s="35"/>
      <c r="G36" s="31"/>
      <c r="H36" s="32"/>
      <c r="I36" s="33"/>
      <c r="J36" s="34"/>
      <c r="K36" s="35"/>
      <c r="L36" s="31"/>
      <c r="M36" s="32"/>
      <c r="N36" s="33"/>
      <c r="O36" s="34"/>
      <c r="P36" s="35"/>
      <c r="Q36" s="31"/>
      <c r="R36" s="32"/>
      <c r="S36" s="33"/>
      <c r="T36" s="34"/>
      <c r="U36" s="28"/>
      <c r="V36" s="697" t="s">
        <v>116</v>
      </c>
      <c r="W36" s="697"/>
      <c r="X36" s="697"/>
      <c r="Y36" s="697"/>
      <c r="Z36" s="697"/>
      <c r="AA36" s="697"/>
      <c r="AB36" s="697"/>
      <c r="AC36" s="697"/>
      <c r="AD36" s="697"/>
      <c r="AE36" s="697"/>
      <c r="AF36" s="697"/>
      <c r="AG36" s="697"/>
      <c r="AH36" s="697" t="s">
        <v>117</v>
      </c>
      <c r="AI36" s="697"/>
      <c r="AJ36" s="697"/>
      <c r="AK36" s="697"/>
      <c r="AL36" s="697"/>
      <c r="AM36" s="697"/>
      <c r="AN36" s="697"/>
      <c r="AO36" s="697"/>
      <c r="AP36" s="697"/>
      <c r="AQ36" s="697"/>
      <c r="AR36" s="697"/>
      <c r="AS36" s="698" t="s">
        <v>118</v>
      </c>
      <c r="AT36" s="698"/>
      <c r="AU36" s="698"/>
      <c r="AV36" s="698"/>
      <c r="AW36" s="698"/>
      <c r="AX36" s="698"/>
      <c r="AY36" s="698"/>
      <c r="AZ36" s="698"/>
      <c r="BA36" s="698"/>
      <c r="BB36" s="698"/>
      <c r="BC36" s="698"/>
      <c r="BD36" s="698"/>
      <c r="BE36" s="699" t="s">
        <v>119</v>
      </c>
      <c r="BF36" s="699"/>
      <c r="BG36" s="699"/>
      <c r="BH36" s="699"/>
      <c r="BI36" s="699"/>
      <c r="BJ36" s="1924">
        <f>D8+I8+N8+S8+X8+AC8+AH8+AM8+AR8+AW8+BB8+BG8+BL8+D14+I14+N14+S14+X14+AC14+AH14+AM14+AR14+AW14+BB14+BG14+BL14+D20+I20+N20+S20+X20+AC20+AH20+AM20+AR20+AW20+BQ8+BQ14</f>
        <v>41</v>
      </c>
      <c r="BK36" s="1925"/>
      <c r="BL36" s="1925"/>
      <c r="BM36" s="1925"/>
      <c r="BN36" s="701" t="s">
        <v>120</v>
      </c>
      <c r="BO36" s="701"/>
      <c r="BP36" s="701"/>
      <c r="BQ36" s="29"/>
      <c r="BR36" s="28"/>
    </row>
    <row r="37" spans="1:83" s="22" customFormat="1" ht="80.099999999999994" customHeight="1" x14ac:dyDescent="1.35">
      <c r="A37" s="35"/>
      <c r="B37" s="31"/>
      <c r="C37" s="32"/>
      <c r="D37" s="33"/>
      <c r="E37" s="34"/>
      <c r="F37" s="35"/>
      <c r="G37" s="31"/>
      <c r="H37" s="32"/>
      <c r="I37" s="33"/>
      <c r="J37" s="34"/>
      <c r="K37" s="35"/>
      <c r="L37" s="31"/>
      <c r="M37" s="32"/>
      <c r="N37" s="33"/>
      <c r="O37" s="34"/>
      <c r="P37" s="35"/>
      <c r="Q37" s="31"/>
      <c r="R37" s="32"/>
      <c r="S37" s="33"/>
      <c r="T37" s="34"/>
      <c r="U37" s="121"/>
      <c r="V37" s="697"/>
      <c r="W37" s="697"/>
      <c r="X37" s="697"/>
      <c r="Y37" s="697"/>
      <c r="Z37" s="697"/>
      <c r="AA37" s="697"/>
      <c r="AB37" s="697"/>
      <c r="AC37" s="697"/>
      <c r="AD37" s="697"/>
      <c r="AE37" s="697"/>
      <c r="AF37" s="697"/>
      <c r="AG37" s="697"/>
      <c r="AH37" s="697"/>
      <c r="AI37" s="697"/>
      <c r="AJ37" s="697"/>
      <c r="AK37" s="697"/>
      <c r="AL37" s="697"/>
      <c r="AM37" s="697"/>
      <c r="AN37" s="697"/>
      <c r="AO37" s="697"/>
      <c r="AP37" s="697"/>
      <c r="AQ37" s="697"/>
      <c r="AR37" s="697"/>
      <c r="AS37" s="698"/>
      <c r="AT37" s="698"/>
      <c r="AU37" s="698"/>
      <c r="AV37" s="698"/>
      <c r="AW37" s="698"/>
      <c r="AX37" s="698"/>
      <c r="AY37" s="698"/>
      <c r="AZ37" s="698"/>
      <c r="BA37" s="698"/>
      <c r="BB37" s="698"/>
      <c r="BC37" s="698"/>
      <c r="BD37" s="698"/>
      <c r="BE37" s="699"/>
      <c r="BF37" s="699"/>
      <c r="BG37" s="699"/>
      <c r="BH37" s="699"/>
      <c r="BI37" s="699"/>
      <c r="BJ37" s="1925"/>
      <c r="BK37" s="1925"/>
      <c r="BL37" s="1925"/>
      <c r="BM37" s="1925"/>
      <c r="BN37" s="701"/>
      <c r="BO37" s="701"/>
      <c r="BP37" s="701"/>
      <c r="BQ37" s="121"/>
      <c r="BR37" s="31"/>
    </row>
    <row r="38" spans="1:83" ht="26.25" customHeight="1" x14ac:dyDescent="0.25">
      <c r="A38" s="34"/>
      <c r="B38" s="35"/>
      <c r="C38" s="31"/>
      <c r="D38" s="32"/>
      <c r="E38" s="33"/>
      <c r="F38" s="34"/>
      <c r="G38" s="34"/>
      <c r="H38" s="35"/>
      <c r="I38" s="31"/>
      <c r="J38" s="32"/>
      <c r="K38" s="33"/>
      <c r="L38" s="34"/>
      <c r="M38" s="34"/>
      <c r="N38" s="35"/>
      <c r="O38" s="31"/>
      <c r="P38" s="32"/>
      <c r="Q38" s="33"/>
      <c r="R38" s="34"/>
      <c r="S38" s="34"/>
      <c r="T38" s="35"/>
      <c r="U38" s="31"/>
      <c r="V38" s="697"/>
      <c r="W38" s="697"/>
      <c r="X38" s="697"/>
      <c r="Y38" s="697"/>
      <c r="Z38" s="697"/>
      <c r="AA38" s="697"/>
      <c r="AB38" s="697"/>
      <c r="AC38" s="697"/>
      <c r="AD38" s="697"/>
      <c r="AE38" s="697"/>
      <c r="AF38" s="697"/>
      <c r="AG38" s="697"/>
      <c r="AH38" s="697"/>
      <c r="AI38" s="697"/>
      <c r="AJ38" s="697"/>
      <c r="AK38" s="697"/>
      <c r="AL38" s="697"/>
      <c r="AM38" s="697"/>
      <c r="AN38" s="697"/>
      <c r="AO38" s="697"/>
      <c r="AP38" s="697"/>
      <c r="AQ38" s="697"/>
      <c r="AR38" s="697"/>
      <c r="AS38" s="698"/>
      <c r="AT38" s="698"/>
      <c r="AU38" s="698"/>
      <c r="AV38" s="698"/>
      <c r="AW38" s="698"/>
      <c r="AX38" s="698"/>
      <c r="AY38" s="698"/>
      <c r="AZ38" s="698"/>
      <c r="BA38" s="698"/>
      <c r="BB38" s="698"/>
      <c r="BC38" s="698"/>
      <c r="BD38" s="698"/>
      <c r="BE38" s="699"/>
      <c r="BF38" s="699"/>
      <c r="BG38" s="699"/>
      <c r="BH38" s="699"/>
      <c r="BI38" s="699"/>
      <c r="BJ38" s="1925"/>
      <c r="BK38" s="1925"/>
      <c r="BL38" s="1925"/>
      <c r="BM38" s="1925"/>
      <c r="BN38" s="701"/>
      <c r="BO38" s="701"/>
      <c r="BP38" s="701"/>
      <c r="BQ38" s="32"/>
      <c r="BR38" s="33"/>
      <c r="BW38" s="27"/>
      <c r="BX38" s="27"/>
      <c r="BY38" s="27"/>
      <c r="BZ38" s="27"/>
      <c r="CA38" s="27"/>
      <c r="CB38" s="27"/>
      <c r="CC38" s="27"/>
      <c r="CD38" s="27"/>
      <c r="CE38" s="27"/>
    </row>
    <row r="39" spans="1:83" ht="26.1" customHeight="1" x14ac:dyDescent="0.25">
      <c r="A39" s="34"/>
      <c r="B39" s="35"/>
      <c r="C39" s="31"/>
      <c r="D39" s="32"/>
      <c r="E39" s="33"/>
      <c r="F39" s="34"/>
      <c r="G39" s="34"/>
      <c r="H39" s="35"/>
      <c r="I39" s="31"/>
      <c r="J39" s="32"/>
      <c r="K39" s="33"/>
      <c r="L39" s="34"/>
      <c r="M39" s="34"/>
      <c r="N39" s="35"/>
      <c r="O39" s="31"/>
      <c r="P39" s="32"/>
      <c r="Q39" s="33"/>
      <c r="R39" s="34"/>
      <c r="S39" s="34"/>
      <c r="T39" s="35"/>
      <c r="U39" s="31"/>
      <c r="V39" s="697"/>
      <c r="W39" s="697"/>
      <c r="X39" s="697"/>
      <c r="Y39" s="697"/>
      <c r="Z39" s="697"/>
      <c r="AA39" s="697"/>
      <c r="AB39" s="697"/>
      <c r="AC39" s="697"/>
      <c r="AD39" s="697"/>
      <c r="AE39" s="697"/>
      <c r="AF39" s="697"/>
      <c r="AG39" s="697"/>
      <c r="AH39" s="697"/>
      <c r="AI39" s="697"/>
      <c r="AJ39" s="697"/>
      <c r="AK39" s="697"/>
      <c r="AL39" s="697"/>
      <c r="AM39" s="697"/>
      <c r="AN39" s="697"/>
      <c r="AO39" s="697"/>
      <c r="AP39" s="697"/>
      <c r="AQ39" s="697"/>
      <c r="AR39" s="697"/>
      <c r="AS39" s="698"/>
      <c r="AT39" s="698"/>
      <c r="AU39" s="698"/>
      <c r="AV39" s="698"/>
      <c r="AW39" s="698"/>
      <c r="AX39" s="698"/>
      <c r="AY39" s="698"/>
      <c r="AZ39" s="698"/>
      <c r="BA39" s="698"/>
      <c r="BB39" s="698"/>
      <c r="BC39" s="698"/>
      <c r="BD39" s="698"/>
      <c r="BE39" s="699"/>
      <c r="BF39" s="699"/>
      <c r="BG39" s="699"/>
      <c r="BH39" s="699"/>
      <c r="BI39" s="699"/>
      <c r="BJ39" s="1925"/>
      <c r="BK39" s="1925"/>
      <c r="BL39" s="1925"/>
      <c r="BM39" s="1925"/>
      <c r="BN39" s="701"/>
      <c r="BO39" s="701"/>
      <c r="BP39" s="701"/>
      <c r="BQ39" s="32"/>
      <c r="BR39" s="33"/>
    </row>
    <row r="40" spans="1:83" ht="6.75" customHeight="1" x14ac:dyDescent="0.25">
      <c r="A40" s="28"/>
      <c r="B40" s="28"/>
      <c r="C40" s="28"/>
      <c r="D40" s="29"/>
      <c r="E40" s="29"/>
      <c r="F40" s="28"/>
      <c r="G40" s="28"/>
      <c r="H40" s="28"/>
      <c r="I40" s="29"/>
      <c r="J40" s="29"/>
      <c r="K40" s="28"/>
      <c r="L40" s="28"/>
      <c r="M40" s="28"/>
      <c r="N40" s="29"/>
      <c r="O40" s="29"/>
      <c r="P40" s="28"/>
      <c r="Q40" s="28"/>
      <c r="R40" s="28"/>
      <c r="S40" s="29"/>
      <c r="T40" s="29"/>
      <c r="U40" s="28"/>
      <c r="V40" s="722" t="s">
        <v>13</v>
      </c>
      <c r="W40" s="722"/>
      <c r="X40" s="722"/>
      <c r="Y40" s="722"/>
      <c r="Z40" s="722"/>
      <c r="AA40" s="722"/>
      <c r="AB40" s="722"/>
      <c r="AC40" s="722"/>
      <c r="AD40" s="722"/>
      <c r="AE40" s="722"/>
      <c r="AF40" s="722"/>
      <c r="AG40" s="722"/>
      <c r="AH40" s="706">
        <f>AS40-AD76</f>
        <v>2.0011019999799373E-4</v>
      </c>
      <c r="AI40" s="706"/>
      <c r="AJ40" s="706"/>
      <c r="AK40" s="706"/>
      <c r="AL40" s="706"/>
      <c r="AM40" s="706"/>
      <c r="AN40" s="706"/>
      <c r="AO40" s="706"/>
      <c r="AP40" s="706"/>
      <c r="AQ40" s="706"/>
      <c r="AR40" s="706"/>
      <c r="AS40" s="707">
        <f>B8+G8+L8+Q8+V8+AA8+AF8+AK8+AP8+AU8+AZ8+BE8+BJ8+BO8+B14+G14+L14+Q14+V14+AA14+AF14+AK14+AP14+AU14+AZ14+BE14+BJ14+BO14+B20+G20+L20+Q20+V20+AA20+AF20+AK20+AP20+AU20</f>
        <v>55.790200110199997</v>
      </c>
      <c r="AT40" s="707"/>
      <c r="AU40" s="707"/>
      <c r="AV40" s="707"/>
      <c r="AW40" s="707"/>
      <c r="AX40" s="707"/>
      <c r="AY40" s="707"/>
      <c r="AZ40" s="707"/>
      <c r="BA40" s="707"/>
      <c r="BB40" s="707"/>
      <c r="BC40" s="707"/>
      <c r="BD40" s="707"/>
      <c r="BE40" s="699"/>
      <c r="BF40" s="699"/>
      <c r="BG40" s="699"/>
      <c r="BH40" s="699"/>
      <c r="BI40" s="699"/>
      <c r="BJ40" s="1925"/>
      <c r="BK40" s="1925"/>
      <c r="BL40" s="1925"/>
      <c r="BM40" s="1925"/>
      <c r="BN40" s="701"/>
      <c r="BO40" s="701"/>
      <c r="BP40" s="701"/>
      <c r="BQ40" s="29"/>
      <c r="BR40" s="29"/>
    </row>
    <row r="41" spans="1:83" ht="21.95" customHeight="1" x14ac:dyDescent="0.25">
      <c r="A41" s="28"/>
      <c r="B41" s="28"/>
      <c r="C41" s="28"/>
      <c r="D41" s="30"/>
      <c r="E41" s="29"/>
      <c r="F41" s="28"/>
      <c r="G41" s="28"/>
      <c r="H41" s="28"/>
      <c r="I41" s="30"/>
      <c r="J41" s="29"/>
      <c r="K41" s="28"/>
      <c r="L41" s="28"/>
      <c r="M41" s="28"/>
      <c r="N41" s="30"/>
      <c r="O41" s="29"/>
      <c r="P41" s="28"/>
      <c r="Q41" s="28"/>
      <c r="R41" s="28"/>
      <c r="S41" s="30"/>
      <c r="T41" s="29"/>
      <c r="U41" s="28"/>
      <c r="V41" s="722"/>
      <c r="W41" s="722"/>
      <c r="X41" s="722"/>
      <c r="Y41" s="722"/>
      <c r="Z41" s="722"/>
      <c r="AA41" s="722"/>
      <c r="AB41" s="722"/>
      <c r="AC41" s="722"/>
      <c r="AD41" s="722"/>
      <c r="AE41" s="722"/>
      <c r="AF41" s="722"/>
      <c r="AG41" s="722"/>
      <c r="AH41" s="706"/>
      <c r="AI41" s="706"/>
      <c r="AJ41" s="706"/>
      <c r="AK41" s="706"/>
      <c r="AL41" s="706"/>
      <c r="AM41" s="706"/>
      <c r="AN41" s="706"/>
      <c r="AO41" s="706"/>
      <c r="AP41" s="706"/>
      <c r="AQ41" s="706"/>
      <c r="AR41" s="706"/>
      <c r="AS41" s="707"/>
      <c r="AT41" s="707"/>
      <c r="AU41" s="707"/>
      <c r="AV41" s="707"/>
      <c r="AW41" s="707"/>
      <c r="AX41" s="707"/>
      <c r="AY41" s="707"/>
      <c r="AZ41" s="707"/>
      <c r="BA41" s="707"/>
      <c r="BB41" s="707"/>
      <c r="BC41" s="707"/>
      <c r="BD41" s="707"/>
      <c r="BE41" s="699"/>
      <c r="BF41" s="699"/>
      <c r="BG41" s="699"/>
      <c r="BH41" s="699"/>
      <c r="BI41" s="699"/>
      <c r="BJ41" s="1925"/>
      <c r="BK41" s="1925"/>
      <c r="BL41" s="1925"/>
      <c r="BM41" s="1925"/>
      <c r="BN41" s="701"/>
      <c r="BO41" s="701"/>
      <c r="BP41" s="701"/>
      <c r="BQ41" s="30"/>
      <c r="BR41" s="29"/>
    </row>
    <row r="42" spans="1:83" ht="6" customHeight="1" x14ac:dyDescent="0.25">
      <c r="A42" s="28"/>
      <c r="B42" s="28"/>
      <c r="C42" s="28"/>
      <c r="D42" s="29"/>
      <c r="E42" s="29"/>
      <c r="F42" s="28"/>
      <c r="G42" s="28"/>
      <c r="H42" s="28"/>
      <c r="I42" s="29"/>
      <c r="J42" s="29"/>
      <c r="K42" s="28"/>
      <c r="L42" s="28"/>
      <c r="M42" s="28"/>
      <c r="N42" s="29"/>
      <c r="O42" s="29"/>
      <c r="P42" s="28"/>
      <c r="Q42" s="28"/>
      <c r="R42" s="28"/>
      <c r="S42" s="29"/>
      <c r="T42" s="29"/>
      <c r="U42" s="28"/>
      <c r="V42" s="722"/>
      <c r="W42" s="722"/>
      <c r="X42" s="722"/>
      <c r="Y42" s="722"/>
      <c r="Z42" s="722"/>
      <c r="AA42" s="722"/>
      <c r="AB42" s="722"/>
      <c r="AC42" s="722"/>
      <c r="AD42" s="722"/>
      <c r="AE42" s="722"/>
      <c r="AF42" s="722"/>
      <c r="AG42" s="722"/>
      <c r="AH42" s="706"/>
      <c r="AI42" s="706"/>
      <c r="AJ42" s="706"/>
      <c r="AK42" s="706"/>
      <c r="AL42" s="706"/>
      <c r="AM42" s="706"/>
      <c r="AN42" s="706"/>
      <c r="AO42" s="706"/>
      <c r="AP42" s="706"/>
      <c r="AQ42" s="706"/>
      <c r="AR42" s="706"/>
      <c r="AS42" s="707"/>
      <c r="AT42" s="707"/>
      <c r="AU42" s="707"/>
      <c r="AV42" s="707"/>
      <c r="AW42" s="707"/>
      <c r="AX42" s="707"/>
      <c r="AY42" s="707"/>
      <c r="AZ42" s="707"/>
      <c r="BA42" s="707"/>
      <c r="BB42" s="707"/>
      <c r="BC42" s="707"/>
      <c r="BD42" s="707"/>
      <c r="BE42" s="699"/>
      <c r="BF42" s="699"/>
      <c r="BG42" s="699"/>
      <c r="BH42" s="699"/>
      <c r="BI42" s="699"/>
      <c r="BJ42" s="708">
        <f>BJ36*1.5</f>
        <v>61.5</v>
      </c>
      <c r="BK42" s="708"/>
      <c r="BL42" s="708"/>
      <c r="BM42" s="708"/>
      <c r="BN42" s="708"/>
      <c r="BO42" s="708"/>
      <c r="BP42" s="708"/>
      <c r="BQ42" s="29"/>
      <c r="BR42" s="29"/>
    </row>
    <row r="43" spans="1:83" s="22" customFormat="1" ht="80.099999999999994" customHeight="1" x14ac:dyDescent="1.35">
      <c r="A43" s="31"/>
      <c r="B43" s="121"/>
      <c r="C43" s="121"/>
      <c r="D43" s="121"/>
      <c r="E43" s="121"/>
      <c r="F43" s="702"/>
      <c r="G43" s="702"/>
      <c r="H43" s="121"/>
      <c r="I43" s="121"/>
      <c r="J43" s="121"/>
      <c r="K43" s="31"/>
      <c r="L43" s="121"/>
      <c r="M43" s="121"/>
      <c r="N43" s="121"/>
      <c r="O43" s="121"/>
      <c r="P43" s="31"/>
      <c r="Q43" s="121"/>
      <c r="R43" s="121"/>
      <c r="S43" s="121"/>
      <c r="T43" s="121"/>
      <c r="U43" s="31"/>
      <c r="V43" s="722"/>
      <c r="W43" s="722"/>
      <c r="X43" s="722"/>
      <c r="Y43" s="722"/>
      <c r="Z43" s="722"/>
      <c r="AA43" s="722"/>
      <c r="AB43" s="722"/>
      <c r="AC43" s="722"/>
      <c r="AD43" s="722"/>
      <c r="AE43" s="722"/>
      <c r="AF43" s="722"/>
      <c r="AG43" s="722"/>
      <c r="AH43" s="706"/>
      <c r="AI43" s="706"/>
      <c r="AJ43" s="706"/>
      <c r="AK43" s="706"/>
      <c r="AL43" s="706"/>
      <c r="AM43" s="706"/>
      <c r="AN43" s="706"/>
      <c r="AO43" s="706"/>
      <c r="AP43" s="706"/>
      <c r="AQ43" s="706"/>
      <c r="AR43" s="706"/>
      <c r="AS43" s="707"/>
      <c r="AT43" s="707"/>
      <c r="AU43" s="707"/>
      <c r="AV43" s="707"/>
      <c r="AW43" s="707"/>
      <c r="AX43" s="707"/>
      <c r="AY43" s="707"/>
      <c r="AZ43" s="707"/>
      <c r="BA43" s="707"/>
      <c r="BB43" s="707"/>
      <c r="BC43" s="707"/>
      <c r="BD43" s="707"/>
      <c r="BE43" s="699"/>
      <c r="BF43" s="699"/>
      <c r="BG43" s="699"/>
      <c r="BH43" s="699"/>
      <c r="BI43" s="699"/>
      <c r="BJ43" s="708"/>
      <c r="BK43" s="708"/>
      <c r="BL43" s="708"/>
      <c r="BM43" s="708"/>
      <c r="BN43" s="708"/>
      <c r="BO43" s="708"/>
      <c r="BP43" s="708"/>
      <c r="BQ43" s="121"/>
      <c r="BR43" s="121"/>
    </row>
    <row r="44" spans="1:83" ht="26.25" customHeight="1" x14ac:dyDescent="0.25">
      <c r="A44" s="34"/>
      <c r="B44" s="35"/>
      <c r="C44" s="31"/>
      <c r="D44" s="32"/>
      <c r="E44" s="33"/>
      <c r="F44" s="703"/>
      <c r="G44" s="703"/>
      <c r="H44" s="31"/>
      <c r="I44" s="32"/>
      <c r="J44" s="33"/>
      <c r="K44" s="34"/>
      <c r="L44" s="35"/>
      <c r="M44" s="31"/>
      <c r="N44" s="32"/>
      <c r="O44" s="33"/>
      <c r="P44" s="34"/>
      <c r="Q44" s="35"/>
      <c r="R44" s="31"/>
      <c r="S44" s="32"/>
      <c r="T44" s="33"/>
      <c r="U44" s="34"/>
      <c r="V44" s="722"/>
      <c r="W44" s="722"/>
      <c r="X44" s="722"/>
      <c r="Y44" s="722"/>
      <c r="Z44" s="722"/>
      <c r="AA44" s="722"/>
      <c r="AB44" s="722"/>
      <c r="AC44" s="722"/>
      <c r="AD44" s="722"/>
      <c r="AE44" s="722"/>
      <c r="AF44" s="722"/>
      <c r="AG44" s="722"/>
      <c r="AH44" s="706"/>
      <c r="AI44" s="706"/>
      <c r="AJ44" s="706"/>
      <c r="AK44" s="706"/>
      <c r="AL44" s="706"/>
      <c r="AM44" s="706"/>
      <c r="AN44" s="706"/>
      <c r="AO44" s="706"/>
      <c r="AP44" s="706"/>
      <c r="AQ44" s="706"/>
      <c r="AR44" s="706"/>
      <c r="AS44" s="707"/>
      <c r="AT44" s="707"/>
      <c r="AU44" s="707"/>
      <c r="AV44" s="707"/>
      <c r="AW44" s="707"/>
      <c r="AX44" s="707"/>
      <c r="AY44" s="707"/>
      <c r="AZ44" s="707"/>
      <c r="BA44" s="707"/>
      <c r="BB44" s="707"/>
      <c r="BC44" s="707"/>
      <c r="BD44" s="707"/>
      <c r="BE44" s="699"/>
      <c r="BF44" s="699"/>
      <c r="BG44" s="699"/>
      <c r="BH44" s="699"/>
      <c r="BI44" s="699"/>
      <c r="BJ44" s="708"/>
      <c r="BK44" s="708"/>
      <c r="BL44" s="708"/>
      <c r="BM44" s="708"/>
      <c r="BN44" s="708"/>
      <c r="BO44" s="708"/>
      <c r="BP44" s="708"/>
      <c r="BQ44" s="31"/>
      <c r="BR44" s="32"/>
      <c r="BW44" s="27"/>
      <c r="BX44" s="27"/>
      <c r="BY44" s="27"/>
      <c r="BZ44" s="27"/>
      <c r="CA44" s="27"/>
      <c r="CB44" s="27"/>
      <c r="CC44" s="27"/>
      <c r="CD44" s="27"/>
      <c r="CE44" s="27"/>
    </row>
    <row r="45" spans="1:83" ht="26.1" customHeight="1" x14ac:dyDescent="0.25">
      <c r="A45" s="34"/>
      <c r="B45" s="35"/>
      <c r="C45" s="31"/>
      <c r="D45" s="32"/>
      <c r="E45" s="33"/>
      <c r="F45" s="703"/>
      <c r="G45" s="703"/>
      <c r="H45" s="31"/>
      <c r="I45" s="32"/>
      <c r="J45" s="33"/>
      <c r="K45" s="34"/>
      <c r="L45" s="35"/>
      <c r="M45" s="31"/>
      <c r="N45" s="32"/>
      <c r="O45" s="33"/>
      <c r="P45" s="34"/>
      <c r="Q45" s="35"/>
      <c r="R45" s="31"/>
      <c r="S45" s="32"/>
      <c r="T45" s="33"/>
      <c r="U45" s="34"/>
      <c r="V45" s="722"/>
      <c r="W45" s="722"/>
      <c r="X45" s="722"/>
      <c r="Y45" s="722"/>
      <c r="Z45" s="722"/>
      <c r="AA45" s="722"/>
      <c r="AB45" s="722"/>
      <c r="AC45" s="722"/>
      <c r="AD45" s="722"/>
      <c r="AE45" s="722"/>
      <c r="AF45" s="722"/>
      <c r="AG45" s="722"/>
      <c r="AH45" s="706"/>
      <c r="AI45" s="706"/>
      <c r="AJ45" s="706"/>
      <c r="AK45" s="706"/>
      <c r="AL45" s="706"/>
      <c r="AM45" s="706"/>
      <c r="AN45" s="706"/>
      <c r="AO45" s="706"/>
      <c r="AP45" s="706"/>
      <c r="AQ45" s="706"/>
      <c r="AR45" s="706"/>
      <c r="AS45" s="707"/>
      <c r="AT45" s="707"/>
      <c r="AU45" s="707"/>
      <c r="AV45" s="707"/>
      <c r="AW45" s="707"/>
      <c r="AX45" s="707"/>
      <c r="AY45" s="707"/>
      <c r="AZ45" s="707"/>
      <c r="BA45" s="707"/>
      <c r="BB45" s="707"/>
      <c r="BC45" s="707"/>
      <c r="BD45" s="707"/>
      <c r="BE45" s="699"/>
      <c r="BF45" s="699"/>
      <c r="BG45" s="699"/>
      <c r="BH45" s="699"/>
      <c r="BI45" s="699"/>
      <c r="BJ45" s="708"/>
      <c r="BK45" s="708"/>
      <c r="BL45" s="708"/>
      <c r="BM45" s="708"/>
      <c r="BN45" s="708"/>
      <c r="BO45" s="708"/>
      <c r="BP45" s="708"/>
      <c r="BQ45" s="31"/>
      <c r="BR45" s="32"/>
    </row>
    <row r="46" spans="1:83" ht="6.75" customHeight="1" x14ac:dyDescent="0.25">
      <c r="A46" s="28"/>
      <c r="B46" s="28"/>
      <c r="C46" s="28"/>
      <c r="D46" s="29"/>
      <c r="E46" s="29"/>
      <c r="F46" s="703"/>
      <c r="G46" s="703"/>
      <c r="H46" s="28"/>
      <c r="I46" s="29"/>
      <c r="J46" s="29"/>
      <c r="K46" s="28"/>
      <c r="L46" s="28"/>
      <c r="M46" s="28"/>
      <c r="N46" s="29"/>
      <c r="O46" s="29"/>
      <c r="P46" s="28"/>
      <c r="Q46" s="28"/>
      <c r="R46" s="28"/>
      <c r="S46" s="29"/>
      <c r="T46" s="29"/>
      <c r="U46" s="28"/>
      <c r="V46" s="722"/>
      <c r="W46" s="722"/>
      <c r="X46" s="722"/>
      <c r="Y46" s="722"/>
      <c r="Z46" s="722"/>
      <c r="AA46" s="722"/>
      <c r="AB46" s="722"/>
      <c r="AC46" s="722"/>
      <c r="AD46" s="722"/>
      <c r="AE46" s="722"/>
      <c r="AF46" s="722"/>
      <c r="AG46" s="722"/>
      <c r="AH46" s="706"/>
      <c r="AI46" s="706"/>
      <c r="AJ46" s="706"/>
      <c r="AK46" s="706"/>
      <c r="AL46" s="706"/>
      <c r="AM46" s="706"/>
      <c r="AN46" s="706"/>
      <c r="AO46" s="706"/>
      <c r="AP46" s="706"/>
      <c r="AQ46" s="706"/>
      <c r="AR46" s="706"/>
      <c r="AS46" s="707"/>
      <c r="AT46" s="707"/>
      <c r="AU46" s="707"/>
      <c r="AV46" s="707"/>
      <c r="AW46" s="707"/>
      <c r="AX46" s="707"/>
      <c r="AY46" s="707"/>
      <c r="AZ46" s="707"/>
      <c r="BA46" s="707"/>
      <c r="BB46" s="707"/>
      <c r="BC46" s="707"/>
      <c r="BD46" s="707"/>
      <c r="BE46" s="699"/>
      <c r="BF46" s="699"/>
      <c r="BG46" s="699"/>
      <c r="BH46" s="699"/>
      <c r="BI46" s="699"/>
      <c r="BJ46" s="699" t="s">
        <v>121</v>
      </c>
      <c r="BK46" s="699"/>
      <c r="BL46" s="699"/>
      <c r="BM46" s="699"/>
      <c r="BN46" s="699"/>
      <c r="BO46" s="699"/>
      <c r="BP46" s="699"/>
      <c r="BQ46" s="31"/>
      <c r="BR46" s="32"/>
    </row>
    <row r="47" spans="1:83" ht="21.95" customHeight="1" x14ac:dyDescent="0.25">
      <c r="A47" s="28"/>
      <c r="B47" s="28"/>
      <c r="C47" s="28"/>
      <c r="D47" s="30"/>
      <c r="E47" s="29"/>
      <c r="F47" s="703"/>
      <c r="G47" s="703"/>
      <c r="H47" s="28"/>
      <c r="I47" s="30"/>
      <c r="J47" s="29"/>
      <c r="K47" s="28"/>
      <c r="L47" s="28"/>
      <c r="M47" s="28"/>
      <c r="N47" s="30"/>
      <c r="O47" s="29"/>
      <c r="P47" s="28"/>
      <c r="Q47" s="28"/>
      <c r="R47" s="28"/>
      <c r="S47" s="30"/>
      <c r="T47" s="29"/>
      <c r="U47" s="28"/>
      <c r="V47" s="722"/>
      <c r="W47" s="722"/>
      <c r="X47" s="722"/>
      <c r="Y47" s="722"/>
      <c r="Z47" s="722"/>
      <c r="AA47" s="722"/>
      <c r="AB47" s="722"/>
      <c r="AC47" s="722"/>
      <c r="AD47" s="722"/>
      <c r="AE47" s="722"/>
      <c r="AF47" s="722"/>
      <c r="AG47" s="722"/>
      <c r="AH47" s="706"/>
      <c r="AI47" s="706"/>
      <c r="AJ47" s="706"/>
      <c r="AK47" s="706"/>
      <c r="AL47" s="706"/>
      <c r="AM47" s="706"/>
      <c r="AN47" s="706"/>
      <c r="AO47" s="706"/>
      <c r="AP47" s="706"/>
      <c r="AQ47" s="706"/>
      <c r="AR47" s="706"/>
      <c r="AS47" s="707"/>
      <c r="AT47" s="707"/>
      <c r="AU47" s="707"/>
      <c r="AV47" s="707"/>
      <c r="AW47" s="707"/>
      <c r="AX47" s="707"/>
      <c r="AY47" s="707"/>
      <c r="AZ47" s="707"/>
      <c r="BA47" s="707"/>
      <c r="BB47" s="707"/>
      <c r="BC47" s="707"/>
      <c r="BD47" s="707"/>
      <c r="BE47" s="699"/>
      <c r="BF47" s="699"/>
      <c r="BG47" s="699"/>
      <c r="BH47" s="699"/>
      <c r="BI47" s="699"/>
      <c r="BJ47" s="699"/>
      <c r="BK47" s="699"/>
      <c r="BL47" s="699"/>
      <c r="BM47" s="699"/>
      <c r="BN47" s="699"/>
      <c r="BO47" s="699"/>
      <c r="BP47" s="699"/>
      <c r="BQ47" s="30"/>
      <c r="BR47" s="29"/>
    </row>
    <row r="48" spans="1:83" ht="6" customHeight="1" x14ac:dyDescent="0.25">
      <c r="A48" s="28"/>
      <c r="B48" s="28"/>
      <c r="C48" s="28"/>
      <c r="D48" s="29"/>
      <c r="E48" s="29"/>
      <c r="F48" s="28"/>
      <c r="G48" s="28"/>
      <c r="H48" s="28"/>
      <c r="I48" s="29"/>
      <c r="J48" s="29"/>
      <c r="K48" s="28"/>
      <c r="L48" s="28"/>
      <c r="M48" s="28"/>
      <c r="N48" s="29"/>
      <c r="O48" s="29"/>
      <c r="P48" s="28"/>
      <c r="Q48" s="28"/>
      <c r="R48" s="28"/>
      <c r="S48" s="29"/>
      <c r="T48" s="29"/>
      <c r="U48" s="28"/>
      <c r="V48" s="28"/>
      <c r="W48" s="28"/>
      <c r="X48" s="29"/>
      <c r="Y48" s="29"/>
      <c r="Z48" s="28"/>
      <c r="AA48" s="28"/>
      <c r="AB48" s="28"/>
      <c r="AC48" s="29"/>
      <c r="AD48" s="29"/>
      <c r="AE48" s="28"/>
      <c r="AF48" s="28"/>
      <c r="AG48" s="28"/>
      <c r="AH48" s="29"/>
      <c r="AI48" s="29"/>
      <c r="AJ48" s="28"/>
      <c r="AK48" s="28"/>
      <c r="AL48" s="28"/>
      <c r="AM48" s="29"/>
      <c r="AN48" s="29"/>
      <c r="AO48" s="28"/>
      <c r="AP48" s="28"/>
      <c r="AQ48" s="28"/>
      <c r="AR48" s="29"/>
      <c r="AS48" s="29"/>
      <c r="AT48" s="28"/>
      <c r="AU48" s="28"/>
      <c r="AV48" s="28"/>
      <c r="AW48" s="29"/>
      <c r="AX48" s="29"/>
      <c r="AY48" s="28"/>
      <c r="AZ48" s="28"/>
      <c r="BA48" s="28"/>
      <c r="BB48" s="29"/>
      <c r="BC48" s="29"/>
      <c r="BD48" s="28"/>
      <c r="BE48" s="28"/>
      <c r="BF48" s="28"/>
      <c r="BG48" s="29"/>
      <c r="BH48" s="29"/>
      <c r="BI48" s="28"/>
      <c r="BJ48" s="699"/>
      <c r="BK48" s="699"/>
      <c r="BL48" s="699"/>
      <c r="BM48" s="699"/>
      <c r="BN48" s="699"/>
      <c r="BO48" s="699"/>
      <c r="BP48" s="699"/>
      <c r="BQ48" s="29"/>
      <c r="BR48" s="29"/>
    </row>
    <row r="49" spans="1:83" s="22" customFormat="1" ht="80.099999999999994" customHeight="1" x14ac:dyDescent="1.35">
      <c r="A49" s="31"/>
      <c r="B49" s="121"/>
      <c r="C49" s="121"/>
      <c r="D49" s="121"/>
      <c r="E49" s="121"/>
      <c r="F49" s="31"/>
      <c r="G49" s="121"/>
      <c r="H49" s="121"/>
      <c r="I49" s="121"/>
      <c r="J49" s="121"/>
      <c r="K49" s="31"/>
      <c r="L49" s="121"/>
      <c r="M49" s="121"/>
      <c r="N49" s="121"/>
      <c r="O49" s="121"/>
      <c r="P49" s="31"/>
      <c r="Q49" s="121"/>
      <c r="R49" s="121"/>
      <c r="S49" s="121"/>
      <c r="T49" s="121"/>
      <c r="U49" s="31"/>
      <c r="V49" s="121"/>
      <c r="W49" s="121"/>
      <c r="X49" s="121"/>
      <c r="Y49" s="121"/>
      <c r="Z49" s="31"/>
      <c r="AA49" s="121"/>
      <c r="AB49" s="121"/>
      <c r="AC49" s="121"/>
      <c r="AD49" s="121"/>
      <c r="AE49" s="31"/>
      <c r="AF49" s="121"/>
      <c r="AG49" s="121"/>
      <c r="AH49" s="121"/>
      <c r="AI49" s="121"/>
      <c r="AJ49" s="31"/>
      <c r="AK49" s="121"/>
      <c r="AL49" s="121"/>
      <c r="AM49" s="121"/>
      <c r="AN49" s="121"/>
      <c r="AO49" s="31"/>
      <c r="AP49" s="121"/>
      <c r="AQ49" s="121"/>
      <c r="AR49" s="121"/>
      <c r="AS49" s="121"/>
      <c r="AT49" s="31"/>
      <c r="AU49" s="121"/>
      <c r="AV49" s="121"/>
      <c r="AW49" s="121"/>
      <c r="AX49" s="121"/>
      <c r="AY49" s="31"/>
      <c r="AZ49" s="121"/>
      <c r="BA49" s="121"/>
      <c r="BB49" s="121"/>
      <c r="BC49" s="121"/>
      <c r="BD49" s="31"/>
      <c r="BE49" s="121"/>
      <c r="BF49" s="121"/>
      <c r="BG49" s="121"/>
      <c r="BH49" s="121"/>
      <c r="BI49" s="31"/>
      <c r="BJ49" s="121"/>
      <c r="BK49" s="121"/>
      <c r="BL49" s="121"/>
      <c r="BM49" s="121"/>
      <c r="BN49" s="31"/>
      <c r="BO49" s="121"/>
      <c r="BP49" s="121"/>
      <c r="BQ49" s="121"/>
      <c r="BR49" s="121"/>
    </row>
    <row r="50" spans="1:83" ht="25.5" customHeight="1" x14ac:dyDescent="0.25">
      <c r="A50" s="31"/>
      <c r="B50" s="32"/>
      <c r="C50" s="33"/>
      <c r="D50" s="34"/>
      <c r="E50" s="35"/>
      <c r="F50" s="31"/>
      <c r="G50" s="32"/>
      <c r="H50" s="33"/>
      <c r="I50" s="34"/>
      <c r="J50" s="35"/>
      <c r="K50" s="31"/>
      <c r="L50" s="32"/>
      <c r="M50" s="33"/>
      <c r="N50" s="34"/>
      <c r="O50" s="35"/>
      <c r="P50" s="31"/>
      <c r="Q50" s="32"/>
      <c r="R50" s="33"/>
      <c r="S50" s="34"/>
      <c r="T50" s="35"/>
      <c r="U50" s="31"/>
      <c r="V50" s="32"/>
      <c r="W50" s="33"/>
      <c r="X50" s="34"/>
      <c r="Y50" s="35"/>
      <c r="Z50" s="31"/>
      <c r="AA50" s="32"/>
      <c r="AB50" s="33"/>
      <c r="AC50" s="34"/>
      <c r="AD50" s="35"/>
      <c r="AE50" s="31"/>
      <c r="AF50" s="32"/>
      <c r="AG50" s="33"/>
      <c r="AH50" s="34"/>
      <c r="AI50" s="35"/>
      <c r="AJ50" s="31"/>
      <c r="AK50" s="32"/>
      <c r="AL50" s="33"/>
      <c r="AM50" s="34"/>
      <c r="AN50" s="35"/>
      <c r="AO50" s="31"/>
      <c r="AP50" s="32"/>
      <c r="AQ50" s="33"/>
      <c r="AR50" s="34"/>
      <c r="AS50" s="35"/>
      <c r="AT50" s="31"/>
      <c r="AU50" s="32"/>
      <c r="AV50" s="33"/>
      <c r="AW50" s="34"/>
      <c r="AX50" s="35"/>
      <c r="AY50" s="31"/>
      <c r="AZ50" s="32"/>
      <c r="BA50" s="33"/>
      <c r="BB50" s="34"/>
      <c r="BC50" s="35"/>
      <c r="BD50" s="31"/>
      <c r="BE50" s="32"/>
      <c r="BF50" s="33"/>
      <c r="BG50" s="34"/>
      <c r="BH50" s="35"/>
      <c r="BI50" s="31"/>
      <c r="BJ50" s="32"/>
      <c r="BK50" s="33"/>
      <c r="BL50" s="34"/>
      <c r="BM50" s="35"/>
      <c r="BN50" s="31"/>
      <c r="BO50" s="32"/>
      <c r="BP50" s="33"/>
      <c r="BQ50" s="34"/>
      <c r="BR50" s="35"/>
      <c r="BW50" s="27"/>
      <c r="BX50" s="27"/>
      <c r="BY50" s="27"/>
      <c r="BZ50" s="27"/>
      <c r="CA50" s="27"/>
      <c r="CB50" s="27"/>
      <c r="CC50" s="27"/>
      <c r="CD50" s="27"/>
      <c r="CE50" s="27"/>
    </row>
    <row r="51" spans="1:83" ht="26.1" hidden="1" customHeight="1" thickTop="1" x14ac:dyDescent="0.25">
      <c r="A51" s="672"/>
      <c r="B51" s="672"/>
      <c r="C51" s="672"/>
      <c r="D51" s="673"/>
      <c r="E51" s="673"/>
      <c r="F51" s="672"/>
      <c r="G51" s="672"/>
      <c r="H51" s="672"/>
      <c r="I51" s="673"/>
      <c r="J51" s="673"/>
      <c r="K51" s="672"/>
      <c r="L51" s="672"/>
      <c r="M51" s="672"/>
      <c r="N51" s="673"/>
      <c r="O51" s="673"/>
      <c r="P51" s="672"/>
      <c r="Q51" s="672"/>
      <c r="R51" s="672"/>
      <c r="S51" s="673"/>
      <c r="T51" s="673"/>
      <c r="U51" s="674"/>
      <c r="V51" s="674"/>
      <c r="W51" s="674"/>
      <c r="X51" s="675"/>
      <c r="Y51" s="675"/>
      <c r="Z51" s="44"/>
      <c r="AA51" s="44"/>
      <c r="AB51" s="44"/>
      <c r="AC51" s="69"/>
      <c r="AD51" s="69"/>
      <c r="AE51" s="44"/>
      <c r="AF51" s="44"/>
      <c r="AG51" s="44"/>
      <c r="AH51" s="69"/>
      <c r="AI51" s="69"/>
      <c r="AJ51" s="44"/>
      <c r="AK51" s="44"/>
      <c r="AL51" s="44"/>
      <c r="AM51" s="69"/>
      <c r="AN51" s="69"/>
      <c r="AO51" s="44"/>
      <c r="AP51" s="44"/>
      <c r="AQ51" s="44"/>
      <c r="AR51" s="69"/>
      <c r="AS51" s="69"/>
      <c r="AT51" s="44"/>
      <c r="AU51" s="44"/>
      <c r="AV51" s="44"/>
      <c r="AW51" s="69"/>
      <c r="AX51" s="69"/>
      <c r="AY51" s="44"/>
      <c r="AZ51" s="44"/>
      <c r="BA51" s="44"/>
      <c r="BB51" s="69"/>
      <c r="BC51" s="69"/>
      <c r="BD51" s="44"/>
      <c r="BE51" s="44"/>
      <c r="BF51" s="44"/>
      <c r="BG51" s="69"/>
      <c r="BH51" s="69"/>
      <c r="BI51" s="674"/>
      <c r="BJ51" s="674"/>
      <c r="BK51" s="674"/>
      <c r="BL51" s="675"/>
      <c r="BM51" s="675"/>
      <c r="BN51" s="674"/>
      <c r="BO51" s="674"/>
      <c r="BP51" s="674"/>
      <c r="BQ51" s="675"/>
      <c r="BR51" s="675"/>
    </row>
    <row r="52" spans="1:83" ht="6.75" hidden="1" customHeight="1" x14ac:dyDescent="0.25">
      <c r="A52" s="676"/>
      <c r="B52" s="676"/>
      <c r="C52" s="676"/>
      <c r="D52" s="29"/>
      <c r="E52" s="29"/>
      <c r="F52" s="676"/>
      <c r="G52" s="676"/>
      <c r="H52" s="676"/>
      <c r="I52" s="29"/>
      <c r="J52" s="29"/>
      <c r="K52" s="676"/>
      <c r="L52" s="676"/>
      <c r="M52" s="676"/>
      <c r="N52" s="29"/>
      <c r="O52" s="29"/>
      <c r="P52" s="676"/>
      <c r="Q52" s="676"/>
      <c r="R52" s="676"/>
      <c r="S52" s="29"/>
      <c r="T52" s="29"/>
      <c r="U52" s="676"/>
      <c r="V52" s="676"/>
      <c r="W52" s="676"/>
      <c r="X52" s="29"/>
      <c r="Y52" s="29"/>
      <c r="Z52" s="47"/>
      <c r="AA52" s="47"/>
      <c r="AB52" s="47"/>
      <c r="AC52" s="29"/>
      <c r="AD52" s="29"/>
      <c r="AE52" s="47"/>
      <c r="AF52" s="47"/>
      <c r="AG52" s="47"/>
      <c r="AH52" s="29"/>
      <c r="AI52" s="29"/>
      <c r="AJ52" s="47"/>
      <c r="AK52" s="47"/>
      <c r="AL52" s="47"/>
      <c r="AM52" s="29"/>
      <c r="AN52" s="29"/>
      <c r="AO52" s="47"/>
      <c r="AP52" s="47"/>
      <c r="AQ52" s="47"/>
      <c r="AR52" s="29"/>
      <c r="AS52" s="29"/>
      <c r="AT52" s="47"/>
      <c r="AU52" s="47"/>
      <c r="AV52" s="47"/>
      <c r="AW52" s="29"/>
      <c r="AX52" s="29"/>
      <c r="AY52" s="47"/>
      <c r="AZ52" s="47"/>
      <c r="BA52" s="47"/>
      <c r="BB52" s="29"/>
      <c r="BC52" s="29"/>
      <c r="BD52" s="47"/>
      <c r="BE52" s="47"/>
      <c r="BF52" s="47"/>
      <c r="BG52" s="29"/>
      <c r="BH52" s="29"/>
      <c r="BI52" s="676"/>
      <c r="BJ52" s="676"/>
      <c r="BK52" s="676"/>
      <c r="BL52" s="29"/>
      <c r="BM52" s="29"/>
      <c r="BN52" s="676"/>
      <c r="BO52" s="676"/>
      <c r="BP52" s="676"/>
      <c r="BQ52" s="29"/>
      <c r="BR52" s="29"/>
    </row>
    <row r="53" spans="1:83" ht="21.95" hidden="1" customHeight="1" x14ac:dyDescent="0.25">
      <c r="A53" s="676"/>
      <c r="B53" s="676"/>
      <c r="C53" s="676"/>
      <c r="D53" s="30"/>
      <c r="E53" s="29"/>
      <c r="F53" s="676"/>
      <c r="G53" s="676"/>
      <c r="H53" s="676"/>
      <c r="I53" s="30"/>
      <c r="J53" s="29"/>
      <c r="K53" s="676"/>
      <c r="L53" s="676"/>
      <c r="M53" s="676"/>
      <c r="N53" s="30"/>
      <c r="O53" s="29"/>
      <c r="P53" s="676"/>
      <c r="Q53" s="676"/>
      <c r="R53" s="676"/>
      <c r="S53" s="30"/>
      <c r="T53" s="29"/>
      <c r="U53" s="676"/>
      <c r="V53" s="676"/>
      <c r="W53" s="676"/>
      <c r="X53" s="30"/>
      <c r="Y53" s="29"/>
      <c r="Z53" s="47"/>
      <c r="AA53" s="47"/>
      <c r="AB53" s="47"/>
      <c r="AC53" s="30"/>
      <c r="AD53" s="29"/>
      <c r="AE53" s="47"/>
      <c r="AF53" s="47"/>
      <c r="AG53" s="47"/>
      <c r="AH53" s="30"/>
      <c r="AI53" s="29"/>
      <c r="AJ53" s="47"/>
      <c r="AK53" s="47"/>
      <c r="AL53" s="47"/>
      <c r="AM53" s="30"/>
      <c r="AN53" s="29"/>
      <c r="AO53" s="47"/>
      <c r="AP53" s="47"/>
      <c r="AQ53" s="47"/>
      <c r="AR53" s="30"/>
      <c r="AS53" s="29"/>
      <c r="AT53" s="47"/>
      <c r="AU53" s="47"/>
      <c r="AV53" s="47"/>
      <c r="AW53" s="30"/>
      <c r="AX53" s="29"/>
      <c r="AY53" s="47"/>
      <c r="AZ53" s="47"/>
      <c r="BA53" s="47"/>
      <c r="BB53" s="30"/>
      <c r="BC53" s="29"/>
      <c r="BD53" s="47"/>
      <c r="BE53" s="47"/>
      <c r="BF53" s="47"/>
      <c r="BG53" s="30"/>
      <c r="BH53" s="29"/>
      <c r="BI53" s="676"/>
      <c r="BJ53" s="676"/>
      <c r="BK53" s="676"/>
      <c r="BL53" s="30"/>
      <c r="BM53" s="29"/>
      <c r="BN53" s="676"/>
      <c r="BO53" s="676"/>
      <c r="BP53" s="676"/>
      <c r="BQ53" s="30"/>
      <c r="BR53" s="29"/>
    </row>
    <row r="54" spans="1:83" ht="6" hidden="1" customHeight="1" x14ac:dyDescent="0.25">
      <c r="A54" s="676"/>
      <c r="B54" s="676"/>
      <c r="C54" s="676"/>
      <c r="D54" s="675"/>
      <c r="E54" s="675"/>
      <c r="F54" s="676"/>
      <c r="G54" s="676"/>
      <c r="H54" s="676"/>
      <c r="I54" s="675"/>
      <c r="J54" s="675"/>
      <c r="K54" s="676"/>
      <c r="L54" s="676"/>
      <c r="M54" s="676"/>
      <c r="N54" s="675"/>
      <c r="O54" s="675"/>
      <c r="P54" s="676"/>
      <c r="Q54" s="676"/>
      <c r="R54" s="676"/>
      <c r="S54" s="675"/>
      <c r="T54" s="675"/>
      <c r="U54" s="676"/>
      <c r="V54" s="676"/>
      <c r="W54" s="676"/>
      <c r="X54" s="675"/>
      <c r="Y54" s="675"/>
      <c r="Z54" s="47"/>
      <c r="AA54" s="47"/>
      <c r="AB54" s="47"/>
      <c r="AC54" s="69"/>
      <c r="AD54" s="69"/>
      <c r="AE54" s="47"/>
      <c r="AF54" s="47"/>
      <c r="AG54" s="47"/>
      <c r="AH54" s="69"/>
      <c r="AI54" s="69"/>
      <c r="AJ54" s="47"/>
      <c r="AK54" s="47"/>
      <c r="AL54" s="47"/>
      <c r="AM54" s="69"/>
      <c r="AN54" s="69"/>
      <c r="AO54" s="47"/>
      <c r="AP54" s="47"/>
      <c r="AQ54" s="47"/>
      <c r="AR54" s="69"/>
      <c r="AS54" s="69"/>
      <c r="AT54" s="47"/>
      <c r="AU54" s="47"/>
      <c r="AV54" s="47"/>
      <c r="AW54" s="69"/>
      <c r="AX54" s="69"/>
      <c r="AY54" s="47"/>
      <c r="AZ54" s="47"/>
      <c r="BA54" s="47"/>
      <c r="BB54" s="69"/>
      <c r="BC54" s="69"/>
      <c r="BD54" s="47"/>
      <c r="BE54" s="47"/>
      <c r="BF54" s="47"/>
      <c r="BG54" s="69"/>
      <c r="BH54" s="69"/>
      <c r="BI54" s="676"/>
      <c r="BJ54" s="676"/>
      <c r="BK54" s="676"/>
      <c r="BL54" s="675"/>
      <c r="BM54" s="675"/>
      <c r="BN54" s="676"/>
      <c r="BO54" s="676"/>
      <c r="BP54" s="676"/>
      <c r="BQ54" s="675"/>
      <c r="BR54" s="675"/>
    </row>
    <row r="55" spans="1:83" ht="59.25" hidden="1" customHeight="1" thickBot="1" x14ac:dyDescent="0.3">
      <c r="A55" s="677"/>
      <c r="B55" s="678"/>
      <c r="C55" s="678"/>
      <c r="D55" s="678"/>
      <c r="E55" s="678"/>
      <c r="F55" s="677"/>
      <c r="G55" s="678"/>
      <c r="H55" s="678"/>
      <c r="I55" s="678"/>
      <c r="J55" s="678"/>
      <c r="K55" s="677"/>
      <c r="L55" s="678"/>
      <c r="M55" s="678"/>
      <c r="N55" s="678"/>
      <c r="O55" s="678"/>
      <c r="P55" s="677"/>
      <c r="Q55" s="678"/>
      <c r="R55" s="678"/>
      <c r="S55" s="678"/>
      <c r="T55" s="678"/>
      <c r="U55" s="677"/>
      <c r="V55" s="678"/>
      <c r="W55" s="678"/>
      <c r="X55" s="678"/>
      <c r="Y55" s="678"/>
      <c r="Z55" s="70"/>
      <c r="AA55" s="71"/>
      <c r="AB55" s="71"/>
      <c r="AC55" s="71"/>
      <c r="AD55" s="71"/>
      <c r="AE55" s="70"/>
      <c r="AF55" s="71"/>
      <c r="AG55" s="71"/>
      <c r="AH55" s="71"/>
      <c r="AI55" s="71"/>
      <c r="AJ55" s="70"/>
      <c r="AK55" s="71"/>
      <c r="AL55" s="71"/>
      <c r="AM55" s="71"/>
      <c r="AN55" s="71"/>
      <c r="AO55" s="70"/>
      <c r="AP55" s="71"/>
      <c r="AQ55" s="71"/>
      <c r="AR55" s="71"/>
      <c r="AS55" s="71"/>
      <c r="AT55" s="70"/>
      <c r="AU55" s="71"/>
      <c r="AV55" s="71"/>
      <c r="AW55" s="71"/>
      <c r="AX55" s="71"/>
      <c r="AY55" s="70"/>
      <c r="AZ55" s="71"/>
      <c r="BA55" s="71"/>
      <c r="BB55" s="71"/>
      <c r="BC55" s="71"/>
      <c r="BD55" s="70"/>
      <c r="BE55" s="71"/>
      <c r="BF55" s="71"/>
      <c r="BG55" s="71"/>
      <c r="BH55" s="71"/>
      <c r="BI55" s="677"/>
      <c r="BJ55" s="678"/>
      <c r="BK55" s="678"/>
      <c r="BL55" s="678"/>
      <c r="BM55" s="678"/>
      <c r="BN55" s="677"/>
      <c r="BO55" s="678"/>
      <c r="BP55" s="678"/>
      <c r="BQ55" s="678"/>
      <c r="BR55" s="678"/>
    </row>
    <row r="56" spans="1:83" ht="27" hidden="1" customHeight="1" thickBot="1" x14ac:dyDescent="0.3">
      <c r="A56" s="677"/>
      <c r="B56" s="32"/>
      <c r="C56" s="33"/>
      <c r="D56" s="34"/>
      <c r="E56" s="35"/>
      <c r="F56" s="677"/>
      <c r="G56" s="32"/>
      <c r="H56" s="33"/>
      <c r="I56" s="34"/>
      <c r="J56" s="35"/>
      <c r="K56" s="677"/>
      <c r="L56" s="32"/>
      <c r="M56" s="33"/>
      <c r="N56" s="34"/>
      <c r="O56" s="35"/>
      <c r="P56" s="677"/>
      <c r="Q56" s="32"/>
      <c r="R56" s="33"/>
      <c r="S56" s="34"/>
      <c r="T56" s="35"/>
      <c r="U56" s="677"/>
      <c r="V56" s="32"/>
      <c r="W56" s="33"/>
      <c r="X56" s="34"/>
      <c r="Y56" s="35"/>
      <c r="Z56" s="70"/>
      <c r="AA56" s="32"/>
      <c r="AB56" s="33"/>
      <c r="AC56" s="34"/>
      <c r="AD56" s="35"/>
      <c r="AE56" s="70"/>
      <c r="AF56" s="32"/>
      <c r="AG56" s="33"/>
      <c r="AH56" s="34"/>
      <c r="AI56" s="35"/>
      <c r="AJ56" s="70"/>
      <c r="AK56" s="32"/>
      <c r="AL56" s="33"/>
      <c r="AM56" s="34"/>
      <c r="AN56" s="35"/>
      <c r="AO56" s="70"/>
      <c r="AP56" s="32"/>
      <c r="AQ56" s="33"/>
      <c r="AR56" s="34"/>
      <c r="AS56" s="35"/>
      <c r="AT56" s="70"/>
      <c r="AU56" s="32"/>
      <c r="AV56" s="33"/>
      <c r="AW56" s="34"/>
      <c r="AX56" s="35"/>
      <c r="AY56" s="70"/>
      <c r="AZ56" s="32"/>
      <c r="BA56" s="33"/>
      <c r="BB56" s="34"/>
      <c r="BC56" s="35"/>
      <c r="BD56" s="70"/>
      <c r="BE56" s="32"/>
      <c r="BF56" s="33"/>
      <c r="BG56" s="34"/>
      <c r="BH56" s="35"/>
      <c r="BI56" s="677"/>
      <c r="BJ56" s="32"/>
      <c r="BK56" s="33"/>
      <c r="BL56" s="34"/>
      <c r="BM56" s="35"/>
      <c r="BN56" s="677"/>
      <c r="BO56" s="32"/>
      <c r="BP56" s="33"/>
      <c r="BQ56" s="34"/>
      <c r="BR56" s="35"/>
      <c r="BW56" s="27"/>
      <c r="BX56" s="27"/>
      <c r="BY56" s="27"/>
      <c r="BZ56" s="27"/>
      <c r="CA56" s="27"/>
      <c r="CB56" s="27"/>
      <c r="CC56" s="27"/>
      <c r="CD56" s="27"/>
      <c r="CE56" s="27"/>
    </row>
    <row r="57" spans="1:83" ht="26.1" hidden="1" customHeight="1" x14ac:dyDescent="0.25">
      <c r="A57" s="674"/>
      <c r="B57" s="674"/>
      <c r="C57" s="674"/>
      <c r="D57" s="675"/>
      <c r="E57" s="675"/>
      <c r="F57" s="674"/>
      <c r="G57" s="674"/>
      <c r="H57" s="674"/>
      <c r="I57" s="675"/>
      <c r="J57" s="675"/>
      <c r="K57" s="674"/>
      <c r="L57" s="674"/>
      <c r="M57" s="674"/>
      <c r="N57" s="675"/>
      <c r="O57" s="675"/>
      <c r="P57" s="674"/>
      <c r="Q57" s="674"/>
      <c r="R57" s="674"/>
      <c r="S57" s="675"/>
      <c r="T57" s="675"/>
      <c r="U57" s="674"/>
      <c r="V57" s="674"/>
      <c r="W57" s="674"/>
      <c r="X57" s="675"/>
      <c r="Y57" s="675"/>
      <c r="Z57" s="44"/>
      <c r="AA57" s="44"/>
      <c r="AB57" s="44"/>
      <c r="AC57" s="69"/>
      <c r="AD57" s="69"/>
      <c r="AE57" s="44"/>
      <c r="AF57" s="44"/>
      <c r="AG57" s="44"/>
      <c r="AH57" s="69"/>
      <c r="AI57" s="69"/>
      <c r="AJ57" s="44"/>
      <c r="AK57" s="44"/>
      <c r="AL57" s="44"/>
      <c r="AM57" s="69"/>
      <c r="AN57" s="69"/>
      <c r="AO57" s="44"/>
      <c r="AP57" s="44"/>
      <c r="AQ57" s="44"/>
      <c r="AR57" s="69"/>
      <c r="AS57" s="69"/>
      <c r="AT57" s="44"/>
      <c r="AU57" s="44"/>
      <c r="AV57" s="44"/>
      <c r="AW57" s="69"/>
      <c r="AX57" s="69"/>
      <c r="AY57" s="44"/>
      <c r="AZ57" s="44"/>
      <c r="BA57" s="44"/>
      <c r="BB57" s="69"/>
      <c r="BC57" s="69"/>
      <c r="BD57" s="44"/>
      <c r="BE57" s="44"/>
      <c r="BF57" s="44"/>
      <c r="BG57" s="69"/>
      <c r="BH57" s="69"/>
      <c r="BI57" s="674"/>
      <c r="BJ57" s="674"/>
      <c r="BK57" s="674"/>
      <c r="BL57" s="675"/>
      <c r="BM57" s="675"/>
      <c r="BN57" s="674"/>
      <c r="BO57" s="674"/>
      <c r="BP57" s="674"/>
      <c r="BQ57" s="675"/>
      <c r="BR57" s="675"/>
    </row>
    <row r="58" spans="1:83" ht="6.75" hidden="1" customHeight="1" x14ac:dyDescent="0.25">
      <c r="A58" s="676"/>
      <c r="B58" s="676"/>
      <c r="C58" s="676"/>
      <c r="D58" s="29"/>
      <c r="E58" s="29"/>
      <c r="F58" s="676"/>
      <c r="G58" s="676"/>
      <c r="H58" s="676"/>
      <c r="I58" s="29"/>
      <c r="J58" s="29"/>
      <c r="K58" s="676"/>
      <c r="L58" s="676"/>
      <c r="M58" s="676"/>
      <c r="N58" s="29"/>
      <c r="O58" s="29"/>
      <c r="P58" s="676"/>
      <c r="Q58" s="676"/>
      <c r="R58" s="676"/>
      <c r="S58" s="29"/>
      <c r="T58" s="29"/>
      <c r="U58" s="676"/>
      <c r="V58" s="676"/>
      <c r="W58" s="676"/>
      <c r="X58" s="29"/>
      <c r="Y58" s="29"/>
      <c r="Z58" s="47"/>
      <c r="AA58" s="47"/>
      <c r="AB58" s="47"/>
      <c r="AC58" s="29"/>
      <c r="AD58" s="29"/>
      <c r="AE58" s="47"/>
      <c r="AF58" s="47"/>
      <c r="AG58" s="47"/>
      <c r="AH58" s="29"/>
      <c r="AI58" s="29"/>
      <c r="AJ58" s="47"/>
      <c r="AK58" s="47"/>
      <c r="AL58" s="47"/>
      <c r="AM58" s="29"/>
      <c r="AN58" s="29"/>
      <c r="AO58" s="47"/>
      <c r="AP58" s="47"/>
      <c r="AQ58" s="47"/>
      <c r="AR58" s="29"/>
      <c r="AS58" s="29"/>
      <c r="AT58" s="47"/>
      <c r="AU58" s="47"/>
      <c r="AV58" s="47"/>
      <c r="AW58" s="29"/>
      <c r="AX58" s="29"/>
      <c r="AY58" s="47"/>
      <c r="AZ58" s="47"/>
      <c r="BA58" s="47"/>
      <c r="BB58" s="29"/>
      <c r="BC58" s="29"/>
      <c r="BD58" s="47"/>
      <c r="BE58" s="47"/>
      <c r="BF58" s="47"/>
      <c r="BG58" s="29"/>
      <c r="BH58" s="29"/>
      <c r="BI58" s="676"/>
      <c r="BJ58" s="676"/>
      <c r="BK58" s="676"/>
      <c r="BL58" s="29"/>
      <c r="BM58" s="29"/>
      <c r="BN58" s="676"/>
      <c r="BO58" s="676"/>
      <c r="BP58" s="676"/>
      <c r="BQ58" s="29"/>
      <c r="BR58" s="29"/>
    </row>
    <row r="59" spans="1:83" ht="21.95" hidden="1" customHeight="1" x14ac:dyDescent="0.25">
      <c r="A59" s="676"/>
      <c r="B59" s="676"/>
      <c r="C59" s="676"/>
      <c r="D59" s="30"/>
      <c r="E59" s="29"/>
      <c r="F59" s="676"/>
      <c r="G59" s="676"/>
      <c r="H59" s="676"/>
      <c r="I59" s="30"/>
      <c r="J59" s="29"/>
      <c r="K59" s="676"/>
      <c r="L59" s="676"/>
      <c r="M59" s="676"/>
      <c r="N59" s="30"/>
      <c r="O59" s="29"/>
      <c r="P59" s="676"/>
      <c r="Q59" s="676"/>
      <c r="R59" s="676"/>
      <c r="S59" s="30"/>
      <c r="T59" s="29"/>
      <c r="U59" s="676"/>
      <c r="V59" s="676"/>
      <c r="W59" s="676"/>
      <c r="X59" s="30"/>
      <c r="Y59" s="29"/>
      <c r="Z59" s="47"/>
      <c r="AA59" s="47"/>
      <c r="AB59" s="47"/>
      <c r="AC59" s="30"/>
      <c r="AD59" s="29"/>
      <c r="AE59" s="47"/>
      <c r="AF59" s="47"/>
      <c r="AG59" s="47"/>
      <c r="AH59" s="30"/>
      <c r="AI59" s="29"/>
      <c r="AJ59" s="47"/>
      <c r="AK59" s="47"/>
      <c r="AL59" s="47"/>
      <c r="AM59" s="30"/>
      <c r="AN59" s="29"/>
      <c r="AO59" s="47"/>
      <c r="AP59" s="47"/>
      <c r="AQ59" s="47"/>
      <c r="AR59" s="30"/>
      <c r="AS59" s="29"/>
      <c r="AT59" s="47"/>
      <c r="AU59" s="47"/>
      <c r="AV59" s="47"/>
      <c r="AW59" s="30"/>
      <c r="AX59" s="29"/>
      <c r="AY59" s="47"/>
      <c r="AZ59" s="47"/>
      <c r="BA59" s="47"/>
      <c r="BB59" s="30"/>
      <c r="BC59" s="29"/>
      <c r="BD59" s="47"/>
      <c r="BE59" s="47"/>
      <c r="BF59" s="47"/>
      <c r="BG59" s="30"/>
      <c r="BH59" s="29"/>
      <c r="BI59" s="676"/>
      <c r="BJ59" s="676"/>
      <c r="BK59" s="676"/>
      <c r="BL59" s="30"/>
      <c r="BM59" s="29"/>
      <c r="BN59" s="676"/>
      <c r="BO59" s="676"/>
      <c r="BP59" s="676"/>
      <c r="BQ59" s="30"/>
      <c r="BR59" s="29"/>
    </row>
    <row r="60" spans="1:83" ht="6" hidden="1" customHeight="1" x14ac:dyDescent="0.25">
      <c r="A60" s="676"/>
      <c r="B60" s="676"/>
      <c r="C60" s="676"/>
      <c r="D60" s="675"/>
      <c r="E60" s="675"/>
      <c r="F60" s="676"/>
      <c r="G60" s="676"/>
      <c r="H60" s="676"/>
      <c r="I60" s="675"/>
      <c r="J60" s="675"/>
      <c r="K60" s="676"/>
      <c r="L60" s="676"/>
      <c r="M60" s="676"/>
      <c r="N60" s="675"/>
      <c r="O60" s="675"/>
      <c r="P60" s="676"/>
      <c r="Q60" s="676"/>
      <c r="R60" s="676"/>
      <c r="S60" s="675"/>
      <c r="T60" s="675"/>
      <c r="U60" s="676"/>
      <c r="V60" s="676"/>
      <c r="W60" s="676"/>
      <c r="X60" s="675"/>
      <c r="Y60" s="675"/>
      <c r="Z60" s="47"/>
      <c r="AA60" s="47"/>
      <c r="AB60" s="47"/>
      <c r="AC60" s="69"/>
      <c r="AD60" s="69"/>
      <c r="AE60" s="47"/>
      <c r="AF60" s="47"/>
      <c r="AG60" s="47"/>
      <c r="AH60" s="69"/>
      <c r="AI60" s="69"/>
      <c r="AJ60" s="47"/>
      <c r="AK60" s="47"/>
      <c r="AL60" s="47"/>
      <c r="AM60" s="69"/>
      <c r="AN60" s="69"/>
      <c r="AO60" s="47"/>
      <c r="AP60" s="47"/>
      <c r="AQ60" s="47"/>
      <c r="AR60" s="69"/>
      <c r="AS60" s="69"/>
      <c r="AT60" s="47"/>
      <c r="AU60" s="47"/>
      <c r="AV60" s="47"/>
      <c r="AW60" s="69"/>
      <c r="AX60" s="69"/>
      <c r="AY60" s="47"/>
      <c r="AZ60" s="47"/>
      <c r="BA60" s="47"/>
      <c r="BB60" s="69"/>
      <c r="BC60" s="69"/>
      <c r="BD60" s="47"/>
      <c r="BE60" s="47"/>
      <c r="BF60" s="47"/>
      <c r="BG60" s="69"/>
      <c r="BH60" s="69"/>
      <c r="BI60" s="676"/>
      <c r="BJ60" s="676"/>
      <c r="BK60" s="676"/>
      <c r="BL60" s="675"/>
      <c r="BM60" s="675"/>
      <c r="BN60" s="676"/>
      <c r="BO60" s="676"/>
      <c r="BP60" s="676"/>
      <c r="BQ60" s="675"/>
      <c r="BR60" s="675"/>
    </row>
    <row r="61" spans="1:83" ht="59.25" hidden="1" customHeight="1" thickBot="1" x14ac:dyDescent="0.3">
      <c r="A61" s="677"/>
      <c r="B61" s="678"/>
      <c r="C61" s="678"/>
      <c r="D61" s="678"/>
      <c r="E61" s="678"/>
      <c r="F61" s="677"/>
      <c r="G61" s="678"/>
      <c r="H61" s="678"/>
      <c r="I61" s="678"/>
      <c r="J61" s="678"/>
      <c r="K61" s="677"/>
      <c r="L61" s="678"/>
      <c r="M61" s="678"/>
      <c r="N61" s="678"/>
      <c r="O61" s="678"/>
      <c r="P61" s="677"/>
      <c r="Q61" s="678"/>
      <c r="R61" s="678"/>
      <c r="S61" s="678"/>
      <c r="T61" s="678"/>
      <c r="U61" s="677"/>
      <c r="V61" s="678"/>
      <c r="W61" s="678"/>
      <c r="X61" s="678"/>
      <c r="Y61" s="678"/>
      <c r="Z61" s="70"/>
      <c r="AA61" s="71"/>
      <c r="AB61" s="71"/>
      <c r="AC61" s="71"/>
      <c r="AD61" s="71"/>
      <c r="AE61" s="70"/>
      <c r="AF61" s="71"/>
      <c r="AG61" s="71"/>
      <c r="AH61" s="71"/>
      <c r="AI61" s="71"/>
      <c r="AJ61" s="70"/>
      <c r="AK61" s="71"/>
      <c r="AL61" s="71"/>
      <c r="AM61" s="71"/>
      <c r="AN61" s="71"/>
      <c r="AO61" s="70"/>
      <c r="AP61" s="71"/>
      <c r="AQ61" s="71"/>
      <c r="AR61" s="71"/>
      <c r="AS61" s="71"/>
      <c r="AT61" s="70"/>
      <c r="AU61" s="71"/>
      <c r="AV61" s="71"/>
      <c r="AW61" s="71"/>
      <c r="AX61" s="71"/>
      <c r="AY61" s="70"/>
      <c r="AZ61" s="71"/>
      <c r="BA61" s="71"/>
      <c r="BB61" s="71"/>
      <c r="BC61" s="71"/>
      <c r="BD61" s="70"/>
      <c r="BE61" s="71"/>
      <c r="BF61" s="71"/>
      <c r="BG61" s="71"/>
      <c r="BH61" s="71"/>
      <c r="BI61" s="677"/>
      <c r="BJ61" s="678"/>
      <c r="BK61" s="678"/>
      <c r="BL61" s="678"/>
      <c r="BM61" s="678"/>
      <c r="BN61" s="677"/>
      <c r="BO61" s="678"/>
      <c r="BP61" s="678"/>
      <c r="BQ61" s="678"/>
      <c r="BR61" s="678"/>
    </row>
    <row r="62" spans="1:83" ht="27" hidden="1" customHeight="1" thickBot="1" x14ac:dyDescent="0.3">
      <c r="A62" s="677"/>
      <c r="B62" s="32"/>
      <c r="C62" s="33"/>
      <c r="D62" s="34"/>
      <c r="E62" s="35"/>
      <c r="F62" s="677"/>
      <c r="G62" s="32"/>
      <c r="H62" s="33"/>
      <c r="I62" s="34"/>
      <c r="J62" s="35"/>
      <c r="K62" s="677"/>
      <c r="L62" s="32"/>
      <c r="M62" s="33"/>
      <c r="N62" s="34"/>
      <c r="O62" s="35"/>
      <c r="P62" s="677"/>
      <c r="Q62" s="32"/>
      <c r="R62" s="33"/>
      <c r="S62" s="34"/>
      <c r="T62" s="35"/>
      <c r="U62" s="677"/>
      <c r="V62" s="32"/>
      <c r="W62" s="33"/>
      <c r="X62" s="34"/>
      <c r="Y62" s="35"/>
      <c r="Z62" s="70"/>
      <c r="AA62" s="32"/>
      <c r="AB62" s="33"/>
      <c r="AC62" s="34"/>
      <c r="AD62" s="35"/>
      <c r="AE62" s="70"/>
      <c r="AF62" s="32"/>
      <c r="AG62" s="33"/>
      <c r="AH62" s="34"/>
      <c r="AI62" s="35"/>
      <c r="AJ62" s="70"/>
      <c r="AK62" s="32"/>
      <c r="AL62" s="33"/>
      <c r="AM62" s="34"/>
      <c r="AN62" s="35"/>
      <c r="AO62" s="70"/>
      <c r="AP62" s="32"/>
      <c r="AQ62" s="33"/>
      <c r="AR62" s="34"/>
      <c r="AS62" s="35"/>
      <c r="AT62" s="70"/>
      <c r="AU62" s="32"/>
      <c r="AV62" s="33"/>
      <c r="AW62" s="34"/>
      <c r="AX62" s="35"/>
      <c r="AY62" s="70"/>
      <c r="AZ62" s="32"/>
      <c r="BA62" s="33"/>
      <c r="BB62" s="34"/>
      <c r="BC62" s="35"/>
      <c r="BD62" s="70"/>
      <c r="BE62" s="32"/>
      <c r="BF62" s="33"/>
      <c r="BG62" s="34"/>
      <c r="BH62" s="35"/>
      <c r="BI62" s="677"/>
      <c r="BJ62" s="32"/>
      <c r="BK62" s="33"/>
      <c r="BL62" s="34"/>
      <c r="BM62" s="35"/>
      <c r="BN62" s="677"/>
      <c r="BO62" s="32"/>
      <c r="BP62" s="33"/>
      <c r="BQ62" s="34"/>
      <c r="BR62" s="35"/>
      <c r="BW62" s="27"/>
      <c r="BX62" s="27"/>
      <c r="BY62" s="27"/>
      <c r="BZ62" s="27"/>
      <c r="CA62" s="27"/>
      <c r="CB62" s="27"/>
      <c r="CC62" s="27"/>
      <c r="CD62" s="27"/>
      <c r="CE62" s="27"/>
    </row>
    <row r="63" spans="1:83" s="42" customFormat="1" ht="30" hidden="1" customHeight="1" thickTop="1" x14ac:dyDescent="0.25">
      <c r="A63" s="37"/>
      <c r="B63" s="38"/>
      <c r="C63" s="39"/>
      <c r="D63" s="40"/>
      <c r="E63" s="41"/>
      <c r="F63" s="37"/>
      <c r="G63" s="38"/>
      <c r="H63" s="39"/>
      <c r="I63" s="40"/>
      <c r="J63" s="41"/>
      <c r="K63" s="37"/>
      <c r="L63" s="38"/>
      <c r="M63" s="39"/>
      <c r="N63" s="40"/>
      <c r="O63" s="41"/>
      <c r="P63" s="37"/>
      <c r="Q63" s="38"/>
      <c r="R63" s="39"/>
      <c r="S63" s="40"/>
      <c r="T63" s="41"/>
      <c r="U63" s="37"/>
      <c r="V63" s="38"/>
      <c r="W63" s="38"/>
      <c r="X63" s="39"/>
      <c r="Y63" s="40"/>
      <c r="Z63" s="41"/>
      <c r="AA63" s="37"/>
      <c r="AB63" s="38"/>
      <c r="AC63" s="39"/>
      <c r="AD63" s="40"/>
      <c r="AE63" s="41"/>
      <c r="AF63" s="38"/>
      <c r="AG63" s="39"/>
      <c r="AH63" s="40"/>
      <c r="AI63" s="41"/>
      <c r="AJ63" s="37"/>
      <c r="AK63" s="38"/>
      <c r="AL63" s="39"/>
      <c r="AM63" s="40"/>
      <c r="AN63" s="41"/>
      <c r="AO63" s="38"/>
      <c r="AP63" s="39"/>
      <c r="AQ63" s="40"/>
      <c r="AR63" s="41"/>
      <c r="AS63" s="37"/>
      <c r="AT63" s="38"/>
      <c r="AU63" s="39"/>
      <c r="AV63" s="40"/>
      <c r="AW63" s="41"/>
      <c r="AX63" s="38"/>
      <c r="AY63" s="39"/>
      <c r="AZ63" s="40"/>
      <c r="BA63" s="41"/>
      <c r="BB63" s="37"/>
      <c r="BC63" s="38"/>
      <c r="BD63" s="39"/>
      <c r="BE63" s="40"/>
      <c r="BF63" s="41"/>
      <c r="BG63" s="38"/>
      <c r="BH63" s="39"/>
      <c r="BI63" s="40"/>
      <c r="BJ63" s="41"/>
      <c r="BK63" s="37"/>
      <c r="BL63" s="38"/>
      <c r="BM63" s="39"/>
      <c r="BN63" s="40"/>
      <c r="BO63" s="41"/>
      <c r="BP63" s="38"/>
      <c r="BQ63" s="39"/>
      <c r="BR63" s="40"/>
      <c r="BW63" s="43"/>
      <c r="BX63" s="43"/>
      <c r="BY63" s="43"/>
      <c r="BZ63" s="43"/>
      <c r="CA63" s="43"/>
      <c r="CB63" s="43"/>
      <c r="CC63" s="43"/>
      <c r="CD63" s="43"/>
      <c r="CE63" s="43"/>
    </row>
    <row r="64" spans="1:83" ht="21.95" hidden="1" customHeight="1" x14ac:dyDescent="0.25">
      <c r="A64" s="674"/>
      <c r="B64" s="674"/>
      <c r="C64" s="674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45"/>
      <c r="BD64" s="45"/>
      <c r="BE64" s="45"/>
      <c r="BF64" s="45"/>
      <c r="BG64" s="45"/>
      <c r="BH64" s="45"/>
      <c r="BI64" s="45"/>
      <c r="BJ64" s="45"/>
      <c r="BK64" s="45"/>
      <c r="BL64" s="45"/>
      <c r="BM64" s="45"/>
      <c r="BN64" s="45"/>
      <c r="BO64" s="45"/>
      <c r="BP64" s="45"/>
      <c r="BQ64" s="45"/>
      <c r="BR64" s="45"/>
    </row>
    <row r="65" spans="1:90" ht="6.75" customHeight="1" x14ac:dyDescent="0.25">
      <c r="A65" s="676"/>
      <c r="B65" s="676"/>
      <c r="C65" s="676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5"/>
      <c r="AW65" s="45"/>
      <c r="AX65" s="45"/>
      <c r="AY65" s="45"/>
      <c r="AZ65" s="45"/>
      <c r="BA65" s="45"/>
      <c r="BB65" s="45"/>
      <c r="BC65" s="45"/>
      <c r="BD65" s="45"/>
      <c r="BE65" s="45"/>
      <c r="BF65" s="45"/>
      <c r="BG65" s="45"/>
      <c r="BH65" s="45"/>
      <c r="BI65" s="45"/>
      <c r="BJ65" s="45"/>
      <c r="BK65" s="45"/>
      <c r="BL65" s="45"/>
      <c r="BM65" s="45"/>
      <c r="BN65" s="45"/>
      <c r="BO65" s="45"/>
      <c r="BP65" s="45"/>
      <c r="BQ65" s="45"/>
      <c r="BR65" s="45"/>
    </row>
    <row r="66" spans="1:90" ht="37.5" hidden="1" customHeight="1" x14ac:dyDescent="0.25">
      <c r="A66" s="676"/>
      <c r="B66" s="676"/>
      <c r="C66" s="676"/>
      <c r="D66" s="49"/>
      <c r="E66" s="49"/>
      <c r="F66" s="49"/>
      <c r="G66" s="49"/>
      <c r="H66" s="49"/>
      <c r="I66" s="49"/>
      <c r="J66" s="49"/>
      <c r="K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5"/>
      <c r="BF66" s="45"/>
      <c r="BG66" s="45"/>
      <c r="BH66" s="45"/>
      <c r="BI66" s="45"/>
      <c r="BJ66" s="45"/>
      <c r="BK66" s="45"/>
      <c r="BL66" s="45"/>
      <c r="BM66" s="45"/>
      <c r="BN66" s="45"/>
      <c r="BO66" s="45"/>
      <c r="BP66" s="45"/>
      <c r="BQ66" s="45"/>
      <c r="BR66" s="45"/>
    </row>
    <row r="67" spans="1:90" ht="6" hidden="1" customHeight="1" x14ac:dyDescent="0.25">
      <c r="A67" s="676"/>
      <c r="B67" s="676"/>
      <c r="C67" s="676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  <c r="AT67" s="45"/>
      <c r="AU67" s="45"/>
      <c r="AV67" s="45"/>
      <c r="AW67" s="45"/>
      <c r="AX67" s="45"/>
      <c r="AY67" s="45"/>
      <c r="AZ67" s="45"/>
      <c r="BA67" s="45"/>
      <c r="BB67" s="45"/>
      <c r="BC67" s="45"/>
      <c r="BD67" s="45"/>
      <c r="BE67" s="45"/>
      <c r="BF67" s="45"/>
      <c r="BG67" s="45"/>
      <c r="BH67" s="45"/>
      <c r="BI67" s="45"/>
      <c r="BJ67" s="45"/>
      <c r="BK67" s="45"/>
      <c r="BL67" s="45"/>
      <c r="BM67" s="45"/>
      <c r="BN67" s="45"/>
      <c r="BO67" s="45"/>
      <c r="BP67" s="45"/>
      <c r="BQ67" s="45"/>
      <c r="BR67" s="45"/>
    </row>
    <row r="68" spans="1:90" ht="30" hidden="1" customHeight="1" x14ac:dyDescent="0.25">
      <c r="B68" s="17"/>
      <c r="D68" s="45"/>
      <c r="E68" s="45"/>
      <c r="F68" s="45"/>
      <c r="G68" s="45"/>
      <c r="H68" s="45"/>
      <c r="I68" s="45"/>
      <c r="J68" s="45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49"/>
      <c r="BC68" s="49"/>
      <c r="BD68" s="49"/>
      <c r="BE68" s="49"/>
      <c r="BF68" s="49"/>
      <c r="BG68" s="49"/>
      <c r="BH68" s="49"/>
      <c r="BI68" s="49"/>
      <c r="BJ68" s="49"/>
      <c r="BK68" s="49"/>
      <c r="BL68" s="49"/>
      <c r="BM68" s="49"/>
      <c r="BN68" s="49"/>
      <c r="BO68" s="49"/>
      <c r="BP68" s="49"/>
      <c r="BQ68" s="49"/>
      <c r="BR68" s="49"/>
      <c r="BS68" s="50"/>
      <c r="BT68" s="50"/>
      <c r="BW68" s="51"/>
      <c r="BX68" s="51"/>
      <c r="BY68" s="51"/>
      <c r="BZ68" s="51"/>
      <c r="CA68" s="51"/>
      <c r="CB68" s="51"/>
      <c r="CC68" s="27"/>
      <c r="CD68" s="27"/>
      <c r="CE68" s="27"/>
      <c r="CG68" s="27"/>
      <c r="CH68" s="27"/>
      <c r="CI68" s="27"/>
      <c r="CJ68" s="27"/>
      <c r="CK68" s="27"/>
      <c r="CL68" s="27"/>
    </row>
    <row r="69" spans="1:90" ht="34.5" hidden="1" customHeight="1" x14ac:dyDescent="0.25"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5"/>
      <c r="AW69" s="45"/>
      <c r="AX69" s="45"/>
      <c r="AY69" s="45"/>
      <c r="AZ69" s="45"/>
      <c r="BA69" s="45"/>
      <c r="BB69" s="45"/>
      <c r="BC69" s="45"/>
      <c r="BD69" s="45"/>
      <c r="BE69" s="45"/>
      <c r="BF69" s="45"/>
      <c r="BG69" s="45"/>
      <c r="BH69" s="45"/>
      <c r="BI69" s="45"/>
      <c r="BJ69" s="45"/>
      <c r="BK69" s="45"/>
      <c r="BL69" s="45"/>
      <c r="BM69" s="45"/>
      <c r="BN69" s="45"/>
      <c r="BO69" s="45"/>
      <c r="BP69" s="45"/>
      <c r="BQ69" s="45"/>
      <c r="BR69" s="45"/>
      <c r="BS69" s="50"/>
      <c r="BT69" s="50"/>
      <c r="BW69" s="27"/>
      <c r="BX69" s="27"/>
      <c r="BY69" s="27"/>
      <c r="BZ69" s="27"/>
      <c r="CA69" s="27"/>
      <c r="CB69" s="27"/>
      <c r="CC69" s="27"/>
      <c r="CD69" s="27"/>
      <c r="CE69" s="27"/>
      <c r="CG69" s="27"/>
      <c r="CH69" s="27"/>
      <c r="CI69" s="27"/>
      <c r="CJ69" s="27"/>
      <c r="CK69" s="27"/>
      <c r="CL69" s="27"/>
    </row>
    <row r="70" spans="1:90" ht="15" hidden="1" customHeight="1" x14ac:dyDescent="0.25">
      <c r="G70" s="45"/>
      <c r="H70" s="45"/>
      <c r="I70" s="45"/>
      <c r="J70" s="52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5"/>
      <c r="AW70" s="45"/>
      <c r="AX70" s="45"/>
      <c r="AY70" s="45"/>
      <c r="AZ70" s="45"/>
      <c r="BA70" s="45"/>
      <c r="BB70" s="45"/>
      <c r="BC70" s="45"/>
      <c r="BD70" s="45"/>
      <c r="BE70" s="45"/>
      <c r="BF70" s="45"/>
      <c r="BG70" s="45"/>
      <c r="BH70" s="45"/>
      <c r="BI70" s="45"/>
      <c r="BJ70" s="45"/>
      <c r="BK70" s="45"/>
      <c r="BL70" s="45"/>
      <c r="BM70" s="45"/>
      <c r="BN70" s="45"/>
      <c r="BO70" s="45"/>
      <c r="BP70" s="45"/>
      <c r="BQ70" s="45"/>
      <c r="BR70" s="45"/>
      <c r="BS70" s="50"/>
      <c r="BT70" s="50"/>
      <c r="BW70" s="27"/>
      <c r="BX70" s="27"/>
      <c r="BY70" s="27"/>
      <c r="BZ70" s="27"/>
      <c r="CA70" s="27"/>
      <c r="CB70" s="27"/>
      <c r="CC70" s="27"/>
      <c r="CD70" s="27"/>
      <c r="CE70" s="27"/>
      <c r="CG70" s="27"/>
      <c r="CH70" s="27"/>
      <c r="CI70" s="27"/>
      <c r="CJ70" s="27"/>
      <c r="CK70" s="27"/>
      <c r="CL70" s="27"/>
    </row>
    <row r="71" spans="1:90" ht="16.5" customHeight="1" x14ac:dyDescent="0.25">
      <c r="G71" s="45"/>
      <c r="H71" s="45"/>
      <c r="I71" s="45"/>
      <c r="J71" s="52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38"/>
      <c r="X71" s="39"/>
      <c r="Y71" s="40"/>
      <c r="Z71" s="41"/>
      <c r="AA71" s="37"/>
      <c r="AB71" s="38"/>
      <c r="AC71" s="39"/>
      <c r="AD71" s="40"/>
      <c r="AE71" s="41"/>
      <c r="AF71" s="38"/>
      <c r="AG71" s="39"/>
      <c r="AH71" s="40"/>
      <c r="AI71" s="41"/>
      <c r="AJ71" s="37"/>
      <c r="AK71" s="38"/>
      <c r="AL71" s="39"/>
      <c r="AM71" s="40"/>
      <c r="AN71" s="41"/>
      <c r="AO71" s="38"/>
      <c r="AP71" s="39"/>
      <c r="AQ71" s="40"/>
      <c r="AR71" s="41"/>
      <c r="AS71" s="37"/>
      <c r="AT71" s="38"/>
      <c r="AU71" s="39"/>
      <c r="AV71" s="40"/>
      <c r="AW71" s="41"/>
      <c r="AX71" s="38"/>
      <c r="AY71" s="39"/>
      <c r="AZ71" s="40"/>
      <c r="BA71" s="41"/>
      <c r="BB71" s="37"/>
      <c r="BC71" s="38"/>
      <c r="BD71" s="39"/>
      <c r="BE71" s="40"/>
      <c r="BF71" s="41"/>
      <c r="BG71" s="38"/>
      <c r="BH71" s="39"/>
      <c r="BI71" s="40"/>
      <c r="BJ71" s="41"/>
      <c r="BK71" s="37"/>
      <c r="BL71" s="38"/>
      <c r="BM71" s="39"/>
      <c r="BN71" s="40"/>
      <c r="BO71" s="41"/>
      <c r="BP71" s="38"/>
      <c r="BQ71" s="39"/>
      <c r="BR71" s="40"/>
      <c r="BS71" s="50"/>
      <c r="BT71" s="50"/>
      <c r="BW71" s="27"/>
      <c r="BX71" s="27"/>
      <c r="BY71" s="27"/>
      <c r="BZ71" s="27"/>
      <c r="CA71" s="27"/>
      <c r="CB71" s="27"/>
      <c r="CC71" s="27"/>
      <c r="CD71" s="27"/>
      <c r="CE71" s="27"/>
      <c r="CG71" s="27"/>
      <c r="CH71" s="27"/>
      <c r="CI71" s="27"/>
      <c r="CJ71" s="27"/>
      <c r="CK71" s="27"/>
      <c r="CL71" s="27"/>
    </row>
    <row r="72" spans="1:90" ht="15" hidden="1" customHeight="1" x14ac:dyDescent="0.25">
      <c r="G72" s="49"/>
      <c r="H72" s="49"/>
      <c r="I72" s="49"/>
      <c r="J72" s="52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  <c r="BC72" s="45"/>
      <c r="BD72" s="45"/>
      <c r="BE72" s="45"/>
      <c r="BF72" s="45"/>
      <c r="BG72" s="45"/>
      <c r="BH72" s="45"/>
      <c r="BI72" s="45"/>
      <c r="BJ72" s="45"/>
      <c r="BK72" s="45"/>
      <c r="BL72" s="45"/>
      <c r="BM72" s="45"/>
      <c r="BN72" s="45"/>
      <c r="BO72" s="45"/>
      <c r="BP72" s="45"/>
      <c r="BQ72" s="45"/>
      <c r="BR72" s="45"/>
      <c r="BS72" s="53"/>
      <c r="BT72" s="53"/>
    </row>
    <row r="73" spans="1:90" ht="22.5" hidden="1" customHeight="1" x14ac:dyDescent="0.25">
      <c r="G73" s="45"/>
      <c r="H73" s="45"/>
      <c r="I73" s="45"/>
      <c r="J73" s="52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45"/>
      <c r="AW73" s="45"/>
      <c r="AX73" s="45"/>
      <c r="AY73" s="45"/>
      <c r="AZ73" s="45"/>
      <c r="BA73" s="45"/>
      <c r="BB73" s="45"/>
      <c r="BC73" s="45"/>
      <c r="BD73" s="45"/>
      <c r="BE73" s="45"/>
      <c r="BF73" s="45"/>
      <c r="BG73" s="45"/>
      <c r="BH73" s="45"/>
      <c r="BI73" s="45"/>
      <c r="BJ73" s="45"/>
      <c r="BK73" s="45"/>
      <c r="BL73" s="45"/>
      <c r="BM73" s="45"/>
      <c r="BN73" s="45"/>
      <c r="BO73" s="45"/>
      <c r="BP73" s="45"/>
      <c r="BQ73" s="45"/>
      <c r="BR73" s="45"/>
      <c r="BS73" s="53"/>
      <c r="BT73" s="53"/>
    </row>
    <row r="74" spans="1:90" ht="23.25" x14ac:dyDescent="0.35">
      <c r="A74" s="54"/>
      <c r="E74" s="54"/>
      <c r="F74" s="54"/>
      <c r="G74" s="54"/>
      <c r="H74" s="54"/>
      <c r="I74" s="54"/>
      <c r="J74" s="54"/>
      <c r="K74" s="54"/>
    </row>
    <row r="75" spans="1:90" ht="24" thickBot="1" x14ac:dyDescent="0.4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X75" s="55"/>
    </row>
    <row r="76" spans="1:90" ht="15.75" customHeight="1" thickTop="1" x14ac:dyDescent="0.25">
      <c r="AD76" s="775">
        <v>55.79</v>
      </c>
      <c r="AE76" s="776"/>
      <c r="AF76" s="776"/>
      <c r="AG76" s="776"/>
      <c r="AH76" s="777"/>
      <c r="AL76" s="727" t="s">
        <v>122</v>
      </c>
      <c r="AM76" s="727"/>
      <c r="AN76" s="727"/>
      <c r="AO76" s="727" t="s">
        <v>123</v>
      </c>
      <c r="AP76" s="727"/>
      <c r="AQ76" s="727"/>
      <c r="AR76" s="727" t="s">
        <v>124</v>
      </c>
      <c r="AS76" s="727"/>
      <c r="AT76" s="727" t="s">
        <v>125</v>
      </c>
      <c r="AU76" s="727"/>
      <c r="AY76" s="739" t="s">
        <v>126</v>
      </c>
      <c r="AZ76" s="740"/>
      <c r="BA76" s="740"/>
      <c r="BB76" s="740"/>
      <c r="BC76" s="740"/>
      <c r="BD76" s="740"/>
      <c r="BE76" s="740"/>
      <c r="BF76" s="740"/>
      <c r="BG76" s="740"/>
      <c r="BH76" s="741"/>
      <c r="BI76" s="13"/>
      <c r="BJ76" s="13"/>
      <c r="BK76" s="13"/>
      <c r="BL76" s="13"/>
      <c r="BM76" s="13"/>
      <c r="BN76" s="13"/>
      <c r="BO76" s="13"/>
      <c r="BP76" s="13"/>
      <c r="BQ76" s="13"/>
      <c r="BR76" s="13"/>
    </row>
    <row r="77" spans="1:90" ht="15" customHeight="1" x14ac:dyDescent="0.25">
      <c r="O77" s="114" t="s">
        <v>127</v>
      </c>
      <c r="P77" s="114"/>
      <c r="Q77" s="114"/>
      <c r="R77" s="114"/>
      <c r="S77" s="114"/>
      <c r="T77" s="114"/>
      <c r="U77" s="114"/>
      <c r="V77" s="114"/>
      <c r="AD77" s="778"/>
      <c r="AE77" s="779"/>
      <c r="AF77" s="779"/>
      <c r="AG77" s="779"/>
      <c r="AH77" s="780"/>
      <c r="AL77" s="727"/>
      <c r="AM77" s="727"/>
      <c r="AN77" s="727"/>
      <c r="AO77" s="727"/>
      <c r="AP77" s="727"/>
      <c r="AQ77" s="727"/>
      <c r="AR77" s="727"/>
      <c r="AS77" s="727"/>
      <c r="AT77" s="727"/>
      <c r="AU77" s="727"/>
      <c r="AY77" s="750"/>
      <c r="AZ77" s="751"/>
      <c r="BA77" s="751"/>
      <c r="BB77" s="751"/>
      <c r="BC77" s="751"/>
      <c r="BD77" s="751"/>
      <c r="BE77" s="751"/>
      <c r="BF77" s="751"/>
      <c r="BG77" s="751"/>
      <c r="BH77" s="752"/>
      <c r="BI77" s="13"/>
      <c r="BJ77" s="13"/>
      <c r="BK77" s="13"/>
      <c r="BL77" s="13"/>
      <c r="BM77" s="13"/>
      <c r="BN77" s="13"/>
      <c r="BO77" s="13"/>
      <c r="BP77" s="13"/>
      <c r="BQ77" s="13"/>
      <c r="BR77" s="13"/>
    </row>
    <row r="78" spans="1:90" ht="15" customHeight="1" x14ac:dyDescent="0.25">
      <c r="O78" s="114"/>
      <c r="P78" s="114"/>
      <c r="Q78" s="114"/>
      <c r="R78" s="114"/>
      <c r="S78" s="114"/>
      <c r="T78" s="114"/>
      <c r="U78" s="114"/>
      <c r="V78" s="114"/>
      <c r="AA78" s="56"/>
      <c r="AD78" s="778"/>
      <c r="AE78" s="779"/>
      <c r="AF78" s="779"/>
      <c r="AG78" s="779"/>
      <c r="AH78" s="780"/>
      <c r="AL78" s="727"/>
      <c r="AM78" s="727"/>
      <c r="AN78" s="727"/>
      <c r="AO78" s="727"/>
      <c r="AP78" s="727"/>
      <c r="AQ78" s="727"/>
      <c r="AR78" s="727"/>
      <c r="AS78" s="727"/>
      <c r="AT78" s="727"/>
      <c r="AU78" s="727"/>
      <c r="AY78" s="742"/>
      <c r="AZ78" s="743"/>
      <c r="BA78" s="743"/>
      <c r="BB78" s="743"/>
      <c r="BC78" s="743"/>
      <c r="BD78" s="743"/>
      <c r="BE78" s="743"/>
      <c r="BF78" s="743"/>
      <c r="BG78" s="743"/>
      <c r="BH78" s="744"/>
      <c r="BI78" s="13"/>
      <c r="BJ78" s="13"/>
      <c r="BK78" s="13"/>
      <c r="BL78" s="13"/>
      <c r="BM78" s="13"/>
      <c r="BN78" s="13"/>
      <c r="BO78" s="13"/>
      <c r="BP78" s="13"/>
      <c r="BQ78" s="13"/>
      <c r="BR78" s="13"/>
    </row>
    <row r="79" spans="1:90" ht="15" customHeight="1" x14ac:dyDescent="0.25">
      <c r="O79" s="114"/>
      <c r="P79" s="114"/>
      <c r="Q79" s="114"/>
      <c r="R79" s="114"/>
      <c r="S79" s="114"/>
      <c r="T79" s="114"/>
      <c r="U79" s="114"/>
      <c r="V79" s="114"/>
      <c r="AD79" s="778"/>
      <c r="AE79" s="779"/>
      <c r="AF79" s="779"/>
      <c r="AG79" s="779"/>
      <c r="AH79" s="780"/>
      <c r="AL79" s="774">
        <v>5510</v>
      </c>
      <c r="AM79" s="774"/>
      <c r="AN79" s="774"/>
      <c r="AO79" s="774">
        <f ca="1">AT95</f>
        <v>5510</v>
      </c>
      <c r="AP79" s="774"/>
      <c r="AQ79" s="774"/>
      <c r="AR79" s="726">
        <f>AS40</f>
        <v>55.790200110199997</v>
      </c>
      <c r="AS79" s="726"/>
      <c r="AT79" s="726">
        <f>AS40+BJ42</f>
        <v>117.2902001102</v>
      </c>
      <c r="AU79" s="726"/>
      <c r="AY79" s="727" t="s">
        <v>128</v>
      </c>
      <c r="AZ79" s="727"/>
      <c r="BA79" s="727"/>
      <c r="BB79" s="727"/>
      <c r="BC79" s="727"/>
      <c r="BD79" s="727"/>
      <c r="BE79" s="727"/>
      <c r="BF79" s="727"/>
      <c r="BG79" s="727"/>
      <c r="BH79" s="727"/>
      <c r="BI79" s="13"/>
      <c r="BJ79" s="13"/>
      <c r="BK79" s="13"/>
      <c r="BL79" s="13"/>
      <c r="BM79" s="13"/>
      <c r="BN79" s="13"/>
      <c r="BO79" s="13"/>
      <c r="BP79" s="13"/>
      <c r="BQ79" s="13"/>
      <c r="BR79" s="13"/>
    </row>
    <row r="80" spans="1:90" ht="15" customHeight="1" x14ac:dyDescent="0.25">
      <c r="O80" s="114"/>
      <c r="P80" s="114"/>
      <c r="Q80" s="114"/>
      <c r="R80" s="114"/>
      <c r="S80" s="114"/>
      <c r="T80" s="114"/>
      <c r="U80" s="114"/>
      <c r="V80" s="114"/>
      <c r="AD80" s="778"/>
      <c r="AE80" s="779"/>
      <c r="AF80" s="779"/>
      <c r="AG80" s="779"/>
      <c r="AH80" s="780"/>
      <c r="AL80" s="774"/>
      <c r="AM80" s="774"/>
      <c r="AN80" s="774"/>
      <c r="AO80" s="774"/>
      <c r="AP80" s="774"/>
      <c r="AQ80" s="774"/>
      <c r="AR80" s="726"/>
      <c r="AS80" s="726"/>
      <c r="AT80" s="726"/>
      <c r="AU80" s="726"/>
      <c r="AY80" s="727"/>
      <c r="AZ80" s="727"/>
      <c r="BA80" s="727"/>
      <c r="BB80" s="727"/>
      <c r="BC80" s="727"/>
      <c r="BD80" s="727"/>
      <c r="BE80" s="727"/>
      <c r="BF80" s="727"/>
      <c r="BG80" s="727"/>
      <c r="BH80" s="727"/>
      <c r="BI80" s="13"/>
      <c r="BJ80" s="13"/>
      <c r="BK80" s="13"/>
      <c r="BL80" s="13"/>
      <c r="BM80" s="13"/>
      <c r="BN80" s="13"/>
      <c r="BO80" s="13"/>
      <c r="BP80" s="13"/>
      <c r="BQ80" s="13"/>
      <c r="BR80" s="13"/>
    </row>
    <row r="81" spans="15:70" ht="15" customHeight="1" x14ac:dyDescent="0.25">
      <c r="O81" s="114"/>
      <c r="P81" s="114"/>
      <c r="Q81" s="114"/>
      <c r="R81" s="114"/>
      <c r="S81" s="114"/>
      <c r="T81" s="114"/>
      <c r="U81" s="114"/>
      <c r="V81" s="114"/>
      <c r="AD81" s="778"/>
      <c r="AE81" s="779"/>
      <c r="AF81" s="779"/>
      <c r="AG81" s="779"/>
      <c r="AH81" s="780"/>
      <c r="AL81" s="774"/>
      <c r="AM81" s="774"/>
      <c r="AN81" s="774"/>
      <c r="AO81" s="774"/>
      <c r="AP81" s="774"/>
      <c r="AQ81" s="774"/>
      <c r="AR81" s="726"/>
      <c r="AS81" s="726"/>
      <c r="AT81" s="726"/>
      <c r="AU81" s="726"/>
      <c r="AY81" s="728">
        <f ca="1">AR79/((42*3.1415/59)*(AO79/3.281))</f>
        <v>1.4855189898014178E-2</v>
      </c>
      <c r="AZ81" s="729"/>
      <c r="BA81" s="729"/>
      <c r="BB81" s="729"/>
      <c r="BC81" s="729"/>
      <c r="BD81" s="729"/>
      <c r="BE81" s="729"/>
      <c r="BF81" s="729"/>
      <c r="BG81" s="729"/>
      <c r="BH81" s="730"/>
      <c r="BI81" s="57"/>
      <c r="BJ81" s="57"/>
      <c r="BK81" s="57"/>
      <c r="BL81" s="57"/>
      <c r="BM81" s="57"/>
      <c r="BN81" s="57"/>
      <c r="BO81" s="57"/>
      <c r="BP81" s="57"/>
      <c r="BQ81" s="57"/>
      <c r="BR81" s="57"/>
    </row>
    <row r="82" spans="15:70" ht="15.75" customHeight="1" thickBot="1" x14ac:dyDescent="0.3">
      <c r="AD82" s="781"/>
      <c r="AE82" s="782"/>
      <c r="AF82" s="782"/>
      <c r="AG82" s="782"/>
      <c r="AH82" s="783"/>
      <c r="AL82" s="774"/>
      <c r="AM82" s="774"/>
      <c r="AN82" s="774"/>
      <c r="AO82" s="774"/>
      <c r="AP82" s="774"/>
      <c r="AQ82" s="774"/>
      <c r="AR82" s="726"/>
      <c r="AS82" s="726"/>
      <c r="AT82" s="726"/>
      <c r="AU82" s="726"/>
      <c r="AY82" s="731"/>
      <c r="AZ82" s="732"/>
      <c r="BA82" s="732"/>
      <c r="BB82" s="732"/>
      <c r="BC82" s="732"/>
      <c r="BD82" s="732"/>
      <c r="BE82" s="732"/>
      <c r="BF82" s="732"/>
      <c r="BG82" s="732"/>
      <c r="BH82" s="733"/>
      <c r="BI82" s="57"/>
      <c r="BJ82" s="57"/>
      <c r="BK82" s="57"/>
      <c r="BL82" s="57"/>
      <c r="BM82" s="57"/>
      <c r="BN82" s="57"/>
      <c r="BO82" s="57"/>
      <c r="BP82" s="57"/>
      <c r="BQ82" s="57"/>
      <c r="BR82" s="57"/>
    </row>
    <row r="83" spans="15:70" ht="15.75" customHeight="1" thickTop="1" x14ac:dyDescent="0.25">
      <c r="AY83" s="734"/>
      <c r="AZ83" s="735"/>
      <c r="BA83" s="735"/>
      <c r="BB83" s="735"/>
      <c r="BC83" s="735"/>
      <c r="BD83" s="735"/>
      <c r="BE83" s="735"/>
      <c r="BF83" s="735"/>
      <c r="BG83" s="735"/>
      <c r="BH83" s="736"/>
      <c r="BI83" s="57"/>
      <c r="BJ83" s="57"/>
      <c r="BK83" s="57"/>
      <c r="BL83" s="57"/>
      <c r="BM83" s="57"/>
      <c r="BN83" s="57"/>
      <c r="BO83" s="57"/>
      <c r="BP83" s="57"/>
      <c r="BQ83" s="57"/>
      <c r="BR83" s="57"/>
    </row>
    <row r="84" spans="15:70" x14ac:dyDescent="0.25">
      <c r="AY84" s="739" t="s">
        <v>129</v>
      </c>
      <c r="AZ84" s="740"/>
      <c r="BA84" s="740"/>
      <c r="BB84" s="740"/>
      <c r="BC84" s="740"/>
      <c r="BD84" s="740"/>
      <c r="BE84" s="740"/>
      <c r="BF84" s="740"/>
      <c r="BG84" s="740"/>
      <c r="BH84" s="741"/>
      <c r="BI84" s="13"/>
      <c r="BJ84" s="13"/>
      <c r="BK84" s="13"/>
      <c r="BL84" s="13"/>
      <c r="BM84" s="13"/>
      <c r="BN84" s="13"/>
      <c r="BO84" s="13"/>
      <c r="BP84" s="13"/>
      <c r="BQ84" s="13"/>
      <c r="BR84" s="13"/>
    </row>
    <row r="85" spans="15:70" x14ac:dyDescent="0.25">
      <c r="AY85" s="742"/>
      <c r="AZ85" s="743"/>
      <c r="BA85" s="743"/>
      <c r="BB85" s="743"/>
      <c r="BC85" s="743"/>
      <c r="BD85" s="743"/>
      <c r="BE85" s="743"/>
      <c r="BF85" s="743"/>
      <c r="BG85" s="743"/>
      <c r="BH85" s="744"/>
      <c r="BI85" s="13"/>
      <c r="BJ85" s="13"/>
      <c r="BK85" s="13"/>
      <c r="BL85" s="13"/>
      <c r="BM85" s="13"/>
      <c r="BN85" s="13"/>
      <c r="BO85" s="13"/>
      <c r="BP85" s="13"/>
      <c r="BQ85" s="13"/>
      <c r="BR85" s="13"/>
    </row>
    <row r="86" spans="15:70" ht="15" customHeight="1" x14ac:dyDescent="0.25">
      <c r="AN86" s="1255">
        <v>145</v>
      </c>
      <c r="AO86" s="1255"/>
      <c r="AP86" s="1255"/>
      <c r="AQ86" s="746" cm="1">
        <f t="array" aca="1" ref="AQ86" ca="1">SUM(COUNTIF(INDIRECT({"B8","G8","L8","Q8","V8","AA8","AF8","AK8","AP8","AU8","AZ8","BE8","BJ8","BO8","B14","G14","L14","Q14","V14","AA14","AF14","AK14","AP14","AU14","AZ14","BE14","BJ14","BO14","B20","G20","L20","Q20","V20","AA20","AF20","AK20","AP20","AU20"}),"&gt;0"))</f>
        <v>38</v>
      </c>
      <c r="AR86" s="746"/>
      <c r="AS86" s="746"/>
      <c r="AT86" s="747">
        <f ca="1">AQ86*AN86</f>
        <v>5510</v>
      </c>
      <c r="AU86" s="748"/>
      <c r="AV86" s="748"/>
      <c r="AW86" s="749"/>
      <c r="AY86" s="739" t="s">
        <v>130</v>
      </c>
      <c r="AZ86" s="740"/>
      <c r="BA86" s="740"/>
      <c r="BB86" s="740"/>
      <c r="BC86" s="740"/>
      <c r="BD86" s="740"/>
      <c r="BE86" s="740"/>
      <c r="BF86" s="740"/>
      <c r="BG86" s="740"/>
      <c r="BH86" s="741"/>
      <c r="BI86" s="13"/>
      <c r="BJ86" s="13"/>
      <c r="BK86" s="13"/>
      <c r="BL86" s="13"/>
      <c r="BM86" s="13"/>
      <c r="BN86" s="13"/>
      <c r="BO86" s="13"/>
      <c r="BP86" s="13"/>
      <c r="BQ86" s="13"/>
      <c r="BR86" s="13"/>
    </row>
    <row r="87" spans="15:70" ht="15" customHeight="1" x14ac:dyDescent="0.25">
      <c r="AN87" s="1255"/>
      <c r="AO87" s="1255"/>
      <c r="AP87" s="1255"/>
      <c r="AQ87" s="746"/>
      <c r="AR87" s="746"/>
      <c r="AS87" s="746"/>
      <c r="AT87" s="747"/>
      <c r="AU87" s="748"/>
      <c r="AV87" s="748"/>
      <c r="AW87" s="749"/>
      <c r="AY87" s="750"/>
      <c r="AZ87" s="751"/>
      <c r="BA87" s="751"/>
      <c r="BB87" s="751"/>
      <c r="BC87" s="751"/>
      <c r="BD87" s="751"/>
      <c r="BE87" s="751"/>
      <c r="BF87" s="751"/>
      <c r="BG87" s="751"/>
      <c r="BH87" s="752"/>
      <c r="BI87" s="13"/>
      <c r="BJ87" s="13"/>
      <c r="BK87" s="13"/>
      <c r="BL87" s="13"/>
      <c r="BM87" s="13"/>
      <c r="BN87" s="13"/>
      <c r="BO87" s="13"/>
      <c r="BP87" s="13"/>
      <c r="BQ87" s="13"/>
      <c r="BR87" s="13"/>
    </row>
    <row r="88" spans="15:70" ht="15" customHeight="1" x14ac:dyDescent="0.25">
      <c r="AN88" s="1255"/>
      <c r="AO88" s="1255"/>
      <c r="AP88" s="1255"/>
      <c r="AQ88" s="746"/>
      <c r="AR88" s="746"/>
      <c r="AS88" s="746"/>
      <c r="AT88" s="747"/>
      <c r="AU88" s="748"/>
      <c r="AV88" s="748"/>
      <c r="AW88" s="749"/>
      <c r="AY88" s="750"/>
      <c r="AZ88" s="751"/>
      <c r="BA88" s="751"/>
      <c r="BB88" s="751"/>
      <c r="BC88" s="751"/>
      <c r="BD88" s="751"/>
      <c r="BE88" s="751"/>
      <c r="BF88" s="751"/>
      <c r="BG88" s="751"/>
      <c r="BH88" s="752"/>
      <c r="BI88" s="13"/>
      <c r="BJ88" s="13"/>
      <c r="BK88" s="13"/>
      <c r="BL88" s="13"/>
      <c r="BM88" s="13"/>
      <c r="BN88" s="13"/>
      <c r="BO88" s="13"/>
      <c r="BP88" s="13"/>
      <c r="BQ88" s="13"/>
      <c r="BR88" s="13"/>
    </row>
    <row r="89" spans="15:70" ht="15" customHeight="1" x14ac:dyDescent="0.25">
      <c r="AN89" s="727"/>
      <c r="AO89" s="727"/>
      <c r="AP89" s="727"/>
      <c r="AQ89" s="746"/>
      <c r="AR89" s="746"/>
      <c r="AS89" s="746"/>
      <c r="AT89" s="747"/>
      <c r="AU89" s="748"/>
      <c r="AV89" s="748"/>
      <c r="AW89" s="749"/>
      <c r="AY89" s="742"/>
      <c r="AZ89" s="743"/>
      <c r="BA89" s="743"/>
      <c r="BB89" s="743"/>
      <c r="BC89" s="743"/>
      <c r="BD89" s="743"/>
      <c r="BE89" s="743"/>
      <c r="BF89" s="743"/>
      <c r="BG89" s="743"/>
      <c r="BH89" s="744"/>
      <c r="BI89" s="13"/>
      <c r="BJ89" s="13"/>
      <c r="BK89" s="13"/>
      <c r="BL89" s="13"/>
      <c r="BM89" s="13"/>
      <c r="BN89" s="13"/>
      <c r="BO89" s="13"/>
      <c r="BP89" s="13"/>
      <c r="BQ89" s="13"/>
      <c r="BR89" s="13"/>
    </row>
    <row r="90" spans="15:70" ht="26.25" x14ac:dyDescent="0.25">
      <c r="AN90" s="727"/>
      <c r="AO90" s="727"/>
      <c r="AP90" s="727"/>
      <c r="AQ90" s="746"/>
      <c r="AR90" s="746"/>
      <c r="AS90" s="746"/>
      <c r="AT90" s="747"/>
      <c r="AU90" s="748"/>
      <c r="AV90" s="748"/>
      <c r="AW90" s="749"/>
      <c r="AY90" s="728">
        <f ca="1">AT79/((42*3.1415/59)*(AO79/3.281))</f>
        <v>3.1230721387832974E-2</v>
      </c>
      <c r="AZ90" s="729"/>
      <c r="BA90" s="729"/>
      <c r="BB90" s="729"/>
      <c r="BC90" s="729"/>
      <c r="BD90" s="729"/>
      <c r="BE90" s="729"/>
      <c r="BF90" s="729"/>
      <c r="BG90" s="729"/>
      <c r="BH90" s="730"/>
      <c r="BI90" s="57"/>
      <c r="BJ90" s="57"/>
      <c r="BK90" s="57"/>
      <c r="BL90" s="57"/>
      <c r="BM90" s="57"/>
      <c r="BN90" s="57"/>
      <c r="BO90" s="57"/>
      <c r="BP90" s="57"/>
      <c r="BQ90" s="57"/>
      <c r="BR90" s="57"/>
    </row>
    <row r="91" spans="15:70" ht="26.25" x14ac:dyDescent="0.25">
      <c r="AN91" s="727"/>
      <c r="AO91" s="727"/>
      <c r="AP91" s="727"/>
      <c r="AQ91" s="746"/>
      <c r="AR91" s="746"/>
      <c r="AS91" s="746"/>
      <c r="AT91" s="747"/>
      <c r="AU91" s="748"/>
      <c r="AV91" s="748"/>
      <c r="AW91" s="749"/>
      <c r="AY91" s="731"/>
      <c r="AZ91" s="732"/>
      <c r="BA91" s="732"/>
      <c r="BB91" s="732"/>
      <c r="BC91" s="732"/>
      <c r="BD91" s="732"/>
      <c r="BE91" s="732"/>
      <c r="BF91" s="732"/>
      <c r="BG91" s="732"/>
      <c r="BH91" s="733"/>
      <c r="BI91" s="57"/>
      <c r="BJ91" s="57"/>
      <c r="BK91" s="57"/>
      <c r="BL91" s="57"/>
      <c r="BM91" s="57"/>
      <c r="BN91" s="57"/>
      <c r="BO91" s="57"/>
      <c r="BP91" s="57"/>
      <c r="BQ91" s="57"/>
      <c r="BR91" s="57"/>
    </row>
    <row r="92" spans="15:70" ht="15" customHeight="1" x14ac:dyDescent="0.25">
      <c r="AN92" s="727"/>
      <c r="AO92" s="727"/>
      <c r="AP92" s="727"/>
      <c r="AQ92" s="746"/>
      <c r="AR92" s="746"/>
      <c r="AS92" s="746"/>
      <c r="AT92" s="747"/>
      <c r="AU92" s="748"/>
      <c r="AV92" s="748"/>
      <c r="AW92" s="749"/>
      <c r="AY92" s="731"/>
      <c r="AZ92" s="732"/>
      <c r="BA92" s="732"/>
      <c r="BB92" s="732"/>
      <c r="BC92" s="732"/>
      <c r="BD92" s="732"/>
      <c r="BE92" s="732"/>
      <c r="BF92" s="732"/>
      <c r="BG92" s="732"/>
      <c r="BH92" s="733"/>
      <c r="BI92" s="57"/>
      <c r="BJ92" s="57"/>
      <c r="BK92" s="57"/>
      <c r="BL92" s="57"/>
      <c r="BM92" s="57"/>
      <c r="BN92" s="57"/>
      <c r="BO92" s="57"/>
      <c r="BP92" s="57"/>
      <c r="BQ92" s="57"/>
      <c r="BR92" s="57"/>
    </row>
    <row r="93" spans="15:70" ht="15" customHeight="1" x14ac:dyDescent="0.25">
      <c r="AN93" s="727"/>
      <c r="AO93" s="727"/>
      <c r="AP93" s="727"/>
      <c r="AQ93" s="746"/>
      <c r="AR93" s="746"/>
      <c r="AS93" s="746"/>
      <c r="AT93" s="747"/>
      <c r="AU93" s="748"/>
      <c r="AV93" s="748"/>
      <c r="AW93" s="749"/>
      <c r="AY93" s="731"/>
      <c r="AZ93" s="732"/>
      <c r="BA93" s="732"/>
      <c r="BB93" s="732"/>
      <c r="BC93" s="732"/>
      <c r="BD93" s="732"/>
      <c r="BE93" s="732"/>
      <c r="BF93" s="732"/>
      <c r="BG93" s="732"/>
      <c r="BH93" s="733"/>
      <c r="BI93" s="57"/>
      <c r="BJ93" s="57"/>
      <c r="BK93" s="57"/>
      <c r="BL93" s="57"/>
      <c r="BM93" s="57"/>
      <c r="BN93" s="57"/>
      <c r="BO93" s="57"/>
      <c r="BP93" s="57"/>
      <c r="BQ93" s="57"/>
      <c r="BR93" s="57"/>
    </row>
    <row r="94" spans="15:70" ht="15" customHeight="1" x14ac:dyDescent="0.25">
      <c r="AN94" s="727"/>
      <c r="AO94" s="727"/>
      <c r="AP94" s="727"/>
      <c r="AQ94" s="746"/>
      <c r="AR94" s="746"/>
      <c r="AS94" s="746"/>
      <c r="AT94" s="747"/>
      <c r="AU94" s="748"/>
      <c r="AV94" s="748"/>
      <c r="AW94" s="749"/>
      <c r="AY94" s="734"/>
      <c r="AZ94" s="735"/>
      <c r="BA94" s="735"/>
      <c r="BB94" s="735"/>
      <c r="BC94" s="735"/>
      <c r="BD94" s="735"/>
      <c r="BE94" s="735"/>
      <c r="BF94" s="735"/>
      <c r="BG94" s="735"/>
      <c r="BH94" s="736"/>
      <c r="BI94" s="57"/>
      <c r="BJ94" s="57"/>
      <c r="BK94" s="57"/>
      <c r="BL94" s="57"/>
      <c r="BM94" s="57"/>
      <c r="BN94" s="57"/>
      <c r="BO94" s="57"/>
      <c r="BP94" s="57"/>
      <c r="BQ94" s="57"/>
      <c r="BR94" s="57"/>
    </row>
    <row r="95" spans="15:70" ht="15" customHeight="1" x14ac:dyDescent="0.25">
      <c r="AQ95" s="1254">
        <f ca="1">AQ92+AQ89+AQ86</f>
        <v>38</v>
      </c>
      <c r="AR95" s="1254"/>
      <c r="AS95" s="1254"/>
      <c r="AT95" s="747">
        <f ca="1">AT89+AT92+AT86</f>
        <v>5510</v>
      </c>
      <c r="AU95" s="748"/>
      <c r="AV95" s="748"/>
      <c r="AW95" s="749"/>
    </row>
    <row r="96" spans="15:70" ht="15" customHeight="1" x14ac:dyDescent="0.25">
      <c r="AQ96" s="1254"/>
      <c r="AR96" s="1254"/>
      <c r="AS96" s="1254"/>
      <c r="AT96" s="747"/>
      <c r="AU96" s="748"/>
      <c r="AV96" s="748"/>
      <c r="AW96" s="749"/>
    </row>
    <row r="97" spans="43:49" ht="15" customHeight="1" x14ac:dyDescent="0.25">
      <c r="AQ97" s="1254"/>
      <c r="AR97" s="1254"/>
      <c r="AS97" s="1254"/>
      <c r="AT97" s="747"/>
      <c r="AU97" s="748"/>
      <c r="AV97" s="748"/>
      <c r="AW97" s="749"/>
    </row>
    <row r="99" spans="43:49" ht="15" customHeight="1" x14ac:dyDescent="0.25"/>
    <row r="100" spans="43:49" ht="15" customHeight="1" x14ac:dyDescent="0.25"/>
    <row r="101" spans="43:49" ht="15" customHeight="1" x14ac:dyDescent="0.25"/>
    <row r="102" spans="43:49" ht="15" customHeight="1" x14ac:dyDescent="0.25"/>
    <row r="103" spans="43:49" ht="15" customHeight="1" x14ac:dyDescent="0.25"/>
    <row r="104" spans="43:49" ht="15" customHeight="1" x14ac:dyDescent="0.25"/>
    <row r="105" spans="43:49" ht="15" customHeight="1" x14ac:dyDescent="0.25"/>
    <row r="106" spans="43:49" ht="15" customHeight="1" x14ac:dyDescent="0.25"/>
    <row r="107" spans="43:49" ht="15" customHeight="1" x14ac:dyDescent="0.25"/>
    <row r="108" spans="43:49" ht="15" customHeight="1" x14ac:dyDescent="0.25">
      <c r="AS108" s="27"/>
      <c r="AT108" s="27"/>
      <c r="AU108" s="27"/>
    </row>
  </sheetData>
  <mergeCells count="358">
    <mergeCell ref="AQ92:AS94"/>
    <mergeCell ref="AT92:AW94"/>
    <mergeCell ref="AQ95:AS97"/>
    <mergeCell ref="AT95:AW97"/>
    <mergeCell ref="AP32:AS35"/>
    <mergeCell ref="AY84:BH85"/>
    <mergeCell ref="AN86:AP88"/>
    <mergeCell ref="AQ86:AS88"/>
    <mergeCell ref="AT86:AW88"/>
    <mergeCell ref="AY86:BH89"/>
    <mergeCell ref="AN89:AP91"/>
    <mergeCell ref="AQ89:AS91"/>
    <mergeCell ref="AT89:AW91"/>
    <mergeCell ref="AY90:BH94"/>
    <mergeCell ref="AN92:AP94"/>
    <mergeCell ref="AY76:BH78"/>
    <mergeCell ref="AL79:AN82"/>
    <mergeCell ref="AO79:AQ82"/>
    <mergeCell ref="AR79:AS82"/>
    <mergeCell ref="AT79:AU82"/>
    <mergeCell ref="AY79:BH80"/>
    <mergeCell ref="AY81:BH83"/>
    <mergeCell ref="BF32:BJ35"/>
    <mergeCell ref="BJ61:BM61"/>
    <mergeCell ref="A65:C67"/>
    <mergeCell ref="AD76:AH82"/>
    <mergeCell ref="AL76:AN78"/>
    <mergeCell ref="AO76:AQ78"/>
    <mergeCell ref="AR76:AS78"/>
    <mergeCell ref="AT76:AU78"/>
    <mergeCell ref="L61:O61"/>
    <mergeCell ref="P61:P62"/>
    <mergeCell ref="Q61:T61"/>
    <mergeCell ref="U61:U62"/>
    <mergeCell ref="V61:Y61"/>
    <mergeCell ref="A61:A62"/>
    <mergeCell ref="B61:E61"/>
    <mergeCell ref="F61:F62"/>
    <mergeCell ref="G61:J61"/>
    <mergeCell ref="K61:K62"/>
    <mergeCell ref="BN61:BN62"/>
    <mergeCell ref="BO61:BR61"/>
    <mergeCell ref="A64:C64"/>
    <mergeCell ref="BI61:BI62"/>
    <mergeCell ref="X57:Y57"/>
    <mergeCell ref="BI57:BK57"/>
    <mergeCell ref="BL57:BM57"/>
    <mergeCell ref="BN57:BP57"/>
    <mergeCell ref="N60:O60"/>
    <mergeCell ref="S60:T60"/>
    <mergeCell ref="X60:Y60"/>
    <mergeCell ref="BL60:BM60"/>
    <mergeCell ref="BQ60:BR60"/>
    <mergeCell ref="A58:C60"/>
    <mergeCell ref="F58:H60"/>
    <mergeCell ref="K58:M60"/>
    <mergeCell ref="P58:R60"/>
    <mergeCell ref="U58:W60"/>
    <mergeCell ref="BI58:BK60"/>
    <mergeCell ref="BN58:BP60"/>
    <mergeCell ref="D60:E60"/>
    <mergeCell ref="I60:J60"/>
    <mergeCell ref="BJ55:BM55"/>
    <mergeCell ref="BN55:BN56"/>
    <mergeCell ref="BO55:BR55"/>
    <mergeCell ref="A57:C57"/>
    <mergeCell ref="D57:E57"/>
    <mergeCell ref="F57:H57"/>
    <mergeCell ref="I57:J57"/>
    <mergeCell ref="K57:M57"/>
    <mergeCell ref="N57:O57"/>
    <mergeCell ref="P57:R57"/>
    <mergeCell ref="L55:O55"/>
    <mergeCell ref="P55:P56"/>
    <mergeCell ref="Q55:T55"/>
    <mergeCell ref="U55:U56"/>
    <mergeCell ref="V55:Y55"/>
    <mergeCell ref="BI55:BI56"/>
    <mergeCell ref="BQ57:BR57"/>
    <mergeCell ref="S57:T57"/>
    <mergeCell ref="U57:W57"/>
    <mergeCell ref="A55:A56"/>
    <mergeCell ref="B55:E55"/>
    <mergeCell ref="F55:F56"/>
    <mergeCell ref="G55:J55"/>
    <mergeCell ref="K55:K56"/>
    <mergeCell ref="BQ51:BR51"/>
    <mergeCell ref="A52:C54"/>
    <mergeCell ref="F52:H54"/>
    <mergeCell ref="K52:M54"/>
    <mergeCell ref="P52:R54"/>
    <mergeCell ref="U52:W54"/>
    <mergeCell ref="BI52:BK54"/>
    <mergeCell ref="BN52:BP54"/>
    <mergeCell ref="D54:E54"/>
    <mergeCell ref="I54:J54"/>
    <mergeCell ref="S51:T51"/>
    <mergeCell ref="U51:W51"/>
    <mergeCell ref="X51:Y51"/>
    <mergeCell ref="BI51:BK51"/>
    <mergeCell ref="BL51:BM51"/>
    <mergeCell ref="BN51:BP51"/>
    <mergeCell ref="N54:O54"/>
    <mergeCell ref="S54:T54"/>
    <mergeCell ref="X54:Y54"/>
    <mergeCell ref="BL54:BM54"/>
    <mergeCell ref="BQ54:BR54"/>
    <mergeCell ref="BJ46:BP48"/>
    <mergeCell ref="A51:C51"/>
    <mergeCell ref="D51:E51"/>
    <mergeCell ref="F51:H51"/>
    <mergeCell ref="I51:J51"/>
    <mergeCell ref="K51:M51"/>
    <mergeCell ref="N51:O51"/>
    <mergeCell ref="P51:R51"/>
    <mergeCell ref="AH36:AR39"/>
    <mergeCell ref="AS36:BD39"/>
    <mergeCell ref="BE36:BI47"/>
    <mergeCell ref="BJ36:BM41"/>
    <mergeCell ref="BN36:BP41"/>
    <mergeCell ref="V40:AG47"/>
    <mergeCell ref="AH40:AR47"/>
    <mergeCell ref="AS40:BD47"/>
    <mergeCell ref="BJ42:BP45"/>
    <mergeCell ref="V36:AG39"/>
    <mergeCell ref="F43:G43"/>
    <mergeCell ref="F44:G47"/>
    <mergeCell ref="J31:M31"/>
    <mergeCell ref="J32:M35"/>
    <mergeCell ref="AE19:AE20"/>
    <mergeCell ref="AF19:AI19"/>
    <mergeCell ref="AJ19:AJ20"/>
    <mergeCell ref="AK19:AN19"/>
    <mergeCell ref="AO19:AO20"/>
    <mergeCell ref="AP19:AS19"/>
    <mergeCell ref="P19:P20"/>
    <mergeCell ref="Q19:T19"/>
    <mergeCell ref="U19:U20"/>
    <mergeCell ref="V19:Y19"/>
    <mergeCell ref="Z19:Z20"/>
    <mergeCell ref="AA19:AD19"/>
    <mergeCell ref="Y32:AB35"/>
    <mergeCell ref="AV18:AX18"/>
    <mergeCell ref="U18:V18"/>
    <mergeCell ref="W18:Y18"/>
    <mergeCell ref="Z18:AA18"/>
    <mergeCell ref="AB18:AD18"/>
    <mergeCell ref="AE18:AF18"/>
    <mergeCell ref="AG18:AI18"/>
    <mergeCell ref="A19:A20"/>
    <mergeCell ref="B19:E19"/>
    <mergeCell ref="F19:F20"/>
    <mergeCell ref="G19:J19"/>
    <mergeCell ref="K19:K20"/>
    <mergeCell ref="L19:O19"/>
    <mergeCell ref="AJ18:AK18"/>
    <mergeCell ref="AL18:AN18"/>
    <mergeCell ref="AO18:AP18"/>
    <mergeCell ref="AT19:AT20"/>
    <mergeCell ref="AU19:AX19"/>
    <mergeCell ref="AT15:AU17"/>
    <mergeCell ref="AV15:AX17"/>
    <mergeCell ref="A18:B18"/>
    <mergeCell ref="C18:E18"/>
    <mergeCell ref="F18:G18"/>
    <mergeCell ref="H18:J18"/>
    <mergeCell ref="K18:L18"/>
    <mergeCell ref="M18:O18"/>
    <mergeCell ref="P18:Q18"/>
    <mergeCell ref="R18:T18"/>
    <mergeCell ref="AE15:AF17"/>
    <mergeCell ref="AG15:AI17"/>
    <mergeCell ref="AJ15:AK17"/>
    <mergeCell ref="AL15:AN17"/>
    <mergeCell ref="AO15:AP17"/>
    <mergeCell ref="AQ15:AS17"/>
    <mergeCell ref="P15:Q17"/>
    <mergeCell ref="R15:T17"/>
    <mergeCell ref="U15:V17"/>
    <mergeCell ref="W15:Y17"/>
    <mergeCell ref="Z15:AA17"/>
    <mergeCell ref="AB15:AD17"/>
    <mergeCell ref="AQ18:AS18"/>
    <mergeCell ref="AT18:AU18"/>
    <mergeCell ref="BI13:BI14"/>
    <mergeCell ref="BJ13:BM13"/>
    <mergeCell ref="BN13:BN14"/>
    <mergeCell ref="BO13:BR13"/>
    <mergeCell ref="A15:B17"/>
    <mergeCell ref="C15:E17"/>
    <mergeCell ref="F15:G17"/>
    <mergeCell ref="H15:J17"/>
    <mergeCell ref="K15:L17"/>
    <mergeCell ref="M15:O17"/>
    <mergeCell ref="AT13:AT14"/>
    <mergeCell ref="AU13:AX13"/>
    <mergeCell ref="AY13:AY14"/>
    <mergeCell ref="AZ13:BC13"/>
    <mergeCell ref="BD13:BD14"/>
    <mergeCell ref="BE13:BH13"/>
    <mergeCell ref="AE13:AE14"/>
    <mergeCell ref="AF13:AI13"/>
    <mergeCell ref="AJ13:AJ14"/>
    <mergeCell ref="AK13:AN13"/>
    <mergeCell ref="AO13:AO14"/>
    <mergeCell ref="AP13:AS13"/>
    <mergeCell ref="P13:P14"/>
    <mergeCell ref="Q13:T13"/>
    <mergeCell ref="U13:U14"/>
    <mergeCell ref="V13:Y13"/>
    <mergeCell ref="Z13:Z14"/>
    <mergeCell ref="AA13:AD13"/>
    <mergeCell ref="BI12:BJ12"/>
    <mergeCell ref="BK12:BM12"/>
    <mergeCell ref="BN12:BO12"/>
    <mergeCell ref="BP12:BR12"/>
    <mergeCell ref="A13:A14"/>
    <mergeCell ref="B13:E13"/>
    <mergeCell ref="F13:F14"/>
    <mergeCell ref="G13:J13"/>
    <mergeCell ref="K13:K14"/>
    <mergeCell ref="L13:O13"/>
    <mergeCell ref="AT12:AU12"/>
    <mergeCell ref="AV12:AX12"/>
    <mergeCell ref="AY12:AZ12"/>
    <mergeCell ref="BA12:BC12"/>
    <mergeCell ref="BD12:BE12"/>
    <mergeCell ref="BF12:BH12"/>
    <mergeCell ref="AE12:AF12"/>
    <mergeCell ref="AG12:AI12"/>
    <mergeCell ref="AJ12:AK12"/>
    <mergeCell ref="AL12:AN12"/>
    <mergeCell ref="AO12:AP12"/>
    <mergeCell ref="AQ12:AS12"/>
    <mergeCell ref="P12:Q12"/>
    <mergeCell ref="R12:T12"/>
    <mergeCell ref="U12:V12"/>
    <mergeCell ref="W12:Y12"/>
    <mergeCell ref="Z12:AA12"/>
    <mergeCell ref="AB12:AD12"/>
    <mergeCell ref="BI9:BJ11"/>
    <mergeCell ref="W9:Y11"/>
    <mergeCell ref="Z9:AA11"/>
    <mergeCell ref="AB9:AD11"/>
    <mergeCell ref="BK9:BM11"/>
    <mergeCell ref="BN9:BO11"/>
    <mergeCell ref="BP9:BR11"/>
    <mergeCell ref="A12:B12"/>
    <mergeCell ref="C12:E12"/>
    <mergeCell ref="F12:G12"/>
    <mergeCell ref="H12:J12"/>
    <mergeCell ref="K12:L12"/>
    <mergeCell ref="M12:O12"/>
    <mergeCell ref="AT9:AU11"/>
    <mergeCell ref="AV9:AX11"/>
    <mergeCell ref="AY9:AZ11"/>
    <mergeCell ref="BA9:BC11"/>
    <mergeCell ref="BD9:BE11"/>
    <mergeCell ref="BF9:BH11"/>
    <mergeCell ref="AE9:AF11"/>
    <mergeCell ref="AG9:AI11"/>
    <mergeCell ref="AJ9:AK11"/>
    <mergeCell ref="AL9:AN11"/>
    <mergeCell ref="AO9:AP11"/>
    <mergeCell ref="AQ9:AS11"/>
    <mergeCell ref="P9:Q11"/>
    <mergeCell ref="R9:T11"/>
    <mergeCell ref="U9:V11"/>
    <mergeCell ref="A9:B11"/>
    <mergeCell ref="C9:E11"/>
    <mergeCell ref="F9:G11"/>
    <mergeCell ref="H9:J11"/>
    <mergeCell ref="K9:L11"/>
    <mergeCell ref="M9:O11"/>
    <mergeCell ref="AT7:AT8"/>
    <mergeCell ref="AU7:AX7"/>
    <mergeCell ref="AY7:AY8"/>
    <mergeCell ref="AE7:AE8"/>
    <mergeCell ref="AF7:AI7"/>
    <mergeCell ref="AJ7:AJ8"/>
    <mergeCell ref="AK7:AN7"/>
    <mergeCell ref="AO7:AO8"/>
    <mergeCell ref="AP7:AS7"/>
    <mergeCell ref="P7:P8"/>
    <mergeCell ref="Q7:T7"/>
    <mergeCell ref="BK6:BM6"/>
    <mergeCell ref="BN6:BO6"/>
    <mergeCell ref="BP6:BR6"/>
    <mergeCell ref="A7:A8"/>
    <mergeCell ref="B7:E7"/>
    <mergeCell ref="F7:F8"/>
    <mergeCell ref="G7:J7"/>
    <mergeCell ref="K7:K8"/>
    <mergeCell ref="L7:O7"/>
    <mergeCell ref="AT6:AU6"/>
    <mergeCell ref="AV6:AX6"/>
    <mergeCell ref="AY6:AZ6"/>
    <mergeCell ref="BA6:BC6"/>
    <mergeCell ref="BD6:BE6"/>
    <mergeCell ref="BF6:BH6"/>
    <mergeCell ref="AE6:AF6"/>
    <mergeCell ref="AG6:AI6"/>
    <mergeCell ref="AJ6:AK6"/>
    <mergeCell ref="AL6:AN6"/>
    <mergeCell ref="BI7:BI8"/>
    <mergeCell ref="BJ7:BM7"/>
    <mergeCell ref="BN7:BN8"/>
    <mergeCell ref="BO7:BR7"/>
    <mergeCell ref="AZ7:BC7"/>
    <mergeCell ref="Z6:AA6"/>
    <mergeCell ref="AB6:AD6"/>
    <mergeCell ref="BI3:BJ5"/>
    <mergeCell ref="W3:Y5"/>
    <mergeCell ref="Z3:AA5"/>
    <mergeCell ref="AB3:AD5"/>
    <mergeCell ref="U7:U8"/>
    <mergeCell ref="V7:Y7"/>
    <mergeCell ref="Z7:Z8"/>
    <mergeCell ref="AA7:AD7"/>
    <mergeCell ref="BI6:BJ6"/>
    <mergeCell ref="BD7:BD8"/>
    <mergeCell ref="BE7:BH7"/>
    <mergeCell ref="A6:B6"/>
    <mergeCell ref="C6:E6"/>
    <mergeCell ref="F6:G6"/>
    <mergeCell ref="H6:J6"/>
    <mergeCell ref="K6:L6"/>
    <mergeCell ref="M6:O6"/>
    <mergeCell ref="AT3:AU5"/>
    <mergeCell ref="AV3:AX5"/>
    <mergeCell ref="AY3:AZ5"/>
    <mergeCell ref="AE3:AF5"/>
    <mergeCell ref="AG3:AI5"/>
    <mergeCell ref="AJ3:AK5"/>
    <mergeCell ref="AL3:AN5"/>
    <mergeCell ref="AO3:AP5"/>
    <mergeCell ref="AQ3:AS5"/>
    <mergeCell ref="P3:Q5"/>
    <mergeCell ref="R3:T5"/>
    <mergeCell ref="U3:V5"/>
    <mergeCell ref="AO6:AP6"/>
    <mergeCell ref="AQ6:AS6"/>
    <mergeCell ref="P6:Q6"/>
    <mergeCell ref="R6:T6"/>
    <mergeCell ref="U6:V6"/>
    <mergeCell ref="W6:Y6"/>
    <mergeCell ref="A3:B5"/>
    <mergeCell ref="C3:E5"/>
    <mergeCell ref="F3:G5"/>
    <mergeCell ref="H3:J5"/>
    <mergeCell ref="K3:L5"/>
    <mergeCell ref="M3:O5"/>
    <mergeCell ref="BK3:BM5"/>
    <mergeCell ref="BN3:BO5"/>
    <mergeCell ref="BP3:BR5"/>
    <mergeCell ref="BA3:BC5"/>
    <mergeCell ref="BD3:BE5"/>
    <mergeCell ref="BF3:BH5"/>
  </mergeCells>
  <pageMargins left="0.5" right="0" top="0.65" bottom="0" header="0.3" footer="0.3"/>
  <pageSetup paperSize="8" scale="46" orientation="landscape" r:id="rId1"/>
  <colBreaks count="1" manualBreakCount="1">
    <brk id="70" max="50" man="1"/>
  </colBreaks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A38F7-5BB9-4E61-A24A-AEFA9689DEE5}">
  <sheetPr>
    <tabColor rgb="FFFFC000"/>
  </sheetPr>
  <dimension ref="A1:CL107"/>
  <sheetViews>
    <sheetView view="pageBreakPreview" zoomScale="55" zoomScaleNormal="115" zoomScaleSheetLayoutView="55" workbookViewId="0">
      <selection activeCell="T64" sqref="T64:V67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140625" customWidth="1"/>
    <col min="47" max="47" width="10.71093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4.140625" customWidth="1"/>
    <col min="62" max="62" width="10.7109375" customWidth="1"/>
    <col min="63" max="63" width="4.28515625" customWidth="1"/>
    <col min="64" max="65" width="5.5703125" customWidth="1"/>
    <col min="66" max="66" width="4.140625" customWidth="1"/>
    <col min="67" max="67" width="10.7109375" customWidth="1"/>
    <col min="68" max="68" width="4.28515625" customWidth="1"/>
    <col min="69" max="70" width="5.5703125" customWidth="1"/>
    <col min="71" max="71" width="1" customWidth="1"/>
    <col min="72" max="72" width="56.7109375" customWidth="1"/>
    <col min="73" max="73" width="13" customWidth="1"/>
    <col min="74" max="74" width="7" customWidth="1"/>
  </cols>
  <sheetData>
    <row r="1" spans="1:83" ht="108.75" customHeight="1" thickBot="1" x14ac:dyDescent="0.3"/>
    <row r="2" spans="1:83" ht="36" customHeight="1" x14ac:dyDescent="0.25">
      <c r="A2" s="3237" t="s">
        <v>110</v>
      </c>
      <c r="B2" s="3238"/>
      <c r="C2" s="3241">
        <f>B7/((60*3.1415/64)*(130/3.281))</f>
        <v>0.15628163126384992</v>
      </c>
      <c r="D2" s="3241"/>
      <c r="E2" s="3242"/>
      <c r="F2" s="3237" t="s">
        <v>110</v>
      </c>
      <c r="G2" s="3238"/>
      <c r="H2" s="3241">
        <f t="shared" ref="H2" si="0">G7/((60*3.1415/64)*(130/3.281))</f>
        <v>0.10948369364626566</v>
      </c>
      <c r="I2" s="3241"/>
      <c r="J2" s="3242"/>
      <c r="K2" s="3237" t="s">
        <v>110</v>
      </c>
      <c r="L2" s="3238"/>
      <c r="M2" s="3241">
        <f t="shared" ref="M2" si="1">L7/((60*3.1415/64)*(130/3.281))</f>
        <v>3.8956862188159344E-2</v>
      </c>
      <c r="N2" s="3241"/>
      <c r="O2" s="3242"/>
      <c r="P2" s="3237" t="s">
        <v>110</v>
      </c>
      <c r="Q2" s="3238"/>
      <c r="R2" s="3241">
        <f t="shared" ref="R2" si="2">Q7/((60*3.1415/64)*(130/3.281))</f>
        <v>1.9804071385137755E-2</v>
      </c>
      <c r="S2" s="3241"/>
      <c r="T2" s="3242"/>
      <c r="U2" s="3237" t="s">
        <v>110</v>
      </c>
      <c r="V2" s="3238"/>
      <c r="W2" s="3241">
        <f t="shared" ref="W2" si="3">V7/((60*3.1415/64)*(130/3.281))</f>
        <v>2.8724901463860558E-2</v>
      </c>
      <c r="X2" s="3241"/>
      <c r="Y2" s="3242"/>
      <c r="Z2" s="3237" t="s">
        <v>110</v>
      </c>
      <c r="AA2" s="3238"/>
      <c r="AB2" s="3241">
        <f t="shared" ref="AB2" si="4">AA7/((60*3.1415/64)*(130/3.281))</f>
        <v>9.9037495888376043E-2</v>
      </c>
      <c r="AC2" s="3241"/>
      <c r="AD2" s="3242"/>
      <c r="AE2" s="3237" t="s">
        <v>110</v>
      </c>
      <c r="AF2" s="3238"/>
      <c r="AG2" s="3241">
        <f t="shared" ref="AG2" si="5">AF7/((60*3.1415/64)*(130/3.281))</f>
        <v>3.1124356240078029E-2</v>
      </c>
      <c r="AH2" s="3241"/>
      <c r="AI2" s="3242"/>
      <c r="AJ2" s="3237" t="s">
        <v>110</v>
      </c>
      <c r="AK2" s="3238"/>
      <c r="AL2" s="3241">
        <f t="shared" ref="AL2" si="6">AK7/((60*3.1415/64)*(130/3.281))</f>
        <v>3.7003020441810822E-2</v>
      </c>
      <c r="AM2" s="3241"/>
      <c r="AN2" s="3242"/>
      <c r="AO2" s="3237" t="s">
        <v>110</v>
      </c>
      <c r="AP2" s="3238"/>
      <c r="AQ2" s="3241">
        <f t="shared" ref="AQ2" si="7">AP7/((60*3.1415/64)*(130/3.281))</f>
        <v>1.9804071385137755E-2</v>
      </c>
      <c r="AR2" s="3241"/>
      <c r="AS2" s="3242"/>
      <c r="AT2" s="3237" t="s">
        <v>110</v>
      </c>
      <c r="AU2" s="3238"/>
      <c r="AV2" s="3241">
        <f t="shared" ref="AV2" si="8">AU7/((60*3.1415/64)*(130/3.281))</f>
        <v>2.7859383848153542E-2</v>
      </c>
      <c r="AW2" s="3241"/>
      <c r="AX2" s="3242"/>
      <c r="AY2" s="3237" t="s">
        <v>110</v>
      </c>
      <c r="AZ2" s="3238"/>
      <c r="BA2" s="3241">
        <f t="shared" ref="BA2" si="9">AZ7/((60*3.1415/64)*(130/3.281))</f>
        <v>8.5694813436338191E-7</v>
      </c>
      <c r="BB2" s="3241"/>
      <c r="BC2" s="3242"/>
      <c r="BD2" s="3237" t="s">
        <v>110</v>
      </c>
      <c r="BE2" s="3238"/>
      <c r="BF2" s="3241">
        <f t="shared" ref="BF2" si="10">BE7/((60*3.1415/64)*(130/3.281))</f>
        <v>2.1106632549370095E-2</v>
      </c>
      <c r="BG2" s="3241"/>
      <c r="BH2" s="3242"/>
      <c r="BI2" s="3237" t="s">
        <v>110</v>
      </c>
      <c r="BJ2" s="3238"/>
      <c r="BK2" s="3241">
        <f t="shared" ref="BK2" si="11">BJ7/((60*3.1415/64)*(130/3.281))</f>
        <v>1.066043479148047E-2</v>
      </c>
      <c r="BL2" s="3241"/>
      <c r="BM2" s="3242"/>
      <c r="BN2" s="3237" t="s">
        <v>110</v>
      </c>
      <c r="BO2" s="3238"/>
      <c r="BP2" s="3241">
        <f t="shared" ref="BP2" si="12">BO7/((60*3.1415/64)*(130/3.281))</f>
        <v>1.066043479148047E-2</v>
      </c>
      <c r="BQ2" s="3241"/>
      <c r="BR2" s="3242"/>
    </row>
    <row r="3" spans="1:83" ht="6.75" customHeight="1" x14ac:dyDescent="0.25">
      <c r="A3" s="3239"/>
      <c r="B3" s="3240"/>
      <c r="C3" s="3243"/>
      <c r="D3" s="3243"/>
      <c r="E3" s="3244"/>
      <c r="F3" s="3239"/>
      <c r="G3" s="3240"/>
      <c r="H3" s="3243"/>
      <c r="I3" s="3243"/>
      <c r="J3" s="3244"/>
      <c r="K3" s="3239"/>
      <c r="L3" s="3240"/>
      <c r="M3" s="3243"/>
      <c r="N3" s="3243"/>
      <c r="O3" s="3244"/>
      <c r="P3" s="3239"/>
      <c r="Q3" s="3240"/>
      <c r="R3" s="3243"/>
      <c r="S3" s="3243"/>
      <c r="T3" s="3244"/>
      <c r="U3" s="3239"/>
      <c r="V3" s="3240"/>
      <c r="W3" s="3243"/>
      <c r="X3" s="3243"/>
      <c r="Y3" s="3244"/>
      <c r="Z3" s="3239"/>
      <c r="AA3" s="3240"/>
      <c r="AB3" s="3243"/>
      <c r="AC3" s="3243"/>
      <c r="AD3" s="3244"/>
      <c r="AE3" s="3239"/>
      <c r="AF3" s="3240"/>
      <c r="AG3" s="3243"/>
      <c r="AH3" s="3243"/>
      <c r="AI3" s="3244"/>
      <c r="AJ3" s="3239"/>
      <c r="AK3" s="3240"/>
      <c r="AL3" s="3243"/>
      <c r="AM3" s="3243"/>
      <c r="AN3" s="3244"/>
      <c r="AO3" s="3239"/>
      <c r="AP3" s="3240"/>
      <c r="AQ3" s="3243"/>
      <c r="AR3" s="3243"/>
      <c r="AS3" s="3244"/>
      <c r="AT3" s="3239"/>
      <c r="AU3" s="3240"/>
      <c r="AV3" s="3243"/>
      <c r="AW3" s="3243"/>
      <c r="AX3" s="3244"/>
      <c r="AY3" s="3239"/>
      <c r="AZ3" s="3240"/>
      <c r="BA3" s="3243"/>
      <c r="BB3" s="3243"/>
      <c r="BC3" s="3244"/>
      <c r="BD3" s="3239"/>
      <c r="BE3" s="3240"/>
      <c r="BF3" s="3243"/>
      <c r="BG3" s="3243"/>
      <c r="BH3" s="3244"/>
      <c r="BI3" s="3239"/>
      <c r="BJ3" s="3240"/>
      <c r="BK3" s="3243"/>
      <c r="BL3" s="3243"/>
      <c r="BM3" s="3244"/>
      <c r="BN3" s="3239"/>
      <c r="BO3" s="3240"/>
      <c r="BP3" s="3243"/>
      <c r="BQ3" s="3243"/>
      <c r="BR3" s="3244"/>
    </row>
    <row r="4" spans="1:83" ht="21.95" customHeight="1" x14ac:dyDescent="0.25">
      <c r="A4" s="3250" t="s">
        <v>111</v>
      </c>
      <c r="B4" s="3193"/>
      <c r="C4" s="3192" t="s">
        <v>25</v>
      </c>
      <c r="D4" s="3196"/>
      <c r="E4" s="3252"/>
      <c r="F4" s="3250" t="s">
        <v>111</v>
      </c>
      <c r="G4" s="3193"/>
      <c r="H4" s="3192" t="s">
        <v>25</v>
      </c>
      <c r="I4" s="3196"/>
      <c r="J4" s="3252"/>
      <c r="K4" s="3250" t="s">
        <v>111</v>
      </c>
      <c r="L4" s="3193"/>
      <c r="M4" s="3192" t="s">
        <v>25</v>
      </c>
      <c r="N4" s="3196"/>
      <c r="O4" s="3252"/>
      <c r="P4" s="3250" t="s">
        <v>111</v>
      </c>
      <c r="Q4" s="3193"/>
      <c r="R4" s="3192" t="s">
        <v>25</v>
      </c>
      <c r="S4" s="3196"/>
      <c r="T4" s="3252"/>
      <c r="U4" s="3250" t="s">
        <v>111</v>
      </c>
      <c r="V4" s="3193"/>
      <c r="W4" s="3192" t="s">
        <v>25</v>
      </c>
      <c r="X4" s="3196"/>
      <c r="Y4" s="3252"/>
      <c r="Z4" s="3250" t="s">
        <v>111</v>
      </c>
      <c r="AA4" s="3193"/>
      <c r="AB4" s="3192" t="s">
        <v>25</v>
      </c>
      <c r="AC4" s="3196"/>
      <c r="AD4" s="3252"/>
      <c r="AE4" s="3250" t="s">
        <v>111</v>
      </c>
      <c r="AF4" s="3193"/>
      <c r="AG4" s="3192" t="s">
        <v>25</v>
      </c>
      <c r="AH4" s="3196"/>
      <c r="AI4" s="3252"/>
      <c r="AJ4" s="3250" t="s">
        <v>111</v>
      </c>
      <c r="AK4" s="3193"/>
      <c r="AL4" s="3192" t="s">
        <v>25</v>
      </c>
      <c r="AM4" s="3196"/>
      <c r="AN4" s="3252"/>
      <c r="AO4" s="3250" t="s">
        <v>111</v>
      </c>
      <c r="AP4" s="3193"/>
      <c r="AQ4" s="3192" t="s">
        <v>25</v>
      </c>
      <c r="AR4" s="3196"/>
      <c r="AS4" s="3252"/>
      <c r="AT4" s="3250" t="s">
        <v>111</v>
      </c>
      <c r="AU4" s="3193"/>
      <c r="AV4" s="3192" t="s">
        <v>25</v>
      </c>
      <c r="AW4" s="3196"/>
      <c r="AX4" s="3252"/>
      <c r="AY4" s="3250" t="s">
        <v>111</v>
      </c>
      <c r="AZ4" s="3193"/>
      <c r="BA4" s="3192" t="s">
        <v>25</v>
      </c>
      <c r="BB4" s="3196"/>
      <c r="BC4" s="3252"/>
      <c r="BD4" s="3250" t="s">
        <v>111</v>
      </c>
      <c r="BE4" s="3193"/>
      <c r="BF4" s="3192" t="s">
        <v>25</v>
      </c>
      <c r="BG4" s="3196"/>
      <c r="BH4" s="3252"/>
      <c r="BI4" s="3250" t="s">
        <v>111</v>
      </c>
      <c r="BJ4" s="3193"/>
      <c r="BK4" s="3192" t="s">
        <v>25</v>
      </c>
      <c r="BL4" s="3196"/>
      <c r="BM4" s="3252"/>
      <c r="BN4" s="3250" t="s">
        <v>111</v>
      </c>
      <c r="BO4" s="3193"/>
      <c r="BP4" s="3192" t="s">
        <v>25</v>
      </c>
      <c r="BQ4" s="3196"/>
      <c r="BR4" s="3252"/>
    </row>
    <row r="5" spans="1:83" ht="6" customHeight="1" x14ac:dyDescent="0.25">
      <c r="A5" s="3251"/>
      <c r="B5" s="3195"/>
      <c r="C5" s="3194"/>
      <c r="D5" s="3197"/>
      <c r="E5" s="3253"/>
      <c r="F5" s="3251"/>
      <c r="G5" s="3195"/>
      <c r="H5" s="3194"/>
      <c r="I5" s="3197"/>
      <c r="J5" s="3253"/>
      <c r="K5" s="3251"/>
      <c r="L5" s="3195"/>
      <c r="M5" s="3194"/>
      <c r="N5" s="3197"/>
      <c r="O5" s="3253"/>
      <c r="P5" s="3251"/>
      <c r="Q5" s="3195"/>
      <c r="R5" s="3194"/>
      <c r="S5" s="3197"/>
      <c r="T5" s="3253"/>
      <c r="U5" s="3251"/>
      <c r="V5" s="3195"/>
      <c r="W5" s="3194"/>
      <c r="X5" s="3197"/>
      <c r="Y5" s="3253"/>
      <c r="Z5" s="3251"/>
      <c r="AA5" s="3195"/>
      <c r="AB5" s="3194"/>
      <c r="AC5" s="3197"/>
      <c r="AD5" s="3253"/>
      <c r="AE5" s="3251"/>
      <c r="AF5" s="3195"/>
      <c r="AG5" s="3194"/>
      <c r="AH5" s="3197"/>
      <c r="AI5" s="3253"/>
      <c r="AJ5" s="3251"/>
      <c r="AK5" s="3195"/>
      <c r="AL5" s="3194"/>
      <c r="AM5" s="3197"/>
      <c r="AN5" s="3253"/>
      <c r="AO5" s="3251"/>
      <c r="AP5" s="3195"/>
      <c r="AQ5" s="3194"/>
      <c r="AR5" s="3197"/>
      <c r="AS5" s="3253"/>
      <c r="AT5" s="3251"/>
      <c r="AU5" s="3195"/>
      <c r="AV5" s="3194"/>
      <c r="AW5" s="3197"/>
      <c r="AX5" s="3253"/>
      <c r="AY5" s="3251"/>
      <c r="AZ5" s="3195"/>
      <c r="BA5" s="3194"/>
      <c r="BB5" s="3197"/>
      <c r="BC5" s="3253"/>
      <c r="BD5" s="3251"/>
      <c r="BE5" s="3195"/>
      <c r="BF5" s="3194"/>
      <c r="BG5" s="3197"/>
      <c r="BH5" s="3253"/>
      <c r="BI5" s="3251"/>
      <c r="BJ5" s="3195"/>
      <c r="BK5" s="3194"/>
      <c r="BL5" s="3197"/>
      <c r="BM5" s="3253"/>
      <c r="BN5" s="3251"/>
      <c r="BO5" s="3195"/>
      <c r="BP5" s="3194"/>
      <c r="BQ5" s="3197"/>
      <c r="BR5" s="3253"/>
    </row>
    <row r="6" spans="1:83" s="22" customFormat="1" ht="80.099999999999994" customHeight="1" x14ac:dyDescent="1.35">
      <c r="A6" s="3235" t="s">
        <v>279</v>
      </c>
      <c r="B6" s="3189">
        <v>1</v>
      </c>
      <c r="C6" s="3190"/>
      <c r="D6" s="253" t="s">
        <v>334</v>
      </c>
      <c r="E6" s="229" t="s">
        <v>280</v>
      </c>
      <c r="F6" s="3235" t="s">
        <v>279</v>
      </c>
      <c r="G6" s="3189">
        <v>2</v>
      </c>
      <c r="H6" s="3190"/>
      <c r="I6" s="253" t="s">
        <v>349</v>
      </c>
      <c r="J6" s="229" t="s">
        <v>280</v>
      </c>
      <c r="K6" s="3235" t="s">
        <v>279</v>
      </c>
      <c r="L6" s="3189">
        <v>3</v>
      </c>
      <c r="M6" s="3190"/>
      <c r="N6" s="253" t="s">
        <v>335</v>
      </c>
      <c r="O6" s="229" t="s">
        <v>280</v>
      </c>
      <c r="P6" s="3235" t="s">
        <v>279</v>
      </c>
      <c r="Q6" s="3189">
        <v>4</v>
      </c>
      <c r="R6" s="3190"/>
      <c r="S6" s="253" t="s">
        <v>336</v>
      </c>
      <c r="T6" s="229" t="s">
        <v>280</v>
      </c>
      <c r="U6" s="3235" t="s">
        <v>279</v>
      </c>
      <c r="V6" s="3189">
        <v>5</v>
      </c>
      <c r="W6" s="3190"/>
      <c r="X6" s="253" t="s">
        <v>337</v>
      </c>
      <c r="Y6" s="229" t="s">
        <v>280</v>
      </c>
      <c r="Z6" s="3235" t="s">
        <v>279</v>
      </c>
      <c r="AA6" s="3189">
        <v>6</v>
      </c>
      <c r="AB6" s="3190"/>
      <c r="AC6" s="253" t="s">
        <v>338</v>
      </c>
      <c r="AD6" s="229" t="s">
        <v>280</v>
      </c>
      <c r="AE6" s="3235" t="s">
        <v>279</v>
      </c>
      <c r="AF6" s="3189">
        <v>7</v>
      </c>
      <c r="AG6" s="3190"/>
      <c r="AH6" s="253" t="s">
        <v>339</v>
      </c>
      <c r="AI6" s="229" t="s">
        <v>280</v>
      </c>
      <c r="AJ6" s="3235" t="s">
        <v>279</v>
      </c>
      <c r="AK6" s="3189">
        <v>8</v>
      </c>
      <c r="AL6" s="3190"/>
      <c r="AM6" s="253" t="s">
        <v>358</v>
      </c>
      <c r="AN6" s="229" t="s">
        <v>280</v>
      </c>
      <c r="AO6" s="3235" t="s">
        <v>279</v>
      </c>
      <c r="AP6" s="3189">
        <v>9</v>
      </c>
      <c r="AQ6" s="3190"/>
      <c r="AR6" s="253" t="s">
        <v>340</v>
      </c>
      <c r="AS6" s="229" t="s">
        <v>280</v>
      </c>
      <c r="AT6" s="3235" t="s">
        <v>279</v>
      </c>
      <c r="AU6" s="3233">
        <v>10</v>
      </c>
      <c r="AV6" s="3234"/>
      <c r="AW6" s="253" t="s">
        <v>341</v>
      </c>
      <c r="AX6" s="229" t="s">
        <v>280</v>
      </c>
      <c r="AY6" s="3235" t="s">
        <v>279</v>
      </c>
      <c r="AZ6" s="3233">
        <v>11</v>
      </c>
      <c r="BA6" s="3234"/>
      <c r="BB6" s="253" t="s">
        <v>342</v>
      </c>
      <c r="BC6" s="229" t="s">
        <v>280</v>
      </c>
      <c r="BD6" s="3235" t="s">
        <v>279</v>
      </c>
      <c r="BE6" s="3233">
        <v>12</v>
      </c>
      <c r="BF6" s="3234"/>
      <c r="BG6" s="253" t="s">
        <v>343</v>
      </c>
      <c r="BH6" s="229" t="s">
        <v>280</v>
      </c>
      <c r="BI6" s="3235" t="s">
        <v>279</v>
      </c>
      <c r="BJ6" s="3233">
        <v>13</v>
      </c>
      <c r="BK6" s="3234"/>
      <c r="BL6" s="253" t="s">
        <v>357</v>
      </c>
      <c r="BM6" s="229" t="s">
        <v>280</v>
      </c>
      <c r="BN6" s="3235" t="s">
        <v>279</v>
      </c>
      <c r="BO6" s="3233">
        <v>14</v>
      </c>
      <c r="BP6" s="3234"/>
      <c r="BQ6" s="253" t="s">
        <v>344</v>
      </c>
      <c r="BR6" s="229" t="s">
        <v>280</v>
      </c>
      <c r="BT6" s="22" t="s">
        <v>16</v>
      </c>
    </row>
    <row r="7" spans="1:83" ht="27" customHeight="1" thickBot="1" x14ac:dyDescent="0.3">
      <c r="A7" s="3236"/>
      <c r="B7" s="216">
        <v>18.236999999999998</v>
      </c>
      <c r="C7" s="215" t="s">
        <v>113</v>
      </c>
      <c r="D7" s="214">
        <v>6</v>
      </c>
      <c r="E7" s="213" t="s">
        <v>114</v>
      </c>
      <c r="F7" s="3236"/>
      <c r="G7" s="216">
        <v>12.776</v>
      </c>
      <c r="H7" s="215" t="s">
        <v>113</v>
      </c>
      <c r="I7" s="214">
        <v>6</v>
      </c>
      <c r="J7" s="213" t="s">
        <v>114</v>
      </c>
      <c r="K7" s="3236"/>
      <c r="L7" s="216">
        <v>4.5460000000000003</v>
      </c>
      <c r="M7" s="215" t="s">
        <v>113</v>
      </c>
      <c r="N7" s="214">
        <v>6</v>
      </c>
      <c r="O7" s="213" t="s">
        <v>114</v>
      </c>
      <c r="P7" s="3236"/>
      <c r="Q7" s="216">
        <v>2.3109999999999999</v>
      </c>
      <c r="R7" s="215" t="s">
        <v>113</v>
      </c>
      <c r="S7" s="214">
        <v>7</v>
      </c>
      <c r="T7" s="213" t="s">
        <v>114</v>
      </c>
      <c r="U7" s="3236"/>
      <c r="V7" s="216">
        <v>3.3519999999999999</v>
      </c>
      <c r="W7" s="215" t="s">
        <v>113</v>
      </c>
      <c r="X7" s="214">
        <v>7</v>
      </c>
      <c r="Y7" s="213" t="s">
        <v>114</v>
      </c>
      <c r="Z7" s="3236"/>
      <c r="AA7" s="216">
        <v>11.557</v>
      </c>
      <c r="AB7" s="215" t="s">
        <v>113</v>
      </c>
      <c r="AC7" s="214">
        <v>6</v>
      </c>
      <c r="AD7" s="213" t="s">
        <v>114</v>
      </c>
      <c r="AE7" s="3236"/>
      <c r="AF7" s="216">
        <v>3.6320000000000001</v>
      </c>
      <c r="AG7" s="215" t="s">
        <v>113</v>
      </c>
      <c r="AH7" s="214">
        <v>6</v>
      </c>
      <c r="AI7" s="213" t="s">
        <v>114</v>
      </c>
      <c r="AJ7" s="3236"/>
      <c r="AK7" s="216">
        <v>4.3179999999999996</v>
      </c>
      <c r="AL7" s="215" t="s">
        <v>113</v>
      </c>
      <c r="AM7" s="214">
        <v>7</v>
      </c>
      <c r="AN7" s="213" t="s">
        <v>114</v>
      </c>
      <c r="AO7" s="3236"/>
      <c r="AP7" s="216">
        <v>2.3109999999999999</v>
      </c>
      <c r="AQ7" s="215" t="s">
        <v>113</v>
      </c>
      <c r="AR7" s="214">
        <v>6</v>
      </c>
      <c r="AS7" s="213" t="s">
        <v>114</v>
      </c>
      <c r="AT7" s="3236"/>
      <c r="AU7" s="216">
        <v>3.2509999999999999</v>
      </c>
      <c r="AV7" s="215" t="s">
        <v>113</v>
      </c>
      <c r="AW7" s="214">
        <v>1</v>
      </c>
      <c r="AX7" s="213" t="s">
        <v>114</v>
      </c>
      <c r="AY7" s="3236"/>
      <c r="AZ7" s="216">
        <v>1E-4</v>
      </c>
      <c r="BA7" s="215" t="s">
        <v>113</v>
      </c>
      <c r="BB7" s="214">
        <v>7</v>
      </c>
      <c r="BC7" s="213" t="s">
        <v>114</v>
      </c>
      <c r="BD7" s="3236"/>
      <c r="BE7" s="216">
        <v>2.4630000000000001</v>
      </c>
      <c r="BF7" s="215" t="s">
        <v>113</v>
      </c>
      <c r="BG7" s="214">
        <v>7</v>
      </c>
      <c r="BH7" s="213" t="s">
        <v>114</v>
      </c>
      <c r="BI7" s="3236"/>
      <c r="BJ7" s="216">
        <v>1.244</v>
      </c>
      <c r="BK7" s="215" t="s">
        <v>113</v>
      </c>
      <c r="BL7" s="214">
        <v>7</v>
      </c>
      <c r="BM7" s="213" t="s">
        <v>114</v>
      </c>
      <c r="BN7" s="3236"/>
      <c r="BO7" s="216">
        <v>1.244</v>
      </c>
      <c r="BP7" s="215" t="s">
        <v>113</v>
      </c>
      <c r="BQ7" s="214">
        <v>7</v>
      </c>
      <c r="BR7" s="213" t="s">
        <v>114</v>
      </c>
      <c r="BW7" s="27"/>
      <c r="BX7" s="27"/>
      <c r="BY7" s="27"/>
      <c r="BZ7" s="27"/>
      <c r="CA7" s="27"/>
      <c r="CB7" s="27"/>
      <c r="CC7" s="27"/>
      <c r="CD7" s="27"/>
      <c r="CE7" s="27"/>
    </row>
    <row r="8" spans="1:83" ht="27.95" customHeight="1" x14ac:dyDescent="0.25">
      <c r="A8" s="3237" t="s">
        <v>110</v>
      </c>
      <c r="B8" s="3238"/>
      <c r="C8" s="3241">
        <f t="shared" ref="C8" si="13">B13/((60*3.1415/64)*(130/3.281))</f>
        <v>1.3711170149814111E-2</v>
      </c>
      <c r="D8" s="3241"/>
      <c r="E8" s="3242"/>
      <c r="F8" s="3237" t="s">
        <v>110</v>
      </c>
      <c r="G8" s="3238"/>
      <c r="H8" s="3241">
        <f t="shared" ref="H8" si="14">G13/((60*3.1415/64)*(130/3.281))</f>
        <v>4.0045186318800836E-2</v>
      </c>
      <c r="I8" s="3241"/>
      <c r="J8" s="3242"/>
      <c r="K8" s="3237" t="s">
        <v>110</v>
      </c>
      <c r="L8" s="3238"/>
      <c r="M8" s="3241">
        <f t="shared" ref="M8" si="15">L13/((60*3.1415/64)*(130/3.281))</f>
        <v>1.6753336026804115E-2</v>
      </c>
      <c r="N8" s="3241"/>
      <c r="O8" s="3242"/>
      <c r="P8" s="3237" t="s">
        <v>110</v>
      </c>
      <c r="Q8" s="3238"/>
      <c r="R8" s="3241">
        <f t="shared" ref="R8" si="16">Q13/((60*3.1415/64)*(130/3.281))</f>
        <v>4.5675335561568258E-3</v>
      </c>
      <c r="S8" s="3241"/>
      <c r="T8" s="3242"/>
      <c r="U8" s="3237" t="s">
        <v>110</v>
      </c>
      <c r="V8" s="3238"/>
      <c r="W8" s="3241">
        <f t="shared" ref="W8" si="17">V13/((60*3.1415/64)*(130/3.281))</f>
        <v>8.4837865301974798E-3</v>
      </c>
      <c r="X8" s="3241"/>
      <c r="Y8" s="3242"/>
      <c r="Z8" s="3237" t="s">
        <v>110</v>
      </c>
      <c r="AA8" s="3238"/>
      <c r="AB8" s="3241">
        <f t="shared" ref="AB8" si="18">AA13/((60*3.1415/64)*(130/3.281))</f>
        <v>2.8510664430269714E-2</v>
      </c>
      <c r="AC8" s="3241"/>
      <c r="AD8" s="3242"/>
      <c r="AE8" s="3237" t="s">
        <v>110</v>
      </c>
      <c r="AF8" s="3238"/>
      <c r="AG8" s="3241">
        <f t="shared" ref="AG8" si="19">AF13/((60*3.1415/64)*(130/3.281))</f>
        <v>4.4184245807775968E-2</v>
      </c>
      <c r="AH8" s="3241"/>
      <c r="AI8" s="3242"/>
      <c r="AJ8" s="3237" t="s">
        <v>110</v>
      </c>
      <c r="AK8" s="3238"/>
      <c r="AL8" s="3241">
        <f t="shared" ref="AL8" si="20">AK13/((60*3.1415/64)*(130/3.281))</f>
        <v>2.0018308418728599E-2</v>
      </c>
      <c r="AM8" s="3241"/>
      <c r="AN8" s="3242"/>
      <c r="AO8" s="3237" t="s">
        <v>110</v>
      </c>
      <c r="AP8" s="3238"/>
      <c r="AQ8" s="3241">
        <f t="shared" ref="AQ8" si="21">AP13/((60*3.1415/64)*(130/3.281))</f>
        <v>8.2275590380228303E-2</v>
      </c>
      <c r="AR8" s="3241"/>
      <c r="AS8" s="3242"/>
      <c r="AT8" s="3237" t="s">
        <v>110</v>
      </c>
      <c r="AU8" s="3238"/>
      <c r="AV8" s="3241">
        <f t="shared" ref="AV8" si="22">AU13/((60*3.1415/64)*(130/3.281))</f>
        <v>3.8742625154568493E-2</v>
      </c>
      <c r="AW8" s="3241"/>
      <c r="AX8" s="3242"/>
      <c r="AY8" s="3237" t="s">
        <v>110</v>
      </c>
      <c r="AZ8" s="3238"/>
      <c r="BA8" s="3241">
        <f t="shared" ref="BA8" si="23">AZ13/((60*3.1415/64)*(130/3.281))</f>
        <v>0.10055429408619923</v>
      </c>
      <c r="BB8" s="3241"/>
      <c r="BC8" s="3242"/>
      <c r="BD8" s="3237" t="s">
        <v>110</v>
      </c>
      <c r="BE8" s="3238"/>
      <c r="BF8" s="3241">
        <f t="shared" ref="BF8" si="24">BE13/((60*3.1415/64)*(130/3.281))</f>
        <v>9.3595875235168574E-2</v>
      </c>
      <c r="BG8" s="3241"/>
      <c r="BH8" s="3242"/>
      <c r="BI8" s="3237" t="s">
        <v>110</v>
      </c>
      <c r="BJ8" s="3238"/>
      <c r="BK8" s="3241">
        <f t="shared" ref="BK8" si="25">BJ13/((60*3.1415/64)*(130/3.281))</f>
        <v>2.3283280810653086E-2</v>
      </c>
      <c r="BL8" s="3241"/>
      <c r="BM8" s="3242"/>
      <c r="BN8" s="3237" t="s">
        <v>110</v>
      </c>
      <c r="BO8" s="3238"/>
      <c r="BP8" s="3241">
        <f t="shared" ref="BP8" si="26">BO13/((60*3.1415/64)*(130/3.281))</f>
        <v>1.7627423123854763E-2</v>
      </c>
      <c r="BQ8" s="3241"/>
      <c r="BR8" s="3242"/>
    </row>
    <row r="9" spans="1:83" ht="6.75" customHeight="1" thickBot="1" x14ac:dyDescent="0.3">
      <c r="A9" s="3239"/>
      <c r="B9" s="3240"/>
      <c r="C9" s="3243"/>
      <c r="D9" s="3243"/>
      <c r="E9" s="3244"/>
      <c r="F9" s="3239"/>
      <c r="G9" s="3240"/>
      <c r="H9" s="3243"/>
      <c r="I9" s="3243"/>
      <c r="J9" s="3244"/>
      <c r="K9" s="3239"/>
      <c r="L9" s="3240"/>
      <c r="M9" s="3243"/>
      <c r="N9" s="3243"/>
      <c r="O9" s="3244"/>
      <c r="P9" s="3239"/>
      <c r="Q9" s="3240"/>
      <c r="R9" s="3243"/>
      <c r="S9" s="3243"/>
      <c r="T9" s="3244"/>
      <c r="U9" s="3239"/>
      <c r="V9" s="3240"/>
      <c r="W9" s="3243"/>
      <c r="X9" s="3243"/>
      <c r="Y9" s="3244"/>
      <c r="Z9" s="3239"/>
      <c r="AA9" s="3240"/>
      <c r="AB9" s="3243"/>
      <c r="AC9" s="3243"/>
      <c r="AD9" s="3244"/>
      <c r="AE9" s="3239"/>
      <c r="AF9" s="3240"/>
      <c r="AG9" s="3243"/>
      <c r="AH9" s="3243"/>
      <c r="AI9" s="3244"/>
      <c r="AJ9" s="3239"/>
      <c r="AK9" s="3240"/>
      <c r="AL9" s="3243"/>
      <c r="AM9" s="3243"/>
      <c r="AN9" s="3244"/>
      <c r="AO9" s="3239"/>
      <c r="AP9" s="3240"/>
      <c r="AQ9" s="3243"/>
      <c r="AR9" s="3243"/>
      <c r="AS9" s="3244"/>
      <c r="AT9" s="3239"/>
      <c r="AU9" s="3240"/>
      <c r="AV9" s="3243"/>
      <c r="AW9" s="3243"/>
      <c r="AX9" s="3244"/>
      <c r="AY9" s="3239"/>
      <c r="AZ9" s="3240"/>
      <c r="BA9" s="3243"/>
      <c r="BB9" s="3243"/>
      <c r="BC9" s="3244"/>
      <c r="BD9" s="3239"/>
      <c r="BE9" s="3240"/>
      <c r="BF9" s="3243"/>
      <c r="BG9" s="3243"/>
      <c r="BH9" s="3244"/>
      <c r="BI9" s="3256"/>
      <c r="BJ9" s="3257"/>
      <c r="BK9" s="3243"/>
      <c r="BL9" s="3243"/>
      <c r="BM9" s="3244"/>
      <c r="BN9" s="3239"/>
      <c r="BO9" s="3240"/>
      <c r="BP9" s="3243"/>
      <c r="BQ9" s="3243"/>
      <c r="BR9" s="3244"/>
    </row>
    <row r="10" spans="1:83" ht="21.95" customHeight="1" thickTop="1" x14ac:dyDescent="0.25">
      <c r="A10" s="3250" t="s">
        <v>111</v>
      </c>
      <c r="B10" s="3193"/>
      <c r="C10" s="3196" t="s">
        <v>25</v>
      </c>
      <c r="D10" s="3196"/>
      <c r="E10" s="3252"/>
      <c r="F10" s="3250" t="s">
        <v>111</v>
      </c>
      <c r="G10" s="3193"/>
      <c r="H10" s="3192" t="s">
        <v>25</v>
      </c>
      <c r="I10" s="3196"/>
      <c r="J10" s="3252"/>
      <c r="K10" s="3250" t="s">
        <v>111</v>
      </c>
      <c r="L10" s="3193"/>
      <c r="M10" s="3192" t="s">
        <v>25</v>
      </c>
      <c r="N10" s="3196"/>
      <c r="O10" s="3196"/>
      <c r="P10" s="3250" t="s">
        <v>111</v>
      </c>
      <c r="Q10" s="3193"/>
      <c r="R10" s="3196" t="s">
        <v>25</v>
      </c>
      <c r="S10" s="3196"/>
      <c r="T10" s="3252"/>
      <c r="U10" s="3250" t="s">
        <v>111</v>
      </c>
      <c r="V10" s="3193"/>
      <c r="W10" s="3192" t="s">
        <v>25</v>
      </c>
      <c r="X10" s="3196"/>
      <c r="Y10" s="3196"/>
      <c r="Z10" s="3250" t="s">
        <v>111</v>
      </c>
      <c r="AA10" s="3193"/>
      <c r="AB10" s="3192" t="s">
        <v>25</v>
      </c>
      <c r="AC10" s="3196"/>
      <c r="AD10" s="3252"/>
      <c r="AE10" s="3250" t="s">
        <v>111</v>
      </c>
      <c r="AF10" s="3193"/>
      <c r="AG10" s="3192" t="s">
        <v>25</v>
      </c>
      <c r="AH10" s="3196"/>
      <c r="AI10" s="3252"/>
      <c r="AJ10" s="3250" t="s">
        <v>111</v>
      </c>
      <c r="AK10" s="3193"/>
      <c r="AL10" s="3192" t="s">
        <v>25</v>
      </c>
      <c r="AM10" s="3196"/>
      <c r="AN10" s="3252"/>
      <c r="AO10" s="3250" t="s">
        <v>111</v>
      </c>
      <c r="AP10" s="3193"/>
      <c r="AQ10" s="3192" t="s">
        <v>25</v>
      </c>
      <c r="AR10" s="3196"/>
      <c r="AS10" s="3252"/>
      <c r="AT10" s="3250" t="s">
        <v>111</v>
      </c>
      <c r="AU10" s="3193"/>
      <c r="AV10" s="3192" t="s">
        <v>25</v>
      </c>
      <c r="AW10" s="3196"/>
      <c r="AX10" s="3252"/>
      <c r="AY10" s="3250" t="s">
        <v>111</v>
      </c>
      <c r="AZ10" s="3193"/>
      <c r="BA10" s="3192" t="s">
        <v>25</v>
      </c>
      <c r="BB10" s="3196"/>
      <c r="BC10" s="3252"/>
      <c r="BD10" s="3250" t="s">
        <v>111</v>
      </c>
      <c r="BE10" s="3193"/>
      <c r="BF10" s="3192" t="s">
        <v>25</v>
      </c>
      <c r="BG10" s="3196"/>
      <c r="BH10" s="3196"/>
      <c r="BI10" s="3246" t="s">
        <v>111</v>
      </c>
      <c r="BJ10" s="3247"/>
      <c r="BK10" s="3196" t="s">
        <v>25</v>
      </c>
      <c r="BL10" s="3196"/>
      <c r="BM10" s="3252"/>
      <c r="BN10" s="3250" t="s">
        <v>111</v>
      </c>
      <c r="BO10" s="3193"/>
      <c r="BP10" s="3192" t="s">
        <v>25</v>
      </c>
      <c r="BQ10" s="3196"/>
      <c r="BR10" s="3252"/>
    </row>
    <row r="11" spans="1:83" ht="6" customHeight="1" thickBot="1" x14ac:dyDescent="0.3">
      <c r="A11" s="3251"/>
      <c r="B11" s="3195"/>
      <c r="C11" s="3197"/>
      <c r="D11" s="3197"/>
      <c r="E11" s="3253"/>
      <c r="F11" s="3251"/>
      <c r="G11" s="3195"/>
      <c r="H11" s="3194"/>
      <c r="I11" s="3197"/>
      <c r="J11" s="3253"/>
      <c r="K11" s="3251"/>
      <c r="L11" s="3195"/>
      <c r="M11" s="3194"/>
      <c r="N11" s="3197"/>
      <c r="O11" s="3197"/>
      <c r="P11" s="3251"/>
      <c r="Q11" s="3195"/>
      <c r="R11" s="3197"/>
      <c r="S11" s="3197"/>
      <c r="T11" s="3253"/>
      <c r="U11" s="3251"/>
      <c r="V11" s="3195"/>
      <c r="W11" s="3194"/>
      <c r="X11" s="3197"/>
      <c r="Y11" s="3197"/>
      <c r="Z11" s="3251"/>
      <c r="AA11" s="3195"/>
      <c r="AB11" s="3194"/>
      <c r="AC11" s="3197"/>
      <c r="AD11" s="3253"/>
      <c r="AE11" s="3251"/>
      <c r="AF11" s="3195"/>
      <c r="AG11" s="3194"/>
      <c r="AH11" s="3197"/>
      <c r="AI11" s="3253"/>
      <c r="AJ11" s="3251"/>
      <c r="AK11" s="3195"/>
      <c r="AL11" s="3194"/>
      <c r="AM11" s="3197"/>
      <c r="AN11" s="3253"/>
      <c r="AO11" s="3251"/>
      <c r="AP11" s="3195"/>
      <c r="AQ11" s="3194"/>
      <c r="AR11" s="3197"/>
      <c r="AS11" s="3253"/>
      <c r="AT11" s="3251"/>
      <c r="AU11" s="3195"/>
      <c r="AV11" s="3194"/>
      <c r="AW11" s="3197"/>
      <c r="AX11" s="3253"/>
      <c r="AY11" s="3251"/>
      <c r="AZ11" s="3195"/>
      <c r="BA11" s="3194"/>
      <c r="BB11" s="3197"/>
      <c r="BC11" s="3253"/>
      <c r="BD11" s="3251"/>
      <c r="BE11" s="3195"/>
      <c r="BF11" s="3194"/>
      <c r="BG11" s="3197"/>
      <c r="BH11" s="3197"/>
      <c r="BI11" s="3248"/>
      <c r="BJ11" s="3249"/>
      <c r="BK11" s="3197"/>
      <c r="BL11" s="3197"/>
      <c r="BM11" s="3253"/>
      <c r="BN11" s="3251"/>
      <c r="BO11" s="3195"/>
      <c r="BP11" s="3194"/>
      <c r="BQ11" s="3197"/>
      <c r="BR11" s="3253"/>
    </row>
    <row r="12" spans="1:83" s="22" customFormat="1" ht="80.099999999999994" customHeight="1" thickTop="1" x14ac:dyDescent="1.35">
      <c r="A12" s="3235" t="s">
        <v>279</v>
      </c>
      <c r="B12" s="3233">
        <v>15</v>
      </c>
      <c r="C12" s="3234"/>
      <c r="D12" s="253" t="s">
        <v>356</v>
      </c>
      <c r="E12" s="229" t="s">
        <v>280</v>
      </c>
      <c r="F12" s="3235" t="s">
        <v>279</v>
      </c>
      <c r="G12" s="3233">
        <v>16</v>
      </c>
      <c r="H12" s="3234"/>
      <c r="I12" s="253"/>
      <c r="J12" s="229" t="s">
        <v>280</v>
      </c>
      <c r="K12" s="3235" t="s">
        <v>279</v>
      </c>
      <c r="L12" s="3233">
        <v>17</v>
      </c>
      <c r="M12" s="3234"/>
      <c r="N12" s="253" t="s">
        <v>355</v>
      </c>
      <c r="O12" s="229" t="s">
        <v>280</v>
      </c>
      <c r="P12" s="3235" t="s">
        <v>279</v>
      </c>
      <c r="Q12" s="3233">
        <v>18</v>
      </c>
      <c r="R12" s="3234"/>
      <c r="S12" s="253" t="s">
        <v>354</v>
      </c>
      <c r="T12" s="229" t="s">
        <v>280</v>
      </c>
      <c r="U12" s="3235" t="s">
        <v>279</v>
      </c>
      <c r="V12" s="3233">
        <v>19</v>
      </c>
      <c r="W12" s="3234"/>
      <c r="X12" s="253" t="s">
        <v>353</v>
      </c>
      <c r="Y12" s="229" t="s">
        <v>280</v>
      </c>
      <c r="Z12" s="3235" t="s">
        <v>279</v>
      </c>
      <c r="AA12" s="3233">
        <v>20</v>
      </c>
      <c r="AB12" s="3234"/>
      <c r="AC12" s="253" t="s">
        <v>352</v>
      </c>
      <c r="AD12" s="229" t="s">
        <v>280</v>
      </c>
      <c r="AE12" s="3235" t="s">
        <v>279</v>
      </c>
      <c r="AF12" s="3233">
        <v>21</v>
      </c>
      <c r="AG12" s="3234"/>
      <c r="AH12" s="253" t="s">
        <v>351</v>
      </c>
      <c r="AI12" s="229" t="s">
        <v>280</v>
      </c>
      <c r="AJ12" s="3235" t="s">
        <v>279</v>
      </c>
      <c r="AK12" s="3233">
        <v>22</v>
      </c>
      <c r="AL12" s="3234"/>
      <c r="AM12" s="253" t="s">
        <v>350</v>
      </c>
      <c r="AN12" s="229" t="s">
        <v>280</v>
      </c>
      <c r="AO12" s="3235" t="s">
        <v>279</v>
      </c>
      <c r="AP12" s="3233">
        <v>23</v>
      </c>
      <c r="AQ12" s="3234"/>
      <c r="AR12" s="253" t="s">
        <v>418</v>
      </c>
      <c r="AS12" s="225" t="s">
        <v>280</v>
      </c>
      <c r="AT12" s="3235" t="s">
        <v>279</v>
      </c>
      <c r="AU12" s="3233">
        <v>24</v>
      </c>
      <c r="AV12" s="3234"/>
      <c r="AW12" s="253" t="s">
        <v>419</v>
      </c>
      <c r="AX12" s="225" t="s">
        <v>280</v>
      </c>
      <c r="AY12" s="3235" t="s">
        <v>279</v>
      </c>
      <c r="AZ12" s="3233">
        <v>25</v>
      </c>
      <c r="BA12" s="3234"/>
      <c r="BB12" s="253"/>
      <c r="BC12" s="225" t="s">
        <v>280</v>
      </c>
      <c r="BD12" s="3235" t="s">
        <v>279</v>
      </c>
      <c r="BE12" s="3233">
        <v>26</v>
      </c>
      <c r="BF12" s="3234"/>
      <c r="BG12" s="253" t="s">
        <v>420</v>
      </c>
      <c r="BH12" s="225" t="s">
        <v>280</v>
      </c>
      <c r="BI12" s="3254" t="s">
        <v>279</v>
      </c>
      <c r="BJ12" s="3255">
        <v>27</v>
      </c>
      <c r="BK12" s="3234"/>
      <c r="BL12" s="253" t="s">
        <v>421</v>
      </c>
      <c r="BM12" s="225" t="s">
        <v>280</v>
      </c>
      <c r="BN12" s="3235" t="s">
        <v>279</v>
      </c>
      <c r="BO12" s="3233">
        <v>28</v>
      </c>
      <c r="BP12" s="3234"/>
      <c r="BQ12" s="253" t="s">
        <v>422</v>
      </c>
      <c r="BR12" s="225" t="s">
        <v>280</v>
      </c>
    </row>
    <row r="13" spans="1:83" ht="27" customHeight="1" thickBot="1" x14ac:dyDescent="0.3">
      <c r="A13" s="3236"/>
      <c r="B13" s="216">
        <v>1.6</v>
      </c>
      <c r="C13" s="215" t="s">
        <v>113</v>
      </c>
      <c r="D13" s="214">
        <v>6</v>
      </c>
      <c r="E13" s="213" t="s">
        <v>114</v>
      </c>
      <c r="F13" s="3236"/>
      <c r="G13" s="216">
        <v>4.673</v>
      </c>
      <c r="H13" s="215" t="s">
        <v>113</v>
      </c>
      <c r="I13" s="214">
        <v>6</v>
      </c>
      <c r="J13" s="213" t="s">
        <v>114</v>
      </c>
      <c r="K13" s="3236"/>
      <c r="L13" s="216">
        <v>1.9550000000000001</v>
      </c>
      <c r="M13" s="215" t="s">
        <v>113</v>
      </c>
      <c r="N13" s="214">
        <v>6</v>
      </c>
      <c r="O13" s="213" t="s">
        <v>114</v>
      </c>
      <c r="P13" s="3236"/>
      <c r="Q13" s="216">
        <v>0.53300000000000003</v>
      </c>
      <c r="R13" s="215" t="s">
        <v>113</v>
      </c>
      <c r="S13" s="214">
        <v>6</v>
      </c>
      <c r="T13" s="213" t="s">
        <v>114</v>
      </c>
      <c r="U13" s="3236"/>
      <c r="V13" s="216">
        <v>0.99</v>
      </c>
      <c r="W13" s="215" t="s">
        <v>113</v>
      </c>
      <c r="X13" s="214">
        <v>6</v>
      </c>
      <c r="Y13" s="213" t="s">
        <v>114</v>
      </c>
      <c r="Z13" s="3236"/>
      <c r="AA13" s="216">
        <v>3.327</v>
      </c>
      <c r="AB13" s="215" t="s">
        <v>113</v>
      </c>
      <c r="AC13" s="214">
        <v>7</v>
      </c>
      <c r="AD13" s="213" t="s">
        <v>114</v>
      </c>
      <c r="AE13" s="3236"/>
      <c r="AF13" s="216">
        <v>5.1559999999999997</v>
      </c>
      <c r="AG13" s="215" t="s">
        <v>113</v>
      </c>
      <c r="AH13" s="214">
        <v>7</v>
      </c>
      <c r="AI13" s="213" t="s">
        <v>114</v>
      </c>
      <c r="AJ13" s="3236"/>
      <c r="AK13" s="216">
        <v>2.3359999999999999</v>
      </c>
      <c r="AL13" s="215" t="s">
        <v>113</v>
      </c>
      <c r="AM13" s="214">
        <v>5</v>
      </c>
      <c r="AN13" s="213" t="s">
        <v>114</v>
      </c>
      <c r="AO13" s="3236"/>
      <c r="AP13" s="216">
        <v>9.6010000000000009</v>
      </c>
      <c r="AQ13" s="215" t="s">
        <v>113</v>
      </c>
      <c r="AR13" s="214">
        <v>6</v>
      </c>
      <c r="AS13" s="213" t="s">
        <v>114</v>
      </c>
      <c r="AT13" s="3236"/>
      <c r="AU13" s="216">
        <v>4.5209999999999999</v>
      </c>
      <c r="AV13" s="215" t="s">
        <v>113</v>
      </c>
      <c r="AW13" s="214">
        <v>7</v>
      </c>
      <c r="AX13" s="213" t="s">
        <v>114</v>
      </c>
      <c r="AY13" s="3236"/>
      <c r="AZ13" s="216">
        <v>11.734</v>
      </c>
      <c r="BA13" s="215" t="s">
        <v>113</v>
      </c>
      <c r="BB13" s="214">
        <v>6</v>
      </c>
      <c r="BC13" s="213" t="s">
        <v>114</v>
      </c>
      <c r="BD13" s="3236"/>
      <c r="BE13" s="216">
        <v>10.922000000000001</v>
      </c>
      <c r="BF13" s="215" t="s">
        <v>113</v>
      </c>
      <c r="BG13" s="214">
        <v>6</v>
      </c>
      <c r="BH13" s="213" t="s">
        <v>114</v>
      </c>
      <c r="BI13" s="3236"/>
      <c r="BJ13" s="216">
        <v>2.7170000000000001</v>
      </c>
      <c r="BK13" s="215" t="s">
        <v>113</v>
      </c>
      <c r="BL13" s="214">
        <v>6</v>
      </c>
      <c r="BM13" s="213" t="s">
        <v>114</v>
      </c>
      <c r="BN13" s="3236"/>
      <c r="BO13" s="216">
        <v>2.0569999999999999</v>
      </c>
      <c r="BP13" s="215" t="s">
        <v>113</v>
      </c>
      <c r="BQ13" s="214">
        <v>7</v>
      </c>
      <c r="BR13" s="213" t="s">
        <v>114</v>
      </c>
      <c r="BW13" s="27"/>
      <c r="BX13" s="27"/>
      <c r="BY13" s="27"/>
      <c r="BZ13" s="27"/>
      <c r="CA13" s="27"/>
      <c r="CB13" s="27"/>
      <c r="CC13" s="27"/>
      <c r="CD13" s="27"/>
      <c r="CE13" s="27"/>
    </row>
    <row r="14" spans="1:83" ht="27.95" customHeight="1" x14ac:dyDescent="0.25">
      <c r="A14" s="3237" t="s">
        <v>110</v>
      </c>
      <c r="B14" s="3238"/>
      <c r="C14" s="3241">
        <f t="shared" ref="C14" si="27">B19/((60*3.1415/64)*(130/3.281))</f>
        <v>5.870094720389166E-3</v>
      </c>
      <c r="D14" s="3241"/>
      <c r="E14" s="3242"/>
      <c r="F14" s="3237" t="s">
        <v>110</v>
      </c>
      <c r="G14" s="3238"/>
      <c r="H14" s="3241">
        <f t="shared" ref="H14" si="28">G19/((60*3.1415/64)*(130/3.281))</f>
        <v>2.5031455004754382E-2</v>
      </c>
      <c r="I14" s="3241"/>
      <c r="J14" s="3242"/>
      <c r="K14" s="3237" t="s">
        <v>110</v>
      </c>
      <c r="L14" s="3238"/>
      <c r="M14" s="3241">
        <f t="shared" ref="M14" si="29">L19/((60*3.1415/64)*(130/3.281))</f>
        <v>6.9652744361055674E-2</v>
      </c>
      <c r="N14" s="3241"/>
      <c r="O14" s="3242"/>
      <c r="P14" s="3237" t="s">
        <v>110</v>
      </c>
      <c r="Q14" s="3238"/>
      <c r="R14" s="3241">
        <f t="shared" ref="R14" si="30">Q19/((60*3.1415/64)*(130/3.281))</f>
        <v>0.11774467366152867</v>
      </c>
      <c r="S14" s="3241"/>
      <c r="T14" s="3242"/>
      <c r="U14" s="3237" t="s">
        <v>110</v>
      </c>
      <c r="V14" s="3238"/>
      <c r="W14" s="3241">
        <f t="shared" ref="W14" si="31">V19/((60*3.1415/64)*(130/3.281))</f>
        <v>4.3532965225659796E-2</v>
      </c>
      <c r="X14" s="3241"/>
      <c r="Y14" s="3242"/>
      <c r="Z14" s="3237" t="s">
        <v>110</v>
      </c>
      <c r="AA14" s="3238"/>
      <c r="AB14" s="3241">
        <f t="shared" ref="AB14" si="32">AA19/((60*3.1415/64)*(130/3.281))</f>
        <v>1.1097478340005794E-2</v>
      </c>
      <c r="AC14" s="3241"/>
      <c r="AD14" s="3242"/>
      <c r="AE14" s="3237" t="s">
        <v>110</v>
      </c>
      <c r="AF14" s="3238"/>
      <c r="AG14" s="3241">
        <f t="shared" ref="AG14" si="33">AF19/((60*3.1415/64)*(130/3.281))</f>
        <v>2.1980719646420743E-2</v>
      </c>
      <c r="AH14" s="3241"/>
      <c r="AI14" s="3242"/>
      <c r="AJ14" s="3237" t="s">
        <v>110</v>
      </c>
      <c r="AK14" s="3238"/>
      <c r="AL14" s="3241">
        <f t="shared" ref="AL14" si="34">AK19/((60*3.1415/64)*(130/3.281))</f>
        <v>1.8715747254496262E-2</v>
      </c>
      <c r="AM14" s="3241"/>
      <c r="AN14" s="3242"/>
      <c r="AO14" s="3237" t="s">
        <v>110</v>
      </c>
      <c r="AP14" s="3238"/>
      <c r="AQ14" s="3241">
        <f t="shared" ref="AQ14" si="35">AP19/((60*3.1415/64)*(130/3.281))</f>
        <v>1.1311715373596641E-2</v>
      </c>
      <c r="AR14" s="3241"/>
      <c r="AS14" s="3242"/>
      <c r="AT14" s="3237" t="s">
        <v>110</v>
      </c>
      <c r="AU14" s="3238"/>
      <c r="AV14" s="3241">
        <f t="shared" ref="AV14" si="36">AU19/((60*3.1415/64)*(130/3.281))</f>
        <v>1.1097478340005794E-2</v>
      </c>
      <c r="AW14" s="3241"/>
      <c r="AX14" s="3242"/>
      <c r="AY14" s="3237" t="s">
        <v>110</v>
      </c>
      <c r="AZ14" s="3238"/>
      <c r="BA14" s="3241">
        <f t="shared" ref="BA14" si="37">AZ19/((60*3.1415/64)*(130/3.281))</f>
        <v>7.0518261976762683E-2</v>
      </c>
      <c r="BB14" s="3241"/>
      <c r="BC14" s="3242"/>
      <c r="BD14" s="3237" t="s">
        <v>110</v>
      </c>
      <c r="BE14" s="3238"/>
      <c r="BF14" s="3241">
        <f t="shared" ref="BF14" si="38">BE19/((60*3.1415/64)*(130/3.281))</f>
        <v>1.6539098993213271E-2</v>
      </c>
      <c r="BG14" s="3241"/>
      <c r="BH14" s="3242"/>
      <c r="BI14" s="3237" t="s">
        <v>110</v>
      </c>
      <c r="BJ14" s="3238"/>
      <c r="BK14" s="3241">
        <f t="shared" ref="BK14" si="39">BJ19/((60*3.1415/64)*(130/3.281))</f>
        <v>1.5665011896162619E-2</v>
      </c>
      <c r="BL14" s="3241"/>
      <c r="BM14" s="3242"/>
      <c r="BN14" s="3237" t="s">
        <v>110</v>
      </c>
      <c r="BO14" s="3238"/>
      <c r="BP14" s="3241">
        <f t="shared" ref="BP14" si="40">BO19/((60*3.1415/64)*(130/3.281))</f>
        <v>3.8305581606043165E-2</v>
      </c>
      <c r="BQ14" s="3241"/>
      <c r="BR14" s="3242"/>
    </row>
    <row r="15" spans="1:83" ht="10.5" customHeight="1" x14ac:dyDescent="0.25">
      <c r="A15" s="3239"/>
      <c r="B15" s="3240"/>
      <c r="C15" s="3243"/>
      <c r="D15" s="3243"/>
      <c r="E15" s="3244"/>
      <c r="F15" s="3256"/>
      <c r="G15" s="3257"/>
      <c r="H15" s="3243"/>
      <c r="I15" s="3243"/>
      <c r="J15" s="3244"/>
      <c r="K15" s="3239"/>
      <c r="L15" s="3240"/>
      <c r="M15" s="3243"/>
      <c r="N15" s="3243"/>
      <c r="O15" s="3244"/>
      <c r="P15" s="3239"/>
      <c r="Q15" s="3240"/>
      <c r="R15" s="3243"/>
      <c r="S15" s="3243"/>
      <c r="T15" s="3244"/>
      <c r="U15" s="3239"/>
      <c r="V15" s="3240"/>
      <c r="W15" s="3243"/>
      <c r="X15" s="3243"/>
      <c r="Y15" s="3244"/>
      <c r="Z15" s="3239"/>
      <c r="AA15" s="3240"/>
      <c r="AB15" s="3243"/>
      <c r="AC15" s="3243"/>
      <c r="AD15" s="3244"/>
      <c r="AE15" s="3239"/>
      <c r="AF15" s="3240"/>
      <c r="AG15" s="3243"/>
      <c r="AH15" s="3243"/>
      <c r="AI15" s="3244"/>
      <c r="AJ15" s="3239"/>
      <c r="AK15" s="3240"/>
      <c r="AL15" s="3243"/>
      <c r="AM15" s="3243"/>
      <c r="AN15" s="3244"/>
      <c r="AO15" s="3239"/>
      <c r="AP15" s="3240"/>
      <c r="AQ15" s="3243"/>
      <c r="AR15" s="3243"/>
      <c r="AS15" s="3244"/>
      <c r="AT15" s="3239"/>
      <c r="AU15" s="3240"/>
      <c r="AV15" s="3243"/>
      <c r="AW15" s="3243"/>
      <c r="AX15" s="3244"/>
      <c r="AY15" s="3239"/>
      <c r="AZ15" s="3240"/>
      <c r="BA15" s="3243"/>
      <c r="BB15" s="3243"/>
      <c r="BC15" s="3244"/>
      <c r="BD15" s="3239"/>
      <c r="BE15" s="3240"/>
      <c r="BF15" s="3243"/>
      <c r="BG15" s="3243"/>
      <c r="BH15" s="3244"/>
      <c r="BI15" s="3239"/>
      <c r="BJ15" s="3240"/>
      <c r="BK15" s="3243"/>
      <c r="BL15" s="3243"/>
      <c r="BM15" s="3244"/>
      <c r="BN15" s="3239"/>
      <c r="BO15" s="3240"/>
      <c r="BP15" s="3243"/>
      <c r="BQ15" s="3243"/>
      <c r="BR15" s="3244"/>
    </row>
    <row r="16" spans="1:83" ht="21.95" customHeight="1" thickBot="1" x14ac:dyDescent="0.3">
      <c r="A16" s="3250" t="s">
        <v>111</v>
      </c>
      <c r="B16" s="3193"/>
      <c r="C16" s="3192" t="s">
        <v>25</v>
      </c>
      <c r="D16" s="3196"/>
      <c r="E16" s="3196"/>
      <c r="F16" s="3250" t="s">
        <v>111</v>
      </c>
      <c r="G16" s="3193"/>
      <c r="H16" s="3196" t="s">
        <v>25</v>
      </c>
      <c r="I16" s="3196"/>
      <c r="J16" s="3252"/>
      <c r="K16" s="3250" t="s">
        <v>111</v>
      </c>
      <c r="L16" s="3193"/>
      <c r="M16" s="3198" t="s">
        <v>25</v>
      </c>
      <c r="N16" s="3199"/>
      <c r="O16" s="3259"/>
      <c r="P16" s="3258" t="s">
        <v>111</v>
      </c>
      <c r="Q16" s="3200"/>
      <c r="R16" s="3192" t="s">
        <v>25</v>
      </c>
      <c r="S16" s="3196"/>
      <c r="T16" s="3252"/>
      <c r="U16" s="3250" t="s">
        <v>111</v>
      </c>
      <c r="V16" s="3193"/>
      <c r="W16" s="3192" t="s">
        <v>25</v>
      </c>
      <c r="X16" s="3196"/>
      <c r="Y16" s="3252"/>
      <c r="Z16" s="3250" t="s">
        <v>111</v>
      </c>
      <c r="AA16" s="3193"/>
      <c r="AB16" s="3192" t="s">
        <v>25</v>
      </c>
      <c r="AC16" s="3196"/>
      <c r="AD16" s="3252"/>
      <c r="AE16" s="3250" t="s">
        <v>111</v>
      </c>
      <c r="AF16" s="3193"/>
      <c r="AG16" s="3192" t="s">
        <v>25</v>
      </c>
      <c r="AH16" s="3196"/>
      <c r="AI16" s="3252"/>
      <c r="AJ16" s="3250" t="s">
        <v>111</v>
      </c>
      <c r="AK16" s="3193"/>
      <c r="AL16" s="3192" t="s">
        <v>25</v>
      </c>
      <c r="AM16" s="3196"/>
      <c r="AN16" s="3252"/>
      <c r="AO16" s="3250" t="s">
        <v>111</v>
      </c>
      <c r="AP16" s="3193"/>
      <c r="AQ16" s="3192" t="s">
        <v>25</v>
      </c>
      <c r="AR16" s="3196"/>
      <c r="AS16" s="3252"/>
      <c r="AT16" s="3250" t="s">
        <v>111</v>
      </c>
      <c r="AU16" s="3193"/>
      <c r="AV16" s="3192" t="s">
        <v>25</v>
      </c>
      <c r="AW16" s="3196"/>
      <c r="AX16" s="3252"/>
      <c r="AY16" s="3250" t="s">
        <v>111</v>
      </c>
      <c r="AZ16" s="3193"/>
      <c r="BA16" s="3192" t="s">
        <v>25</v>
      </c>
      <c r="BB16" s="3196"/>
      <c r="BC16" s="3252"/>
      <c r="BD16" s="3250" t="s">
        <v>111</v>
      </c>
      <c r="BE16" s="3193"/>
      <c r="BF16" s="3192" t="s">
        <v>25</v>
      </c>
      <c r="BG16" s="3196"/>
      <c r="BH16" s="3252"/>
      <c r="BI16" s="3250" t="s">
        <v>111</v>
      </c>
      <c r="BJ16" s="3193"/>
      <c r="BK16" s="3192" t="s">
        <v>25</v>
      </c>
      <c r="BL16" s="3196"/>
      <c r="BM16" s="3252"/>
      <c r="BN16" s="3250" t="s">
        <v>111</v>
      </c>
      <c r="BO16" s="3193"/>
      <c r="BP16" s="3192" t="s">
        <v>25</v>
      </c>
      <c r="BQ16" s="3196"/>
      <c r="BR16" s="3252"/>
    </row>
    <row r="17" spans="1:83" ht="6" customHeight="1" x14ac:dyDescent="0.25">
      <c r="A17" s="3251"/>
      <c r="B17" s="3195"/>
      <c r="C17" s="3194"/>
      <c r="D17" s="3197"/>
      <c r="E17" s="3197"/>
      <c r="F17" s="3251"/>
      <c r="G17" s="3195"/>
      <c r="H17" s="3197"/>
      <c r="I17" s="3197"/>
      <c r="J17" s="3253"/>
      <c r="K17" s="3251"/>
      <c r="L17" s="3195"/>
      <c r="M17" s="3194"/>
      <c r="N17" s="3197"/>
      <c r="O17" s="3253"/>
      <c r="P17" s="3251"/>
      <c r="Q17" s="3195"/>
      <c r="R17" s="3194"/>
      <c r="S17" s="3197"/>
      <c r="T17" s="3253"/>
      <c r="U17" s="3251"/>
      <c r="V17" s="3195"/>
      <c r="W17" s="3194"/>
      <c r="X17" s="3197"/>
      <c r="Y17" s="3253"/>
      <c r="Z17" s="3251"/>
      <c r="AA17" s="3195"/>
      <c r="AB17" s="3194"/>
      <c r="AC17" s="3197"/>
      <c r="AD17" s="3253"/>
      <c r="AE17" s="3251"/>
      <c r="AF17" s="3195"/>
      <c r="AG17" s="3194"/>
      <c r="AH17" s="3197"/>
      <c r="AI17" s="3253"/>
      <c r="AJ17" s="3251"/>
      <c r="AK17" s="3195"/>
      <c r="AL17" s="3194"/>
      <c r="AM17" s="3197"/>
      <c r="AN17" s="3253"/>
      <c r="AO17" s="3251"/>
      <c r="AP17" s="3195"/>
      <c r="AQ17" s="3194"/>
      <c r="AR17" s="3197"/>
      <c r="AS17" s="3253"/>
      <c r="AT17" s="3251"/>
      <c r="AU17" s="3195"/>
      <c r="AV17" s="3194"/>
      <c r="AW17" s="3197"/>
      <c r="AX17" s="3253"/>
      <c r="AY17" s="3251"/>
      <c r="AZ17" s="3195"/>
      <c r="BA17" s="3194"/>
      <c r="BB17" s="3197"/>
      <c r="BC17" s="3253"/>
      <c r="BD17" s="3251"/>
      <c r="BE17" s="3195"/>
      <c r="BF17" s="3194"/>
      <c r="BG17" s="3197"/>
      <c r="BH17" s="3253"/>
      <c r="BI17" s="3251"/>
      <c r="BJ17" s="3195"/>
      <c r="BK17" s="3194"/>
      <c r="BL17" s="3197"/>
      <c r="BM17" s="3253"/>
      <c r="BN17" s="3251"/>
      <c r="BO17" s="3195"/>
      <c r="BP17" s="3194"/>
      <c r="BQ17" s="3197"/>
      <c r="BR17" s="3253"/>
    </row>
    <row r="18" spans="1:83" s="22" customFormat="1" ht="80.099999999999994" customHeight="1" x14ac:dyDescent="1.35">
      <c r="A18" s="3235" t="s">
        <v>279</v>
      </c>
      <c r="B18" s="3233">
        <v>29</v>
      </c>
      <c r="C18" s="3234"/>
      <c r="D18" s="253" t="s">
        <v>423</v>
      </c>
      <c r="E18" s="225" t="s">
        <v>280</v>
      </c>
      <c r="F18" s="3254" t="s">
        <v>279</v>
      </c>
      <c r="G18" s="3255">
        <v>30</v>
      </c>
      <c r="H18" s="3234"/>
      <c r="I18" s="253" t="s">
        <v>424</v>
      </c>
      <c r="J18" s="225" t="s">
        <v>280</v>
      </c>
      <c r="K18" s="3235" t="s">
        <v>279</v>
      </c>
      <c r="L18" s="3233">
        <v>31</v>
      </c>
      <c r="M18" s="3234"/>
      <c r="N18" s="253" t="s">
        <v>425</v>
      </c>
      <c r="O18" s="225" t="s">
        <v>280</v>
      </c>
      <c r="P18" s="3235" t="s">
        <v>279</v>
      </c>
      <c r="Q18" s="3233">
        <v>32</v>
      </c>
      <c r="R18" s="3234"/>
      <c r="S18" s="253" t="s">
        <v>426</v>
      </c>
      <c r="T18" s="225" t="s">
        <v>280</v>
      </c>
      <c r="U18" s="3235" t="s">
        <v>279</v>
      </c>
      <c r="V18" s="3233">
        <v>33</v>
      </c>
      <c r="W18" s="3234"/>
      <c r="X18" s="253" t="s">
        <v>427</v>
      </c>
      <c r="Y18" s="225" t="s">
        <v>280</v>
      </c>
      <c r="Z18" s="3235" t="s">
        <v>279</v>
      </c>
      <c r="AA18" s="3233">
        <v>34</v>
      </c>
      <c r="AB18" s="3234"/>
      <c r="AC18" s="253" t="s">
        <v>428</v>
      </c>
      <c r="AD18" s="225" t="s">
        <v>280</v>
      </c>
      <c r="AE18" s="3235" t="s">
        <v>279</v>
      </c>
      <c r="AF18" s="3233">
        <v>35</v>
      </c>
      <c r="AG18" s="3234"/>
      <c r="AH18" s="253" t="s">
        <v>429</v>
      </c>
      <c r="AI18" s="225" t="s">
        <v>280</v>
      </c>
      <c r="AJ18" s="3235" t="s">
        <v>279</v>
      </c>
      <c r="AK18" s="3233">
        <v>36</v>
      </c>
      <c r="AL18" s="3234"/>
      <c r="AM18" s="253" t="s">
        <v>430</v>
      </c>
      <c r="AN18" s="225" t="s">
        <v>280</v>
      </c>
      <c r="AO18" s="3235" t="s">
        <v>279</v>
      </c>
      <c r="AP18" s="3233">
        <v>37</v>
      </c>
      <c r="AQ18" s="3234"/>
      <c r="AR18" s="253" t="s">
        <v>431</v>
      </c>
      <c r="AS18" s="225" t="s">
        <v>280</v>
      </c>
      <c r="AT18" s="3235" t="s">
        <v>279</v>
      </c>
      <c r="AU18" s="3233">
        <v>38</v>
      </c>
      <c r="AV18" s="3234"/>
      <c r="AW18" s="253" t="s">
        <v>432</v>
      </c>
      <c r="AX18" s="225" t="s">
        <v>280</v>
      </c>
      <c r="AY18" s="3235" t="s">
        <v>279</v>
      </c>
      <c r="AZ18" s="3233">
        <v>39</v>
      </c>
      <c r="BA18" s="3234"/>
      <c r="BB18" s="253" t="s">
        <v>433</v>
      </c>
      <c r="BC18" s="225" t="s">
        <v>280</v>
      </c>
      <c r="BD18" s="3235" t="s">
        <v>279</v>
      </c>
      <c r="BE18" s="3233">
        <v>40</v>
      </c>
      <c r="BF18" s="3234"/>
      <c r="BG18" s="253" t="s">
        <v>434</v>
      </c>
      <c r="BH18" s="225" t="s">
        <v>280</v>
      </c>
      <c r="BI18" s="3235" t="s">
        <v>279</v>
      </c>
      <c r="BJ18" s="3233">
        <v>41</v>
      </c>
      <c r="BK18" s="3234"/>
      <c r="BL18" s="253"/>
      <c r="BM18" s="225" t="s">
        <v>280</v>
      </c>
      <c r="BN18" s="3235" t="s">
        <v>279</v>
      </c>
      <c r="BO18" s="3233">
        <v>42</v>
      </c>
      <c r="BP18" s="3234"/>
      <c r="BQ18" s="253"/>
      <c r="BR18" s="225" t="s">
        <v>280</v>
      </c>
    </row>
    <row r="19" spans="1:83" ht="27" thickBot="1" x14ac:dyDescent="0.3">
      <c r="A19" s="3236"/>
      <c r="B19" s="216">
        <v>0.68500000000000005</v>
      </c>
      <c r="C19" s="215" t="s">
        <v>113</v>
      </c>
      <c r="D19" s="214">
        <v>4</v>
      </c>
      <c r="E19" s="213" t="s">
        <v>114</v>
      </c>
      <c r="F19" s="3236"/>
      <c r="G19" s="216">
        <v>2.9209999999999998</v>
      </c>
      <c r="H19" s="215" t="s">
        <v>113</v>
      </c>
      <c r="I19" s="214">
        <v>7</v>
      </c>
      <c r="J19" s="213" t="s">
        <v>114</v>
      </c>
      <c r="K19" s="3236"/>
      <c r="L19" s="216">
        <v>8.1280000000000001</v>
      </c>
      <c r="M19" s="215" t="s">
        <v>113</v>
      </c>
      <c r="N19" s="214">
        <v>7</v>
      </c>
      <c r="O19" s="213" t="s">
        <v>114</v>
      </c>
      <c r="P19" s="3236"/>
      <c r="Q19" s="216">
        <v>13.74</v>
      </c>
      <c r="R19" s="215" t="s">
        <v>113</v>
      </c>
      <c r="S19" s="214">
        <v>6</v>
      </c>
      <c r="T19" s="213" t="s">
        <v>114</v>
      </c>
      <c r="U19" s="3236"/>
      <c r="V19" s="216">
        <v>5.08</v>
      </c>
      <c r="W19" s="215" t="s">
        <v>113</v>
      </c>
      <c r="X19" s="214">
        <v>6</v>
      </c>
      <c r="Y19" s="213" t="s">
        <v>114</v>
      </c>
      <c r="Z19" s="3236"/>
      <c r="AA19" s="216">
        <v>1.2949999999999999</v>
      </c>
      <c r="AB19" s="215" t="s">
        <v>113</v>
      </c>
      <c r="AC19" s="214">
        <v>7</v>
      </c>
      <c r="AD19" s="213" t="s">
        <v>114</v>
      </c>
      <c r="AE19" s="3236"/>
      <c r="AF19" s="216">
        <v>2.5649999999999999</v>
      </c>
      <c r="AG19" s="215" t="s">
        <v>113</v>
      </c>
      <c r="AH19" s="214">
        <v>5</v>
      </c>
      <c r="AI19" s="213" t="s">
        <v>114</v>
      </c>
      <c r="AJ19" s="3236"/>
      <c r="AK19" s="216">
        <v>2.1840000000000002</v>
      </c>
      <c r="AL19" s="215" t="s">
        <v>113</v>
      </c>
      <c r="AM19" s="214">
        <v>6</v>
      </c>
      <c r="AN19" s="213" t="s">
        <v>114</v>
      </c>
      <c r="AO19" s="3236"/>
      <c r="AP19" s="216">
        <v>1.32</v>
      </c>
      <c r="AQ19" s="215" t="s">
        <v>113</v>
      </c>
      <c r="AR19" s="214">
        <v>6</v>
      </c>
      <c r="AS19" s="213" t="s">
        <v>114</v>
      </c>
      <c r="AT19" s="3236"/>
      <c r="AU19" s="216">
        <v>1.2949999999999999</v>
      </c>
      <c r="AV19" s="215" t="s">
        <v>113</v>
      </c>
      <c r="AW19" s="214">
        <v>7</v>
      </c>
      <c r="AX19" s="213" t="s">
        <v>114</v>
      </c>
      <c r="AY19" s="3236"/>
      <c r="AZ19" s="216">
        <v>8.2289999999999992</v>
      </c>
      <c r="BA19" s="215" t="s">
        <v>113</v>
      </c>
      <c r="BB19" s="214">
        <v>6</v>
      </c>
      <c r="BC19" s="213" t="s">
        <v>114</v>
      </c>
      <c r="BD19" s="3236"/>
      <c r="BE19" s="216">
        <v>1.93</v>
      </c>
      <c r="BF19" s="215" t="s">
        <v>113</v>
      </c>
      <c r="BG19" s="214">
        <v>6</v>
      </c>
      <c r="BH19" s="213" t="s">
        <v>114</v>
      </c>
      <c r="BI19" s="3236"/>
      <c r="BJ19" s="216">
        <v>1.8280000000000001</v>
      </c>
      <c r="BK19" s="215" t="s">
        <v>113</v>
      </c>
      <c r="BL19" s="214">
        <v>6</v>
      </c>
      <c r="BM19" s="213" t="s">
        <v>114</v>
      </c>
      <c r="BN19" s="3236"/>
      <c r="BO19" s="216">
        <v>4.47</v>
      </c>
      <c r="BP19" s="215" t="s">
        <v>113</v>
      </c>
      <c r="BQ19" s="214">
        <v>6</v>
      </c>
      <c r="BR19" s="213" t="s">
        <v>114</v>
      </c>
      <c r="BW19" s="27"/>
      <c r="BX19" s="27"/>
      <c r="BY19" s="27"/>
      <c r="BZ19" s="27"/>
      <c r="CA19" s="27"/>
      <c r="CB19" s="27"/>
      <c r="CC19" s="27"/>
      <c r="CD19" s="27"/>
      <c r="CE19" s="27"/>
    </row>
    <row r="20" spans="1:83" ht="27.95" customHeight="1" x14ac:dyDescent="0.25">
      <c r="A20" s="3237" t="s">
        <v>110</v>
      </c>
      <c r="B20" s="3238"/>
      <c r="C20" s="3241">
        <f t="shared" ref="C20" si="41">B25/((60*3.1415/64)*(130/3.281))</f>
        <v>4.3532965225659796E-3</v>
      </c>
      <c r="D20" s="3241"/>
      <c r="E20" s="3242"/>
      <c r="F20" s="3237" t="s">
        <v>110</v>
      </c>
      <c r="G20" s="3238"/>
      <c r="H20" s="3241">
        <f t="shared" ref="H20" si="42">G25/((60*3.1415/64)*(130/3.281))</f>
        <v>1.3711170149814111E-2</v>
      </c>
      <c r="I20" s="3241"/>
      <c r="J20" s="3242"/>
      <c r="K20" s="3237" t="s">
        <v>110</v>
      </c>
      <c r="L20" s="3238"/>
      <c r="M20" s="3241">
        <f t="shared" ref="M20" si="43">L25/((60*3.1415/64)*(130/3.281))</f>
        <v>7.7053348449417844E-2</v>
      </c>
      <c r="N20" s="3241"/>
      <c r="O20" s="3242"/>
      <c r="P20" s="3237" t="s">
        <v>110</v>
      </c>
      <c r="Q20" s="3238"/>
      <c r="R20" s="3241">
        <f t="shared" ref="R20" si="44">Q25/((60*3.1415/64)*(130/3.281))</f>
        <v>1.6753336026804115E-2</v>
      </c>
      <c r="S20" s="3241"/>
      <c r="T20" s="3242"/>
      <c r="U20" s="3237" t="s">
        <v>110</v>
      </c>
      <c r="V20" s="3238"/>
      <c r="W20" s="3241">
        <f t="shared" ref="W20" si="45">V25/((60*3.1415/64)*(130/3.281))</f>
        <v>1.3711170149814111E-2</v>
      </c>
      <c r="X20" s="3241"/>
      <c r="Y20" s="3242"/>
      <c r="Z20" s="3237" t="s">
        <v>110</v>
      </c>
      <c r="AA20" s="3238"/>
      <c r="AB20" s="3241">
        <f t="shared" ref="AB20" si="46">AA25/((60*3.1415/64)*(130/3.281))</f>
        <v>0.19676386113117608</v>
      </c>
      <c r="AC20" s="3241"/>
      <c r="AD20" s="3242"/>
      <c r="AE20" s="3237" t="s">
        <v>110</v>
      </c>
      <c r="AF20" s="3238"/>
      <c r="AG20" s="3241">
        <f t="shared" ref="AG20" si="47">AF25/((60*3.1415/64)*(130/3.281))</f>
        <v>2.0241114933663078E-2</v>
      </c>
      <c r="AH20" s="3241"/>
      <c r="AI20" s="3242"/>
      <c r="AJ20" s="3237" t="s">
        <v>110</v>
      </c>
      <c r="AK20" s="3238"/>
      <c r="AL20" s="3241">
        <f t="shared" ref="AL20" si="48">AK25/((60*3.1415/64)*(130/3.281))</f>
        <v>3.7431494508992524E-2</v>
      </c>
      <c r="AM20" s="3241"/>
      <c r="AN20" s="3242"/>
      <c r="AO20" s="3237" t="s">
        <v>110</v>
      </c>
      <c r="AP20" s="3238"/>
      <c r="AQ20" s="3241">
        <f t="shared" ref="AQ20" si="49">AP25/((60*3.1415/64)*(130/3.281))</f>
        <v>1.7413186090263919E-2</v>
      </c>
      <c r="AR20" s="3241"/>
      <c r="AS20" s="3242"/>
      <c r="AT20" s="3237" t="s">
        <v>110</v>
      </c>
      <c r="AU20" s="3238"/>
      <c r="AV20" s="3241">
        <f t="shared" ref="AV20" si="50">AU25/((60*3.1415/64)*(130/3.281))</f>
        <v>5.2188141382729951E-3</v>
      </c>
      <c r="AW20" s="3241"/>
      <c r="AX20" s="3242"/>
      <c r="AY20" s="3237" t="s">
        <v>110</v>
      </c>
      <c r="AZ20" s="3238"/>
      <c r="BA20" s="3241">
        <f t="shared" ref="BA20" si="51">AZ25/((60*3.1415/64)*(130/3.281))</f>
        <v>1.0446197757889625E-2</v>
      </c>
      <c r="BB20" s="3241"/>
      <c r="BC20" s="3242"/>
      <c r="BD20" s="3237" t="s">
        <v>110</v>
      </c>
      <c r="BE20" s="3238"/>
      <c r="BF20" s="3241">
        <f t="shared" ref="BF20" si="52">BE25/((60*3.1415/64)*(130/3.281))</f>
        <v>8.6628886902794272E-2</v>
      </c>
      <c r="BG20" s="3241"/>
      <c r="BH20" s="3242"/>
      <c r="BI20" s="3237" t="s">
        <v>110</v>
      </c>
      <c r="BJ20" s="3238"/>
      <c r="BK20" s="3241">
        <f t="shared" ref="BK20" si="53">BJ25/((60*3.1415/64)*(130/3.281))</f>
        <v>2.6051223284646809E-3</v>
      </c>
      <c r="BL20" s="3241"/>
      <c r="BM20" s="3242"/>
      <c r="BN20" s="3237" t="s">
        <v>110</v>
      </c>
      <c r="BO20" s="3238"/>
      <c r="BP20" s="3241">
        <f t="shared" ref="BP20" si="54">BO25/((60*3.1415/64)*(130/3.281))</f>
        <v>0.10986075082538556</v>
      </c>
      <c r="BQ20" s="3241"/>
      <c r="BR20" s="3242"/>
    </row>
    <row r="21" spans="1:83" ht="12" customHeight="1" x14ac:dyDescent="0.25">
      <c r="A21" s="3239"/>
      <c r="B21" s="3240"/>
      <c r="C21" s="3243"/>
      <c r="D21" s="3243"/>
      <c r="E21" s="3244"/>
      <c r="F21" s="3239"/>
      <c r="G21" s="3240"/>
      <c r="H21" s="3243"/>
      <c r="I21" s="3243"/>
      <c r="J21" s="3244"/>
      <c r="K21" s="3239"/>
      <c r="L21" s="3240"/>
      <c r="M21" s="3243"/>
      <c r="N21" s="3243"/>
      <c r="O21" s="3244"/>
      <c r="P21" s="3239"/>
      <c r="Q21" s="3240"/>
      <c r="R21" s="3243"/>
      <c r="S21" s="3243"/>
      <c r="T21" s="3244"/>
      <c r="U21" s="3239"/>
      <c r="V21" s="3240"/>
      <c r="W21" s="3243"/>
      <c r="X21" s="3243"/>
      <c r="Y21" s="3244"/>
      <c r="Z21" s="3239"/>
      <c r="AA21" s="3240"/>
      <c r="AB21" s="3243"/>
      <c r="AC21" s="3243"/>
      <c r="AD21" s="3244"/>
      <c r="AE21" s="3239"/>
      <c r="AF21" s="3240"/>
      <c r="AG21" s="3243"/>
      <c r="AH21" s="3243"/>
      <c r="AI21" s="3244"/>
      <c r="AJ21" s="3239"/>
      <c r="AK21" s="3240"/>
      <c r="AL21" s="3243"/>
      <c r="AM21" s="3243"/>
      <c r="AN21" s="3244"/>
      <c r="AO21" s="3239"/>
      <c r="AP21" s="3240"/>
      <c r="AQ21" s="3243"/>
      <c r="AR21" s="3243"/>
      <c r="AS21" s="3244"/>
      <c r="AT21" s="3239"/>
      <c r="AU21" s="3240"/>
      <c r="AV21" s="3243"/>
      <c r="AW21" s="3243"/>
      <c r="AX21" s="3244"/>
      <c r="AY21" s="3239"/>
      <c r="AZ21" s="3240"/>
      <c r="BA21" s="3243"/>
      <c r="BB21" s="3243"/>
      <c r="BC21" s="3244"/>
      <c r="BD21" s="3239"/>
      <c r="BE21" s="3240"/>
      <c r="BF21" s="3243"/>
      <c r="BG21" s="3243"/>
      <c r="BH21" s="3244"/>
      <c r="BI21" s="3239"/>
      <c r="BJ21" s="3240"/>
      <c r="BK21" s="3243"/>
      <c r="BL21" s="3243"/>
      <c r="BM21" s="3244"/>
      <c r="BN21" s="3239"/>
      <c r="BO21" s="3240"/>
      <c r="BP21" s="3243"/>
      <c r="BQ21" s="3243"/>
      <c r="BR21" s="3244"/>
    </row>
    <row r="22" spans="1:83" ht="21.95" customHeight="1" x14ac:dyDescent="0.25">
      <c r="A22" s="3250" t="s">
        <v>111</v>
      </c>
      <c r="B22" s="3193"/>
      <c r="C22" s="3192" t="s">
        <v>25</v>
      </c>
      <c r="D22" s="3196"/>
      <c r="E22" s="3252"/>
      <c r="F22" s="3250" t="s">
        <v>111</v>
      </c>
      <c r="G22" s="3193"/>
      <c r="H22" s="3192" t="s">
        <v>25</v>
      </c>
      <c r="I22" s="3196"/>
      <c r="J22" s="3252"/>
      <c r="K22" s="3250" t="s">
        <v>111</v>
      </c>
      <c r="L22" s="3193"/>
      <c r="M22" s="3192" t="s">
        <v>25</v>
      </c>
      <c r="N22" s="3196"/>
      <c r="O22" s="3252"/>
      <c r="P22" s="3250" t="s">
        <v>111</v>
      </c>
      <c r="Q22" s="3193"/>
      <c r="R22" s="3192" t="s">
        <v>25</v>
      </c>
      <c r="S22" s="3196"/>
      <c r="T22" s="3252"/>
      <c r="U22" s="3250" t="s">
        <v>111</v>
      </c>
      <c r="V22" s="3193"/>
      <c r="W22" s="3192" t="s">
        <v>25</v>
      </c>
      <c r="X22" s="3196"/>
      <c r="Y22" s="3252"/>
      <c r="Z22" s="3250" t="s">
        <v>111</v>
      </c>
      <c r="AA22" s="3193"/>
      <c r="AB22" s="3192" t="s">
        <v>25</v>
      </c>
      <c r="AC22" s="3196"/>
      <c r="AD22" s="3252"/>
      <c r="AE22" s="3250" t="s">
        <v>111</v>
      </c>
      <c r="AF22" s="3193"/>
      <c r="AG22" s="3192" t="s">
        <v>25</v>
      </c>
      <c r="AH22" s="3196"/>
      <c r="AI22" s="3252"/>
      <c r="AJ22" s="3250" t="s">
        <v>111</v>
      </c>
      <c r="AK22" s="3193"/>
      <c r="AL22" s="3192" t="s">
        <v>25</v>
      </c>
      <c r="AM22" s="3196"/>
      <c r="AN22" s="3252"/>
      <c r="AO22" s="3250" t="s">
        <v>111</v>
      </c>
      <c r="AP22" s="3193"/>
      <c r="AQ22" s="3192" t="s">
        <v>25</v>
      </c>
      <c r="AR22" s="3196"/>
      <c r="AS22" s="3252"/>
      <c r="AT22" s="3250" t="s">
        <v>111</v>
      </c>
      <c r="AU22" s="3193"/>
      <c r="AV22" s="3192" t="s">
        <v>25</v>
      </c>
      <c r="AW22" s="3196"/>
      <c r="AX22" s="3252"/>
      <c r="AY22" s="3250" t="s">
        <v>111</v>
      </c>
      <c r="AZ22" s="3193"/>
      <c r="BA22" s="3192" t="s">
        <v>25</v>
      </c>
      <c r="BB22" s="3196"/>
      <c r="BC22" s="3252"/>
      <c r="BD22" s="3250" t="s">
        <v>111</v>
      </c>
      <c r="BE22" s="3193"/>
      <c r="BF22" s="3192" t="s">
        <v>25</v>
      </c>
      <c r="BG22" s="3196"/>
      <c r="BH22" s="3252"/>
      <c r="BI22" s="3250" t="s">
        <v>111</v>
      </c>
      <c r="BJ22" s="3193"/>
      <c r="BK22" s="3192" t="s">
        <v>25</v>
      </c>
      <c r="BL22" s="3196"/>
      <c r="BM22" s="3252"/>
      <c r="BN22" s="3250" t="s">
        <v>111</v>
      </c>
      <c r="BO22" s="3193"/>
      <c r="BP22" s="3192" t="s">
        <v>25</v>
      </c>
      <c r="BQ22" s="3196"/>
      <c r="BR22" s="3252"/>
    </row>
    <row r="23" spans="1:83" ht="6" customHeight="1" x14ac:dyDescent="0.25">
      <c r="A23" s="3251"/>
      <c r="B23" s="3195"/>
      <c r="C23" s="3194"/>
      <c r="D23" s="3197"/>
      <c r="E23" s="3253"/>
      <c r="F23" s="3251"/>
      <c r="G23" s="3195"/>
      <c r="H23" s="3194"/>
      <c r="I23" s="3197"/>
      <c r="J23" s="3253"/>
      <c r="K23" s="3251"/>
      <c r="L23" s="3195"/>
      <c r="M23" s="3194"/>
      <c r="N23" s="3197"/>
      <c r="O23" s="3253"/>
      <c r="P23" s="3251"/>
      <c r="Q23" s="3195"/>
      <c r="R23" s="3194"/>
      <c r="S23" s="3197"/>
      <c r="T23" s="3253"/>
      <c r="U23" s="3251"/>
      <c r="V23" s="3195"/>
      <c r="W23" s="3194"/>
      <c r="X23" s="3197"/>
      <c r="Y23" s="3253"/>
      <c r="Z23" s="3251"/>
      <c r="AA23" s="3195"/>
      <c r="AB23" s="3194"/>
      <c r="AC23" s="3197"/>
      <c r="AD23" s="3253"/>
      <c r="AE23" s="3251"/>
      <c r="AF23" s="3195"/>
      <c r="AG23" s="3194"/>
      <c r="AH23" s="3197"/>
      <c r="AI23" s="3253"/>
      <c r="AJ23" s="3251"/>
      <c r="AK23" s="3195"/>
      <c r="AL23" s="3194"/>
      <c r="AM23" s="3197"/>
      <c r="AN23" s="3253"/>
      <c r="AO23" s="3251"/>
      <c r="AP23" s="3195"/>
      <c r="AQ23" s="3194"/>
      <c r="AR23" s="3197"/>
      <c r="AS23" s="3253"/>
      <c r="AT23" s="3251"/>
      <c r="AU23" s="3195"/>
      <c r="AV23" s="3194"/>
      <c r="AW23" s="3197"/>
      <c r="AX23" s="3253"/>
      <c r="AY23" s="3251"/>
      <c r="AZ23" s="3195"/>
      <c r="BA23" s="3194"/>
      <c r="BB23" s="3197"/>
      <c r="BC23" s="3253"/>
      <c r="BD23" s="3251"/>
      <c r="BE23" s="3195"/>
      <c r="BF23" s="3194"/>
      <c r="BG23" s="3197"/>
      <c r="BH23" s="3253"/>
      <c r="BI23" s="3251"/>
      <c r="BJ23" s="3195"/>
      <c r="BK23" s="3194"/>
      <c r="BL23" s="3197"/>
      <c r="BM23" s="3253"/>
      <c r="BN23" s="3251"/>
      <c r="BO23" s="3195"/>
      <c r="BP23" s="3194"/>
      <c r="BQ23" s="3197"/>
      <c r="BR23" s="3253"/>
    </row>
    <row r="24" spans="1:83" s="22" customFormat="1" ht="80.099999999999994" customHeight="1" x14ac:dyDescent="1.35">
      <c r="A24" s="3235" t="s">
        <v>279</v>
      </c>
      <c r="B24" s="3233">
        <v>43</v>
      </c>
      <c r="C24" s="3245"/>
      <c r="D24" s="253"/>
      <c r="E24" s="225"/>
      <c r="F24" s="3235" t="s">
        <v>279</v>
      </c>
      <c r="G24" s="3233">
        <v>44</v>
      </c>
      <c r="H24" s="3245"/>
      <c r="I24" s="253"/>
      <c r="J24" s="225" t="s">
        <v>280</v>
      </c>
      <c r="K24" s="3235" t="s">
        <v>279</v>
      </c>
      <c r="L24" s="3233">
        <v>45</v>
      </c>
      <c r="M24" s="3245"/>
      <c r="N24" s="253"/>
      <c r="O24" s="225" t="s">
        <v>280</v>
      </c>
      <c r="P24" s="3235" t="s">
        <v>279</v>
      </c>
      <c r="Q24" s="3233">
        <v>46</v>
      </c>
      <c r="R24" s="3245"/>
      <c r="S24" s="253"/>
      <c r="T24" s="225" t="s">
        <v>280</v>
      </c>
      <c r="U24" s="3235" t="s">
        <v>279</v>
      </c>
      <c r="V24" s="3233">
        <v>47</v>
      </c>
      <c r="W24" s="3234"/>
      <c r="X24" s="253"/>
      <c r="Y24" s="225" t="s">
        <v>280</v>
      </c>
      <c r="Z24" s="3235" t="s">
        <v>279</v>
      </c>
      <c r="AA24" s="3233">
        <v>48</v>
      </c>
      <c r="AB24" s="3234"/>
      <c r="AC24" s="253"/>
      <c r="AD24" s="225" t="s">
        <v>280</v>
      </c>
      <c r="AE24" s="3235" t="s">
        <v>279</v>
      </c>
      <c r="AF24" s="3233">
        <v>49</v>
      </c>
      <c r="AG24" s="3234"/>
      <c r="AH24" s="253"/>
      <c r="AI24" s="225" t="s">
        <v>280</v>
      </c>
      <c r="AJ24" s="3235" t="s">
        <v>279</v>
      </c>
      <c r="AK24" s="3233">
        <v>50</v>
      </c>
      <c r="AL24" s="3234"/>
      <c r="AM24" s="253"/>
      <c r="AN24" s="225" t="s">
        <v>280</v>
      </c>
      <c r="AO24" s="3235" t="s">
        <v>279</v>
      </c>
      <c r="AP24" s="3233">
        <v>51</v>
      </c>
      <c r="AQ24" s="3234"/>
      <c r="AR24" s="253"/>
      <c r="AS24" s="225" t="s">
        <v>280</v>
      </c>
      <c r="AT24" s="3235" t="s">
        <v>279</v>
      </c>
      <c r="AU24" s="3233">
        <v>52</v>
      </c>
      <c r="AV24" s="3234"/>
      <c r="AW24" s="253"/>
      <c r="AX24" s="225" t="s">
        <v>280</v>
      </c>
      <c r="AY24" s="3235" t="s">
        <v>279</v>
      </c>
      <c r="AZ24" s="3233">
        <v>53</v>
      </c>
      <c r="BA24" s="3234"/>
      <c r="BB24" s="253"/>
      <c r="BC24" s="225" t="s">
        <v>280</v>
      </c>
      <c r="BD24" s="3235" t="s">
        <v>279</v>
      </c>
      <c r="BE24" s="3233">
        <v>54</v>
      </c>
      <c r="BF24" s="3234"/>
      <c r="BG24" s="253"/>
      <c r="BH24" s="225" t="s">
        <v>280</v>
      </c>
      <c r="BI24" s="3235" t="s">
        <v>279</v>
      </c>
      <c r="BJ24" s="3233">
        <v>55</v>
      </c>
      <c r="BK24" s="3234"/>
      <c r="BL24" s="253"/>
      <c r="BM24" s="225" t="s">
        <v>280</v>
      </c>
      <c r="BN24" s="3235" t="s">
        <v>279</v>
      </c>
      <c r="BO24" s="3233">
        <v>56</v>
      </c>
      <c r="BP24" s="3234"/>
      <c r="BQ24" s="253"/>
      <c r="BR24" s="225" t="s">
        <v>280</v>
      </c>
    </row>
    <row r="25" spans="1:83" ht="27" customHeight="1" thickBot="1" x14ac:dyDescent="0.3">
      <c r="A25" s="3236"/>
      <c r="B25" s="216">
        <v>0.50800000000000001</v>
      </c>
      <c r="C25" s="215" t="s">
        <v>113</v>
      </c>
      <c r="D25" s="214">
        <v>6</v>
      </c>
      <c r="E25" s="213" t="s">
        <v>114</v>
      </c>
      <c r="F25" s="3236"/>
      <c r="G25" s="216">
        <v>1.6</v>
      </c>
      <c r="H25" s="215" t="s">
        <v>113</v>
      </c>
      <c r="I25" s="214">
        <v>7</v>
      </c>
      <c r="J25" s="213" t="s">
        <v>114</v>
      </c>
      <c r="K25" s="3236"/>
      <c r="L25" s="216">
        <v>8.9916</v>
      </c>
      <c r="M25" s="215" t="s">
        <v>113</v>
      </c>
      <c r="N25" s="214">
        <v>6</v>
      </c>
      <c r="O25" s="213" t="s">
        <v>114</v>
      </c>
      <c r="P25" s="3236"/>
      <c r="Q25" s="216">
        <v>1.9550000000000001</v>
      </c>
      <c r="R25" s="215" t="s">
        <v>113</v>
      </c>
      <c r="S25" s="214">
        <v>6</v>
      </c>
      <c r="T25" s="213" t="s">
        <v>114</v>
      </c>
      <c r="U25" s="3236"/>
      <c r="V25" s="216">
        <v>1.6</v>
      </c>
      <c r="W25" s="215" t="s">
        <v>113</v>
      </c>
      <c r="X25" s="214">
        <v>6</v>
      </c>
      <c r="Y25" s="213" t="s">
        <v>114</v>
      </c>
      <c r="Z25" s="3236"/>
      <c r="AA25" s="216">
        <v>22.960999999999999</v>
      </c>
      <c r="AB25" s="215" t="s">
        <v>113</v>
      </c>
      <c r="AC25" s="214">
        <v>7</v>
      </c>
      <c r="AD25" s="213" t="s">
        <v>114</v>
      </c>
      <c r="AE25" s="3236"/>
      <c r="AF25" s="216">
        <v>2.3620000000000001</v>
      </c>
      <c r="AG25" s="215" t="s">
        <v>113</v>
      </c>
      <c r="AH25" s="214">
        <v>6</v>
      </c>
      <c r="AI25" s="213" t="s">
        <v>114</v>
      </c>
      <c r="AJ25" s="3236"/>
      <c r="AK25" s="216">
        <v>4.3680000000000003</v>
      </c>
      <c r="AL25" s="215" t="s">
        <v>113</v>
      </c>
      <c r="AM25" s="214">
        <v>6</v>
      </c>
      <c r="AN25" s="213" t="s">
        <v>114</v>
      </c>
      <c r="AO25" s="3236"/>
      <c r="AP25" s="216">
        <v>2.032</v>
      </c>
      <c r="AQ25" s="215" t="s">
        <v>113</v>
      </c>
      <c r="AR25" s="214">
        <v>7</v>
      </c>
      <c r="AS25" s="213" t="s">
        <v>114</v>
      </c>
      <c r="AT25" s="3236"/>
      <c r="AU25" s="216">
        <v>0.60899999999999999</v>
      </c>
      <c r="AV25" s="215" t="s">
        <v>113</v>
      </c>
      <c r="AW25" s="214">
        <v>6</v>
      </c>
      <c r="AX25" s="213" t="s">
        <v>114</v>
      </c>
      <c r="AY25" s="3236"/>
      <c r="AZ25" s="216">
        <v>1.2190000000000001</v>
      </c>
      <c r="BA25" s="215" t="s">
        <v>113</v>
      </c>
      <c r="BB25" s="214">
        <v>6</v>
      </c>
      <c r="BC25" s="213" t="s">
        <v>114</v>
      </c>
      <c r="BD25" s="3236"/>
      <c r="BE25" s="216">
        <v>10.109</v>
      </c>
      <c r="BF25" s="215" t="s">
        <v>113</v>
      </c>
      <c r="BG25" s="214">
        <v>7</v>
      </c>
      <c r="BH25" s="213" t="s">
        <v>114</v>
      </c>
      <c r="BI25" s="3236"/>
      <c r="BJ25" s="216">
        <v>0.30399999999999999</v>
      </c>
      <c r="BK25" s="215" t="s">
        <v>113</v>
      </c>
      <c r="BL25" s="214">
        <v>7</v>
      </c>
      <c r="BM25" s="213" t="s">
        <v>114</v>
      </c>
      <c r="BN25" s="3236"/>
      <c r="BO25" s="216">
        <v>12.82</v>
      </c>
      <c r="BP25" s="215" t="s">
        <v>113</v>
      </c>
      <c r="BQ25" s="214">
        <v>6</v>
      </c>
      <c r="BR25" s="213" t="s">
        <v>114</v>
      </c>
      <c r="BW25" s="27"/>
      <c r="BX25" s="27"/>
      <c r="BY25" s="27"/>
      <c r="BZ25" s="27"/>
      <c r="CA25" s="27"/>
      <c r="CB25" s="27"/>
      <c r="CC25" s="27"/>
      <c r="CD25" s="27"/>
      <c r="CE25" s="27"/>
    </row>
    <row r="26" spans="1:83" ht="27.95" customHeight="1" x14ac:dyDescent="0.25">
      <c r="A26" s="3237" t="s">
        <v>110</v>
      </c>
      <c r="B26" s="3238"/>
      <c r="C26" s="3241">
        <f t="shared" ref="C26" si="55">B31/((60*3.1415/64)*(130/3.281))</f>
        <v>4.7663455233291303E-2</v>
      </c>
      <c r="D26" s="3241"/>
      <c r="E26" s="3242"/>
      <c r="F26" s="3237" t="s">
        <v>110</v>
      </c>
      <c r="G26" s="3238"/>
      <c r="H26" s="3241">
        <f t="shared" ref="H26" si="56">G31/((60*3.1415/64)*(130/3.281))</f>
        <v>2.6051223284646809E-3</v>
      </c>
      <c r="I26" s="3241"/>
      <c r="J26" s="3242"/>
      <c r="K26" s="3237" t="s">
        <v>110</v>
      </c>
      <c r="L26" s="3238"/>
      <c r="M26" s="3241">
        <f t="shared" ref="M26" si="57">L31/((60*3.1415/64)*(130/3.281))</f>
        <v>6.3988317192913716E-2</v>
      </c>
      <c r="N26" s="3241"/>
      <c r="O26" s="3242"/>
      <c r="P26" s="3237" t="s">
        <v>110</v>
      </c>
      <c r="Q26" s="3238"/>
      <c r="R26" s="3241">
        <f t="shared" ref="R26" si="58">Q31/((60*3.1415/64)*(130/3.281))</f>
        <v>4.4184245807775968E-2</v>
      </c>
      <c r="S26" s="3241"/>
      <c r="T26" s="3242"/>
      <c r="U26" s="3237" t="s">
        <v>110</v>
      </c>
      <c r="V26" s="3238"/>
      <c r="W26" s="3241">
        <f t="shared" ref="W26" si="59">V31/((60*3.1415/64)*(130/3.281))</f>
        <v>8.5694813436338191E-7</v>
      </c>
      <c r="X26" s="3241"/>
      <c r="Y26" s="3242"/>
      <c r="Z26" s="3237" t="s">
        <v>110</v>
      </c>
      <c r="AA26" s="3238"/>
      <c r="AB26" s="3241">
        <f t="shared" ref="AB26" si="60">AA31/((60*3.1415/64)*(130/3.281))</f>
        <v>0.12754816031864574</v>
      </c>
      <c r="AC26" s="3241"/>
      <c r="AD26" s="3242"/>
      <c r="AE26" s="3237" t="s">
        <v>110</v>
      </c>
      <c r="AF26" s="3238"/>
      <c r="AG26" s="3241">
        <f t="shared" ref="AG26" si="61">AF31/((60*3.1415/64)*(130/3.281))</f>
        <v>1.1971565437056445E-2</v>
      </c>
      <c r="AH26" s="3241"/>
      <c r="AI26" s="3242"/>
      <c r="AJ26" s="3237" t="s">
        <v>110</v>
      </c>
      <c r="AK26" s="3238"/>
      <c r="AL26" s="3241">
        <f t="shared" ref="AL26" si="62">AK31/((60*3.1415/64)*(130/3.281))</f>
        <v>1.0009154209364299E-2</v>
      </c>
      <c r="AM26" s="3241"/>
      <c r="AN26" s="3242"/>
      <c r="AO26" s="3237" t="s">
        <v>110</v>
      </c>
      <c r="AP26" s="3238"/>
      <c r="AQ26" s="3241">
        <f t="shared" ref="AQ26" si="63">AP31/((60*3.1415/64)*(130/3.281))</f>
        <v>6.7441818174398156E-3</v>
      </c>
      <c r="AR26" s="3241"/>
      <c r="AS26" s="3242"/>
      <c r="AT26" s="3237" t="s">
        <v>110</v>
      </c>
      <c r="AU26" s="3238"/>
      <c r="AV26" s="3241">
        <f t="shared" ref="AV26" si="64">AU31/((60*3.1415/64)*(130/3.281))</f>
        <v>3.7217257475401673E-2</v>
      </c>
      <c r="AW26" s="3241"/>
      <c r="AX26" s="3242"/>
      <c r="AY26" s="3237" t="s">
        <v>110</v>
      </c>
      <c r="AZ26" s="3238"/>
      <c r="BA26" s="3241">
        <f t="shared" ref="BA26" si="65">AZ31/((60*3.1415/64)*(130/3.281))</f>
        <v>0.14670095112166734</v>
      </c>
      <c r="BB26" s="3241"/>
      <c r="BC26" s="3242"/>
      <c r="BD26" s="3237" t="s">
        <v>110</v>
      </c>
      <c r="BE26" s="3238"/>
      <c r="BF26" s="3241">
        <f t="shared" ref="BF26" si="66">BE31/((60*3.1415/64)*(130/3.281))</f>
        <v>0.11905580430710465</v>
      </c>
      <c r="BG26" s="3241"/>
      <c r="BH26" s="3242"/>
      <c r="BI26" s="32"/>
      <c r="BJ26" s="33"/>
      <c r="BK26" s="32"/>
      <c r="BL26" s="33"/>
      <c r="BM26" s="32"/>
      <c r="BN26" s="33"/>
      <c r="BO26" s="32"/>
      <c r="BP26" s="33"/>
      <c r="BQ26" s="32"/>
      <c r="BR26" s="33"/>
    </row>
    <row r="27" spans="1:83" ht="16.5" customHeight="1" x14ac:dyDescent="0.25">
      <c r="A27" s="3239"/>
      <c r="B27" s="3240"/>
      <c r="C27" s="3243"/>
      <c r="D27" s="3243"/>
      <c r="E27" s="3244"/>
      <c r="F27" s="3239"/>
      <c r="G27" s="3240"/>
      <c r="H27" s="3243"/>
      <c r="I27" s="3243"/>
      <c r="J27" s="3244"/>
      <c r="K27" s="3239"/>
      <c r="L27" s="3240"/>
      <c r="M27" s="3243"/>
      <c r="N27" s="3243"/>
      <c r="O27" s="3244"/>
      <c r="P27" s="3239"/>
      <c r="Q27" s="3240"/>
      <c r="R27" s="3243"/>
      <c r="S27" s="3243"/>
      <c r="T27" s="3244"/>
      <c r="U27" s="3239"/>
      <c r="V27" s="3240"/>
      <c r="W27" s="3243"/>
      <c r="X27" s="3243"/>
      <c r="Y27" s="3244"/>
      <c r="Z27" s="3239"/>
      <c r="AA27" s="3240"/>
      <c r="AB27" s="3243"/>
      <c r="AC27" s="3243"/>
      <c r="AD27" s="3244"/>
      <c r="AE27" s="3239"/>
      <c r="AF27" s="3240"/>
      <c r="AG27" s="3243"/>
      <c r="AH27" s="3243"/>
      <c r="AI27" s="3244"/>
      <c r="AJ27" s="3239"/>
      <c r="AK27" s="3240"/>
      <c r="AL27" s="3243"/>
      <c r="AM27" s="3243"/>
      <c r="AN27" s="3244"/>
      <c r="AO27" s="3239"/>
      <c r="AP27" s="3240"/>
      <c r="AQ27" s="3243"/>
      <c r="AR27" s="3243"/>
      <c r="AS27" s="3244"/>
      <c r="AT27" s="3239"/>
      <c r="AU27" s="3240"/>
      <c r="AV27" s="3243"/>
      <c r="AW27" s="3243"/>
      <c r="AX27" s="3244"/>
      <c r="AY27" s="3239"/>
      <c r="AZ27" s="3240"/>
      <c r="BA27" s="3243"/>
      <c r="BB27" s="3243"/>
      <c r="BC27" s="3244"/>
      <c r="BD27" s="3239"/>
      <c r="BE27" s="3240"/>
      <c r="BF27" s="3243"/>
      <c r="BG27" s="3243"/>
      <c r="BH27" s="3244"/>
      <c r="BI27" s="32"/>
      <c r="BJ27" s="33"/>
      <c r="BK27" s="32"/>
      <c r="BL27" s="33"/>
      <c r="BM27" s="32"/>
      <c r="BN27" s="33"/>
      <c r="BO27" s="32"/>
      <c r="BP27" s="33"/>
      <c r="BQ27" s="32"/>
      <c r="BR27" s="33"/>
    </row>
    <row r="28" spans="1:83" ht="21.95" customHeight="1" x14ac:dyDescent="0.25">
      <c r="A28" s="3250" t="s">
        <v>111</v>
      </c>
      <c r="B28" s="3193"/>
      <c r="C28" s="3192" t="s">
        <v>25</v>
      </c>
      <c r="D28" s="3196"/>
      <c r="E28" s="3252"/>
      <c r="F28" s="3250" t="s">
        <v>111</v>
      </c>
      <c r="G28" s="3193"/>
      <c r="H28" s="3192" t="s">
        <v>25</v>
      </c>
      <c r="I28" s="3196"/>
      <c r="J28" s="3252"/>
      <c r="K28" s="3250" t="s">
        <v>111</v>
      </c>
      <c r="L28" s="3193"/>
      <c r="M28" s="3192" t="s">
        <v>25</v>
      </c>
      <c r="N28" s="3196"/>
      <c r="O28" s="3252"/>
      <c r="P28" s="3250" t="s">
        <v>111</v>
      </c>
      <c r="Q28" s="3193"/>
      <c r="R28" s="3192" t="s">
        <v>25</v>
      </c>
      <c r="S28" s="3196"/>
      <c r="T28" s="3252"/>
      <c r="U28" s="3250" t="s">
        <v>111</v>
      </c>
      <c r="V28" s="3193"/>
      <c r="W28" s="3192" t="s">
        <v>25</v>
      </c>
      <c r="X28" s="3196"/>
      <c r="Y28" s="3252"/>
      <c r="Z28" s="3250" t="s">
        <v>111</v>
      </c>
      <c r="AA28" s="3193"/>
      <c r="AB28" s="3192" t="s">
        <v>25</v>
      </c>
      <c r="AC28" s="3196"/>
      <c r="AD28" s="3252"/>
      <c r="AE28" s="3250" t="s">
        <v>111</v>
      </c>
      <c r="AF28" s="3193"/>
      <c r="AG28" s="3192" t="s">
        <v>25</v>
      </c>
      <c r="AH28" s="3196"/>
      <c r="AI28" s="3252"/>
      <c r="AJ28" s="3250" t="s">
        <v>111</v>
      </c>
      <c r="AK28" s="3193"/>
      <c r="AL28" s="3192" t="s">
        <v>25</v>
      </c>
      <c r="AM28" s="3196"/>
      <c r="AN28" s="3252"/>
      <c r="AO28" s="3250" t="s">
        <v>111</v>
      </c>
      <c r="AP28" s="3193"/>
      <c r="AQ28" s="3192" t="s">
        <v>25</v>
      </c>
      <c r="AR28" s="3196"/>
      <c r="AS28" s="3252"/>
      <c r="AT28" s="3250" t="s">
        <v>111</v>
      </c>
      <c r="AU28" s="3193"/>
      <c r="AV28" s="3192" t="s">
        <v>25</v>
      </c>
      <c r="AW28" s="3196"/>
      <c r="AX28" s="3252"/>
      <c r="AY28" s="3250" t="s">
        <v>111</v>
      </c>
      <c r="AZ28" s="3193"/>
      <c r="BA28" s="3192" t="s">
        <v>25</v>
      </c>
      <c r="BB28" s="3196"/>
      <c r="BC28" s="3252"/>
      <c r="BD28" s="3250" t="s">
        <v>111</v>
      </c>
      <c r="BE28" s="3193"/>
      <c r="BF28" s="3192" t="s">
        <v>25</v>
      </c>
      <c r="BG28" s="3196"/>
      <c r="BH28" s="3252"/>
      <c r="BI28" s="32"/>
      <c r="BJ28" s="33"/>
      <c r="BK28" s="32"/>
      <c r="BL28" s="33"/>
      <c r="BM28" s="32"/>
      <c r="BN28" s="33"/>
      <c r="BO28" s="32"/>
      <c r="BP28" s="33"/>
      <c r="BQ28" s="32"/>
      <c r="BR28" s="33"/>
    </row>
    <row r="29" spans="1:83" ht="6" customHeight="1" x14ac:dyDescent="0.25">
      <c r="A29" s="3251"/>
      <c r="B29" s="3195"/>
      <c r="C29" s="3194"/>
      <c r="D29" s="3197"/>
      <c r="E29" s="3253"/>
      <c r="F29" s="3251"/>
      <c r="G29" s="3195"/>
      <c r="H29" s="3194"/>
      <c r="I29" s="3197"/>
      <c r="J29" s="3253"/>
      <c r="K29" s="3251"/>
      <c r="L29" s="3195"/>
      <c r="M29" s="3194"/>
      <c r="N29" s="3197"/>
      <c r="O29" s="3253"/>
      <c r="P29" s="3251"/>
      <c r="Q29" s="3195"/>
      <c r="R29" s="3194"/>
      <c r="S29" s="3197"/>
      <c r="T29" s="3253"/>
      <c r="U29" s="3251"/>
      <c r="V29" s="3195"/>
      <c r="W29" s="3194"/>
      <c r="X29" s="3197"/>
      <c r="Y29" s="3253"/>
      <c r="Z29" s="3251"/>
      <c r="AA29" s="3195"/>
      <c r="AB29" s="3194"/>
      <c r="AC29" s="3197"/>
      <c r="AD29" s="3253"/>
      <c r="AE29" s="3251"/>
      <c r="AF29" s="3195"/>
      <c r="AG29" s="3194"/>
      <c r="AH29" s="3197"/>
      <c r="AI29" s="3253"/>
      <c r="AJ29" s="3251"/>
      <c r="AK29" s="3195"/>
      <c r="AL29" s="3194"/>
      <c r="AM29" s="3197"/>
      <c r="AN29" s="3253"/>
      <c r="AO29" s="3251"/>
      <c r="AP29" s="3195"/>
      <c r="AQ29" s="3194"/>
      <c r="AR29" s="3197"/>
      <c r="AS29" s="3253"/>
      <c r="AT29" s="3251"/>
      <c r="AU29" s="3195"/>
      <c r="AV29" s="3194"/>
      <c r="AW29" s="3197"/>
      <c r="AX29" s="3253"/>
      <c r="AY29" s="3251"/>
      <c r="AZ29" s="3195"/>
      <c r="BA29" s="3194"/>
      <c r="BB29" s="3197"/>
      <c r="BC29" s="3253"/>
      <c r="BD29" s="3251"/>
      <c r="BE29" s="3195"/>
      <c r="BF29" s="3194"/>
      <c r="BG29" s="3197"/>
      <c r="BH29" s="3253"/>
      <c r="BI29" s="32"/>
      <c r="BJ29" s="33"/>
      <c r="BK29" s="32"/>
      <c r="BL29" s="33"/>
      <c r="BM29" s="32"/>
      <c r="BN29" s="33"/>
      <c r="BO29" s="32"/>
      <c r="BP29" s="33"/>
      <c r="BQ29" s="32"/>
      <c r="BR29" s="33"/>
    </row>
    <row r="30" spans="1:83" s="22" customFormat="1" ht="82.5" customHeight="1" x14ac:dyDescent="1.35">
      <c r="A30" s="3235" t="s">
        <v>279</v>
      </c>
      <c r="B30" s="3233">
        <v>57</v>
      </c>
      <c r="C30" s="3245"/>
      <c r="D30" s="253"/>
      <c r="E30" s="225"/>
      <c r="F30" s="3235" t="s">
        <v>279</v>
      </c>
      <c r="G30" s="3233">
        <v>58</v>
      </c>
      <c r="H30" s="3245"/>
      <c r="I30" s="253"/>
      <c r="J30" s="225" t="s">
        <v>280</v>
      </c>
      <c r="K30" s="3235" t="s">
        <v>279</v>
      </c>
      <c r="L30" s="3233">
        <v>59</v>
      </c>
      <c r="M30" s="3245"/>
      <c r="N30" s="253"/>
      <c r="O30" s="225" t="s">
        <v>280</v>
      </c>
      <c r="P30" s="3235" t="s">
        <v>279</v>
      </c>
      <c r="Q30" s="3233">
        <v>60</v>
      </c>
      <c r="R30" s="3245"/>
      <c r="S30" s="253"/>
      <c r="T30" s="225" t="s">
        <v>280</v>
      </c>
      <c r="U30" s="3235" t="s">
        <v>279</v>
      </c>
      <c r="V30" s="3233">
        <v>61</v>
      </c>
      <c r="W30" s="3234"/>
      <c r="X30" s="253"/>
      <c r="Y30" s="225" t="s">
        <v>280</v>
      </c>
      <c r="Z30" s="3235" t="s">
        <v>279</v>
      </c>
      <c r="AA30" s="3233">
        <v>62</v>
      </c>
      <c r="AB30" s="3234"/>
      <c r="AC30" s="253"/>
      <c r="AD30" s="225" t="s">
        <v>280</v>
      </c>
      <c r="AE30" s="3235" t="s">
        <v>279</v>
      </c>
      <c r="AF30" s="3233">
        <v>63</v>
      </c>
      <c r="AG30" s="3234"/>
      <c r="AH30" s="253"/>
      <c r="AI30" s="225" t="s">
        <v>280</v>
      </c>
      <c r="AJ30" s="3235" t="s">
        <v>279</v>
      </c>
      <c r="AK30" s="3233">
        <v>64</v>
      </c>
      <c r="AL30" s="3234"/>
      <c r="AM30" s="253"/>
      <c r="AN30" s="225" t="s">
        <v>280</v>
      </c>
      <c r="AO30" s="3235" t="s">
        <v>279</v>
      </c>
      <c r="AP30" s="3233">
        <v>65</v>
      </c>
      <c r="AQ30" s="3234"/>
      <c r="AR30" s="253"/>
      <c r="AS30" s="225" t="s">
        <v>280</v>
      </c>
      <c r="AT30" s="3235" t="s">
        <v>279</v>
      </c>
      <c r="AU30" s="3233">
        <v>66</v>
      </c>
      <c r="AV30" s="3234"/>
      <c r="AW30" s="253"/>
      <c r="AX30" s="225" t="s">
        <v>280</v>
      </c>
      <c r="AY30" s="3235" t="s">
        <v>279</v>
      </c>
      <c r="AZ30" s="3233">
        <v>67</v>
      </c>
      <c r="BA30" s="3234"/>
      <c r="BB30" s="253"/>
      <c r="BC30" s="225" t="s">
        <v>280</v>
      </c>
      <c r="BD30" s="3235" t="s">
        <v>279</v>
      </c>
      <c r="BE30" s="3233">
        <v>68</v>
      </c>
      <c r="BF30" s="3234"/>
      <c r="BG30" s="253"/>
      <c r="BH30" s="225" t="s">
        <v>280</v>
      </c>
      <c r="BI30" s="32"/>
      <c r="BJ30" s="33"/>
      <c r="BK30" s="32"/>
      <c r="BL30" s="33"/>
      <c r="BM30" s="32"/>
      <c r="BN30" s="33"/>
      <c r="BO30" s="32"/>
      <c r="BP30" s="33"/>
      <c r="BQ30" s="32"/>
      <c r="BR30" s="33"/>
    </row>
    <row r="31" spans="1:83" ht="24" customHeight="1" thickBot="1" x14ac:dyDescent="0.3">
      <c r="A31" s="3236"/>
      <c r="B31" s="216">
        <v>5.5620000000000003</v>
      </c>
      <c r="C31" s="215" t="s">
        <v>113</v>
      </c>
      <c r="D31" s="214">
        <v>6</v>
      </c>
      <c r="E31" s="213" t="s">
        <v>114</v>
      </c>
      <c r="F31" s="3236"/>
      <c r="G31" s="216">
        <v>0.30399999999999999</v>
      </c>
      <c r="H31" s="215" t="s">
        <v>113</v>
      </c>
      <c r="I31" s="214">
        <v>6</v>
      </c>
      <c r="J31" s="213" t="s">
        <v>114</v>
      </c>
      <c r="K31" s="3236"/>
      <c r="L31" s="216">
        <v>7.4669999999999996</v>
      </c>
      <c r="M31" s="215" t="s">
        <v>113</v>
      </c>
      <c r="N31" s="214">
        <v>6</v>
      </c>
      <c r="O31" s="213" t="s">
        <v>114</v>
      </c>
      <c r="P31" s="3236"/>
      <c r="Q31" s="216">
        <v>5.1559999999999997</v>
      </c>
      <c r="R31" s="215" t="s">
        <v>113</v>
      </c>
      <c r="S31" s="214">
        <v>6</v>
      </c>
      <c r="T31" s="213" t="s">
        <v>114</v>
      </c>
      <c r="U31" s="3236"/>
      <c r="V31" s="216">
        <v>1E-4</v>
      </c>
      <c r="W31" s="215" t="s">
        <v>113</v>
      </c>
      <c r="X31" s="214">
        <v>7</v>
      </c>
      <c r="Y31" s="213" t="s">
        <v>114</v>
      </c>
      <c r="Z31" s="3236"/>
      <c r="AA31" s="216">
        <v>14.884</v>
      </c>
      <c r="AB31" s="215" t="s">
        <v>113</v>
      </c>
      <c r="AC31" s="214">
        <v>6</v>
      </c>
      <c r="AD31" s="213" t="s">
        <v>114</v>
      </c>
      <c r="AE31" s="3236"/>
      <c r="AF31" s="216">
        <v>1.397</v>
      </c>
      <c r="AG31" s="215" t="s">
        <v>113</v>
      </c>
      <c r="AH31" s="214">
        <v>6</v>
      </c>
      <c r="AI31" s="213" t="s">
        <v>114</v>
      </c>
      <c r="AJ31" s="3236"/>
      <c r="AK31" s="216">
        <v>1.1679999999999999</v>
      </c>
      <c r="AL31" s="215" t="s">
        <v>113</v>
      </c>
      <c r="AM31" s="214">
        <v>6</v>
      </c>
      <c r="AN31" s="213" t="s">
        <v>114</v>
      </c>
      <c r="AO31" s="3236"/>
      <c r="AP31" s="216">
        <v>0.78700000000000003</v>
      </c>
      <c r="AQ31" s="215" t="s">
        <v>113</v>
      </c>
      <c r="AR31" s="214">
        <v>7</v>
      </c>
      <c r="AS31" s="213" t="s">
        <v>114</v>
      </c>
      <c r="AT31" s="3236"/>
      <c r="AU31" s="216">
        <v>4.343</v>
      </c>
      <c r="AV31" s="215" t="s">
        <v>113</v>
      </c>
      <c r="AW31" s="214">
        <v>6</v>
      </c>
      <c r="AX31" s="213" t="s">
        <v>114</v>
      </c>
      <c r="AY31" s="3236"/>
      <c r="AZ31" s="216">
        <v>17.119</v>
      </c>
      <c r="BA31" s="215" t="s">
        <v>113</v>
      </c>
      <c r="BB31" s="214">
        <v>6</v>
      </c>
      <c r="BC31" s="213" t="s">
        <v>114</v>
      </c>
      <c r="BD31" s="3236"/>
      <c r="BE31" s="216">
        <v>13.893000000000001</v>
      </c>
      <c r="BF31" s="215" t="s">
        <v>113</v>
      </c>
      <c r="BG31" s="214">
        <v>7</v>
      </c>
      <c r="BH31" s="213" t="s">
        <v>114</v>
      </c>
      <c r="BI31" s="32"/>
      <c r="BJ31" s="33"/>
      <c r="BK31" s="32"/>
      <c r="BL31" s="33"/>
      <c r="BM31" s="32"/>
      <c r="BN31" s="33"/>
      <c r="BO31" s="32"/>
      <c r="BP31" s="33"/>
      <c r="BQ31" s="32"/>
      <c r="BR31" s="33"/>
      <c r="BW31" s="27"/>
      <c r="BX31" s="27"/>
      <c r="BY31" s="27"/>
      <c r="BZ31" s="27"/>
      <c r="CA31" s="27"/>
      <c r="CB31" s="27"/>
      <c r="CC31" s="27"/>
      <c r="CD31" s="27"/>
      <c r="CE31" s="27"/>
    </row>
    <row r="32" spans="1:83" ht="111.75" customHeight="1" x14ac:dyDescent="0.25">
      <c r="A32" s="30"/>
      <c r="B32" s="29"/>
      <c r="C32" s="28"/>
      <c r="D32" s="28"/>
      <c r="E32" s="28"/>
      <c r="F32" s="30"/>
      <c r="G32" s="29"/>
      <c r="I32" s="295"/>
      <c r="J32" s="295"/>
      <c r="K32" s="295"/>
      <c r="L32" s="29"/>
      <c r="M32" s="28"/>
      <c r="N32" s="28"/>
      <c r="O32" s="28"/>
      <c r="P32" s="30"/>
      <c r="Q32" s="29"/>
      <c r="R32" s="28"/>
      <c r="S32" s="28"/>
      <c r="T32" s="28"/>
      <c r="U32" s="36"/>
      <c r="V32" s="29"/>
      <c r="W32" s="29"/>
      <c r="X32" s="36"/>
      <c r="Y32" s="36"/>
      <c r="Z32" s="36"/>
      <c r="AA32" s="29"/>
      <c r="AB32" s="29"/>
      <c r="AC32" s="36"/>
      <c r="AD32" s="36"/>
      <c r="AE32" s="36"/>
      <c r="AF32" s="29"/>
      <c r="AG32" s="29"/>
      <c r="AH32" s="36"/>
      <c r="AI32" s="36"/>
      <c r="AJ32" s="36"/>
      <c r="AK32" s="29"/>
      <c r="AL32" s="29"/>
      <c r="AM32" s="36"/>
      <c r="AN32" s="36"/>
      <c r="AO32" s="36"/>
      <c r="AP32" s="29"/>
      <c r="AQ32" s="29"/>
      <c r="AR32" s="36"/>
      <c r="AS32" s="36"/>
      <c r="AT32" s="36"/>
      <c r="AU32" s="29"/>
      <c r="AV32" s="29"/>
      <c r="AW32" s="36"/>
      <c r="AX32" s="36"/>
      <c r="AY32" s="36"/>
      <c r="AZ32" s="29"/>
      <c r="BA32" s="29"/>
      <c r="BB32" s="36"/>
      <c r="BC32" s="36"/>
      <c r="BD32" s="36"/>
      <c r="BE32" s="36"/>
      <c r="BF32" s="29"/>
      <c r="BG32" s="29"/>
      <c r="BH32" s="36"/>
      <c r="BI32" s="36"/>
      <c r="BJ32" s="36"/>
      <c r="BK32" s="29"/>
      <c r="BL32" s="29"/>
      <c r="BM32" s="36"/>
      <c r="BN32" s="36"/>
      <c r="BO32" s="36"/>
      <c r="BP32" s="29"/>
      <c r="BQ32" s="29"/>
      <c r="BR32" s="36"/>
    </row>
    <row r="33" spans="1:83" ht="93" customHeight="1" x14ac:dyDescent="0.25">
      <c r="A33" s="29"/>
      <c r="B33" s="29"/>
      <c r="C33" s="28"/>
      <c r="D33" s="28"/>
      <c r="E33" s="28"/>
      <c r="F33" s="29"/>
      <c r="G33" s="29"/>
      <c r="H33" s="702" cm="1">
        <f t="array" aca="1" ref="H33" ca="1">SUM(COUNTIF(INDIRECT({"B6","G6","L6","Q6","V6","AA6","AF6","AK6","AP6","AU6","AZ6","BE6","BJ6","BO6","B12","G12","L12","Q12","V12","AA12","AF12","AK12","AP12","AU12","AZ12","BE12","BJ12","BO12","B18","G18","L18","Q18","V18","AA18","AF18","AK18","AP18","AU18","AZ18","BE18","BJ18","BO18","B24","G24","L24","Q24","V24","AA24","AF24","AK24","AP24","AU24","AZ24","BE24","BJ24","BO24","B30","G30","L30","Q30","V30","AA30","AF30","AK30","AP30","AU30","AZ30","BE30","BJ30","BO30"}),"&gt;0"))</f>
        <v>68</v>
      </c>
      <c r="I33" s="702"/>
      <c r="J33" s="702"/>
      <c r="K33" s="702"/>
      <c r="L33" s="29"/>
      <c r="M33" s="28"/>
      <c r="N33" s="28"/>
      <c r="O33" s="28"/>
      <c r="P33" s="29"/>
      <c r="Q33" s="29"/>
      <c r="R33" s="28"/>
      <c r="S33" s="28"/>
      <c r="T33" s="28"/>
      <c r="U33" s="28"/>
      <c r="V33" s="29"/>
      <c r="W33" s="29"/>
      <c r="X33" s="28"/>
      <c r="Y33" s="28"/>
      <c r="Z33" s="28"/>
      <c r="AA33" s="29"/>
      <c r="AB33" s="29"/>
      <c r="AC33" s="28"/>
      <c r="AD33" s="28"/>
      <c r="AE33" s="28"/>
      <c r="AF33" s="29"/>
      <c r="AG33" s="29"/>
      <c r="AH33" s="28"/>
      <c r="AI33" s="28"/>
      <c r="AJ33" s="28"/>
      <c r="AK33" s="29"/>
      <c r="AL33" s="29"/>
      <c r="AM33" s="28"/>
      <c r="AN33" s="28"/>
      <c r="AO33" s="28"/>
      <c r="AP33" s="29"/>
      <c r="AQ33" s="29"/>
      <c r="AR33" s="28"/>
      <c r="AS33" s="28"/>
      <c r="AT33" s="28"/>
      <c r="AU33" s="29"/>
      <c r="AV33" s="29"/>
      <c r="AW33" s="28"/>
      <c r="AX33" s="28"/>
      <c r="AY33" s="28"/>
      <c r="AZ33" s="29"/>
      <c r="BA33" s="29"/>
      <c r="BB33" s="28"/>
      <c r="BC33" s="28"/>
      <c r="BD33" s="28"/>
      <c r="BE33" s="28"/>
      <c r="BF33" s="29"/>
      <c r="BG33" s="29"/>
      <c r="BH33" s="28"/>
      <c r="BI33" s="28"/>
      <c r="BJ33" s="28"/>
      <c r="BK33" s="29"/>
      <c r="BL33" s="29"/>
      <c r="BM33" s="28"/>
      <c r="BN33" s="28"/>
      <c r="BO33" s="28"/>
      <c r="BP33" s="29"/>
      <c r="BQ33" s="29"/>
      <c r="BR33" s="28"/>
    </row>
    <row r="34" spans="1:83" ht="16.5" customHeight="1" x14ac:dyDescent="0.25">
      <c r="A34" s="121"/>
      <c r="B34" s="121"/>
      <c r="C34" s="31"/>
      <c r="D34" s="121"/>
      <c r="E34" s="121"/>
      <c r="F34" s="121"/>
      <c r="G34" s="121"/>
      <c r="H34" s="702"/>
      <c r="I34" s="702"/>
      <c r="J34" s="702"/>
      <c r="K34" s="702"/>
      <c r="L34" s="121"/>
      <c r="M34" s="31"/>
      <c r="N34" s="121"/>
      <c r="O34" s="121"/>
      <c r="P34" s="121"/>
      <c r="Q34" s="121"/>
      <c r="R34" s="31"/>
      <c r="S34" s="121"/>
      <c r="T34" s="121"/>
      <c r="U34" s="28"/>
      <c r="V34" s="30"/>
      <c r="W34" s="29"/>
      <c r="X34" s="28"/>
      <c r="Y34" s="28"/>
      <c r="Z34" s="28"/>
      <c r="AA34" s="30"/>
      <c r="AB34" s="29"/>
      <c r="AC34" s="28"/>
      <c r="AD34" s="28"/>
      <c r="AE34" s="28"/>
      <c r="AF34" s="30"/>
      <c r="AG34" s="29"/>
      <c r="AH34" s="28"/>
      <c r="AI34" s="28"/>
      <c r="AJ34" s="28"/>
      <c r="AK34" s="30"/>
      <c r="AL34" s="29"/>
      <c r="AM34" s="28"/>
      <c r="AN34" s="28"/>
      <c r="AO34" s="28"/>
      <c r="AP34" s="30"/>
      <c r="AQ34" s="29"/>
      <c r="AR34" s="28"/>
      <c r="AS34" s="28"/>
      <c r="AT34" s="28"/>
      <c r="AU34" s="30"/>
      <c r="AV34" s="29"/>
      <c r="AW34" s="28"/>
      <c r="AX34" s="28"/>
      <c r="AY34" s="28"/>
      <c r="AZ34" s="30"/>
      <c r="BA34" s="29"/>
      <c r="BB34" s="28"/>
      <c r="BC34" s="28"/>
      <c r="BD34" s="28"/>
      <c r="BE34" s="28"/>
      <c r="BF34" s="30"/>
      <c r="BG34" s="29"/>
      <c r="BH34" s="28"/>
      <c r="BI34" s="28"/>
      <c r="BJ34" s="28"/>
      <c r="BK34" s="30"/>
      <c r="BL34" s="29"/>
      <c r="BM34" s="28"/>
      <c r="BN34" s="28"/>
      <c r="BO34" s="28"/>
      <c r="BP34" s="30"/>
      <c r="BQ34" s="29"/>
      <c r="BR34" s="28"/>
    </row>
    <row r="35" spans="1:83" ht="6" customHeight="1" x14ac:dyDescent="0.25">
      <c r="A35" s="35"/>
      <c r="B35" s="31"/>
      <c r="C35" s="32"/>
      <c r="D35" s="33"/>
      <c r="E35" s="34"/>
      <c r="F35" s="35"/>
      <c r="G35" s="31"/>
      <c r="H35" s="678" cm="1">
        <f t="array" aca="1" ref="H35" ca="1">SUM(COUNTIF(INDIRECT({"B7","G7","L7","Q7","V7","AA7","AF7","AK7","AP7","AU7","AZ7","BE7","BJ7","BO7","B13","G13","L13","Q13","V13","AA13","AF13","AK13","AP13","AU13","AZ13","BE13","BJ13","BO13","B19","G19","L19","Q19","V19","AA19","AF19","AK19","AP19","AU19","AZ19","BE19","BJ19","BO19","B25","G25","L25","Q25","V25","AA25","AF25","AK25","AP25","AU25","AZ25","BE25","BJ25","BO25","B31","G31","L31","Q31","V31","AA31","AF31","AK31","AP31","AU31","AZ31","BE31","BJ31","BO31"}),"&gt;0"))</f>
        <v>68</v>
      </c>
      <c r="I35" s="678"/>
      <c r="J35" s="678"/>
      <c r="K35" s="678"/>
      <c r="L35" s="31"/>
      <c r="M35" s="32"/>
      <c r="N35" s="33"/>
      <c r="O35" s="34"/>
      <c r="P35" s="35"/>
      <c r="Q35" s="31"/>
      <c r="R35" s="32"/>
      <c r="S35" s="33"/>
      <c r="T35" s="34"/>
      <c r="U35" s="28"/>
      <c r="V35" s="697"/>
      <c r="W35" s="697"/>
      <c r="X35" s="697"/>
      <c r="Y35" s="697"/>
      <c r="Z35" s="697"/>
      <c r="AA35" s="697"/>
      <c r="AB35" s="697"/>
      <c r="AC35" s="697"/>
      <c r="AD35" s="697"/>
      <c r="AE35" s="697"/>
      <c r="AF35" s="697"/>
      <c r="AG35" s="697"/>
      <c r="AH35" s="697"/>
      <c r="AI35" s="697"/>
      <c r="AJ35" s="697"/>
      <c r="AK35" s="697"/>
      <c r="AL35" s="697"/>
      <c r="AM35" s="697"/>
      <c r="AN35" s="697"/>
      <c r="AO35" s="697"/>
      <c r="AP35" s="697"/>
      <c r="AQ35" s="697"/>
      <c r="AR35" s="697"/>
      <c r="AS35" s="698" t="s">
        <v>118</v>
      </c>
      <c r="AT35" s="698"/>
      <c r="AU35" s="698"/>
      <c r="AV35" s="698"/>
      <c r="AW35" s="698"/>
      <c r="AX35" s="698"/>
      <c r="AY35" s="698"/>
      <c r="AZ35" s="698"/>
      <c r="BA35" s="698"/>
      <c r="BB35" s="698"/>
      <c r="BC35" s="698"/>
      <c r="BD35" s="698"/>
      <c r="BE35" s="699" t="s">
        <v>119</v>
      </c>
      <c r="BF35" s="699"/>
      <c r="BG35" s="699"/>
      <c r="BH35" s="699"/>
      <c r="BI35" s="699"/>
      <c r="BJ35" s="1802">
        <f>D7+I7+N7+S7+X7+AC7+AH7+AM7+AR7+AW7+BB7+BG7+BL7+BQ7+D13+I13+N13+S13+X13+AC13+AH13+AM13+AR13+AW13+BB13+BG13+BL13+BQ13+D19+I19+N19+S19+X19+AC19+AH19+AM19+AR19+AW19+BB19+BG19+BL19+BQ19+D25+I25+N25+S25+X25+AC25+AH25+AM25+AR25+AW25+BB25+BG25+BL25+BQ25+D31+I31+N31+S31+X31+AC31+AH31+AM31+AR31+AW31+BB31+BG31+BL31+BQ31</f>
        <v>422</v>
      </c>
      <c r="BK35" s="1802"/>
      <c r="BL35" s="1802"/>
      <c r="BM35" s="1802"/>
      <c r="BN35" s="701" t="s">
        <v>120</v>
      </c>
      <c r="BO35" s="701"/>
      <c r="BP35" s="701"/>
      <c r="BQ35" s="29"/>
      <c r="BR35" s="28"/>
    </row>
    <row r="36" spans="1:83" s="22" customFormat="1" ht="30.75" customHeight="1" x14ac:dyDescent="1.35">
      <c r="A36" s="35"/>
      <c r="B36" s="31"/>
      <c r="C36" s="32"/>
      <c r="D36" s="33"/>
      <c r="E36" s="34"/>
      <c r="F36" s="35"/>
      <c r="G36" s="31"/>
      <c r="H36" s="678"/>
      <c r="I36" s="678"/>
      <c r="J36" s="678"/>
      <c r="K36" s="678"/>
      <c r="L36" s="31"/>
      <c r="M36" s="32"/>
      <c r="N36" s="33"/>
      <c r="O36" s="34"/>
      <c r="P36" s="35"/>
      <c r="Q36" s="31"/>
      <c r="R36" s="32"/>
      <c r="S36" s="33"/>
      <c r="T36" s="34"/>
      <c r="U36" s="121"/>
      <c r="V36" s="697"/>
      <c r="W36" s="697"/>
      <c r="X36" s="697"/>
      <c r="Y36" s="697"/>
      <c r="Z36" s="697"/>
      <c r="AA36" s="697"/>
      <c r="AB36" s="697"/>
      <c r="AC36" s="697"/>
      <c r="AD36" s="697"/>
      <c r="AE36" s="697"/>
      <c r="AF36" s="697"/>
      <c r="AG36" s="697"/>
      <c r="AH36" s="697"/>
      <c r="AI36" s="697"/>
      <c r="AJ36" s="697"/>
      <c r="AK36" s="697"/>
      <c r="AL36" s="697"/>
      <c r="AM36" s="697"/>
      <c r="AN36" s="697"/>
      <c r="AO36" s="697"/>
      <c r="AP36" s="697"/>
      <c r="AQ36" s="697"/>
      <c r="AR36" s="697"/>
      <c r="AS36" s="698"/>
      <c r="AT36" s="698"/>
      <c r="AU36" s="698"/>
      <c r="AV36" s="698"/>
      <c r="AW36" s="698"/>
      <c r="AX36" s="698"/>
      <c r="AY36" s="698"/>
      <c r="AZ36" s="698"/>
      <c r="BA36" s="698"/>
      <c r="BB36" s="698"/>
      <c r="BC36" s="698"/>
      <c r="BD36" s="698"/>
      <c r="BE36" s="699"/>
      <c r="BF36" s="699"/>
      <c r="BG36" s="699"/>
      <c r="BH36" s="699"/>
      <c r="BI36" s="699"/>
      <c r="BJ36" s="1802"/>
      <c r="BK36" s="1802"/>
      <c r="BL36" s="1802"/>
      <c r="BM36" s="1802"/>
      <c r="BN36" s="701"/>
      <c r="BO36" s="701"/>
      <c r="BP36" s="701"/>
      <c r="BQ36" s="121"/>
      <c r="BR36" s="31"/>
    </row>
    <row r="37" spans="1:83" ht="26.25" customHeight="1" x14ac:dyDescent="0.25">
      <c r="A37" s="34"/>
      <c r="B37" s="35"/>
      <c r="C37" s="31"/>
      <c r="D37" s="32"/>
      <c r="E37" s="33"/>
      <c r="F37" s="34"/>
      <c r="G37" s="34"/>
      <c r="H37" s="678"/>
      <c r="I37" s="678"/>
      <c r="J37" s="678"/>
      <c r="K37" s="678"/>
      <c r="L37" s="34"/>
      <c r="M37" s="34"/>
      <c r="N37" s="35"/>
      <c r="O37" s="31"/>
      <c r="P37" s="32"/>
      <c r="Q37" s="33"/>
      <c r="R37" s="34"/>
      <c r="S37" s="34"/>
      <c r="T37" s="35"/>
      <c r="U37" s="31"/>
      <c r="V37" s="697"/>
      <c r="W37" s="697"/>
      <c r="X37" s="697"/>
      <c r="Y37" s="697"/>
      <c r="Z37" s="697"/>
      <c r="AA37" s="697"/>
      <c r="AB37" s="697"/>
      <c r="AC37" s="697"/>
      <c r="AD37" s="697"/>
      <c r="AE37" s="697"/>
      <c r="AF37" s="697"/>
      <c r="AG37" s="697"/>
      <c r="AH37" s="697"/>
      <c r="AI37" s="697"/>
      <c r="AJ37" s="697"/>
      <c r="AK37" s="697"/>
      <c r="AL37" s="697"/>
      <c r="AM37" s="697"/>
      <c r="AN37" s="697"/>
      <c r="AO37" s="697"/>
      <c r="AP37" s="697"/>
      <c r="AQ37" s="697"/>
      <c r="AR37" s="697"/>
      <c r="AS37" s="698"/>
      <c r="AT37" s="698"/>
      <c r="AU37" s="698"/>
      <c r="AV37" s="698"/>
      <c r="AW37" s="698"/>
      <c r="AX37" s="698"/>
      <c r="AY37" s="698"/>
      <c r="AZ37" s="698"/>
      <c r="BA37" s="698"/>
      <c r="BB37" s="698"/>
      <c r="BC37" s="698"/>
      <c r="BD37" s="698"/>
      <c r="BE37" s="699"/>
      <c r="BF37" s="699"/>
      <c r="BG37" s="699"/>
      <c r="BH37" s="699"/>
      <c r="BI37" s="699"/>
      <c r="BJ37" s="1802"/>
      <c r="BK37" s="1802"/>
      <c r="BL37" s="1802"/>
      <c r="BM37" s="1802"/>
      <c r="BN37" s="701"/>
      <c r="BO37" s="701"/>
      <c r="BP37" s="701"/>
      <c r="BQ37" s="32"/>
      <c r="BR37" s="33"/>
      <c r="BW37" s="27"/>
      <c r="BX37" s="27"/>
      <c r="BY37" s="27"/>
      <c r="BZ37" s="27"/>
      <c r="CA37" s="27"/>
      <c r="CB37" s="27"/>
      <c r="CC37" s="27"/>
      <c r="CD37" s="27"/>
      <c r="CE37" s="27"/>
    </row>
    <row r="38" spans="1:83" ht="26.1" customHeight="1" x14ac:dyDescent="0.25">
      <c r="A38" s="34"/>
      <c r="B38" s="35"/>
      <c r="C38" s="31"/>
      <c r="D38" s="32"/>
      <c r="E38" s="33"/>
      <c r="F38" s="34"/>
      <c r="G38" s="34"/>
      <c r="H38" s="678"/>
      <c r="I38" s="678"/>
      <c r="J38" s="678"/>
      <c r="K38" s="678"/>
      <c r="L38" s="34"/>
      <c r="M38" s="34"/>
      <c r="N38" s="35"/>
      <c r="O38" s="31"/>
      <c r="P38" s="32"/>
      <c r="Q38" s="33"/>
      <c r="R38" s="34"/>
      <c r="S38" s="34"/>
      <c r="T38" s="35"/>
      <c r="U38" s="31"/>
      <c r="V38" s="697"/>
      <c r="W38" s="697"/>
      <c r="X38" s="697"/>
      <c r="Y38" s="697"/>
      <c r="Z38" s="697"/>
      <c r="AA38" s="697"/>
      <c r="AB38" s="697"/>
      <c r="AC38" s="697"/>
      <c r="AD38" s="697"/>
      <c r="AE38" s="697"/>
      <c r="AF38" s="697"/>
      <c r="AG38" s="697"/>
      <c r="AH38" s="697"/>
      <c r="AI38" s="697"/>
      <c r="AJ38" s="697"/>
      <c r="AK38" s="697"/>
      <c r="AL38" s="697"/>
      <c r="AM38" s="697"/>
      <c r="AN38" s="697"/>
      <c r="AO38" s="697"/>
      <c r="AP38" s="697"/>
      <c r="AQ38" s="697"/>
      <c r="AR38" s="697"/>
      <c r="AS38" s="698"/>
      <c r="AT38" s="698"/>
      <c r="AU38" s="698"/>
      <c r="AV38" s="698"/>
      <c r="AW38" s="698"/>
      <c r="AX38" s="698"/>
      <c r="AY38" s="698"/>
      <c r="AZ38" s="698"/>
      <c r="BA38" s="698"/>
      <c r="BB38" s="698"/>
      <c r="BC38" s="698"/>
      <c r="BD38" s="698"/>
      <c r="BE38" s="699"/>
      <c r="BF38" s="699"/>
      <c r="BG38" s="699"/>
      <c r="BH38" s="699"/>
      <c r="BI38" s="699"/>
      <c r="BJ38" s="1802"/>
      <c r="BK38" s="1802"/>
      <c r="BL38" s="1802"/>
      <c r="BM38" s="1802"/>
      <c r="BN38" s="701"/>
      <c r="BO38" s="701"/>
      <c r="BP38" s="701"/>
      <c r="BQ38" s="32"/>
      <c r="BR38" s="33"/>
    </row>
    <row r="39" spans="1:83" ht="6.75" customHeight="1" x14ac:dyDescent="0.25">
      <c r="A39" s="28"/>
      <c r="B39" s="28"/>
      <c r="C39" s="28"/>
      <c r="D39" s="29"/>
      <c r="E39" s="29"/>
      <c r="F39" s="28"/>
      <c r="G39" s="28"/>
      <c r="H39" s="28"/>
      <c r="I39" s="29"/>
      <c r="J39" s="29"/>
      <c r="K39" s="28"/>
      <c r="L39" s="28"/>
      <c r="M39" s="28"/>
      <c r="N39" s="29"/>
      <c r="O39" s="29"/>
      <c r="P39" s="28"/>
      <c r="Q39" s="28"/>
      <c r="R39" s="28"/>
      <c r="S39" s="29"/>
      <c r="T39" s="29"/>
      <c r="U39" s="28"/>
      <c r="V39" s="3260"/>
      <c r="W39" s="3260"/>
      <c r="X39" s="3260"/>
      <c r="Y39" s="3260"/>
      <c r="Z39" s="3260"/>
      <c r="AA39" s="3260"/>
      <c r="AB39" s="3260"/>
      <c r="AC39" s="3260"/>
      <c r="AD39" s="3260"/>
      <c r="AE39" s="3260"/>
      <c r="AF39" s="3260"/>
      <c r="AG39" s="3260"/>
      <c r="AH39" s="723"/>
      <c r="AI39" s="723"/>
      <c r="AJ39" s="723"/>
      <c r="AK39" s="723"/>
      <c r="AL39" s="723"/>
      <c r="AM39" s="723"/>
      <c r="AN39" s="723"/>
      <c r="AO39" s="723"/>
      <c r="AP39" s="723"/>
      <c r="AQ39" s="723"/>
      <c r="AR39" s="723"/>
      <c r="AS39" s="707">
        <f>B7+G7+L7+Q7+V7+AA7+AF7+AK7+AP7+AU7+AZ7+BE7+BJ7+BO7+B13+G13+L13+Q13+V13+AA13+AF13+AK13+AP13+AU13+AZ13+BE13+BJ13+BO13+B19+G19+L19+Q19+V19+AA19+AF19+AK19+AP19+AU19+AZ19+BE19+BJ19+BO19+B25+G25+L25+Q25+V25+AA25+AF25+AK25+AP25+AU25+AZ25+BE25+BJ25+BO25+B31+G31+L31+Q31+V31+AA31+AF31+AK31+AP31+AU31+AZ31+BE31+BJ31+BO31</f>
        <v>332.55280000000005</v>
      </c>
      <c r="AT39" s="707"/>
      <c r="AU39" s="707"/>
      <c r="AV39" s="707"/>
      <c r="AW39" s="707"/>
      <c r="AX39" s="707"/>
      <c r="AY39" s="707"/>
      <c r="AZ39" s="707"/>
      <c r="BA39" s="707"/>
      <c r="BB39" s="707"/>
      <c r="BC39" s="707"/>
      <c r="BD39" s="707"/>
      <c r="BE39" s="699"/>
      <c r="BF39" s="699"/>
      <c r="BG39" s="699"/>
      <c r="BH39" s="699"/>
      <c r="BI39" s="699"/>
      <c r="BJ39" s="1802"/>
      <c r="BK39" s="1802"/>
      <c r="BL39" s="1802"/>
      <c r="BM39" s="1802"/>
      <c r="BN39" s="701"/>
      <c r="BO39" s="701"/>
      <c r="BP39" s="701"/>
      <c r="BQ39" s="29"/>
      <c r="BR39" s="29"/>
    </row>
    <row r="40" spans="1:83" ht="21.95" customHeight="1" x14ac:dyDescent="0.25">
      <c r="A40" s="28"/>
      <c r="B40" s="28"/>
      <c r="C40" s="28"/>
      <c r="D40" s="30"/>
      <c r="E40" s="29"/>
      <c r="F40" s="28"/>
      <c r="G40" s="28"/>
      <c r="H40" s="28"/>
      <c r="I40" s="30"/>
      <c r="J40" s="29"/>
      <c r="K40" s="28"/>
      <c r="L40" s="28"/>
      <c r="M40" s="28"/>
      <c r="N40" s="30"/>
      <c r="O40" s="29"/>
      <c r="P40" s="28"/>
      <c r="Q40" s="28"/>
      <c r="R40" s="28"/>
      <c r="S40" s="30"/>
      <c r="T40" s="29"/>
      <c r="U40" s="28"/>
      <c r="V40" s="3260"/>
      <c r="W40" s="3260"/>
      <c r="X40" s="3260"/>
      <c r="Y40" s="3260"/>
      <c r="Z40" s="3260"/>
      <c r="AA40" s="3260"/>
      <c r="AB40" s="3260"/>
      <c r="AC40" s="3260"/>
      <c r="AD40" s="3260"/>
      <c r="AE40" s="3260"/>
      <c r="AF40" s="3260"/>
      <c r="AG40" s="3260"/>
      <c r="AH40" s="723"/>
      <c r="AI40" s="723"/>
      <c r="AJ40" s="723"/>
      <c r="AK40" s="723"/>
      <c r="AL40" s="723"/>
      <c r="AM40" s="723"/>
      <c r="AN40" s="723"/>
      <c r="AO40" s="723"/>
      <c r="AP40" s="723"/>
      <c r="AQ40" s="723"/>
      <c r="AR40" s="723"/>
      <c r="AS40" s="707"/>
      <c r="AT40" s="707"/>
      <c r="AU40" s="707"/>
      <c r="AV40" s="707"/>
      <c r="AW40" s="707"/>
      <c r="AX40" s="707"/>
      <c r="AY40" s="707"/>
      <c r="AZ40" s="707"/>
      <c r="BA40" s="707"/>
      <c r="BB40" s="707"/>
      <c r="BC40" s="707"/>
      <c r="BD40" s="707"/>
      <c r="BE40" s="699"/>
      <c r="BF40" s="699"/>
      <c r="BG40" s="699"/>
      <c r="BH40" s="699"/>
      <c r="BI40" s="699"/>
      <c r="BJ40" s="1802"/>
      <c r="BK40" s="1802"/>
      <c r="BL40" s="1802"/>
      <c r="BM40" s="1802"/>
      <c r="BN40" s="701"/>
      <c r="BO40" s="701"/>
      <c r="BP40" s="701"/>
      <c r="BQ40" s="30"/>
      <c r="BR40" s="29"/>
    </row>
    <row r="41" spans="1:83" ht="6" customHeight="1" x14ac:dyDescent="0.25">
      <c r="A41" s="28"/>
      <c r="B41" s="28"/>
      <c r="C41" s="28"/>
      <c r="D41" s="29"/>
      <c r="E41" s="29"/>
      <c r="F41" s="28"/>
      <c r="G41" s="28"/>
      <c r="H41" s="28"/>
      <c r="I41" s="29"/>
      <c r="J41" s="29"/>
      <c r="K41" s="28"/>
      <c r="L41" s="28"/>
      <c r="M41" s="28"/>
      <c r="N41" s="29"/>
      <c r="O41" s="29"/>
      <c r="P41" s="28"/>
      <c r="Q41" s="28"/>
      <c r="R41" s="28"/>
      <c r="S41" s="29"/>
      <c r="T41" s="29"/>
      <c r="U41" s="28"/>
      <c r="V41" s="3260"/>
      <c r="W41" s="3260"/>
      <c r="X41" s="3260"/>
      <c r="Y41" s="3260"/>
      <c r="Z41" s="3260"/>
      <c r="AA41" s="3260"/>
      <c r="AB41" s="3260"/>
      <c r="AC41" s="3260"/>
      <c r="AD41" s="3260"/>
      <c r="AE41" s="3260"/>
      <c r="AF41" s="3260"/>
      <c r="AG41" s="3260"/>
      <c r="AH41" s="723"/>
      <c r="AI41" s="723"/>
      <c r="AJ41" s="723"/>
      <c r="AK41" s="723"/>
      <c r="AL41" s="723"/>
      <c r="AM41" s="723"/>
      <c r="AN41" s="723"/>
      <c r="AO41" s="723"/>
      <c r="AP41" s="723"/>
      <c r="AQ41" s="723"/>
      <c r="AR41" s="723"/>
      <c r="AS41" s="707"/>
      <c r="AT41" s="707"/>
      <c r="AU41" s="707"/>
      <c r="AV41" s="707"/>
      <c r="AW41" s="707"/>
      <c r="AX41" s="707"/>
      <c r="AY41" s="707"/>
      <c r="AZ41" s="707"/>
      <c r="BA41" s="707"/>
      <c r="BB41" s="707"/>
      <c r="BC41" s="707"/>
      <c r="BD41" s="707"/>
      <c r="BE41" s="699"/>
      <c r="BF41" s="699"/>
      <c r="BG41" s="699"/>
      <c r="BH41" s="699"/>
      <c r="BI41" s="699"/>
      <c r="BJ41" s="708">
        <f>BJ35*1.5</f>
        <v>633</v>
      </c>
      <c r="BK41" s="708"/>
      <c r="BL41" s="708"/>
      <c r="BM41" s="708"/>
      <c r="BN41" s="708"/>
      <c r="BO41" s="708"/>
      <c r="BP41" s="708"/>
      <c r="BQ41" s="29"/>
      <c r="BR41" s="29"/>
    </row>
    <row r="42" spans="1:83" s="22" customFormat="1" ht="80.099999999999994" customHeight="1" x14ac:dyDescent="1.35">
      <c r="A42" s="31"/>
      <c r="B42" s="121"/>
      <c r="C42" s="121"/>
      <c r="D42" s="121"/>
      <c r="E42" s="121"/>
      <c r="H42" s="121"/>
      <c r="I42" s="121"/>
      <c r="J42" s="121"/>
      <c r="K42" s="31"/>
      <c r="L42" s="121"/>
      <c r="M42" s="121"/>
      <c r="N42" s="121"/>
      <c r="O42" s="121"/>
      <c r="P42" s="31"/>
      <c r="Q42" s="121"/>
      <c r="R42" s="121"/>
      <c r="S42" s="121"/>
      <c r="T42" s="121"/>
      <c r="U42" s="31"/>
      <c r="V42" s="3260"/>
      <c r="W42" s="3260"/>
      <c r="X42" s="3260"/>
      <c r="Y42" s="3260"/>
      <c r="Z42" s="3260"/>
      <c r="AA42" s="3260"/>
      <c r="AB42" s="3260"/>
      <c r="AC42" s="3260"/>
      <c r="AD42" s="3260"/>
      <c r="AE42" s="3260"/>
      <c r="AF42" s="3260"/>
      <c r="AG42" s="3260"/>
      <c r="AH42" s="723"/>
      <c r="AI42" s="723"/>
      <c r="AJ42" s="723"/>
      <c r="AK42" s="723"/>
      <c r="AL42" s="723"/>
      <c r="AM42" s="723"/>
      <c r="AN42" s="723"/>
      <c r="AO42" s="723"/>
      <c r="AP42" s="723"/>
      <c r="AQ42" s="723"/>
      <c r="AR42" s="723"/>
      <c r="AS42" s="707"/>
      <c r="AT42" s="707"/>
      <c r="AU42" s="707"/>
      <c r="AV42" s="707"/>
      <c r="AW42" s="707"/>
      <c r="AX42" s="707"/>
      <c r="AY42" s="707"/>
      <c r="AZ42" s="707"/>
      <c r="BA42" s="707"/>
      <c r="BB42" s="707"/>
      <c r="BC42" s="707"/>
      <c r="BD42" s="707"/>
      <c r="BE42" s="699"/>
      <c r="BF42" s="699"/>
      <c r="BG42" s="699"/>
      <c r="BH42" s="699"/>
      <c r="BI42" s="699"/>
      <c r="BJ42" s="708"/>
      <c r="BK42" s="708"/>
      <c r="BL42" s="708"/>
      <c r="BM42" s="708"/>
      <c r="BN42" s="708"/>
      <c r="BO42" s="708"/>
      <c r="BP42" s="708"/>
      <c r="BQ42" s="121"/>
      <c r="BR42" s="121"/>
    </row>
    <row r="43" spans="1:83" ht="26.25" customHeight="1" x14ac:dyDescent="0.25">
      <c r="A43" s="34"/>
      <c r="B43" s="35"/>
      <c r="C43" s="31"/>
      <c r="D43" s="32"/>
      <c r="E43" s="33"/>
      <c r="I43" s="32"/>
      <c r="J43" s="33"/>
      <c r="K43" s="34"/>
      <c r="L43" s="35"/>
      <c r="M43" s="31"/>
      <c r="N43" s="32"/>
      <c r="O43" s="33"/>
      <c r="P43" s="34"/>
      <c r="Q43" s="35"/>
      <c r="R43" s="31"/>
      <c r="S43" s="32"/>
      <c r="T43" s="33"/>
      <c r="U43" s="34"/>
      <c r="V43" s="3260"/>
      <c r="W43" s="3260"/>
      <c r="X43" s="3260"/>
      <c r="Y43" s="3260"/>
      <c r="Z43" s="3260"/>
      <c r="AA43" s="3260"/>
      <c r="AB43" s="3260"/>
      <c r="AC43" s="3260"/>
      <c r="AD43" s="3260"/>
      <c r="AE43" s="3260"/>
      <c r="AF43" s="3260"/>
      <c r="AG43" s="3260"/>
      <c r="AH43" s="723"/>
      <c r="AI43" s="723"/>
      <c r="AJ43" s="723"/>
      <c r="AK43" s="723"/>
      <c r="AL43" s="723"/>
      <c r="AM43" s="723"/>
      <c r="AN43" s="723"/>
      <c r="AO43" s="723"/>
      <c r="AP43" s="723"/>
      <c r="AQ43" s="723"/>
      <c r="AR43" s="723"/>
      <c r="AS43" s="707"/>
      <c r="AT43" s="707"/>
      <c r="AU43" s="707"/>
      <c r="AV43" s="707"/>
      <c r="AW43" s="707"/>
      <c r="AX43" s="707"/>
      <c r="AY43" s="707"/>
      <c r="AZ43" s="707"/>
      <c r="BA43" s="707"/>
      <c r="BB43" s="707"/>
      <c r="BC43" s="707"/>
      <c r="BD43" s="707"/>
      <c r="BE43" s="699"/>
      <c r="BF43" s="699"/>
      <c r="BG43" s="699"/>
      <c r="BH43" s="699"/>
      <c r="BI43" s="699"/>
      <c r="BJ43" s="708"/>
      <c r="BK43" s="708"/>
      <c r="BL43" s="708"/>
      <c r="BM43" s="708"/>
      <c r="BN43" s="708"/>
      <c r="BO43" s="708"/>
      <c r="BP43" s="708"/>
      <c r="BQ43" s="31"/>
      <c r="BR43" s="32"/>
      <c r="BW43" s="27"/>
      <c r="BX43" s="27"/>
      <c r="BY43" s="27"/>
      <c r="BZ43" s="27"/>
      <c r="CA43" s="27"/>
      <c r="CB43" s="27"/>
      <c r="CC43" s="27"/>
      <c r="CD43" s="27"/>
      <c r="CE43" s="27"/>
    </row>
    <row r="44" spans="1:83" ht="26.1" customHeight="1" x14ac:dyDescent="0.25">
      <c r="A44" s="34"/>
      <c r="B44" s="35"/>
      <c r="C44" s="31"/>
      <c r="D44" s="32"/>
      <c r="E44" s="33"/>
      <c r="I44" s="32"/>
      <c r="J44" s="33"/>
      <c r="K44" s="34"/>
      <c r="L44" s="35"/>
      <c r="M44" s="31"/>
      <c r="N44" s="32"/>
      <c r="O44" s="33"/>
      <c r="P44" s="34"/>
      <c r="Q44" s="35"/>
      <c r="R44" s="31"/>
      <c r="S44" s="32"/>
      <c r="T44" s="33"/>
      <c r="U44" s="34"/>
      <c r="V44" s="3260"/>
      <c r="W44" s="3260"/>
      <c r="X44" s="3260"/>
      <c r="Y44" s="3260"/>
      <c r="Z44" s="3260"/>
      <c r="AA44" s="3260"/>
      <c r="AB44" s="3260"/>
      <c r="AC44" s="3260"/>
      <c r="AD44" s="3260"/>
      <c r="AE44" s="3260"/>
      <c r="AF44" s="3260"/>
      <c r="AG44" s="3260"/>
      <c r="AH44" s="723"/>
      <c r="AI44" s="723"/>
      <c r="AJ44" s="723"/>
      <c r="AK44" s="723"/>
      <c r="AL44" s="723"/>
      <c r="AM44" s="723"/>
      <c r="AN44" s="723"/>
      <c r="AO44" s="723"/>
      <c r="AP44" s="723"/>
      <c r="AQ44" s="723"/>
      <c r="AR44" s="723"/>
      <c r="AS44" s="707"/>
      <c r="AT44" s="707"/>
      <c r="AU44" s="707"/>
      <c r="AV44" s="707"/>
      <c r="AW44" s="707"/>
      <c r="AX44" s="707"/>
      <c r="AY44" s="707"/>
      <c r="AZ44" s="707"/>
      <c r="BA44" s="707"/>
      <c r="BB44" s="707"/>
      <c r="BC44" s="707"/>
      <c r="BD44" s="707"/>
      <c r="BE44" s="699"/>
      <c r="BF44" s="699"/>
      <c r="BG44" s="699"/>
      <c r="BH44" s="699"/>
      <c r="BI44" s="699"/>
      <c r="BJ44" s="708"/>
      <c r="BK44" s="708"/>
      <c r="BL44" s="708"/>
      <c r="BM44" s="708"/>
      <c r="BN44" s="708"/>
      <c r="BO44" s="708"/>
      <c r="BP44" s="708"/>
      <c r="BQ44" s="31"/>
      <c r="BR44" s="32"/>
    </row>
    <row r="45" spans="1:83" ht="6.75" customHeight="1" x14ac:dyDescent="0.25">
      <c r="A45" s="28"/>
      <c r="B45" s="28"/>
      <c r="C45" s="28"/>
      <c r="D45" s="29"/>
      <c r="E45" s="29"/>
      <c r="I45" s="29"/>
      <c r="J45" s="29"/>
      <c r="K45" s="28"/>
      <c r="L45" s="28"/>
      <c r="M45" s="28"/>
      <c r="N45" s="29"/>
      <c r="O45" s="29"/>
      <c r="P45" s="28"/>
      <c r="Q45" s="28"/>
      <c r="R45" s="28"/>
      <c r="S45" s="29"/>
      <c r="T45" s="29"/>
      <c r="U45" s="28"/>
      <c r="V45" s="3260"/>
      <c r="W45" s="3260"/>
      <c r="X45" s="3260"/>
      <c r="Y45" s="3260"/>
      <c r="Z45" s="3260"/>
      <c r="AA45" s="3260"/>
      <c r="AB45" s="3260"/>
      <c r="AC45" s="3260"/>
      <c r="AD45" s="3260"/>
      <c r="AE45" s="3260"/>
      <c r="AF45" s="3260"/>
      <c r="AG45" s="3260"/>
      <c r="AH45" s="723"/>
      <c r="AI45" s="723"/>
      <c r="AJ45" s="723"/>
      <c r="AK45" s="723"/>
      <c r="AL45" s="723"/>
      <c r="AM45" s="723"/>
      <c r="AN45" s="723"/>
      <c r="AO45" s="723"/>
      <c r="AP45" s="723"/>
      <c r="AQ45" s="723"/>
      <c r="AR45" s="723"/>
      <c r="AS45" s="707"/>
      <c r="AT45" s="707"/>
      <c r="AU45" s="707"/>
      <c r="AV45" s="707"/>
      <c r="AW45" s="707"/>
      <c r="AX45" s="707"/>
      <c r="AY45" s="707"/>
      <c r="AZ45" s="707"/>
      <c r="BA45" s="707"/>
      <c r="BB45" s="707"/>
      <c r="BC45" s="707"/>
      <c r="BD45" s="707"/>
      <c r="BE45" s="699"/>
      <c r="BF45" s="699"/>
      <c r="BG45" s="699"/>
      <c r="BH45" s="699"/>
      <c r="BI45" s="699"/>
      <c r="BJ45" s="699" t="s">
        <v>121</v>
      </c>
      <c r="BK45" s="699"/>
      <c r="BL45" s="699"/>
      <c r="BM45" s="699"/>
      <c r="BN45" s="699"/>
      <c r="BO45" s="699"/>
      <c r="BP45" s="699"/>
      <c r="BQ45" s="31"/>
      <c r="BR45" s="32"/>
    </row>
    <row r="46" spans="1:83" ht="21.95" customHeight="1" x14ac:dyDescent="0.25">
      <c r="A46" s="28"/>
      <c r="B46" s="28"/>
      <c r="C46" s="28"/>
      <c r="D46" s="30"/>
      <c r="E46" s="29"/>
      <c r="I46" s="30"/>
      <c r="J46" s="29"/>
      <c r="K46" s="28"/>
      <c r="L46" s="28"/>
      <c r="M46" s="28"/>
      <c r="N46" s="30"/>
      <c r="O46" s="29"/>
      <c r="P46" s="28"/>
      <c r="Q46" s="28"/>
      <c r="R46" s="28"/>
      <c r="S46" s="30"/>
      <c r="T46" s="29"/>
      <c r="U46" s="28"/>
      <c r="V46" s="3260"/>
      <c r="W46" s="3260"/>
      <c r="X46" s="3260"/>
      <c r="Y46" s="3260"/>
      <c r="Z46" s="3260"/>
      <c r="AA46" s="3260"/>
      <c r="AB46" s="3260"/>
      <c r="AC46" s="3260"/>
      <c r="AD46" s="3260"/>
      <c r="AE46" s="3260"/>
      <c r="AF46" s="3260"/>
      <c r="AG46" s="3260"/>
      <c r="AH46" s="723"/>
      <c r="AI46" s="723"/>
      <c r="AJ46" s="723"/>
      <c r="AK46" s="723"/>
      <c r="AL46" s="723"/>
      <c r="AM46" s="723"/>
      <c r="AN46" s="723"/>
      <c r="AO46" s="723"/>
      <c r="AP46" s="723"/>
      <c r="AQ46" s="723"/>
      <c r="AR46" s="723"/>
      <c r="AS46" s="707"/>
      <c r="AT46" s="707"/>
      <c r="AU46" s="707"/>
      <c r="AV46" s="707"/>
      <c r="AW46" s="707"/>
      <c r="AX46" s="707"/>
      <c r="AY46" s="707"/>
      <c r="AZ46" s="707"/>
      <c r="BA46" s="707"/>
      <c r="BB46" s="707"/>
      <c r="BC46" s="707"/>
      <c r="BD46" s="707"/>
      <c r="BE46" s="699"/>
      <c r="BF46" s="699"/>
      <c r="BG46" s="699"/>
      <c r="BH46" s="699"/>
      <c r="BI46" s="699"/>
      <c r="BJ46" s="699"/>
      <c r="BK46" s="699"/>
      <c r="BL46" s="699"/>
      <c r="BM46" s="699"/>
      <c r="BN46" s="699"/>
      <c r="BO46" s="699"/>
      <c r="BP46" s="699"/>
      <c r="BQ46" s="30"/>
      <c r="BR46" s="29"/>
    </row>
    <row r="47" spans="1:83" ht="6" customHeight="1" x14ac:dyDescent="0.25">
      <c r="A47" s="28"/>
      <c r="B47" s="28"/>
      <c r="C47" s="28"/>
      <c r="D47" s="29"/>
      <c r="E47" s="29"/>
      <c r="F47" s="28"/>
      <c r="G47" s="28"/>
      <c r="H47" s="28"/>
      <c r="I47" s="29"/>
      <c r="J47" s="29"/>
      <c r="K47" s="28"/>
      <c r="L47" s="28"/>
      <c r="M47" s="28"/>
      <c r="N47" s="29"/>
      <c r="O47" s="29"/>
      <c r="P47" s="28"/>
      <c r="Q47" s="28"/>
      <c r="R47" s="28"/>
      <c r="S47" s="29"/>
      <c r="T47" s="29"/>
      <c r="U47" s="28"/>
      <c r="V47" s="28"/>
      <c r="W47" s="28"/>
      <c r="X47" s="29"/>
      <c r="Y47" s="29"/>
      <c r="Z47" s="28"/>
      <c r="AA47" s="28"/>
      <c r="AB47" s="28"/>
      <c r="AC47" s="29"/>
      <c r="AD47" s="29"/>
      <c r="AE47" s="28"/>
      <c r="AF47" s="28"/>
      <c r="AG47" s="28"/>
      <c r="AH47" s="29"/>
      <c r="AI47" s="29"/>
      <c r="AJ47" s="28"/>
      <c r="AK47" s="28"/>
      <c r="AL47" s="28"/>
      <c r="AM47" s="29"/>
      <c r="AN47" s="29"/>
      <c r="AO47" s="28"/>
      <c r="AP47" s="28"/>
      <c r="AQ47" s="28"/>
      <c r="AR47" s="29"/>
      <c r="AS47" s="29"/>
      <c r="AT47" s="28"/>
      <c r="AU47" s="28"/>
      <c r="AV47" s="28"/>
      <c r="AW47" s="29"/>
      <c r="AX47" s="29"/>
      <c r="AY47" s="28"/>
      <c r="AZ47" s="28"/>
      <c r="BA47" s="28"/>
      <c r="BB47" s="29"/>
      <c r="BC47" s="29"/>
      <c r="BD47" s="28"/>
      <c r="BE47" s="28"/>
      <c r="BF47" s="28"/>
      <c r="BG47" s="29"/>
      <c r="BH47" s="29"/>
      <c r="BI47" s="28"/>
      <c r="BJ47" s="699"/>
      <c r="BK47" s="699"/>
      <c r="BL47" s="699"/>
      <c r="BM47" s="699"/>
      <c r="BN47" s="699"/>
      <c r="BO47" s="699"/>
      <c r="BP47" s="699"/>
      <c r="BQ47" s="29"/>
      <c r="BR47" s="29"/>
    </row>
    <row r="48" spans="1:83" s="22" customFormat="1" ht="80.099999999999994" customHeight="1" thickBot="1" x14ac:dyDescent="1.4">
      <c r="A48" s="31"/>
      <c r="B48" s="677"/>
      <c r="C48" s="677"/>
      <c r="D48" s="677"/>
      <c r="E48" s="677"/>
      <c r="F48" s="677"/>
      <c r="G48" s="677"/>
      <c r="H48" s="677"/>
      <c r="I48" s="677"/>
      <c r="J48" s="677"/>
      <c r="K48" s="677"/>
      <c r="L48" s="31"/>
      <c r="M48" s="32"/>
      <c r="N48" s="33"/>
      <c r="O48" s="121"/>
      <c r="P48" s="31"/>
      <c r="Q48" s="121"/>
      <c r="R48" s="121"/>
      <c r="S48" s="121"/>
      <c r="T48" s="121"/>
      <c r="U48" s="31"/>
      <c r="V48" s="121"/>
      <c r="W48" s="121"/>
      <c r="X48" s="121"/>
      <c r="Y48" s="121"/>
      <c r="Z48" s="31"/>
      <c r="AA48" s="121"/>
      <c r="AB48" s="121"/>
      <c r="AC48" s="121"/>
      <c r="AD48" s="121"/>
      <c r="AE48" s="31"/>
      <c r="AF48" s="121"/>
      <c r="AV48" s="121"/>
      <c r="AW48" s="121"/>
      <c r="AX48" s="121"/>
      <c r="AY48" s="31"/>
      <c r="AZ48" s="121"/>
      <c r="BA48" s="121"/>
      <c r="BB48" s="121"/>
      <c r="BC48" s="121"/>
      <c r="BD48" s="31"/>
      <c r="BE48" s="121"/>
      <c r="BF48" s="121"/>
      <c r="BG48" s="121"/>
      <c r="BH48" s="121"/>
      <c r="BI48" s="31"/>
      <c r="BJ48" s="121"/>
      <c r="BK48" s="121"/>
      <c r="BL48" s="121"/>
      <c r="BM48" s="121"/>
      <c r="BN48" s="31"/>
      <c r="BO48" s="121"/>
      <c r="BP48" s="121"/>
      <c r="BQ48" s="121"/>
      <c r="BR48" s="121"/>
    </row>
    <row r="49" spans="1:83" ht="87.75" thickBot="1" x14ac:dyDescent="0.3">
      <c r="A49" s="31"/>
      <c r="B49" s="292" t="s">
        <v>473</v>
      </c>
      <c r="C49" s="293"/>
      <c r="D49" s="293"/>
      <c r="E49" s="293"/>
      <c r="F49" s="293"/>
      <c r="G49" s="293"/>
      <c r="H49" s="293"/>
      <c r="I49" s="293"/>
      <c r="J49" s="293"/>
      <c r="K49" s="293"/>
      <c r="L49" s="293"/>
      <c r="M49" s="293"/>
      <c r="N49" s="293"/>
      <c r="O49" s="293"/>
      <c r="P49" s="294"/>
      <c r="Q49" s="32"/>
      <c r="R49" s="33"/>
      <c r="S49" s="34"/>
      <c r="T49" s="35"/>
      <c r="U49" s="31"/>
      <c r="V49" s="32"/>
      <c r="W49" s="33"/>
      <c r="X49" s="34"/>
      <c r="Y49" s="35"/>
      <c r="Z49" s="31"/>
      <c r="AA49" s="32"/>
      <c r="AB49" s="33"/>
      <c r="AC49" s="34"/>
      <c r="AD49" s="35"/>
      <c r="AE49" s="31"/>
      <c r="AF49" s="32"/>
      <c r="AG49" s="33"/>
      <c r="AH49" s="34"/>
      <c r="AI49" s="35"/>
      <c r="AJ49" s="31"/>
      <c r="AK49" s="32"/>
      <c r="AL49" s="33"/>
      <c r="AM49" s="34"/>
      <c r="AN49" s="35"/>
      <c r="AO49" s="31"/>
      <c r="AP49" s="32"/>
      <c r="AQ49" s="33"/>
      <c r="AR49" s="34"/>
      <c r="AS49" s="35"/>
      <c r="AT49" s="31"/>
      <c r="AU49" s="32"/>
      <c r="AV49" s="33"/>
      <c r="AW49" s="34"/>
      <c r="AX49" s="35"/>
      <c r="AY49" s="31"/>
      <c r="AZ49" s="32"/>
      <c r="BA49" s="33"/>
      <c r="BB49" s="34"/>
      <c r="BC49" s="35"/>
      <c r="BD49" s="31"/>
      <c r="BE49" s="32"/>
      <c r="BF49" s="33"/>
      <c r="BG49" s="34"/>
      <c r="BH49" s="35"/>
      <c r="BI49" s="31"/>
      <c r="BJ49" s="32"/>
      <c r="BK49" s="33"/>
      <c r="BL49" s="34"/>
      <c r="BM49" s="35"/>
      <c r="BN49" s="34"/>
      <c r="BO49" s="34"/>
      <c r="BP49" s="34"/>
      <c r="BQ49" s="34"/>
      <c r="BR49" s="35"/>
      <c r="BW49" s="27"/>
      <c r="BX49" s="27"/>
      <c r="BY49" s="27"/>
      <c r="BZ49" s="27"/>
      <c r="CA49" s="27"/>
      <c r="CB49" s="27"/>
      <c r="CC49" s="27"/>
      <c r="CD49" s="27"/>
      <c r="CE49" s="27"/>
    </row>
    <row r="50" spans="1:83" ht="26.1" hidden="1" customHeight="1" thickTop="1" x14ac:dyDescent="0.25">
      <c r="A50" s="672"/>
      <c r="B50" s="672"/>
      <c r="C50" s="672"/>
      <c r="D50" s="673"/>
      <c r="E50" s="673"/>
      <c r="F50" s="672"/>
      <c r="G50" s="672"/>
      <c r="H50" s="672"/>
      <c r="I50" s="673"/>
      <c r="J50" s="673"/>
      <c r="K50" s="672"/>
      <c r="L50" s="672"/>
      <c r="M50" s="672"/>
      <c r="N50" s="673"/>
      <c r="O50" s="673"/>
      <c r="P50" s="672"/>
      <c r="Q50" s="672"/>
      <c r="R50" s="672"/>
      <c r="S50" s="673"/>
      <c r="T50" s="673"/>
      <c r="U50" s="674"/>
      <c r="V50" s="674"/>
      <c r="W50" s="674"/>
      <c r="X50" s="675"/>
      <c r="Y50" s="675"/>
      <c r="Z50" s="674"/>
      <c r="AA50" s="674"/>
      <c r="AB50" s="674"/>
      <c r="AC50" s="675"/>
      <c r="AD50" s="675"/>
      <c r="AE50" s="674"/>
      <c r="AF50" s="674"/>
      <c r="AG50" s="674"/>
      <c r="AH50" s="675"/>
      <c r="AI50" s="675"/>
      <c r="AJ50" s="674"/>
      <c r="AK50" s="674"/>
      <c r="AL50" s="674"/>
      <c r="AM50" s="675"/>
      <c r="AN50" s="675"/>
      <c r="AO50" s="674"/>
      <c r="AP50" s="674"/>
      <c r="AQ50" s="674"/>
      <c r="AR50" s="675"/>
      <c r="AS50" s="675"/>
      <c r="AT50" s="674"/>
      <c r="AU50" s="674"/>
      <c r="AV50" s="674"/>
      <c r="AW50" s="675"/>
      <c r="AX50" s="675"/>
      <c r="AY50" s="44"/>
      <c r="AZ50" s="44"/>
      <c r="BA50" s="44"/>
      <c r="BB50" s="69"/>
      <c r="BC50" s="69"/>
      <c r="BD50" s="44"/>
      <c r="BE50" s="44"/>
      <c r="BF50" s="44"/>
      <c r="BG50" s="69"/>
      <c r="BH50" s="69"/>
      <c r="BI50" s="44"/>
      <c r="BJ50" s="44"/>
      <c r="BK50" s="44"/>
      <c r="BL50" s="69"/>
      <c r="BM50" s="69"/>
      <c r="BN50" s="44"/>
      <c r="BO50" s="44"/>
      <c r="BP50" s="44"/>
      <c r="BQ50" s="69"/>
      <c r="BR50" s="69"/>
    </row>
    <row r="51" spans="1:83" ht="6.75" hidden="1" customHeight="1" x14ac:dyDescent="0.25">
      <c r="A51" s="676"/>
      <c r="B51" s="676"/>
      <c r="C51" s="676"/>
      <c r="D51" s="29"/>
      <c r="E51" s="29"/>
      <c r="F51" s="676"/>
      <c r="G51" s="676"/>
      <c r="H51" s="676"/>
      <c r="I51" s="29"/>
      <c r="J51" s="29"/>
      <c r="K51" s="676"/>
      <c r="L51" s="676"/>
      <c r="M51" s="676"/>
      <c r="N51" s="29"/>
      <c r="O51" s="29"/>
      <c r="P51" s="676"/>
      <c r="Q51" s="676"/>
      <c r="R51" s="676"/>
      <c r="S51" s="29"/>
      <c r="T51" s="29"/>
      <c r="U51" s="676"/>
      <c r="V51" s="676"/>
      <c r="W51" s="676"/>
      <c r="X51" s="29"/>
      <c r="Y51" s="29"/>
      <c r="Z51" s="676"/>
      <c r="AA51" s="676"/>
      <c r="AB51" s="676"/>
      <c r="AC51" s="29"/>
      <c r="AD51" s="29"/>
      <c r="AE51" s="676"/>
      <c r="AF51" s="676"/>
      <c r="AG51" s="676"/>
      <c r="AH51" s="29"/>
      <c r="AI51" s="29"/>
      <c r="AJ51" s="676"/>
      <c r="AK51" s="676"/>
      <c r="AL51" s="676"/>
      <c r="AM51" s="29"/>
      <c r="AN51" s="29"/>
      <c r="AO51" s="676"/>
      <c r="AP51" s="676"/>
      <c r="AQ51" s="676"/>
      <c r="AR51" s="29"/>
      <c r="AS51" s="29"/>
      <c r="AT51" s="676"/>
      <c r="AU51" s="676"/>
      <c r="AV51" s="676"/>
      <c r="AW51" s="29"/>
      <c r="AX51" s="29"/>
      <c r="AY51" s="47"/>
      <c r="AZ51" s="47"/>
      <c r="BA51" s="47"/>
      <c r="BB51" s="29"/>
      <c r="BC51" s="29"/>
      <c r="BD51" s="47"/>
      <c r="BE51" s="47"/>
      <c r="BF51" s="47"/>
      <c r="BG51" s="29"/>
      <c r="BH51" s="29"/>
      <c r="BI51" s="47"/>
      <c r="BJ51" s="47"/>
      <c r="BK51" s="47"/>
      <c r="BL51" s="29"/>
      <c r="BM51" s="29"/>
      <c r="BN51" s="47"/>
      <c r="BO51" s="47"/>
      <c r="BP51" s="47"/>
      <c r="BQ51" s="29"/>
      <c r="BR51" s="29"/>
    </row>
    <row r="52" spans="1:83" ht="21.95" hidden="1" customHeight="1" x14ac:dyDescent="0.25">
      <c r="A52" s="676"/>
      <c r="B52" s="676"/>
      <c r="C52" s="676"/>
      <c r="D52" s="30"/>
      <c r="E52" s="29"/>
      <c r="F52" s="676"/>
      <c r="G52" s="676"/>
      <c r="H52" s="676"/>
      <c r="I52" s="30"/>
      <c r="J52" s="29"/>
      <c r="K52" s="676"/>
      <c r="L52" s="676"/>
      <c r="M52" s="676"/>
      <c r="N52" s="30"/>
      <c r="O52" s="29"/>
      <c r="P52" s="676"/>
      <c r="Q52" s="676"/>
      <c r="R52" s="676"/>
      <c r="S52" s="30"/>
      <c r="T52" s="29"/>
      <c r="U52" s="676"/>
      <c r="V52" s="676"/>
      <c r="W52" s="676"/>
      <c r="X52" s="30"/>
      <c r="Y52" s="29"/>
      <c r="Z52" s="676"/>
      <c r="AA52" s="676"/>
      <c r="AB52" s="676"/>
      <c r="AC52" s="30"/>
      <c r="AD52" s="29"/>
      <c r="AE52" s="676"/>
      <c r="AF52" s="676"/>
      <c r="AG52" s="676"/>
      <c r="AH52" s="30"/>
      <c r="AI52" s="29"/>
      <c r="AJ52" s="676"/>
      <c r="AK52" s="676"/>
      <c r="AL52" s="676"/>
      <c r="AM52" s="30"/>
      <c r="AN52" s="29"/>
      <c r="AO52" s="676"/>
      <c r="AP52" s="676"/>
      <c r="AQ52" s="676"/>
      <c r="AR52" s="30"/>
      <c r="AS52" s="29"/>
      <c r="AT52" s="676"/>
      <c r="AU52" s="676"/>
      <c r="AV52" s="676"/>
      <c r="AW52" s="30"/>
      <c r="AX52" s="29"/>
      <c r="AY52" s="47"/>
      <c r="AZ52" s="47"/>
      <c r="BA52" s="47"/>
      <c r="BB52" s="30"/>
      <c r="BC52" s="29"/>
      <c r="BD52" s="47"/>
      <c r="BE52" s="47"/>
      <c r="BF52" s="47"/>
      <c r="BG52" s="30"/>
      <c r="BH52" s="29"/>
      <c r="BI52" s="47"/>
      <c r="BJ52" s="47"/>
      <c r="BK52" s="47"/>
      <c r="BL52" s="30"/>
      <c r="BM52" s="29"/>
      <c r="BN52" s="47"/>
      <c r="BO52" s="47"/>
      <c r="BP52" s="47"/>
      <c r="BQ52" s="30"/>
      <c r="BR52" s="29"/>
    </row>
    <row r="53" spans="1:83" ht="6" hidden="1" customHeight="1" x14ac:dyDescent="0.25">
      <c r="A53" s="676"/>
      <c r="B53" s="676"/>
      <c r="C53" s="676"/>
      <c r="D53" s="675"/>
      <c r="E53" s="675"/>
      <c r="F53" s="676"/>
      <c r="G53" s="676"/>
      <c r="H53" s="676"/>
      <c r="I53" s="675"/>
      <c r="J53" s="675"/>
      <c r="K53" s="676"/>
      <c r="L53" s="676"/>
      <c r="M53" s="676"/>
      <c r="N53" s="675"/>
      <c r="O53" s="675"/>
      <c r="P53" s="676"/>
      <c r="Q53" s="676"/>
      <c r="R53" s="676"/>
      <c r="S53" s="675"/>
      <c r="T53" s="675"/>
      <c r="U53" s="676"/>
      <c r="V53" s="676"/>
      <c r="W53" s="676"/>
      <c r="X53" s="675"/>
      <c r="Y53" s="675"/>
      <c r="Z53" s="676"/>
      <c r="AA53" s="676"/>
      <c r="AB53" s="676"/>
      <c r="AC53" s="675"/>
      <c r="AD53" s="675"/>
      <c r="AE53" s="676"/>
      <c r="AF53" s="676"/>
      <c r="AG53" s="676"/>
      <c r="AH53" s="675"/>
      <c r="AI53" s="675"/>
      <c r="AJ53" s="676"/>
      <c r="AK53" s="676"/>
      <c r="AL53" s="676"/>
      <c r="AM53" s="675"/>
      <c r="AN53" s="675"/>
      <c r="AO53" s="676"/>
      <c r="AP53" s="676"/>
      <c r="AQ53" s="676"/>
      <c r="AR53" s="675"/>
      <c r="AS53" s="675"/>
      <c r="AT53" s="676"/>
      <c r="AU53" s="676"/>
      <c r="AV53" s="676"/>
      <c r="AW53" s="675"/>
      <c r="AX53" s="675"/>
      <c r="AY53" s="47"/>
      <c r="AZ53" s="47"/>
      <c r="BA53" s="47"/>
      <c r="BB53" s="69"/>
      <c r="BC53" s="69"/>
      <c r="BD53" s="47"/>
      <c r="BE53" s="47"/>
      <c r="BF53" s="47"/>
      <c r="BG53" s="69"/>
      <c r="BH53" s="69"/>
      <c r="BI53" s="47"/>
      <c r="BJ53" s="47"/>
      <c r="BK53" s="47"/>
      <c r="BL53" s="69"/>
      <c r="BM53" s="69"/>
      <c r="BN53" s="47"/>
      <c r="BO53" s="47"/>
      <c r="BP53" s="47"/>
      <c r="BQ53" s="69"/>
      <c r="BR53" s="69"/>
    </row>
    <row r="54" spans="1:83" ht="59.25" hidden="1" customHeight="1" thickBot="1" x14ac:dyDescent="0.3">
      <c r="A54" s="677"/>
      <c r="B54" s="678"/>
      <c r="C54" s="678"/>
      <c r="D54" s="678"/>
      <c r="E54" s="678"/>
      <c r="F54" s="677"/>
      <c r="G54" s="678"/>
      <c r="H54" s="678"/>
      <c r="I54" s="678"/>
      <c r="J54" s="678"/>
      <c r="K54" s="677"/>
      <c r="L54" s="678"/>
      <c r="M54" s="678"/>
      <c r="N54" s="678"/>
      <c r="O54" s="678"/>
      <c r="P54" s="677"/>
      <c r="Q54" s="678"/>
      <c r="R54" s="678"/>
      <c r="S54" s="678"/>
      <c r="T54" s="678"/>
      <c r="U54" s="677"/>
      <c r="V54" s="678"/>
      <c r="W54" s="678"/>
      <c r="X54" s="678"/>
      <c r="Y54" s="678"/>
      <c r="Z54" s="677"/>
      <c r="AA54" s="678"/>
      <c r="AB54" s="678"/>
      <c r="AC54" s="678"/>
      <c r="AD54" s="678"/>
      <c r="AE54" s="677"/>
      <c r="AF54" s="678"/>
      <c r="AG54" s="678"/>
      <c r="AH54" s="678"/>
      <c r="AI54" s="678"/>
      <c r="AJ54" s="677"/>
      <c r="AK54" s="678"/>
      <c r="AL54" s="678"/>
      <c r="AM54" s="678"/>
      <c r="AN54" s="678"/>
      <c r="AO54" s="677"/>
      <c r="AP54" s="678"/>
      <c r="AQ54" s="678"/>
      <c r="AR54" s="678"/>
      <c r="AS54" s="678"/>
      <c r="AT54" s="677"/>
      <c r="AU54" s="678"/>
      <c r="AV54" s="678"/>
      <c r="AW54" s="678"/>
      <c r="AX54" s="678"/>
      <c r="AY54" s="70"/>
      <c r="AZ54" s="71"/>
      <c r="BA54" s="71"/>
      <c r="BB54" s="71"/>
      <c r="BC54" s="71"/>
      <c r="BD54" s="70"/>
      <c r="BE54" s="71"/>
      <c r="BF54" s="71"/>
      <c r="BG54" s="71"/>
      <c r="BH54" s="71"/>
      <c r="BI54" s="70"/>
      <c r="BJ54" s="71"/>
      <c r="BK54" s="71"/>
      <c r="BL54" s="71"/>
      <c r="BM54" s="71"/>
      <c r="BN54" s="70"/>
      <c r="BO54" s="71"/>
      <c r="BP54" s="71"/>
      <c r="BQ54" s="71"/>
      <c r="BR54" s="71"/>
    </row>
    <row r="55" spans="1:83" ht="27" hidden="1" customHeight="1" thickBot="1" x14ac:dyDescent="0.3">
      <c r="A55" s="677"/>
      <c r="B55" s="32"/>
      <c r="C55" s="33"/>
      <c r="D55" s="34"/>
      <c r="E55" s="35"/>
      <c r="F55" s="677"/>
      <c r="G55" s="32"/>
      <c r="H55" s="33"/>
      <c r="I55" s="34"/>
      <c r="J55" s="35"/>
      <c r="K55" s="677"/>
      <c r="L55" s="32"/>
      <c r="M55" s="33"/>
      <c r="N55" s="34"/>
      <c r="O55" s="35"/>
      <c r="P55" s="677"/>
      <c r="Q55" s="32"/>
      <c r="R55" s="33"/>
      <c r="S55" s="34"/>
      <c r="T55" s="35"/>
      <c r="U55" s="677"/>
      <c r="V55" s="32"/>
      <c r="W55" s="33"/>
      <c r="X55" s="34"/>
      <c r="Y55" s="35"/>
      <c r="Z55" s="677"/>
      <c r="AA55" s="32"/>
      <c r="AB55" s="33"/>
      <c r="AC55" s="34"/>
      <c r="AD55" s="35"/>
      <c r="AE55" s="677"/>
      <c r="AF55" s="32"/>
      <c r="AG55" s="33"/>
      <c r="AH55" s="34"/>
      <c r="AI55" s="35"/>
      <c r="AJ55" s="677"/>
      <c r="AK55" s="32"/>
      <c r="AL55" s="33"/>
      <c r="AM55" s="34"/>
      <c r="AN55" s="35"/>
      <c r="AO55" s="677"/>
      <c r="AP55" s="32"/>
      <c r="AQ55" s="33"/>
      <c r="AR55" s="34"/>
      <c r="AS55" s="35"/>
      <c r="AT55" s="677"/>
      <c r="AU55" s="32"/>
      <c r="AV55" s="33"/>
      <c r="AW55" s="34"/>
      <c r="AX55" s="35"/>
      <c r="AY55" s="70"/>
      <c r="AZ55" s="32"/>
      <c r="BA55" s="33"/>
      <c r="BB55" s="34"/>
      <c r="BC55" s="35"/>
      <c r="BD55" s="70"/>
      <c r="BE55" s="32"/>
      <c r="BF55" s="33"/>
      <c r="BG55" s="34"/>
      <c r="BH55" s="35"/>
      <c r="BI55" s="70"/>
      <c r="BJ55" s="32"/>
      <c r="BK55" s="33"/>
      <c r="BL55" s="34"/>
      <c r="BM55" s="35"/>
      <c r="BN55" s="70"/>
      <c r="BO55" s="32"/>
      <c r="BP55" s="33"/>
      <c r="BQ55" s="34"/>
      <c r="BR55" s="35"/>
      <c r="BW55" s="27"/>
      <c r="BX55" s="27"/>
      <c r="BY55" s="27"/>
      <c r="BZ55" s="27"/>
      <c r="CA55" s="27"/>
      <c r="CB55" s="27"/>
      <c r="CC55" s="27"/>
      <c r="CD55" s="27"/>
      <c r="CE55" s="27"/>
    </row>
    <row r="56" spans="1:83" ht="26.1" hidden="1" customHeight="1" x14ac:dyDescent="0.25">
      <c r="A56" s="674"/>
      <c r="B56" s="674"/>
      <c r="C56" s="674"/>
      <c r="D56" s="675"/>
      <c r="E56" s="675"/>
      <c r="F56" s="674"/>
      <c r="G56" s="674"/>
      <c r="H56" s="674"/>
      <c r="I56" s="675"/>
      <c r="J56" s="675"/>
      <c r="K56" s="674"/>
      <c r="L56" s="674"/>
      <c r="M56" s="674"/>
      <c r="N56" s="675"/>
      <c r="O56" s="675"/>
      <c r="P56" s="674"/>
      <c r="Q56" s="674"/>
      <c r="R56" s="674"/>
      <c r="S56" s="675"/>
      <c r="T56" s="675"/>
      <c r="U56" s="674"/>
      <c r="V56" s="674"/>
      <c r="W56" s="674"/>
      <c r="X56" s="675"/>
      <c r="Y56" s="675"/>
      <c r="Z56" s="674"/>
      <c r="AA56" s="674"/>
      <c r="AB56" s="674"/>
      <c r="AC56" s="675"/>
      <c r="AD56" s="675"/>
      <c r="AE56" s="674"/>
      <c r="AF56" s="674"/>
      <c r="AG56" s="674"/>
      <c r="AH56" s="675"/>
      <c r="AI56" s="675"/>
      <c r="AJ56" s="674"/>
      <c r="AK56" s="674"/>
      <c r="AL56" s="674"/>
      <c r="AM56" s="675"/>
      <c r="AN56" s="675"/>
      <c r="AO56" s="674"/>
      <c r="AP56" s="674"/>
      <c r="AQ56" s="674"/>
      <c r="AR56" s="675"/>
      <c r="AS56" s="675"/>
      <c r="AT56" s="674"/>
      <c r="AU56" s="674"/>
      <c r="AV56" s="674"/>
      <c r="AW56" s="675"/>
      <c r="AX56" s="675"/>
      <c r="AY56" s="44"/>
      <c r="AZ56" s="44"/>
      <c r="BA56" s="44"/>
      <c r="BB56" s="69"/>
      <c r="BC56" s="69"/>
      <c r="BD56" s="44"/>
      <c r="BE56" s="44"/>
      <c r="BF56" s="44"/>
      <c r="BG56" s="69"/>
      <c r="BH56" s="69"/>
      <c r="BI56" s="44"/>
      <c r="BJ56" s="44"/>
      <c r="BK56" s="44"/>
      <c r="BL56" s="69"/>
      <c r="BM56" s="69"/>
      <c r="BN56" s="44"/>
      <c r="BO56" s="44"/>
      <c r="BP56" s="44"/>
      <c r="BQ56" s="69"/>
      <c r="BR56" s="69"/>
    </row>
    <row r="57" spans="1:83" ht="6.75" hidden="1" customHeight="1" x14ac:dyDescent="0.25">
      <c r="A57" s="676"/>
      <c r="B57" s="676"/>
      <c r="C57" s="676"/>
      <c r="D57" s="29"/>
      <c r="E57" s="29"/>
      <c r="F57" s="676"/>
      <c r="G57" s="676"/>
      <c r="H57" s="676"/>
      <c r="I57" s="29"/>
      <c r="J57" s="29"/>
      <c r="K57" s="676"/>
      <c r="L57" s="676"/>
      <c r="M57" s="676"/>
      <c r="N57" s="29"/>
      <c r="O57" s="29"/>
      <c r="P57" s="676"/>
      <c r="Q57" s="676"/>
      <c r="R57" s="676"/>
      <c r="S57" s="29"/>
      <c r="T57" s="29"/>
      <c r="U57" s="676"/>
      <c r="V57" s="676"/>
      <c r="W57" s="676"/>
      <c r="X57" s="29"/>
      <c r="Y57" s="29"/>
      <c r="Z57" s="676"/>
      <c r="AA57" s="676"/>
      <c r="AB57" s="676"/>
      <c r="AC57" s="29"/>
      <c r="AD57" s="29"/>
      <c r="AE57" s="676"/>
      <c r="AF57" s="676"/>
      <c r="AG57" s="676"/>
      <c r="AH57" s="29"/>
      <c r="AI57" s="29"/>
      <c r="AJ57" s="676"/>
      <c r="AK57" s="676"/>
      <c r="AL57" s="676"/>
      <c r="AM57" s="29"/>
      <c r="AN57" s="29"/>
      <c r="AO57" s="676"/>
      <c r="AP57" s="676"/>
      <c r="AQ57" s="676"/>
      <c r="AR57" s="29"/>
      <c r="AS57" s="29"/>
      <c r="AT57" s="676"/>
      <c r="AU57" s="676"/>
      <c r="AV57" s="676"/>
      <c r="AW57" s="29"/>
      <c r="AX57" s="29"/>
      <c r="AY57" s="47"/>
      <c r="AZ57" s="47"/>
      <c r="BA57" s="47"/>
      <c r="BB57" s="29"/>
      <c r="BC57" s="29"/>
      <c r="BD57" s="47"/>
      <c r="BE57" s="47"/>
      <c r="BF57" s="47"/>
      <c r="BG57" s="29"/>
      <c r="BH57" s="29"/>
      <c r="BI57" s="47"/>
      <c r="BJ57" s="47"/>
      <c r="BK57" s="47"/>
      <c r="BL57" s="29"/>
      <c r="BM57" s="29"/>
      <c r="BN57" s="47"/>
      <c r="BO57" s="47"/>
      <c r="BP57" s="47"/>
      <c r="BQ57" s="29"/>
      <c r="BR57" s="29"/>
    </row>
    <row r="58" spans="1:83" ht="21.95" hidden="1" customHeight="1" x14ac:dyDescent="0.25">
      <c r="A58" s="676"/>
      <c r="B58" s="676"/>
      <c r="C58" s="676"/>
      <c r="D58" s="30"/>
      <c r="E58" s="29"/>
      <c r="F58" s="676"/>
      <c r="G58" s="676"/>
      <c r="H58" s="676"/>
      <c r="I58" s="30"/>
      <c r="J58" s="29"/>
      <c r="K58" s="676"/>
      <c r="L58" s="676"/>
      <c r="M58" s="676"/>
      <c r="N58" s="30"/>
      <c r="O58" s="29"/>
      <c r="P58" s="676"/>
      <c r="Q58" s="676"/>
      <c r="R58" s="676"/>
      <c r="S58" s="30"/>
      <c r="T58" s="29"/>
      <c r="U58" s="676"/>
      <c r="V58" s="676"/>
      <c r="W58" s="676"/>
      <c r="X58" s="30"/>
      <c r="Y58" s="29"/>
      <c r="Z58" s="676"/>
      <c r="AA58" s="676"/>
      <c r="AB58" s="676"/>
      <c r="AC58" s="30"/>
      <c r="AD58" s="29"/>
      <c r="AE58" s="676"/>
      <c r="AF58" s="676"/>
      <c r="AG58" s="676"/>
      <c r="AH58" s="30"/>
      <c r="AI58" s="29"/>
      <c r="AJ58" s="676"/>
      <c r="AK58" s="676"/>
      <c r="AL58" s="676"/>
      <c r="AM58" s="30"/>
      <c r="AN58" s="29"/>
      <c r="AO58" s="676"/>
      <c r="AP58" s="676"/>
      <c r="AQ58" s="676"/>
      <c r="AR58" s="30"/>
      <c r="AS58" s="29"/>
      <c r="AT58" s="676"/>
      <c r="AU58" s="676"/>
      <c r="AV58" s="676"/>
      <c r="AW58" s="30"/>
      <c r="AX58" s="29"/>
      <c r="AY58" s="47"/>
      <c r="AZ58" s="47"/>
      <c r="BA58" s="47"/>
      <c r="BB58" s="30"/>
      <c r="BC58" s="29"/>
      <c r="BD58" s="47"/>
      <c r="BE58" s="47"/>
      <c r="BF58" s="47"/>
      <c r="BG58" s="30"/>
      <c r="BH58" s="29"/>
      <c r="BI58" s="47"/>
      <c r="BJ58" s="47"/>
      <c r="BK58" s="47"/>
      <c r="BL58" s="30"/>
      <c r="BM58" s="29"/>
      <c r="BN58" s="47"/>
      <c r="BO58" s="47"/>
      <c r="BP58" s="47"/>
      <c r="BQ58" s="30"/>
      <c r="BR58" s="29"/>
    </row>
    <row r="59" spans="1:83" ht="6" hidden="1" customHeight="1" x14ac:dyDescent="0.25">
      <c r="A59" s="676"/>
      <c r="B59" s="676"/>
      <c r="C59" s="676"/>
      <c r="D59" s="675"/>
      <c r="E59" s="675"/>
      <c r="F59" s="676"/>
      <c r="G59" s="676"/>
      <c r="H59" s="676"/>
      <c r="I59" s="675"/>
      <c r="J59" s="675"/>
      <c r="K59" s="676"/>
      <c r="L59" s="676"/>
      <c r="M59" s="676"/>
      <c r="N59" s="675"/>
      <c r="O59" s="675"/>
      <c r="P59" s="676"/>
      <c r="Q59" s="676"/>
      <c r="R59" s="676"/>
      <c r="S59" s="675"/>
      <c r="T59" s="675"/>
      <c r="U59" s="676"/>
      <c r="V59" s="676"/>
      <c r="W59" s="676"/>
      <c r="X59" s="675"/>
      <c r="Y59" s="675"/>
      <c r="Z59" s="676"/>
      <c r="AA59" s="676"/>
      <c r="AB59" s="676"/>
      <c r="AC59" s="675"/>
      <c r="AD59" s="675"/>
      <c r="AE59" s="676"/>
      <c r="AF59" s="676"/>
      <c r="AG59" s="676"/>
      <c r="AH59" s="675"/>
      <c r="AI59" s="675"/>
      <c r="AJ59" s="676"/>
      <c r="AK59" s="676"/>
      <c r="AL59" s="676"/>
      <c r="AM59" s="675"/>
      <c r="AN59" s="675"/>
      <c r="AO59" s="676"/>
      <c r="AP59" s="676"/>
      <c r="AQ59" s="676"/>
      <c r="AR59" s="675"/>
      <c r="AS59" s="675"/>
      <c r="AT59" s="676"/>
      <c r="AU59" s="676"/>
      <c r="AV59" s="676"/>
      <c r="AW59" s="675"/>
      <c r="AX59" s="675"/>
      <c r="AY59" s="47"/>
      <c r="AZ59" s="47"/>
      <c r="BA59" s="47"/>
      <c r="BB59" s="69"/>
      <c r="BC59" s="69"/>
      <c r="BD59" s="47"/>
      <c r="BE59" s="47"/>
      <c r="BF59" s="47"/>
      <c r="BG59" s="69"/>
      <c r="BH59" s="69"/>
      <c r="BI59" s="47"/>
      <c r="BJ59" s="47"/>
      <c r="BK59" s="47"/>
      <c r="BL59" s="69"/>
      <c r="BM59" s="69"/>
      <c r="BN59" s="47"/>
      <c r="BO59" s="47"/>
      <c r="BP59" s="47"/>
      <c r="BQ59" s="69"/>
      <c r="BR59" s="69"/>
    </row>
    <row r="60" spans="1:83" ht="59.25" hidden="1" customHeight="1" thickBot="1" x14ac:dyDescent="0.3">
      <c r="A60" s="677"/>
      <c r="B60" s="678"/>
      <c r="C60" s="678"/>
      <c r="D60" s="678"/>
      <c r="E60" s="678"/>
      <c r="F60" s="677"/>
      <c r="G60" s="678"/>
      <c r="H60" s="678"/>
      <c r="I60" s="678"/>
      <c r="J60" s="678"/>
      <c r="K60" s="677"/>
      <c r="L60" s="678"/>
      <c r="M60" s="678"/>
      <c r="N60" s="678"/>
      <c r="O60" s="678"/>
      <c r="P60" s="677"/>
      <c r="Q60" s="678"/>
      <c r="R60" s="678"/>
      <c r="S60" s="678"/>
      <c r="T60" s="678"/>
      <c r="U60" s="677"/>
      <c r="V60" s="678"/>
      <c r="W60" s="678"/>
      <c r="X60" s="678"/>
      <c r="Y60" s="678"/>
      <c r="Z60" s="677"/>
      <c r="AA60" s="678"/>
      <c r="AB60" s="678"/>
      <c r="AC60" s="678"/>
      <c r="AD60" s="678"/>
      <c r="AE60" s="677"/>
      <c r="AF60" s="678"/>
      <c r="AG60" s="678"/>
      <c r="AH60" s="678"/>
      <c r="AI60" s="678"/>
      <c r="AJ60" s="677"/>
      <c r="AK60" s="678"/>
      <c r="AL60" s="678"/>
      <c r="AM60" s="678"/>
      <c r="AN60" s="678"/>
      <c r="AO60" s="677"/>
      <c r="AP60" s="678"/>
      <c r="AQ60" s="678"/>
      <c r="AR60" s="678"/>
      <c r="AS60" s="678"/>
      <c r="AT60" s="677"/>
      <c r="AU60" s="678"/>
      <c r="AV60" s="678"/>
      <c r="AW60" s="678"/>
      <c r="AX60" s="678"/>
      <c r="AY60" s="70"/>
      <c r="AZ60" s="71"/>
      <c r="BA60" s="71"/>
      <c r="BB60" s="71"/>
      <c r="BC60" s="71"/>
      <c r="BD60" s="70"/>
      <c r="BE60" s="71"/>
      <c r="BF60" s="71"/>
      <c r="BG60" s="71"/>
      <c r="BH60" s="71"/>
      <c r="BI60" s="70"/>
      <c r="BJ60" s="71"/>
      <c r="BK60" s="71"/>
      <c r="BL60" s="71"/>
      <c r="BM60" s="71"/>
      <c r="BN60" s="70"/>
      <c r="BO60" s="71"/>
      <c r="BP60" s="71"/>
      <c r="BQ60" s="71"/>
      <c r="BR60" s="71"/>
    </row>
    <row r="61" spans="1:83" ht="27" hidden="1" customHeight="1" thickBot="1" x14ac:dyDescent="0.3">
      <c r="A61" s="677"/>
      <c r="B61" s="32"/>
      <c r="C61" s="33"/>
      <c r="D61" s="34"/>
      <c r="E61" s="35"/>
      <c r="F61" s="677"/>
      <c r="G61" s="32"/>
      <c r="H61" s="33"/>
      <c r="I61" s="34"/>
      <c r="J61" s="35"/>
      <c r="K61" s="677"/>
      <c r="L61" s="32"/>
      <c r="M61" s="33"/>
      <c r="N61" s="34"/>
      <c r="O61" s="35"/>
      <c r="P61" s="677"/>
      <c r="Q61" s="32"/>
      <c r="R61" s="33"/>
      <c r="S61" s="34"/>
      <c r="T61" s="35"/>
      <c r="U61" s="677"/>
      <c r="V61" s="32"/>
      <c r="W61" s="33"/>
      <c r="X61" s="34"/>
      <c r="Y61" s="35"/>
      <c r="Z61" s="677"/>
      <c r="AA61" s="32"/>
      <c r="AB61" s="33"/>
      <c r="AC61" s="34"/>
      <c r="AD61" s="35"/>
      <c r="AE61" s="677"/>
      <c r="AF61" s="32"/>
      <c r="AG61" s="33"/>
      <c r="AH61" s="34"/>
      <c r="AI61" s="35"/>
      <c r="AJ61" s="677"/>
      <c r="AK61" s="32"/>
      <c r="AL61" s="33"/>
      <c r="AM61" s="34"/>
      <c r="AN61" s="35"/>
      <c r="AO61" s="677"/>
      <c r="AP61" s="32"/>
      <c r="AQ61" s="33"/>
      <c r="AR61" s="34"/>
      <c r="AS61" s="35"/>
      <c r="AT61" s="677"/>
      <c r="AU61" s="32"/>
      <c r="AV61" s="33"/>
      <c r="AW61" s="34"/>
      <c r="AX61" s="35"/>
      <c r="AY61" s="70"/>
      <c r="AZ61" s="32"/>
      <c r="BA61" s="33"/>
      <c r="BB61" s="34"/>
      <c r="BC61" s="35"/>
      <c r="BD61" s="70"/>
      <c r="BE61" s="32"/>
      <c r="BF61" s="33"/>
      <c r="BG61" s="34"/>
      <c r="BH61" s="35"/>
      <c r="BI61" s="70"/>
      <c r="BJ61" s="32"/>
      <c r="BK61" s="33"/>
      <c r="BL61" s="34"/>
      <c r="BM61" s="35"/>
      <c r="BN61" s="70"/>
      <c r="BO61" s="32"/>
      <c r="BP61" s="33"/>
      <c r="BQ61" s="34"/>
      <c r="BR61" s="35"/>
      <c r="BW61" s="27"/>
      <c r="BX61" s="27"/>
      <c r="BY61" s="27"/>
      <c r="BZ61" s="27"/>
      <c r="CA61" s="27"/>
      <c r="CB61" s="27"/>
      <c r="CC61" s="27"/>
      <c r="CD61" s="27"/>
      <c r="CE61" s="27"/>
    </row>
    <row r="62" spans="1:83" s="42" customFormat="1" ht="6.75" customHeight="1" thickTop="1" x14ac:dyDescent="0.25">
      <c r="A62" s="37"/>
      <c r="B62" s="38"/>
      <c r="C62" s="39"/>
      <c r="D62" s="40"/>
      <c r="E62" s="41"/>
      <c r="F62" s="37"/>
      <c r="G62" s="38"/>
      <c r="H62" s="39"/>
      <c r="I62" s="40"/>
      <c r="J62" s="41"/>
      <c r="K62" s="37"/>
      <c r="L62" s="38"/>
      <c r="M62" s="39"/>
      <c r="N62" s="40"/>
      <c r="O62" s="41"/>
      <c r="P62" s="37"/>
      <c r="Q62" s="38"/>
      <c r="R62" s="39"/>
      <c r="S62" s="40"/>
      <c r="T62" s="41"/>
      <c r="U62" s="37"/>
      <c r="V62" s="38"/>
      <c r="W62" s="38"/>
      <c r="X62" s="39"/>
      <c r="Y62" s="40"/>
      <c r="Z62" s="41"/>
      <c r="AA62" s="37"/>
      <c r="AB62" s="38"/>
      <c r="AC62" s="39"/>
      <c r="AD62" s="40"/>
      <c r="AE62" s="41"/>
      <c r="AF62" s="38"/>
      <c r="AG62" s="39"/>
      <c r="AH62" s="40"/>
      <c r="AI62" s="41"/>
      <c r="AJ62" s="37"/>
      <c r="AK62" s="38"/>
      <c r="AL62" s="39"/>
      <c r="AM62" s="40"/>
      <c r="AN62" s="41"/>
      <c r="AO62" s="38"/>
      <c r="AP62" s="39"/>
      <c r="AQ62" s="40"/>
      <c r="AR62" s="41"/>
      <c r="AS62" s="37"/>
      <c r="AT62" s="38"/>
      <c r="AU62" s="39"/>
      <c r="AV62" s="40"/>
      <c r="AW62" s="41"/>
      <c r="AX62" s="38"/>
      <c r="AY62" s="39"/>
      <c r="AZ62" s="40"/>
      <c r="BA62" s="41"/>
      <c r="BB62" s="45"/>
      <c r="BC62" s="45"/>
      <c r="BD62" s="45"/>
      <c r="BE62" s="45"/>
      <c r="BF62" s="45"/>
      <c r="BG62" s="45"/>
      <c r="BH62" s="45"/>
      <c r="BI62" s="45"/>
      <c r="BJ62" s="45"/>
      <c r="BK62" s="45"/>
      <c r="BL62" s="45"/>
      <c r="BM62" s="45"/>
      <c r="BN62" s="45"/>
      <c r="BO62" s="34"/>
      <c r="BP62" s="34"/>
      <c r="BQ62" s="39"/>
      <c r="BR62" s="40"/>
      <c r="BW62" s="43"/>
      <c r="BX62" s="43"/>
      <c r="BY62" s="43"/>
      <c r="BZ62" s="43"/>
      <c r="CA62" s="43"/>
      <c r="CB62" s="43"/>
      <c r="CC62" s="43"/>
      <c r="CD62" s="43"/>
      <c r="CE62" s="43"/>
    </row>
    <row r="63" spans="1:83" ht="6.75" customHeight="1" x14ac:dyDescent="0.25">
      <c r="A63" s="674"/>
      <c r="B63" s="674"/>
      <c r="C63" s="674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45"/>
      <c r="AN63" s="45"/>
      <c r="AO63" s="45"/>
      <c r="AP63" s="45"/>
      <c r="AQ63" s="45"/>
      <c r="AR63" s="45"/>
      <c r="AS63" s="45"/>
      <c r="AT63" s="45"/>
      <c r="AU63" s="45"/>
      <c r="AV63" s="45"/>
      <c r="AW63" s="45"/>
      <c r="AX63" s="45"/>
      <c r="AY63" s="45"/>
      <c r="AZ63" s="45"/>
      <c r="BA63" s="45"/>
      <c r="BB63" s="45"/>
      <c r="BC63" s="45"/>
      <c r="BD63" s="45"/>
      <c r="BE63" s="45"/>
      <c r="BF63" s="45"/>
      <c r="BG63" s="45"/>
      <c r="BH63" s="45"/>
      <c r="BI63" s="45"/>
      <c r="BJ63" s="45"/>
      <c r="BK63" s="45"/>
      <c r="BL63" s="45"/>
      <c r="BM63" s="45"/>
      <c r="BN63" s="45"/>
      <c r="BO63" s="45"/>
      <c r="BP63" s="45"/>
      <c r="BQ63" s="45"/>
      <c r="BR63" s="45"/>
    </row>
    <row r="64" spans="1:83" ht="6.75" customHeight="1" x14ac:dyDescent="0.25">
      <c r="A64" s="676"/>
      <c r="B64" s="676"/>
      <c r="C64" s="676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45"/>
      <c r="BD64" s="45"/>
      <c r="BE64" s="45"/>
      <c r="BF64" s="45"/>
      <c r="BG64" s="45"/>
      <c r="BH64" s="45"/>
      <c r="BI64" s="45"/>
      <c r="BJ64" s="45"/>
      <c r="BK64" s="45"/>
      <c r="BL64" s="45"/>
      <c r="BM64" s="45"/>
      <c r="BN64" s="45"/>
      <c r="BO64" s="34"/>
      <c r="BP64" s="45"/>
      <c r="BQ64" s="45"/>
      <c r="BR64" s="45"/>
    </row>
    <row r="65" spans="1:90" ht="37.5" customHeight="1" x14ac:dyDescent="0.25">
      <c r="A65" s="676"/>
      <c r="B65" s="676"/>
      <c r="C65" s="676"/>
      <c r="D65" s="49"/>
      <c r="E65" s="49"/>
      <c r="F65" s="49"/>
      <c r="G65" s="49"/>
      <c r="H65" s="49"/>
      <c r="I65" s="49"/>
      <c r="J65" s="697"/>
      <c r="K65" s="697"/>
      <c r="L65" s="697"/>
      <c r="M65" s="697"/>
      <c r="N65" s="697"/>
      <c r="O65" s="697"/>
      <c r="P65" s="697"/>
      <c r="Q65" s="697"/>
      <c r="R65" s="697"/>
      <c r="S65" s="697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5"/>
      <c r="AW65" s="45"/>
      <c r="AX65" s="45"/>
      <c r="AY65" s="45"/>
      <c r="AZ65" s="45"/>
      <c r="BA65" s="45"/>
      <c r="BB65" s="45"/>
      <c r="BC65" s="45"/>
      <c r="BD65" s="45"/>
      <c r="BE65" s="45"/>
      <c r="BF65" s="45"/>
      <c r="BG65" s="45"/>
      <c r="BH65" s="45"/>
      <c r="BI65" s="45"/>
      <c r="BJ65" s="45"/>
      <c r="BK65" s="45"/>
      <c r="BL65" s="45"/>
      <c r="BM65" s="45"/>
      <c r="BN65" s="45"/>
      <c r="BO65" s="45"/>
      <c r="BP65" s="45"/>
      <c r="BQ65" s="45"/>
      <c r="BR65" s="45"/>
    </row>
    <row r="66" spans="1:90" ht="6" customHeight="1" x14ac:dyDescent="0.25">
      <c r="A66" s="676"/>
      <c r="B66" s="676"/>
      <c r="C66" s="676"/>
      <c r="D66" s="45"/>
      <c r="E66" s="45"/>
      <c r="F66" s="45"/>
      <c r="G66" s="45"/>
      <c r="H66" s="45"/>
      <c r="I66" s="45"/>
      <c r="J66" s="697"/>
      <c r="K66" s="697"/>
      <c r="L66" s="697"/>
      <c r="M66" s="697"/>
      <c r="N66" s="697"/>
      <c r="O66" s="697"/>
      <c r="P66" s="697"/>
      <c r="Q66" s="697"/>
      <c r="R66" s="697"/>
      <c r="S66" s="697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5"/>
      <c r="BF66" s="45"/>
      <c r="BG66" s="45"/>
      <c r="BH66" s="45"/>
      <c r="BI66" s="45"/>
      <c r="BJ66" s="45"/>
      <c r="BK66" s="45"/>
      <c r="BL66" s="45"/>
      <c r="BM66" s="45"/>
      <c r="BN66" s="45"/>
      <c r="BO66" s="45"/>
      <c r="BP66" s="45"/>
      <c r="BQ66" s="45"/>
      <c r="BR66" s="45"/>
    </row>
    <row r="67" spans="1:90" ht="30" customHeight="1" x14ac:dyDescent="0.25">
      <c r="B67" s="17"/>
      <c r="D67" s="45"/>
      <c r="E67" s="45"/>
      <c r="F67" s="45"/>
      <c r="G67" s="45"/>
      <c r="H67" s="45"/>
      <c r="I67" s="45"/>
      <c r="J67" s="697"/>
      <c r="K67" s="697"/>
      <c r="L67" s="697"/>
      <c r="M67" s="697"/>
      <c r="N67" s="697"/>
      <c r="O67" s="697"/>
      <c r="P67" s="697"/>
      <c r="Q67" s="697"/>
      <c r="R67" s="697"/>
      <c r="S67" s="697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49"/>
      <c r="BC67" s="49"/>
      <c r="BD67" s="49"/>
      <c r="BE67" s="49"/>
      <c r="BF67" s="49"/>
      <c r="BG67" s="49"/>
      <c r="BH67" s="49"/>
      <c r="BI67" s="49"/>
      <c r="BJ67" s="49"/>
      <c r="BK67" s="49"/>
      <c r="BL67" s="49"/>
      <c r="BM67" s="49"/>
      <c r="BN67" s="49"/>
      <c r="BO67" s="49"/>
      <c r="BP67" s="49"/>
      <c r="BQ67" s="49"/>
      <c r="BR67" s="49"/>
      <c r="BS67" s="50"/>
      <c r="BT67" s="50"/>
      <c r="BW67" s="51"/>
      <c r="BX67" s="51"/>
      <c r="BY67" s="51"/>
      <c r="BZ67" s="51"/>
      <c r="CA67" s="51"/>
      <c r="CB67" s="51"/>
      <c r="CC67" s="27"/>
      <c r="CD67" s="27"/>
      <c r="CE67" s="27"/>
      <c r="CG67" s="27"/>
      <c r="CH67" s="27"/>
      <c r="CI67" s="27"/>
      <c r="CJ67" s="27"/>
      <c r="CK67" s="27"/>
      <c r="CL67" s="27"/>
    </row>
    <row r="68" spans="1:90" ht="34.5" customHeight="1" x14ac:dyDescent="0.25">
      <c r="D68" s="45"/>
      <c r="E68" s="45"/>
      <c r="F68" s="45"/>
      <c r="G68" s="45"/>
      <c r="H68" s="45"/>
      <c r="I68" s="45"/>
      <c r="J68" s="697"/>
      <c r="K68" s="697"/>
      <c r="L68" s="697"/>
      <c r="M68" s="697"/>
      <c r="N68" s="697"/>
      <c r="O68" s="697"/>
      <c r="P68" s="697"/>
      <c r="Q68" s="697"/>
      <c r="R68" s="697"/>
      <c r="S68" s="697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45"/>
      <c r="AS68" s="45"/>
      <c r="AT68" s="45"/>
      <c r="AU68" s="45"/>
      <c r="AV68" s="45"/>
      <c r="AW68" s="45"/>
      <c r="AX68" s="45"/>
      <c r="AY68" s="45"/>
      <c r="AZ68" s="45"/>
      <c r="BA68" s="45"/>
      <c r="BB68" s="45"/>
      <c r="BC68" s="45"/>
      <c r="BD68" s="45"/>
      <c r="BE68" s="45"/>
      <c r="BF68" s="45"/>
      <c r="BG68" s="45"/>
      <c r="BH68" s="45"/>
      <c r="BI68" s="45"/>
      <c r="BJ68" s="45"/>
      <c r="BK68" s="45"/>
      <c r="BL68" s="45"/>
      <c r="BM68" s="45"/>
      <c r="BN68" s="45"/>
      <c r="BO68" s="45"/>
      <c r="BP68" s="45"/>
      <c r="BQ68" s="45"/>
      <c r="BR68" s="45"/>
      <c r="BS68" s="50"/>
      <c r="BT68" s="50"/>
      <c r="BW68" s="27"/>
      <c r="BX68" s="27"/>
      <c r="BY68" s="27"/>
      <c r="BZ68" s="27"/>
      <c r="CA68" s="27"/>
      <c r="CB68" s="27"/>
      <c r="CC68" s="27"/>
      <c r="CD68" s="27"/>
      <c r="CE68" s="27"/>
      <c r="CG68" s="27"/>
      <c r="CH68" s="27"/>
      <c r="CI68" s="27"/>
      <c r="CJ68" s="27"/>
      <c r="CK68" s="27"/>
      <c r="CL68" s="27"/>
    </row>
    <row r="69" spans="1:90" ht="15" customHeight="1" x14ac:dyDescent="0.25">
      <c r="G69" s="45"/>
      <c r="H69" s="45"/>
      <c r="I69" s="45"/>
      <c r="J69" s="52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5"/>
      <c r="AW69" s="45"/>
      <c r="AX69" s="45"/>
      <c r="AY69" s="45"/>
      <c r="AZ69" s="45"/>
      <c r="BA69" s="45"/>
      <c r="BB69" s="45"/>
      <c r="BC69" s="45"/>
      <c r="BD69" s="45"/>
      <c r="BE69" s="45"/>
      <c r="BF69" s="45"/>
      <c r="BG69" s="45"/>
      <c r="BH69" s="45"/>
      <c r="BI69" s="45"/>
      <c r="BJ69" s="45"/>
      <c r="BK69" s="45"/>
      <c r="BL69" s="45"/>
      <c r="BM69" s="45"/>
      <c r="BN69" s="45"/>
      <c r="BO69" s="45"/>
      <c r="BP69" s="45"/>
      <c r="BQ69" s="45"/>
      <c r="BR69" s="45"/>
      <c r="BS69" s="50"/>
      <c r="BT69" s="50"/>
      <c r="BW69" s="27"/>
      <c r="BX69" s="27"/>
      <c r="BY69" s="27"/>
      <c r="BZ69" s="27"/>
      <c r="CA69" s="27"/>
      <c r="CB69" s="27"/>
      <c r="CC69" s="27"/>
      <c r="CD69" s="27"/>
      <c r="CE69" s="27"/>
      <c r="CG69" s="27"/>
      <c r="CH69" s="27"/>
      <c r="CI69" s="27"/>
      <c r="CJ69" s="27"/>
      <c r="CK69" s="27"/>
      <c r="CL69" s="27"/>
    </row>
    <row r="70" spans="1:90" ht="15" customHeight="1" x14ac:dyDescent="0.25">
      <c r="G70" s="45"/>
      <c r="H70" s="45"/>
      <c r="I70" s="45"/>
      <c r="J70" s="52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38"/>
      <c r="X70" s="39"/>
      <c r="Y70" s="40"/>
      <c r="Z70" s="41"/>
      <c r="AA70" s="37"/>
      <c r="AB70" s="38"/>
      <c r="AC70" s="39"/>
      <c r="AD70" s="40"/>
      <c r="AE70" s="41"/>
      <c r="AF70" s="38"/>
      <c r="AG70" s="39"/>
      <c r="AH70" s="40"/>
      <c r="AI70" s="41"/>
      <c r="AJ70" s="37"/>
      <c r="AK70" s="38"/>
      <c r="AL70" s="39"/>
      <c r="AM70" s="40"/>
      <c r="AN70" s="41"/>
      <c r="AO70" s="38"/>
      <c r="AP70" s="39"/>
      <c r="AQ70" s="40"/>
      <c r="AR70" s="41"/>
      <c r="AS70" s="37"/>
      <c r="AT70" s="38"/>
      <c r="AU70" s="39"/>
      <c r="AV70" s="40"/>
      <c r="AW70" s="41"/>
      <c r="AX70" s="38"/>
      <c r="AY70" s="39"/>
      <c r="AZ70" s="40"/>
      <c r="BA70" s="41"/>
      <c r="BB70" s="37"/>
      <c r="BC70" s="38"/>
      <c r="BD70" s="39"/>
      <c r="BE70" s="40"/>
      <c r="BF70" s="41"/>
      <c r="BG70" s="38"/>
      <c r="BH70" s="39"/>
      <c r="BI70" s="40"/>
      <c r="BJ70" s="41"/>
      <c r="BK70" s="37"/>
      <c r="BL70" s="38"/>
      <c r="BM70" s="39"/>
      <c r="BN70" s="40"/>
      <c r="BO70" s="41"/>
      <c r="BP70" s="38"/>
      <c r="BQ70" s="39"/>
      <c r="BR70" s="40"/>
      <c r="BS70" s="50"/>
      <c r="BT70" s="50"/>
      <c r="BW70" s="27"/>
      <c r="BX70" s="27"/>
      <c r="BY70" s="27"/>
      <c r="BZ70" s="27"/>
      <c r="CA70" s="27"/>
      <c r="CB70" s="27"/>
      <c r="CC70" s="27"/>
      <c r="CD70" s="27"/>
      <c r="CE70" s="27"/>
      <c r="CG70" s="27"/>
      <c r="CH70" s="27"/>
      <c r="CI70" s="27"/>
      <c r="CJ70" s="27"/>
      <c r="CK70" s="27"/>
      <c r="CL70" s="27"/>
    </row>
    <row r="71" spans="1:90" ht="15" customHeight="1" x14ac:dyDescent="0.25">
      <c r="G71" s="49"/>
      <c r="H71" s="49"/>
      <c r="I71" s="49"/>
      <c r="J71" s="52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  <c r="AM71" s="45"/>
      <c r="AN71" s="45"/>
      <c r="AO71" s="45"/>
      <c r="AP71" s="45"/>
      <c r="AQ71" s="45"/>
      <c r="AR71" s="45"/>
      <c r="AS71" s="45"/>
      <c r="AT71" s="45"/>
      <c r="AU71" s="45"/>
      <c r="AV71" s="45"/>
      <c r="AW71" s="45"/>
      <c r="AX71" s="45"/>
      <c r="AY71" s="45"/>
      <c r="AZ71" s="45"/>
      <c r="BA71" s="45"/>
      <c r="BB71" s="45"/>
      <c r="BC71" s="45"/>
      <c r="BD71" s="45"/>
      <c r="BE71" s="45"/>
      <c r="BF71" s="45"/>
      <c r="BG71" s="45"/>
      <c r="BH71" s="45"/>
      <c r="BI71" s="45"/>
      <c r="BJ71" s="45"/>
      <c r="BK71" s="45"/>
      <c r="BL71" s="45"/>
      <c r="BM71" s="45"/>
      <c r="BN71" s="45"/>
      <c r="BO71" s="45"/>
      <c r="BP71" s="45"/>
      <c r="BQ71" s="45"/>
      <c r="BR71" s="45"/>
      <c r="BS71" s="53"/>
      <c r="BT71" s="53"/>
    </row>
    <row r="72" spans="1:90" ht="22.5" customHeight="1" x14ac:dyDescent="0.25">
      <c r="G72" s="45"/>
      <c r="H72" s="45"/>
      <c r="I72" s="45"/>
      <c r="J72" s="52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  <c r="BC72" s="45"/>
      <c r="BD72" s="45"/>
      <c r="BE72" s="45"/>
      <c r="BF72" s="45"/>
      <c r="BG72" s="45"/>
      <c r="BH72" s="45"/>
      <c r="BI72" s="45"/>
      <c r="BJ72" s="45"/>
      <c r="BK72" s="45"/>
      <c r="BL72" s="45"/>
      <c r="BM72" s="45"/>
      <c r="BN72" s="45"/>
      <c r="BO72" s="45"/>
      <c r="BP72" s="45"/>
      <c r="BQ72" s="45"/>
      <c r="BR72" s="45"/>
      <c r="BS72" s="53"/>
      <c r="BT72" s="53"/>
    </row>
    <row r="73" spans="1:90" ht="23.25" x14ac:dyDescent="0.35">
      <c r="A73" s="54"/>
      <c r="E73" s="54"/>
      <c r="F73" s="54"/>
      <c r="G73" s="1418" t="s">
        <v>446</v>
      </c>
      <c r="H73" s="1418"/>
      <c r="I73" s="1418"/>
      <c r="J73" s="1418"/>
      <c r="K73" s="1418"/>
      <c r="L73" s="1418"/>
      <c r="M73" s="1418"/>
      <c r="N73" s="1418"/>
      <c r="O73" s="1418"/>
      <c r="P73" s="1418"/>
      <c r="Q73" s="1418"/>
    </row>
    <row r="74" spans="1:90" ht="24" thickBot="1" x14ac:dyDescent="0.4">
      <c r="A74" s="54"/>
      <c r="B74" s="54"/>
      <c r="C74" s="54"/>
      <c r="D74" s="54"/>
      <c r="E74" s="54"/>
      <c r="F74" s="54"/>
      <c r="G74" s="1418"/>
      <c r="H74" s="1418"/>
      <c r="I74" s="1418"/>
      <c r="J74" s="1418"/>
      <c r="K74" s="1418"/>
      <c r="L74" s="1418"/>
      <c r="M74" s="1418"/>
      <c r="N74" s="1418"/>
      <c r="O74" s="1418"/>
      <c r="P74" s="1418"/>
      <c r="Q74" s="1418"/>
      <c r="X74" s="55"/>
    </row>
    <row r="75" spans="1:90" ht="15.75" thickTop="1" x14ac:dyDescent="0.25">
      <c r="AD75" s="775">
        <v>332.55</v>
      </c>
      <c r="AE75" s="776"/>
      <c r="AF75" s="776"/>
      <c r="AG75" s="776"/>
      <c r="AH75" s="777"/>
      <c r="AL75" s="727" t="s">
        <v>122</v>
      </c>
      <c r="AM75" s="727"/>
      <c r="AN75" s="727"/>
      <c r="AO75" s="727" t="s">
        <v>123</v>
      </c>
      <c r="AP75" s="727"/>
      <c r="AQ75" s="727"/>
      <c r="AR75" s="727" t="s">
        <v>124</v>
      </c>
      <c r="AS75" s="727"/>
      <c r="AT75" s="727" t="s">
        <v>125</v>
      </c>
      <c r="AU75" s="727"/>
      <c r="AY75" s="739" t="s">
        <v>126</v>
      </c>
      <c r="AZ75" s="740"/>
      <c r="BA75" s="740"/>
      <c r="BB75" s="740"/>
      <c r="BC75" s="740"/>
      <c r="BD75" s="740"/>
      <c r="BE75" s="740"/>
      <c r="BF75" s="740"/>
      <c r="BG75" s="740"/>
      <c r="BH75" s="741"/>
      <c r="BI75" s="13"/>
      <c r="BJ75" s="13"/>
      <c r="BK75" s="13"/>
      <c r="BL75" s="13"/>
      <c r="BM75" s="13"/>
      <c r="BN75" s="13"/>
      <c r="BO75" s="13"/>
      <c r="BP75" s="13"/>
      <c r="BQ75" s="13"/>
      <c r="BR75" s="13"/>
    </row>
    <row r="76" spans="1:90" ht="15" customHeight="1" x14ac:dyDescent="0.25">
      <c r="F76" s="3261" t="s">
        <v>435</v>
      </c>
      <c r="G76" s="3261"/>
      <c r="H76" s="3261"/>
      <c r="I76" s="3261"/>
      <c r="J76" s="3261"/>
      <c r="K76" s="3261"/>
      <c r="L76" s="3261"/>
      <c r="M76" s="3261"/>
      <c r="N76" s="3261"/>
      <c r="O76" s="3261"/>
      <c r="P76" s="3261"/>
      <c r="Q76" s="3261"/>
      <c r="R76" s="114"/>
      <c r="S76" s="114"/>
      <c r="T76" s="114"/>
      <c r="U76" s="114"/>
      <c r="V76" s="114"/>
      <c r="AD76" s="778"/>
      <c r="AE76" s="779"/>
      <c r="AF76" s="779"/>
      <c r="AG76" s="779"/>
      <c r="AH76" s="780"/>
      <c r="AL76" s="727"/>
      <c r="AM76" s="727"/>
      <c r="AN76" s="727"/>
      <c r="AO76" s="727"/>
      <c r="AP76" s="727"/>
      <c r="AQ76" s="727"/>
      <c r="AR76" s="727"/>
      <c r="AS76" s="727"/>
      <c r="AT76" s="727"/>
      <c r="AU76" s="727"/>
      <c r="AY76" s="750"/>
      <c r="AZ76" s="751"/>
      <c r="BA76" s="751"/>
      <c r="BB76" s="751"/>
      <c r="BC76" s="751"/>
      <c r="BD76" s="751"/>
      <c r="BE76" s="751"/>
      <c r="BF76" s="751"/>
      <c r="BG76" s="751"/>
      <c r="BH76" s="752"/>
      <c r="BI76" s="13"/>
      <c r="BJ76" s="13"/>
      <c r="BK76" s="13"/>
      <c r="BL76" s="13"/>
      <c r="BM76" s="13"/>
      <c r="BN76" s="13"/>
      <c r="BO76" s="13"/>
      <c r="BP76" s="13"/>
      <c r="BQ76" s="13"/>
      <c r="BR76" s="13"/>
    </row>
    <row r="77" spans="1:90" ht="15" customHeight="1" x14ac:dyDescent="0.25">
      <c r="F77" s="3261"/>
      <c r="G77" s="3261"/>
      <c r="H77" s="3261"/>
      <c r="I77" s="3261"/>
      <c r="J77" s="3261"/>
      <c r="K77" s="3261"/>
      <c r="L77" s="3261"/>
      <c r="M77" s="3261"/>
      <c r="N77" s="3261"/>
      <c r="O77" s="3261"/>
      <c r="P77" s="3261"/>
      <c r="Q77" s="3261"/>
      <c r="R77" s="114"/>
      <c r="S77" s="114"/>
      <c r="T77" s="114"/>
      <c r="U77" s="114"/>
      <c r="V77" s="114"/>
      <c r="AA77" s="56"/>
      <c r="AD77" s="778"/>
      <c r="AE77" s="779"/>
      <c r="AF77" s="779"/>
      <c r="AG77" s="779"/>
      <c r="AH77" s="780"/>
      <c r="AL77" s="727"/>
      <c r="AM77" s="727"/>
      <c r="AN77" s="727"/>
      <c r="AO77" s="727"/>
      <c r="AP77" s="727"/>
      <c r="AQ77" s="727"/>
      <c r="AR77" s="727"/>
      <c r="AS77" s="727"/>
      <c r="AT77" s="727"/>
      <c r="AU77" s="727"/>
      <c r="AY77" s="742"/>
      <c r="AZ77" s="743"/>
      <c r="BA77" s="743"/>
      <c r="BB77" s="743"/>
      <c r="BC77" s="743"/>
      <c r="BD77" s="743"/>
      <c r="BE77" s="743"/>
      <c r="BF77" s="743"/>
      <c r="BG77" s="743"/>
      <c r="BH77" s="744"/>
      <c r="BI77" s="13"/>
      <c r="BJ77" s="13"/>
      <c r="BK77" s="13"/>
      <c r="BL77" s="13"/>
      <c r="BM77" s="13"/>
      <c r="BN77" s="13"/>
      <c r="BO77" s="13"/>
      <c r="BP77" s="13"/>
      <c r="BQ77" s="13"/>
      <c r="BR77" s="13"/>
    </row>
    <row r="78" spans="1:90" ht="15" customHeight="1" x14ac:dyDescent="0.25">
      <c r="F78" s="3261"/>
      <c r="G78" s="3261"/>
      <c r="H78" s="3261"/>
      <c r="I78" s="3261"/>
      <c r="J78" s="3261"/>
      <c r="K78" s="3261"/>
      <c r="L78" s="3261"/>
      <c r="M78" s="3261"/>
      <c r="N78" s="3261"/>
      <c r="O78" s="3261"/>
      <c r="P78" s="3261"/>
      <c r="Q78" s="3261"/>
      <c r="R78" s="114"/>
      <c r="S78" s="114"/>
      <c r="T78" s="114"/>
      <c r="U78" s="114"/>
      <c r="V78" s="114"/>
      <c r="AD78" s="778"/>
      <c r="AE78" s="779"/>
      <c r="AF78" s="779"/>
      <c r="AG78" s="779"/>
      <c r="AH78" s="780"/>
      <c r="AL78" s="774">
        <v>8840</v>
      </c>
      <c r="AM78" s="774"/>
      <c r="AN78" s="774"/>
      <c r="AO78" s="774">
        <f ca="1">AT94</f>
        <v>8840</v>
      </c>
      <c r="AP78" s="774"/>
      <c r="AQ78" s="774"/>
      <c r="AR78" s="726">
        <f>AS39</f>
        <v>332.55280000000005</v>
      </c>
      <c r="AS78" s="726"/>
      <c r="AT78" s="726">
        <f>AS39+BJ41</f>
        <v>965.55280000000005</v>
      </c>
      <c r="AU78" s="726"/>
      <c r="AY78" s="727" t="s">
        <v>128</v>
      </c>
      <c r="AZ78" s="727"/>
      <c r="BA78" s="727"/>
      <c r="BB78" s="727"/>
      <c r="BC78" s="727"/>
      <c r="BD78" s="727"/>
      <c r="BE78" s="727"/>
      <c r="BF78" s="727"/>
      <c r="BG78" s="727"/>
      <c r="BH78" s="727"/>
      <c r="BI78" s="13"/>
      <c r="BJ78" s="13"/>
      <c r="BK78" s="13"/>
      <c r="BL78" s="13"/>
      <c r="BM78" s="13"/>
      <c r="BN78" s="13"/>
      <c r="BO78" s="13"/>
      <c r="BP78" s="13"/>
      <c r="BQ78" s="13"/>
      <c r="BR78" s="13"/>
    </row>
    <row r="79" spans="1:90" ht="15" customHeight="1" x14ac:dyDescent="0.25">
      <c r="F79" s="3261"/>
      <c r="G79" s="3261"/>
      <c r="H79" s="3261"/>
      <c r="I79" s="3261"/>
      <c r="J79" s="3261"/>
      <c r="K79" s="3261"/>
      <c r="L79" s="3261"/>
      <c r="M79" s="3261"/>
      <c r="N79" s="3261"/>
      <c r="O79" s="3261"/>
      <c r="P79" s="3261"/>
      <c r="Q79" s="3261"/>
      <c r="R79" s="114"/>
      <c r="S79" s="114"/>
      <c r="T79" s="114"/>
      <c r="U79" s="114"/>
      <c r="V79" s="114"/>
      <c r="AD79" s="778"/>
      <c r="AE79" s="779"/>
      <c r="AF79" s="779"/>
      <c r="AG79" s="779"/>
      <c r="AH79" s="780"/>
      <c r="AL79" s="774"/>
      <c r="AM79" s="774"/>
      <c r="AN79" s="774"/>
      <c r="AO79" s="774"/>
      <c r="AP79" s="774"/>
      <c r="AQ79" s="774"/>
      <c r="AR79" s="726"/>
      <c r="AS79" s="726"/>
      <c r="AT79" s="726"/>
      <c r="AU79" s="726"/>
      <c r="AY79" s="727"/>
      <c r="AZ79" s="727"/>
      <c r="BA79" s="727"/>
      <c r="BB79" s="727"/>
      <c r="BC79" s="727"/>
      <c r="BD79" s="727"/>
      <c r="BE79" s="727"/>
      <c r="BF79" s="727"/>
      <c r="BG79" s="727"/>
      <c r="BH79" s="727"/>
      <c r="BI79" s="13"/>
      <c r="BJ79" s="13"/>
      <c r="BK79" s="13"/>
      <c r="BL79" s="13"/>
      <c r="BM79" s="13"/>
      <c r="BN79" s="13"/>
      <c r="BO79" s="13"/>
      <c r="BP79" s="13"/>
      <c r="BQ79" s="13"/>
      <c r="BR79" s="13"/>
    </row>
    <row r="80" spans="1:90" ht="15" customHeight="1" x14ac:dyDescent="0.25">
      <c r="F80" s="3261"/>
      <c r="G80" s="3261"/>
      <c r="H80" s="3261"/>
      <c r="I80" s="3261"/>
      <c r="J80" s="3261"/>
      <c r="K80" s="3261"/>
      <c r="L80" s="3261"/>
      <c r="M80" s="3261"/>
      <c r="N80" s="3261"/>
      <c r="O80" s="3261"/>
      <c r="P80" s="3261"/>
      <c r="Q80" s="3261"/>
      <c r="R80" s="114"/>
      <c r="S80" s="114"/>
      <c r="T80" s="114"/>
      <c r="U80" s="114"/>
      <c r="V80" s="114"/>
      <c r="AD80" s="778"/>
      <c r="AE80" s="779"/>
      <c r="AF80" s="779"/>
      <c r="AG80" s="779"/>
      <c r="AH80" s="780"/>
      <c r="AL80" s="774"/>
      <c r="AM80" s="774"/>
      <c r="AN80" s="774"/>
      <c r="AO80" s="774"/>
      <c r="AP80" s="774"/>
      <c r="AQ80" s="774"/>
      <c r="AR80" s="726"/>
      <c r="AS80" s="726"/>
      <c r="AT80" s="726"/>
      <c r="AU80" s="726"/>
      <c r="AY80" s="728">
        <f ca="1">AR78/((60*3.1415/64)*(AO78/3.281))</f>
        <v>4.190889728489984E-2</v>
      </c>
      <c r="AZ80" s="729"/>
      <c r="BA80" s="729"/>
      <c r="BB80" s="729"/>
      <c r="BC80" s="729"/>
      <c r="BD80" s="729"/>
      <c r="BE80" s="729"/>
      <c r="BF80" s="729"/>
      <c r="BG80" s="729"/>
      <c r="BH80" s="730"/>
      <c r="BI80" s="57"/>
      <c r="BJ80" s="57"/>
      <c r="BK80" s="57"/>
      <c r="BL80" s="57"/>
      <c r="BM80" s="57"/>
      <c r="BN80" s="57"/>
      <c r="BO80" s="57"/>
      <c r="BP80" s="57"/>
      <c r="BQ80" s="57"/>
      <c r="BR80" s="57"/>
    </row>
    <row r="81" spans="6:70" ht="15.75" customHeight="1" thickBot="1" x14ac:dyDescent="0.3">
      <c r="F81" s="3261"/>
      <c r="G81" s="3261"/>
      <c r="H81" s="3261"/>
      <c r="I81" s="3261"/>
      <c r="J81" s="3261"/>
      <c r="K81" s="3261"/>
      <c r="L81" s="3261"/>
      <c r="M81" s="3261"/>
      <c r="N81" s="3261"/>
      <c r="O81" s="3261"/>
      <c r="P81" s="3261"/>
      <c r="Q81" s="3261"/>
      <c r="AD81" s="781"/>
      <c r="AE81" s="782"/>
      <c r="AF81" s="782"/>
      <c r="AG81" s="782"/>
      <c r="AH81" s="783"/>
      <c r="AL81" s="774"/>
      <c r="AM81" s="774"/>
      <c r="AN81" s="774"/>
      <c r="AO81" s="774"/>
      <c r="AP81" s="774"/>
      <c r="AQ81" s="774"/>
      <c r="AR81" s="726"/>
      <c r="AS81" s="726"/>
      <c r="AT81" s="726"/>
      <c r="AU81" s="726"/>
      <c r="AY81" s="731"/>
      <c r="AZ81" s="732"/>
      <c r="BA81" s="732"/>
      <c r="BB81" s="732"/>
      <c r="BC81" s="732"/>
      <c r="BD81" s="732"/>
      <c r="BE81" s="732"/>
      <c r="BF81" s="732"/>
      <c r="BG81" s="732"/>
      <c r="BH81" s="733"/>
      <c r="BI81" s="57"/>
      <c r="BJ81" s="57"/>
      <c r="BK81" s="57"/>
      <c r="BL81" s="57"/>
      <c r="BM81" s="57"/>
      <c r="BN81" s="57"/>
      <c r="BO81" s="57"/>
      <c r="BP81" s="57"/>
      <c r="BQ81" s="57"/>
      <c r="BR81" s="57"/>
    </row>
    <row r="82" spans="6:70" ht="15.75" customHeight="1" thickTop="1" x14ac:dyDescent="0.25">
      <c r="F82" s="3261" t="s">
        <v>437</v>
      </c>
      <c r="G82" s="3261"/>
      <c r="H82" s="3261"/>
      <c r="I82" s="3261"/>
      <c r="J82" s="3261"/>
      <c r="K82" s="3261"/>
      <c r="L82" s="3261"/>
      <c r="M82" s="3261"/>
      <c r="N82" s="3261"/>
      <c r="O82" s="3261"/>
      <c r="P82" s="3261"/>
      <c r="Q82" s="3261"/>
      <c r="AY82" s="734"/>
      <c r="AZ82" s="735"/>
      <c r="BA82" s="735"/>
      <c r="BB82" s="735"/>
      <c r="BC82" s="735"/>
      <c r="BD82" s="735"/>
      <c r="BE82" s="735"/>
      <c r="BF82" s="735"/>
      <c r="BG82" s="735"/>
      <c r="BH82" s="736"/>
      <c r="BI82" s="57"/>
      <c r="BJ82" s="57"/>
      <c r="BK82" s="57"/>
      <c r="BL82" s="57"/>
      <c r="BM82" s="57"/>
      <c r="BN82" s="57"/>
      <c r="BO82" s="57"/>
      <c r="BP82" s="57"/>
      <c r="BQ82" s="57"/>
      <c r="BR82" s="57"/>
    </row>
    <row r="83" spans="6:70" x14ac:dyDescent="0.25">
      <c r="F83" s="3261"/>
      <c r="G83" s="3261"/>
      <c r="H83" s="3261"/>
      <c r="I83" s="3261"/>
      <c r="J83" s="3261"/>
      <c r="K83" s="3261"/>
      <c r="L83" s="3261"/>
      <c r="M83" s="3261"/>
      <c r="N83" s="3261"/>
      <c r="O83" s="3261"/>
      <c r="P83" s="3261"/>
      <c r="Q83" s="3261"/>
      <c r="AY83" s="739" t="s">
        <v>129</v>
      </c>
      <c r="AZ83" s="740"/>
      <c r="BA83" s="740"/>
      <c r="BB83" s="740"/>
      <c r="BC83" s="740"/>
      <c r="BD83" s="740"/>
      <c r="BE83" s="740"/>
      <c r="BF83" s="740"/>
      <c r="BG83" s="740"/>
      <c r="BH83" s="741"/>
      <c r="BI83" s="13"/>
      <c r="BJ83" s="13"/>
      <c r="BK83" s="13"/>
      <c r="BL83" s="13"/>
      <c r="BM83" s="13"/>
      <c r="BN83" s="13"/>
      <c r="BO83" s="13"/>
      <c r="BP83" s="13"/>
      <c r="BQ83" s="13"/>
      <c r="BR83" s="13"/>
    </row>
    <row r="84" spans="6:70" x14ac:dyDescent="0.25">
      <c r="F84" s="3261"/>
      <c r="G84" s="3261"/>
      <c r="H84" s="3261"/>
      <c r="I84" s="3261"/>
      <c r="J84" s="3261"/>
      <c r="K84" s="3261"/>
      <c r="L84" s="3261"/>
      <c r="M84" s="3261"/>
      <c r="N84" s="3261"/>
      <c r="O84" s="3261"/>
      <c r="P84" s="3261"/>
      <c r="Q84" s="3261"/>
      <c r="AY84" s="742"/>
      <c r="AZ84" s="743"/>
      <c r="BA84" s="743"/>
      <c r="BB84" s="743"/>
      <c r="BC84" s="743"/>
      <c r="BD84" s="743"/>
      <c r="BE84" s="743"/>
      <c r="BF84" s="743"/>
      <c r="BG84" s="743"/>
      <c r="BH84" s="744"/>
      <c r="BI84" s="13"/>
      <c r="BJ84" s="13"/>
      <c r="BK84" s="13"/>
      <c r="BL84" s="13"/>
      <c r="BM84" s="13"/>
      <c r="BN84" s="13"/>
      <c r="BO84" s="13"/>
      <c r="BP84" s="13"/>
      <c r="BQ84" s="13"/>
      <c r="BR84" s="13"/>
    </row>
    <row r="85" spans="6:70" x14ac:dyDescent="0.25">
      <c r="F85" s="3261"/>
      <c r="G85" s="3261"/>
      <c r="H85" s="3261"/>
      <c r="I85" s="3261"/>
      <c r="J85" s="3261"/>
      <c r="K85" s="3261"/>
      <c r="L85" s="3261"/>
      <c r="M85" s="3261"/>
      <c r="N85" s="3261"/>
      <c r="O85" s="3261"/>
      <c r="P85" s="3261"/>
      <c r="Q85" s="3261"/>
      <c r="AN85" s="1255">
        <v>130</v>
      </c>
      <c r="AO85" s="1255"/>
      <c r="AP85" s="1255"/>
      <c r="AQ85" s="746" cm="1">
        <f t="array" aca="1" ref="AQ85" ca="1">SUM(COUNTIF(INDIRECT({"B7","G7","L7","Q7","V7","AA7","AF7","AK7","AP7","AU7","AZ7","BE7","BJ7","BO7","B13","G13","L13","Q13","V13","AA13","AF13","AK13","AP13","AU13","AZ13","BE13","BJ13","BO13","B19","G19","L19","Q19","V19","AA19","AF19","AK19","AP19","AU19","AZ19","BE19","BJ19","BO19","B25","G25","L25","Q25","V25","AA25","AF25","AK25","AP25","AU25","AZ25","BE25","BJ25","BO25","B31","G31","L31","Q31","V31","AA31","AF31","AK31","AP31","AU31","AZ31","BE31","BJ31","BO31"}),"&gt;0"))</f>
        <v>68</v>
      </c>
      <c r="AR85" s="746"/>
      <c r="AS85" s="746"/>
      <c r="AT85" s="747">
        <f ca="1">AQ85*AN85</f>
        <v>8840</v>
      </c>
      <c r="AU85" s="748"/>
      <c r="AV85" s="748"/>
      <c r="AW85" s="749"/>
      <c r="AY85" s="739" t="s">
        <v>130</v>
      </c>
      <c r="AZ85" s="740"/>
      <c r="BA85" s="740"/>
      <c r="BB85" s="740"/>
      <c r="BC85" s="740"/>
      <c r="BD85" s="740"/>
      <c r="BE85" s="740"/>
      <c r="BF85" s="740"/>
      <c r="BG85" s="740"/>
      <c r="BH85" s="741"/>
      <c r="BI85" s="13"/>
      <c r="BJ85" s="13"/>
      <c r="BK85" s="13"/>
      <c r="BL85" s="13"/>
      <c r="BM85" s="13"/>
      <c r="BN85" s="13"/>
      <c r="BO85" s="13"/>
      <c r="BP85" s="13"/>
      <c r="BQ85" s="13"/>
      <c r="BR85" s="13"/>
    </row>
    <row r="86" spans="6:70" x14ac:dyDescent="0.25">
      <c r="F86" s="3261"/>
      <c r="G86" s="3261"/>
      <c r="H86" s="3261"/>
      <c r="I86" s="3261"/>
      <c r="J86" s="3261"/>
      <c r="K86" s="3261"/>
      <c r="L86" s="3261"/>
      <c r="M86" s="3261"/>
      <c r="N86" s="3261"/>
      <c r="O86" s="3261"/>
      <c r="P86" s="3261"/>
      <c r="Q86" s="3261"/>
      <c r="AN86" s="1255"/>
      <c r="AO86" s="1255"/>
      <c r="AP86" s="1255"/>
      <c r="AQ86" s="746"/>
      <c r="AR86" s="746"/>
      <c r="AS86" s="746"/>
      <c r="AT86" s="747"/>
      <c r="AU86" s="748"/>
      <c r="AV86" s="748"/>
      <c r="AW86" s="749"/>
      <c r="AY86" s="750"/>
      <c r="AZ86" s="751"/>
      <c r="BA86" s="751"/>
      <c r="BB86" s="751"/>
      <c r="BC86" s="751"/>
      <c r="BD86" s="751"/>
      <c r="BE86" s="751"/>
      <c r="BF86" s="751"/>
      <c r="BG86" s="751"/>
      <c r="BH86" s="752"/>
      <c r="BI86" s="13"/>
      <c r="BJ86" s="13"/>
      <c r="BK86" s="13"/>
      <c r="BL86" s="13"/>
      <c r="BM86" s="13"/>
      <c r="BN86" s="13"/>
      <c r="BO86" s="13"/>
      <c r="BP86" s="13"/>
      <c r="BQ86" s="13"/>
      <c r="BR86" s="13"/>
    </row>
    <row r="87" spans="6:70" ht="15" customHeight="1" x14ac:dyDescent="0.25">
      <c r="F87" s="3261"/>
      <c r="G87" s="3261"/>
      <c r="H87" s="3261"/>
      <c r="I87" s="3261"/>
      <c r="J87" s="3261"/>
      <c r="K87" s="3261"/>
      <c r="L87" s="3261"/>
      <c r="M87" s="3261"/>
      <c r="N87" s="3261"/>
      <c r="O87" s="3261"/>
      <c r="P87" s="3261"/>
      <c r="Q87" s="3261"/>
      <c r="AN87" s="1255"/>
      <c r="AO87" s="1255"/>
      <c r="AP87" s="1255"/>
      <c r="AQ87" s="746"/>
      <c r="AR87" s="746"/>
      <c r="AS87" s="746"/>
      <c r="AT87" s="747"/>
      <c r="AU87" s="748"/>
      <c r="AV87" s="748"/>
      <c r="AW87" s="749"/>
      <c r="AY87" s="750"/>
      <c r="AZ87" s="751"/>
      <c r="BA87" s="751"/>
      <c r="BB87" s="751"/>
      <c r="BC87" s="751"/>
      <c r="BD87" s="751"/>
      <c r="BE87" s="751"/>
      <c r="BF87" s="751"/>
      <c r="BG87" s="751"/>
      <c r="BH87" s="752"/>
      <c r="BI87" s="13"/>
      <c r="BJ87" s="13"/>
      <c r="BK87" s="13"/>
      <c r="BL87" s="13"/>
      <c r="BM87" s="13"/>
      <c r="BN87" s="13"/>
      <c r="BO87" s="13"/>
      <c r="BP87" s="13"/>
      <c r="BQ87" s="13"/>
      <c r="BR87" s="13"/>
    </row>
    <row r="88" spans="6:70" ht="15" customHeight="1" x14ac:dyDescent="0.25">
      <c r="AN88" s="727"/>
      <c r="AO88" s="727"/>
      <c r="AP88" s="727"/>
      <c r="AQ88" s="746"/>
      <c r="AR88" s="746"/>
      <c r="AS88" s="746"/>
      <c r="AT88" s="747"/>
      <c r="AU88" s="748"/>
      <c r="AV88" s="748"/>
      <c r="AW88" s="749"/>
      <c r="AY88" s="742"/>
      <c r="AZ88" s="743"/>
      <c r="BA88" s="743"/>
      <c r="BB88" s="743"/>
      <c r="BC88" s="743"/>
      <c r="BD88" s="743"/>
      <c r="BE88" s="743"/>
      <c r="BF88" s="743"/>
      <c r="BG88" s="743"/>
      <c r="BH88" s="744"/>
      <c r="BI88" s="13"/>
      <c r="BJ88" s="13"/>
      <c r="BK88" s="13"/>
      <c r="BL88" s="13"/>
      <c r="BM88" s="13"/>
      <c r="BN88" s="13"/>
      <c r="BO88" s="13"/>
      <c r="BP88" s="13"/>
      <c r="BQ88" s="13"/>
      <c r="BR88" s="13"/>
    </row>
    <row r="89" spans="6:70" ht="26.25" x14ac:dyDescent="0.25">
      <c r="AN89" s="727"/>
      <c r="AO89" s="727"/>
      <c r="AP89" s="727"/>
      <c r="AQ89" s="746"/>
      <c r="AR89" s="746"/>
      <c r="AS89" s="746"/>
      <c r="AT89" s="747"/>
      <c r="AU89" s="748"/>
      <c r="AV89" s="748"/>
      <c r="AW89" s="749"/>
      <c r="AY89" s="728">
        <f ca="1">AT78/((60*3.1415/64)*(AO78/3.281))</f>
        <v>0.12168068685137348</v>
      </c>
      <c r="AZ89" s="729"/>
      <c r="BA89" s="729"/>
      <c r="BB89" s="729"/>
      <c r="BC89" s="729"/>
      <c r="BD89" s="729"/>
      <c r="BE89" s="729"/>
      <c r="BF89" s="729"/>
      <c r="BG89" s="729"/>
      <c r="BH89" s="730"/>
      <c r="BI89" s="57"/>
      <c r="BJ89" s="57"/>
      <c r="BK89" s="57"/>
      <c r="BL89" s="57"/>
      <c r="BM89" s="57"/>
      <c r="BN89" s="57"/>
      <c r="BO89" s="57"/>
      <c r="BP89" s="57"/>
      <c r="BQ89" s="57"/>
      <c r="BR89" s="57"/>
    </row>
    <row r="90" spans="6:70" ht="26.25" x14ac:dyDescent="0.25">
      <c r="AN90" s="727"/>
      <c r="AO90" s="727"/>
      <c r="AP90" s="727"/>
      <c r="AQ90" s="746"/>
      <c r="AR90" s="746"/>
      <c r="AS90" s="746"/>
      <c r="AT90" s="747"/>
      <c r="AU90" s="748"/>
      <c r="AV90" s="748"/>
      <c r="AW90" s="749"/>
      <c r="AY90" s="731"/>
      <c r="AZ90" s="732"/>
      <c r="BA90" s="732"/>
      <c r="BB90" s="732"/>
      <c r="BC90" s="732"/>
      <c r="BD90" s="732"/>
      <c r="BE90" s="732"/>
      <c r="BF90" s="732"/>
      <c r="BG90" s="732"/>
      <c r="BH90" s="733"/>
      <c r="BI90" s="57"/>
      <c r="BJ90" s="57"/>
      <c r="BK90" s="57"/>
      <c r="BL90" s="57"/>
      <c r="BM90" s="57"/>
      <c r="BN90" s="57"/>
      <c r="BO90" s="57"/>
      <c r="BP90" s="57"/>
      <c r="BQ90" s="57"/>
      <c r="BR90" s="57"/>
    </row>
    <row r="91" spans="6:70" ht="15" customHeight="1" x14ac:dyDescent="0.25">
      <c r="AN91" s="727"/>
      <c r="AO91" s="727"/>
      <c r="AP91" s="727"/>
      <c r="AQ91" s="746"/>
      <c r="AR91" s="746"/>
      <c r="AS91" s="746"/>
      <c r="AT91" s="747"/>
      <c r="AU91" s="748"/>
      <c r="AV91" s="748"/>
      <c r="AW91" s="749"/>
      <c r="AY91" s="731"/>
      <c r="AZ91" s="732"/>
      <c r="BA91" s="732"/>
      <c r="BB91" s="732"/>
      <c r="BC91" s="732"/>
      <c r="BD91" s="732"/>
      <c r="BE91" s="732"/>
      <c r="BF91" s="732"/>
      <c r="BG91" s="732"/>
      <c r="BH91" s="733"/>
      <c r="BI91" s="57"/>
      <c r="BJ91" s="57"/>
      <c r="BK91" s="57"/>
      <c r="BL91" s="57"/>
      <c r="BM91" s="57"/>
      <c r="BN91" s="57"/>
      <c r="BO91" s="57"/>
      <c r="BP91" s="57"/>
      <c r="BQ91" s="57"/>
      <c r="BR91" s="57"/>
    </row>
    <row r="92" spans="6:70" ht="15" customHeight="1" x14ac:dyDescent="0.25">
      <c r="AN92" s="727"/>
      <c r="AO92" s="727"/>
      <c r="AP92" s="727"/>
      <c r="AQ92" s="746"/>
      <c r="AR92" s="746"/>
      <c r="AS92" s="746"/>
      <c r="AT92" s="747"/>
      <c r="AU92" s="748"/>
      <c r="AV92" s="748"/>
      <c r="AW92" s="749"/>
      <c r="AY92" s="731"/>
      <c r="AZ92" s="732"/>
      <c r="BA92" s="732"/>
      <c r="BB92" s="732"/>
      <c r="BC92" s="732"/>
      <c r="BD92" s="732"/>
      <c r="BE92" s="732"/>
      <c r="BF92" s="732"/>
      <c r="BG92" s="732"/>
      <c r="BH92" s="733"/>
      <c r="BI92" s="57"/>
      <c r="BJ92" s="57"/>
      <c r="BK92" s="57"/>
      <c r="BL92" s="57"/>
      <c r="BM92" s="57"/>
      <c r="BN92" s="57"/>
      <c r="BO92" s="57"/>
      <c r="BP92" s="57"/>
      <c r="BQ92" s="57"/>
      <c r="BR92" s="57"/>
    </row>
    <row r="93" spans="6:70" ht="15" customHeight="1" x14ac:dyDescent="0.25">
      <c r="AN93" s="727"/>
      <c r="AO93" s="727"/>
      <c r="AP93" s="727"/>
      <c r="AQ93" s="746"/>
      <c r="AR93" s="746"/>
      <c r="AS93" s="746"/>
      <c r="AT93" s="747"/>
      <c r="AU93" s="748"/>
      <c r="AV93" s="748"/>
      <c r="AW93" s="749"/>
      <c r="AY93" s="734"/>
      <c r="AZ93" s="735"/>
      <c r="BA93" s="735"/>
      <c r="BB93" s="735"/>
      <c r="BC93" s="735"/>
      <c r="BD93" s="735"/>
      <c r="BE93" s="735"/>
      <c r="BF93" s="735"/>
      <c r="BG93" s="735"/>
      <c r="BH93" s="736"/>
      <c r="BI93" s="57"/>
      <c r="BJ93" s="57"/>
      <c r="BK93" s="57"/>
      <c r="BL93" s="57"/>
      <c r="BM93" s="57"/>
      <c r="BN93" s="57"/>
      <c r="BO93" s="57"/>
      <c r="BP93" s="57"/>
      <c r="BQ93" s="57"/>
      <c r="BR93" s="57"/>
    </row>
    <row r="94" spans="6:70" x14ac:dyDescent="0.25">
      <c r="AQ94" s="1254">
        <f ca="1">AQ91+AQ88+AQ85</f>
        <v>68</v>
      </c>
      <c r="AR94" s="1254"/>
      <c r="AS94" s="1254"/>
      <c r="AT94" s="747">
        <f ca="1">AT88+AT91+AT85</f>
        <v>8840</v>
      </c>
      <c r="AU94" s="748"/>
      <c r="AV94" s="748"/>
      <c r="AW94" s="749"/>
    </row>
    <row r="95" spans="6:70" x14ac:dyDescent="0.25">
      <c r="AQ95" s="1254"/>
      <c r="AR95" s="1254"/>
      <c r="AS95" s="1254"/>
      <c r="AT95" s="747"/>
      <c r="AU95" s="748"/>
      <c r="AV95" s="748"/>
      <c r="AW95" s="749"/>
    </row>
    <row r="96" spans="6:70" ht="15" customHeight="1" x14ac:dyDescent="0.25">
      <c r="AQ96" s="1254"/>
      <c r="AR96" s="1254"/>
      <c r="AS96" s="1254"/>
      <c r="AT96" s="747"/>
      <c r="AU96" s="748"/>
      <c r="AV96" s="748"/>
      <c r="AW96" s="749"/>
    </row>
    <row r="97" spans="45:47" ht="15" customHeight="1" x14ac:dyDescent="0.25"/>
    <row r="98" spans="45:47" ht="15" customHeight="1" x14ac:dyDescent="0.25"/>
    <row r="99" spans="45:47" ht="15" customHeight="1" x14ac:dyDescent="0.25"/>
    <row r="100" spans="45:47" ht="15" customHeight="1" x14ac:dyDescent="0.25"/>
    <row r="101" spans="45:47" ht="15" customHeight="1" x14ac:dyDescent="0.25"/>
    <row r="102" spans="45:47" ht="15" customHeight="1" x14ac:dyDescent="0.25"/>
    <row r="103" spans="45:47" ht="15" customHeight="1" x14ac:dyDescent="0.25"/>
    <row r="104" spans="45:47" ht="15" customHeight="1" x14ac:dyDescent="0.25"/>
    <row r="105" spans="45:47" ht="15" customHeight="1" x14ac:dyDescent="0.25"/>
    <row r="106" spans="45:47" ht="15" customHeight="1" x14ac:dyDescent="0.25"/>
    <row r="107" spans="45:47" ht="15" customHeight="1" x14ac:dyDescent="0.25">
      <c r="AS107" s="27"/>
      <c r="AT107" s="27"/>
      <c r="AU107" s="27"/>
    </row>
  </sheetData>
  <mergeCells count="574">
    <mergeCell ref="F82:Q87"/>
    <mergeCell ref="J65:S68"/>
    <mergeCell ref="B48:K48"/>
    <mergeCell ref="AQ91:AS93"/>
    <mergeCell ref="AT91:AW93"/>
    <mergeCell ref="AQ94:AS96"/>
    <mergeCell ref="AT94:AW96"/>
    <mergeCell ref="AL78:AN81"/>
    <mergeCell ref="AO78:AQ81"/>
    <mergeCell ref="AR78:AS81"/>
    <mergeCell ref="AT78:AU81"/>
    <mergeCell ref="AP60:AS60"/>
    <mergeCell ref="AT60:AT61"/>
    <mergeCell ref="AU60:AX60"/>
    <mergeCell ref="U60:U61"/>
    <mergeCell ref="V60:Y60"/>
    <mergeCell ref="AF60:AI60"/>
    <mergeCell ref="A57:C59"/>
    <mergeCell ref="F57:H59"/>
    <mergeCell ref="K57:M59"/>
    <mergeCell ref="P57:R59"/>
    <mergeCell ref="U57:W59"/>
    <mergeCell ref="A63:C63"/>
    <mergeCell ref="A64:C66"/>
    <mergeCell ref="AK60:AN60"/>
    <mergeCell ref="AO60:AO61"/>
    <mergeCell ref="AY80:BH82"/>
    <mergeCell ref="AY83:BH84"/>
    <mergeCell ref="AN85:AP87"/>
    <mergeCell ref="AQ85:AS87"/>
    <mergeCell ref="AT85:AW87"/>
    <mergeCell ref="AY85:BH88"/>
    <mergeCell ref="AN88:AP90"/>
    <mergeCell ref="AQ88:AS90"/>
    <mergeCell ref="AT88:AW90"/>
    <mergeCell ref="AY89:BH93"/>
    <mergeCell ref="AN91:AP93"/>
    <mergeCell ref="G73:Q74"/>
    <mergeCell ref="X59:Y59"/>
    <mergeCell ref="AC59:AD59"/>
    <mergeCell ref="AH59:AI59"/>
    <mergeCell ref="AM59:AN59"/>
    <mergeCell ref="AR59:AS59"/>
    <mergeCell ref="AJ57:AL59"/>
    <mergeCell ref="AW59:AX59"/>
    <mergeCell ref="AY78:BH79"/>
    <mergeCell ref="Z60:Z61"/>
    <mergeCell ref="AA60:AD60"/>
    <mergeCell ref="AE60:AE61"/>
    <mergeCell ref="AT57:AV59"/>
    <mergeCell ref="AO57:AQ59"/>
    <mergeCell ref="Z57:AB59"/>
    <mergeCell ref="AE57:AG59"/>
    <mergeCell ref="F76:Q81"/>
    <mergeCell ref="AD75:AH81"/>
    <mergeCell ref="AL75:AN77"/>
    <mergeCell ref="AO75:AQ77"/>
    <mergeCell ref="AR75:AS77"/>
    <mergeCell ref="AT75:AU77"/>
    <mergeCell ref="AY75:BH77"/>
    <mergeCell ref="AJ60:AJ61"/>
    <mergeCell ref="A60:A61"/>
    <mergeCell ref="B60:E60"/>
    <mergeCell ref="F60:F61"/>
    <mergeCell ref="G60:J60"/>
    <mergeCell ref="K60:K61"/>
    <mergeCell ref="L60:O60"/>
    <mergeCell ref="P60:P61"/>
    <mergeCell ref="Q60:T60"/>
    <mergeCell ref="D59:E59"/>
    <mergeCell ref="I59:J59"/>
    <mergeCell ref="N59:O59"/>
    <mergeCell ref="S59:T59"/>
    <mergeCell ref="X56:Y56"/>
    <mergeCell ref="Z56:AB56"/>
    <mergeCell ref="AC56:AD56"/>
    <mergeCell ref="AE56:AG56"/>
    <mergeCell ref="V54:Y54"/>
    <mergeCell ref="Z54:Z55"/>
    <mergeCell ref="AA54:AD54"/>
    <mergeCell ref="AW56:AX56"/>
    <mergeCell ref="AH56:AI56"/>
    <mergeCell ref="AJ56:AL56"/>
    <mergeCell ref="AM56:AN56"/>
    <mergeCell ref="AO56:AQ56"/>
    <mergeCell ref="AR56:AS56"/>
    <mergeCell ref="AT56:AV56"/>
    <mergeCell ref="AU54:AX54"/>
    <mergeCell ref="AF54:AI54"/>
    <mergeCell ref="AJ54:AJ55"/>
    <mergeCell ref="AK54:AN54"/>
    <mergeCell ref="AO54:AO55"/>
    <mergeCell ref="AP54:AS54"/>
    <mergeCell ref="AT54:AT55"/>
    <mergeCell ref="AE54:AE55"/>
    <mergeCell ref="A56:C56"/>
    <mergeCell ref="D56:E56"/>
    <mergeCell ref="F56:H56"/>
    <mergeCell ref="I56:J56"/>
    <mergeCell ref="K56:M56"/>
    <mergeCell ref="N56:O56"/>
    <mergeCell ref="P56:R56"/>
    <mergeCell ref="S56:T56"/>
    <mergeCell ref="U56:W56"/>
    <mergeCell ref="Z51:AB53"/>
    <mergeCell ref="AE51:AG53"/>
    <mergeCell ref="Q54:T54"/>
    <mergeCell ref="U54:U55"/>
    <mergeCell ref="N53:O53"/>
    <mergeCell ref="S53:T53"/>
    <mergeCell ref="X53:Y53"/>
    <mergeCell ref="AC53:AD53"/>
    <mergeCell ref="A54:A55"/>
    <mergeCell ref="B54:E54"/>
    <mergeCell ref="F54:F55"/>
    <mergeCell ref="G54:J54"/>
    <mergeCell ref="K54:K55"/>
    <mergeCell ref="L54:O54"/>
    <mergeCell ref="P54:P55"/>
    <mergeCell ref="A51:C53"/>
    <mergeCell ref="F51:H53"/>
    <mergeCell ref="K51:M53"/>
    <mergeCell ref="P51:R53"/>
    <mergeCell ref="AJ51:AL53"/>
    <mergeCell ref="AO51:AQ53"/>
    <mergeCell ref="AT51:AV53"/>
    <mergeCell ref="AR53:AS53"/>
    <mergeCell ref="AW53:AX53"/>
    <mergeCell ref="D53:E53"/>
    <mergeCell ref="I53:J53"/>
    <mergeCell ref="U50:W50"/>
    <mergeCell ref="X50:Y50"/>
    <mergeCell ref="Z50:AB50"/>
    <mergeCell ref="AC50:AD50"/>
    <mergeCell ref="AT50:AV50"/>
    <mergeCell ref="AW50:AX50"/>
    <mergeCell ref="AE50:AG50"/>
    <mergeCell ref="AH50:AI50"/>
    <mergeCell ref="AJ50:AL50"/>
    <mergeCell ref="AM50:AN50"/>
    <mergeCell ref="AO50:AQ50"/>
    <mergeCell ref="AR50:AS50"/>
    <mergeCell ref="P50:R50"/>
    <mergeCell ref="S50:T50"/>
    <mergeCell ref="AH53:AI53"/>
    <mergeCell ref="AM53:AN53"/>
    <mergeCell ref="U51:W53"/>
    <mergeCell ref="A50:C50"/>
    <mergeCell ref="D50:E50"/>
    <mergeCell ref="F50:H50"/>
    <mergeCell ref="I50:J50"/>
    <mergeCell ref="K50:M50"/>
    <mergeCell ref="N50:O50"/>
    <mergeCell ref="BE30:BF30"/>
    <mergeCell ref="V39:AG46"/>
    <mergeCell ref="AH39:AR46"/>
    <mergeCell ref="AS39:BD46"/>
    <mergeCell ref="P30:P31"/>
    <mergeCell ref="U30:U31"/>
    <mergeCell ref="A30:A31"/>
    <mergeCell ref="F30:F31"/>
    <mergeCell ref="K30:K31"/>
    <mergeCell ref="B30:C30"/>
    <mergeCell ref="G30:H30"/>
    <mergeCell ref="L30:M30"/>
    <mergeCell ref="Q30:R30"/>
    <mergeCell ref="H35:K38"/>
    <mergeCell ref="H33:K34"/>
    <mergeCell ref="BJ41:BP44"/>
    <mergeCell ref="BJ45:BP47"/>
    <mergeCell ref="V35:AG38"/>
    <mergeCell ref="AH35:AR38"/>
    <mergeCell ref="AS35:BD38"/>
    <mergeCell ref="BE35:BI46"/>
    <mergeCell ref="BJ35:BM40"/>
    <mergeCell ref="BN35:BP40"/>
    <mergeCell ref="AA30:AB30"/>
    <mergeCell ref="AT30:AT31"/>
    <mergeCell ref="AY30:AY31"/>
    <mergeCell ref="BD30:BD31"/>
    <mergeCell ref="AE30:AE31"/>
    <mergeCell ref="AJ30:AJ31"/>
    <mergeCell ref="AO30:AO31"/>
    <mergeCell ref="AF30:AG30"/>
    <mergeCell ref="AK30:AL30"/>
    <mergeCell ref="AP30:AQ30"/>
    <mergeCell ref="AU30:AV30"/>
    <mergeCell ref="AZ30:BA30"/>
    <mergeCell ref="Z30:Z31"/>
    <mergeCell ref="V30:W30"/>
    <mergeCell ref="AT28:AU29"/>
    <mergeCell ref="AV28:AX29"/>
    <mergeCell ref="AY28:AZ29"/>
    <mergeCell ref="BA28:BC29"/>
    <mergeCell ref="BD28:BE29"/>
    <mergeCell ref="BF28:BH29"/>
    <mergeCell ref="AE28:AF29"/>
    <mergeCell ref="AG28:AI29"/>
    <mergeCell ref="AJ28:AK29"/>
    <mergeCell ref="AL28:AN29"/>
    <mergeCell ref="AO28:AP29"/>
    <mergeCell ref="AQ28:AS29"/>
    <mergeCell ref="P28:Q29"/>
    <mergeCell ref="R28:T29"/>
    <mergeCell ref="U28:V29"/>
    <mergeCell ref="W28:Y29"/>
    <mergeCell ref="Z28:AA29"/>
    <mergeCell ref="AB28:AD29"/>
    <mergeCell ref="A28:B29"/>
    <mergeCell ref="C28:E29"/>
    <mergeCell ref="F28:G29"/>
    <mergeCell ref="H28:J29"/>
    <mergeCell ref="K28:L29"/>
    <mergeCell ref="M28:O29"/>
    <mergeCell ref="BI24:BI25"/>
    <mergeCell ref="BN24:BN25"/>
    <mergeCell ref="AT26:AU27"/>
    <mergeCell ref="AV26:AX27"/>
    <mergeCell ref="AY26:AZ27"/>
    <mergeCell ref="BA26:BC27"/>
    <mergeCell ref="BD26:BE27"/>
    <mergeCell ref="BF26:BH27"/>
    <mergeCell ref="AE26:AF27"/>
    <mergeCell ref="AG26:AI27"/>
    <mergeCell ref="AJ26:AK27"/>
    <mergeCell ref="AL26:AN27"/>
    <mergeCell ref="AO26:AP27"/>
    <mergeCell ref="AQ26:AS27"/>
    <mergeCell ref="AU24:AV24"/>
    <mergeCell ref="AZ24:BA24"/>
    <mergeCell ref="BE24:BF24"/>
    <mergeCell ref="BJ24:BK24"/>
    <mergeCell ref="A26:B27"/>
    <mergeCell ref="C26:E27"/>
    <mergeCell ref="F26:G27"/>
    <mergeCell ref="H26:J27"/>
    <mergeCell ref="K26:L27"/>
    <mergeCell ref="M26:O27"/>
    <mergeCell ref="AT24:AT25"/>
    <mergeCell ref="AY24:AY25"/>
    <mergeCell ref="BD24:BD25"/>
    <mergeCell ref="AE24:AE25"/>
    <mergeCell ref="AJ24:AJ25"/>
    <mergeCell ref="AO24:AO25"/>
    <mergeCell ref="P24:P25"/>
    <mergeCell ref="U24:U25"/>
    <mergeCell ref="Z24:Z25"/>
    <mergeCell ref="P26:Q27"/>
    <mergeCell ref="R26:T27"/>
    <mergeCell ref="U26:V27"/>
    <mergeCell ref="W26:Y27"/>
    <mergeCell ref="Z26:AA27"/>
    <mergeCell ref="AB26:AD27"/>
    <mergeCell ref="A24:A25"/>
    <mergeCell ref="F24:F25"/>
    <mergeCell ref="K24:K25"/>
    <mergeCell ref="P22:Q23"/>
    <mergeCell ref="R22:T23"/>
    <mergeCell ref="BK20:BM21"/>
    <mergeCell ref="BN20:BO21"/>
    <mergeCell ref="BP20:BR21"/>
    <mergeCell ref="A22:B23"/>
    <mergeCell ref="C22:E23"/>
    <mergeCell ref="F22:G23"/>
    <mergeCell ref="H22:J23"/>
    <mergeCell ref="K22:L23"/>
    <mergeCell ref="M22:O23"/>
    <mergeCell ref="AT20:AU21"/>
    <mergeCell ref="AV20:AX21"/>
    <mergeCell ref="AY20:AZ21"/>
    <mergeCell ref="BA20:BC21"/>
    <mergeCell ref="BD20:BE21"/>
    <mergeCell ref="BF20:BH21"/>
    <mergeCell ref="AE20:AF21"/>
    <mergeCell ref="AG20:AI21"/>
    <mergeCell ref="AJ20:AK21"/>
    <mergeCell ref="AL20:AN21"/>
    <mergeCell ref="BI22:BJ23"/>
    <mergeCell ref="BK22:BM23"/>
    <mergeCell ref="BN22:BO23"/>
    <mergeCell ref="U22:V23"/>
    <mergeCell ref="W22:Y23"/>
    <mergeCell ref="Z22:AA23"/>
    <mergeCell ref="AB22:AD23"/>
    <mergeCell ref="BI20:BJ21"/>
    <mergeCell ref="BD18:BD19"/>
    <mergeCell ref="AE18:AE19"/>
    <mergeCell ref="AJ18:AJ19"/>
    <mergeCell ref="AO18:AO19"/>
    <mergeCell ref="BJ18:BK18"/>
    <mergeCell ref="AT22:AU23"/>
    <mergeCell ref="AV22:AX23"/>
    <mergeCell ref="AY22:AZ23"/>
    <mergeCell ref="BA22:BC23"/>
    <mergeCell ref="BD22:BE23"/>
    <mergeCell ref="BF22:BH23"/>
    <mergeCell ref="AE22:AF23"/>
    <mergeCell ref="AG22:AI23"/>
    <mergeCell ref="AJ22:AK23"/>
    <mergeCell ref="AL22:AN23"/>
    <mergeCell ref="AO22:AP23"/>
    <mergeCell ref="AQ22:AS23"/>
    <mergeCell ref="Z20:AA21"/>
    <mergeCell ref="AB20:AD21"/>
    <mergeCell ref="BP22:BR23"/>
    <mergeCell ref="BI18:BI19"/>
    <mergeCell ref="Z18:Z19"/>
    <mergeCell ref="AP18:AQ18"/>
    <mergeCell ref="AU18:AV18"/>
    <mergeCell ref="AZ18:BA18"/>
    <mergeCell ref="BE18:BF18"/>
    <mergeCell ref="BI16:BJ17"/>
    <mergeCell ref="BK16:BM17"/>
    <mergeCell ref="BN16:BO17"/>
    <mergeCell ref="BP16:BR17"/>
    <mergeCell ref="BA16:BC17"/>
    <mergeCell ref="BO18:BP18"/>
    <mergeCell ref="AT18:AT19"/>
    <mergeCell ref="AY18:AY19"/>
    <mergeCell ref="V18:W18"/>
    <mergeCell ref="AA18:AB18"/>
    <mergeCell ref="AF18:AG18"/>
    <mergeCell ref="AK18:AL18"/>
    <mergeCell ref="W16:Y17"/>
    <mergeCell ref="P18:P19"/>
    <mergeCell ref="U18:U19"/>
    <mergeCell ref="Z16:AA17"/>
    <mergeCell ref="AB16:AD17"/>
    <mergeCell ref="BK14:BM15"/>
    <mergeCell ref="A16:B17"/>
    <mergeCell ref="C16:E17"/>
    <mergeCell ref="F16:G17"/>
    <mergeCell ref="H16:J17"/>
    <mergeCell ref="K16:L17"/>
    <mergeCell ref="M16:O17"/>
    <mergeCell ref="AT14:AU15"/>
    <mergeCell ref="AV14:AX15"/>
    <mergeCell ref="AY14:AZ15"/>
    <mergeCell ref="AE14:AF15"/>
    <mergeCell ref="AG14:AI15"/>
    <mergeCell ref="AJ14:AK15"/>
    <mergeCell ref="AL14:AN15"/>
    <mergeCell ref="P14:Q15"/>
    <mergeCell ref="R14:T15"/>
    <mergeCell ref="U14:V15"/>
    <mergeCell ref="W14:Y15"/>
    <mergeCell ref="Z14:AA15"/>
    <mergeCell ref="AB14:AD15"/>
    <mergeCell ref="AG16:AI17"/>
    <mergeCell ref="AE12:AE13"/>
    <mergeCell ref="AJ12:AJ13"/>
    <mergeCell ref="AO12:AO13"/>
    <mergeCell ref="P12:P13"/>
    <mergeCell ref="U12:U13"/>
    <mergeCell ref="BI12:BI13"/>
    <mergeCell ref="Z12:Z13"/>
    <mergeCell ref="U16:V17"/>
    <mergeCell ref="AT16:AU17"/>
    <mergeCell ref="AV16:AX17"/>
    <mergeCell ref="AY16:AZ17"/>
    <mergeCell ref="AE16:AF17"/>
    <mergeCell ref="AJ16:AK17"/>
    <mergeCell ref="AL16:AN17"/>
    <mergeCell ref="AO16:AP17"/>
    <mergeCell ref="AQ16:AS17"/>
    <mergeCell ref="P16:Q17"/>
    <mergeCell ref="R16:T17"/>
    <mergeCell ref="BI14:BJ15"/>
    <mergeCell ref="BD16:BE17"/>
    <mergeCell ref="BF16:BH17"/>
    <mergeCell ref="AO14:AP15"/>
    <mergeCell ref="AQ14:AS15"/>
    <mergeCell ref="BA14:BC15"/>
    <mergeCell ref="AT12:AT13"/>
    <mergeCell ref="AY12:AY13"/>
    <mergeCell ref="BD12:BD13"/>
    <mergeCell ref="BK8:BM9"/>
    <mergeCell ref="BE6:BF6"/>
    <mergeCell ref="BN8:BO9"/>
    <mergeCell ref="BA10:BC11"/>
    <mergeCell ref="AT10:AU11"/>
    <mergeCell ref="AV10:AX11"/>
    <mergeCell ref="AY10:AZ11"/>
    <mergeCell ref="BN6:BN7"/>
    <mergeCell ref="BI6:BI7"/>
    <mergeCell ref="BK10:BM11"/>
    <mergeCell ref="BN10:BO11"/>
    <mergeCell ref="BO6:BP6"/>
    <mergeCell ref="BJ6:BK6"/>
    <mergeCell ref="BP10:BR11"/>
    <mergeCell ref="BI8:BJ9"/>
    <mergeCell ref="BD10:BE11"/>
    <mergeCell ref="BF10:BH11"/>
    <mergeCell ref="AT8:AU9"/>
    <mergeCell ref="AV8:AX9"/>
    <mergeCell ref="AY8:AZ9"/>
    <mergeCell ref="BJ12:BK12"/>
    <mergeCell ref="BN14:BO15"/>
    <mergeCell ref="BN12:BN13"/>
    <mergeCell ref="BP14:BR15"/>
    <mergeCell ref="BD14:BE15"/>
    <mergeCell ref="BF14:BH15"/>
    <mergeCell ref="A10:B11"/>
    <mergeCell ref="C10:E11"/>
    <mergeCell ref="F10:G11"/>
    <mergeCell ref="H10:J11"/>
    <mergeCell ref="K10:L11"/>
    <mergeCell ref="M10:O11"/>
    <mergeCell ref="F14:G15"/>
    <mergeCell ref="H14:J15"/>
    <mergeCell ref="K14:L15"/>
    <mergeCell ref="M14:O15"/>
    <mergeCell ref="A12:A13"/>
    <mergeCell ref="F12:F13"/>
    <mergeCell ref="AF12:AG12"/>
    <mergeCell ref="AK12:AL12"/>
    <mergeCell ref="AP12:AQ12"/>
    <mergeCell ref="AU12:AV12"/>
    <mergeCell ref="AZ12:BA12"/>
    <mergeCell ref="BE12:BF12"/>
    <mergeCell ref="BO12:BP12"/>
    <mergeCell ref="AG8:AI9"/>
    <mergeCell ref="AJ8:AK9"/>
    <mergeCell ref="AL8:AN9"/>
    <mergeCell ref="BD4:BE5"/>
    <mergeCell ref="BF4:BH5"/>
    <mergeCell ref="AE4:AF5"/>
    <mergeCell ref="AG4:AI5"/>
    <mergeCell ref="AJ4:AK5"/>
    <mergeCell ref="AL4:AN5"/>
    <mergeCell ref="AO4:AP5"/>
    <mergeCell ref="AQ4:AS5"/>
    <mergeCell ref="AT4:AU5"/>
    <mergeCell ref="AV4:AX5"/>
    <mergeCell ref="AY4:AZ5"/>
    <mergeCell ref="BA4:BC5"/>
    <mergeCell ref="BI2:BJ3"/>
    <mergeCell ref="BK2:BM3"/>
    <mergeCell ref="BN2:BO3"/>
    <mergeCell ref="BP2:BR3"/>
    <mergeCell ref="A4:B5"/>
    <mergeCell ref="C4:E5"/>
    <mergeCell ref="F4:G5"/>
    <mergeCell ref="H4:J5"/>
    <mergeCell ref="K4:L5"/>
    <mergeCell ref="M4:O5"/>
    <mergeCell ref="AT2:AU3"/>
    <mergeCell ref="AV2:AX3"/>
    <mergeCell ref="AY2:AZ3"/>
    <mergeCell ref="BA2:BC3"/>
    <mergeCell ref="BD2:BE3"/>
    <mergeCell ref="BF2:BH3"/>
    <mergeCell ref="AE2:AF3"/>
    <mergeCell ref="AG2:AI3"/>
    <mergeCell ref="AJ2:AK3"/>
    <mergeCell ref="AL2:AN3"/>
    <mergeCell ref="BI4:BJ5"/>
    <mergeCell ref="BK4:BM5"/>
    <mergeCell ref="BN4:BO5"/>
    <mergeCell ref="BP4:BR5"/>
    <mergeCell ref="AB10:AD11"/>
    <mergeCell ref="P10:Q11"/>
    <mergeCell ref="R10:T11"/>
    <mergeCell ref="U10:V11"/>
    <mergeCell ref="W10:Y11"/>
    <mergeCell ref="Z10:AA11"/>
    <mergeCell ref="P6:P7"/>
    <mergeCell ref="U6:U7"/>
    <mergeCell ref="L6:M6"/>
    <mergeCell ref="Q6:R6"/>
    <mergeCell ref="Z6:Z7"/>
    <mergeCell ref="F18:F19"/>
    <mergeCell ref="A2:B3"/>
    <mergeCell ref="C2:E3"/>
    <mergeCell ref="F2:G3"/>
    <mergeCell ref="H2:J3"/>
    <mergeCell ref="B12:C12"/>
    <mergeCell ref="G12:H12"/>
    <mergeCell ref="L12:M12"/>
    <mergeCell ref="Q12:R12"/>
    <mergeCell ref="A8:B9"/>
    <mergeCell ref="K8:L9"/>
    <mergeCell ref="P4:Q5"/>
    <mergeCell ref="R4:T5"/>
    <mergeCell ref="F6:F7"/>
    <mergeCell ref="K6:K7"/>
    <mergeCell ref="A6:A7"/>
    <mergeCell ref="G18:H18"/>
    <mergeCell ref="L18:M18"/>
    <mergeCell ref="Q18:R18"/>
    <mergeCell ref="K18:K19"/>
    <mergeCell ref="V12:W12"/>
    <mergeCell ref="M8:O9"/>
    <mergeCell ref="A14:B15"/>
    <mergeCell ref="F8:G9"/>
    <mergeCell ref="H8:J9"/>
    <mergeCell ref="B6:C6"/>
    <mergeCell ref="G6:H6"/>
    <mergeCell ref="C14:E15"/>
    <mergeCell ref="P2:Q3"/>
    <mergeCell ref="R2:T3"/>
    <mergeCell ref="U2:V3"/>
    <mergeCell ref="W2:Y3"/>
    <mergeCell ref="U4:V5"/>
    <mergeCell ref="V6:W6"/>
    <mergeCell ref="Z2:AA3"/>
    <mergeCell ref="AU6:AV6"/>
    <mergeCell ref="AZ6:BA6"/>
    <mergeCell ref="AT6:AT7"/>
    <mergeCell ref="AY6:AY7"/>
    <mergeCell ref="BD6:BD7"/>
    <mergeCell ref="K2:L3"/>
    <mergeCell ref="M2:O3"/>
    <mergeCell ref="W4:Y5"/>
    <mergeCell ref="Z4:AA5"/>
    <mergeCell ref="AO2:AP3"/>
    <mergeCell ref="AQ2:AS3"/>
    <mergeCell ref="AB2:AD3"/>
    <mergeCell ref="AK6:AL6"/>
    <mergeCell ref="AF6:AG6"/>
    <mergeCell ref="AP6:AQ6"/>
    <mergeCell ref="AE6:AE7"/>
    <mergeCell ref="AJ6:AJ7"/>
    <mergeCell ref="AO6:AO7"/>
    <mergeCell ref="AB4:AD5"/>
    <mergeCell ref="AA6:AB6"/>
    <mergeCell ref="BP8:BR9"/>
    <mergeCell ref="BA8:BC9"/>
    <mergeCell ref="BD8:BE9"/>
    <mergeCell ref="BF8:BH9"/>
    <mergeCell ref="BI10:BJ11"/>
    <mergeCell ref="AO20:AP21"/>
    <mergeCell ref="C8:E9"/>
    <mergeCell ref="K12:K13"/>
    <mergeCell ref="AE10:AF11"/>
    <mergeCell ref="AG10:AI11"/>
    <mergeCell ref="AJ10:AK11"/>
    <mergeCell ref="AL10:AN11"/>
    <mergeCell ref="AO10:AP11"/>
    <mergeCell ref="AQ10:AS11"/>
    <mergeCell ref="AA12:AB12"/>
    <mergeCell ref="AO8:AP9"/>
    <mergeCell ref="AQ8:AS9"/>
    <mergeCell ref="P8:Q9"/>
    <mergeCell ref="R8:T9"/>
    <mergeCell ref="U8:V9"/>
    <mergeCell ref="W8:Y9"/>
    <mergeCell ref="Z8:AA9"/>
    <mergeCell ref="AB8:AD9"/>
    <mergeCell ref="AE8:AF9"/>
    <mergeCell ref="BO24:BP24"/>
    <mergeCell ref="B18:C18"/>
    <mergeCell ref="BN18:BN19"/>
    <mergeCell ref="A20:B21"/>
    <mergeCell ref="C20:E21"/>
    <mergeCell ref="F20:G21"/>
    <mergeCell ref="H20:J21"/>
    <mergeCell ref="K20:L21"/>
    <mergeCell ref="M20:O21"/>
    <mergeCell ref="B24:C24"/>
    <mergeCell ref="G24:H24"/>
    <mergeCell ref="L24:M24"/>
    <mergeCell ref="Q24:R24"/>
    <mergeCell ref="V24:W24"/>
    <mergeCell ref="AA24:AB24"/>
    <mergeCell ref="AF24:AG24"/>
    <mergeCell ref="AK24:AL24"/>
    <mergeCell ref="AP24:AQ24"/>
    <mergeCell ref="A18:A19"/>
    <mergeCell ref="AQ20:AS21"/>
    <mergeCell ref="P20:Q21"/>
    <mergeCell ref="R20:T21"/>
    <mergeCell ref="U20:V21"/>
    <mergeCell ref="W20:Y21"/>
  </mergeCells>
  <pageMargins left="0.5" right="0" top="0.65" bottom="0" header="0.3" footer="0.3"/>
  <pageSetup paperSize="8" scale="46" orientation="landscape" r:id="rId1"/>
  <colBreaks count="1" manualBreakCount="1">
    <brk id="70" max="50" man="1"/>
  </colBreaks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799BD-0B09-4B29-AE84-C7858408BC15}">
  <sheetPr>
    <tabColor rgb="FFFFC000"/>
    <pageSetUpPr fitToPage="1"/>
  </sheetPr>
  <dimension ref="A1:CL107"/>
  <sheetViews>
    <sheetView view="pageBreakPreview" topLeftCell="A33" zoomScale="55" zoomScaleNormal="115" zoomScaleSheetLayoutView="55" workbookViewId="0">
      <selection activeCell="T64" sqref="T64:V67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140625" customWidth="1"/>
    <col min="47" max="47" width="10.71093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4.140625" customWidth="1"/>
    <col min="62" max="62" width="10.7109375" customWidth="1"/>
    <col min="63" max="63" width="4.28515625" customWidth="1"/>
    <col min="64" max="65" width="5.5703125" customWidth="1"/>
    <col min="66" max="66" width="4.140625" customWidth="1"/>
    <col min="67" max="67" width="10.7109375" customWidth="1"/>
    <col min="68" max="68" width="4.28515625" customWidth="1"/>
    <col min="69" max="70" width="5.5703125" customWidth="1"/>
    <col min="71" max="71" width="1" customWidth="1"/>
    <col min="72" max="72" width="56.7109375" customWidth="1"/>
    <col min="73" max="73" width="13" customWidth="1"/>
    <col min="74" max="74" width="7" customWidth="1"/>
  </cols>
  <sheetData>
    <row r="1" spans="1:83" ht="108.75" customHeight="1" thickBot="1" x14ac:dyDescent="0.3"/>
    <row r="2" spans="1:83" ht="36" customHeight="1" x14ac:dyDescent="0.25">
      <c r="A2" s="3262" t="s">
        <v>110</v>
      </c>
      <c r="B2" s="3263"/>
      <c r="C2" s="3265">
        <f>B7/((60*3.1415/59)*(56/3.281))</f>
        <v>1.7701057539998333E-2</v>
      </c>
      <c r="D2" s="3265"/>
      <c r="E2" s="3266"/>
      <c r="F2" s="3262" t="s">
        <v>110</v>
      </c>
      <c r="G2" s="3263"/>
      <c r="H2" s="3265">
        <f t="shared" ref="H2" si="0">G7/((60*3.1415/59)*(56/3.281))</f>
        <v>1.8339263924573492E-10</v>
      </c>
      <c r="I2" s="3265"/>
      <c r="J2" s="3266"/>
      <c r="K2" s="3262" t="s">
        <v>110</v>
      </c>
      <c r="L2" s="3263"/>
      <c r="M2" s="3265">
        <f t="shared" ref="M2" si="1">L7/((60*3.1415/59)*(56/3.281))</f>
        <v>6.5214422515783342E-3</v>
      </c>
      <c r="N2" s="3265"/>
      <c r="O2" s="3266"/>
      <c r="P2" s="3262" t="s">
        <v>110</v>
      </c>
      <c r="Q2" s="3263"/>
      <c r="R2" s="3265">
        <f t="shared" ref="R2" si="2">Q7/((60*3.1415/59)*(56/3.281))</f>
        <v>1.9098509451050835E-2</v>
      </c>
      <c r="S2" s="3265"/>
      <c r="T2" s="3266"/>
      <c r="U2" s="3262" t="s">
        <v>110</v>
      </c>
      <c r="V2" s="3263"/>
      <c r="W2" s="3265">
        <f t="shared" ref="W2" si="3">V7/((60*3.1415/59)*(56/3.281))</f>
        <v>1.833926392457349E-9</v>
      </c>
      <c r="X2" s="3265"/>
      <c r="Y2" s="3266"/>
      <c r="Z2" s="3262" t="s">
        <v>110</v>
      </c>
      <c r="AA2" s="3263"/>
      <c r="AB2" s="3265">
        <f t="shared" ref="AB2" si="4">AA7/((60*3.1415/59)*(56/3.281))</f>
        <v>3.7265384294733334E-3</v>
      </c>
      <c r="AC2" s="3265"/>
      <c r="AD2" s="3266"/>
      <c r="AE2" s="3262" t="s">
        <v>110</v>
      </c>
      <c r="AF2" s="3263"/>
      <c r="AG2" s="3265">
        <f t="shared" ref="AG2" si="5">AF7/((60*3.1415/59)*(56/3.281))</f>
        <v>1.833926392457349E-9</v>
      </c>
      <c r="AH2" s="3265"/>
      <c r="AI2" s="3266"/>
      <c r="AJ2" s="3262" t="s">
        <v>110</v>
      </c>
      <c r="AK2" s="3263"/>
      <c r="AL2" s="3265">
        <f t="shared" ref="AL2" si="6">AK7/((60*3.1415/59)*(56/3.281))</f>
        <v>6.5214422515783342E-3</v>
      </c>
      <c r="AM2" s="3265"/>
      <c r="AN2" s="3266"/>
      <c r="AO2" s="3262" t="s">
        <v>110</v>
      </c>
      <c r="AP2" s="3263"/>
      <c r="AQ2" s="3265">
        <f t="shared" ref="AQ2" si="7">AP7/((60*3.1415/59)*(56/3.281))</f>
        <v>3.7265384294733334E-3</v>
      </c>
      <c r="AR2" s="3265"/>
      <c r="AS2" s="3266"/>
      <c r="AT2" s="3262" t="s">
        <v>110</v>
      </c>
      <c r="AU2" s="3263"/>
      <c r="AV2" s="3265">
        <f t="shared" ref="AV2" si="8">AU7/((60*3.1415/59)*(56/3.281))</f>
        <v>1.8339263924573492E-10</v>
      </c>
      <c r="AW2" s="3265"/>
      <c r="AX2" s="3266"/>
      <c r="AY2" s="3262" t="s">
        <v>110</v>
      </c>
      <c r="AZ2" s="3263"/>
      <c r="BA2" s="3265">
        <f t="shared" ref="BA2" si="9">AZ7/((60*3.1415/59)*(56/3.281))</f>
        <v>2.0495961362103333E-2</v>
      </c>
      <c r="BB2" s="3265"/>
      <c r="BC2" s="3266"/>
      <c r="BD2" s="3262" t="s">
        <v>110</v>
      </c>
      <c r="BE2" s="3263"/>
      <c r="BF2" s="3265">
        <f t="shared" ref="BF2" si="10">BE7/((60*3.1415/59)*(56/3.281))</f>
        <v>2.1893413273155835E-2</v>
      </c>
      <c r="BG2" s="3265"/>
      <c r="BH2" s="3266"/>
      <c r="BI2" s="3262" t="s">
        <v>110</v>
      </c>
      <c r="BJ2" s="3263"/>
      <c r="BK2" s="3265">
        <f t="shared" ref="BK2" si="11">BJ7/((60*3.1415/59)*(56/3.281))</f>
        <v>1.8339263924573491E-15</v>
      </c>
      <c r="BL2" s="3265"/>
      <c r="BM2" s="3266"/>
      <c r="BN2" s="3262" t="s">
        <v>110</v>
      </c>
      <c r="BO2" s="3263"/>
      <c r="BP2" s="3265">
        <f t="shared" ref="BP2" si="12">BO7/((60*3.1415/59)*(56/3.281))</f>
        <v>1.8339263924573489E-13</v>
      </c>
      <c r="BQ2" s="3265"/>
      <c r="BR2" s="3266"/>
    </row>
    <row r="3" spans="1:83" ht="6.75" customHeight="1" x14ac:dyDescent="0.25">
      <c r="A3" s="3264"/>
      <c r="B3" s="3226"/>
      <c r="C3" s="3227"/>
      <c r="D3" s="3227"/>
      <c r="E3" s="3267"/>
      <c r="F3" s="3264"/>
      <c r="G3" s="3226"/>
      <c r="H3" s="3227"/>
      <c r="I3" s="3227"/>
      <c r="J3" s="3267"/>
      <c r="K3" s="3264"/>
      <c r="L3" s="3226"/>
      <c r="M3" s="3227"/>
      <c r="N3" s="3227"/>
      <c r="O3" s="3267"/>
      <c r="P3" s="3264"/>
      <c r="Q3" s="3226"/>
      <c r="R3" s="3227"/>
      <c r="S3" s="3227"/>
      <c r="T3" s="3267"/>
      <c r="U3" s="3264"/>
      <c r="V3" s="3226"/>
      <c r="W3" s="3227"/>
      <c r="X3" s="3227"/>
      <c r="Y3" s="3267"/>
      <c r="Z3" s="3264"/>
      <c r="AA3" s="3226"/>
      <c r="AB3" s="3227"/>
      <c r="AC3" s="3227"/>
      <c r="AD3" s="3267"/>
      <c r="AE3" s="3264"/>
      <c r="AF3" s="3226"/>
      <c r="AG3" s="3227"/>
      <c r="AH3" s="3227"/>
      <c r="AI3" s="3267"/>
      <c r="AJ3" s="3264"/>
      <c r="AK3" s="3226"/>
      <c r="AL3" s="3227"/>
      <c r="AM3" s="3227"/>
      <c r="AN3" s="3267"/>
      <c r="AO3" s="3264"/>
      <c r="AP3" s="3226"/>
      <c r="AQ3" s="3227"/>
      <c r="AR3" s="3227"/>
      <c r="AS3" s="3267"/>
      <c r="AT3" s="3264"/>
      <c r="AU3" s="3226"/>
      <c r="AV3" s="3227"/>
      <c r="AW3" s="3227"/>
      <c r="AX3" s="3267"/>
      <c r="AY3" s="3264"/>
      <c r="AZ3" s="3226"/>
      <c r="BA3" s="3227"/>
      <c r="BB3" s="3227"/>
      <c r="BC3" s="3267"/>
      <c r="BD3" s="3264"/>
      <c r="BE3" s="3226"/>
      <c r="BF3" s="3227"/>
      <c r="BG3" s="3227"/>
      <c r="BH3" s="3267"/>
      <c r="BI3" s="3264"/>
      <c r="BJ3" s="3226"/>
      <c r="BK3" s="3227"/>
      <c r="BL3" s="3227"/>
      <c r="BM3" s="3267"/>
      <c r="BN3" s="3264"/>
      <c r="BO3" s="3226"/>
      <c r="BP3" s="3227"/>
      <c r="BQ3" s="3227"/>
      <c r="BR3" s="3267"/>
    </row>
    <row r="4" spans="1:83" ht="21.95" customHeight="1" x14ac:dyDescent="0.25">
      <c r="A4" s="3250" t="s">
        <v>111</v>
      </c>
      <c r="B4" s="3193"/>
      <c r="C4" s="3192" t="s">
        <v>25</v>
      </c>
      <c r="D4" s="3196"/>
      <c r="E4" s="3252"/>
      <c r="F4" s="3250" t="s">
        <v>111</v>
      </c>
      <c r="G4" s="3193"/>
      <c r="H4" s="3192" t="s">
        <v>25</v>
      </c>
      <c r="I4" s="3196"/>
      <c r="J4" s="3252"/>
      <c r="K4" s="3250" t="s">
        <v>111</v>
      </c>
      <c r="L4" s="3193"/>
      <c r="M4" s="3192" t="s">
        <v>25</v>
      </c>
      <c r="N4" s="3196"/>
      <c r="O4" s="3252"/>
      <c r="P4" s="3250" t="s">
        <v>111</v>
      </c>
      <c r="Q4" s="3193"/>
      <c r="R4" s="3192" t="s">
        <v>25</v>
      </c>
      <c r="S4" s="3196"/>
      <c r="T4" s="3252"/>
      <c r="U4" s="3250" t="s">
        <v>111</v>
      </c>
      <c r="V4" s="3193"/>
      <c r="W4" s="3192" t="s">
        <v>25</v>
      </c>
      <c r="X4" s="3196"/>
      <c r="Y4" s="3252"/>
      <c r="Z4" s="3250" t="s">
        <v>111</v>
      </c>
      <c r="AA4" s="3193"/>
      <c r="AB4" s="3192" t="s">
        <v>25</v>
      </c>
      <c r="AC4" s="3196"/>
      <c r="AD4" s="3252"/>
      <c r="AE4" s="3250" t="s">
        <v>111</v>
      </c>
      <c r="AF4" s="3193"/>
      <c r="AG4" s="3192" t="s">
        <v>25</v>
      </c>
      <c r="AH4" s="3196"/>
      <c r="AI4" s="3252"/>
      <c r="AJ4" s="3250" t="s">
        <v>111</v>
      </c>
      <c r="AK4" s="3193"/>
      <c r="AL4" s="3192" t="s">
        <v>25</v>
      </c>
      <c r="AM4" s="3196"/>
      <c r="AN4" s="3252"/>
      <c r="AO4" s="3250" t="s">
        <v>111</v>
      </c>
      <c r="AP4" s="3193"/>
      <c r="AQ4" s="3192" t="s">
        <v>25</v>
      </c>
      <c r="AR4" s="3196"/>
      <c r="AS4" s="3252"/>
      <c r="AT4" s="3250" t="s">
        <v>111</v>
      </c>
      <c r="AU4" s="3193"/>
      <c r="AV4" s="3192" t="s">
        <v>25</v>
      </c>
      <c r="AW4" s="3196"/>
      <c r="AX4" s="3252"/>
      <c r="AY4" s="3250" t="s">
        <v>111</v>
      </c>
      <c r="AZ4" s="3193"/>
      <c r="BA4" s="3192" t="s">
        <v>25</v>
      </c>
      <c r="BB4" s="3196"/>
      <c r="BC4" s="3252"/>
      <c r="BD4" s="3250" t="s">
        <v>111</v>
      </c>
      <c r="BE4" s="3193"/>
      <c r="BF4" s="3192" t="s">
        <v>25</v>
      </c>
      <c r="BG4" s="3196"/>
      <c r="BH4" s="3252"/>
      <c r="BI4" s="3250" t="s">
        <v>111</v>
      </c>
      <c r="BJ4" s="3193"/>
      <c r="BK4" s="3192" t="s">
        <v>25</v>
      </c>
      <c r="BL4" s="3196"/>
      <c r="BM4" s="3252"/>
      <c r="BN4" s="3250" t="s">
        <v>111</v>
      </c>
      <c r="BO4" s="3193"/>
      <c r="BP4" s="3192" t="s">
        <v>25</v>
      </c>
      <c r="BQ4" s="3196"/>
      <c r="BR4" s="3252"/>
    </row>
    <row r="5" spans="1:83" ht="6" customHeight="1" x14ac:dyDescent="0.25">
      <c r="A5" s="3251"/>
      <c r="B5" s="3195"/>
      <c r="C5" s="3194"/>
      <c r="D5" s="3197"/>
      <c r="E5" s="3253"/>
      <c r="F5" s="3251"/>
      <c r="G5" s="3195"/>
      <c r="H5" s="3194"/>
      <c r="I5" s="3197"/>
      <c r="J5" s="3253"/>
      <c r="K5" s="3251"/>
      <c r="L5" s="3195"/>
      <c r="M5" s="3194"/>
      <c r="N5" s="3197"/>
      <c r="O5" s="3253"/>
      <c r="P5" s="3251"/>
      <c r="Q5" s="3195"/>
      <c r="R5" s="3194"/>
      <c r="S5" s="3197"/>
      <c r="T5" s="3253"/>
      <c r="U5" s="3251"/>
      <c r="V5" s="3195"/>
      <c r="W5" s="3194"/>
      <c r="X5" s="3197"/>
      <c r="Y5" s="3253"/>
      <c r="Z5" s="3251"/>
      <c r="AA5" s="3195"/>
      <c r="AB5" s="3194"/>
      <c r="AC5" s="3197"/>
      <c r="AD5" s="3253"/>
      <c r="AE5" s="3251"/>
      <c r="AF5" s="3195"/>
      <c r="AG5" s="3194"/>
      <c r="AH5" s="3197"/>
      <c r="AI5" s="3253"/>
      <c r="AJ5" s="3251"/>
      <c r="AK5" s="3195"/>
      <c r="AL5" s="3194"/>
      <c r="AM5" s="3197"/>
      <c r="AN5" s="3253"/>
      <c r="AO5" s="3251"/>
      <c r="AP5" s="3195"/>
      <c r="AQ5" s="3194"/>
      <c r="AR5" s="3197"/>
      <c r="AS5" s="3253"/>
      <c r="AT5" s="3251"/>
      <c r="AU5" s="3195"/>
      <c r="AV5" s="3194"/>
      <c r="AW5" s="3197"/>
      <c r="AX5" s="3253"/>
      <c r="AY5" s="3251"/>
      <c r="AZ5" s="3195"/>
      <c r="BA5" s="3194"/>
      <c r="BB5" s="3197"/>
      <c r="BC5" s="3253"/>
      <c r="BD5" s="3251"/>
      <c r="BE5" s="3195"/>
      <c r="BF5" s="3194"/>
      <c r="BG5" s="3197"/>
      <c r="BH5" s="3253"/>
      <c r="BI5" s="3251"/>
      <c r="BJ5" s="3195"/>
      <c r="BK5" s="3194"/>
      <c r="BL5" s="3197"/>
      <c r="BM5" s="3253"/>
      <c r="BN5" s="3251"/>
      <c r="BO5" s="3195"/>
      <c r="BP5" s="3194"/>
      <c r="BQ5" s="3197"/>
      <c r="BR5" s="3253"/>
    </row>
    <row r="6" spans="1:83" s="22" customFormat="1" ht="80.099999999999994" customHeight="1" x14ac:dyDescent="1.35">
      <c r="A6" s="3269" t="s">
        <v>537</v>
      </c>
      <c r="B6" s="3189">
        <v>21</v>
      </c>
      <c r="C6" s="3190"/>
      <c r="D6" s="3190"/>
      <c r="E6" s="3268"/>
      <c r="F6" s="3269" t="s">
        <v>537</v>
      </c>
      <c r="G6" s="3189">
        <v>22</v>
      </c>
      <c r="H6" s="3190"/>
      <c r="I6" s="3190"/>
      <c r="J6" s="3268"/>
      <c r="K6" s="3269" t="s">
        <v>537</v>
      </c>
      <c r="L6" s="3189">
        <v>23</v>
      </c>
      <c r="M6" s="3190"/>
      <c r="N6" s="3190"/>
      <c r="O6" s="3268"/>
      <c r="P6" s="3269" t="s">
        <v>537</v>
      </c>
      <c r="Q6" s="3189">
        <v>24</v>
      </c>
      <c r="R6" s="3190"/>
      <c r="S6" s="3190"/>
      <c r="T6" s="3268"/>
      <c r="U6" s="3269" t="s">
        <v>537</v>
      </c>
      <c r="V6" s="3189">
        <v>25</v>
      </c>
      <c r="W6" s="3190"/>
      <c r="X6" s="3190"/>
      <c r="Y6" s="3268"/>
      <c r="Z6" s="3269" t="s">
        <v>537</v>
      </c>
      <c r="AA6" s="3189">
        <v>26</v>
      </c>
      <c r="AB6" s="3190"/>
      <c r="AC6" s="3190"/>
      <c r="AD6" s="3268"/>
      <c r="AE6" s="3269" t="s">
        <v>537</v>
      </c>
      <c r="AF6" s="3189">
        <v>27</v>
      </c>
      <c r="AG6" s="3190"/>
      <c r="AH6" s="3190"/>
      <c r="AI6" s="3268"/>
      <c r="AJ6" s="3269" t="s">
        <v>537</v>
      </c>
      <c r="AK6" s="3189">
        <v>28</v>
      </c>
      <c r="AL6" s="3190"/>
      <c r="AM6" s="3190"/>
      <c r="AN6" s="3268"/>
      <c r="AO6" s="3269" t="s">
        <v>537</v>
      </c>
      <c r="AP6" s="3189">
        <v>29</v>
      </c>
      <c r="AQ6" s="3190"/>
      <c r="AR6" s="3190"/>
      <c r="AS6" s="3268"/>
      <c r="AT6" s="3269" t="s">
        <v>537</v>
      </c>
      <c r="AU6" s="3189">
        <v>30</v>
      </c>
      <c r="AV6" s="3190"/>
      <c r="AW6" s="3190"/>
      <c r="AX6" s="3268"/>
      <c r="AY6" s="3269" t="s">
        <v>537</v>
      </c>
      <c r="AZ6" s="3189">
        <v>31</v>
      </c>
      <c r="BA6" s="3190"/>
      <c r="BB6" s="3190"/>
      <c r="BC6" s="3268"/>
      <c r="BD6" s="3269" t="s">
        <v>537</v>
      </c>
      <c r="BE6" s="3189">
        <v>32</v>
      </c>
      <c r="BF6" s="3190"/>
      <c r="BG6" s="3190"/>
      <c r="BH6" s="3268"/>
      <c r="BI6" s="3269" t="s">
        <v>537</v>
      </c>
      <c r="BJ6" s="3189">
        <v>33</v>
      </c>
      <c r="BK6" s="3190"/>
      <c r="BL6" s="3190"/>
      <c r="BM6" s="3268"/>
      <c r="BN6" s="3269" t="s">
        <v>537</v>
      </c>
      <c r="BO6" s="3189">
        <v>34</v>
      </c>
      <c r="BP6" s="3190"/>
      <c r="BQ6" s="3190"/>
      <c r="BR6" s="3268"/>
      <c r="BT6" s="22" t="s">
        <v>16</v>
      </c>
    </row>
    <row r="7" spans="1:83" ht="27" customHeight="1" thickBot="1" x14ac:dyDescent="0.3">
      <c r="A7" s="3270"/>
      <c r="B7" s="183">
        <v>0.96519999999999995</v>
      </c>
      <c r="C7" s="184" t="s">
        <v>113</v>
      </c>
      <c r="D7" s="185"/>
      <c r="E7" s="186" t="s">
        <v>114</v>
      </c>
      <c r="F7" s="3270"/>
      <c r="G7" s="183">
        <v>1E-8</v>
      </c>
      <c r="H7" s="184" t="s">
        <v>113</v>
      </c>
      <c r="I7" s="185"/>
      <c r="J7" s="186" t="s">
        <v>114</v>
      </c>
      <c r="K7" s="3270"/>
      <c r="L7" s="183">
        <v>0.35560000000000003</v>
      </c>
      <c r="M7" s="184" t="s">
        <v>113</v>
      </c>
      <c r="N7" s="185"/>
      <c r="O7" s="186" t="s">
        <v>114</v>
      </c>
      <c r="P7" s="3270"/>
      <c r="Q7" s="183">
        <v>1.0414000000000001</v>
      </c>
      <c r="R7" s="184" t="s">
        <v>113</v>
      </c>
      <c r="S7" s="185">
        <v>1</v>
      </c>
      <c r="T7" s="186" t="s">
        <v>114</v>
      </c>
      <c r="U7" s="3270"/>
      <c r="V7" s="183">
        <v>9.9999999999999995E-8</v>
      </c>
      <c r="W7" s="184" t="s">
        <v>113</v>
      </c>
      <c r="X7" s="185"/>
      <c r="Y7" s="186" t="s">
        <v>114</v>
      </c>
      <c r="Z7" s="3270"/>
      <c r="AA7" s="183">
        <v>0.20319999999999999</v>
      </c>
      <c r="AB7" s="184" t="s">
        <v>113</v>
      </c>
      <c r="AC7" s="185">
        <v>1</v>
      </c>
      <c r="AD7" s="186" t="s">
        <v>114</v>
      </c>
      <c r="AE7" s="3270"/>
      <c r="AF7" s="183">
        <v>9.9999999999999995E-8</v>
      </c>
      <c r="AG7" s="184" t="s">
        <v>113</v>
      </c>
      <c r="AH7" s="185"/>
      <c r="AI7" s="186" t="s">
        <v>114</v>
      </c>
      <c r="AJ7" s="3270"/>
      <c r="AK7" s="183">
        <v>0.35560000000000003</v>
      </c>
      <c r="AL7" s="184" t="s">
        <v>113</v>
      </c>
      <c r="AM7" s="185">
        <v>1</v>
      </c>
      <c r="AN7" s="186" t="s">
        <v>114</v>
      </c>
      <c r="AO7" s="3270"/>
      <c r="AP7" s="183">
        <v>0.20319999999999999</v>
      </c>
      <c r="AQ7" s="184" t="s">
        <v>113</v>
      </c>
      <c r="AR7" s="185"/>
      <c r="AS7" s="186" t="s">
        <v>114</v>
      </c>
      <c r="AT7" s="3270"/>
      <c r="AU7" s="183">
        <v>1E-8</v>
      </c>
      <c r="AV7" s="184" t="s">
        <v>113</v>
      </c>
      <c r="AW7" s="185"/>
      <c r="AX7" s="186" t="s">
        <v>114</v>
      </c>
      <c r="AY7" s="3270"/>
      <c r="AZ7" s="183">
        <v>1.1175999999999999</v>
      </c>
      <c r="BA7" s="184" t="s">
        <v>113</v>
      </c>
      <c r="BB7" s="185">
        <v>1</v>
      </c>
      <c r="BC7" s="186" t="s">
        <v>114</v>
      </c>
      <c r="BD7" s="3270"/>
      <c r="BE7" s="183">
        <v>1.1938</v>
      </c>
      <c r="BF7" s="184" t="s">
        <v>113</v>
      </c>
      <c r="BG7" s="185"/>
      <c r="BH7" s="186" t="s">
        <v>114</v>
      </c>
      <c r="BI7" s="3270"/>
      <c r="BJ7" s="183">
        <v>1E-13</v>
      </c>
      <c r="BK7" s="184" t="s">
        <v>113</v>
      </c>
      <c r="BL7" s="185">
        <v>1</v>
      </c>
      <c r="BM7" s="186" t="s">
        <v>114</v>
      </c>
      <c r="BN7" s="3270"/>
      <c r="BO7" s="183">
        <v>9.9999999999999994E-12</v>
      </c>
      <c r="BP7" s="184" t="s">
        <v>113</v>
      </c>
      <c r="BQ7" s="185"/>
      <c r="BR7" s="186" t="s">
        <v>114</v>
      </c>
      <c r="BW7" s="27"/>
      <c r="BX7" s="27"/>
      <c r="BY7" s="27"/>
      <c r="BZ7" s="27"/>
      <c r="CA7" s="27"/>
      <c r="CB7" s="27"/>
      <c r="CC7" s="27"/>
      <c r="CD7" s="27"/>
      <c r="CE7" s="27"/>
    </row>
    <row r="8" spans="1:83" ht="27.95" customHeight="1" x14ac:dyDescent="0.25">
      <c r="A8" s="3262" t="s">
        <v>110</v>
      </c>
      <c r="B8" s="3263"/>
      <c r="C8" s="3265">
        <f>B13/((60*3.1415/59)*(56/3.281))</f>
        <v>2.3290865184208333E-3</v>
      </c>
      <c r="D8" s="3265"/>
      <c r="E8" s="3266"/>
      <c r="F8" s="3262" t="s">
        <v>110</v>
      </c>
      <c r="G8" s="3263"/>
      <c r="H8" s="3265">
        <f t="shared" ref="H8" si="13">G13/((60*3.1415/59)*(56/3.281))</f>
        <v>2.2825047880524165E-2</v>
      </c>
      <c r="I8" s="3265"/>
      <c r="J8" s="3266"/>
      <c r="K8" s="3262" t="s">
        <v>110</v>
      </c>
      <c r="L8" s="3263"/>
      <c r="M8" s="3265">
        <f>L13/((60*3.1415/59)*(56/3.281))</f>
        <v>1.117961528842E-2</v>
      </c>
      <c r="N8" s="3265"/>
      <c r="O8" s="3266"/>
      <c r="P8" s="3262" t="s">
        <v>110</v>
      </c>
      <c r="Q8" s="3263"/>
      <c r="R8" s="3265">
        <f t="shared" ref="R8" si="14">Q13/((60*3.1415/59)*(56/3.281))</f>
        <v>9.3163460736833334E-3</v>
      </c>
      <c r="S8" s="3265"/>
      <c r="T8" s="3266"/>
      <c r="U8" s="3262" t="s">
        <v>110</v>
      </c>
      <c r="V8" s="3263"/>
      <c r="W8" s="3265">
        <f t="shared" ref="W8" si="15">V13/((60*3.1415/59)*(56/3.281))</f>
        <v>1.8339263924573491E-15</v>
      </c>
      <c r="X8" s="3265"/>
      <c r="Y8" s="3266"/>
      <c r="Z8" s="3262" t="s">
        <v>110</v>
      </c>
      <c r="AA8" s="3263"/>
      <c r="AB8" s="3265">
        <f t="shared" ref="AB8" si="16">AA13/((60*3.1415/59)*(56/3.281))</f>
        <v>8.8505287699991667E-3</v>
      </c>
      <c r="AC8" s="3265"/>
      <c r="AD8" s="3266"/>
      <c r="AE8" s="3262" t="s">
        <v>110</v>
      </c>
      <c r="AF8" s="3263"/>
      <c r="AG8" s="3265">
        <f t="shared" ref="AG8" si="17">AF13/((60*3.1415/59)*(56/3.281))</f>
        <v>1.8632692147366667E-3</v>
      </c>
      <c r="AH8" s="3265"/>
      <c r="AI8" s="3266"/>
      <c r="AJ8" s="3262" t="s">
        <v>110</v>
      </c>
      <c r="AK8" s="3263"/>
      <c r="AL8" s="3265">
        <f t="shared" ref="AL8" si="18">AK13/((60*3.1415/59)*(56/3.281))</f>
        <v>2.3756682487892502E-2</v>
      </c>
      <c r="AM8" s="3265"/>
      <c r="AN8" s="3266"/>
      <c r="AO8" s="3262" t="s">
        <v>110</v>
      </c>
      <c r="AP8" s="3263"/>
      <c r="AQ8" s="3265">
        <f t="shared" ref="AQ8" si="19">AP13/((60*3.1415/59)*(56/3.281))</f>
        <v>1.8339263924573489E-13</v>
      </c>
      <c r="AR8" s="3265"/>
      <c r="AS8" s="3266"/>
      <c r="AT8" s="3262" t="s">
        <v>110</v>
      </c>
      <c r="AU8" s="3263"/>
      <c r="AV8" s="3265">
        <f t="shared" ref="AV8" si="20">AU13/((60*3.1415/59)*(56/3.281))</f>
        <v>1.8632692147366667E-3</v>
      </c>
      <c r="AW8" s="3265"/>
      <c r="AX8" s="3266"/>
      <c r="AY8" s="3262" t="s">
        <v>110</v>
      </c>
      <c r="AZ8" s="3263"/>
      <c r="BA8" s="3265">
        <f t="shared" ref="BA8" si="21">AZ13/((60*3.1415/59)*(56/3.281))</f>
        <v>3.7265384294733334E-3</v>
      </c>
      <c r="BB8" s="3265"/>
      <c r="BC8" s="3266"/>
      <c r="BD8" s="3262" t="s">
        <v>110</v>
      </c>
      <c r="BE8" s="3263"/>
      <c r="BF8" s="3265">
        <f t="shared" ref="BF8" si="22">BE13/((60*3.1415/59)*(56/3.281))</f>
        <v>4.6581730368416667E-3</v>
      </c>
      <c r="BG8" s="3265"/>
      <c r="BH8" s="3266"/>
      <c r="BI8" s="3262" t="s">
        <v>110</v>
      </c>
      <c r="BJ8" s="3263"/>
      <c r="BK8" s="3265">
        <f t="shared" ref="BK8" si="23">BJ13/((60*3.1415/59)*(56/3.281))</f>
        <v>4.6581730368416667E-3</v>
      </c>
      <c r="BL8" s="3265"/>
      <c r="BM8" s="3266"/>
      <c r="BN8" s="3262" t="s">
        <v>110</v>
      </c>
      <c r="BO8" s="3263"/>
      <c r="BP8" s="3265">
        <f t="shared" ref="BP8" si="24">BO13/((60*3.1415/59)*(56/3.281))</f>
        <v>1.8339263924573494E-11</v>
      </c>
      <c r="BQ8" s="3265"/>
      <c r="BR8" s="3266"/>
    </row>
    <row r="9" spans="1:83" ht="6.75" customHeight="1" x14ac:dyDescent="0.25">
      <c r="A9" s="3264"/>
      <c r="B9" s="3226"/>
      <c r="C9" s="3227"/>
      <c r="D9" s="3227"/>
      <c r="E9" s="3267"/>
      <c r="F9" s="3264"/>
      <c r="G9" s="3226"/>
      <c r="H9" s="3227"/>
      <c r="I9" s="3227"/>
      <c r="J9" s="3267"/>
      <c r="K9" s="3264"/>
      <c r="L9" s="3226"/>
      <c r="M9" s="3227"/>
      <c r="N9" s="3227"/>
      <c r="O9" s="3267"/>
      <c r="P9" s="3264"/>
      <c r="Q9" s="3226"/>
      <c r="R9" s="3227"/>
      <c r="S9" s="3227"/>
      <c r="T9" s="3267"/>
      <c r="U9" s="3264"/>
      <c r="V9" s="3226"/>
      <c r="W9" s="3227"/>
      <c r="X9" s="3227"/>
      <c r="Y9" s="3267"/>
      <c r="Z9" s="3264"/>
      <c r="AA9" s="3226"/>
      <c r="AB9" s="3227"/>
      <c r="AC9" s="3227"/>
      <c r="AD9" s="3267"/>
      <c r="AE9" s="3264"/>
      <c r="AF9" s="3226"/>
      <c r="AG9" s="3227"/>
      <c r="AH9" s="3227"/>
      <c r="AI9" s="3267"/>
      <c r="AJ9" s="3264"/>
      <c r="AK9" s="3226"/>
      <c r="AL9" s="3227"/>
      <c r="AM9" s="3227"/>
      <c r="AN9" s="3267"/>
      <c r="AO9" s="3264"/>
      <c r="AP9" s="3226"/>
      <c r="AQ9" s="3227"/>
      <c r="AR9" s="3227"/>
      <c r="AS9" s="3267"/>
      <c r="AT9" s="3264"/>
      <c r="AU9" s="3226"/>
      <c r="AV9" s="3227"/>
      <c r="AW9" s="3227"/>
      <c r="AX9" s="3267"/>
      <c r="AY9" s="3264"/>
      <c r="AZ9" s="3226"/>
      <c r="BA9" s="3271"/>
      <c r="BB9" s="3271"/>
      <c r="BC9" s="3272"/>
      <c r="BD9" s="3264"/>
      <c r="BE9" s="3226"/>
      <c r="BF9" s="3227"/>
      <c r="BG9" s="3227"/>
      <c r="BH9" s="3267"/>
      <c r="BI9" s="3264"/>
      <c r="BJ9" s="3226"/>
      <c r="BK9" s="3227"/>
      <c r="BL9" s="3227"/>
      <c r="BM9" s="3267"/>
      <c r="BN9" s="3264"/>
      <c r="BO9" s="3226"/>
      <c r="BP9" s="3227"/>
      <c r="BQ9" s="3227"/>
      <c r="BR9" s="3267"/>
    </row>
    <row r="10" spans="1:83" ht="21.95" customHeight="1" x14ac:dyDescent="0.25">
      <c r="A10" s="3250" t="s">
        <v>111</v>
      </c>
      <c r="B10" s="3193"/>
      <c r="C10" s="3192" t="s">
        <v>25</v>
      </c>
      <c r="D10" s="3196"/>
      <c r="E10" s="3252"/>
      <c r="F10" s="3250" t="s">
        <v>111</v>
      </c>
      <c r="G10" s="3193"/>
      <c r="H10" s="3192" t="s">
        <v>25</v>
      </c>
      <c r="I10" s="3196"/>
      <c r="J10" s="3252"/>
      <c r="K10" s="3250" t="s">
        <v>111</v>
      </c>
      <c r="L10" s="3193"/>
      <c r="M10" s="3192" t="s">
        <v>25</v>
      </c>
      <c r="N10" s="3196"/>
      <c r="O10" s="3252"/>
      <c r="P10" s="3250" t="s">
        <v>111</v>
      </c>
      <c r="Q10" s="3193"/>
      <c r="R10" s="3192" t="s">
        <v>25</v>
      </c>
      <c r="S10" s="3196"/>
      <c r="T10" s="3252"/>
      <c r="U10" s="3250" t="s">
        <v>111</v>
      </c>
      <c r="V10" s="3193"/>
      <c r="W10" s="3192" t="s">
        <v>25</v>
      </c>
      <c r="X10" s="3196"/>
      <c r="Y10" s="3252"/>
      <c r="Z10" s="3250" t="s">
        <v>111</v>
      </c>
      <c r="AA10" s="3193"/>
      <c r="AB10" s="3192" t="s">
        <v>25</v>
      </c>
      <c r="AC10" s="3196"/>
      <c r="AD10" s="3252"/>
      <c r="AE10" s="3250" t="s">
        <v>111</v>
      </c>
      <c r="AF10" s="3193"/>
      <c r="AG10" s="3192" t="s">
        <v>25</v>
      </c>
      <c r="AH10" s="3196"/>
      <c r="AI10" s="3252"/>
      <c r="AJ10" s="3250" t="s">
        <v>111</v>
      </c>
      <c r="AK10" s="3193"/>
      <c r="AL10" s="3192" t="s">
        <v>25</v>
      </c>
      <c r="AM10" s="3196"/>
      <c r="AN10" s="3252"/>
      <c r="AO10" s="3250" t="s">
        <v>111</v>
      </c>
      <c r="AP10" s="3193"/>
      <c r="AQ10" s="3192" t="s">
        <v>25</v>
      </c>
      <c r="AR10" s="3196"/>
      <c r="AS10" s="3252"/>
      <c r="AT10" s="3250" t="s">
        <v>111</v>
      </c>
      <c r="AU10" s="3193"/>
      <c r="AV10" s="3192" t="s">
        <v>25</v>
      </c>
      <c r="AW10" s="3196"/>
      <c r="AX10" s="3252"/>
      <c r="AY10" s="3250" t="s">
        <v>111</v>
      </c>
      <c r="AZ10" s="3193"/>
      <c r="BA10" s="3192" t="s">
        <v>25</v>
      </c>
      <c r="BB10" s="3196"/>
      <c r="BC10" s="3252"/>
      <c r="BD10" s="3196" t="s">
        <v>111</v>
      </c>
      <c r="BE10" s="3193"/>
      <c r="BF10" s="3192" t="s">
        <v>25</v>
      </c>
      <c r="BG10" s="3196"/>
      <c r="BH10" s="3252"/>
      <c r="BI10" s="3250" t="s">
        <v>111</v>
      </c>
      <c r="BJ10" s="3193"/>
      <c r="BK10" s="3192" t="s">
        <v>25</v>
      </c>
      <c r="BL10" s="3196"/>
      <c r="BM10" s="3252"/>
      <c r="BN10" s="3250" t="s">
        <v>111</v>
      </c>
      <c r="BO10" s="3193"/>
      <c r="BP10" s="3192" t="s">
        <v>25</v>
      </c>
      <c r="BQ10" s="3196"/>
      <c r="BR10" s="3252"/>
    </row>
    <row r="11" spans="1:83" ht="6" customHeight="1" x14ac:dyDescent="0.25">
      <c r="A11" s="3251"/>
      <c r="B11" s="3195"/>
      <c r="C11" s="3194"/>
      <c r="D11" s="3197"/>
      <c r="E11" s="3253"/>
      <c r="F11" s="3251"/>
      <c r="G11" s="3195"/>
      <c r="H11" s="3194"/>
      <c r="I11" s="3197"/>
      <c r="J11" s="3253"/>
      <c r="K11" s="3251"/>
      <c r="L11" s="3195"/>
      <c r="M11" s="3194"/>
      <c r="N11" s="3197"/>
      <c r="O11" s="3253"/>
      <c r="P11" s="3251"/>
      <c r="Q11" s="3195"/>
      <c r="R11" s="3194"/>
      <c r="S11" s="3197"/>
      <c r="T11" s="3253"/>
      <c r="U11" s="3251"/>
      <c r="V11" s="3195"/>
      <c r="W11" s="3194"/>
      <c r="X11" s="3197"/>
      <c r="Y11" s="3253"/>
      <c r="Z11" s="3251"/>
      <c r="AA11" s="3195"/>
      <c r="AB11" s="3194"/>
      <c r="AC11" s="3197"/>
      <c r="AD11" s="3253"/>
      <c r="AE11" s="3251"/>
      <c r="AF11" s="3195"/>
      <c r="AG11" s="3194"/>
      <c r="AH11" s="3197"/>
      <c r="AI11" s="3253"/>
      <c r="AJ11" s="3251"/>
      <c r="AK11" s="3195"/>
      <c r="AL11" s="3194"/>
      <c r="AM11" s="3197"/>
      <c r="AN11" s="3253"/>
      <c r="AO11" s="3251"/>
      <c r="AP11" s="3195"/>
      <c r="AQ11" s="3194"/>
      <c r="AR11" s="3197"/>
      <c r="AS11" s="3253"/>
      <c r="AT11" s="3251"/>
      <c r="AU11" s="3195"/>
      <c r="AV11" s="3194"/>
      <c r="AW11" s="3197"/>
      <c r="AX11" s="3253"/>
      <c r="AY11" s="3251"/>
      <c r="AZ11" s="3195"/>
      <c r="BA11" s="3194"/>
      <c r="BB11" s="3197"/>
      <c r="BC11" s="3253"/>
      <c r="BD11" s="3197"/>
      <c r="BE11" s="3195"/>
      <c r="BF11" s="3194"/>
      <c r="BG11" s="3197"/>
      <c r="BH11" s="3253"/>
      <c r="BI11" s="3251"/>
      <c r="BJ11" s="3195"/>
      <c r="BK11" s="3194"/>
      <c r="BL11" s="3197"/>
      <c r="BM11" s="3253"/>
      <c r="BN11" s="3251"/>
      <c r="BO11" s="3195"/>
      <c r="BP11" s="3194"/>
      <c r="BQ11" s="3197"/>
      <c r="BR11" s="3253"/>
    </row>
    <row r="12" spans="1:83" s="22" customFormat="1" ht="80.099999999999994" customHeight="1" x14ac:dyDescent="1.35">
      <c r="A12" s="3269" t="s">
        <v>537</v>
      </c>
      <c r="B12" s="3189">
        <v>35</v>
      </c>
      <c r="C12" s="3190"/>
      <c r="D12" s="3190"/>
      <c r="E12" s="3268"/>
      <c r="F12" s="3269" t="s">
        <v>537</v>
      </c>
      <c r="G12" s="3189">
        <v>36</v>
      </c>
      <c r="H12" s="3190"/>
      <c r="I12" s="3190"/>
      <c r="J12" s="3268"/>
      <c r="K12" s="3269" t="s">
        <v>537</v>
      </c>
      <c r="L12" s="3189">
        <v>37</v>
      </c>
      <c r="M12" s="3190"/>
      <c r="N12" s="3190"/>
      <c r="O12" s="3268"/>
      <c r="P12" s="3269" t="s">
        <v>537</v>
      </c>
      <c r="Q12" s="3189">
        <v>38</v>
      </c>
      <c r="R12" s="3190"/>
      <c r="S12" s="3190"/>
      <c r="T12" s="3268"/>
      <c r="U12" s="3269" t="s">
        <v>537</v>
      </c>
      <c r="V12" s="3189">
        <v>39</v>
      </c>
      <c r="W12" s="3190"/>
      <c r="X12" s="3190"/>
      <c r="Y12" s="3268"/>
      <c r="Z12" s="3269" t="s">
        <v>537</v>
      </c>
      <c r="AA12" s="3189">
        <v>40</v>
      </c>
      <c r="AB12" s="3190"/>
      <c r="AC12" s="3190"/>
      <c r="AD12" s="3268"/>
      <c r="AE12" s="3269" t="s">
        <v>537</v>
      </c>
      <c r="AF12" s="3189">
        <v>41</v>
      </c>
      <c r="AG12" s="3190"/>
      <c r="AH12" s="3190"/>
      <c r="AI12" s="3268"/>
      <c r="AJ12" s="3269" t="s">
        <v>537</v>
      </c>
      <c r="AK12" s="3189">
        <v>42</v>
      </c>
      <c r="AL12" s="3190"/>
      <c r="AM12" s="3190"/>
      <c r="AN12" s="3268"/>
      <c r="AO12" s="3269" t="s">
        <v>537</v>
      </c>
      <c r="AP12" s="3189">
        <v>43</v>
      </c>
      <c r="AQ12" s="3190"/>
      <c r="AR12" s="3190"/>
      <c r="AS12" s="3268"/>
      <c r="AT12" s="3269" t="s">
        <v>537</v>
      </c>
      <c r="AU12" s="3189">
        <v>44</v>
      </c>
      <c r="AV12" s="3190"/>
      <c r="AW12" s="3190"/>
      <c r="AX12" s="3268"/>
      <c r="AY12" s="3269" t="s">
        <v>537</v>
      </c>
      <c r="AZ12" s="3189">
        <v>45</v>
      </c>
      <c r="BA12" s="3273"/>
      <c r="BB12" s="3273"/>
      <c r="BC12" s="3274"/>
      <c r="BD12" s="3269" t="s">
        <v>537</v>
      </c>
      <c r="BE12" s="3189">
        <v>46</v>
      </c>
      <c r="BF12" s="3190"/>
      <c r="BG12" s="3190"/>
      <c r="BH12" s="3268"/>
      <c r="BI12" s="3269" t="s">
        <v>537</v>
      </c>
      <c r="BJ12" s="3189">
        <v>47</v>
      </c>
      <c r="BK12" s="3190"/>
      <c r="BL12" s="3190"/>
      <c r="BM12" s="3268"/>
      <c r="BN12" s="3269" t="s">
        <v>537</v>
      </c>
      <c r="BO12" s="3189">
        <v>48</v>
      </c>
      <c r="BP12" s="3190"/>
      <c r="BQ12" s="3190"/>
      <c r="BR12" s="3268"/>
    </row>
    <row r="13" spans="1:83" ht="27" customHeight="1" thickBot="1" x14ac:dyDescent="0.3">
      <c r="A13" s="3270"/>
      <c r="B13" s="183">
        <v>0.127</v>
      </c>
      <c r="C13" s="184" t="s">
        <v>113</v>
      </c>
      <c r="D13" s="185">
        <v>1</v>
      </c>
      <c r="E13" s="186" t="s">
        <v>114</v>
      </c>
      <c r="F13" s="3270"/>
      <c r="G13" s="183">
        <v>1.2445999999999999</v>
      </c>
      <c r="H13" s="184" t="s">
        <v>113</v>
      </c>
      <c r="I13" s="185"/>
      <c r="J13" s="186" t="s">
        <v>114</v>
      </c>
      <c r="K13" s="3270"/>
      <c r="L13" s="183">
        <v>0.60960000000000003</v>
      </c>
      <c r="M13" s="184" t="s">
        <v>113</v>
      </c>
      <c r="N13" s="185"/>
      <c r="O13" s="186" t="s">
        <v>114</v>
      </c>
      <c r="P13" s="3270"/>
      <c r="Q13" s="183">
        <v>0.50800000000000001</v>
      </c>
      <c r="R13" s="184" t="s">
        <v>113</v>
      </c>
      <c r="S13" s="185">
        <v>1</v>
      </c>
      <c r="T13" s="186" t="s">
        <v>114</v>
      </c>
      <c r="U13" s="3270"/>
      <c r="V13" s="183">
        <v>1E-13</v>
      </c>
      <c r="W13" s="184" t="s">
        <v>113</v>
      </c>
      <c r="X13" s="185"/>
      <c r="Y13" s="186" t="s">
        <v>114</v>
      </c>
      <c r="Z13" s="3270"/>
      <c r="AA13" s="183">
        <v>0.48259999999999997</v>
      </c>
      <c r="AB13" s="184" t="s">
        <v>113</v>
      </c>
      <c r="AC13" s="185">
        <v>1</v>
      </c>
      <c r="AD13" s="186" t="s">
        <v>114</v>
      </c>
      <c r="AE13" s="3270"/>
      <c r="AF13" s="183">
        <v>0.1016</v>
      </c>
      <c r="AG13" s="184" t="s">
        <v>113</v>
      </c>
      <c r="AH13" s="185"/>
      <c r="AI13" s="186" t="s">
        <v>114</v>
      </c>
      <c r="AJ13" s="3270"/>
      <c r="AK13" s="183">
        <v>1.2954000000000001</v>
      </c>
      <c r="AL13" s="184" t="s">
        <v>113</v>
      </c>
      <c r="AM13" s="185">
        <v>1</v>
      </c>
      <c r="AN13" s="186" t="s">
        <v>114</v>
      </c>
      <c r="AO13" s="3270"/>
      <c r="AP13" s="183">
        <v>9.9999999999999994E-12</v>
      </c>
      <c r="AQ13" s="184" t="s">
        <v>113</v>
      </c>
      <c r="AR13" s="185"/>
      <c r="AS13" s="186" t="s">
        <v>114</v>
      </c>
      <c r="AT13" s="3270"/>
      <c r="AU13" s="183">
        <v>0.1016</v>
      </c>
      <c r="AV13" s="184" t="s">
        <v>113</v>
      </c>
      <c r="AW13" s="185"/>
      <c r="AX13" s="186" t="s">
        <v>114</v>
      </c>
      <c r="AY13" s="3270"/>
      <c r="AZ13" s="183">
        <v>0.20319999999999999</v>
      </c>
      <c r="BA13" s="184" t="s">
        <v>113</v>
      </c>
      <c r="BB13" s="185">
        <v>1</v>
      </c>
      <c r="BC13" s="186" t="s">
        <v>114</v>
      </c>
      <c r="BD13" s="3270"/>
      <c r="BE13" s="183">
        <v>0.254</v>
      </c>
      <c r="BF13" s="184" t="s">
        <v>113</v>
      </c>
      <c r="BG13" s="185"/>
      <c r="BH13" s="186" t="s">
        <v>114</v>
      </c>
      <c r="BI13" s="3270"/>
      <c r="BJ13" s="183">
        <v>0.254</v>
      </c>
      <c r="BK13" s="184" t="s">
        <v>113</v>
      </c>
      <c r="BL13" s="185">
        <v>1</v>
      </c>
      <c r="BM13" s="186" t="s">
        <v>114</v>
      </c>
      <c r="BN13" s="3270"/>
      <c r="BO13" s="183">
        <v>1.0000000000000001E-9</v>
      </c>
      <c r="BP13" s="184" t="s">
        <v>113</v>
      </c>
      <c r="BQ13" s="185"/>
      <c r="BR13" s="186" t="s">
        <v>114</v>
      </c>
      <c r="BW13" s="27"/>
      <c r="BX13" s="27"/>
      <c r="BY13" s="27"/>
      <c r="BZ13" s="27"/>
      <c r="CA13" s="27"/>
      <c r="CB13" s="27"/>
      <c r="CC13" s="27"/>
      <c r="CD13" s="27"/>
      <c r="CE13" s="27"/>
    </row>
    <row r="14" spans="1:83" ht="27.95" customHeight="1" x14ac:dyDescent="0.25">
      <c r="A14" s="3262" t="s">
        <v>110</v>
      </c>
      <c r="B14" s="3263"/>
      <c r="C14" s="3265">
        <f>B19/((60*3.1415/59)*(56/3.281))</f>
        <v>1.8339263924573492E-10</v>
      </c>
      <c r="D14" s="3265"/>
      <c r="E14" s="3266"/>
      <c r="F14" s="3262" t="s">
        <v>110</v>
      </c>
      <c r="G14" s="3263"/>
      <c r="H14" s="3265">
        <f t="shared" ref="H14" si="25">G19/((60*3.1415/59)*(56/3.281))</f>
        <v>1.8339263924573491E-15</v>
      </c>
      <c r="I14" s="3265"/>
      <c r="J14" s="3266"/>
      <c r="K14" s="3262" t="s">
        <v>110</v>
      </c>
      <c r="L14" s="3263"/>
      <c r="M14" s="3265">
        <f t="shared" ref="M14" si="26">L19/((60*3.1415/59)*(56/3.281))</f>
        <v>1.8339263924573491E-14</v>
      </c>
      <c r="N14" s="3265"/>
      <c r="O14" s="3266"/>
      <c r="P14" s="3262" t="s">
        <v>110</v>
      </c>
      <c r="Q14" s="3263"/>
      <c r="R14" s="3265">
        <f t="shared" ref="R14" si="27">Q19/((60*3.1415/59)*(56/3.281))</f>
        <v>1.8339263924573489E-13</v>
      </c>
      <c r="S14" s="3265"/>
      <c r="T14" s="3266"/>
      <c r="U14" s="3262" t="s">
        <v>110</v>
      </c>
      <c r="V14" s="3263"/>
      <c r="W14" s="3265">
        <f t="shared" ref="W14" si="28">V19/((60*3.1415/59)*(56/3.281))</f>
        <v>1.8339263924573492E-10</v>
      </c>
      <c r="X14" s="3265"/>
      <c r="Y14" s="3266"/>
      <c r="Z14" s="3262" t="s">
        <v>110</v>
      </c>
      <c r="AA14" s="3263"/>
      <c r="AB14" s="3265">
        <f t="shared" ref="AB14" si="29">AA19/((60*3.1415/59)*(56/3.281))</f>
        <v>4.2855191938943341E-2</v>
      </c>
      <c r="AC14" s="3265"/>
      <c r="AD14" s="3266"/>
      <c r="AE14" s="3262" t="s">
        <v>110</v>
      </c>
      <c r="AF14" s="3263"/>
      <c r="AG14" s="3265">
        <f t="shared" ref="AG14" si="30">AF19/((60*3.1415/59)*(56/3.281))</f>
        <v>2.0961778665787502E-2</v>
      </c>
      <c r="AH14" s="3265"/>
      <c r="AI14" s="3266"/>
      <c r="AJ14" s="3262" t="s">
        <v>110</v>
      </c>
      <c r="AK14" s="3263"/>
      <c r="AL14" s="3265">
        <f t="shared" ref="AL14" si="31">AK19/((60*3.1415/59)*(56/3.281))</f>
        <v>5.5432259138415839E-2</v>
      </c>
      <c r="AM14" s="3265"/>
      <c r="AN14" s="3266"/>
      <c r="AO14" s="3262" t="s">
        <v>110</v>
      </c>
      <c r="AP14" s="3263"/>
      <c r="AQ14" s="3265">
        <f t="shared" ref="AQ14" si="32">AP19/((60*3.1415/59)*(56/3.281))</f>
        <v>1.8339263924573489E-13</v>
      </c>
      <c r="AR14" s="3265"/>
      <c r="AS14" s="3266"/>
      <c r="AT14" s="3262" t="s">
        <v>110</v>
      </c>
      <c r="AU14" s="3263"/>
      <c r="AV14" s="3265">
        <f t="shared" ref="AV14" si="33">AU19/((60*3.1415/59)*(56/3.281))</f>
        <v>1.8339263924573491E-12</v>
      </c>
      <c r="AW14" s="3265"/>
      <c r="AX14" s="3266"/>
      <c r="AY14" s="3262" t="s">
        <v>110</v>
      </c>
      <c r="AZ14" s="3263"/>
      <c r="BA14" s="3265">
        <f t="shared" ref="BA14" si="34">AZ19/((60*3.1415/59)*(56/3.281))</f>
        <v>1.8339263924573494E-11</v>
      </c>
      <c r="BB14" s="3265"/>
      <c r="BC14" s="3266"/>
      <c r="BD14" s="3262" t="s">
        <v>110</v>
      </c>
      <c r="BE14" s="3263"/>
      <c r="BF14" s="3265">
        <f t="shared" ref="BF14" si="35">BE19/((60*3.1415/59)*(56/3.281))</f>
        <v>1.8632692147366667E-2</v>
      </c>
      <c r="BG14" s="3265"/>
      <c r="BH14" s="3266"/>
      <c r="BI14" s="3262" t="s">
        <v>110</v>
      </c>
      <c r="BJ14" s="3263"/>
      <c r="BK14" s="3265">
        <f t="shared" ref="BK14" si="36">BJ19/((60*3.1415/59)*(56/3.281))</f>
        <v>1.8339263924573491E-14</v>
      </c>
      <c r="BL14" s="3265"/>
      <c r="BM14" s="3266"/>
      <c r="BN14" s="3262" t="s">
        <v>110</v>
      </c>
      <c r="BO14" s="3263"/>
      <c r="BP14" s="3265">
        <f t="shared" ref="BP14" si="37">BO19/((60*3.1415/59)*(56/3.281))</f>
        <v>8.3847114663150001E-3</v>
      </c>
      <c r="BQ14" s="3265"/>
      <c r="BR14" s="3266"/>
    </row>
    <row r="15" spans="1:83" ht="10.5" customHeight="1" x14ac:dyDescent="0.25">
      <c r="A15" s="3264"/>
      <c r="B15" s="3226"/>
      <c r="C15" s="3227"/>
      <c r="D15" s="3227"/>
      <c r="E15" s="3267"/>
      <c r="F15" s="3264"/>
      <c r="G15" s="3226"/>
      <c r="H15" s="3227"/>
      <c r="I15" s="3227"/>
      <c r="J15" s="3267"/>
      <c r="K15" s="3264"/>
      <c r="L15" s="3226"/>
      <c r="M15" s="3227"/>
      <c r="N15" s="3227"/>
      <c r="O15" s="3267"/>
      <c r="P15" s="3264"/>
      <c r="Q15" s="3226"/>
      <c r="R15" s="3227"/>
      <c r="S15" s="3227"/>
      <c r="T15" s="3267"/>
      <c r="U15" s="3264"/>
      <c r="V15" s="3226"/>
      <c r="W15" s="3227"/>
      <c r="X15" s="3227"/>
      <c r="Y15" s="3267"/>
      <c r="Z15" s="3264"/>
      <c r="AA15" s="3226"/>
      <c r="AB15" s="3227"/>
      <c r="AC15" s="3227"/>
      <c r="AD15" s="3267"/>
      <c r="AE15" s="3264"/>
      <c r="AF15" s="3226"/>
      <c r="AG15" s="3227"/>
      <c r="AH15" s="3227"/>
      <c r="AI15" s="3267"/>
      <c r="AJ15" s="3264"/>
      <c r="AK15" s="3226"/>
      <c r="AL15" s="3227"/>
      <c r="AM15" s="3227"/>
      <c r="AN15" s="3267"/>
      <c r="AO15" s="3264"/>
      <c r="AP15" s="3226"/>
      <c r="AQ15" s="3227"/>
      <c r="AR15" s="3227"/>
      <c r="AS15" s="3267"/>
      <c r="AT15" s="3264"/>
      <c r="AU15" s="3226"/>
      <c r="AV15" s="3227"/>
      <c r="AW15" s="3227"/>
      <c r="AX15" s="3267"/>
      <c r="AY15" s="3264"/>
      <c r="AZ15" s="3226"/>
      <c r="BA15" s="3227"/>
      <c r="BB15" s="3227"/>
      <c r="BC15" s="3267"/>
      <c r="BD15" s="3264"/>
      <c r="BE15" s="3226"/>
      <c r="BF15" s="3227"/>
      <c r="BG15" s="3227"/>
      <c r="BH15" s="3267"/>
      <c r="BI15" s="3264"/>
      <c r="BJ15" s="3226"/>
      <c r="BK15" s="3227"/>
      <c r="BL15" s="3227"/>
      <c r="BM15" s="3267"/>
      <c r="BN15" s="3264"/>
      <c r="BO15" s="3226"/>
      <c r="BP15" s="3227"/>
      <c r="BQ15" s="3227"/>
      <c r="BR15" s="3267"/>
    </row>
    <row r="16" spans="1:83" ht="21.95" customHeight="1" x14ac:dyDescent="0.25">
      <c r="A16" s="3250" t="s">
        <v>111</v>
      </c>
      <c r="B16" s="3193"/>
      <c r="C16" s="3192" t="s">
        <v>25</v>
      </c>
      <c r="D16" s="3196"/>
      <c r="E16" s="3252"/>
      <c r="F16" s="3250" t="s">
        <v>111</v>
      </c>
      <c r="G16" s="3193"/>
      <c r="H16" s="3192" t="s">
        <v>25</v>
      </c>
      <c r="I16" s="3196"/>
      <c r="J16" s="3252"/>
      <c r="K16" s="3250" t="s">
        <v>111</v>
      </c>
      <c r="L16" s="3193"/>
      <c r="M16" s="3192" t="s">
        <v>25</v>
      </c>
      <c r="N16" s="3196"/>
      <c r="O16" s="3252"/>
      <c r="P16" s="3250" t="s">
        <v>111</v>
      </c>
      <c r="Q16" s="3193"/>
      <c r="R16" s="3192" t="s">
        <v>25</v>
      </c>
      <c r="S16" s="3196"/>
      <c r="T16" s="3252"/>
      <c r="U16" s="3250" t="s">
        <v>111</v>
      </c>
      <c r="V16" s="3193"/>
      <c r="W16" s="3192" t="s">
        <v>25</v>
      </c>
      <c r="X16" s="3196"/>
      <c r="Y16" s="3252"/>
      <c r="Z16" s="3250" t="s">
        <v>111</v>
      </c>
      <c r="AA16" s="3193"/>
      <c r="AB16" s="3192" t="s">
        <v>25</v>
      </c>
      <c r="AC16" s="3196"/>
      <c r="AD16" s="3252"/>
      <c r="AE16" s="3250" t="s">
        <v>111</v>
      </c>
      <c r="AF16" s="3193"/>
      <c r="AG16" s="3192" t="s">
        <v>25</v>
      </c>
      <c r="AH16" s="3196"/>
      <c r="AI16" s="3252"/>
      <c r="AJ16" s="3250" t="s">
        <v>111</v>
      </c>
      <c r="AK16" s="3193"/>
      <c r="AL16" s="3192" t="s">
        <v>25</v>
      </c>
      <c r="AM16" s="3196"/>
      <c r="AN16" s="3252"/>
      <c r="AO16" s="3250" t="s">
        <v>111</v>
      </c>
      <c r="AP16" s="3193"/>
      <c r="AQ16" s="3192" t="s">
        <v>25</v>
      </c>
      <c r="AR16" s="3196"/>
      <c r="AS16" s="3252"/>
      <c r="AT16" s="3250" t="s">
        <v>111</v>
      </c>
      <c r="AU16" s="3193"/>
      <c r="AV16" s="3192" t="s">
        <v>25</v>
      </c>
      <c r="AW16" s="3196"/>
      <c r="AX16" s="3252"/>
      <c r="AY16" s="3250" t="s">
        <v>111</v>
      </c>
      <c r="AZ16" s="3193"/>
      <c r="BA16" s="3192" t="s">
        <v>25</v>
      </c>
      <c r="BB16" s="3196"/>
      <c r="BC16" s="3252"/>
      <c r="BD16" s="3250" t="s">
        <v>111</v>
      </c>
      <c r="BE16" s="3193"/>
      <c r="BF16" s="3192" t="s">
        <v>25</v>
      </c>
      <c r="BG16" s="3196"/>
      <c r="BH16" s="3252"/>
      <c r="BI16" s="3250" t="s">
        <v>111</v>
      </c>
      <c r="BJ16" s="3193"/>
      <c r="BK16" s="3192" t="s">
        <v>25</v>
      </c>
      <c r="BL16" s="3196"/>
      <c r="BM16" s="3252"/>
      <c r="BN16" s="3250" t="s">
        <v>111</v>
      </c>
      <c r="BO16" s="3193"/>
      <c r="BP16" s="3192" t="s">
        <v>25</v>
      </c>
      <c r="BQ16" s="3196"/>
      <c r="BR16" s="3252"/>
    </row>
    <row r="17" spans="1:83" ht="6" customHeight="1" x14ac:dyDescent="0.25">
      <c r="A17" s="3251"/>
      <c r="B17" s="3195"/>
      <c r="C17" s="3194"/>
      <c r="D17" s="3197"/>
      <c r="E17" s="3253"/>
      <c r="F17" s="3251"/>
      <c r="G17" s="3195"/>
      <c r="H17" s="3194"/>
      <c r="I17" s="3197"/>
      <c r="J17" s="3253"/>
      <c r="K17" s="3251"/>
      <c r="L17" s="3195"/>
      <c r="M17" s="3194"/>
      <c r="N17" s="3197"/>
      <c r="O17" s="3253"/>
      <c r="P17" s="3251"/>
      <c r="Q17" s="3195"/>
      <c r="R17" s="3194"/>
      <c r="S17" s="3197"/>
      <c r="T17" s="3253"/>
      <c r="U17" s="3251"/>
      <c r="V17" s="3195"/>
      <c r="W17" s="3194"/>
      <c r="X17" s="3197"/>
      <c r="Y17" s="3253"/>
      <c r="Z17" s="3251"/>
      <c r="AA17" s="3195"/>
      <c r="AB17" s="3194"/>
      <c r="AC17" s="3197"/>
      <c r="AD17" s="3253"/>
      <c r="AE17" s="3251"/>
      <c r="AF17" s="3195"/>
      <c r="AG17" s="3194"/>
      <c r="AH17" s="3197"/>
      <c r="AI17" s="3253"/>
      <c r="AJ17" s="3251"/>
      <c r="AK17" s="3195"/>
      <c r="AL17" s="3194"/>
      <c r="AM17" s="3197"/>
      <c r="AN17" s="3253"/>
      <c r="AO17" s="3251"/>
      <c r="AP17" s="3195"/>
      <c r="AQ17" s="3194"/>
      <c r="AR17" s="3197"/>
      <c r="AS17" s="3253"/>
      <c r="AT17" s="3251"/>
      <c r="AU17" s="3195"/>
      <c r="AV17" s="3194"/>
      <c r="AW17" s="3197"/>
      <c r="AX17" s="3253"/>
      <c r="AY17" s="3251"/>
      <c r="AZ17" s="3195"/>
      <c r="BA17" s="3194"/>
      <c r="BB17" s="3197"/>
      <c r="BC17" s="3253"/>
      <c r="BD17" s="3251"/>
      <c r="BE17" s="3195"/>
      <c r="BF17" s="3194"/>
      <c r="BG17" s="3197"/>
      <c r="BH17" s="3253"/>
      <c r="BI17" s="3251"/>
      <c r="BJ17" s="3195"/>
      <c r="BK17" s="3194"/>
      <c r="BL17" s="3197"/>
      <c r="BM17" s="3253"/>
      <c r="BN17" s="3251"/>
      <c r="BO17" s="3195"/>
      <c r="BP17" s="3194"/>
      <c r="BQ17" s="3197"/>
      <c r="BR17" s="3253"/>
    </row>
    <row r="18" spans="1:83" s="22" customFormat="1" ht="80.099999999999994" customHeight="1" x14ac:dyDescent="1.35">
      <c r="A18" s="3269" t="s">
        <v>537</v>
      </c>
      <c r="B18" s="3189">
        <v>49</v>
      </c>
      <c r="C18" s="3190"/>
      <c r="D18" s="3190"/>
      <c r="E18" s="3268"/>
      <c r="F18" s="3269" t="s">
        <v>537</v>
      </c>
      <c r="G18" s="3189">
        <v>50</v>
      </c>
      <c r="H18" s="3190"/>
      <c r="I18" s="3190"/>
      <c r="J18" s="3268"/>
      <c r="K18" s="3269" t="s">
        <v>537</v>
      </c>
      <c r="L18" s="3189">
        <v>51</v>
      </c>
      <c r="M18" s="3190"/>
      <c r="N18" s="3190"/>
      <c r="O18" s="3268"/>
      <c r="P18" s="3269" t="s">
        <v>537</v>
      </c>
      <c r="Q18" s="3189">
        <v>52</v>
      </c>
      <c r="R18" s="3190"/>
      <c r="S18" s="3190"/>
      <c r="T18" s="3268"/>
      <c r="U18" s="3269" t="s">
        <v>537</v>
      </c>
      <c r="V18" s="3189">
        <v>53</v>
      </c>
      <c r="W18" s="3190"/>
      <c r="X18" s="3190"/>
      <c r="Y18" s="3268"/>
      <c r="Z18" s="3269" t="s">
        <v>537</v>
      </c>
      <c r="AA18" s="3189">
        <v>54</v>
      </c>
      <c r="AB18" s="3190"/>
      <c r="AC18" s="3190"/>
      <c r="AD18" s="3268"/>
      <c r="AE18" s="3269" t="s">
        <v>537</v>
      </c>
      <c r="AF18" s="3189">
        <v>55</v>
      </c>
      <c r="AG18" s="3190"/>
      <c r="AH18" s="3190"/>
      <c r="AI18" s="3268"/>
      <c r="AJ18" s="3269" t="s">
        <v>537</v>
      </c>
      <c r="AK18" s="3189">
        <v>56</v>
      </c>
      <c r="AL18" s="3190"/>
      <c r="AM18" s="3190"/>
      <c r="AN18" s="3268"/>
      <c r="AO18" s="3269" t="s">
        <v>537</v>
      </c>
      <c r="AP18" s="3189">
        <v>57</v>
      </c>
      <c r="AQ18" s="3190"/>
      <c r="AR18" s="3190"/>
      <c r="AS18" s="3268"/>
      <c r="AT18" s="3269" t="s">
        <v>537</v>
      </c>
      <c r="AU18" s="3189">
        <v>58</v>
      </c>
      <c r="AV18" s="3190"/>
      <c r="AW18" s="3190"/>
      <c r="AX18" s="3268"/>
      <c r="AY18" s="3269" t="s">
        <v>537</v>
      </c>
      <c r="AZ18" s="3189">
        <v>59</v>
      </c>
      <c r="BA18" s="3190"/>
      <c r="BB18" s="3190"/>
      <c r="BC18" s="3268"/>
      <c r="BD18" s="3269" t="s">
        <v>537</v>
      </c>
      <c r="BE18" s="3189">
        <v>60</v>
      </c>
      <c r="BF18" s="3190"/>
      <c r="BG18" s="3190"/>
      <c r="BH18" s="3268"/>
      <c r="BI18" s="3269" t="s">
        <v>537</v>
      </c>
      <c r="BJ18" s="3189">
        <v>61</v>
      </c>
      <c r="BK18" s="3190"/>
      <c r="BL18" s="3190"/>
      <c r="BM18" s="3268"/>
      <c r="BN18" s="3269" t="s">
        <v>537</v>
      </c>
      <c r="BO18" s="3189">
        <v>62</v>
      </c>
      <c r="BP18" s="3190"/>
      <c r="BQ18" s="3190"/>
      <c r="BR18" s="3268"/>
    </row>
    <row r="19" spans="1:83" ht="27" thickBot="1" x14ac:dyDescent="0.3">
      <c r="A19" s="3270"/>
      <c r="B19" s="183">
        <v>1E-8</v>
      </c>
      <c r="C19" s="184" t="s">
        <v>113</v>
      </c>
      <c r="D19" s="185">
        <v>1</v>
      </c>
      <c r="E19" s="186" t="s">
        <v>114</v>
      </c>
      <c r="F19" s="3270"/>
      <c r="G19" s="183">
        <v>1E-13</v>
      </c>
      <c r="H19" s="184" t="s">
        <v>113</v>
      </c>
      <c r="I19" s="185"/>
      <c r="J19" s="186" t="s">
        <v>114</v>
      </c>
      <c r="K19" s="3270"/>
      <c r="L19" s="183">
        <v>9.9999999999999998E-13</v>
      </c>
      <c r="M19" s="184" t="s">
        <v>113</v>
      </c>
      <c r="N19" s="185"/>
      <c r="O19" s="186" t="s">
        <v>114</v>
      </c>
      <c r="P19" s="3270"/>
      <c r="Q19" s="183">
        <v>9.9999999999999994E-12</v>
      </c>
      <c r="R19" s="184" t="s">
        <v>113</v>
      </c>
      <c r="S19" s="185">
        <v>1</v>
      </c>
      <c r="T19" s="186" t="s">
        <v>114</v>
      </c>
      <c r="U19" s="3270"/>
      <c r="V19" s="183">
        <v>1E-8</v>
      </c>
      <c r="W19" s="184" t="s">
        <v>113</v>
      </c>
      <c r="X19" s="185"/>
      <c r="Y19" s="186" t="s">
        <v>114</v>
      </c>
      <c r="Z19" s="3270"/>
      <c r="AA19" s="183">
        <v>2.3368000000000002</v>
      </c>
      <c r="AB19" s="184" t="s">
        <v>113</v>
      </c>
      <c r="AC19" s="185">
        <v>1</v>
      </c>
      <c r="AD19" s="186" t="s">
        <v>114</v>
      </c>
      <c r="AE19" s="3270"/>
      <c r="AF19" s="183">
        <v>1.143</v>
      </c>
      <c r="AG19" s="184" t="s">
        <v>113</v>
      </c>
      <c r="AH19" s="185"/>
      <c r="AI19" s="186" t="s">
        <v>114</v>
      </c>
      <c r="AJ19" s="3270"/>
      <c r="AK19" s="183">
        <v>3.0226000000000002</v>
      </c>
      <c r="AL19" s="184" t="s">
        <v>113</v>
      </c>
      <c r="AM19" s="185">
        <v>1</v>
      </c>
      <c r="AN19" s="186" t="s">
        <v>114</v>
      </c>
      <c r="AO19" s="3270"/>
      <c r="AP19" s="183">
        <v>9.9999999999999994E-12</v>
      </c>
      <c r="AQ19" s="184" t="s">
        <v>113</v>
      </c>
      <c r="AR19" s="185"/>
      <c r="AS19" s="186" t="s">
        <v>114</v>
      </c>
      <c r="AT19" s="3270"/>
      <c r="AU19" s="183">
        <v>1E-10</v>
      </c>
      <c r="AV19" s="184" t="s">
        <v>113</v>
      </c>
      <c r="AW19" s="185">
        <v>1</v>
      </c>
      <c r="AX19" s="186" t="s">
        <v>114</v>
      </c>
      <c r="AY19" s="3270"/>
      <c r="AZ19" s="183">
        <v>1.0000000000000001E-9</v>
      </c>
      <c r="BA19" s="184" t="s">
        <v>113</v>
      </c>
      <c r="BB19" s="185"/>
      <c r="BC19" s="186" t="s">
        <v>114</v>
      </c>
      <c r="BD19" s="3270"/>
      <c r="BE19" s="183">
        <v>1.016</v>
      </c>
      <c r="BF19" s="184" t="s">
        <v>113</v>
      </c>
      <c r="BG19" s="185">
        <v>1</v>
      </c>
      <c r="BH19" s="186" t="s">
        <v>114</v>
      </c>
      <c r="BI19" s="3270"/>
      <c r="BJ19" s="183">
        <v>9.9999999999999998E-13</v>
      </c>
      <c r="BK19" s="184" t="s">
        <v>113</v>
      </c>
      <c r="BL19" s="185"/>
      <c r="BM19" s="186" t="s">
        <v>114</v>
      </c>
      <c r="BN19" s="3270"/>
      <c r="BO19" s="183">
        <v>0.4572</v>
      </c>
      <c r="BP19" s="184" t="s">
        <v>113</v>
      </c>
      <c r="BQ19" s="185">
        <v>1</v>
      </c>
      <c r="BR19" s="186" t="s">
        <v>114</v>
      </c>
      <c r="BW19" s="27"/>
      <c r="BX19" s="27"/>
      <c r="BY19" s="27"/>
      <c r="BZ19" s="27"/>
      <c r="CA19" s="27"/>
      <c r="CB19" s="27"/>
      <c r="CC19" s="27"/>
      <c r="CD19" s="27"/>
      <c r="CE19" s="27"/>
    </row>
    <row r="20" spans="1:83" ht="27.95" hidden="1" customHeight="1" x14ac:dyDescent="0.25">
      <c r="A20" s="32"/>
      <c r="B20" s="33"/>
      <c r="C20" s="32"/>
      <c r="D20" s="33"/>
      <c r="E20" s="32"/>
      <c r="F20" s="32"/>
      <c r="G20" s="33"/>
      <c r="H20" s="32"/>
      <c r="I20" s="33"/>
      <c r="J20" s="32"/>
      <c r="K20" s="32"/>
      <c r="L20" s="33"/>
      <c r="M20" s="32"/>
      <c r="N20" s="33"/>
      <c r="O20" s="32"/>
      <c r="P20" s="32"/>
      <c r="Q20" s="33"/>
      <c r="R20" s="32"/>
      <c r="S20" s="33"/>
      <c r="T20" s="32"/>
      <c r="U20" s="32"/>
      <c r="V20" s="33"/>
      <c r="W20" s="32"/>
      <c r="X20" s="33"/>
      <c r="Y20" s="32"/>
      <c r="Z20" s="32"/>
      <c r="AA20" s="33"/>
      <c r="AB20" s="32"/>
      <c r="AC20" s="33"/>
      <c r="AD20" s="32"/>
      <c r="AE20" s="32"/>
      <c r="AF20" s="33"/>
      <c r="AG20" s="32"/>
      <c r="AH20" s="33"/>
      <c r="AI20" s="32"/>
      <c r="AJ20" s="32"/>
      <c r="AK20" s="33"/>
      <c r="AL20" s="32"/>
      <c r="AM20" s="33"/>
      <c r="AN20" s="32"/>
      <c r="AO20" s="32"/>
      <c r="AP20" s="33"/>
      <c r="AQ20" s="32"/>
      <c r="AR20" s="33"/>
      <c r="AS20" s="32"/>
      <c r="AT20" s="32"/>
      <c r="AU20" s="33"/>
      <c r="AV20" s="32"/>
      <c r="AW20" s="33"/>
      <c r="AX20" s="32"/>
      <c r="AY20" s="32"/>
      <c r="AZ20" s="33"/>
      <c r="BA20" s="32"/>
      <c r="BB20" s="33"/>
      <c r="BC20" s="32"/>
      <c r="BD20" s="32"/>
      <c r="BE20" s="33"/>
      <c r="BF20" s="32"/>
      <c r="BG20" s="33"/>
      <c r="BH20" s="32"/>
      <c r="BI20" s="32"/>
      <c r="BJ20" s="33"/>
      <c r="BK20" s="32"/>
      <c r="BL20" s="33"/>
      <c r="BM20" s="32"/>
      <c r="BN20" s="32"/>
      <c r="BO20" s="33"/>
      <c r="BP20" s="32"/>
      <c r="BQ20" s="33"/>
      <c r="BR20" s="32"/>
    </row>
    <row r="21" spans="1:83" ht="12" hidden="1" customHeight="1" x14ac:dyDescent="0.25">
      <c r="A21" s="32"/>
      <c r="B21" s="33"/>
      <c r="C21" s="32"/>
      <c r="D21" s="33"/>
      <c r="E21" s="32"/>
      <c r="F21" s="32"/>
      <c r="G21" s="33"/>
      <c r="H21" s="32"/>
      <c r="I21" s="33"/>
      <c r="J21" s="32"/>
      <c r="K21" s="32"/>
      <c r="L21" s="33"/>
      <c r="M21" s="32"/>
      <c r="N21" s="33"/>
      <c r="O21" s="32"/>
      <c r="P21" s="32"/>
      <c r="Q21" s="33"/>
      <c r="R21" s="32"/>
      <c r="S21" s="33"/>
      <c r="T21" s="32"/>
      <c r="U21" s="32"/>
      <c r="V21" s="33"/>
      <c r="W21" s="32"/>
      <c r="X21" s="33"/>
      <c r="Y21" s="32"/>
      <c r="Z21" s="32"/>
      <c r="AA21" s="33"/>
      <c r="AB21" s="32"/>
      <c r="AC21" s="33"/>
      <c r="AD21" s="32"/>
      <c r="AE21" s="32"/>
      <c r="AF21" s="33"/>
      <c r="AG21" s="32"/>
      <c r="AH21" s="33"/>
      <c r="AI21" s="32"/>
      <c r="AJ21" s="32"/>
      <c r="AK21" s="33"/>
      <c r="AL21" s="32"/>
      <c r="AM21" s="33"/>
      <c r="AN21" s="32"/>
      <c r="AO21" s="32"/>
      <c r="AP21" s="33"/>
      <c r="AQ21" s="32"/>
      <c r="AR21" s="33"/>
      <c r="AS21" s="32"/>
      <c r="AT21" s="32"/>
      <c r="AU21" s="33"/>
      <c r="AV21" s="32"/>
      <c r="AW21" s="33"/>
      <c r="AX21" s="32"/>
      <c r="AY21" s="32"/>
      <c r="AZ21" s="33"/>
      <c r="BA21" s="32"/>
      <c r="BB21" s="33"/>
      <c r="BC21" s="32"/>
      <c r="BD21" s="32"/>
      <c r="BE21" s="33"/>
      <c r="BF21" s="32"/>
      <c r="BG21" s="33"/>
      <c r="BH21" s="32"/>
      <c r="BI21" s="32"/>
      <c r="BJ21" s="33"/>
      <c r="BK21" s="32"/>
      <c r="BL21" s="33"/>
      <c r="BM21" s="32"/>
      <c r="BN21" s="32"/>
      <c r="BO21" s="33"/>
      <c r="BP21" s="32"/>
      <c r="BQ21" s="33"/>
      <c r="BR21" s="32"/>
    </row>
    <row r="22" spans="1:83" ht="21.95" hidden="1" customHeight="1" x14ac:dyDescent="0.25">
      <c r="A22" s="32"/>
      <c r="B22" s="33"/>
      <c r="C22" s="32"/>
      <c r="D22" s="33"/>
      <c r="E22" s="32"/>
      <c r="F22" s="32"/>
      <c r="G22" s="33"/>
      <c r="H22" s="32"/>
      <c r="I22" s="33"/>
      <c r="J22" s="32"/>
      <c r="K22" s="32"/>
      <c r="L22" s="33"/>
      <c r="M22" s="32"/>
      <c r="N22" s="33"/>
      <c r="O22" s="32"/>
      <c r="P22" s="32"/>
      <c r="Q22" s="33"/>
      <c r="R22" s="32"/>
      <c r="S22" s="33"/>
      <c r="T22" s="32"/>
      <c r="U22" s="32"/>
      <c r="V22" s="33"/>
      <c r="W22" s="32"/>
      <c r="X22" s="33"/>
      <c r="Y22" s="32"/>
      <c r="Z22" s="32"/>
      <c r="AA22" s="33"/>
      <c r="AB22" s="32"/>
      <c r="AC22" s="33"/>
      <c r="AD22" s="32"/>
      <c r="AE22" s="32"/>
      <c r="AF22" s="33"/>
      <c r="AG22" s="32"/>
      <c r="AH22" s="33"/>
      <c r="AI22" s="32"/>
      <c r="AJ22" s="32"/>
      <c r="AK22" s="33"/>
      <c r="AL22" s="32"/>
      <c r="AM22" s="33"/>
      <c r="AN22" s="32"/>
      <c r="AO22" s="32"/>
      <c r="AP22" s="33"/>
      <c r="AQ22" s="32"/>
      <c r="AR22" s="33"/>
      <c r="AS22" s="32"/>
      <c r="AT22" s="32"/>
      <c r="AU22" s="33"/>
      <c r="AV22" s="32"/>
      <c r="AW22" s="33"/>
      <c r="AX22" s="32"/>
      <c r="AY22" s="32"/>
      <c r="AZ22" s="33"/>
      <c r="BA22" s="32"/>
      <c r="BB22" s="33"/>
      <c r="BC22" s="32"/>
      <c r="BD22" s="32"/>
      <c r="BE22" s="33"/>
      <c r="BF22" s="32"/>
      <c r="BG22" s="33"/>
      <c r="BH22" s="32"/>
      <c r="BI22" s="32"/>
      <c r="BJ22" s="33"/>
      <c r="BK22" s="32"/>
      <c r="BL22" s="33"/>
      <c r="BM22" s="32"/>
      <c r="BN22" s="32"/>
      <c r="BO22" s="33"/>
      <c r="BP22" s="32"/>
      <c r="BQ22" s="33"/>
      <c r="BR22" s="32"/>
    </row>
    <row r="23" spans="1:83" ht="6" hidden="1" customHeight="1" x14ac:dyDescent="0.25">
      <c r="A23" s="32"/>
      <c r="B23" s="33"/>
      <c r="C23" s="32"/>
      <c r="D23" s="33"/>
      <c r="E23" s="32"/>
      <c r="F23" s="32"/>
      <c r="G23" s="33"/>
      <c r="H23" s="32"/>
      <c r="I23" s="33"/>
      <c r="J23" s="32"/>
      <c r="K23" s="32"/>
      <c r="L23" s="33"/>
      <c r="M23" s="32"/>
      <c r="N23" s="33"/>
      <c r="O23" s="32"/>
      <c r="P23" s="32"/>
      <c r="Q23" s="33"/>
      <c r="R23" s="32"/>
      <c r="S23" s="33"/>
      <c r="T23" s="32"/>
      <c r="U23" s="32"/>
      <c r="V23" s="33"/>
      <c r="W23" s="32"/>
      <c r="X23" s="33"/>
      <c r="Y23" s="32"/>
      <c r="Z23" s="32"/>
      <c r="AA23" s="33"/>
      <c r="AB23" s="32"/>
      <c r="AC23" s="33"/>
      <c r="AD23" s="32"/>
      <c r="AE23" s="32"/>
      <c r="AF23" s="33"/>
      <c r="AG23" s="32"/>
      <c r="AH23" s="33"/>
      <c r="AI23" s="32"/>
      <c r="AJ23" s="32"/>
      <c r="AK23" s="33"/>
      <c r="AL23" s="32"/>
      <c r="AM23" s="33"/>
      <c r="AN23" s="32"/>
      <c r="AO23" s="32"/>
      <c r="AP23" s="33"/>
      <c r="AQ23" s="32"/>
      <c r="AR23" s="33"/>
      <c r="AS23" s="32"/>
      <c r="AT23" s="32"/>
      <c r="AU23" s="33"/>
      <c r="AV23" s="32"/>
      <c r="AW23" s="33"/>
      <c r="AX23" s="32"/>
      <c r="AY23" s="32"/>
      <c r="AZ23" s="33"/>
      <c r="BA23" s="32"/>
      <c r="BB23" s="33"/>
      <c r="BC23" s="32"/>
      <c r="BD23" s="32"/>
      <c r="BE23" s="33"/>
      <c r="BF23" s="32"/>
      <c r="BG23" s="33"/>
      <c r="BH23" s="32"/>
      <c r="BI23" s="32"/>
      <c r="BJ23" s="33"/>
      <c r="BK23" s="32"/>
      <c r="BL23" s="33"/>
      <c r="BM23" s="32"/>
      <c r="BN23" s="32"/>
      <c r="BO23" s="33"/>
      <c r="BP23" s="32"/>
      <c r="BQ23" s="33"/>
      <c r="BR23" s="32"/>
    </row>
    <row r="24" spans="1:83" s="22" customFormat="1" ht="80.099999999999994" hidden="1" customHeight="1" x14ac:dyDescent="1.35">
      <c r="A24" s="32"/>
      <c r="B24" s="33"/>
      <c r="C24" s="32"/>
      <c r="D24" s="33"/>
      <c r="E24" s="32"/>
      <c r="F24" s="32"/>
      <c r="G24" s="33"/>
      <c r="H24" s="32"/>
      <c r="I24" s="33"/>
      <c r="J24" s="32"/>
      <c r="K24" s="32"/>
      <c r="L24" s="33"/>
      <c r="M24" s="32"/>
      <c r="N24" s="33"/>
      <c r="O24" s="32"/>
      <c r="P24" s="32"/>
      <c r="Q24" s="33"/>
      <c r="R24" s="32"/>
      <c r="S24" s="33"/>
      <c r="T24" s="32"/>
      <c r="U24" s="32"/>
      <c r="V24" s="33"/>
      <c r="W24" s="32"/>
      <c r="X24" s="33"/>
      <c r="Y24" s="32"/>
      <c r="Z24" s="32"/>
      <c r="AA24" s="33"/>
      <c r="AB24" s="32"/>
      <c r="AC24" s="33"/>
      <c r="AD24" s="32"/>
      <c r="AE24" s="32"/>
      <c r="AF24" s="33"/>
      <c r="AG24" s="32"/>
      <c r="AH24" s="33"/>
      <c r="AI24" s="32"/>
      <c r="AJ24" s="32"/>
      <c r="AK24" s="33"/>
      <c r="AL24" s="32"/>
      <c r="AM24" s="33"/>
      <c r="AN24" s="32"/>
      <c r="AO24" s="32"/>
      <c r="AP24" s="33"/>
      <c r="AQ24" s="32"/>
      <c r="AR24" s="33"/>
      <c r="AS24" s="32"/>
      <c r="AT24" s="32"/>
      <c r="AU24" s="33"/>
      <c r="AV24" s="32"/>
      <c r="AW24" s="33"/>
      <c r="AX24" s="32"/>
      <c r="AY24" s="32"/>
      <c r="AZ24" s="33"/>
      <c r="BA24" s="32"/>
      <c r="BB24" s="33"/>
      <c r="BC24" s="32"/>
      <c r="BD24" s="32"/>
      <c r="BE24" s="33"/>
      <c r="BF24" s="32"/>
      <c r="BG24" s="33"/>
      <c r="BH24" s="32"/>
      <c r="BI24" s="32"/>
      <c r="BJ24" s="33"/>
      <c r="BK24" s="32"/>
      <c r="BL24" s="33"/>
      <c r="BM24" s="32"/>
      <c r="BN24" s="32"/>
      <c r="BO24" s="33"/>
      <c r="BP24" s="32"/>
      <c r="BQ24" s="33"/>
      <c r="BR24" s="32"/>
    </row>
    <row r="25" spans="1:83" ht="27" hidden="1" customHeight="1" x14ac:dyDescent="0.25">
      <c r="A25" s="32"/>
      <c r="B25" s="33"/>
      <c r="C25" s="32"/>
      <c r="D25" s="33"/>
      <c r="E25" s="32"/>
      <c r="F25" s="32"/>
      <c r="G25" s="33"/>
      <c r="H25" s="32"/>
      <c r="I25" s="33"/>
      <c r="J25" s="32"/>
      <c r="K25" s="32"/>
      <c r="L25" s="33"/>
      <c r="M25" s="32"/>
      <c r="N25" s="33"/>
      <c r="O25" s="32"/>
      <c r="P25" s="32"/>
      <c r="Q25" s="33"/>
      <c r="R25" s="32"/>
      <c r="S25" s="33"/>
      <c r="T25" s="32"/>
      <c r="U25" s="32"/>
      <c r="V25" s="33"/>
      <c r="W25" s="32"/>
      <c r="X25" s="33"/>
      <c r="Y25" s="32"/>
      <c r="Z25" s="32"/>
      <c r="AA25" s="33"/>
      <c r="AB25" s="32"/>
      <c r="AC25" s="33"/>
      <c r="AD25" s="32"/>
      <c r="AE25" s="32"/>
      <c r="AF25" s="33"/>
      <c r="AG25" s="32"/>
      <c r="AH25" s="33"/>
      <c r="AI25" s="32"/>
      <c r="AJ25" s="32"/>
      <c r="AK25" s="33"/>
      <c r="AL25" s="32"/>
      <c r="AM25" s="33"/>
      <c r="AN25" s="32"/>
      <c r="AO25" s="32"/>
      <c r="AP25" s="33"/>
      <c r="AQ25" s="32"/>
      <c r="AR25" s="33"/>
      <c r="AS25" s="32"/>
      <c r="AT25" s="32"/>
      <c r="AU25" s="33"/>
      <c r="AV25" s="32"/>
      <c r="AW25" s="33"/>
      <c r="AX25" s="32"/>
      <c r="AY25" s="32"/>
      <c r="AZ25" s="33"/>
      <c r="BA25" s="32"/>
      <c r="BB25" s="33"/>
      <c r="BC25" s="32"/>
      <c r="BD25" s="32"/>
      <c r="BE25" s="33"/>
      <c r="BF25" s="32"/>
      <c r="BG25" s="33"/>
      <c r="BH25" s="32"/>
      <c r="BI25" s="32"/>
      <c r="BJ25" s="33"/>
      <c r="BK25" s="32"/>
      <c r="BL25" s="33"/>
      <c r="BM25" s="32"/>
      <c r="BN25" s="32"/>
      <c r="BO25" s="33"/>
      <c r="BP25" s="32"/>
      <c r="BQ25" s="33"/>
      <c r="BR25" s="32"/>
      <c r="BW25" s="27"/>
      <c r="BX25" s="27"/>
      <c r="BY25" s="27"/>
      <c r="BZ25" s="27"/>
      <c r="CA25" s="27"/>
      <c r="CB25" s="27"/>
      <c r="CC25" s="27"/>
      <c r="CD25" s="27"/>
      <c r="CE25" s="27"/>
    </row>
    <row r="26" spans="1:83" ht="27.95" hidden="1" customHeight="1" x14ac:dyDescent="0.25">
      <c r="A26" s="32"/>
      <c r="B26" s="33"/>
      <c r="C26" s="32"/>
      <c r="D26" s="33"/>
      <c r="E26" s="32"/>
      <c r="F26" s="32"/>
      <c r="G26" s="33"/>
      <c r="H26" s="32"/>
      <c r="I26" s="33"/>
      <c r="J26" s="32"/>
      <c r="K26" s="32"/>
      <c r="L26" s="33"/>
      <c r="M26" s="32"/>
      <c r="N26" s="33"/>
      <c r="O26" s="32"/>
      <c r="P26" s="32"/>
      <c r="Q26" s="33"/>
      <c r="R26" s="32"/>
      <c r="S26" s="33"/>
      <c r="T26" s="32"/>
      <c r="U26" s="32"/>
      <c r="V26" s="33"/>
      <c r="W26" s="32"/>
      <c r="X26" s="33"/>
      <c r="Y26" s="32"/>
      <c r="Z26" s="32"/>
      <c r="AA26" s="33"/>
      <c r="AB26" s="32"/>
      <c r="AC26" s="33"/>
      <c r="AD26" s="32"/>
      <c r="AE26" s="32"/>
      <c r="AF26" s="33"/>
      <c r="AG26" s="32"/>
      <c r="AH26" s="33"/>
      <c r="AI26" s="32"/>
      <c r="AJ26" s="32"/>
      <c r="AK26" s="33"/>
      <c r="AL26" s="32"/>
      <c r="AM26" s="33"/>
      <c r="AN26" s="32"/>
      <c r="AO26" s="32"/>
      <c r="AP26" s="33"/>
      <c r="AQ26" s="32"/>
      <c r="AR26" s="33"/>
      <c r="AS26" s="32"/>
      <c r="AT26" s="32"/>
      <c r="AU26" s="33"/>
      <c r="AV26" s="32"/>
      <c r="AW26" s="33"/>
      <c r="AX26" s="32"/>
      <c r="AY26" s="32"/>
      <c r="AZ26" s="33"/>
      <c r="BA26" s="32"/>
      <c r="BB26" s="33"/>
      <c r="BC26" s="32"/>
      <c r="BD26" s="32"/>
      <c r="BE26" s="33"/>
      <c r="BF26" s="32"/>
      <c r="BG26" s="33"/>
      <c r="BH26" s="32"/>
      <c r="BI26" s="32"/>
      <c r="BJ26" s="33"/>
      <c r="BK26" s="32"/>
      <c r="BL26" s="33"/>
      <c r="BM26" s="32"/>
      <c r="BN26" s="33"/>
      <c r="BO26" s="32"/>
      <c r="BP26" s="33"/>
      <c r="BQ26" s="32"/>
      <c r="BR26" s="33"/>
    </row>
    <row r="27" spans="1:83" ht="16.5" hidden="1" customHeight="1" x14ac:dyDescent="0.25">
      <c r="A27" s="32"/>
      <c r="B27" s="33"/>
      <c r="C27" s="32"/>
      <c r="D27" s="33"/>
      <c r="E27" s="32"/>
      <c r="F27" s="32"/>
      <c r="G27" s="33"/>
      <c r="H27" s="32"/>
      <c r="I27" s="33"/>
      <c r="J27" s="32"/>
      <c r="K27" s="32"/>
      <c r="L27" s="33"/>
      <c r="M27" s="32"/>
      <c r="N27" s="33"/>
      <c r="O27" s="32"/>
      <c r="P27" s="32"/>
      <c r="Q27" s="33"/>
      <c r="R27" s="32"/>
      <c r="S27" s="33"/>
      <c r="T27" s="32"/>
      <c r="U27" s="32"/>
      <c r="V27" s="33"/>
      <c r="W27" s="32"/>
      <c r="X27" s="33"/>
      <c r="Y27" s="32"/>
      <c r="Z27" s="32"/>
      <c r="AA27" s="33"/>
      <c r="AB27" s="32"/>
      <c r="AC27" s="33"/>
      <c r="AD27" s="32"/>
      <c r="AE27" s="32"/>
      <c r="AF27" s="33"/>
      <c r="AG27" s="32"/>
      <c r="AH27" s="33"/>
      <c r="AI27" s="32"/>
      <c r="AJ27" s="32"/>
      <c r="AK27" s="33"/>
      <c r="AL27" s="32"/>
      <c r="AM27" s="33"/>
      <c r="AN27" s="32"/>
      <c r="AO27" s="32"/>
      <c r="AP27" s="33"/>
      <c r="AQ27" s="32"/>
      <c r="AR27" s="33"/>
      <c r="AS27" s="32"/>
      <c r="AT27" s="32"/>
      <c r="AU27" s="33"/>
      <c r="AV27" s="32"/>
      <c r="AW27" s="33"/>
      <c r="AX27" s="32"/>
      <c r="AY27" s="32"/>
      <c r="AZ27" s="33"/>
      <c r="BA27" s="32"/>
      <c r="BB27" s="33"/>
      <c r="BC27" s="32"/>
      <c r="BD27" s="32"/>
      <c r="BE27" s="33"/>
      <c r="BF27" s="32"/>
      <c r="BG27" s="33"/>
      <c r="BH27" s="32"/>
      <c r="BI27" s="32"/>
      <c r="BJ27" s="33"/>
      <c r="BK27" s="32"/>
      <c r="BL27" s="33"/>
      <c r="BM27" s="32"/>
      <c r="BN27" s="33"/>
      <c r="BO27" s="32"/>
      <c r="BP27" s="33"/>
      <c r="BQ27" s="32"/>
      <c r="BR27" s="33"/>
    </row>
    <row r="28" spans="1:83" ht="21.95" hidden="1" customHeight="1" x14ac:dyDescent="0.25">
      <c r="A28" s="32"/>
      <c r="B28" s="33"/>
      <c r="C28" s="32"/>
      <c r="D28" s="33"/>
      <c r="E28" s="32"/>
      <c r="F28" s="32"/>
      <c r="G28" s="33"/>
      <c r="H28" s="32"/>
      <c r="I28" s="33"/>
      <c r="J28" s="32"/>
      <c r="K28" s="32"/>
      <c r="L28" s="33"/>
      <c r="M28" s="32"/>
      <c r="N28" s="33"/>
      <c r="O28" s="32"/>
      <c r="P28" s="32"/>
      <c r="Q28" s="33"/>
      <c r="R28" s="32"/>
      <c r="S28" s="33"/>
      <c r="T28" s="32"/>
      <c r="U28" s="32"/>
      <c r="V28" s="33"/>
      <c r="W28" s="32"/>
      <c r="X28" s="33"/>
      <c r="Y28" s="32"/>
      <c r="Z28" s="32"/>
      <c r="AA28" s="33"/>
      <c r="AB28" s="32"/>
      <c r="AC28" s="33"/>
      <c r="AD28" s="32"/>
      <c r="AE28" s="32"/>
      <c r="AF28" s="33"/>
      <c r="AG28" s="32"/>
      <c r="AH28" s="33"/>
      <c r="AI28" s="32"/>
      <c r="AJ28" s="32"/>
      <c r="AK28" s="33"/>
      <c r="AL28" s="32"/>
      <c r="AM28" s="33"/>
      <c r="AN28" s="32"/>
      <c r="AO28" s="32"/>
      <c r="AP28" s="33"/>
      <c r="AQ28" s="32"/>
      <c r="AR28" s="33"/>
      <c r="AS28" s="32"/>
      <c r="AT28" s="32"/>
      <c r="AU28" s="33"/>
      <c r="AV28" s="32"/>
      <c r="AW28" s="33"/>
      <c r="AX28" s="32"/>
      <c r="AY28" s="32"/>
      <c r="AZ28" s="33"/>
      <c r="BA28" s="32"/>
      <c r="BB28" s="33"/>
      <c r="BC28" s="32"/>
      <c r="BD28" s="32"/>
      <c r="BE28" s="33"/>
      <c r="BF28" s="32"/>
      <c r="BG28" s="33"/>
      <c r="BH28" s="32"/>
      <c r="BI28" s="32"/>
      <c r="BJ28" s="33"/>
      <c r="BK28" s="32"/>
      <c r="BL28" s="33"/>
      <c r="BM28" s="32"/>
      <c r="BN28" s="33"/>
      <c r="BO28" s="32"/>
      <c r="BP28" s="33"/>
      <c r="BQ28" s="32"/>
      <c r="BR28" s="33"/>
    </row>
    <row r="29" spans="1:83" ht="6" hidden="1" customHeight="1" x14ac:dyDescent="0.25">
      <c r="A29" s="32"/>
      <c r="B29" s="33"/>
      <c r="C29" s="32"/>
      <c r="D29" s="33"/>
      <c r="E29" s="32"/>
      <c r="F29" s="32"/>
      <c r="G29" s="33"/>
      <c r="H29" s="32"/>
      <c r="I29" s="33"/>
      <c r="J29" s="32"/>
      <c r="K29" s="32"/>
      <c r="L29" s="33"/>
      <c r="M29" s="32"/>
      <c r="N29" s="33"/>
      <c r="O29" s="32"/>
      <c r="P29" s="32"/>
      <c r="Q29" s="33"/>
      <c r="R29" s="32"/>
      <c r="S29" s="33"/>
      <c r="T29" s="32"/>
      <c r="U29" s="32"/>
      <c r="V29" s="33"/>
      <c r="W29" s="32"/>
      <c r="X29" s="33"/>
      <c r="Y29" s="32"/>
      <c r="Z29" s="32"/>
      <c r="AA29" s="33"/>
      <c r="AB29" s="32"/>
      <c r="AC29" s="33"/>
      <c r="AD29" s="32"/>
      <c r="AE29" s="32"/>
      <c r="AF29" s="33"/>
      <c r="AG29" s="32"/>
      <c r="AH29" s="33"/>
      <c r="AI29" s="32"/>
      <c r="AJ29" s="32"/>
      <c r="AK29" s="33"/>
      <c r="AL29" s="32"/>
      <c r="AM29" s="33"/>
      <c r="AN29" s="32"/>
      <c r="AO29" s="32"/>
      <c r="AP29" s="33"/>
      <c r="AQ29" s="32"/>
      <c r="AR29" s="33"/>
      <c r="AS29" s="32"/>
      <c r="AT29" s="32"/>
      <c r="AU29" s="33"/>
      <c r="AV29" s="32"/>
      <c r="AW29" s="33"/>
      <c r="AX29" s="32"/>
      <c r="AY29" s="32"/>
      <c r="AZ29" s="33"/>
      <c r="BA29" s="32"/>
      <c r="BB29" s="33"/>
      <c r="BC29" s="32"/>
      <c r="BD29" s="32"/>
      <c r="BE29" s="33"/>
      <c r="BF29" s="32"/>
      <c r="BG29" s="33"/>
      <c r="BH29" s="32"/>
      <c r="BI29" s="32"/>
      <c r="BJ29" s="33"/>
      <c r="BK29" s="32"/>
      <c r="BL29" s="33"/>
      <c r="BM29" s="32"/>
      <c r="BN29" s="33"/>
      <c r="BO29" s="32"/>
      <c r="BP29" s="33"/>
      <c r="BQ29" s="32"/>
      <c r="BR29" s="33"/>
    </row>
    <row r="30" spans="1:83" s="22" customFormat="1" ht="82.5" hidden="1" customHeight="1" x14ac:dyDescent="1.35">
      <c r="A30" s="32"/>
      <c r="B30" s="33"/>
      <c r="C30" s="32"/>
      <c r="D30" s="33"/>
      <c r="E30" s="32"/>
      <c r="F30" s="32"/>
      <c r="G30" s="33"/>
      <c r="H30" s="32"/>
      <c r="I30" s="33"/>
      <c r="J30" s="32"/>
      <c r="K30" s="32"/>
      <c r="L30" s="33"/>
      <c r="M30" s="32"/>
      <c r="N30" s="33"/>
      <c r="O30" s="32"/>
      <c r="P30" s="32"/>
      <c r="Q30" s="33"/>
      <c r="R30" s="32"/>
      <c r="S30" s="33"/>
      <c r="T30" s="32"/>
      <c r="U30" s="32"/>
      <c r="V30" s="33"/>
      <c r="W30" s="32"/>
      <c r="X30" s="33"/>
      <c r="Y30" s="32"/>
      <c r="Z30" s="32"/>
      <c r="AA30" s="33"/>
      <c r="AB30" s="32"/>
      <c r="AC30" s="33"/>
      <c r="AD30" s="32"/>
      <c r="AE30" s="32"/>
      <c r="AF30" s="33"/>
      <c r="AG30" s="32"/>
      <c r="AH30" s="33"/>
      <c r="AI30" s="32"/>
      <c r="AJ30" s="32"/>
      <c r="AK30" s="33"/>
      <c r="AL30" s="32"/>
      <c r="AM30" s="33"/>
      <c r="AN30" s="32"/>
      <c r="AO30" s="32"/>
      <c r="AP30" s="33"/>
      <c r="AQ30" s="32"/>
      <c r="AR30" s="33"/>
      <c r="AS30" s="32"/>
      <c r="AT30" s="32"/>
      <c r="AU30" s="33"/>
      <c r="AV30" s="32"/>
      <c r="AW30" s="33"/>
      <c r="AX30" s="32"/>
      <c r="AY30" s="32"/>
      <c r="AZ30" s="33"/>
      <c r="BA30" s="32"/>
      <c r="BB30" s="33"/>
      <c r="BC30" s="32"/>
      <c r="BD30" s="32"/>
      <c r="BE30" s="33"/>
      <c r="BF30" s="32"/>
      <c r="BG30" s="33"/>
      <c r="BH30" s="32"/>
      <c r="BI30" s="32"/>
      <c r="BJ30" s="33"/>
      <c r="BK30" s="32"/>
      <c r="BL30" s="33"/>
      <c r="BM30" s="32"/>
      <c r="BN30" s="33"/>
      <c r="BO30" s="32"/>
      <c r="BP30" s="33"/>
      <c r="BQ30" s="32"/>
      <c r="BR30" s="33"/>
    </row>
    <row r="31" spans="1:83" ht="24" customHeight="1" x14ac:dyDescent="0.25">
      <c r="A31" s="32"/>
      <c r="B31" s="33"/>
      <c r="C31" s="32"/>
      <c r="D31" s="33"/>
      <c r="E31" s="32"/>
      <c r="F31" s="32"/>
      <c r="G31" s="33"/>
      <c r="H31" s="32"/>
      <c r="I31" s="33"/>
      <c r="J31" s="32"/>
      <c r="K31" s="32"/>
      <c r="L31" s="33"/>
      <c r="M31" s="32"/>
      <c r="N31" s="33"/>
      <c r="O31" s="32"/>
      <c r="P31" s="32"/>
      <c r="Q31" s="33"/>
      <c r="R31" s="32"/>
      <c r="S31" s="33"/>
      <c r="T31" s="32"/>
      <c r="U31" s="32"/>
      <c r="V31" s="33"/>
      <c r="W31" s="32"/>
      <c r="X31" s="33"/>
      <c r="Y31" s="32"/>
      <c r="Z31" s="32"/>
      <c r="AA31" s="33"/>
      <c r="AB31" s="32"/>
      <c r="AC31" s="33"/>
      <c r="AD31" s="32"/>
      <c r="AE31" s="32"/>
      <c r="AF31" s="33"/>
      <c r="AG31" s="32"/>
      <c r="AH31" s="33"/>
      <c r="AI31" s="32"/>
      <c r="AJ31" s="32"/>
      <c r="AK31" s="33"/>
      <c r="AL31" s="32"/>
      <c r="AM31" s="33"/>
      <c r="AN31" s="32"/>
      <c r="AO31" s="32"/>
      <c r="AP31" s="33"/>
      <c r="AQ31" s="32"/>
      <c r="AR31" s="33"/>
      <c r="AS31" s="32"/>
      <c r="AT31" s="32"/>
      <c r="AU31" s="33"/>
      <c r="AV31" s="32"/>
      <c r="AW31" s="33"/>
      <c r="AX31" s="32"/>
      <c r="AY31" s="32"/>
      <c r="AZ31" s="33"/>
      <c r="BA31" s="32"/>
      <c r="BB31" s="33"/>
      <c r="BC31" s="32"/>
      <c r="BD31" s="32"/>
      <c r="BE31" s="33"/>
      <c r="BF31" s="32"/>
      <c r="BG31" s="33"/>
      <c r="BH31" s="32"/>
      <c r="BI31" s="32"/>
      <c r="BJ31" s="33"/>
      <c r="BK31" s="32"/>
      <c r="BL31" s="33"/>
      <c r="BM31" s="32"/>
      <c r="BN31" s="33"/>
      <c r="BO31" s="32"/>
      <c r="BP31" s="33"/>
      <c r="BQ31" s="32"/>
      <c r="BR31" s="33"/>
      <c r="BW31" s="27"/>
      <c r="BX31" s="27"/>
      <c r="BY31" s="27"/>
      <c r="BZ31" s="27"/>
      <c r="CA31" s="27"/>
      <c r="CB31" s="27"/>
      <c r="CC31" s="27"/>
      <c r="CD31" s="27"/>
      <c r="CE31" s="27"/>
    </row>
    <row r="32" spans="1:83" ht="111.75" customHeight="1" x14ac:dyDescent="0.25">
      <c r="A32" s="30"/>
      <c r="B32" s="29"/>
      <c r="C32" s="28"/>
      <c r="D32" s="28"/>
      <c r="E32" s="28"/>
      <c r="F32" s="30"/>
      <c r="G32" s="29"/>
      <c r="I32" s="48"/>
      <c r="J32" s="48"/>
      <c r="K32" s="48"/>
      <c r="L32" s="29"/>
      <c r="M32" s="28"/>
      <c r="N32" s="28"/>
      <c r="O32" s="28"/>
      <c r="P32" s="30"/>
      <c r="Q32" s="29"/>
      <c r="R32" s="28"/>
      <c r="S32" s="28"/>
      <c r="T32" s="28"/>
      <c r="U32" s="36"/>
      <c r="V32" s="29"/>
      <c r="W32" s="29"/>
      <c r="X32" s="36"/>
      <c r="Y32" s="36"/>
      <c r="Z32" s="36"/>
      <c r="AA32" s="29"/>
      <c r="AB32" s="29"/>
      <c r="AC32" s="36"/>
      <c r="AD32" s="36"/>
      <c r="AE32" s="36"/>
      <c r="AF32" s="29"/>
      <c r="AG32" s="29"/>
      <c r="AH32" s="36"/>
      <c r="AI32" s="36"/>
      <c r="AJ32" s="36"/>
      <c r="AK32" s="29"/>
      <c r="AL32" s="29"/>
      <c r="AM32" s="36"/>
      <c r="AN32" s="36"/>
      <c r="AO32" s="36"/>
      <c r="AP32" s="29"/>
      <c r="AQ32" s="29"/>
      <c r="AR32" s="36"/>
      <c r="AS32" s="36"/>
      <c r="AT32" s="36"/>
      <c r="AU32" s="29"/>
      <c r="AV32" s="29"/>
      <c r="AW32" s="36"/>
      <c r="AX32" s="36"/>
      <c r="AY32" s="36"/>
      <c r="AZ32" s="29"/>
      <c r="BA32" s="29"/>
      <c r="BB32" s="36"/>
      <c r="BC32" s="36"/>
      <c r="BD32" s="36"/>
      <c r="BE32" s="36"/>
      <c r="BF32" s="29"/>
      <c r="BG32" s="29"/>
      <c r="BH32" s="36"/>
      <c r="BI32" s="36"/>
      <c r="BJ32" s="36"/>
      <c r="BK32" s="29"/>
      <c r="BL32" s="29"/>
      <c r="BM32" s="36"/>
      <c r="BN32" s="36"/>
      <c r="BO32" s="36"/>
      <c r="BP32" s="29"/>
      <c r="BQ32" s="29"/>
      <c r="BR32" s="36"/>
    </row>
    <row r="33" spans="1:83" ht="93" customHeight="1" x14ac:dyDescent="0.25">
      <c r="A33" s="29"/>
      <c r="B33" s="29"/>
      <c r="C33" s="28"/>
      <c r="D33" s="28"/>
      <c r="E33" s="28"/>
      <c r="F33" s="29"/>
      <c r="G33" s="29"/>
      <c r="H33" s="702" cm="1">
        <f t="array" aca="1" ref="H33" ca="1">SUM(COUNTIF(INDIRECT({"B6","G6","L6","Q6","V6","AA6","AF6","AK6","AP6","AU6","AZ6","BE6","BJ6","BO6","B12","G12","L12","Q12","V12","AA12","AF12","AK12","AP12","AU12","AZ12","BE12","BJ12","BO12","B18","G18","L18","Q18","V18","AA18","AF18","AK18","AP18","AU18","AZ18","BE18","BJ18","BO18","B24","G24","L24","Q24","V24","AA24","AF24","AK24","AP24","AU24","AZ24","BE24","BJ24","BO24","B30","G30","L30","Q30","V30","AA30","AF30","AK30","AP30","AU30","AZ30","BE30","BJ30","BO30"}),"&gt;0"))</f>
        <v>42</v>
      </c>
      <c r="I33" s="702"/>
      <c r="J33" s="702"/>
      <c r="K33" s="702"/>
      <c r="L33" s="29"/>
      <c r="M33" s="28"/>
      <c r="N33" s="28"/>
      <c r="O33" s="28"/>
      <c r="P33" s="29"/>
      <c r="Q33" s="29"/>
      <c r="R33" s="28"/>
      <c r="S33" s="28"/>
      <c r="T33" s="28"/>
      <c r="U33" s="28"/>
      <c r="V33" s="29"/>
      <c r="W33" s="29"/>
      <c r="X33" s="28"/>
      <c r="Y33" s="28"/>
      <c r="Z33" s="28"/>
      <c r="AA33" s="29"/>
      <c r="AB33" s="29"/>
      <c r="AC33" s="28"/>
      <c r="AD33" s="28"/>
      <c r="AE33" s="28"/>
      <c r="AF33" s="29"/>
      <c r="AG33" s="29"/>
      <c r="AH33" s="28"/>
      <c r="AI33" s="28"/>
      <c r="AJ33" s="28"/>
      <c r="AK33" s="29"/>
      <c r="AL33" s="29"/>
      <c r="AM33" s="28"/>
      <c r="AN33" s="28"/>
      <c r="AO33" s="28"/>
      <c r="AP33" s="29"/>
      <c r="AQ33" s="29"/>
      <c r="AR33" s="28"/>
      <c r="AS33" s="28"/>
      <c r="AT33" s="28"/>
      <c r="AU33" s="29"/>
      <c r="AV33" s="29"/>
      <c r="AW33" s="28"/>
      <c r="AX33" s="28"/>
      <c r="AY33" s="28"/>
      <c r="AZ33" s="29"/>
      <c r="BA33" s="29"/>
      <c r="BB33" s="28"/>
      <c r="BC33" s="28"/>
      <c r="BD33" s="28"/>
      <c r="BE33" s="28"/>
      <c r="BF33" s="29"/>
      <c r="BG33" s="29"/>
      <c r="BH33" s="28"/>
      <c r="BI33" s="28"/>
      <c r="BJ33" s="28"/>
      <c r="BK33" s="29"/>
      <c r="BL33" s="29"/>
      <c r="BM33" s="28"/>
      <c r="BN33" s="28"/>
      <c r="BO33" s="28"/>
      <c r="BP33" s="29"/>
      <c r="BQ33" s="29"/>
      <c r="BR33" s="28"/>
    </row>
    <row r="34" spans="1:83" ht="16.5" customHeight="1" x14ac:dyDescent="0.25">
      <c r="A34" s="121"/>
      <c r="B34" s="121"/>
      <c r="C34" s="31"/>
      <c r="D34" s="121"/>
      <c r="E34" s="121"/>
      <c r="F34" s="121"/>
      <c r="G34" s="121"/>
      <c r="H34" s="702"/>
      <c r="I34" s="702"/>
      <c r="J34" s="702"/>
      <c r="K34" s="702"/>
      <c r="L34" s="121"/>
      <c r="M34" s="31"/>
      <c r="N34" s="121"/>
      <c r="O34" s="121"/>
      <c r="P34" s="121"/>
      <c r="Q34" s="121"/>
      <c r="R34" s="31"/>
      <c r="S34" s="121"/>
      <c r="T34" s="121"/>
      <c r="U34" s="28"/>
      <c r="V34" s="30"/>
      <c r="W34" s="29"/>
      <c r="X34" s="28"/>
      <c r="Y34" s="28"/>
      <c r="Z34" s="28"/>
      <c r="AA34" s="30"/>
      <c r="AB34" s="29"/>
      <c r="AC34" s="28"/>
      <c r="AD34" s="28"/>
      <c r="AE34" s="28"/>
      <c r="AF34" s="30"/>
      <c r="AG34" s="29"/>
      <c r="AH34" s="28"/>
      <c r="AI34" s="28"/>
      <c r="AJ34" s="28"/>
      <c r="AK34" s="30"/>
      <c r="AL34" s="29"/>
      <c r="AM34" s="28"/>
      <c r="AN34" s="28"/>
      <c r="AO34" s="28"/>
      <c r="AP34" s="30"/>
      <c r="AQ34" s="29"/>
      <c r="AR34" s="28"/>
      <c r="AS34" s="28"/>
      <c r="AT34" s="28"/>
      <c r="AU34" s="30"/>
      <c r="AV34" s="29"/>
      <c r="AW34" s="28"/>
      <c r="AX34" s="28"/>
      <c r="AY34" s="28"/>
      <c r="AZ34" s="30"/>
      <c r="BA34" s="29"/>
      <c r="BB34" s="28"/>
      <c r="BC34" s="28"/>
      <c r="BD34" s="28"/>
      <c r="BE34" s="28"/>
      <c r="BF34" s="30"/>
      <c r="BG34" s="29"/>
      <c r="BH34" s="28"/>
      <c r="BI34" s="28"/>
      <c r="BJ34" s="28"/>
      <c r="BK34" s="30"/>
      <c r="BL34" s="29"/>
      <c r="BM34" s="28"/>
      <c r="BN34" s="28"/>
      <c r="BO34" s="28"/>
      <c r="BP34" s="30"/>
      <c r="BQ34" s="29"/>
      <c r="BR34" s="28"/>
    </row>
    <row r="35" spans="1:83" ht="6" customHeight="1" x14ac:dyDescent="0.25">
      <c r="A35" s="35"/>
      <c r="B35" s="31"/>
      <c r="C35" s="32"/>
      <c r="D35" s="33"/>
      <c r="E35" s="34"/>
      <c r="F35" s="35"/>
      <c r="G35" s="31"/>
      <c r="H35" s="678" cm="1">
        <f t="array" aca="1" ref="H35" ca="1">SUM(COUNTIF(INDIRECT({"B7","G7","L7","Q7","V7","AA7","AF7","AK7","AP7","AU7","AZ7","BE7","BJ7","BO7","B13","G13","L13","Q13","V13","AA13","AF13","AK13","AP13","AU13","AZ13","BE13","BJ13","BO13","B19","G19","L19","Q19","V19","AA19","AF19","AK19","AP19","AU19","AZ19","BE19","BJ19","BO19"}),"&gt;0"))</f>
        <v>42</v>
      </c>
      <c r="I35" s="678"/>
      <c r="J35" s="678"/>
      <c r="K35" s="678"/>
      <c r="L35" s="31"/>
      <c r="M35" s="32"/>
      <c r="N35" s="33"/>
      <c r="O35" s="34"/>
      <c r="P35" s="35"/>
      <c r="Q35" s="31"/>
      <c r="R35" s="32"/>
      <c r="S35" s="33"/>
      <c r="T35" s="34"/>
      <c r="U35" s="28"/>
      <c r="V35" s="697" t="s">
        <v>255</v>
      </c>
      <c r="W35" s="697"/>
      <c r="X35" s="697"/>
      <c r="Y35" s="697"/>
      <c r="Z35" s="697"/>
      <c r="AA35" s="697"/>
      <c r="AB35" s="697"/>
      <c r="AC35" s="697"/>
      <c r="AD35" s="697"/>
      <c r="AE35" s="697"/>
      <c r="AF35" s="697"/>
      <c r="AG35" s="697"/>
      <c r="AH35" s="697" t="s">
        <v>538</v>
      </c>
      <c r="AI35" s="697"/>
      <c r="AJ35" s="697"/>
      <c r="AK35" s="697"/>
      <c r="AL35" s="697"/>
      <c r="AM35" s="697"/>
      <c r="AN35" s="697"/>
      <c r="AO35" s="697"/>
      <c r="AP35" s="697"/>
      <c r="AQ35" s="697"/>
      <c r="AR35" s="697"/>
      <c r="AS35" s="698" t="s">
        <v>118</v>
      </c>
      <c r="AT35" s="698"/>
      <c r="AU35" s="698"/>
      <c r="AV35" s="698"/>
      <c r="AW35" s="698"/>
      <c r="AX35" s="698"/>
      <c r="AY35" s="698"/>
      <c r="AZ35" s="698"/>
      <c r="BA35" s="698"/>
      <c r="BB35" s="698"/>
      <c r="BC35" s="698"/>
      <c r="BD35" s="698"/>
      <c r="BE35" s="699" t="s">
        <v>119</v>
      </c>
      <c r="BF35" s="699"/>
      <c r="BG35" s="699"/>
      <c r="BH35" s="699"/>
      <c r="BI35" s="699"/>
      <c r="BJ35" s="1802">
        <f>D7+I7+N7+S7+X7+AC7+AH7+AM7+AR7+AW7+BB7+BG7+BL7+BQ7+D13+I13+N13+S13+X13+AC13+AH13+AM13+AR13+AW13+BB13+BG13+BL13+BQ13+D19+I19+N19+S19+X19+AC19+AH19+AM19+AR19+AW19+BB19+BG19+BL19+BQ19+D25+I25+N25+S25+X25+AC25+AH25+AM25+AR25+AW25+BB25+BG25+BL25+BQ25+D31+I31+N31+S31+X31+AC31+AH31+AM31+AR31+AW31+BB31+BG31+BL31+BQ31</f>
        <v>18</v>
      </c>
      <c r="BK35" s="1802"/>
      <c r="BL35" s="1802"/>
      <c r="BM35" s="1802"/>
      <c r="BN35" s="701" t="s">
        <v>120</v>
      </c>
      <c r="BO35" s="701"/>
      <c r="BP35" s="701"/>
      <c r="BQ35" s="29"/>
      <c r="BR35" s="28"/>
    </row>
    <row r="36" spans="1:83" s="22" customFormat="1" ht="30.75" customHeight="1" x14ac:dyDescent="1.35">
      <c r="A36" s="35"/>
      <c r="B36" s="31"/>
      <c r="C36" s="32"/>
      <c r="D36" s="33"/>
      <c r="E36" s="34"/>
      <c r="F36" s="35"/>
      <c r="G36" s="31"/>
      <c r="H36" s="678"/>
      <c r="I36" s="678"/>
      <c r="J36" s="678"/>
      <c r="K36" s="678"/>
      <c r="L36" s="31"/>
      <c r="M36" s="32"/>
      <c r="N36" s="33"/>
      <c r="O36" s="34"/>
      <c r="P36" s="35"/>
      <c r="Q36" s="31"/>
      <c r="R36" s="32"/>
      <c r="S36" s="33"/>
      <c r="T36" s="34"/>
      <c r="U36" s="121"/>
      <c r="V36" s="697"/>
      <c r="W36" s="697"/>
      <c r="X36" s="697"/>
      <c r="Y36" s="697"/>
      <c r="Z36" s="697"/>
      <c r="AA36" s="697"/>
      <c r="AB36" s="697"/>
      <c r="AC36" s="697"/>
      <c r="AD36" s="697"/>
      <c r="AE36" s="697"/>
      <c r="AF36" s="697"/>
      <c r="AG36" s="697"/>
      <c r="AH36" s="697"/>
      <c r="AI36" s="697"/>
      <c r="AJ36" s="697"/>
      <c r="AK36" s="697"/>
      <c r="AL36" s="697"/>
      <c r="AM36" s="697"/>
      <c r="AN36" s="697"/>
      <c r="AO36" s="697"/>
      <c r="AP36" s="697"/>
      <c r="AQ36" s="697"/>
      <c r="AR36" s="697"/>
      <c r="AS36" s="698"/>
      <c r="AT36" s="698"/>
      <c r="AU36" s="698"/>
      <c r="AV36" s="698"/>
      <c r="AW36" s="698"/>
      <c r="AX36" s="698"/>
      <c r="AY36" s="698"/>
      <c r="AZ36" s="698"/>
      <c r="BA36" s="698"/>
      <c r="BB36" s="698"/>
      <c r="BC36" s="698"/>
      <c r="BD36" s="698"/>
      <c r="BE36" s="699"/>
      <c r="BF36" s="699"/>
      <c r="BG36" s="699"/>
      <c r="BH36" s="699"/>
      <c r="BI36" s="699"/>
      <c r="BJ36" s="1802"/>
      <c r="BK36" s="1802"/>
      <c r="BL36" s="1802"/>
      <c r="BM36" s="1802"/>
      <c r="BN36" s="701"/>
      <c r="BO36" s="701"/>
      <c r="BP36" s="701"/>
      <c r="BQ36" s="121"/>
      <c r="BR36" s="31"/>
    </row>
    <row r="37" spans="1:83" ht="26.25" customHeight="1" x14ac:dyDescent="0.25">
      <c r="A37" s="34"/>
      <c r="B37" s="35"/>
      <c r="C37" s="31"/>
      <c r="D37" s="32"/>
      <c r="E37" s="33"/>
      <c r="F37" s="34"/>
      <c r="G37" s="34"/>
      <c r="H37" s="678"/>
      <c r="I37" s="678"/>
      <c r="J37" s="678"/>
      <c r="K37" s="678"/>
      <c r="L37" s="34"/>
      <c r="M37" s="34"/>
      <c r="N37" s="35"/>
      <c r="O37" s="31"/>
      <c r="P37" s="32"/>
      <c r="Q37" s="33"/>
      <c r="R37" s="34"/>
      <c r="S37" s="34"/>
      <c r="T37" s="35"/>
      <c r="U37" s="31"/>
      <c r="V37" s="697"/>
      <c r="W37" s="697"/>
      <c r="X37" s="697"/>
      <c r="Y37" s="697"/>
      <c r="Z37" s="697"/>
      <c r="AA37" s="697"/>
      <c r="AB37" s="697"/>
      <c r="AC37" s="697"/>
      <c r="AD37" s="697"/>
      <c r="AE37" s="697"/>
      <c r="AF37" s="697"/>
      <c r="AG37" s="697"/>
      <c r="AH37" s="697"/>
      <c r="AI37" s="697"/>
      <c r="AJ37" s="697"/>
      <c r="AK37" s="697"/>
      <c r="AL37" s="697"/>
      <c r="AM37" s="697"/>
      <c r="AN37" s="697"/>
      <c r="AO37" s="697"/>
      <c r="AP37" s="697"/>
      <c r="AQ37" s="697"/>
      <c r="AR37" s="697"/>
      <c r="AS37" s="698"/>
      <c r="AT37" s="698"/>
      <c r="AU37" s="698"/>
      <c r="AV37" s="698"/>
      <c r="AW37" s="698"/>
      <c r="AX37" s="698"/>
      <c r="AY37" s="698"/>
      <c r="AZ37" s="698"/>
      <c r="BA37" s="698"/>
      <c r="BB37" s="698"/>
      <c r="BC37" s="698"/>
      <c r="BD37" s="698"/>
      <c r="BE37" s="699"/>
      <c r="BF37" s="699"/>
      <c r="BG37" s="699"/>
      <c r="BH37" s="699"/>
      <c r="BI37" s="699"/>
      <c r="BJ37" s="1802"/>
      <c r="BK37" s="1802"/>
      <c r="BL37" s="1802"/>
      <c r="BM37" s="1802"/>
      <c r="BN37" s="701"/>
      <c r="BO37" s="701"/>
      <c r="BP37" s="701"/>
      <c r="BQ37" s="32"/>
      <c r="BR37" s="33"/>
      <c r="BW37" s="27"/>
      <c r="BX37" s="27"/>
      <c r="BY37" s="27"/>
      <c r="BZ37" s="27"/>
      <c r="CA37" s="27"/>
      <c r="CB37" s="27"/>
      <c r="CC37" s="27"/>
      <c r="CD37" s="27"/>
      <c r="CE37" s="27"/>
    </row>
    <row r="38" spans="1:83" ht="26.1" customHeight="1" x14ac:dyDescent="0.25">
      <c r="A38" s="34"/>
      <c r="B38" s="35"/>
      <c r="C38" s="31"/>
      <c r="D38" s="32"/>
      <c r="E38" s="33"/>
      <c r="F38" s="34"/>
      <c r="G38" s="34"/>
      <c r="H38" s="678"/>
      <c r="I38" s="678"/>
      <c r="J38" s="678"/>
      <c r="K38" s="678"/>
      <c r="L38" s="34"/>
      <c r="M38" s="34"/>
      <c r="N38" s="35"/>
      <c r="O38" s="31"/>
      <c r="P38" s="32"/>
      <c r="Q38" s="33"/>
      <c r="R38" s="34"/>
      <c r="S38" s="34"/>
      <c r="T38" s="35"/>
      <c r="U38" s="31"/>
      <c r="V38" s="697"/>
      <c r="W38" s="697"/>
      <c r="X38" s="697"/>
      <c r="Y38" s="697"/>
      <c r="Z38" s="697"/>
      <c r="AA38" s="697"/>
      <c r="AB38" s="697"/>
      <c r="AC38" s="697"/>
      <c r="AD38" s="697"/>
      <c r="AE38" s="697"/>
      <c r="AF38" s="697"/>
      <c r="AG38" s="697"/>
      <c r="AH38" s="697"/>
      <c r="AI38" s="697"/>
      <c r="AJ38" s="697"/>
      <c r="AK38" s="697"/>
      <c r="AL38" s="697"/>
      <c r="AM38" s="697"/>
      <c r="AN38" s="697"/>
      <c r="AO38" s="697"/>
      <c r="AP38" s="697"/>
      <c r="AQ38" s="697"/>
      <c r="AR38" s="697"/>
      <c r="AS38" s="698"/>
      <c r="AT38" s="698"/>
      <c r="AU38" s="698"/>
      <c r="AV38" s="698"/>
      <c r="AW38" s="698"/>
      <c r="AX38" s="698"/>
      <c r="AY38" s="698"/>
      <c r="AZ38" s="698"/>
      <c r="BA38" s="698"/>
      <c r="BB38" s="698"/>
      <c r="BC38" s="698"/>
      <c r="BD38" s="698"/>
      <c r="BE38" s="699"/>
      <c r="BF38" s="699"/>
      <c r="BG38" s="699"/>
      <c r="BH38" s="699"/>
      <c r="BI38" s="699"/>
      <c r="BJ38" s="1802"/>
      <c r="BK38" s="1802"/>
      <c r="BL38" s="1802"/>
      <c r="BM38" s="1802"/>
      <c r="BN38" s="701"/>
      <c r="BO38" s="701"/>
      <c r="BP38" s="701"/>
      <c r="BQ38" s="32"/>
      <c r="BR38" s="33"/>
    </row>
    <row r="39" spans="1:83" ht="6.75" customHeight="1" x14ac:dyDescent="0.25">
      <c r="A39" s="28"/>
      <c r="B39" s="28"/>
      <c r="C39" s="28"/>
      <c r="D39" s="29"/>
      <c r="E39" s="29"/>
      <c r="F39" s="28"/>
      <c r="G39" s="28"/>
      <c r="H39" s="28"/>
      <c r="I39" s="29"/>
      <c r="J39" s="29"/>
      <c r="K39" s="28"/>
      <c r="L39" s="28"/>
      <c r="M39" s="28"/>
      <c r="N39" s="29"/>
      <c r="O39" s="29"/>
      <c r="P39" s="28"/>
      <c r="Q39" s="28"/>
      <c r="R39" s="28"/>
      <c r="S39" s="29"/>
      <c r="T39" s="29"/>
      <c r="U39" s="28"/>
      <c r="V39" s="3260" t="s">
        <v>13</v>
      </c>
      <c r="W39" s="3260"/>
      <c r="X39" s="3260"/>
      <c r="Y39" s="3260"/>
      <c r="Z39" s="3260"/>
      <c r="AA39" s="3260"/>
      <c r="AB39" s="3260"/>
      <c r="AC39" s="3260"/>
      <c r="AD39" s="3260"/>
      <c r="AE39" s="3260"/>
      <c r="AF39" s="3260"/>
      <c r="AG39" s="3260"/>
      <c r="AH39" s="723">
        <f>AS39-AD75</f>
        <v>2.8002421422996804E-3</v>
      </c>
      <c r="AI39" s="723"/>
      <c r="AJ39" s="723"/>
      <c r="AK39" s="723"/>
      <c r="AL39" s="723"/>
      <c r="AM39" s="723"/>
      <c r="AN39" s="723"/>
      <c r="AO39" s="723"/>
      <c r="AP39" s="723"/>
      <c r="AQ39" s="723"/>
      <c r="AR39" s="723"/>
      <c r="AS39" s="707">
        <f>B7+G7+L7+Q7+V7+AA7+AF7+AK7+AP7+AU7+AZ7+BE7+BJ7+BO7+B13+G13+L13+Q13+V13+AA13+AF13+AK13+AP13+AU13+AZ13+BE13+BJ13+BO13+B19+G19+L19+Q19+V19+AA19+AF19+AK19+AP19+AU19+AZ19+BE19+BJ19+BO19+B25+G25+L25+Q25+V25+AA25+AF25+AK25+AP25+AU25+AZ25+BE25+BJ25+BO25+B31+G31+L31+Q31+V31+AA31+AF31+AK31+AP31+AU31+AZ31+BE31+BJ31+BO31</f>
        <v>18.5928002421423</v>
      </c>
      <c r="AT39" s="707"/>
      <c r="AU39" s="707"/>
      <c r="AV39" s="707"/>
      <c r="AW39" s="707"/>
      <c r="AX39" s="707"/>
      <c r="AY39" s="707"/>
      <c r="AZ39" s="707"/>
      <c r="BA39" s="707"/>
      <c r="BB39" s="707"/>
      <c r="BC39" s="707"/>
      <c r="BD39" s="707"/>
      <c r="BE39" s="699"/>
      <c r="BF39" s="699"/>
      <c r="BG39" s="699"/>
      <c r="BH39" s="699"/>
      <c r="BI39" s="699"/>
      <c r="BJ39" s="1802"/>
      <c r="BK39" s="1802"/>
      <c r="BL39" s="1802"/>
      <c r="BM39" s="1802"/>
      <c r="BN39" s="701"/>
      <c r="BO39" s="701"/>
      <c r="BP39" s="701"/>
      <c r="BQ39" s="29"/>
      <c r="BR39" s="29"/>
    </row>
    <row r="40" spans="1:83" ht="21.95" customHeight="1" x14ac:dyDescent="0.25">
      <c r="A40" s="28"/>
      <c r="B40" s="28"/>
      <c r="C40" s="28"/>
      <c r="D40" s="30"/>
      <c r="E40" s="29"/>
      <c r="F40" s="28"/>
      <c r="G40" s="28"/>
      <c r="H40" s="28"/>
      <c r="I40" s="30"/>
      <c r="J40" s="29"/>
      <c r="K40" s="28"/>
      <c r="L40" s="28"/>
      <c r="M40" s="28"/>
      <c r="N40" s="30"/>
      <c r="O40" s="29"/>
      <c r="P40" s="28"/>
      <c r="Q40" s="28"/>
      <c r="R40" s="28"/>
      <c r="S40" s="30"/>
      <c r="T40" s="29"/>
      <c r="U40" s="28"/>
      <c r="V40" s="3260"/>
      <c r="W40" s="3260"/>
      <c r="X40" s="3260"/>
      <c r="Y40" s="3260"/>
      <c r="Z40" s="3260"/>
      <c r="AA40" s="3260"/>
      <c r="AB40" s="3260"/>
      <c r="AC40" s="3260"/>
      <c r="AD40" s="3260"/>
      <c r="AE40" s="3260"/>
      <c r="AF40" s="3260"/>
      <c r="AG40" s="3260"/>
      <c r="AH40" s="723"/>
      <c r="AI40" s="723"/>
      <c r="AJ40" s="723"/>
      <c r="AK40" s="723"/>
      <c r="AL40" s="723"/>
      <c r="AM40" s="723"/>
      <c r="AN40" s="723"/>
      <c r="AO40" s="723"/>
      <c r="AP40" s="723"/>
      <c r="AQ40" s="723"/>
      <c r="AR40" s="723"/>
      <c r="AS40" s="707"/>
      <c r="AT40" s="707"/>
      <c r="AU40" s="707"/>
      <c r="AV40" s="707"/>
      <c r="AW40" s="707"/>
      <c r="AX40" s="707"/>
      <c r="AY40" s="707"/>
      <c r="AZ40" s="707"/>
      <c r="BA40" s="707"/>
      <c r="BB40" s="707"/>
      <c r="BC40" s="707"/>
      <c r="BD40" s="707"/>
      <c r="BE40" s="699"/>
      <c r="BF40" s="699"/>
      <c r="BG40" s="699"/>
      <c r="BH40" s="699"/>
      <c r="BI40" s="699"/>
      <c r="BJ40" s="1802"/>
      <c r="BK40" s="1802"/>
      <c r="BL40" s="1802"/>
      <c r="BM40" s="1802"/>
      <c r="BN40" s="701"/>
      <c r="BO40" s="701"/>
      <c r="BP40" s="701"/>
      <c r="BQ40" s="30"/>
      <c r="BR40" s="29"/>
    </row>
    <row r="41" spans="1:83" ht="6" customHeight="1" x14ac:dyDescent="0.25">
      <c r="A41" s="28"/>
      <c r="B41" s="28"/>
      <c r="C41" s="28"/>
      <c r="D41" s="29"/>
      <c r="E41" s="29"/>
      <c r="F41" s="28"/>
      <c r="G41" s="28"/>
      <c r="H41" s="28"/>
      <c r="I41" s="29"/>
      <c r="J41" s="29"/>
      <c r="K41" s="28"/>
      <c r="L41" s="28"/>
      <c r="M41" s="28"/>
      <c r="N41" s="29"/>
      <c r="O41" s="29"/>
      <c r="P41" s="28"/>
      <c r="Q41" s="28"/>
      <c r="R41" s="28"/>
      <c r="S41" s="29"/>
      <c r="T41" s="29"/>
      <c r="U41" s="28"/>
      <c r="V41" s="3260"/>
      <c r="W41" s="3260"/>
      <c r="X41" s="3260"/>
      <c r="Y41" s="3260"/>
      <c r="Z41" s="3260"/>
      <c r="AA41" s="3260"/>
      <c r="AB41" s="3260"/>
      <c r="AC41" s="3260"/>
      <c r="AD41" s="3260"/>
      <c r="AE41" s="3260"/>
      <c r="AF41" s="3260"/>
      <c r="AG41" s="3260"/>
      <c r="AH41" s="723"/>
      <c r="AI41" s="723"/>
      <c r="AJ41" s="723"/>
      <c r="AK41" s="723"/>
      <c r="AL41" s="723"/>
      <c r="AM41" s="723"/>
      <c r="AN41" s="723"/>
      <c r="AO41" s="723"/>
      <c r="AP41" s="723"/>
      <c r="AQ41" s="723"/>
      <c r="AR41" s="723"/>
      <c r="AS41" s="707"/>
      <c r="AT41" s="707"/>
      <c r="AU41" s="707"/>
      <c r="AV41" s="707"/>
      <c r="AW41" s="707"/>
      <c r="AX41" s="707"/>
      <c r="AY41" s="707"/>
      <c r="AZ41" s="707"/>
      <c r="BA41" s="707"/>
      <c r="BB41" s="707"/>
      <c r="BC41" s="707"/>
      <c r="BD41" s="707"/>
      <c r="BE41" s="699"/>
      <c r="BF41" s="699"/>
      <c r="BG41" s="699"/>
      <c r="BH41" s="699"/>
      <c r="BI41" s="699"/>
      <c r="BJ41" s="708">
        <f>BJ35*1.5</f>
        <v>27</v>
      </c>
      <c r="BK41" s="708"/>
      <c r="BL41" s="708"/>
      <c r="BM41" s="708"/>
      <c r="BN41" s="708"/>
      <c r="BO41" s="708"/>
      <c r="BP41" s="708"/>
      <c r="BQ41" s="29"/>
      <c r="BR41" s="29"/>
    </row>
    <row r="42" spans="1:83" s="22" customFormat="1" ht="80.099999999999994" customHeight="1" x14ac:dyDescent="1.35">
      <c r="A42" s="31"/>
      <c r="B42" s="121"/>
      <c r="C42" s="121"/>
      <c r="D42" s="121"/>
      <c r="E42" s="121"/>
      <c r="H42" s="121"/>
      <c r="I42" s="121"/>
      <c r="J42" s="121"/>
      <c r="K42" s="31"/>
      <c r="L42" s="121"/>
      <c r="M42" s="121"/>
      <c r="N42" s="121"/>
      <c r="O42" s="121"/>
      <c r="P42" s="31"/>
      <c r="Q42" s="121"/>
      <c r="R42" s="121"/>
      <c r="S42" s="121"/>
      <c r="T42" s="121"/>
      <c r="U42" s="31"/>
      <c r="V42" s="3260"/>
      <c r="W42" s="3260"/>
      <c r="X42" s="3260"/>
      <c r="Y42" s="3260"/>
      <c r="Z42" s="3260"/>
      <c r="AA42" s="3260"/>
      <c r="AB42" s="3260"/>
      <c r="AC42" s="3260"/>
      <c r="AD42" s="3260"/>
      <c r="AE42" s="3260"/>
      <c r="AF42" s="3260"/>
      <c r="AG42" s="3260"/>
      <c r="AH42" s="723"/>
      <c r="AI42" s="723"/>
      <c r="AJ42" s="723"/>
      <c r="AK42" s="723"/>
      <c r="AL42" s="723"/>
      <c r="AM42" s="723"/>
      <c r="AN42" s="723"/>
      <c r="AO42" s="723"/>
      <c r="AP42" s="723"/>
      <c r="AQ42" s="723"/>
      <c r="AR42" s="723"/>
      <c r="AS42" s="707"/>
      <c r="AT42" s="707"/>
      <c r="AU42" s="707"/>
      <c r="AV42" s="707"/>
      <c r="AW42" s="707"/>
      <c r="AX42" s="707"/>
      <c r="AY42" s="707"/>
      <c r="AZ42" s="707"/>
      <c r="BA42" s="707"/>
      <c r="BB42" s="707"/>
      <c r="BC42" s="707"/>
      <c r="BD42" s="707"/>
      <c r="BE42" s="699"/>
      <c r="BF42" s="699"/>
      <c r="BG42" s="699"/>
      <c r="BH42" s="699"/>
      <c r="BI42" s="699"/>
      <c r="BJ42" s="708"/>
      <c r="BK42" s="708"/>
      <c r="BL42" s="708"/>
      <c r="BM42" s="708"/>
      <c r="BN42" s="708"/>
      <c r="BO42" s="708"/>
      <c r="BP42" s="708"/>
      <c r="BQ42" s="121"/>
      <c r="BR42" s="121"/>
    </row>
    <row r="43" spans="1:83" ht="26.25" customHeight="1" x14ac:dyDescent="0.25">
      <c r="A43" s="34"/>
      <c r="B43" s="35"/>
      <c r="C43" s="31"/>
      <c r="D43" s="32"/>
      <c r="E43" s="33"/>
      <c r="I43" s="32"/>
      <c r="J43" s="33"/>
      <c r="K43" s="34"/>
      <c r="L43" s="35"/>
      <c r="M43" s="31"/>
      <c r="N43" s="32"/>
      <c r="O43" s="33"/>
      <c r="P43" s="34"/>
      <c r="Q43" s="35"/>
      <c r="R43" s="31"/>
      <c r="S43" s="32"/>
      <c r="T43" s="33"/>
      <c r="U43" s="34"/>
      <c r="V43" s="3260"/>
      <c r="W43" s="3260"/>
      <c r="X43" s="3260"/>
      <c r="Y43" s="3260"/>
      <c r="Z43" s="3260"/>
      <c r="AA43" s="3260"/>
      <c r="AB43" s="3260"/>
      <c r="AC43" s="3260"/>
      <c r="AD43" s="3260"/>
      <c r="AE43" s="3260"/>
      <c r="AF43" s="3260"/>
      <c r="AG43" s="3260"/>
      <c r="AH43" s="723"/>
      <c r="AI43" s="723"/>
      <c r="AJ43" s="723"/>
      <c r="AK43" s="723"/>
      <c r="AL43" s="723"/>
      <c r="AM43" s="723"/>
      <c r="AN43" s="723"/>
      <c r="AO43" s="723"/>
      <c r="AP43" s="723"/>
      <c r="AQ43" s="723"/>
      <c r="AR43" s="723"/>
      <c r="AS43" s="707"/>
      <c r="AT43" s="707"/>
      <c r="AU43" s="707"/>
      <c r="AV43" s="707"/>
      <c r="AW43" s="707"/>
      <c r="AX43" s="707"/>
      <c r="AY43" s="707"/>
      <c r="AZ43" s="707"/>
      <c r="BA43" s="707"/>
      <c r="BB43" s="707"/>
      <c r="BC43" s="707"/>
      <c r="BD43" s="707"/>
      <c r="BE43" s="699"/>
      <c r="BF43" s="699"/>
      <c r="BG43" s="699"/>
      <c r="BH43" s="699"/>
      <c r="BI43" s="699"/>
      <c r="BJ43" s="708"/>
      <c r="BK43" s="708"/>
      <c r="BL43" s="708"/>
      <c r="BM43" s="708"/>
      <c r="BN43" s="708"/>
      <c r="BO43" s="708"/>
      <c r="BP43" s="708"/>
      <c r="BQ43" s="31"/>
      <c r="BR43" s="32"/>
      <c r="BW43" s="27"/>
      <c r="BX43" s="27"/>
      <c r="BY43" s="27"/>
      <c r="BZ43" s="27"/>
      <c r="CA43" s="27"/>
      <c r="CB43" s="27"/>
      <c r="CC43" s="27"/>
      <c r="CD43" s="27"/>
      <c r="CE43" s="27"/>
    </row>
    <row r="44" spans="1:83" ht="26.1" customHeight="1" x14ac:dyDescent="0.25">
      <c r="A44" s="34"/>
      <c r="B44" s="35"/>
      <c r="C44" s="31"/>
      <c r="D44" s="32"/>
      <c r="E44" s="33"/>
      <c r="I44" s="32"/>
      <c r="J44" s="33"/>
      <c r="K44" s="34"/>
      <c r="L44" s="35"/>
      <c r="M44" s="31"/>
      <c r="N44" s="32"/>
      <c r="O44" s="33"/>
      <c r="P44" s="34"/>
      <c r="Q44" s="35"/>
      <c r="R44" s="31"/>
      <c r="S44" s="32"/>
      <c r="T44" s="33"/>
      <c r="U44" s="34"/>
      <c r="V44" s="3260"/>
      <c r="W44" s="3260"/>
      <c r="X44" s="3260"/>
      <c r="Y44" s="3260"/>
      <c r="Z44" s="3260"/>
      <c r="AA44" s="3260"/>
      <c r="AB44" s="3260"/>
      <c r="AC44" s="3260"/>
      <c r="AD44" s="3260"/>
      <c r="AE44" s="3260"/>
      <c r="AF44" s="3260"/>
      <c r="AG44" s="3260"/>
      <c r="AH44" s="723"/>
      <c r="AI44" s="723"/>
      <c r="AJ44" s="723"/>
      <c r="AK44" s="723"/>
      <c r="AL44" s="723"/>
      <c r="AM44" s="723"/>
      <c r="AN44" s="723"/>
      <c r="AO44" s="723"/>
      <c r="AP44" s="723"/>
      <c r="AQ44" s="723"/>
      <c r="AR44" s="723"/>
      <c r="AS44" s="707"/>
      <c r="AT44" s="707"/>
      <c r="AU44" s="707"/>
      <c r="AV44" s="707"/>
      <c r="AW44" s="707"/>
      <c r="AX44" s="707"/>
      <c r="AY44" s="707"/>
      <c r="AZ44" s="707"/>
      <c r="BA44" s="707"/>
      <c r="BB44" s="707"/>
      <c r="BC44" s="707"/>
      <c r="BD44" s="707"/>
      <c r="BE44" s="699"/>
      <c r="BF44" s="699"/>
      <c r="BG44" s="699"/>
      <c r="BH44" s="699"/>
      <c r="BI44" s="699"/>
      <c r="BJ44" s="708"/>
      <c r="BK44" s="708"/>
      <c r="BL44" s="708"/>
      <c r="BM44" s="708"/>
      <c r="BN44" s="708"/>
      <c r="BO44" s="708"/>
      <c r="BP44" s="708"/>
      <c r="BQ44" s="31"/>
      <c r="BR44" s="32"/>
    </row>
    <row r="45" spans="1:83" ht="6.75" customHeight="1" x14ac:dyDescent="0.25">
      <c r="A45" s="28"/>
      <c r="B45" s="28"/>
      <c r="C45" s="28"/>
      <c r="D45" s="29"/>
      <c r="E45" s="29"/>
      <c r="I45" s="29"/>
      <c r="J45" s="29"/>
      <c r="K45" s="28"/>
      <c r="L45" s="28"/>
      <c r="M45" s="28"/>
      <c r="N45" s="29"/>
      <c r="O45" s="29"/>
      <c r="P45" s="28"/>
      <c r="Q45" s="28"/>
      <c r="R45" s="28"/>
      <c r="S45" s="29"/>
      <c r="T45" s="29"/>
      <c r="U45" s="28"/>
      <c r="V45" s="3260"/>
      <c r="W45" s="3260"/>
      <c r="X45" s="3260"/>
      <c r="Y45" s="3260"/>
      <c r="Z45" s="3260"/>
      <c r="AA45" s="3260"/>
      <c r="AB45" s="3260"/>
      <c r="AC45" s="3260"/>
      <c r="AD45" s="3260"/>
      <c r="AE45" s="3260"/>
      <c r="AF45" s="3260"/>
      <c r="AG45" s="3260"/>
      <c r="AH45" s="723"/>
      <c r="AI45" s="723"/>
      <c r="AJ45" s="723"/>
      <c r="AK45" s="723"/>
      <c r="AL45" s="723"/>
      <c r="AM45" s="723"/>
      <c r="AN45" s="723"/>
      <c r="AO45" s="723"/>
      <c r="AP45" s="723"/>
      <c r="AQ45" s="723"/>
      <c r="AR45" s="723"/>
      <c r="AS45" s="707"/>
      <c r="AT45" s="707"/>
      <c r="AU45" s="707"/>
      <c r="AV45" s="707"/>
      <c r="AW45" s="707"/>
      <c r="AX45" s="707"/>
      <c r="AY45" s="707"/>
      <c r="AZ45" s="707"/>
      <c r="BA45" s="707"/>
      <c r="BB45" s="707"/>
      <c r="BC45" s="707"/>
      <c r="BD45" s="707"/>
      <c r="BE45" s="699"/>
      <c r="BF45" s="699"/>
      <c r="BG45" s="699"/>
      <c r="BH45" s="699"/>
      <c r="BI45" s="699"/>
      <c r="BJ45" s="699" t="s">
        <v>121</v>
      </c>
      <c r="BK45" s="699"/>
      <c r="BL45" s="699"/>
      <c r="BM45" s="699"/>
      <c r="BN45" s="699"/>
      <c r="BO45" s="699"/>
      <c r="BP45" s="699"/>
      <c r="BQ45" s="31"/>
      <c r="BR45" s="32"/>
    </row>
    <row r="46" spans="1:83" ht="21.95" customHeight="1" x14ac:dyDescent="0.25">
      <c r="A46" s="28"/>
      <c r="B46" s="28"/>
      <c r="C46" s="28"/>
      <c r="D46" s="30"/>
      <c r="E46" s="29"/>
      <c r="I46" s="30"/>
      <c r="J46" s="29"/>
      <c r="K46" s="28"/>
      <c r="L46" s="28"/>
      <c r="M46" s="28"/>
      <c r="N46" s="30"/>
      <c r="O46" s="29"/>
      <c r="P46" s="28"/>
      <c r="Q46" s="28"/>
      <c r="R46" s="28"/>
      <c r="S46" s="30"/>
      <c r="T46" s="29"/>
      <c r="U46" s="28"/>
      <c r="V46" s="3260"/>
      <c r="W46" s="3260"/>
      <c r="X46" s="3260"/>
      <c r="Y46" s="3260"/>
      <c r="Z46" s="3260"/>
      <c r="AA46" s="3260"/>
      <c r="AB46" s="3260"/>
      <c r="AC46" s="3260"/>
      <c r="AD46" s="3260"/>
      <c r="AE46" s="3260"/>
      <c r="AF46" s="3260"/>
      <c r="AG46" s="3260"/>
      <c r="AH46" s="723"/>
      <c r="AI46" s="723"/>
      <c r="AJ46" s="723"/>
      <c r="AK46" s="723"/>
      <c r="AL46" s="723"/>
      <c r="AM46" s="723"/>
      <c r="AN46" s="723"/>
      <c r="AO46" s="723"/>
      <c r="AP46" s="723"/>
      <c r="AQ46" s="723"/>
      <c r="AR46" s="723"/>
      <c r="AS46" s="707"/>
      <c r="AT46" s="707"/>
      <c r="AU46" s="707"/>
      <c r="AV46" s="707"/>
      <c r="AW46" s="707"/>
      <c r="AX46" s="707"/>
      <c r="AY46" s="707"/>
      <c r="AZ46" s="707"/>
      <c r="BA46" s="707"/>
      <c r="BB46" s="707"/>
      <c r="BC46" s="707"/>
      <c r="BD46" s="707"/>
      <c r="BE46" s="699"/>
      <c r="BF46" s="699"/>
      <c r="BG46" s="699"/>
      <c r="BH46" s="699"/>
      <c r="BI46" s="699"/>
      <c r="BJ46" s="699"/>
      <c r="BK46" s="699"/>
      <c r="BL46" s="699"/>
      <c r="BM46" s="699"/>
      <c r="BN46" s="699"/>
      <c r="BO46" s="699"/>
      <c r="BP46" s="699"/>
      <c r="BQ46" s="30"/>
      <c r="BR46" s="29"/>
    </row>
    <row r="47" spans="1:83" ht="6" customHeight="1" x14ac:dyDescent="0.25">
      <c r="A47" s="28"/>
      <c r="B47" s="28"/>
      <c r="C47" s="28"/>
      <c r="D47" s="29"/>
      <c r="E47" s="29"/>
      <c r="F47" s="28"/>
      <c r="G47" s="28"/>
      <c r="H47" s="28"/>
      <c r="I47" s="29"/>
      <c r="J47" s="29"/>
      <c r="K47" s="28"/>
      <c r="L47" s="28"/>
      <c r="M47" s="28"/>
      <c r="N47" s="29"/>
      <c r="O47" s="29"/>
      <c r="P47" s="28"/>
      <c r="Q47" s="28"/>
      <c r="R47" s="28"/>
      <c r="S47" s="29"/>
      <c r="T47" s="29"/>
      <c r="U47" s="28"/>
      <c r="V47" s="28"/>
      <c r="W47" s="28"/>
      <c r="X47" s="29"/>
      <c r="Y47" s="29"/>
      <c r="Z47" s="28"/>
      <c r="AA47" s="28"/>
      <c r="AB47" s="28"/>
      <c r="AC47" s="29"/>
      <c r="AD47" s="29"/>
      <c r="AE47" s="28"/>
      <c r="AF47" s="28"/>
      <c r="AG47" s="28"/>
      <c r="AH47" s="29"/>
      <c r="AI47" s="29"/>
      <c r="AJ47" s="28"/>
      <c r="AK47" s="28"/>
      <c r="AL47" s="28"/>
      <c r="AM47" s="29"/>
      <c r="AN47" s="29"/>
      <c r="AO47" s="28"/>
      <c r="AP47" s="28"/>
      <c r="AQ47" s="28"/>
      <c r="AR47" s="29"/>
      <c r="AS47" s="29"/>
      <c r="AT47" s="28"/>
      <c r="AU47" s="28"/>
      <c r="AV47" s="28"/>
      <c r="AW47" s="29"/>
      <c r="AX47" s="29"/>
      <c r="AY47" s="28"/>
      <c r="AZ47" s="28"/>
      <c r="BA47" s="28"/>
      <c r="BB47" s="29"/>
      <c r="BC47" s="29"/>
      <c r="BD47" s="28"/>
      <c r="BE47" s="28"/>
      <c r="BF47" s="28"/>
      <c r="BG47" s="29"/>
      <c r="BH47" s="29"/>
      <c r="BI47" s="28"/>
      <c r="BJ47" s="699"/>
      <c r="BK47" s="699"/>
      <c r="BL47" s="699"/>
      <c r="BM47" s="699"/>
      <c r="BN47" s="699"/>
      <c r="BO47" s="699"/>
      <c r="BP47" s="699"/>
      <c r="BQ47" s="29"/>
      <c r="BR47" s="29"/>
    </row>
    <row r="48" spans="1:83" s="22" customFormat="1" ht="80.099999999999994" customHeight="1" x14ac:dyDescent="1.35">
      <c r="A48" s="31"/>
      <c r="B48" s="677"/>
      <c r="C48" s="677"/>
      <c r="D48" s="677"/>
      <c r="E48" s="677"/>
      <c r="F48" s="677"/>
      <c r="G48" s="677"/>
      <c r="H48" s="677"/>
      <c r="I48" s="677"/>
      <c r="J48" s="677"/>
      <c r="K48" s="677"/>
      <c r="L48" s="31"/>
      <c r="M48" s="32"/>
      <c r="N48" s="33"/>
      <c r="O48" s="121"/>
      <c r="P48" s="31"/>
      <c r="Q48" s="121"/>
      <c r="R48" s="121"/>
      <c r="S48" s="121"/>
      <c r="T48" s="121"/>
      <c r="U48" s="31"/>
      <c r="V48" s="121"/>
      <c r="W48" s="121"/>
      <c r="X48" s="121"/>
      <c r="Y48" s="121"/>
      <c r="Z48" s="31"/>
      <c r="AA48" s="121"/>
      <c r="AB48" s="121"/>
      <c r="AC48" s="121"/>
      <c r="AD48" s="121"/>
      <c r="AE48" s="31"/>
      <c r="AF48" s="121"/>
      <c r="AV48" s="121"/>
      <c r="AW48" s="121"/>
      <c r="AX48" s="121"/>
      <c r="AY48" s="31"/>
      <c r="AZ48" s="121"/>
      <c r="BA48" s="121"/>
      <c r="BB48" s="121"/>
      <c r="BC48" s="121"/>
      <c r="BD48" s="31"/>
      <c r="BE48" s="121"/>
      <c r="BF48" s="121"/>
      <c r="BG48" s="121"/>
      <c r="BH48" s="121"/>
      <c r="BI48" s="31"/>
      <c r="BJ48" s="121"/>
      <c r="BK48" s="121"/>
      <c r="BL48" s="121"/>
      <c r="BM48" s="121"/>
      <c r="BN48" s="31"/>
      <c r="BO48" s="121"/>
      <c r="BP48" s="121"/>
      <c r="BQ48" s="121"/>
      <c r="BR48" s="121"/>
    </row>
    <row r="49" spans="1:83" ht="27" thickBot="1" x14ac:dyDescent="0.3">
      <c r="A49" s="31"/>
      <c r="B49" s="34"/>
      <c r="C49" s="35"/>
      <c r="D49" s="34"/>
      <c r="E49" s="35"/>
      <c r="F49" s="34"/>
      <c r="G49" s="35"/>
      <c r="H49" s="35"/>
      <c r="I49" s="34"/>
      <c r="J49" s="35"/>
      <c r="K49" s="34"/>
      <c r="L49" s="35"/>
      <c r="M49" s="34"/>
      <c r="N49" s="35"/>
      <c r="O49" s="35"/>
      <c r="P49" s="34"/>
      <c r="Q49" s="35"/>
      <c r="R49" s="33"/>
      <c r="S49" s="34"/>
      <c r="T49" s="35"/>
      <c r="U49" s="31"/>
      <c r="V49" s="32"/>
      <c r="W49" s="33"/>
      <c r="X49" s="34"/>
      <c r="Y49" s="35"/>
      <c r="Z49" s="31"/>
      <c r="AA49" s="32"/>
      <c r="AB49" s="33"/>
      <c r="AC49" s="34"/>
      <c r="AD49" s="35"/>
      <c r="AE49" s="31"/>
      <c r="AF49" s="32"/>
      <c r="AG49" s="33"/>
      <c r="AH49" s="34"/>
      <c r="AI49" s="35"/>
      <c r="AJ49" s="31"/>
      <c r="AK49" s="32"/>
      <c r="AL49" s="33"/>
      <c r="AM49" s="34"/>
      <c r="AN49" s="35"/>
      <c r="AO49" s="31"/>
      <c r="AP49" s="32"/>
      <c r="AQ49" s="33"/>
      <c r="AR49" s="34"/>
      <c r="AS49" s="35"/>
      <c r="AT49" s="31"/>
      <c r="AU49" s="32"/>
      <c r="AV49" s="33"/>
      <c r="AW49" s="34"/>
      <c r="AX49" s="35"/>
      <c r="AY49" s="31"/>
      <c r="AZ49" s="32"/>
      <c r="BA49" s="33"/>
      <c r="BB49" s="34"/>
      <c r="BC49" s="35"/>
      <c r="BD49" s="31"/>
      <c r="BE49" s="32"/>
      <c r="BF49" s="33"/>
      <c r="BG49" s="34"/>
      <c r="BH49" s="35"/>
      <c r="BI49" s="31"/>
      <c r="BJ49" s="32"/>
      <c r="BK49" s="33"/>
      <c r="BL49" s="34"/>
      <c r="BM49" s="35"/>
      <c r="BN49" s="34"/>
      <c r="BO49" s="34"/>
      <c r="BP49" s="34"/>
      <c r="BQ49" s="34"/>
      <c r="BR49" s="35"/>
      <c r="BW49" s="27"/>
      <c r="BX49" s="27"/>
      <c r="BY49" s="27"/>
      <c r="BZ49" s="27"/>
      <c r="CA49" s="27"/>
      <c r="CB49" s="27"/>
      <c r="CC49" s="27"/>
      <c r="CD49" s="27"/>
      <c r="CE49" s="27"/>
    </row>
    <row r="50" spans="1:83" ht="26.1" hidden="1" customHeight="1" thickTop="1" x14ac:dyDescent="0.25">
      <c r="A50" s="672"/>
      <c r="B50" s="672"/>
      <c r="C50" s="672"/>
      <c r="D50" s="673"/>
      <c r="E50" s="673"/>
      <c r="F50" s="672"/>
      <c r="G50" s="672"/>
      <c r="H50" s="672"/>
      <c r="I50" s="673"/>
      <c r="J50" s="673"/>
      <c r="K50" s="672"/>
      <c r="L50" s="672"/>
      <c r="M50" s="672"/>
      <c r="N50" s="673"/>
      <c r="O50" s="673"/>
      <c r="P50" s="672"/>
      <c r="Q50" s="672"/>
      <c r="R50" s="672"/>
      <c r="S50" s="673"/>
      <c r="T50" s="673"/>
      <c r="U50" s="674"/>
      <c r="V50" s="674"/>
      <c r="W50" s="674"/>
      <c r="X50" s="675"/>
      <c r="Y50" s="675"/>
      <c r="Z50" s="674"/>
      <c r="AA50" s="674"/>
      <c r="AB50" s="674"/>
      <c r="AC50" s="675"/>
      <c r="AD50" s="675"/>
      <c r="AE50" s="674"/>
      <c r="AF50" s="674"/>
      <c r="AG50" s="674"/>
      <c r="AH50" s="675"/>
      <c r="AI50" s="675"/>
      <c r="AJ50" s="674"/>
      <c r="AK50" s="674"/>
      <c r="AL50" s="674"/>
      <c r="AM50" s="675"/>
      <c r="AN50" s="675"/>
      <c r="AO50" s="674"/>
      <c r="AP50" s="674"/>
      <c r="AQ50" s="674"/>
      <c r="AR50" s="675"/>
      <c r="AS50" s="675"/>
      <c r="AT50" s="674"/>
      <c r="AU50" s="674"/>
      <c r="AV50" s="674"/>
      <c r="AW50" s="675"/>
      <c r="AX50" s="675"/>
      <c r="AY50" s="44"/>
      <c r="AZ50" s="44"/>
      <c r="BA50" s="44"/>
      <c r="BB50" s="69"/>
      <c r="BC50" s="69"/>
      <c r="BD50" s="44"/>
      <c r="BE50" s="44"/>
      <c r="BF50" s="44"/>
      <c r="BG50" s="69"/>
      <c r="BH50" s="69"/>
      <c r="BI50" s="44"/>
      <c r="BJ50" s="44"/>
      <c r="BK50" s="44"/>
      <c r="BL50" s="69"/>
      <c r="BM50" s="69"/>
      <c r="BN50" s="44"/>
      <c r="BO50" s="44"/>
      <c r="BP50" s="44"/>
      <c r="BQ50" s="69"/>
      <c r="BR50" s="69"/>
    </row>
    <row r="51" spans="1:83" ht="6.75" hidden="1" customHeight="1" x14ac:dyDescent="0.25">
      <c r="A51" s="676"/>
      <c r="B51" s="676"/>
      <c r="C51" s="676"/>
      <c r="D51" s="29"/>
      <c r="E51" s="29"/>
      <c r="F51" s="676"/>
      <c r="G51" s="676"/>
      <c r="H51" s="676"/>
      <c r="I51" s="29"/>
      <c r="J51" s="29"/>
      <c r="K51" s="676"/>
      <c r="L51" s="676"/>
      <c r="M51" s="676"/>
      <c r="N51" s="29"/>
      <c r="O51" s="29"/>
      <c r="P51" s="676"/>
      <c r="Q51" s="676"/>
      <c r="R51" s="676"/>
      <c r="S51" s="29"/>
      <c r="T51" s="29"/>
      <c r="U51" s="676"/>
      <c r="V51" s="676"/>
      <c r="W51" s="676"/>
      <c r="X51" s="29"/>
      <c r="Y51" s="29"/>
      <c r="Z51" s="676"/>
      <c r="AA51" s="676"/>
      <c r="AB51" s="676"/>
      <c r="AC51" s="29"/>
      <c r="AD51" s="29"/>
      <c r="AE51" s="676"/>
      <c r="AF51" s="676"/>
      <c r="AG51" s="676"/>
      <c r="AH51" s="29"/>
      <c r="AI51" s="29"/>
      <c r="AJ51" s="676"/>
      <c r="AK51" s="676"/>
      <c r="AL51" s="676"/>
      <c r="AM51" s="29"/>
      <c r="AN51" s="29"/>
      <c r="AO51" s="676"/>
      <c r="AP51" s="676"/>
      <c r="AQ51" s="676"/>
      <c r="AR51" s="29"/>
      <c r="AS51" s="29"/>
      <c r="AT51" s="676"/>
      <c r="AU51" s="676"/>
      <c r="AV51" s="676"/>
      <c r="AW51" s="29"/>
      <c r="AX51" s="29"/>
      <c r="AY51" s="47"/>
      <c r="AZ51" s="47"/>
      <c r="BA51" s="47"/>
      <c r="BB51" s="29"/>
      <c r="BC51" s="29"/>
      <c r="BD51" s="47"/>
      <c r="BE51" s="47"/>
      <c r="BF51" s="47"/>
      <c r="BG51" s="29"/>
      <c r="BH51" s="29"/>
      <c r="BI51" s="47"/>
      <c r="BJ51" s="47"/>
      <c r="BK51" s="47"/>
      <c r="BL51" s="29"/>
      <c r="BM51" s="29"/>
      <c r="BN51" s="47"/>
      <c r="BO51" s="47"/>
      <c r="BP51" s="47"/>
      <c r="BQ51" s="29"/>
      <c r="BR51" s="29"/>
    </row>
    <row r="52" spans="1:83" ht="21.95" hidden="1" customHeight="1" x14ac:dyDescent="0.25">
      <c r="A52" s="676"/>
      <c r="B52" s="676"/>
      <c r="C52" s="676"/>
      <c r="D52" s="30"/>
      <c r="E52" s="29"/>
      <c r="F52" s="676"/>
      <c r="G52" s="676"/>
      <c r="H52" s="676"/>
      <c r="I52" s="30"/>
      <c r="J52" s="29"/>
      <c r="K52" s="676"/>
      <c r="L52" s="676"/>
      <c r="M52" s="676"/>
      <c r="N52" s="30"/>
      <c r="O52" s="29"/>
      <c r="P52" s="676"/>
      <c r="Q52" s="676"/>
      <c r="R52" s="676"/>
      <c r="S52" s="30"/>
      <c r="T52" s="29"/>
      <c r="U52" s="676"/>
      <c r="V52" s="676"/>
      <c r="W52" s="676"/>
      <c r="X52" s="30"/>
      <c r="Y52" s="29"/>
      <c r="Z52" s="676"/>
      <c r="AA52" s="676"/>
      <c r="AB52" s="676"/>
      <c r="AC52" s="30"/>
      <c r="AD52" s="29"/>
      <c r="AE52" s="676"/>
      <c r="AF52" s="676"/>
      <c r="AG52" s="676"/>
      <c r="AH52" s="30"/>
      <c r="AI52" s="29"/>
      <c r="AJ52" s="676"/>
      <c r="AK52" s="676"/>
      <c r="AL52" s="676"/>
      <c r="AM52" s="30"/>
      <c r="AN52" s="29"/>
      <c r="AO52" s="676"/>
      <c r="AP52" s="676"/>
      <c r="AQ52" s="676"/>
      <c r="AR52" s="30"/>
      <c r="AS52" s="29"/>
      <c r="AT52" s="676"/>
      <c r="AU52" s="676"/>
      <c r="AV52" s="676"/>
      <c r="AW52" s="30"/>
      <c r="AX52" s="29"/>
      <c r="AY52" s="47"/>
      <c r="AZ52" s="47"/>
      <c r="BA52" s="47"/>
      <c r="BB52" s="30"/>
      <c r="BC52" s="29"/>
      <c r="BD52" s="47"/>
      <c r="BE52" s="47"/>
      <c r="BF52" s="47"/>
      <c r="BG52" s="30"/>
      <c r="BH52" s="29"/>
      <c r="BI52" s="47"/>
      <c r="BJ52" s="47"/>
      <c r="BK52" s="47"/>
      <c r="BL52" s="30"/>
      <c r="BM52" s="29"/>
      <c r="BN52" s="47"/>
      <c r="BO52" s="47"/>
      <c r="BP52" s="47"/>
      <c r="BQ52" s="30"/>
      <c r="BR52" s="29"/>
    </row>
    <row r="53" spans="1:83" ht="6" hidden="1" customHeight="1" x14ac:dyDescent="0.25">
      <c r="A53" s="676"/>
      <c r="B53" s="676"/>
      <c r="C53" s="676"/>
      <c r="D53" s="675"/>
      <c r="E53" s="675"/>
      <c r="F53" s="676"/>
      <c r="G53" s="676"/>
      <c r="H53" s="676"/>
      <c r="I53" s="675"/>
      <c r="J53" s="675"/>
      <c r="K53" s="676"/>
      <c r="L53" s="676"/>
      <c r="M53" s="676"/>
      <c r="N53" s="675"/>
      <c r="O53" s="675"/>
      <c r="P53" s="676"/>
      <c r="Q53" s="676"/>
      <c r="R53" s="676"/>
      <c r="S53" s="675"/>
      <c r="T53" s="675"/>
      <c r="U53" s="676"/>
      <c r="V53" s="676"/>
      <c r="W53" s="676"/>
      <c r="X53" s="675"/>
      <c r="Y53" s="675"/>
      <c r="Z53" s="676"/>
      <c r="AA53" s="676"/>
      <c r="AB53" s="676"/>
      <c r="AC53" s="675"/>
      <c r="AD53" s="675"/>
      <c r="AE53" s="676"/>
      <c r="AF53" s="676"/>
      <c r="AG53" s="676"/>
      <c r="AH53" s="675"/>
      <c r="AI53" s="675"/>
      <c r="AJ53" s="676"/>
      <c r="AK53" s="676"/>
      <c r="AL53" s="676"/>
      <c r="AM53" s="675"/>
      <c r="AN53" s="675"/>
      <c r="AO53" s="676"/>
      <c r="AP53" s="676"/>
      <c r="AQ53" s="676"/>
      <c r="AR53" s="675"/>
      <c r="AS53" s="675"/>
      <c r="AT53" s="676"/>
      <c r="AU53" s="676"/>
      <c r="AV53" s="676"/>
      <c r="AW53" s="675"/>
      <c r="AX53" s="675"/>
      <c r="AY53" s="47"/>
      <c r="AZ53" s="47"/>
      <c r="BA53" s="47"/>
      <c r="BB53" s="69"/>
      <c r="BC53" s="69"/>
      <c r="BD53" s="47"/>
      <c r="BE53" s="47"/>
      <c r="BF53" s="47"/>
      <c r="BG53" s="69"/>
      <c r="BH53" s="69"/>
      <c r="BI53" s="47"/>
      <c r="BJ53" s="47"/>
      <c r="BK53" s="47"/>
      <c r="BL53" s="69"/>
      <c r="BM53" s="69"/>
      <c r="BN53" s="47"/>
      <c r="BO53" s="47"/>
      <c r="BP53" s="47"/>
      <c r="BQ53" s="69"/>
      <c r="BR53" s="69"/>
    </row>
    <row r="54" spans="1:83" ht="59.25" hidden="1" customHeight="1" thickBot="1" x14ac:dyDescent="0.3">
      <c r="A54" s="677"/>
      <c r="B54" s="678"/>
      <c r="C54" s="678"/>
      <c r="D54" s="678"/>
      <c r="E54" s="678"/>
      <c r="F54" s="677"/>
      <c r="G54" s="678"/>
      <c r="H54" s="678"/>
      <c r="I54" s="678"/>
      <c r="J54" s="678"/>
      <c r="K54" s="677"/>
      <c r="L54" s="678"/>
      <c r="M54" s="678"/>
      <c r="N54" s="678"/>
      <c r="O54" s="678"/>
      <c r="P54" s="677"/>
      <c r="Q54" s="678"/>
      <c r="R54" s="678"/>
      <c r="S54" s="678"/>
      <c r="T54" s="678"/>
      <c r="U54" s="677"/>
      <c r="V54" s="678"/>
      <c r="W54" s="678"/>
      <c r="X54" s="678"/>
      <c r="Y54" s="678"/>
      <c r="Z54" s="677"/>
      <c r="AA54" s="678"/>
      <c r="AB54" s="678"/>
      <c r="AC54" s="678"/>
      <c r="AD54" s="678"/>
      <c r="AE54" s="677"/>
      <c r="AF54" s="678"/>
      <c r="AG54" s="678"/>
      <c r="AH54" s="678"/>
      <c r="AI54" s="678"/>
      <c r="AJ54" s="677"/>
      <c r="AK54" s="678"/>
      <c r="AL54" s="678"/>
      <c r="AM54" s="678"/>
      <c r="AN54" s="678"/>
      <c r="AO54" s="677"/>
      <c r="AP54" s="678"/>
      <c r="AQ54" s="678"/>
      <c r="AR54" s="678"/>
      <c r="AS54" s="678"/>
      <c r="AT54" s="677"/>
      <c r="AU54" s="678"/>
      <c r="AV54" s="678"/>
      <c r="AW54" s="678"/>
      <c r="AX54" s="678"/>
      <c r="AY54" s="70"/>
      <c r="AZ54" s="71"/>
      <c r="BA54" s="71"/>
      <c r="BB54" s="71"/>
      <c r="BC54" s="71"/>
      <c r="BD54" s="70"/>
      <c r="BE54" s="71"/>
      <c r="BF54" s="71"/>
      <c r="BG54" s="71"/>
      <c r="BH54" s="71"/>
      <c r="BI54" s="70"/>
      <c r="BJ54" s="71"/>
      <c r="BK54" s="71"/>
      <c r="BL54" s="71"/>
      <c r="BM54" s="71"/>
      <c r="BN54" s="70"/>
      <c r="BO54" s="71"/>
      <c r="BP54" s="71"/>
      <c r="BQ54" s="71"/>
      <c r="BR54" s="71"/>
    </row>
    <row r="55" spans="1:83" ht="27" hidden="1" customHeight="1" thickBot="1" x14ac:dyDescent="0.3">
      <c r="A55" s="677"/>
      <c r="B55" s="32"/>
      <c r="C55" s="33"/>
      <c r="D55" s="34"/>
      <c r="E55" s="35"/>
      <c r="F55" s="677"/>
      <c r="G55" s="32"/>
      <c r="H55" s="33"/>
      <c r="I55" s="34"/>
      <c r="J55" s="35"/>
      <c r="K55" s="677"/>
      <c r="L55" s="32"/>
      <c r="M55" s="33"/>
      <c r="N55" s="34"/>
      <c r="O55" s="35"/>
      <c r="P55" s="677"/>
      <c r="Q55" s="32"/>
      <c r="R55" s="33"/>
      <c r="S55" s="34"/>
      <c r="T55" s="35"/>
      <c r="U55" s="677"/>
      <c r="V55" s="32"/>
      <c r="W55" s="33"/>
      <c r="X55" s="34"/>
      <c r="Y55" s="35"/>
      <c r="Z55" s="677"/>
      <c r="AA55" s="32"/>
      <c r="AB55" s="33"/>
      <c r="AC55" s="34"/>
      <c r="AD55" s="35"/>
      <c r="AE55" s="677"/>
      <c r="AF55" s="32"/>
      <c r="AG55" s="33"/>
      <c r="AH55" s="34"/>
      <c r="AI55" s="35"/>
      <c r="AJ55" s="677"/>
      <c r="AK55" s="32"/>
      <c r="AL55" s="33"/>
      <c r="AM55" s="34"/>
      <c r="AN55" s="35"/>
      <c r="AO55" s="677"/>
      <c r="AP55" s="32"/>
      <c r="AQ55" s="33"/>
      <c r="AR55" s="34"/>
      <c r="AS55" s="35"/>
      <c r="AT55" s="677"/>
      <c r="AU55" s="32"/>
      <c r="AV55" s="33"/>
      <c r="AW55" s="34"/>
      <c r="AX55" s="35"/>
      <c r="AY55" s="70"/>
      <c r="AZ55" s="32"/>
      <c r="BA55" s="33"/>
      <c r="BB55" s="34"/>
      <c r="BC55" s="35"/>
      <c r="BD55" s="70"/>
      <c r="BE55" s="32"/>
      <c r="BF55" s="33"/>
      <c r="BG55" s="34"/>
      <c r="BH55" s="35"/>
      <c r="BI55" s="70"/>
      <c r="BJ55" s="32"/>
      <c r="BK55" s="33"/>
      <c r="BL55" s="34"/>
      <c r="BM55" s="35"/>
      <c r="BN55" s="70"/>
      <c r="BO55" s="32"/>
      <c r="BP55" s="33"/>
      <c r="BQ55" s="34"/>
      <c r="BR55" s="35"/>
      <c r="BW55" s="27"/>
      <c r="BX55" s="27"/>
      <c r="BY55" s="27"/>
      <c r="BZ55" s="27"/>
      <c r="CA55" s="27"/>
      <c r="CB55" s="27"/>
      <c r="CC55" s="27"/>
      <c r="CD55" s="27"/>
      <c r="CE55" s="27"/>
    </row>
    <row r="56" spans="1:83" ht="26.1" hidden="1" customHeight="1" x14ac:dyDescent="0.25">
      <c r="A56" s="674"/>
      <c r="B56" s="674"/>
      <c r="C56" s="674"/>
      <c r="D56" s="675"/>
      <c r="E56" s="675"/>
      <c r="F56" s="674"/>
      <c r="G56" s="674"/>
      <c r="H56" s="674"/>
      <c r="I56" s="675"/>
      <c r="J56" s="675"/>
      <c r="K56" s="674"/>
      <c r="L56" s="674"/>
      <c r="M56" s="674"/>
      <c r="N56" s="675"/>
      <c r="O56" s="675"/>
      <c r="P56" s="674"/>
      <c r="Q56" s="674"/>
      <c r="R56" s="674"/>
      <c r="S56" s="675"/>
      <c r="T56" s="675"/>
      <c r="U56" s="674"/>
      <c r="V56" s="674"/>
      <c r="W56" s="674"/>
      <c r="X56" s="675"/>
      <c r="Y56" s="675"/>
      <c r="Z56" s="674"/>
      <c r="AA56" s="674"/>
      <c r="AB56" s="674"/>
      <c r="AC56" s="675"/>
      <c r="AD56" s="675"/>
      <c r="AE56" s="674"/>
      <c r="AF56" s="674"/>
      <c r="AG56" s="674"/>
      <c r="AH56" s="675"/>
      <c r="AI56" s="675"/>
      <c r="AJ56" s="674"/>
      <c r="AK56" s="674"/>
      <c r="AL56" s="674"/>
      <c r="AM56" s="675"/>
      <c r="AN56" s="675"/>
      <c r="AO56" s="674"/>
      <c r="AP56" s="674"/>
      <c r="AQ56" s="674"/>
      <c r="AR56" s="675"/>
      <c r="AS56" s="675"/>
      <c r="AT56" s="674"/>
      <c r="AU56" s="674"/>
      <c r="AV56" s="674"/>
      <c r="AW56" s="675"/>
      <c r="AX56" s="675"/>
      <c r="AY56" s="44"/>
      <c r="AZ56" s="44"/>
      <c r="BA56" s="44"/>
      <c r="BB56" s="69"/>
      <c r="BC56" s="69"/>
      <c r="BD56" s="44"/>
      <c r="BE56" s="44"/>
      <c r="BF56" s="44"/>
      <c r="BG56" s="69"/>
      <c r="BH56" s="69"/>
      <c r="BI56" s="44"/>
      <c r="BJ56" s="44"/>
      <c r="BK56" s="44"/>
      <c r="BL56" s="69"/>
      <c r="BM56" s="69"/>
      <c r="BN56" s="44"/>
      <c r="BO56" s="44"/>
      <c r="BP56" s="44"/>
      <c r="BQ56" s="69"/>
      <c r="BR56" s="69"/>
    </row>
    <row r="57" spans="1:83" ht="6.75" hidden="1" customHeight="1" x14ac:dyDescent="0.25">
      <c r="A57" s="676"/>
      <c r="B57" s="676"/>
      <c r="C57" s="676"/>
      <c r="D57" s="29"/>
      <c r="E57" s="29"/>
      <c r="F57" s="676"/>
      <c r="G57" s="676"/>
      <c r="H57" s="676"/>
      <c r="I57" s="29"/>
      <c r="J57" s="29"/>
      <c r="K57" s="676"/>
      <c r="L57" s="676"/>
      <c r="M57" s="676"/>
      <c r="N57" s="29"/>
      <c r="O57" s="29"/>
      <c r="P57" s="676"/>
      <c r="Q57" s="676"/>
      <c r="R57" s="676"/>
      <c r="S57" s="29"/>
      <c r="T57" s="29"/>
      <c r="U57" s="676"/>
      <c r="V57" s="676"/>
      <c r="W57" s="676"/>
      <c r="X57" s="29"/>
      <c r="Y57" s="29"/>
      <c r="Z57" s="676"/>
      <c r="AA57" s="676"/>
      <c r="AB57" s="676"/>
      <c r="AC57" s="29"/>
      <c r="AD57" s="29"/>
      <c r="AE57" s="676"/>
      <c r="AF57" s="676"/>
      <c r="AG57" s="676"/>
      <c r="AH57" s="29"/>
      <c r="AI57" s="29"/>
      <c r="AJ57" s="676"/>
      <c r="AK57" s="676"/>
      <c r="AL57" s="676"/>
      <c r="AM57" s="29"/>
      <c r="AN57" s="29"/>
      <c r="AO57" s="676"/>
      <c r="AP57" s="676"/>
      <c r="AQ57" s="676"/>
      <c r="AR57" s="29"/>
      <c r="AS57" s="29"/>
      <c r="AT57" s="676"/>
      <c r="AU57" s="676"/>
      <c r="AV57" s="676"/>
      <c r="AW57" s="29"/>
      <c r="AX57" s="29"/>
      <c r="AY57" s="47"/>
      <c r="AZ57" s="47"/>
      <c r="BA57" s="47"/>
      <c r="BB57" s="29"/>
      <c r="BC57" s="29"/>
      <c r="BD57" s="47"/>
      <c r="BE57" s="47"/>
      <c r="BF57" s="47"/>
      <c r="BG57" s="29"/>
      <c r="BH57" s="29"/>
      <c r="BI57" s="47"/>
      <c r="BJ57" s="47"/>
      <c r="BK57" s="47"/>
      <c r="BL57" s="29"/>
      <c r="BM57" s="29"/>
      <c r="BN57" s="47"/>
      <c r="BO57" s="47"/>
      <c r="BP57" s="47"/>
      <c r="BQ57" s="29"/>
      <c r="BR57" s="29"/>
    </row>
    <row r="58" spans="1:83" ht="21.95" hidden="1" customHeight="1" x14ac:dyDescent="0.25">
      <c r="A58" s="676"/>
      <c r="B58" s="676"/>
      <c r="C58" s="676"/>
      <c r="D58" s="30"/>
      <c r="E58" s="29"/>
      <c r="F58" s="676"/>
      <c r="G58" s="676"/>
      <c r="H58" s="676"/>
      <c r="I58" s="30"/>
      <c r="J58" s="29"/>
      <c r="K58" s="676"/>
      <c r="L58" s="676"/>
      <c r="M58" s="676"/>
      <c r="N58" s="30"/>
      <c r="O58" s="29"/>
      <c r="P58" s="676"/>
      <c r="Q58" s="676"/>
      <c r="R58" s="676"/>
      <c r="S58" s="30"/>
      <c r="T58" s="29"/>
      <c r="U58" s="676"/>
      <c r="V58" s="676"/>
      <c r="W58" s="676"/>
      <c r="X58" s="30"/>
      <c r="Y58" s="29"/>
      <c r="Z58" s="676"/>
      <c r="AA58" s="676"/>
      <c r="AB58" s="676"/>
      <c r="AC58" s="30"/>
      <c r="AD58" s="29"/>
      <c r="AE58" s="676"/>
      <c r="AF58" s="676"/>
      <c r="AG58" s="676"/>
      <c r="AH58" s="30"/>
      <c r="AI58" s="29"/>
      <c r="AJ58" s="676"/>
      <c r="AK58" s="676"/>
      <c r="AL58" s="676"/>
      <c r="AM58" s="30"/>
      <c r="AN58" s="29"/>
      <c r="AO58" s="676"/>
      <c r="AP58" s="676"/>
      <c r="AQ58" s="676"/>
      <c r="AR58" s="30"/>
      <c r="AS58" s="29"/>
      <c r="AT58" s="676"/>
      <c r="AU58" s="676"/>
      <c r="AV58" s="676"/>
      <c r="AW58" s="30"/>
      <c r="AX58" s="29"/>
      <c r="AY58" s="47"/>
      <c r="AZ58" s="47"/>
      <c r="BA58" s="47"/>
      <c r="BB58" s="30"/>
      <c r="BC58" s="29"/>
      <c r="BD58" s="47"/>
      <c r="BE58" s="47"/>
      <c r="BF58" s="47"/>
      <c r="BG58" s="30"/>
      <c r="BH58" s="29"/>
      <c r="BI58" s="47"/>
      <c r="BJ58" s="47"/>
      <c r="BK58" s="47"/>
      <c r="BL58" s="30"/>
      <c r="BM58" s="29"/>
      <c r="BN58" s="47"/>
      <c r="BO58" s="47"/>
      <c r="BP58" s="47"/>
      <c r="BQ58" s="30"/>
      <c r="BR58" s="29"/>
    </row>
    <row r="59" spans="1:83" ht="6" hidden="1" customHeight="1" x14ac:dyDescent="0.25">
      <c r="A59" s="676"/>
      <c r="B59" s="676"/>
      <c r="C59" s="676"/>
      <c r="D59" s="675"/>
      <c r="E59" s="675"/>
      <c r="F59" s="676"/>
      <c r="G59" s="676"/>
      <c r="H59" s="676"/>
      <c r="I59" s="675"/>
      <c r="J59" s="675"/>
      <c r="K59" s="676"/>
      <c r="L59" s="676"/>
      <c r="M59" s="676"/>
      <c r="N59" s="675"/>
      <c r="O59" s="675"/>
      <c r="P59" s="676"/>
      <c r="Q59" s="676"/>
      <c r="R59" s="676"/>
      <c r="S59" s="675"/>
      <c r="T59" s="675"/>
      <c r="U59" s="676"/>
      <c r="V59" s="676"/>
      <c r="W59" s="676"/>
      <c r="X59" s="675"/>
      <c r="Y59" s="675"/>
      <c r="Z59" s="676"/>
      <c r="AA59" s="676"/>
      <c r="AB59" s="676"/>
      <c r="AC59" s="675"/>
      <c r="AD59" s="675"/>
      <c r="AE59" s="676"/>
      <c r="AF59" s="676"/>
      <c r="AG59" s="676"/>
      <c r="AH59" s="675"/>
      <c r="AI59" s="675"/>
      <c r="AJ59" s="676"/>
      <c r="AK59" s="676"/>
      <c r="AL59" s="676"/>
      <c r="AM59" s="675"/>
      <c r="AN59" s="675"/>
      <c r="AO59" s="676"/>
      <c r="AP59" s="676"/>
      <c r="AQ59" s="676"/>
      <c r="AR59" s="675"/>
      <c r="AS59" s="675"/>
      <c r="AT59" s="676"/>
      <c r="AU59" s="676"/>
      <c r="AV59" s="676"/>
      <c r="AW59" s="675"/>
      <c r="AX59" s="675"/>
      <c r="AY59" s="47"/>
      <c r="AZ59" s="47"/>
      <c r="BA59" s="47"/>
      <c r="BB59" s="69"/>
      <c r="BC59" s="69"/>
      <c r="BD59" s="47"/>
      <c r="BE59" s="47"/>
      <c r="BF59" s="47"/>
      <c r="BG59" s="69"/>
      <c r="BH59" s="69"/>
      <c r="BI59" s="47"/>
      <c r="BJ59" s="47"/>
      <c r="BK59" s="47"/>
      <c r="BL59" s="69"/>
      <c r="BM59" s="69"/>
      <c r="BN59" s="47"/>
      <c r="BO59" s="47"/>
      <c r="BP59" s="47"/>
      <c r="BQ59" s="69"/>
      <c r="BR59" s="69"/>
    </row>
    <row r="60" spans="1:83" ht="59.25" hidden="1" customHeight="1" thickBot="1" x14ac:dyDescent="0.3">
      <c r="A60" s="677"/>
      <c r="B60" s="678"/>
      <c r="C60" s="678"/>
      <c r="D60" s="678"/>
      <c r="E60" s="678"/>
      <c r="F60" s="677"/>
      <c r="G60" s="678"/>
      <c r="H60" s="678"/>
      <c r="I60" s="678"/>
      <c r="J60" s="678"/>
      <c r="K60" s="677"/>
      <c r="L60" s="678"/>
      <c r="M60" s="678"/>
      <c r="N60" s="678"/>
      <c r="O60" s="678"/>
      <c r="P60" s="677"/>
      <c r="Q60" s="678"/>
      <c r="R60" s="678"/>
      <c r="S60" s="678"/>
      <c r="T60" s="678"/>
      <c r="U60" s="677"/>
      <c r="V60" s="678"/>
      <c r="W60" s="678"/>
      <c r="X60" s="678"/>
      <c r="Y60" s="678"/>
      <c r="Z60" s="677"/>
      <c r="AA60" s="678"/>
      <c r="AB60" s="678"/>
      <c r="AC60" s="678"/>
      <c r="AD60" s="678"/>
      <c r="AE60" s="677"/>
      <c r="AF60" s="678"/>
      <c r="AG60" s="678"/>
      <c r="AH60" s="678"/>
      <c r="AI60" s="678"/>
      <c r="AJ60" s="677"/>
      <c r="AK60" s="678"/>
      <c r="AL60" s="678"/>
      <c r="AM60" s="678"/>
      <c r="AN60" s="678"/>
      <c r="AO60" s="677"/>
      <c r="AP60" s="678"/>
      <c r="AQ60" s="678"/>
      <c r="AR60" s="678"/>
      <c r="AS60" s="678"/>
      <c r="AT60" s="677"/>
      <c r="AU60" s="678"/>
      <c r="AV60" s="678"/>
      <c r="AW60" s="678"/>
      <c r="AX60" s="678"/>
      <c r="AY60" s="70"/>
      <c r="AZ60" s="71"/>
      <c r="BA60" s="71"/>
      <c r="BB60" s="71"/>
      <c r="BC60" s="71"/>
      <c r="BD60" s="70"/>
      <c r="BE60" s="71"/>
      <c r="BF60" s="71"/>
      <c r="BG60" s="71"/>
      <c r="BH60" s="71"/>
      <c r="BI60" s="70"/>
      <c r="BJ60" s="71"/>
      <c r="BK60" s="71"/>
      <c r="BL60" s="71"/>
      <c r="BM60" s="71"/>
      <c r="BN60" s="70"/>
      <c r="BO60" s="71"/>
      <c r="BP60" s="71"/>
      <c r="BQ60" s="71"/>
      <c r="BR60" s="71"/>
    </row>
    <row r="61" spans="1:83" ht="27" hidden="1" customHeight="1" thickBot="1" x14ac:dyDescent="0.3">
      <c r="A61" s="677"/>
      <c r="B61" s="32"/>
      <c r="C61" s="33"/>
      <c r="D61" s="34"/>
      <c r="E61" s="35"/>
      <c r="F61" s="677"/>
      <c r="G61" s="32"/>
      <c r="H61" s="33"/>
      <c r="I61" s="34"/>
      <c r="J61" s="35"/>
      <c r="K61" s="677"/>
      <c r="L61" s="32"/>
      <c r="M61" s="33"/>
      <c r="N61" s="34"/>
      <c r="O61" s="35"/>
      <c r="P61" s="677"/>
      <c r="Q61" s="32"/>
      <c r="R61" s="33"/>
      <c r="S61" s="34"/>
      <c r="T61" s="35"/>
      <c r="U61" s="677"/>
      <c r="V61" s="32"/>
      <c r="W61" s="33"/>
      <c r="X61" s="34"/>
      <c r="Y61" s="35"/>
      <c r="Z61" s="677"/>
      <c r="AA61" s="32"/>
      <c r="AB61" s="33"/>
      <c r="AC61" s="34"/>
      <c r="AD61" s="35"/>
      <c r="AE61" s="677"/>
      <c r="AF61" s="32"/>
      <c r="AG61" s="33"/>
      <c r="AH61" s="34"/>
      <c r="AI61" s="35"/>
      <c r="AJ61" s="677"/>
      <c r="AK61" s="32"/>
      <c r="AL61" s="33"/>
      <c r="AM61" s="34"/>
      <c r="AN61" s="35"/>
      <c r="AO61" s="677"/>
      <c r="AP61" s="32"/>
      <c r="AQ61" s="33"/>
      <c r="AR61" s="34"/>
      <c r="AS61" s="35"/>
      <c r="AT61" s="677"/>
      <c r="AU61" s="32"/>
      <c r="AV61" s="33"/>
      <c r="AW61" s="34"/>
      <c r="AX61" s="35"/>
      <c r="AY61" s="70"/>
      <c r="AZ61" s="32"/>
      <c r="BA61" s="33"/>
      <c r="BB61" s="34"/>
      <c r="BC61" s="35"/>
      <c r="BD61" s="70"/>
      <c r="BE61" s="32"/>
      <c r="BF61" s="33"/>
      <c r="BG61" s="34"/>
      <c r="BH61" s="35"/>
      <c r="BI61" s="70"/>
      <c r="BJ61" s="32"/>
      <c r="BK61" s="33"/>
      <c r="BL61" s="34"/>
      <c r="BM61" s="35"/>
      <c r="BN61" s="70"/>
      <c r="BO61" s="32"/>
      <c r="BP61" s="33"/>
      <c r="BQ61" s="34"/>
      <c r="BR61" s="35"/>
      <c r="BW61" s="27"/>
      <c r="BX61" s="27"/>
      <c r="BY61" s="27"/>
      <c r="BZ61" s="27"/>
      <c r="CA61" s="27"/>
      <c r="CB61" s="27"/>
      <c r="CC61" s="27"/>
      <c r="CD61" s="27"/>
      <c r="CE61" s="27"/>
    </row>
    <row r="62" spans="1:83" s="42" customFormat="1" ht="6.75" customHeight="1" thickTop="1" x14ac:dyDescent="0.25">
      <c r="A62" s="37"/>
      <c r="B62" s="38"/>
      <c r="C62" s="39"/>
      <c r="D62" s="40"/>
      <c r="E62" s="41"/>
      <c r="F62" s="37"/>
      <c r="G62" s="38"/>
      <c r="H62" s="39"/>
      <c r="I62" s="40"/>
      <c r="J62" s="41"/>
      <c r="K62" s="37"/>
      <c r="L62" s="38"/>
      <c r="M62" s="39"/>
      <c r="N62" s="40"/>
      <c r="O62" s="41"/>
      <c r="P62" s="37"/>
      <c r="Q62" s="38"/>
      <c r="R62" s="39"/>
      <c r="S62" s="40"/>
      <c r="T62" s="41"/>
      <c r="U62" s="37"/>
      <c r="V62" s="38"/>
      <c r="W62" s="38"/>
      <c r="X62" s="39"/>
      <c r="Y62" s="40"/>
      <c r="Z62" s="41"/>
      <c r="AA62" s="37"/>
      <c r="AB62" s="38"/>
      <c r="AC62" s="39"/>
      <c r="AD62" s="40"/>
      <c r="AE62" s="41"/>
      <c r="AF62" s="38"/>
      <c r="AG62" s="39"/>
      <c r="AH62" s="40"/>
      <c r="AI62" s="41"/>
      <c r="AJ62" s="37"/>
      <c r="AK62" s="38"/>
      <c r="AL62" s="39"/>
      <c r="AM62" s="40"/>
      <c r="AN62" s="41"/>
      <c r="AO62" s="38"/>
      <c r="AP62" s="39"/>
      <c r="AQ62" s="40"/>
      <c r="AR62" s="41"/>
      <c r="AS62" s="37"/>
      <c r="AT62" s="38"/>
      <c r="AU62" s="39"/>
      <c r="AV62" s="40"/>
      <c r="AW62" s="41"/>
      <c r="AX62" s="38"/>
      <c r="AY62" s="39"/>
      <c r="AZ62" s="40"/>
      <c r="BA62" s="41"/>
      <c r="BB62" s="45"/>
      <c r="BC62" s="45"/>
      <c r="BD62" s="45"/>
      <c r="BE62" s="45"/>
      <c r="BF62" s="45"/>
      <c r="BG62" s="45"/>
      <c r="BH62" s="45"/>
      <c r="BI62" s="45"/>
      <c r="BJ62" s="45"/>
      <c r="BK62" s="45"/>
      <c r="BL62" s="45"/>
      <c r="BM62" s="45"/>
      <c r="BN62" s="45"/>
      <c r="BO62" s="34"/>
      <c r="BP62" s="34"/>
      <c r="BQ62" s="39"/>
      <c r="BR62" s="40"/>
      <c r="BW62" s="43"/>
      <c r="BX62" s="43"/>
      <c r="BY62" s="43"/>
      <c r="BZ62" s="43"/>
      <c r="CA62" s="43"/>
      <c r="CB62" s="43"/>
      <c r="CC62" s="43"/>
      <c r="CD62" s="43"/>
      <c r="CE62" s="43"/>
    </row>
    <row r="63" spans="1:83" ht="6.75" customHeight="1" x14ac:dyDescent="0.25">
      <c r="A63" s="674"/>
      <c r="B63" s="674"/>
      <c r="C63" s="674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45"/>
      <c r="AN63" s="45"/>
      <c r="AO63" s="45"/>
      <c r="AP63" s="45"/>
      <c r="AQ63" s="45"/>
      <c r="AR63" s="45"/>
      <c r="AS63" s="45"/>
      <c r="AT63" s="45"/>
      <c r="AU63" s="45"/>
      <c r="AV63" s="45"/>
      <c r="AW63" s="45"/>
      <c r="AX63" s="45"/>
      <c r="AY63" s="45"/>
      <c r="AZ63" s="45"/>
      <c r="BA63" s="45"/>
      <c r="BB63" s="45"/>
      <c r="BC63" s="45"/>
      <c r="BD63" s="45"/>
      <c r="BE63" s="45"/>
      <c r="BF63" s="45"/>
      <c r="BG63" s="45"/>
      <c r="BH63" s="45"/>
      <c r="BI63" s="45"/>
      <c r="BJ63" s="45"/>
      <c r="BK63" s="45"/>
      <c r="BL63" s="45"/>
      <c r="BM63" s="45"/>
      <c r="BN63" s="45"/>
      <c r="BO63" s="45"/>
      <c r="BP63" s="45"/>
      <c r="BQ63" s="45"/>
      <c r="BR63" s="45"/>
    </row>
    <row r="64" spans="1:83" ht="48.75" customHeight="1" x14ac:dyDescent="0.25">
      <c r="A64" s="676"/>
      <c r="B64" s="676"/>
      <c r="C64" s="676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45"/>
      <c r="BD64" s="45"/>
      <c r="BE64" s="45"/>
      <c r="BF64" s="45"/>
      <c r="BG64" s="45"/>
      <c r="BH64" s="45"/>
      <c r="BI64" s="45"/>
      <c r="BJ64" s="45"/>
      <c r="BK64" s="45"/>
      <c r="BL64" s="45"/>
      <c r="BM64" s="45"/>
      <c r="BN64" s="45"/>
      <c r="BO64" s="34"/>
      <c r="BP64" s="45"/>
      <c r="BQ64" s="45"/>
      <c r="BR64" s="45"/>
    </row>
    <row r="65" spans="1:90" ht="37.5" customHeight="1" x14ac:dyDescent="0.25">
      <c r="A65" s="676"/>
      <c r="B65" s="676"/>
      <c r="C65" s="676"/>
      <c r="D65" s="49"/>
      <c r="E65" s="49"/>
      <c r="F65" s="49"/>
      <c r="G65" s="49"/>
      <c r="H65" s="49"/>
      <c r="I65" s="49"/>
      <c r="J65" s="3275"/>
      <c r="K65" s="3275"/>
      <c r="L65" s="3275"/>
      <c r="M65" s="3275"/>
      <c r="N65" s="3275"/>
      <c r="O65" s="3275"/>
      <c r="P65" s="3275"/>
      <c r="Q65" s="3275"/>
      <c r="R65" s="3275"/>
      <c r="S65" s="327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5"/>
      <c r="AW65" s="45"/>
      <c r="AX65" s="45"/>
      <c r="AY65" s="45"/>
      <c r="AZ65" s="45"/>
      <c r="BA65" s="45"/>
      <c r="BB65" s="45"/>
      <c r="BC65" s="45"/>
      <c r="BD65" s="45"/>
      <c r="BE65" s="45"/>
      <c r="BF65" s="45"/>
      <c r="BG65" s="45"/>
      <c r="BH65" s="45"/>
      <c r="BI65" s="45"/>
      <c r="BJ65" s="45"/>
      <c r="BK65" s="45"/>
      <c r="BL65" s="45"/>
      <c r="BM65" s="45"/>
      <c r="BN65" s="45"/>
      <c r="BO65" s="45"/>
      <c r="BP65" s="45"/>
      <c r="BQ65" s="45"/>
      <c r="BR65" s="45"/>
    </row>
    <row r="66" spans="1:90" ht="6" customHeight="1" x14ac:dyDescent="0.25">
      <c r="A66" s="676"/>
      <c r="B66" s="676"/>
      <c r="C66" s="676"/>
      <c r="D66" s="45"/>
      <c r="E66" s="45"/>
      <c r="F66" s="45"/>
      <c r="G66" s="45"/>
      <c r="H66" s="45"/>
      <c r="I66" s="45"/>
      <c r="J66" s="3275"/>
      <c r="K66" s="3275"/>
      <c r="L66" s="3275"/>
      <c r="M66" s="3275"/>
      <c r="N66" s="3275"/>
      <c r="O66" s="3275"/>
      <c r="P66" s="3275"/>
      <c r="Q66" s="3275"/>
      <c r="R66" s="3275"/>
      <c r="S66" s="327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5"/>
      <c r="BF66" s="45"/>
      <c r="BG66" s="45"/>
      <c r="BH66" s="45"/>
      <c r="BI66" s="45"/>
      <c r="BJ66" s="45"/>
      <c r="BK66" s="45"/>
      <c r="BL66" s="45"/>
      <c r="BM66" s="45"/>
      <c r="BN66" s="45"/>
      <c r="BO66" s="45"/>
      <c r="BP66" s="45"/>
      <c r="BQ66" s="45"/>
      <c r="BR66" s="45"/>
    </row>
    <row r="67" spans="1:90" ht="30" customHeight="1" x14ac:dyDescent="0.25">
      <c r="B67" s="17"/>
      <c r="D67" s="45"/>
      <c r="E67" s="45"/>
      <c r="F67" s="45"/>
      <c r="G67" s="45"/>
      <c r="H67" s="45"/>
      <c r="I67" s="45"/>
      <c r="J67" s="3275"/>
      <c r="K67" s="3275"/>
      <c r="L67" s="3275"/>
      <c r="M67" s="3275"/>
      <c r="N67" s="3275"/>
      <c r="O67" s="3275"/>
      <c r="P67" s="3275"/>
      <c r="Q67" s="3275"/>
      <c r="R67" s="3275"/>
      <c r="S67" s="3275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49"/>
      <c r="BC67" s="49"/>
      <c r="BD67" s="49"/>
      <c r="BE67" s="49"/>
      <c r="BF67" s="49"/>
      <c r="BG67" s="49"/>
      <c r="BH67" s="49"/>
      <c r="BI67" s="49"/>
      <c r="BJ67" s="49"/>
      <c r="BK67" s="49"/>
      <c r="BL67" s="49"/>
      <c r="BM67" s="49"/>
      <c r="BN67" s="49"/>
      <c r="BO67" s="49"/>
      <c r="BP67" s="49"/>
      <c r="BQ67" s="49"/>
      <c r="BR67" s="49"/>
      <c r="BS67" s="50"/>
      <c r="BT67" s="50"/>
      <c r="BW67" s="51"/>
      <c r="BX67" s="51"/>
      <c r="BY67" s="51"/>
      <c r="BZ67" s="51"/>
      <c r="CA67" s="51"/>
      <c r="CB67" s="51"/>
      <c r="CC67" s="27"/>
      <c r="CD67" s="27"/>
      <c r="CE67" s="27"/>
      <c r="CG67" s="27"/>
      <c r="CH67" s="27"/>
      <c r="CI67" s="27"/>
      <c r="CJ67" s="27"/>
      <c r="CK67" s="27"/>
      <c r="CL67" s="27"/>
    </row>
    <row r="68" spans="1:90" ht="34.5" customHeight="1" x14ac:dyDescent="0.25">
      <c r="D68" s="45"/>
      <c r="E68" s="45"/>
      <c r="F68" s="45"/>
      <c r="G68" s="45"/>
      <c r="H68" s="45"/>
      <c r="I68" s="45"/>
      <c r="J68" s="3275"/>
      <c r="K68" s="3275"/>
      <c r="L68" s="3275"/>
      <c r="M68" s="3275"/>
      <c r="N68" s="3275"/>
      <c r="O68" s="3275"/>
      <c r="P68" s="3275"/>
      <c r="Q68" s="3275"/>
      <c r="R68" s="3275"/>
      <c r="S68" s="327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45"/>
      <c r="AS68" s="45"/>
      <c r="AT68" s="45"/>
      <c r="AU68" s="45"/>
      <c r="AV68" s="45"/>
      <c r="AW68" s="45"/>
      <c r="AX68" s="45"/>
      <c r="AY68" s="45"/>
      <c r="AZ68" s="45"/>
      <c r="BA68" s="45"/>
      <c r="BB68" s="45"/>
      <c r="BC68" s="45"/>
      <c r="BD68" s="45"/>
      <c r="BE68" s="45"/>
      <c r="BF68" s="45"/>
      <c r="BG68" s="45"/>
      <c r="BH68" s="45"/>
      <c r="BI68" s="45"/>
      <c r="BJ68" s="45"/>
      <c r="BK68" s="45"/>
      <c r="BL68" s="45"/>
      <c r="BM68" s="45"/>
      <c r="BN68" s="45"/>
      <c r="BO68" s="45"/>
      <c r="BP68" s="45"/>
      <c r="BQ68" s="45"/>
      <c r="BR68" s="45"/>
      <c r="BS68" s="50"/>
      <c r="BT68" s="50"/>
      <c r="BW68" s="27"/>
      <c r="BX68" s="27"/>
      <c r="BY68" s="27"/>
      <c r="BZ68" s="27"/>
      <c r="CA68" s="27"/>
      <c r="CB68" s="27"/>
      <c r="CC68" s="27"/>
      <c r="CD68" s="27"/>
      <c r="CE68" s="27"/>
      <c r="CG68" s="27"/>
      <c r="CH68" s="27"/>
      <c r="CI68" s="27"/>
      <c r="CJ68" s="27"/>
      <c r="CK68" s="27"/>
      <c r="CL68" s="27"/>
    </row>
    <row r="69" spans="1:90" ht="15" customHeight="1" x14ac:dyDescent="0.25">
      <c r="G69" s="45"/>
      <c r="H69" s="45"/>
      <c r="I69" s="45"/>
      <c r="J69" s="52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5"/>
      <c r="AW69" s="45"/>
      <c r="AX69" s="45"/>
      <c r="AY69" s="45"/>
      <c r="AZ69" s="45"/>
      <c r="BA69" s="45"/>
      <c r="BB69" s="45"/>
      <c r="BC69" s="45"/>
      <c r="BD69" s="45"/>
      <c r="BE69" s="45"/>
      <c r="BF69" s="45"/>
      <c r="BG69" s="45"/>
      <c r="BH69" s="45"/>
      <c r="BI69" s="45"/>
      <c r="BJ69" s="45"/>
      <c r="BK69" s="45"/>
      <c r="BL69" s="45"/>
      <c r="BM69" s="45"/>
      <c r="BN69" s="45"/>
      <c r="BO69" s="45"/>
      <c r="BP69" s="45"/>
      <c r="BQ69" s="45"/>
      <c r="BR69" s="45"/>
      <c r="BS69" s="50"/>
      <c r="BT69" s="50"/>
      <c r="BW69" s="27"/>
      <c r="BX69" s="27"/>
      <c r="BY69" s="27"/>
      <c r="BZ69" s="27"/>
      <c r="CA69" s="27"/>
      <c r="CB69" s="27"/>
      <c r="CC69" s="27"/>
      <c r="CD69" s="27"/>
      <c r="CE69" s="27"/>
      <c r="CG69" s="27"/>
      <c r="CH69" s="27"/>
      <c r="CI69" s="27"/>
      <c r="CJ69" s="27"/>
      <c r="CK69" s="27"/>
      <c r="CL69" s="27"/>
    </row>
    <row r="70" spans="1:90" ht="15" customHeight="1" x14ac:dyDescent="0.25">
      <c r="G70" s="45"/>
      <c r="H70" s="45"/>
      <c r="I70" s="45"/>
      <c r="J70" s="52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38"/>
      <c r="X70" s="39"/>
      <c r="Y70" s="40"/>
      <c r="Z70" s="41"/>
      <c r="AA70" s="37"/>
      <c r="AB70" s="38"/>
      <c r="AC70" s="39"/>
      <c r="AD70" s="40"/>
      <c r="AE70" s="41"/>
      <c r="AF70" s="38"/>
      <c r="AG70" s="39"/>
      <c r="AH70" s="40"/>
      <c r="AI70" s="41"/>
      <c r="AJ70" s="37"/>
      <c r="AK70" s="38"/>
      <c r="AL70" s="39"/>
      <c r="AM70" s="40"/>
      <c r="AN70" s="41"/>
      <c r="AO70" s="38"/>
      <c r="AP70" s="39"/>
      <c r="AQ70" s="40"/>
      <c r="AR70" s="41"/>
      <c r="AS70" s="37"/>
      <c r="AT70" s="38"/>
      <c r="AU70" s="39"/>
      <c r="AV70" s="40"/>
      <c r="AW70" s="41"/>
      <c r="AX70" s="38"/>
      <c r="AY70" s="39"/>
      <c r="AZ70" s="40"/>
      <c r="BA70" s="41"/>
      <c r="BB70" s="37"/>
      <c r="BC70" s="38"/>
      <c r="BD70" s="39"/>
      <c r="BE70" s="40"/>
      <c r="BF70" s="41"/>
      <c r="BG70" s="38"/>
      <c r="BH70" s="39"/>
      <c r="BI70" s="40"/>
      <c r="BJ70" s="41"/>
      <c r="BK70" s="37"/>
      <c r="BL70" s="38"/>
      <c r="BM70" s="39"/>
      <c r="BN70" s="40"/>
      <c r="BO70" s="41"/>
      <c r="BP70" s="38"/>
      <c r="BQ70" s="39"/>
      <c r="BR70" s="40"/>
      <c r="BS70" s="50"/>
      <c r="BT70" s="50"/>
      <c r="BW70" s="27"/>
      <c r="BX70" s="27"/>
      <c r="BY70" s="27"/>
      <c r="BZ70" s="27"/>
      <c r="CA70" s="27"/>
      <c r="CB70" s="27"/>
      <c r="CC70" s="27"/>
      <c r="CD70" s="27"/>
      <c r="CE70" s="27"/>
      <c r="CG70" s="27"/>
      <c r="CH70" s="27"/>
      <c r="CI70" s="27"/>
      <c r="CJ70" s="27"/>
      <c r="CK70" s="27"/>
      <c r="CL70" s="27"/>
    </row>
    <row r="71" spans="1:90" ht="15" customHeight="1" x14ac:dyDescent="0.25">
      <c r="G71" s="49"/>
      <c r="H71" s="49"/>
      <c r="I71" s="49"/>
      <c r="J71" s="52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  <c r="AM71" s="45"/>
      <c r="AN71" s="45"/>
      <c r="AO71" s="45"/>
      <c r="AP71" s="45"/>
      <c r="AQ71" s="45"/>
      <c r="AR71" s="45"/>
      <c r="AS71" s="45"/>
      <c r="AT71" s="45"/>
      <c r="AU71" s="45"/>
      <c r="AV71" s="45"/>
      <c r="AW71" s="45"/>
      <c r="AX71" s="45"/>
      <c r="AY71" s="45"/>
      <c r="AZ71" s="45"/>
      <c r="BA71" s="45"/>
      <c r="BB71" s="45"/>
      <c r="BC71" s="45"/>
      <c r="BD71" s="45"/>
      <c r="BE71" s="45"/>
      <c r="BF71" s="45"/>
      <c r="BG71" s="45"/>
      <c r="BH71" s="45"/>
      <c r="BI71" s="45"/>
      <c r="BJ71" s="45"/>
      <c r="BK71" s="45"/>
      <c r="BL71" s="45"/>
      <c r="BM71" s="45"/>
      <c r="BN71" s="45"/>
      <c r="BO71" s="45"/>
      <c r="BP71" s="45"/>
      <c r="BQ71" s="45"/>
      <c r="BR71" s="45"/>
      <c r="BS71" s="53"/>
      <c r="BT71" s="53"/>
    </row>
    <row r="72" spans="1:90" ht="22.5" customHeight="1" x14ac:dyDescent="0.25">
      <c r="G72" s="45"/>
      <c r="H72" s="45"/>
      <c r="I72" s="45"/>
      <c r="J72" s="52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  <c r="BC72" s="45"/>
      <c r="BD72" s="45"/>
      <c r="BE72" s="45"/>
      <c r="BF72" s="45"/>
      <c r="BG72" s="45"/>
      <c r="BH72" s="45"/>
      <c r="BI72" s="45"/>
      <c r="BJ72" s="45"/>
      <c r="BK72" s="45"/>
      <c r="BL72" s="45"/>
      <c r="BM72" s="45"/>
      <c r="BN72" s="45"/>
      <c r="BO72" s="45"/>
      <c r="BP72" s="45"/>
      <c r="BQ72" s="45"/>
      <c r="BR72" s="45"/>
      <c r="BS72" s="53"/>
      <c r="BT72" s="53"/>
    </row>
    <row r="73" spans="1:90" ht="23.25" x14ac:dyDescent="0.35">
      <c r="A73" s="54"/>
      <c r="E73" s="54"/>
      <c r="F73" s="54"/>
      <c r="G73" s="1418"/>
      <c r="H73" s="1418"/>
      <c r="I73" s="1418"/>
      <c r="J73" s="1418"/>
      <c r="K73" s="1418"/>
      <c r="L73" s="1418"/>
      <c r="M73" s="1418"/>
      <c r="N73" s="1418"/>
      <c r="O73" s="1418"/>
      <c r="P73" s="1418"/>
      <c r="Q73" s="1418"/>
    </row>
    <row r="74" spans="1:90" ht="24" thickBot="1" x14ac:dyDescent="0.4">
      <c r="A74" s="54"/>
      <c r="B74" s="54"/>
      <c r="C74" s="54"/>
      <c r="D74" s="54"/>
      <c r="E74" s="54"/>
      <c r="F74" s="54"/>
      <c r="G74" s="1418"/>
      <c r="H74" s="1418"/>
      <c r="I74" s="1418"/>
      <c r="J74" s="1418"/>
      <c r="K74" s="1418"/>
      <c r="L74" s="1418"/>
      <c r="M74" s="1418"/>
      <c r="N74" s="1418"/>
      <c r="O74" s="1418"/>
      <c r="P74" s="1418"/>
      <c r="Q74" s="1418"/>
      <c r="X74" s="55"/>
    </row>
    <row r="75" spans="1:90" ht="15.75" thickTop="1" x14ac:dyDescent="0.25">
      <c r="AD75" s="775">
        <v>18.59</v>
      </c>
      <c r="AE75" s="776"/>
      <c r="AF75" s="776"/>
      <c r="AG75" s="776"/>
      <c r="AH75" s="777"/>
      <c r="AL75" s="727" t="s">
        <v>122</v>
      </c>
      <c r="AM75" s="727"/>
      <c r="AN75" s="727"/>
      <c r="AO75" s="727" t="s">
        <v>123</v>
      </c>
      <c r="AP75" s="727"/>
      <c r="AQ75" s="727"/>
      <c r="AR75" s="727" t="s">
        <v>124</v>
      </c>
      <c r="AS75" s="727"/>
      <c r="AT75" s="727" t="s">
        <v>125</v>
      </c>
      <c r="AU75" s="727"/>
      <c r="AY75" s="739" t="s">
        <v>126</v>
      </c>
      <c r="AZ75" s="740"/>
      <c r="BA75" s="740"/>
      <c r="BB75" s="740"/>
      <c r="BC75" s="740"/>
      <c r="BD75" s="740"/>
      <c r="BE75" s="740"/>
      <c r="BF75" s="740"/>
      <c r="BG75" s="740"/>
      <c r="BH75" s="741"/>
      <c r="BI75" s="13"/>
      <c r="BJ75" s="13"/>
      <c r="BK75" s="13"/>
      <c r="BL75" s="13"/>
      <c r="BM75" s="13"/>
      <c r="BN75" s="13"/>
      <c r="BO75" s="13"/>
      <c r="BP75" s="13"/>
      <c r="BQ75" s="13"/>
      <c r="BR75" s="13"/>
    </row>
    <row r="76" spans="1:90" ht="15" customHeight="1" x14ac:dyDescent="0.25">
      <c r="F76" s="3261"/>
      <c r="G76" s="3261"/>
      <c r="H76" s="3261"/>
      <c r="I76" s="3261"/>
      <c r="J76" s="3261"/>
      <c r="K76" s="3261"/>
      <c r="L76" s="3261"/>
      <c r="M76" s="3261"/>
      <c r="N76" s="3261"/>
      <c r="O76" s="3261"/>
      <c r="P76" s="3261"/>
      <c r="Q76" s="3261"/>
      <c r="R76" s="114"/>
      <c r="S76" s="114"/>
      <c r="T76" s="114"/>
      <c r="U76" s="114"/>
      <c r="V76" s="114"/>
      <c r="AD76" s="778"/>
      <c r="AE76" s="779"/>
      <c r="AF76" s="779"/>
      <c r="AG76" s="779"/>
      <c r="AH76" s="780"/>
      <c r="AL76" s="727"/>
      <c r="AM76" s="727"/>
      <c r="AN76" s="727"/>
      <c r="AO76" s="727"/>
      <c r="AP76" s="727"/>
      <c r="AQ76" s="727"/>
      <c r="AR76" s="727"/>
      <c r="AS76" s="727"/>
      <c r="AT76" s="727"/>
      <c r="AU76" s="727"/>
      <c r="AY76" s="750"/>
      <c r="AZ76" s="751"/>
      <c r="BA76" s="751"/>
      <c r="BB76" s="751"/>
      <c r="BC76" s="751"/>
      <c r="BD76" s="751"/>
      <c r="BE76" s="751"/>
      <c r="BF76" s="751"/>
      <c r="BG76" s="751"/>
      <c r="BH76" s="752"/>
      <c r="BI76" s="13"/>
      <c r="BJ76" s="13"/>
      <c r="BK76" s="13"/>
      <c r="BL76" s="13"/>
      <c r="BM76" s="13"/>
      <c r="BN76" s="13"/>
      <c r="BO76" s="13"/>
      <c r="BP76" s="13"/>
      <c r="BQ76" s="13"/>
      <c r="BR76" s="13"/>
    </row>
    <row r="77" spans="1:90" ht="15" customHeight="1" x14ac:dyDescent="0.25">
      <c r="F77" s="3261"/>
      <c r="G77" s="3261"/>
      <c r="H77" s="3261"/>
      <c r="I77" s="3261"/>
      <c r="J77" s="3261"/>
      <c r="K77" s="3261"/>
      <c r="L77" s="3261"/>
      <c r="M77" s="3261"/>
      <c r="N77" s="3261"/>
      <c r="O77" s="3261"/>
      <c r="P77" s="3261"/>
      <c r="Q77" s="3261"/>
      <c r="R77" s="114"/>
      <c r="S77" s="114"/>
      <c r="T77" s="114"/>
      <c r="U77" s="114"/>
      <c r="V77" s="114"/>
      <c r="AA77" s="56"/>
      <c r="AD77" s="778"/>
      <c r="AE77" s="779"/>
      <c r="AF77" s="779"/>
      <c r="AG77" s="779"/>
      <c r="AH77" s="780"/>
      <c r="AL77" s="727"/>
      <c r="AM77" s="727"/>
      <c r="AN77" s="727"/>
      <c r="AO77" s="727"/>
      <c r="AP77" s="727"/>
      <c r="AQ77" s="727"/>
      <c r="AR77" s="727"/>
      <c r="AS77" s="727"/>
      <c r="AT77" s="727"/>
      <c r="AU77" s="727"/>
      <c r="AY77" s="742"/>
      <c r="AZ77" s="743"/>
      <c r="BA77" s="743"/>
      <c r="BB77" s="743"/>
      <c r="BC77" s="743"/>
      <c r="BD77" s="743"/>
      <c r="BE77" s="743"/>
      <c r="BF77" s="743"/>
      <c r="BG77" s="743"/>
      <c r="BH77" s="744"/>
      <c r="BI77" s="13"/>
      <c r="BJ77" s="13"/>
      <c r="BK77" s="13"/>
      <c r="BL77" s="13"/>
      <c r="BM77" s="13"/>
      <c r="BN77" s="13"/>
      <c r="BO77" s="13"/>
      <c r="BP77" s="13"/>
      <c r="BQ77" s="13"/>
      <c r="BR77" s="13"/>
    </row>
    <row r="78" spans="1:90" ht="15" customHeight="1" x14ac:dyDescent="0.25">
      <c r="F78" s="3261"/>
      <c r="G78" s="3261"/>
      <c r="H78" s="3261"/>
      <c r="I78" s="3261"/>
      <c r="J78" s="3261"/>
      <c r="K78" s="3261"/>
      <c r="L78" s="3261"/>
      <c r="M78" s="3261"/>
      <c r="N78" s="3261"/>
      <c r="O78" s="3261"/>
      <c r="P78" s="3261"/>
      <c r="Q78" s="3261"/>
      <c r="R78" s="114"/>
      <c r="S78" s="114"/>
      <c r="T78" s="114"/>
      <c r="U78" s="114"/>
      <c r="V78" s="114"/>
      <c r="AD78" s="778"/>
      <c r="AE78" s="779"/>
      <c r="AF78" s="779"/>
      <c r="AG78" s="779"/>
      <c r="AH78" s="780"/>
      <c r="AL78" s="774">
        <v>2352</v>
      </c>
      <c r="AM78" s="774"/>
      <c r="AN78" s="774"/>
      <c r="AO78" s="774">
        <f ca="1">AT94</f>
        <v>2352</v>
      </c>
      <c r="AP78" s="774"/>
      <c r="AQ78" s="774"/>
      <c r="AR78" s="726">
        <f>AS39</f>
        <v>18.5928002421423</v>
      </c>
      <c r="AS78" s="726"/>
      <c r="AT78" s="726">
        <f>AS39+BJ41</f>
        <v>45.592800242142303</v>
      </c>
      <c r="AU78" s="726"/>
      <c r="AY78" s="727" t="s">
        <v>128</v>
      </c>
      <c r="AZ78" s="727"/>
      <c r="BA78" s="727"/>
      <c r="BB78" s="727"/>
      <c r="BC78" s="727"/>
      <c r="BD78" s="727"/>
      <c r="BE78" s="727"/>
      <c r="BF78" s="727"/>
      <c r="BG78" s="727"/>
      <c r="BH78" s="727"/>
      <c r="BI78" s="13"/>
      <c r="BJ78" s="13"/>
      <c r="BK78" s="13"/>
      <c r="BL78" s="13"/>
      <c r="BM78" s="13"/>
      <c r="BN78" s="13"/>
      <c r="BO78" s="13"/>
      <c r="BP78" s="13"/>
      <c r="BQ78" s="13"/>
      <c r="BR78" s="13"/>
    </row>
    <row r="79" spans="1:90" ht="15" customHeight="1" x14ac:dyDescent="0.25">
      <c r="F79" s="3261"/>
      <c r="G79" s="3261"/>
      <c r="H79" s="3261"/>
      <c r="I79" s="3261"/>
      <c r="J79" s="3261"/>
      <c r="K79" s="3261"/>
      <c r="L79" s="3261"/>
      <c r="M79" s="3261"/>
      <c r="N79" s="3261"/>
      <c r="O79" s="3261"/>
      <c r="P79" s="3261"/>
      <c r="Q79" s="3261"/>
      <c r="R79" s="114"/>
      <c r="S79" s="114"/>
      <c r="T79" s="114"/>
      <c r="U79" s="114"/>
      <c r="V79" s="114"/>
      <c r="AD79" s="778"/>
      <c r="AE79" s="779"/>
      <c r="AF79" s="779"/>
      <c r="AG79" s="779"/>
      <c r="AH79" s="780"/>
      <c r="AL79" s="774"/>
      <c r="AM79" s="774"/>
      <c r="AN79" s="774"/>
      <c r="AO79" s="774"/>
      <c r="AP79" s="774"/>
      <c r="AQ79" s="774"/>
      <c r="AR79" s="726"/>
      <c r="AS79" s="726"/>
      <c r="AT79" s="726"/>
      <c r="AU79" s="726"/>
      <c r="AY79" s="727"/>
      <c r="AZ79" s="727"/>
      <c r="BA79" s="727"/>
      <c r="BB79" s="727"/>
      <c r="BC79" s="727"/>
      <c r="BD79" s="727"/>
      <c r="BE79" s="727"/>
      <c r="BF79" s="727"/>
      <c r="BG79" s="727"/>
      <c r="BH79" s="727"/>
      <c r="BI79" s="13"/>
      <c r="BJ79" s="13"/>
      <c r="BK79" s="13"/>
      <c r="BL79" s="13"/>
      <c r="BM79" s="13"/>
      <c r="BN79" s="13"/>
      <c r="BO79" s="13"/>
      <c r="BP79" s="13"/>
      <c r="BQ79" s="13"/>
      <c r="BR79" s="13"/>
    </row>
    <row r="80" spans="1:90" ht="15" customHeight="1" x14ac:dyDescent="0.25">
      <c r="F80" s="3261"/>
      <c r="G80" s="3261"/>
      <c r="H80" s="3261"/>
      <c r="I80" s="3261"/>
      <c r="J80" s="3261"/>
      <c r="K80" s="3261"/>
      <c r="L80" s="3261"/>
      <c r="M80" s="3261"/>
      <c r="N80" s="3261"/>
      <c r="O80" s="3261"/>
      <c r="P80" s="3261"/>
      <c r="Q80" s="3261"/>
      <c r="R80" s="114"/>
      <c r="S80" s="114"/>
      <c r="T80" s="114"/>
      <c r="U80" s="114"/>
      <c r="V80" s="114"/>
      <c r="AD80" s="778"/>
      <c r="AE80" s="779"/>
      <c r="AF80" s="779"/>
      <c r="AG80" s="779"/>
      <c r="AH80" s="780"/>
      <c r="AL80" s="774"/>
      <c r="AM80" s="774"/>
      <c r="AN80" s="774"/>
      <c r="AO80" s="774"/>
      <c r="AP80" s="774"/>
      <c r="AQ80" s="774"/>
      <c r="AR80" s="726"/>
      <c r="AS80" s="726"/>
      <c r="AT80" s="726"/>
      <c r="AU80" s="726"/>
      <c r="AY80" s="728">
        <f ca="1">AR78/((60*3.1415/59)*(AO78/3.281))</f>
        <v>8.1185302556552735E-3</v>
      </c>
      <c r="AZ80" s="729"/>
      <c r="BA80" s="729"/>
      <c r="BB80" s="729"/>
      <c r="BC80" s="729"/>
      <c r="BD80" s="729"/>
      <c r="BE80" s="729"/>
      <c r="BF80" s="729"/>
      <c r="BG80" s="729"/>
      <c r="BH80" s="730"/>
      <c r="BI80" s="57"/>
      <c r="BJ80" s="57"/>
      <c r="BK80" s="57"/>
      <c r="BL80" s="57"/>
      <c r="BM80" s="57"/>
      <c r="BN80" s="57"/>
      <c r="BO80" s="57"/>
      <c r="BP80" s="57"/>
      <c r="BQ80" s="57"/>
      <c r="BR80" s="57"/>
    </row>
    <row r="81" spans="6:70" ht="15.75" customHeight="1" thickBot="1" x14ac:dyDescent="0.3">
      <c r="F81" s="3261"/>
      <c r="G81" s="3261"/>
      <c r="H81" s="3261"/>
      <c r="I81" s="3261"/>
      <c r="J81" s="3261"/>
      <c r="K81" s="3261"/>
      <c r="L81" s="3261"/>
      <c r="M81" s="3261"/>
      <c r="N81" s="3261"/>
      <c r="O81" s="3261"/>
      <c r="P81" s="3261"/>
      <c r="Q81" s="3261"/>
      <c r="AD81" s="781"/>
      <c r="AE81" s="782"/>
      <c r="AF81" s="782"/>
      <c r="AG81" s="782"/>
      <c r="AH81" s="783"/>
      <c r="AL81" s="774"/>
      <c r="AM81" s="774"/>
      <c r="AN81" s="774"/>
      <c r="AO81" s="774"/>
      <c r="AP81" s="774"/>
      <c r="AQ81" s="774"/>
      <c r="AR81" s="726"/>
      <c r="AS81" s="726"/>
      <c r="AT81" s="726"/>
      <c r="AU81" s="726"/>
      <c r="AY81" s="731"/>
      <c r="AZ81" s="732"/>
      <c r="BA81" s="732"/>
      <c r="BB81" s="732"/>
      <c r="BC81" s="732"/>
      <c r="BD81" s="732"/>
      <c r="BE81" s="732"/>
      <c r="BF81" s="732"/>
      <c r="BG81" s="732"/>
      <c r="BH81" s="733"/>
      <c r="BI81" s="57"/>
      <c r="BJ81" s="57"/>
      <c r="BK81" s="57"/>
      <c r="BL81" s="57"/>
      <c r="BM81" s="57"/>
      <c r="BN81" s="57"/>
      <c r="BO81" s="57"/>
      <c r="BP81" s="57"/>
      <c r="BQ81" s="57"/>
      <c r="BR81" s="57"/>
    </row>
    <row r="82" spans="6:70" ht="15.75" customHeight="1" thickTop="1" x14ac:dyDescent="0.25">
      <c r="F82" s="3261"/>
      <c r="G82" s="3261"/>
      <c r="H82" s="3261"/>
      <c r="I82" s="3261"/>
      <c r="J82" s="3261"/>
      <c r="K82" s="3261"/>
      <c r="L82" s="3261"/>
      <c r="M82" s="3261"/>
      <c r="N82" s="3261"/>
      <c r="O82" s="3261"/>
      <c r="P82" s="3261"/>
      <c r="Q82" s="3261"/>
      <c r="AY82" s="734"/>
      <c r="AZ82" s="735"/>
      <c r="BA82" s="735"/>
      <c r="BB82" s="735"/>
      <c r="BC82" s="735"/>
      <c r="BD82" s="735"/>
      <c r="BE82" s="735"/>
      <c r="BF82" s="735"/>
      <c r="BG82" s="735"/>
      <c r="BH82" s="736"/>
      <c r="BI82" s="57"/>
      <c r="BJ82" s="57"/>
      <c r="BK82" s="57"/>
      <c r="BL82" s="57"/>
      <c r="BM82" s="57"/>
      <c r="BN82" s="57"/>
      <c r="BO82" s="57"/>
      <c r="BP82" s="57"/>
      <c r="BQ82" s="57"/>
      <c r="BR82" s="57"/>
    </row>
    <row r="83" spans="6:70" x14ac:dyDescent="0.25">
      <c r="F83" s="3261"/>
      <c r="G83" s="3261"/>
      <c r="H83" s="3261"/>
      <c r="I83" s="3261"/>
      <c r="J83" s="3261"/>
      <c r="K83" s="3261"/>
      <c r="L83" s="3261"/>
      <c r="M83" s="3261"/>
      <c r="N83" s="3261"/>
      <c r="O83" s="3261"/>
      <c r="P83" s="3261"/>
      <c r="Q83" s="3261"/>
      <c r="AY83" s="739" t="s">
        <v>129</v>
      </c>
      <c r="AZ83" s="740"/>
      <c r="BA83" s="740"/>
      <c r="BB83" s="740"/>
      <c r="BC83" s="740"/>
      <c r="BD83" s="740"/>
      <c r="BE83" s="740"/>
      <c r="BF83" s="740"/>
      <c r="BG83" s="740"/>
      <c r="BH83" s="741"/>
      <c r="BI83" s="13"/>
      <c r="BJ83" s="13"/>
      <c r="BK83" s="13"/>
      <c r="BL83" s="13"/>
      <c r="BM83" s="13"/>
      <c r="BN83" s="13"/>
      <c r="BO83" s="13"/>
      <c r="BP83" s="13"/>
      <c r="BQ83" s="13"/>
      <c r="BR83" s="13"/>
    </row>
    <row r="84" spans="6:70" x14ac:dyDescent="0.25">
      <c r="F84" s="3261"/>
      <c r="G84" s="3261"/>
      <c r="H84" s="3261"/>
      <c r="I84" s="3261"/>
      <c r="J84" s="3261"/>
      <c r="K84" s="3261"/>
      <c r="L84" s="3261"/>
      <c r="M84" s="3261"/>
      <c r="N84" s="3261"/>
      <c r="O84" s="3261"/>
      <c r="P84" s="3261"/>
      <c r="Q84" s="3261"/>
      <c r="AY84" s="742"/>
      <c r="AZ84" s="743"/>
      <c r="BA84" s="743"/>
      <c r="BB84" s="743"/>
      <c r="BC84" s="743"/>
      <c r="BD84" s="743"/>
      <c r="BE84" s="743"/>
      <c r="BF84" s="743"/>
      <c r="BG84" s="743"/>
      <c r="BH84" s="744"/>
      <c r="BI84" s="13"/>
      <c r="BJ84" s="13"/>
      <c r="BK84" s="13"/>
      <c r="BL84" s="13"/>
      <c r="BM84" s="13"/>
      <c r="BN84" s="13"/>
      <c r="BO84" s="13"/>
      <c r="BP84" s="13"/>
      <c r="BQ84" s="13"/>
      <c r="BR84" s="13"/>
    </row>
    <row r="85" spans="6:70" x14ac:dyDescent="0.25">
      <c r="F85" s="3261"/>
      <c r="G85" s="3261"/>
      <c r="H85" s="3261"/>
      <c r="I85" s="3261"/>
      <c r="J85" s="3261"/>
      <c r="K85" s="3261"/>
      <c r="L85" s="3261"/>
      <c r="M85" s="3261"/>
      <c r="N85" s="3261"/>
      <c r="O85" s="3261"/>
      <c r="P85" s="3261"/>
      <c r="Q85" s="3261"/>
      <c r="AN85" s="1255">
        <v>56</v>
      </c>
      <c r="AO85" s="1255"/>
      <c r="AP85" s="1255"/>
      <c r="AQ85" s="746" cm="1">
        <f t="array" aca="1" ref="AQ85" ca="1">SUM(COUNTIF(INDIRECT({"B7","G7","L7","Q7","V7","AA7","AF7","AK7","AP7","AU7","AZ7","BE7","BJ7","BO7","B13","G13","L13","Q13","V13","AA13","AF13","AK13","AP13","AU13","AZ13","BE13","BJ13","BO13","B19","G19","L19","Q19","V19","AA19","AF19","AK19","AP19","AU19","AZ19","BE19","BJ19","BO19"}),"&gt;0"))</f>
        <v>42</v>
      </c>
      <c r="AR85" s="746"/>
      <c r="AS85" s="746"/>
      <c r="AT85" s="747">
        <f ca="1">AQ85*AN85</f>
        <v>2352</v>
      </c>
      <c r="AU85" s="748"/>
      <c r="AV85" s="748"/>
      <c r="AW85" s="749"/>
      <c r="AY85" s="739" t="s">
        <v>130</v>
      </c>
      <c r="AZ85" s="740"/>
      <c r="BA85" s="740"/>
      <c r="BB85" s="740"/>
      <c r="BC85" s="740"/>
      <c r="BD85" s="740"/>
      <c r="BE85" s="740"/>
      <c r="BF85" s="740"/>
      <c r="BG85" s="740"/>
      <c r="BH85" s="741"/>
      <c r="BI85" s="13"/>
      <c r="BJ85" s="13"/>
      <c r="BK85" s="13"/>
      <c r="BL85" s="13"/>
      <c r="BM85" s="13"/>
      <c r="BN85" s="13"/>
      <c r="BO85" s="13"/>
      <c r="BP85" s="13"/>
      <c r="BQ85" s="13"/>
      <c r="BR85" s="13"/>
    </row>
    <row r="86" spans="6:70" x14ac:dyDescent="0.25">
      <c r="F86" s="3261"/>
      <c r="G86" s="3261"/>
      <c r="H86" s="3261"/>
      <c r="I86" s="3261"/>
      <c r="J86" s="3261"/>
      <c r="K86" s="3261"/>
      <c r="L86" s="3261"/>
      <c r="M86" s="3261"/>
      <c r="N86" s="3261"/>
      <c r="O86" s="3261"/>
      <c r="P86" s="3261"/>
      <c r="Q86" s="3261"/>
      <c r="AN86" s="1255"/>
      <c r="AO86" s="1255"/>
      <c r="AP86" s="1255"/>
      <c r="AQ86" s="746"/>
      <c r="AR86" s="746"/>
      <c r="AS86" s="746"/>
      <c r="AT86" s="747"/>
      <c r="AU86" s="748"/>
      <c r="AV86" s="748"/>
      <c r="AW86" s="749"/>
      <c r="AY86" s="750"/>
      <c r="AZ86" s="751"/>
      <c r="BA86" s="751"/>
      <c r="BB86" s="751"/>
      <c r="BC86" s="751"/>
      <c r="BD86" s="751"/>
      <c r="BE86" s="751"/>
      <c r="BF86" s="751"/>
      <c r="BG86" s="751"/>
      <c r="BH86" s="752"/>
      <c r="BI86" s="13"/>
      <c r="BJ86" s="13"/>
      <c r="BK86" s="13"/>
      <c r="BL86" s="13"/>
      <c r="BM86" s="13"/>
      <c r="BN86" s="13"/>
      <c r="BO86" s="13"/>
      <c r="BP86" s="13"/>
      <c r="BQ86" s="13"/>
      <c r="BR86" s="13"/>
    </row>
    <row r="87" spans="6:70" ht="15" customHeight="1" x14ac:dyDescent="0.25">
      <c r="F87" s="3261"/>
      <c r="G87" s="3261"/>
      <c r="H87" s="3261"/>
      <c r="I87" s="3261"/>
      <c r="J87" s="3261"/>
      <c r="K87" s="3261"/>
      <c r="L87" s="3261"/>
      <c r="M87" s="3261"/>
      <c r="N87" s="3261"/>
      <c r="O87" s="3261"/>
      <c r="P87" s="3261"/>
      <c r="Q87" s="3261"/>
      <c r="AN87" s="1255"/>
      <c r="AO87" s="1255"/>
      <c r="AP87" s="1255"/>
      <c r="AQ87" s="746"/>
      <c r="AR87" s="746"/>
      <c r="AS87" s="746"/>
      <c r="AT87" s="747"/>
      <c r="AU87" s="748"/>
      <c r="AV87" s="748"/>
      <c r="AW87" s="749"/>
      <c r="AY87" s="750"/>
      <c r="AZ87" s="751"/>
      <c r="BA87" s="751"/>
      <c r="BB87" s="751"/>
      <c r="BC87" s="751"/>
      <c r="BD87" s="751"/>
      <c r="BE87" s="751"/>
      <c r="BF87" s="751"/>
      <c r="BG87" s="751"/>
      <c r="BH87" s="752"/>
      <c r="BI87" s="13"/>
      <c r="BJ87" s="13"/>
      <c r="BK87" s="13"/>
      <c r="BL87" s="13"/>
      <c r="BM87" s="13"/>
      <c r="BN87" s="13"/>
      <c r="BO87" s="13"/>
      <c r="BP87" s="13"/>
      <c r="BQ87" s="13"/>
      <c r="BR87" s="13"/>
    </row>
    <row r="88" spans="6:70" ht="15" customHeight="1" x14ac:dyDescent="0.25">
      <c r="AN88" s="727"/>
      <c r="AO88" s="727"/>
      <c r="AP88" s="727"/>
      <c r="AQ88" s="746"/>
      <c r="AR88" s="746"/>
      <c r="AS88" s="746"/>
      <c r="AT88" s="747"/>
      <c r="AU88" s="748"/>
      <c r="AV88" s="748"/>
      <c r="AW88" s="749"/>
      <c r="AY88" s="742"/>
      <c r="AZ88" s="743"/>
      <c r="BA88" s="743"/>
      <c r="BB88" s="743"/>
      <c r="BC88" s="743"/>
      <c r="BD88" s="743"/>
      <c r="BE88" s="743"/>
      <c r="BF88" s="743"/>
      <c r="BG88" s="743"/>
      <c r="BH88" s="744"/>
      <c r="BI88" s="13"/>
      <c r="BJ88" s="13"/>
      <c r="BK88" s="13"/>
      <c r="BL88" s="13"/>
      <c r="BM88" s="13"/>
      <c r="BN88" s="13"/>
      <c r="BO88" s="13"/>
      <c r="BP88" s="13"/>
      <c r="BQ88" s="13"/>
      <c r="BR88" s="13"/>
    </row>
    <row r="89" spans="6:70" ht="26.25" x14ac:dyDescent="0.25">
      <c r="AN89" s="727"/>
      <c r="AO89" s="727"/>
      <c r="AP89" s="727"/>
      <c r="AQ89" s="746"/>
      <c r="AR89" s="746"/>
      <c r="AS89" s="746"/>
      <c r="AT89" s="747"/>
      <c r="AU89" s="748"/>
      <c r="AV89" s="748"/>
      <c r="AW89" s="749"/>
      <c r="AY89" s="728">
        <f ca="1">AT78/((60*3.1415/59)*(AO78/3.281))</f>
        <v>1.9908057064309662E-2</v>
      </c>
      <c r="AZ89" s="729"/>
      <c r="BA89" s="729"/>
      <c r="BB89" s="729"/>
      <c r="BC89" s="729"/>
      <c r="BD89" s="729"/>
      <c r="BE89" s="729"/>
      <c r="BF89" s="729"/>
      <c r="BG89" s="729"/>
      <c r="BH89" s="730"/>
      <c r="BI89" s="57"/>
      <c r="BJ89" s="57"/>
      <c r="BK89" s="57"/>
      <c r="BL89" s="57"/>
      <c r="BM89" s="57"/>
      <c r="BN89" s="57"/>
      <c r="BO89" s="57"/>
      <c r="BP89" s="57"/>
      <c r="BQ89" s="57"/>
      <c r="BR89" s="57"/>
    </row>
    <row r="90" spans="6:70" ht="26.25" x14ac:dyDescent="0.25">
      <c r="AN90" s="727"/>
      <c r="AO90" s="727"/>
      <c r="AP90" s="727"/>
      <c r="AQ90" s="746"/>
      <c r="AR90" s="746"/>
      <c r="AS90" s="746"/>
      <c r="AT90" s="747"/>
      <c r="AU90" s="748"/>
      <c r="AV90" s="748"/>
      <c r="AW90" s="749"/>
      <c r="AY90" s="731"/>
      <c r="AZ90" s="732"/>
      <c r="BA90" s="732"/>
      <c r="BB90" s="732"/>
      <c r="BC90" s="732"/>
      <c r="BD90" s="732"/>
      <c r="BE90" s="732"/>
      <c r="BF90" s="732"/>
      <c r="BG90" s="732"/>
      <c r="BH90" s="733"/>
      <c r="BI90" s="57"/>
      <c r="BJ90" s="57"/>
      <c r="BK90" s="57"/>
      <c r="BL90" s="57"/>
      <c r="BM90" s="57"/>
      <c r="BN90" s="57"/>
      <c r="BO90" s="57"/>
      <c r="BP90" s="57"/>
      <c r="BQ90" s="57"/>
      <c r="BR90" s="57"/>
    </row>
    <row r="91" spans="6:70" ht="15" customHeight="1" x14ac:dyDescent="0.25">
      <c r="AN91" s="727"/>
      <c r="AO91" s="727"/>
      <c r="AP91" s="727"/>
      <c r="AQ91" s="746"/>
      <c r="AR91" s="746"/>
      <c r="AS91" s="746"/>
      <c r="AT91" s="747"/>
      <c r="AU91" s="748"/>
      <c r="AV91" s="748"/>
      <c r="AW91" s="749"/>
      <c r="AY91" s="731"/>
      <c r="AZ91" s="732"/>
      <c r="BA91" s="732"/>
      <c r="BB91" s="732"/>
      <c r="BC91" s="732"/>
      <c r="BD91" s="732"/>
      <c r="BE91" s="732"/>
      <c r="BF91" s="732"/>
      <c r="BG91" s="732"/>
      <c r="BH91" s="733"/>
      <c r="BI91" s="57"/>
      <c r="BJ91" s="57"/>
      <c r="BK91" s="57"/>
      <c r="BL91" s="57"/>
      <c r="BM91" s="57"/>
      <c r="BN91" s="57"/>
      <c r="BO91" s="57"/>
      <c r="BP91" s="57"/>
      <c r="BQ91" s="57"/>
      <c r="BR91" s="57"/>
    </row>
    <row r="92" spans="6:70" ht="15" customHeight="1" x14ac:dyDescent="0.25">
      <c r="AN92" s="727"/>
      <c r="AO92" s="727"/>
      <c r="AP92" s="727"/>
      <c r="AQ92" s="746"/>
      <c r="AR92" s="746"/>
      <c r="AS92" s="746"/>
      <c r="AT92" s="747"/>
      <c r="AU92" s="748"/>
      <c r="AV92" s="748"/>
      <c r="AW92" s="749"/>
      <c r="AY92" s="731"/>
      <c r="AZ92" s="732"/>
      <c r="BA92" s="732"/>
      <c r="BB92" s="732"/>
      <c r="BC92" s="732"/>
      <c r="BD92" s="732"/>
      <c r="BE92" s="732"/>
      <c r="BF92" s="732"/>
      <c r="BG92" s="732"/>
      <c r="BH92" s="733"/>
      <c r="BI92" s="57"/>
      <c r="BJ92" s="57"/>
      <c r="BK92" s="57"/>
      <c r="BL92" s="57"/>
      <c r="BM92" s="57"/>
      <c r="BN92" s="57"/>
      <c r="BO92" s="57"/>
      <c r="BP92" s="57"/>
      <c r="BQ92" s="57"/>
      <c r="BR92" s="57"/>
    </row>
    <row r="93" spans="6:70" ht="15" customHeight="1" x14ac:dyDescent="0.25">
      <c r="AN93" s="727"/>
      <c r="AO93" s="727"/>
      <c r="AP93" s="727"/>
      <c r="AQ93" s="746"/>
      <c r="AR93" s="746"/>
      <c r="AS93" s="746"/>
      <c r="AT93" s="747"/>
      <c r="AU93" s="748"/>
      <c r="AV93" s="748"/>
      <c r="AW93" s="749"/>
      <c r="AY93" s="734"/>
      <c r="AZ93" s="735"/>
      <c r="BA93" s="735"/>
      <c r="BB93" s="735"/>
      <c r="BC93" s="735"/>
      <c r="BD93" s="735"/>
      <c r="BE93" s="735"/>
      <c r="BF93" s="735"/>
      <c r="BG93" s="735"/>
      <c r="BH93" s="736"/>
      <c r="BI93" s="57"/>
      <c r="BJ93" s="57"/>
      <c r="BK93" s="57"/>
      <c r="BL93" s="57"/>
      <c r="BM93" s="57"/>
      <c r="BN93" s="57"/>
      <c r="BO93" s="57"/>
      <c r="BP93" s="57"/>
      <c r="BQ93" s="57"/>
      <c r="BR93" s="57"/>
    </row>
    <row r="94" spans="6:70" x14ac:dyDescent="0.25">
      <c r="AQ94" s="1254">
        <f ca="1">AQ91+AQ88+AQ85</f>
        <v>42</v>
      </c>
      <c r="AR94" s="1254"/>
      <c r="AS94" s="1254"/>
      <c r="AT94" s="747">
        <f ca="1">AT88+AT91+AT85</f>
        <v>2352</v>
      </c>
      <c r="AU94" s="748"/>
      <c r="AV94" s="748"/>
      <c r="AW94" s="749"/>
    </row>
    <row r="95" spans="6:70" x14ac:dyDescent="0.25">
      <c r="AQ95" s="1254"/>
      <c r="AR95" s="1254"/>
      <c r="AS95" s="1254"/>
      <c r="AT95" s="747"/>
      <c r="AU95" s="748"/>
      <c r="AV95" s="748"/>
      <c r="AW95" s="749"/>
    </row>
    <row r="96" spans="6:70" ht="15" customHeight="1" x14ac:dyDescent="0.25">
      <c r="AQ96" s="1254"/>
      <c r="AR96" s="1254"/>
      <c r="AS96" s="1254"/>
      <c r="AT96" s="747"/>
      <c r="AU96" s="748"/>
      <c r="AV96" s="748"/>
      <c r="AW96" s="749"/>
    </row>
    <row r="97" spans="45:47" ht="15" customHeight="1" x14ac:dyDescent="0.25"/>
    <row r="98" spans="45:47" ht="15" customHeight="1" x14ac:dyDescent="0.25"/>
    <row r="99" spans="45:47" ht="15" customHeight="1" x14ac:dyDescent="0.25"/>
    <row r="100" spans="45:47" ht="15" customHeight="1" x14ac:dyDescent="0.25"/>
    <row r="101" spans="45:47" ht="15" customHeight="1" x14ac:dyDescent="0.25"/>
    <row r="102" spans="45:47" ht="15" customHeight="1" x14ac:dyDescent="0.25"/>
    <row r="103" spans="45:47" ht="15" customHeight="1" x14ac:dyDescent="0.25"/>
    <row r="104" spans="45:47" ht="15" customHeight="1" x14ac:dyDescent="0.25"/>
    <row r="105" spans="45:47" ht="15" customHeight="1" x14ac:dyDescent="0.25"/>
    <row r="106" spans="45:47" ht="15" customHeight="1" x14ac:dyDescent="0.25"/>
    <row r="107" spans="45:47" ht="15" customHeight="1" x14ac:dyDescent="0.25">
      <c r="AS107" s="27"/>
      <c r="AT107" s="27"/>
      <c r="AU107" s="27"/>
    </row>
  </sheetData>
  <mergeCells count="418">
    <mergeCell ref="BO18:BR18"/>
    <mergeCell ref="BJ12:BM12"/>
    <mergeCell ref="BO12:BR12"/>
    <mergeCell ref="B18:E18"/>
    <mergeCell ref="G18:J18"/>
    <mergeCell ref="L18:O18"/>
    <mergeCell ref="Q18:T18"/>
    <mergeCell ref="V18:Y18"/>
    <mergeCell ref="AA18:AD18"/>
    <mergeCell ref="AF18:AI18"/>
    <mergeCell ref="AK18:AN18"/>
    <mergeCell ref="BI16:BJ17"/>
    <mergeCell ref="BK16:BM17"/>
    <mergeCell ref="BN16:BO17"/>
    <mergeCell ref="BP16:BR17"/>
    <mergeCell ref="BI14:BJ15"/>
    <mergeCell ref="BK14:BM15"/>
    <mergeCell ref="BN14:BO15"/>
    <mergeCell ref="BP14:BR15"/>
    <mergeCell ref="H16:J17"/>
    <mergeCell ref="K16:L17"/>
    <mergeCell ref="M16:O17"/>
    <mergeCell ref="AT14:AU15"/>
    <mergeCell ref="AV14:AX15"/>
    <mergeCell ref="BJ6:BM6"/>
    <mergeCell ref="BO6:BR6"/>
    <mergeCell ref="B12:E12"/>
    <mergeCell ref="G12:J12"/>
    <mergeCell ref="L12:O12"/>
    <mergeCell ref="Q12:T12"/>
    <mergeCell ref="V12:Y12"/>
    <mergeCell ref="AA12:AD12"/>
    <mergeCell ref="AF12:AI12"/>
    <mergeCell ref="AK12:AN12"/>
    <mergeCell ref="P12:P13"/>
    <mergeCell ref="U12:U13"/>
    <mergeCell ref="Z12:Z13"/>
    <mergeCell ref="BI10:BJ11"/>
    <mergeCell ref="BK10:BM11"/>
    <mergeCell ref="BN10:BO11"/>
    <mergeCell ref="BP10:BR11"/>
    <mergeCell ref="BI8:BJ9"/>
    <mergeCell ref="BK8:BM9"/>
    <mergeCell ref="BN8:BO9"/>
    <mergeCell ref="BP8:BR9"/>
    <mergeCell ref="H10:J11"/>
    <mergeCell ref="K10:L11"/>
    <mergeCell ref="M10:O11"/>
    <mergeCell ref="AQ94:AS96"/>
    <mergeCell ref="AT94:AW96"/>
    <mergeCell ref="B6:E6"/>
    <mergeCell ref="G6:J6"/>
    <mergeCell ref="L6:O6"/>
    <mergeCell ref="Q6:T6"/>
    <mergeCell ref="V6:Y6"/>
    <mergeCell ref="AA6:AD6"/>
    <mergeCell ref="AF6:AI6"/>
    <mergeCell ref="AN85:AP87"/>
    <mergeCell ref="AQ85:AS87"/>
    <mergeCell ref="AT85:AW87"/>
    <mergeCell ref="G73:Q74"/>
    <mergeCell ref="AP60:AS60"/>
    <mergeCell ref="AT60:AT61"/>
    <mergeCell ref="AU60:AX60"/>
    <mergeCell ref="A63:C63"/>
    <mergeCell ref="A64:C66"/>
    <mergeCell ref="J65:S68"/>
    <mergeCell ref="AA60:AD60"/>
    <mergeCell ref="AE60:AE61"/>
    <mergeCell ref="AF60:AI60"/>
    <mergeCell ref="AJ60:AJ61"/>
    <mergeCell ref="A60:A61"/>
    <mergeCell ref="AY85:BH88"/>
    <mergeCell ref="AN88:AP90"/>
    <mergeCell ref="AQ88:AS90"/>
    <mergeCell ref="AT88:AW90"/>
    <mergeCell ref="AY89:BH93"/>
    <mergeCell ref="AN91:AP93"/>
    <mergeCell ref="AQ91:AS93"/>
    <mergeCell ref="AY75:BH77"/>
    <mergeCell ref="F76:Q81"/>
    <mergeCell ref="AL78:AN81"/>
    <mergeCell ref="AO78:AQ81"/>
    <mergeCell ref="AR78:AS81"/>
    <mergeCell ref="AT78:AU81"/>
    <mergeCell ref="AY78:BH79"/>
    <mergeCell ref="AY80:BH82"/>
    <mergeCell ref="F82:Q87"/>
    <mergeCell ref="AY83:BH84"/>
    <mergeCell ref="AD75:AH81"/>
    <mergeCell ref="AL75:AN77"/>
    <mergeCell ref="AO75:AQ77"/>
    <mergeCell ref="AR75:AS77"/>
    <mergeCell ref="AT75:AU77"/>
    <mergeCell ref="AT91:AW93"/>
    <mergeCell ref="B60:E60"/>
    <mergeCell ref="F60:F61"/>
    <mergeCell ref="G60:J60"/>
    <mergeCell ref="K60:K61"/>
    <mergeCell ref="Z57:AB59"/>
    <mergeCell ref="AE57:AG59"/>
    <mergeCell ref="AJ57:AL59"/>
    <mergeCell ref="AO57:AQ59"/>
    <mergeCell ref="D59:E59"/>
    <mergeCell ref="I59:J59"/>
    <mergeCell ref="N59:O59"/>
    <mergeCell ref="S59:T59"/>
    <mergeCell ref="X59:Y59"/>
    <mergeCell ref="AK60:AN60"/>
    <mergeCell ref="AO60:AO61"/>
    <mergeCell ref="L60:O60"/>
    <mergeCell ref="P60:P61"/>
    <mergeCell ref="Q60:T60"/>
    <mergeCell ref="U60:U61"/>
    <mergeCell ref="V60:Y60"/>
    <mergeCell ref="Z60:Z61"/>
    <mergeCell ref="AC59:AD59"/>
    <mergeCell ref="AH59:AI59"/>
    <mergeCell ref="AM56:AN56"/>
    <mergeCell ref="AO56:AQ56"/>
    <mergeCell ref="AR56:AS56"/>
    <mergeCell ref="AT56:AV56"/>
    <mergeCell ref="AW56:AX56"/>
    <mergeCell ref="A57:C59"/>
    <mergeCell ref="F57:H59"/>
    <mergeCell ref="K57:M59"/>
    <mergeCell ref="P57:R59"/>
    <mergeCell ref="U57:W59"/>
    <mergeCell ref="X56:Y56"/>
    <mergeCell ref="Z56:AB56"/>
    <mergeCell ref="AC56:AD56"/>
    <mergeCell ref="AE56:AG56"/>
    <mergeCell ref="AH56:AI56"/>
    <mergeCell ref="AJ56:AL56"/>
    <mergeCell ref="AR59:AS59"/>
    <mergeCell ref="AW59:AX59"/>
    <mergeCell ref="AT57:AV59"/>
    <mergeCell ref="AM59:AN59"/>
    <mergeCell ref="A56:C56"/>
    <mergeCell ref="D56:E56"/>
    <mergeCell ref="F56:H56"/>
    <mergeCell ref="I56:J56"/>
    <mergeCell ref="K56:M56"/>
    <mergeCell ref="N56:O56"/>
    <mergeCell ref="P56:R56"/>
    <mergeCell ref="S56:T56"/>
    <mergeCell ref="U56:W56"/>
    <mergeCell ref="AM53:AN53"/>
    <mergeCell ref="AR53:AS53"/>
    <mergeCell ref="AW53:AX53"/>
    <mergeCell ref="A54:A55"/>
    <mergeCell ref="B54:E54"/>
    <mergeCell ref="F54:F55"/>
    <mergeCell ref="G54:J54"/>
    <mergeCell ref="K54:K55"/>
    <mergeCell ref="L54:O54"/>
    <mergeCell ref="P54:P55"/>
    <mergeCell ref="AJ51:AL53"/>
    <mergeCell ref="AO51:AQ53"/>
    <mergeCell ref="AT51:AV53"/>
    <mergeCell ref="D53:E53"/>
    <mergeCell ref="I53:J53"/>
    <mergeCell ref="N53:O53"/>
    <mergeCell ref="S53:T53"/>
    <mergeCell ref="X53:Y53"/>
    <mergeCell ref="AC53:AD53"/>
    <mergeCell ref="AH53:AI53"/>
    <mergeCell ref="AU54:AX54"/>
    <mergeCell ref="AF54:AI54"/>
    <mergeCell ref="AJ54:AJ55"/>
    <mergeCell ref="AK54:AN54"/>
    <mergeCell ref="A51:C53"/>
    <mergeCell ref="F51:H53"/>
    <mergeCell ref="K51:M53"/>
    <mergeCell ref="P51:R53"/>
    <mergeCell ref="U51:W53"/>
    <mergeCell ref="Z51:AB53"/>
    <mergeCell ref="AE51:AG53"/>
    <mergeCell ref="AO54:AO55"/>
    <mergeCell ref="AP54:AS54"/>
    <mergeCell ref="AT54:AT55"/>
    <mergeCell ref="Q54:T54"/>
    <mergeCell ref="U54:U55"/>
    <mergeCell ref="V54:Y54"/>
    <mergeCell ref="Z54:Z55"/>
    <mergeCell ref="AA54:AD54"/>
    <mergeCell ref="AE54:AE55"/>
    <mergeCell ref="N50:O50"/>
    <mergeCell ref="P50:R50"/>
    <mergeCell ref="S50:T50"/>
    <mergeCell ref="U50:W50"/>
    <mergeCell ref="X50:Y50"/>
    <mergeCell ref="Z50:AB50"/>
    <mergeCell ref="B48:K48"/>
    <mergeCell ref="A50:C50"/>
    <mergeCell ref="D50:E50"/>
    <mergeCell ref="F50:H50"/>
    <mergeCell ref="I50:J50"/>
    <mergeCell ref="K50:M50"/>
    <mergeCell ref="V39:AG46"/>
    <mergeCell ref="AH39:AR46"/>
    <mergeCell ref="AS39:BD46"/>
    <mergeCell ref="BJ41:BP44"/>
    <mergeCell ref="BJ45:BP47"/>
    <mergeCell ref="AR50:AS50"/>
    <mergeCell ref="AT50:AV50"/>
    <mergeCell ref="AW50:AX50"/>
    <mergeCell ref="AH50:AI50"/>
    <mergeCell ref="AJ50:AL50"/>
    <mergeCell ref="AM50:AN50"/>
    <mergeCell ref="AO50:AQ50"/>
    <mergeCell ref="AC50:AD50"/>
    <mergeCell ref="AE50:AG50"/>
    <mergeCell ref="H33:K34"/>
    <mergeCell ref="H35:K38"/>
    <mergeCell ref="V35:AG38"/>
    <mergeCell ref="AH35:AR38"/>
    <mergeCell ref="AS35:BD38"/>
    <mergeCell ref="BE35:BI46"/>
    <mergeCell ref="BI18:BI19"/>
    <mergeCell ref="BN18:BN19"/>
    <mergeCell ref="AT18:AT19"/>
    <mergeCell ref="AY18:AY19"/>
    <mergeCell ref="BD18:BD19"/>
    <mergeCell ref="AU18:AX18"/>
    <mergeCell ref="AZ18:BC18"/>
    <mergeCell ref="BE18:BH18"/>
    <mergeCell ref="AE18:AE19"/>
    <mergeCell ref="AJ18:AJ19"/>
    <mergeCell ref="AO18:AO19"/>
    <mergeCell ref="AP18:AS18"/>
    <mergeCell ref="P18:P19"/>
    <mergeCell ref="U18:U19"/>
    <mergeCell ref="Z18:Z19"/>
    <mergeCell ref="BJ18:BM18"/>
    <mergeCell ref="BJ35:BM40"/>
    <mergeCell ref="BN35:BP40"/>
    <mergeCell ref="A18:A19"/>
    <mergeCell ref="F18:F19"/>
    <mergeCell ref="K18:K19"/>
    <mergeCell ref="AT16:AU17"/>
    <mergeCell ref="AV16:AX17"/>
    <mergeCell ref="AY16:AZ17"/>
    <mergeCell ref="BA16:BC17"/>
    <mergeCell ref="BD16:BE17"/>
    <mergeCell ref="BF16:BH17"/>
    <mergeCell ref="AE16:AF17"/>
    <mergeCell ref="AG16:AI17"/>
    <mergeCell ref="AJ16:AK17"/>
    <mergeCell ref="AL16:AN17"/>
    <mergeCell ref="AO16:AP17"/>
    <mergeCell ref="AQ16:AS17"/>
    <mergeCell ref="P16:Q17"/>
    <mergeCell ref="R16:T17"/>
    <mergeCell ref="U16:V17"/>
    <mergeCell ref="W16:Y17"/>
    <mergeCell ref="Z16:AA17"/>
    <mergeCell ref="AB16:AD17"/>
    <mergeCell ref="A16:B17"/>
    <mergeCell ref="C16:E17"/>
    <mergeCell ref="F16:G17"/>
    <mergeCell ref="AY14:AZ15"/>
    <mergeCell ref="BA14:BC15"/>
    <mergeCell ref="BD14:BE15"/>
    <mergeCell ref="BF14:BH15"/>
    <mergeCell ref="AE14:AF15"/>
    <mergeCell ref="AG14:AI15"/>
    <mergeCell ref="AJ14:AK15"/>
    <mergeCell ref="AL14:AN15"/>
    <mergeCell ref="AO14:AP15"/>
    <mergeCell ref="AQ14:AS15"/>
    <mergeCell ref="P14:Q15"/>
    <mergeCell ref="R14:T15"/>
    <mergeCell ref="U14:V15"/>
    <mergeCell ref="W14:Y15"/>
    <mergeCell ref="Z14:AA15"/>
    <mergeCell ref="AB14:AD15"/>
    <mergeCell ref="BI12:BI13"/>
    <mergeCell ref="BN12:BN13"/>
    <mergeCell ref="A14:B15"/>
    <mergeCell ref="C14:E15"/>
    <mergeCell ref="F14:G15"/>
    <mergeCell ref="H14:J15"/>
    <mergeCell ref="K14:L15"/>
    <mergeCell ref="M14:O15"/>
    <mergeCell ref="AT12:AT13"/>
    <mergeCell ref="AY12:AY13"/>
    <mergeCell ref="BD12:BD13"/>
    <mergeCell ref="AU12:AX12"/>
    <mergeCell ref="AZ12:BC12"/>
    <mergeCell ref="BE12:BH12"/>
    <mergeCell ref="AE12:AE13"/>
    <mergeCell ref="AJ12:AJ13"/>
    <mergeCell ref="AO12:AO13"/>
    <mergeCell ref="AP12:AS12"/>
    <mergeCell ref="A12:A13"/>
    <mergeCell ref="F12:F13"/>
    <mergeCell ref="K12:K13"/>
    <mergeCell ref="AT10:AU11"/>
    <mergeCell ref="AV10:AX11"/>
    <mergeCell ref="AY10:AZ11"/>
    <mergeCell ref="BA10:BC11"/>
    <mergeCell ref="BD10:BE11"/>
    <mergeCell ref="BF10:BH11"/>
    <mergeCell ref="AE10:AF11"/>
    <mergeCell ref="AG10:AI11"/>
    <mergeCell ref="AJ10:AK11"/>
    <mergeCell ref="AL10:AN11"/>
    <mergeCell ref="AO10:AP11"/>
    <mergeCell ref="AQ10:AS11"/>
    <mergeCell ref="P10:Q11"/>
    <mergeCell ref="R10:T11"/>
    <mergeCell ref="U10:V11"/>
    <mergeCell ref="W10:Y11"/>
    <mergeCell ref="Z10:AA11"/>
    <mergeCell ref="AB10:AD11"/>
    <mergeCell ref="A10:B11"/>
    <mergeCell ref="C10:E11"/>
    <mergeCell ref="F10:G11"/>
    <mergeCell ref="AT8:AU9"/>
    <mergeCell ref="AV8:AX9"/>
    <mergeCell ref="AY8:AZ9"/>
    <mergeCell ref="BA8:BC9"/>
    <mergeCell ref="BD8:BE9"/>
    <mergeCell ref="BF8:BH9"/>
    <mergeCell ref="AE8:AF9"/>
    <mergeCell ref="AG8:AI9"/>
    <mergeCell ref="AJ8:AK9"/>
    <mergeCell ref="AL8:AN9"/>
    <mergeCell ref="AO8:AP9"/>
    <mergeCell ref="AQ8:AS9"/>
    <mergeCell ref="P8:Q9"/>
    <mergeCell ref="R8:T9"/>
    <mergeCell ref="U8:V9"/>
    <mergeCell ref="W8:Y9"/>
    <mergeCell ref="Z8:AA9"/>
    <mergeCell ref="AB8:AD9"/>
    <mergeCell ref="BI6:BI7"/>
    <mergeCell ref="BN6:BN7"/>
    <mergeCell ref="A8:B9"/>
    <mergeCell ref="C8:E9"/>
    <mergeCell ref="F8:G9"/>
    <mergeCell ref="H8:J9"/>
    <mergeCell ref="K8:L9"/>
    <mergeCell ref="M8:O9"/>
    <mergeCell ref="AT6:AT7"/>
    <mergeCell ref="AY6:AY7"/>
    <mergeCell ref="BD6:BD7"/>
    <mergeCell ref="AU6:AX6"/>
    <mergeCell ref="AZ6:BC6"/>
    <mergeCell ref="BE6:BH6"/>
    <mergeCell ref="AE6:AE7"/>
    <mergeCell ref="AJ6:AJ7"/>
    <mergeCell ref="AO6:AO7"/>
    <mergeCell ref="AK6:AN6"/>
    <mergeCell ref="AP6:AS6"/>
    <mergeCell ref="P6:P7"/>
    <mergeCell ref="U6:U7"/>
    <mergeCell ref="Z6:Z7"/>
    <mergeCell ref="BI4:BJ5"/>
    <mergeCell ref="BK4:BM5"/>
    <mergeCell ref="BN4:BO5"/>
    <mergeCell ref="BP4:BR5"/>
    <mergeCell ref="A6:A7"/>
    <mergeCell ref="F6:F7"/>
    <mergeCell ref="K6:K7"/>
    <mergeCell ref="AT4:AU5"/>
    <mergeCell ref="AV4:AX5"/>
    <mergeCell ref="AY4:AZ5"/>
    <mergeCell ref="BA4:BC5"/>
    <mergeCell ref="BD4:BE5"/>
    <mergeCell ref="BF4:BH5"/>
    <mergeCell ref="AE4:AF5"/>
    <mergeCell ref="AG4:AI5"/>
    <mergeCell ref="AJ4:AK5"/>
    <mergeCell ref="AL4:AN5"/>
    <mergeCell ref="AO4:AP5"/>
    <mergeCell ref="AQ4:AS5"/>
    <mergeCell ref="P4:Q5"/>
    <mergeCell ref="W4:Y5"/>
    <mergeCell ref="Z4:AA5"/>
    <mergeCell ref="AB4:AD5"/>
    <mergeCell ref="BI2:BJ3"/>
    <mergeCell ref="BK2:BM3"/>
    <mergeCell ref="BN2:BO3"/>
    <mergeCell ref="BP2:BR3"/>
    <mergeCell ref="BA2:BC3"/>
    <mergeCell ref="BD2:BE3"/>
    <mergeCell ref="BF2:BH3"/>
    <mergeCell ref="AT2:AU3"/>
    <mergeCell ref="AV2:AX3"/>
    <mergeCell ref="AY2:AZ3"/>
    <mergeCell ref="AE2:AF3"/>
    <mergeCell ref="AG2:AI3"/>
    <mergeCell ref="AJ2:AK3"/>
    <mergeCell ref="AL2:AN3"/>
    <mergeCell ref="AO2:AP3"/>
    <mergeCell ref="AQ2:AS3"/>
    <mergeCell ref="W2:Y3"/>
    <mergeCell ref="Z2:AA3"/>
    <mergeCell ref="AB2:AD3"/>
    <mergeCell ref="P2:Q3"/>
    <mergeCell ref="R2:T3"/>
    <mergeCell ref="U2:V3"/>
    <mergeCell ref="R4:T5"/>
    <mergeCell ref="U4:V5"/>
    <mergeCell ref="A2:B3"/>
    <mergeCell ref="C2:E3"/>
    <mergeCell ref="F2:G3"/>
    <mergeCell ref="H2:J3"/>
    <mergeCell ref="K2:L3"/>
    <mergeCell ref="M2:O3"/>
    <mergeCell ref="A4:B5"/>
    <mergeCell ref="C4:E5"/>
    <mergeCell ref="F4:G5"/>
    <mergeCell ref="H4:J5"/>
    <mergeCell ref="K4:L5"/>
    <mergeCell ref="M4:O5"/>
  </mergeCells>
  <pageMargins left="0.25" right="0" top="0.7" bottom="0" header="0.3" footer="0.3"/>
  <pageSetup paperSize="8" scale="48" orientation="landscape" r:id="rId1"/>
  <headerFooter>
    <oddFooter>&amp;C&amp;"-,Bold Italic"&amp;16Prepared by Emir Cebecioglu&amp;RQuality Control Department</oddFooter>
  </headerFooter>
  <colBreaks count="1" manualBreakCount="1">
    <brk id="70" max="50" man="1"/>
  </colBreaks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DF104-8AA2-4FD4-A58D-95F0B1E0C7C9}">
  <sheetPr>
    <tabColor rgb="FFFFC000"/>
    <pageSetUpPr fitToPage="1"/>
  </sheetPr>
  <dimension ref="A1:FP135"/>
  <sheetViews>
    <sheetView view="pageBreakPreview" topLeftCell="A15" zoomScale="40" zoomScaleNormal="115" zoomScaleSheetLayoutView="40" workbookViewId="0">
      <selection activeCell="M30" sqref="M30:T33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29" width="6.28515625" customWidth="1"/>
    <col min="30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140625" customWidth="1"/>
    <col min="47" max="47" width="10.71093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4.140625" customWidth="1"/>
    <col min="62" max="62" width="10.7109375" customWidth="1"/>
    <col min="63" max="63" width="4.28515625" customWidth="1"/>
    <col min="64" max="65" width="5.5703125" customWidth="1"/>
    <col min="66" max="66" width="6.7109375" customWidth="1"/>
    <col min="67" max="67" width="10.7109375" customWidth="1"/>
    <col min="68" max="68" width="4.28515625" customWidth="1"/>
    <col min="69" max="70" width="5.5703125" customWidth="1"/>
    <col min="71" max="71" width="1" customWidth="1"/>
    <col min="72" max="72" width="56.7109375" customWidth="1"/>
    <col min="73" max="73" width="13" customWidth="1"/>
    <col min="74" max="74" width="7" customWidth="1"/>
  </cols>
  <sheetData>
    <row r="1" spans="1:83" ht="75" customHeight="1" thickBot="1" x14ac:dyDescent="0.3"/>
    <row r="2" spans="1:83" ht="26.1" customHeight="1" x14ac:dyDescent="0.25">
      <c r="A2" s="3333" t="s">
        <v>110</v>
      </c>
      <c r="B2" s="3334"/>
      <c r="C2" s="3337">
        <f>B8/((54*3.1415/59)*(154.5/3.281))</f>
        <v>6.0969974304579885E-2</v>
      </c>
      <c r="D2" s="3337"/>
      <c r="E2" s="3338"/>
      <c r="F2" s="3333" t="s">
        <v>110</v>
      </c>
      <c r="G2" s="3334"/>
      <c r="H2" s="3337">
        <f>G8/((54*3.1415/59)*(154.5/3.281))</f>
        <v>3.3014631755478141E-2</v>
      </c>
      <c r="I2" s="3337"/>
      <c r="J2" s="3338"/>
      <c r="K2" s="3333" t="s">
        <v>110</v>
      </c>
      <c r="L2" s="3334"/>
      <c r="M2" s="3337">
        <f>L8/((54*3.1415/59)*(154.5/3.281))</f>
        <v>4.1212896016905604E-3</v>
      </c>
      <c r="N2" s="3337"/>
      <c r="O2" s="3338"/>
      <c r="P2" s="3333" t="s">
        <v>110</v>
      </c>
      <c r="Q2" s="3334"/>
      <c r="R2" s="3337">
        <f>Q8/((54*3.1415/59)*(154.5/3.281))</f>
        <v>5.4684638370818828E-2</v>
      </c>
      <c r="S2" s="3337"/>
      <c r="T2" s="3338"/>
      <c r="U2" s="3333" t="s">
        <v>110</v>
      </c>
      <c r="V2" s="3334"/>
      <c r="W2" s="3337">
        <f>V8/((54*3.1415/59)*(154.5/3.281))</f>
        <v>0.10374275627825438</v>
      </c>
      <c r="X2" s="3337"/>
      <c r="Y2" s="3338"/>
      <c r="Z2" s="3333" t="s">
        <v>110</v>
      </c>
      <c r="AA2" s="3334"/>
      <c r="AB2" s="3337">
        <f>AA8/((54*3.1415/59)*(154.5/3.281))</f>
        <v>4.6146626221079963E-2</v>
      </c>
      <c r="AC2" s="3337"/>
      <c r="AD2" s="3338"/>
      <c r="AE2" s="3333" t="s">
        <v>110</v>
      </c>
      <c r="AF2" s="3334"/>
      <c r="AG2" s="3337">
        <f>AF8/((54*3.1415/59)*(154.5/3.281))</f>
        <v>1.6839677942391536E-3</v>
      </c>
      <c r="AH2" s="3337"/>
      <c r="AI2" s="3338"/>
      <c r="AJ2" s="3333" t="s">
        <v>110</v>
      </c>
      <c r="AK2" s="3334"/>
      <c r="AL2" s="3337">
        <f>AK8/((54*3.1415/59)*(154.5/3.281))</f>
        <v>1.0125964236411752E-2</v>
      </c>
      <c r="AM2" s="3337"/>
      <c r="AN2" s="3338"/>
      <c r="AO2" s="3333" t="s">
        <v>110</v>
      </c>
      <c r="AP2" s="3334"/>
      <c r="AQ2" s="3337">
        <f>AP8/((54*3.1415/59)*(154.5/3.281))</f>
        <v>1.3316640057075411E-2</v>
      </c>
      <c r="AR2" s="3337"/>
      <c r="AS2" s="3338"/>
      <c r="AT2" s="3333" t="s">
        <v>110</v>
      </c>
      <c r="AU2" s="3334"/>
      <c r="AV2" s="3337">
        <f>AU8/((54*3.1415/59)*(154.5/3.281))</f>
        <v>5.8997959387641928E-2</v>
      </c>
      <c r="AW2" s="3337"/>
      <c r="AX2" s="3338"/>
      <c r="AY2" s="3333" t="s">
        <v>110</v>
      </c>
      <c r="AZ2" s="3334"/>
      <c r="BA2" s="3337">
        <f>AZ8/((54*3.1415/59)*(154.5/3.281))</f>
        <v>1.4254639661761256E-2</v>
      </c>
      <c r="BB2" s="3337"/>
      <c r="BC2" s="3338"/>
      <c r="BD2" s="3333" t="s">
        <v>110</v>
      </c>
      <c r="BE2" s="3334"/>
      <c r="BF2" s="3337">
        <f>BE8/((54*3.1415/59)*(154.5/3.281))</f>
        <v>2.1005282486035757E-2</v>
      </c>
      <c r="BG2" s="3337"/>
      <c r="BH2" s="3338"/>
      <c r="BI2" s="3333" t="s">
        <v>110</v>
      </c>
      <c r="BJ2" s="3334"/>
      <c r="BK2" s="3337">
        <f>BJ8/((54*3.1415/59)*(154.5/3.281))</f>
        <v>3.6581984582747931E-2</v>
      </c>
      <c r="BL2" s="3337"/>
      <c r="BM2" s="3338"/>
      <c r="BN2" s="3333" t="s">
        <v>110</v>
      </c>
      <c r="BO2" s="3334"/>
      <c r="BP2" s="3337">
        <f>BO8/((54*3.1415/59)*(154.5/3.281))</f>
        <v>4.5023981024920534E-3</v>
      </c>
      <c r="BQ2" s="3337"/>
      <c r="BR2" s="3338"/>
    </row>
    <row r="3" spans="1:83" ht="12" customHeight="1" x14ac:dyDescent="0.25">
      <c r="A3" s="3335"/>
      <c r="B3" s="3336"/>
      <c r="C3" s="3339"/>
      <c r="D3" s="3339"/>
      <c r="E3" s="3340"/>
      <c r="F3" s="3335"/>
      <c r="G3" s="3336"/>
      <c r="H3" s="3339"/>
      <c r="I3" s="3339"/>
      <c r="J3" s="3340"/>
      <c r="K3" s="3335"/>
      <c r="L3" s="3336"/>
      <c r="M3" s="3339"/>
      <c r="N3" s="3339"/>
      <c r="O3" s="3340"/>
      <c r="P3" s="3335"/>
      <c r="Q3" s="3336"/>
      <c r="R3" s="3339"/>
      <c r="S3" s="3339"/>
      <c r="T3" s="3340"/>
      <c r="U3" s="3335"/>
      <c r="V3" s="3336"/>
      <c r="W3" s="3339"/>
      <c r="X3" s="3339"/>
      <c r="Y3" s="3340"/>
      <c r="Z3" s="3335"/>
      <c r="AA3" s="3336"/>
      <c r="AB3" s="3339"/>
      <c r="AC3" s="3339"/>
      <c r="AD3" s="3340"/>
      <c r="AE3" s="3335"/>
      <c r="AF3" s="3336"/>
      <c r="AG3" s="3339"/>
      <c r="AH3" s="3339"/>
      <c r="AI3" s="3340"/>
      <c r="AJ3" s="3335"/>
      <c r="AK3" s="3336"/>
      <c r="AL3" s="3339"/>
      <c r="AM3" s="3339"/>
      <c r="AN3" s="3340"/>
      <c r="AO3" s="3335"/>
      <c r="AP3" s="3336"/>
      <c r="AQ3" s="3339"/>
      <c r="AR3" s="3339"/>
      <c r="AS3" s="3340"/>
      <c r="AT3" s="3335"/>
      <c r="AU3" s="3336"/>
      <c r="AV3" s="3339"/>
      <c r="AW3" s="3339"/>
      <c r="AX3" s="3340"/>
      <c r="AY3" s="3335"/>
      <c r="AZ3" s="3336"/>
      <c r="BA3" s="3339"/>
      <c r="BB3" s="3339"/>
      <c r="BC3" s="3340"/>
      <c r="BD3" s="3335"/>
      <c r="BE3" s="3336"/>
      <c r="BF3" s="3339"/>
      <c r="BG3" s="3339"/>
      <c r="BH3" s="3340"/>
      <c r="BI3" s="3335"/>
      <c r="BJ3" s="3336"/>
      <c r="BK3" s="3339"/>
      <c r="BL3" s="3339"/>
      <c r="BM3" s="3340"/>
      <c r="BN3" s="3335"/>
      <c r="BO3" s="3336"/>
      <c r="BP3" s="3339"/>
      <c r="BQ3" s="3339"/>
      <c r="BR3" s="3340"/>
    </row>
    <row r="4" spans="1:83" ht="0.75" customHeight="1" x14ac:dyDescent="0.25">
      <c r="A4" s="3335"/>
      <c r="B4" s="3336"/>
      <c r="C4" s="3339"/>
      <c r="D4" s="3339"/>
      <c r="E4" s="3340"/>
      <c r="F4" s="3335"/>
      <c r="G4" s="3336"/>
      <c r="H4" s="3339"/>
      <c r="I4" s="3339"/>
      <c r="J4" s="3340"/>
      <c r="K4" s="3335"/>
      <c r="L4" s="3336"/>
      <c r="M4" s="3339"/>
      <c r="N4" s="3339"/>
      <c r="O4" s="3340"/>
      <c r="P4" s="3335"/>
      <c r="Q4" s="3336"/>
      <c r="R4" s="3339"/>
      <c r="S4" s="3339"/>
      <c r="T4" s="3340"/>
      <c r="U4" s="3335"/>
      <c r="V4" s="3336"/>
      <c r="W4" s="3339"/>
      <c r="X4" s="3339"/>
      <c r="Y4" s="3340"/>
      <c r="Z4" s="3335"/>
      <c r="AA4" s="3336"/>
      <c r="AB4" s="3339"/>
      <c r="AC4" s="3339"/>
      <c r="AD4" s="3340"/>
      <c r="AE4" s="3335"/>
      <c r="AF4" s="3336"/>
      <c r="AG4" s="3339"/>
      <c r="AH4" s="3339"/>
      <c r="AI4" s="3340"/>
      <c r="AJ4" s="3335"/>
      <c r="AK4" s="3336"/>
      <c r="AL4" s="3339"/>
      <c r="AM4" s="3339"/>
      <c r="AN4" s="3340"/>
      <c r="AO4" s="3335"/>
      <c r="AP4" s="3336"/>
      <c r="AQ4" s="3339"/>
      <c r="AR4" s="3339"/>
      <c r="AS4" s="3340"/>
      <c r="AT4" s="3335"/>
      <c r="AU4" s="3336"/>
      <c r="AV4" s="3339"/>
      <c r="AW4" s="3339"/>
      <c r="AX4" s="3340"/>
      <c r="AY4" s="3335"/>
      <c r="AZ4" s="3336"/>
      <c r="BA4" s="3339"/>
      <c r="BB4" s="3339"/>
      <c r="BC4" s="3340"/>
      <c r="BD4" s="3335"/>
      <c r="BE4" s="3336"/>
      <c r="BF4" s="3339"/>
      <c r="BG4" s="3339"/>
      <c r="BH4" s="3340"/>
      <c r="BI4" s="3335"/>
      <c r="BJ4" s="3336"/>
      <c r="BK4" s="3339"/>
      <c r="BL4" s="3339"/>
      <c r="BM4" s="3340"/>
      <c r="BN4" s="3335"/>
      <c r="BO4" s="3336"/>
      <c r="BP4" s="3339"/>
      <c r="BQ4" s="3339"/>
      <c r="BR4" s="3340"/>
    </row>
    <row r="5" spans="1:83" ht="0.75" hidden="1" customHeight="1" x14ac:dyDescent="0.25">
      <c r="A5" s="3335"/>
      <c r="B5" s="3336"/>
      <c r="C5" s="3339"/>
      <c r="D5" s="3339"/>
      <c r="E5" s="3340"/>
      <c r="F5" s="3335"/>
      <c r="G5" s="3336"/>
      <c r="H5" s="3339"/>
      <c r="I5" s="3339"/>
      <c r="J5" s="3340"/>
      <c r="K5" s="3335"/>
      <c r="L5" s="3336"/>
      <c r="M5" s="3339"/>
      <c r="N5" s="3339"/>
      <c r="O5" s="3340"/>
      <c r="P5" s="3335"/>
      <c r="Q5" s="3336"/>
      <c r="R5" s="3339"/>
      <c r="S5" s="3339"/>
      <c r="T5" s="3340"/>
      <c r="U5" s="3335"/>
      <c r="V5" s="3336"/>
      <c r="W5" s="3339"/>
      <c r="X5" s="3339"/>
      <c r="Y5" s="3340"/>
      <c r="Z5" s="3335"/>
      <c r="AA5" s="3336"/>
      <c r="AB5" s="3339"/>
      <c r="AC5" s="3339"/>
      <c r="AD5" s="3340"/>
      <c r="AE5" s="3335"/>
      <c r="AF5" s="3336"/>
      <c r="AG5" s="3339"/>
      <c r="AH5" s="3339"/>
      <c r="AI5" s="3340"/>
      <c r="AJ5" s="3335"/>
      <c r="AK5" s="3336"/>
      <c r="AL5" s="3339"/>
      <c r="AM5" s="3339"/>
      <c r="AN5" s="3340"/>
      <c r="AO5" s="3335"/>
      <c r="AP5" s="3336"/>
      <c r="AQ5" s="3339"/>
      <c r="AR5" s="3339"/>
      <c r="AS5" s="3340"/>
      <c r="AT5" s="3335"/>
      <c r="AU5" s="3336"/>
      <c r="AV5" s="3339"/>
      <c r="AW5" s="3339"/>
      <c r="AX5" s="3340"/>
      <c r="AY5" s="3335"/>
      <c r="AZ5" s="3336"/>
      <c r="BA5" s="3339"/>
      <c r="BB5" s="3339"/>
      <c r="BC5" s="3340"/>
      <c r="BD5" s="3335"/>
      <c r="BE5" s="3336"/>
      <c r="BF5" s="3339"/>
      <c r="BG5" s="3339"/>
      <c r="BH5" s="3340"/>
      <c r="BI5" s="3335"/>
      <c r="BJ5" s="3336"/>
      <c r="BK5" s="3339"/>
      <c r="BL5" s="3339"/>
      <c r="BM5" s="3340"/>
      <c r="BN5" s="3335"/>
      <c r="BO5" s="3336"/>
      <c r="BP5" s="3339"/>
      <c r="BQ5" s="3339"/>
      <c r="BR5" s="3340"/>
    </row>
    <row r="6" spans="1:83" ht="28.5" customHeight="1" x14ac:dyDescent="0.25">
      <c r="A6" s="3341" t="s">
        <v>444</v>
      </c>
      <c r="B6" s="3342"/>
      <c r="C6" s="2319" t="s">
        <v>111</v>
      </c>
      <c r="D6" s="2320"/>
      <c r="E6" s="3343"/>
      <c r="F6" s="3341" t="s">
        <v>444</v>
      </c>
      <c r="G6" s="3342"/>
      <c r="H6" s="2319" t="s">
        <v>111</v>
      </c>
      <c r="I6" s="2320"/>
      <c r="J6" s="3343"/>
      <c r="K6" s="3341" t="s">
        <v>444</v>
      </c>
      <c r="L6" s="3342"/>
      <c r="M6" s="2319" t="s">
        <v>111</v>
      </c>
      <c r="N6" s="2320"/>
      <c r="O6" s="3343"/>
      <c r="P6" s="3341" t="s">
        <v>444</v>
      </c>
      <c r="Q6" s="3342"/>
      <c r="R6" s="2319" t="s">
        <v>111</v>
      </c>
      <c r="S6" s="2320"/>
      <c r="T6" s="3343"/>
      <c r="U6" s="3341" t="s">
        <v>444</v>
      </c>
      <c r="V6" s="3342"/>
      <c r="W6" s="2319" t="s">
        <v>111</v>
      </c>
      <c r="X6" s="2320"/>
      <c r="Y6" s="3343"/>
      <c r="Z6" s="3341" t="s">
        <v>444</v>
      </c>
      <c r="AA6" s="3342"/>
      <c r="AB6" s="2319" t="s">
        <v>111</v>
      </c>
      <c r="AC6" s="2320"/>
      <c r="AD6" s="3343"/>
      <c r="AE6" s="3341" t="s">
        <v>444</v>
      </c>
      <c r="AF6" s="3342"/>
      <c r="AG6" s="2319" t="s">
        <v>111</v>
      </c>
      <c r="AH6" s="2320"/>
      <c r="AI6" s="3343"/>
      <c r="AJ6" s="3341" t="s">
        <v>444</v>
      </c>
      <c r="AK6" s="3342"/>
      <c r="AL6" s="2319" t="s">
        <v>111</v>
      </c>
      <c r="AM6" s="2320"/>
      <c r="AN6" s="3343"/>
      <c r="AO6" s="3341" t="s">
        <v>444</v>
      </c>
      <c r="AP6" s="3342"/>
      <c r="AQ6" s="2319" t="s">
        <v>111</v>
      </c>
      <c r="AR6" s="2320"/>
      <c r="AS6" s="3343"/>
      <c r="AT6" s="3341" t="s">
        <v>444</v>
      </c>
      <c r="AU6" s="3342"/>
      <c r="AV6" s="2319" t="s">
        <v>111</v>
      </c>
      <c r="AW6" s="2320"/>
      <c r="AX6" s="3343"/>
      <c r="AY6" s="3341" t="s">
        <v>444</v>
      </c>
      <c r="AZ6" s="3342"/>
      <c r="BA6" s="2319" t="s">
        <v>111</v>
      </c>
      <c r="BB6" s="2320"/>
      <c r="BC6" s="3343"/>
      <c r="BD6" s="3341" t="s">
        <v>444</v>
      </c>
      <c r="BE6" s="3342"/>
      <c r="BF6" s="2319" t="s">
        <v>111</v>
      </c>
      <c r="BG6" s="2320"/>
      <c r="BH6" s="3343"/>
      <c r="BI6" s="3341" t="s">
        <v>444</v>
      </c>
      <c r="BJ6" s="3342"/>
      <c r="BK6" s="2319" t="s">
        <v>111</v>
      </c>
      <c r="BL6" s="2320"/>
      <c r="BM6" s="3343"/>
      <c r="BN6" s="3341" t="s">
        <v>444</v>
      </c>
      <c r="BO6" s="3342"/>
      <c r="BP6" s="2319" t="s">
        <v>111</v>
      </c>
      <c r="BQ6" s="2320"/>
      <c r="BR6" s="3343"/>
    </row>
    <row r="7" spans="1:83" s="22" customFormat="1" ht="80.099999999999994" customHeight="1" x14ac:dyDescent="1.35">
      <c r="A7" s="3328" t="s">
        <v>443</v>
      </c>
      <c r="B7" s="3326">
        <v>1</v>
      </c>
      <c r="C7" s="3326"/>
      <c r="D7" s="3326"/>
      <c r="E7" s="3327"/>
      <c r="F7" s="3328" t="s">
        <v>443</v>
      </c>
      <c r="G7" s="3326">
        <v>2</v>
      </c>
      <c r="H7" s="3326"/>
      <c r="I7" s="3326"/>
      <c r="J7" s="3327"/>
      <c r="K7" s="3328" t="s">
        <v>443</v>
      </c>
      <c r="L7" s="3326">
        <v>3</v>
      </c>
      <c r="M7" s="3326"/>
      <c r="N7" s="3326"/>
      <c r="O7" s="3327"/>
      <c r="P7" s="3328" t="s">
        <v>443</v>
      </c>
      <c r="Q7" s="3326">
        <v>4</v>
      </c>
      <c r="R7" s="3326"/>
      <c r="S7" s="3326"/>
      <c r="T7" s="3327"/>
      <c r="U7" s="3328" t="s">
        <v>443</v>
      </c>
      <c r="V7" s="3326">
        <v>5</v>
      </c>
      <c r="W7" s="3326"/>
      <c r="X7" s="3326"/>
      <c r="Y7" s="3327"/>
      <c r="Z7" s="3328" t="s">
        <v>443</v>
      </c>
      <c r="AA7" s="3326">
        <v>6</v>
      </c>
      <c r="AB7" s="3326"/>
      <c r="AC7" s="3326"/>
      <c r="AD7" s="3327"/>
      <c r="AE7" s="3328" t="s">
        <v>443</v>
      </c>
      <c r="AF7" s="3326">
        <v>7</v>
      </c>
      <c r="AG7" s="3326"/>
      <c r="AH7" s="3326"/>
      <c r="AI7" s="3327"/>
      <c r="AJ7" s="3328" t="s">
        <v>443</v>
      </c>
      <c r="AK7" s="3326">
        <v>8</v>
      </c>
      <c r="AL7" s="3326"/>
      <c r="AM7" s="3326"/>
      <c r="AN7" s="3327"/>
      <c r="AO7" s="3328" t="s">
        <v>443</v>
      </c>
      <c r="AP7" s="3326">
        <v>9</v>
      </c>
      <c r="AQ7" s="3326"/>
      <c r="AR7" s="3326"/>
      <c r="AS7" s="3327"/>
      <c r="AT7" s="3328" t="s">
        <v>443</v>
      </c>
      <c r="AU7" s="3326">
        <v>10</v>
      </c>
      <c r="AV7" s="3326"/>
      <c r="AW7" s="3326"/>
      <c r="AX7" s="3327"/>
      <c r="AY7" s="3328" t="s">
        <v>443</v>
      </c>
      <c r="AZ7" s="3326">
        <v>11</v>
      </c>
      <c r="BA7" s="3326"/>
      <c r="BB7" s="3326"/>
      <c r="BC7" s="3327"/>
      <c r="BD7" s="3328" t="s">
        <v>443</v>
      </c>
      <c r="BE7" s="3326">
        <v>12</v>
      </c>
      <c r="BF7" s="3326"/>
      <c r="BG7" s="3326"/>
      <c r="BH7" s="3327"/>
      <c r="BI7" s="3328" t="s">
        <v>443</v>
      </c>
      <c r="BJ7" s="3326">
        <v>13</v>
      </c>
      <c r="BK7" s="3326"/>
      <c r="BL7" s="3326"/>
      <c r="BM7" s="3327"/>
      <c r="BN7" s="3328" t="s">
        <v>443</v>
      </c>
      <c r="BO7" s="3326">
        <v>14</v>
      </c>
      <c r="BP7" s="3326"/>
      <c r="BQ7" s="3326"/>
      <c r="BR7" s="3327"/>
      <c r="BT7" s="217"/>
    </row>
    <row r="8" spans="1:83" ht="27" customHeight="1" thickBot="1" x14ac:dyDescent="0.3">
      <c r="A8" s="3329"/>
      <c r="B8" s="183">
        <v>8.2550000000000008</v>
      </c>
      <c r="C8" s="184" t="s">
        <v>113</v>
      </c>
      <c r="D8" s="185">
        <v>1</v>
      </c>
      <c r="E8" s="186" t="s">
        <v>114</v>
      </c>
      <c r="F8" s="3329"/>
      <c r="G8" s="183">
        <v>4.47</v>
      </c>
      <c r="H8" s="184" t="s">
        <v>113</v>
      </c>
      <c r="I8" s="185">
        <v>2</v>
      </c>
      <c r="J8" s="186" t="s">
        <v>114</v>
      </c>
      <c r="K8" s="3329"/>
      <c r="L8" s="183">
        <v>0.55800000000000005</v>
      </c>
      <c r="M8" s="184" t="s">
        <v>113</v>
      </c>
      <c r="N8" s="185">
        <v>1</v>
      </c>
      <c r="O8" s="186" t="s">
        <v>114</v>
      </c>
      <c r="P8" s="3329"/>
      <c r="Q8" s="183">
        <v>7.4039999999999999</v>
      </c>
      <c r="R8" s="184" t="s">
        <v>113</v>
      </c>
      <c r="S8" s="185">
        <v>2</v>
      </c>
      <c r="T8" s="186" t="s">
        <v>114</v>
      </c>
      <c r="U8" s="3329"/>
      <c r="V8" s="183">
        <v>14.046200000000001</v>
      </c>
      <c r="W8" s="184" t="s">
        <v>113</v>
      </c>
      <c r="X8" s="185">
        <v>1</v>
      </c>
      <c r="Y8" s="186" t="s">
        <v>114</v>
      </c>
      <c r="Z8" s="3329"/>
      <c r="AA8" s="183">
        <v>6.2480000000000002</v>
      </c>
      <c r="AB8" s="184" t="s">
        <v>113</v>
      </c>
      <c r="AC8" s="185">
        <v>2</v>
      </c>
      <c r="AD8" s="186" t="s">
        <v>114</v>
      </c>
      <c r="AE8" s="3329"/>
      <c r="AF8" s="183">
        <v>0.22800000000000001</v>
      </c>
      <c r="AG8" s="184" t="s">
        <v>113</v>
      </c>
      <c r="AH8" s="185">
        <v>1</v>
      </c>
      <c r="AI8" s="186" t="s">
        <v>114</v>
      </c>
      <c r="AJ8" s="3329"/>
      <c r="AK8" s="183">
        <v>1.371</v>
      </c>
      <c r="AL8" s="184" t="s">
        <v>113</v>
      </c>
      <c r="AM8" s="185">
        <v>2</v>
      </c>
      <c r="AN8" s="186" t="s">
        <v>114</v>
      </c>
      <c r="AO8" s="3329"/>
      <c r="AP8" s="183">
        <v>1.8029999999999999</v>
      </c>
      <c r="AQ8" s="184" t="s">
        <v>113</v>
      </c>
      <c r="AR8" s="185">
        <v>1</v>
      </c>
      <c r="AS8" s="186" t="s">
        <v>114</v>
      </c>
      <c r="AT8" s="3329"/>
      <c r="AU8" s="183">
        <v>7.9880000000000004</v>
      </c>
      <c r="AV8" s="184" t="s">
        <v>113</v>
      </c>
      <c r="AW8" s="185">
        <v>2</v>
      </c>
      <c r="AX8" s="186" t="s">
        <v>114</v>
      </c>
      <c r="AY8" s="3329"/>
      <c r="AZ8" s="183">
        <v>1.93</v>
      </c>
      <c r="BA8" s="184" t="s">
        <v>113</v>
      </c>
      <c r="BB8" s="185">
        <v>1</v>
      </c>
      <c r="BC8" s="186" t="s">
        <v>114</v>
      </c>
      <c r="BD8" s="3329"/>
      <c r="BE8" s="183">
        <v>2.8439999999999999</v>
      </c>
      <c r="BF8" s="184" t="s">
        <v>113</v>
      </c>
      <c r="BG8" s="185">
        <v>2</v>
      </c>
      <c r="BH8" s="186" t="s">
        <v>114</v>
      </c>
      <c r="BI8" s="3329"/>
      <c r="BJ8" s="183">
        <v>4.9530000000000003</v>
      </c>
      <c r="BK8" s="184" t="s">
        <v>113</v>
      </c>
      <c r="BL8" s="185">
        <v>1</v>
      </c>
      <c r="BM8" s="186" t="s">
        <v>114</v>
      </c>
      <c r="BN8" s="3329"/>
      <c r="BO8" s="183">
        <v>0.60960000000000003</v>
      </c>
      <c r="BP8" s="184" t="s">
        <v>113</v>
      </c>
      <c r="BQ8" s="185">
        <v>2</v>
      </c>
      <c r="BR8" s="186" t="s">
        <v>114</v>
      </c>
      <c r="BW8" s="27"/>
      <c r="BX8" s="27"/>
      <c r="BY8" s="27"/>
      <c r="BZ8" s="27"/>
      <c r="CA8" s="27"/>
      <c r="CB8" s="27"/>
      <c r="CC8" s="27"/>
      <c r="CD8" s="27"/>
      <c r="CE8" s="27"/>
    </row>
    <row r="9" spans="1:83" ht="26.1" customHeight="1" x14ac:dyDescent="0.25">
      <c r="A9" s="3333" t="s">
        <v>110</v>
      </c>
      <c r="B9" s="3334"/>
      <c r="C9" s="3337">
        <f>B15/((54*3.1415/59)*(154.5/3.281))</f>
        <v>2.7201988535889485E-2</v>
      </c>
      <c r="D9" s="3337"/>
      <c r="E9" s="3338"/>
      <c r="F9" s="3333" t="s">
        <v>110</v>
      </c>
      <c r="G9" s="3334"/>
      <c r="H9" s="3337">
        <f>G15/((54*3.1415/59)*(154.5/3.281))</f>
        <v>1.3976194109819082E-2</v>
      </c>
      <c r="I9" s="3337"/>
      <c r="J9" s="3338"/>
      <c r="K9" s="3333" t="s">
        <v>110</v>
      </c>
      <c r="L9" s="3334"/>
      <c r="M9" s="3337">
        <f>L15/((54*3.1415/59)*(154.5/3.281))</f>
        <v>7.503996837486755E-3</v>
      </c>
      <c r="N9" s="3337"/>
      <c r="O9" s="3338"/>
      <c r="P9" s="3333" t="s">
        <v>110</v>
      </c>
      <c r="Q9" s="3334"/>
      <c r="R9" s="3337">
        <f>Q15/((54*3.1415/59)*(154.5/3.281))</f>
        <v>7.8791966793610915E-3</v>
      </c>
      <c r="S9" s="3337"/>
      <c r="T9" s="3338"/>
      <c r="U9" s="3333" t="s">
        <v>110</v>
      </c>
      <c r="V9" s="3334"/>
      <c r="W9" s="3337">
        <f>V15/((54*3.1415/59)*(154.5/3.281))</f>
        <v>5.4359662129825313E-3</v>
      </c>
      <c r="X9" s="3337"/>
      <c r="Y9" s="3338"/>
      <c r="Z9" s="3333" t="s">
        <v>110</v>
      </c>
      <c r="AA9" s="3334"/>
      <c r="AB9" s="3337">
        <f>AA15/((54*3.1415/59)*(154.5/3.281))</f>
        <v>2.4387989721831954E-2</v>
      </c>
      <c r="AC9" s="3337"/>
      <c r="AD9" s="3338"/>
      <c r="AE9" s="3333" t="s">
        <v>110</v>
      </c>
      <c r="AF9" s="3334"/>
      <c r="AG9" s="3337">
        <f>AF15/((54*3.1415/59)*(154.5/3.281))</f>
        <v>7.3858236589436562E-9</v>
      </c>
      <c r="AH9" s="3337"/>
      <c r="AI9" s="3338"/>
      <c r="AJ9" s="3333" t="s">
        <v>110</v>
      </c>
      <c r="AK9" s="3334"/>
      <c r="AL9" s="3337">
        <f>AK15/((54*3.1415/59)*(154.5/3.281))</f>
        <v>7.3858236589436555E-14</v>
      </c>
      <c r="AM9" s="3337"/>
      <c r="AN9" s="3338"/>
      <c r="AO9" s="3333" t="s">
        <v>110</v>
      </c>
      <c r="AP9" s="3334"/>
      <c r="AQ9" s="3337">
        <f>AP15/((54*3.1415/59)*(154.5/3.281))</f>
        <v>7.3858236589436562E-9</v>
      </c>
      <c r="AR9" s="3337"/>
      <c r="AS9" s="3338"/>
      <c r="AT9" s="3333" t="s">
        <v>110</v>
      </c>
      <c r="AU9" s="3334"/>
      <c r="AV9" s="3337">
        <f>AU15/((54*3.1415/59)*(154.5/3.281))</f>
        <v>2.1005282486035757E-2</v>
      </c>
      <c r="AW9" s="3337"/>
      <c r="AX9" s="3338"/>
      <c r="AY9" s="3333" t="s">
        <v>110</v>
      </c>
      <c r="AZ9" s="3334"/>
      <c r="BA9" s="3337">
        <f>AZ15/((54*3.1415/59)*(154.5/3.281))</f>
        <v>7.385823658943656E-10</v>
      </c>
      <c r="BB9" s="3337"/>
      <c r="BC9" s="3338"/>
      <c r="BD9" s="3333" t="s">
        <v>110</v>
      </c>
      <c r="BE9" s="3334"/>
      <c r="BF9" s="3337">
        <f>BE15/((54*3.1415/59)*(154.5/3.281))</f>
        <v>2.4012789879957613E-2</v>
      </c>
      <c r="BG9" s="3337"/>
      <c r="BH9" s="3338"/>
      <c r="BI9" s="3333" t="s">
        <v>110</v>
      </c>
      <c r="BJ9" s="3334"/>
      <c r="BK9" s="3337">
        <f>BJ15/((54*3.1415/59)*(154.5/3.281))</f>
        <v>7.3858236589436565E-13</v>
      </c>
      <c r="BL9" s="3337"/>
      <c r="BM9" s="3338"/>
      <c r="BN9" s="3333" t="s">
        <v>110</v>
      </c>
      <c r="BO9" s="3334"/>
      <c r="BP9" s="3337">
        <f>BO15/((54*3.1415/59)*(154.5/3.281))</f>
        <v>4.3133210168230952E-3</v>
      </c>
      <c r="BQ9" s="3337"/>
      <c r="BR9" s="3338"/>
    </row>
    <row r="10" spans="1:83" ht="6.75" customHeight="1" x14ac:dyDescent="0.25">
      <c r="A10" s="3335"/>
      <c r="B10" s="3336"/>
      <c r="C10" s="3339"/>
      <c r="D10" s="3339"/>
      <c r="E10" s="3340"/>
      <c r="F10" s="3335"/>
      <c r="G10" s="3336"/>
      <c r="H10" s="3339"/>
      <c r="I10" s="3339"/>
      <c r="J10" s="3340"/>
      <c r="K10" s="3335"/>
      <c r="L10" s="3336"/>
      <c r="M10" s="3339"/>
      <c r="N10" s="3339"/>
      <c r="O10" s="3340"/>
      <c r="P10" s="3335"/>
      <c r="Q10" s="3336"/>
      <c r="R10" s="3339"/>
      <c r="S10" s="3339"/>
      <c r="T10" s="3340"/>
      <c r="U10" s="3335"/>
      <c r="V10" s="3336"/>
      <c r="W10" s="3339"/>
      <c r="X10" s="3339"/>
      <c r="Y10" s="3340"/>
      <c r="Z10" s="3335"/>
      <c r="AA10" s="3336"/>
      <c r="AB10" s="3339"/>
      <c r="AC10" s="3339"/>
      <c r="AD10" s="3340"/>
      <c r="AE10" s="3335"/>
      <c r="AF10" s="3336"/>
      <c r="AG10" s="3339"/>
      <c r="AH10" s="3339"/>
      <c r="AI10" s="3340"/>
      <c r="AJ10" s="3335"/>
      <c r="AK10" s="3336"/>
      <c r="AL10" s="3339"/>
      <c r="AM10" s="3339"/>
      <c r="AN10" s="3340"/>
      <c r="AO10" s="3335"/>
      <c r="AP10" s="3336"/>
      <c r="AQ10" s="3339"/>
      <c r="AR10" s="3339"/>
      <c r="AS10" s="3340"/>
      <c r="AT10" s="3335"/>
      <c r="AU10" s="3336"/>
      <c r="AV10" s="3339"/>
      <c r="AW10" s="3339"/>
      <c r="AX10" s="3340"/>
      <c r="AY10" s="3335"/>
      <c r="AZ10" s="3336"/>
      <c r="BA10" s="3339"/>
      <c r="BB10" s="3339"/>
      <c r="BC10" s="3340"/>
      <c r="BD10" s="3335"/>
      <c r="BE10" s="3336"/>
      <c r="BF10" s="3339"/>
      <c r="BG10" s="3339"/>
      <c r="BH10" s="3340"/>
      <c r="BI10" s="3335"/>
      <c r="BJ10" s="3336"/>
      <c r="BK10" s="3339"/>
      <c r="BL10" s="3339"/>
      <c r="BM10" s="3340"/>
      <c r="BN10" s="3335"/>
      <c r="BO10" s="3336"/>
      <c r="BP10" s="3339"/>
      <c r="BQ10" s="3339"/>
      <c r="BR10" s="3340"/>
    </row>
    <row r="11" spans="1:83" ht="9" customHeight="1" thickBot="1" x14ac:dyDescent="0.3">
      <c r="A11" s="3335"/>
      <c r="B11" s="3336"/>
      <c r="C11" s="3339"/>
      <c r="D11" s="3339"/>
      <c r="E11" s="3340"/>
      <c r="F11" s="3335"/>
      <c r="G11" s="3336"/>
      <c r="H11" s="3339"/>
      <c r="I11" s="3339"/>
      <c r="J11" s="3340"/>
      <c r="K11" s="3335"/>
      <c r="L11" s="3336"/>
      <c r="M11" s="3339"/>
      <c r="N11" s="3339"/>
      <c r="O11" s="3340"/>
      <c r="P11" s="3335"/>
      <c r="Q11" s="3336"/>
      <c r="R11" s="3339"/>
      <c r="S11" s="3339"/>
      <c r="T11" s="3340"/>
      <c r="U11" s="3335"/>
      <c r="V11" s="3336"/>
      <c r="W11" s="3339"/>
      <c r="X11" s="3339"/>
      <c r="Y11" s="3340"/>
      <c r="Z11" s="3335"/>
      <c r="AA11" s="3336"/>
      <c r="AB11" s="3339"/>
      <c r="AC11" s="3339"/>
      <c r="AD11" s="3340"/>
      <c r="AE11" s="3335"/>
      <c r="AF11" s="3336"/>
      <c r="AG11" s="3339"/>
      <c r="AH11" s="3339"/>
      <c r="AI11" s="3340"/>
      <c r="AJ11" s="3335"/>
      <c r="AK11" s="3336"/>
      <c r="AL11" s="3339"/>
      <c r="AM11" s="3339"/>
      <c r="AN11" s="3340"/>
      <c r="AO11" s="3335"/>
      <c r="AP11" s="3336"/>
      <c r="AQ11" s="3339"/>
      <c r="AR11" s="3339"/>
      <c r="AS11" s="3340"/>
      <c r="AT11" s="3335"/>
      <c r="AU11" s="3336"/>
      <c r="AV11" s="3339"/>
      <c r="AW11" s="3339"/>
      <c r="AX11" s="3340"/>
      <c r="AY11" s="3335"/>
      <c r="AZ11" s="3336"/>
      <c r="BA11" s="3339"/>
      <c r="BB11" s="3339"/>
      <c r="BC11" s="3340"/>
      <c r="BD11" s="3335"/>
      <c r="BE11" s="3336"/>
      <c r="BF11" s="3339"/>
      <c r="BG11" s="3339"/>
      <c r="BH11" s="3340"/>
      <c r="BI11" s="3335"/>
      <c r="BJ11" s="3336"/>
      <c r="BK11" s="3339"/>
      <c r="BL11" s="3339"/>
      <c r="BM11" s="3340"/>
      <c r="BN11" s="3335"/>
      <c r="BO11" s="3336"/>
      <c r="BP11" s="3339"/>
      <c r="BQ11" s="3339"/>
      <c r="BR11" s="3340"/>
    </row>
    <row r="12" spans="1:83" ht="6" hidden="1" customHeight="1" x14ac:dyDescent="0.25">
      <c r="A12" s="3335"/>
      <c r="B12" s="3336"/>
      <c r="C12" s="3339"/>
      <c r="D12" s="3339"/>
      <c r="E12" s="3340"/>
      <c r="F12" s="3335"/>
      <c r="G12" s="3336"/>
      <c r="H12" s="3339"/>
      <c r="I12" s="3339"/>
      <c r="J12" s="3340"/>
      <c r="K12" s="3335"/>
      <c r="L12" s="3336"/>
      <c r="M12" s="3339"/>
      <c r="N12" s="3339"/>
      <c r="O12" s="3340"/>
      <c r="P12" s="3335"/>
      <c r="Q12" s="3336"/>
      <c r="R12" s="3339"/>
      <c r="S12" s="3339"/>
      <c r="T12" s="3340"/>
      <c r="U12" s="3335"/>
      <c r="V12" s="3336"/>
      <c r="W12" s="3339"/>
      <c r="X12" s="3339"/>
      <c r="Y12" s="3340"/>
      <c r="Z12" s="3335"/>
      <c r="AA12" s="3336"/>
      <c r="AB12" s="3339"/>
      <c r="AC12" s="3339"/>
      <c r="AD12" s="3340"/>
      <c r="AE12" s="3335"/>
      <c r="AF12" s="3336"/>
      <c r="AG12" s="3339"/>
      <c r="AH12" s="3339"/>
      <c r="AI12" s="3340"/>
      <c r="AJ12" s="3335"/>
      <c r="AK12" s="3336"/>
      <c r="AL12" s="3339"/>
      <c r="AM12" s="3339"/>
      <c r="AN12" s="3340"/>
      <c r="AO12" s="3335"/>
      <c r="AP12" s="3336"/>
      <c r="AQ12" s="3339"/>
      <c r="AR12" s="3339"/>
      <c r="AS12" s="3340"/>
      <c r="AT12" s="3335"/>
      <c r="AU12" s="3336"/>
      <c r="AV12" s="3339"/>
      <c r="AW12" s="3339"/>
      <c r="AX12" s="3340"/>
      <c r="AY12" s="3335"/>
      <c r="AZ12" s="3336"/>
      <c r="BA12" s="3339"/>
      <c r="BB12" s="3339"/>
      <c r="BC12" s="3340"/>
      <c r="BD12" s="3335"/>
      <c r="BE12" s="3336"/>
      <c r="BF12" s="3339"/>
      <c r="BG12" s="3339"/>
      <c r="BH12" s="3340"/>
      <c r="BI12" s="3335"/>
      <c r="BJ12" s="3336"/>
      <c r="BK12" s="3339"/>
      <c r="BL12" s="3339"/>
      <c r="BM12" s="3340"/>
      <c r="BN12" s="3335"/>
      <c r="BO12" s="3336"/>
      <c r="BP12" s="3339"/>
      <c r="BQ12" s="3339"/>
      <c r="BR12" s="3340"/>
    </row>
    <row r="13" spans="1:83" ht="27.75" customHeight="1" thickBot="1" x14ac:dyDescent="0.3">
      <c r="A13" s="3341" t="s">
        <v>444</v>
      </c>
      <c r="B13" s="3342"/>
      <c r="C13" s="2319" t="s">
        <v>111</v>
      </c>
      <c r="D13" s="2320"/>
      <c r="E13" s="3343"/>
      <c r="F13" s="3341" t="s">
        <v>444</v>
      </c>
      <c r="G13" s="3342"/>
      <c r="H13" s="2319" t="s">
        <v>111</v>
      </c>
      <c r="I13" s="2320"/>
      <c r="J13" s="3343"/>
      <c r="K13" s="3341" t="s">
        <v>444</v>
      </c>
      <c r="L13" s="3342"/>
      <c r="M13" s="2319" t="s">
        <v>111</v>
      </c>
      <c r="N13" s="2320"/>
      <c r="O13" s="3343"/>
      <c r="P13" s="3341" t="s">
        <v>444</v>
      </c>
      <c r="Q13" s="3342"/>
      <c r="R13" s="2319" t="s">
        <v>111</v>
      </c>
      <c r="S13" s="2320"/>
      <c r="T13" s="3343"/>
      <c r="U13" s="3341" t="s">
        <v>444</v>
      </c>
      <c r="V13" s="3342"/>
      <c r="W13" s="2319" t="s">
        <v>111</v>
      </c>
      <c r="X13" s="2320"/>
      <c r="Y13" s="3343"/>
      <c r="Z13" s="3341" t="s">
        <v>444</v>
      </c>
      <c r="AA13" s="3342"/>
      <c r="AB13" s="2319" t="s">
        <v>111</v>
      </c>
      <c r="AC13" s="2320"/>
      <c r="AD13" s="3343"/>
      <c r="AE13" s="3341" t="s">
        <v>444</v>
      </c>
      <c r="AF13" s="3342"/>
      <c r="AG13" s="2319" t="s">
        <v>111</v>
      </c>
      <c r="AH13" s="2320"/>
      <c r="AI13" s="3343"/>
      <c r="AJ13" s="3341" t="s">
        <v>444</v>
      </c>
      <c r="AK13" s="3342"/>
      <c r="AL13" s="2319" t="s">
        <v>111</v>
      </c>
      <c r="AM13" s="2320"/>
      <c r="AN13" s="3343"/>
      <c r="AO13" s="3341" t="s">
        <v>444</v>
      </c>
      <c r="AP13" s="3342"/>
      <c r="AQ13" s="2319" t="s">
        <v>111</v>
      </c>
      <c r="AR13" s="2320"/>
      <c r="AS13" s="3343"/>
      <c r="AT13" s="3341" t="s">
        <v>444</v>
      </c>
      <c r="AU13" s="3342"/>
      <c r="AV13" s="2319" t="s">
        <v>111</v>
      </c>
      <c r="AW13" s="2320"/>
      <c r="AX13" s="3343"/>
      <c r="AY13" s="3344" t="s">
        <v>444</v>
      </c>
      <c r="AZ13" s="3345"/>
      <c r="BA13" s="2319" t="s">
        <v>111</v>
      </c>
      <c r="BB13" s="2320"/>
      <c r="BC13" s="3343"/>
      <c r="BD13" s="3341" t="s">
        <v>444</v>
      </c>
      <c r="BE13" s="3342"/>
      <c r="BF13" s="2319" t="s">
        <v>111</v>
      </c>
      <c r="BG13" s="2320"/>
      <c r="BH13" s="3343"/>
      <c r="BI13" s="3341" t="s">
        <v>444</v>
      </c>
      <c r="BJ13" s="3342"/>
      <c r="BK13" s="2319" t="s">
        <v>111</v>
      </c>
      <c r="BL13" s="2320"/>
      <c r="BM13" s="3343"/>
      <c r="BN13" s="3341" t="s">
        <v>444</v>
      </c>
      <c r="BO13" s="3342"/>
      <c r="BP13" s="2319" t="s">
        <v>111</v>
      </c>
      <c r="BQ13" s="2320"/>
      <c r="BR13" s="3343"/>
    </row>
    <row r="14" spans="1:83" s="22" customFormat="1" ht="80.099999999999994" customHeight="1" x14ac:dyDescent="1.35">
      <c r="A14" s="3328" t="s">
        <v>443</v>
      </c>
      <c r="B14" s="3326">
        <v>15</v>
      </c>
      <c r="C14" s="3326"/>
      <c r="D14" s="3326"/>
      <c r="E14" s="3327"/>
      <c r="F14" s="3328" t="s">
        <v>443</v>
      </c>
      <c r="G14" s="3326">
        <v>16</v>
      </c>
      <c r="H14" s="3326"/>
      <c r="I14" s="3326"/>
      <c r="J14" s="3327"/>
      <c r="K14" s="3328" t="s">
        <v>443</v>
      </c>
      <c r="L14" s="3326">
        <v>17</v>
      </c>
      <c r="M14" s="3326"/>
      <c r="N14" s="3326"/>
      <c r="O14" s="3327"/>
      <c r="P14" s="3328" t="s">
        <v>443</v>
      </c>
      <c r="Q14" s="3326">
        <v>18</v>
      </c>
      <c r="R14" s="3326"/>
      <c r="S14" s="3326"/>
      <c r="T14" s="3327"/>
      <c r="U14" s="3328" t="s">
        <v>443</v>
      </c>
      <c r="V14" s="3326">
        <v>19</v>
      </c>
      <c r="W14" s="3326"/>
      <c r="X14" s="3326"/>
      <c r="Y14" s="3327"/>
      <c r="Z14" s="3328" t="s">
        <v>443</v>
      </c>
      <c r="AA14" s="3326">
        <v>20</v>
      </c>
      <c r="AB14" s="3326"/>
      <c r="AC14" s="3326"/>
      <c r="AD14" s="3327"/>
      <c r="AE14" s="3328" t="s">
        <v>443</v>
      </c>
      <c r="AF14" s="3326">
        <v>21</v>
      </c>
      <c r="AG14" s="3326"/>
      <c r="AH14" s="3326"/>
      <c r="AI14" s="3327"/>
      <c r="AJ14" s="3328" t="s">
        <v>443</v>
      </c>
      <c r="AK14" s="3326">
        <v>22</v>
      </c>
      <c r="AL14" s="3326"/>
      <c r="AM14" s="3326"/>
      <c r="AN14" s="3327"/>
      <c r="AO14" s="3328" t="s">
        <v>443</v>
      </c>
      <c r="AP14" s="3326">
        <v>23</v>
      </c>
      <c r="AQ14" s="3326"/>
      <c r="AR14" s="3326"/>
      <c r="AS14" s="3327"/>
      <c r="AT14" s="3328" t="s">
        <v>443</v>
      </c>
      <c r="AU14" s="3326">
        <v>24</v>
      </c>
      <c r="AV14" s="3326"/>
      <c r="AW14" s="3326"/>
      <c r="AX14" s="3327"/>
      <c r="AY14" s="3328" t="s">
        <v>443</v>
      </c>
      <c r="AZ14" s="3326">
        <v>25</v>
      </c>
      <c r="BA14" s="3326"/>
      <c r="BB14" s="3326"/>
      <c r="BC14" s="3327"/>
      <c r="BD14" s="3328" t="s">
        <v>443</v>
      </c>
      <c r="BE14" s="3326">
        <v>26</v>
      </c>
      <c r="BF14" s="3326"/>
      <c r="BG14" s="3326"/>
      <c r="BH14" s="3327"/>
      <c r="BI14" s="3328" t="s">
        <v>443</v>
      </c>
      <c r="BJ14" s="3326">
        <v>27</v>
      </c>
      <c r="BK14" s="3326"/>
      <c r="BL14" s="3326"/>
      <c r="BM14" s="3327"/>
      <c r="BN14" s="3328" t="s">
        <v>443</v>
      </c>
      <c r="BO14" s="3326">
        <v>28</v>
      </c>
      <c r="BP14" s="3326"/>
      <c r="BQ14" s="3326"/>
      <c r="BR14" s="3327"/>
      <c r="BT14" s="218"/>
    </row>
    <row r="15" spans="1:83" ht="27" customHeight="1" thickBot="1" x14ac:dyDescent="0.3">
      <c r="A15" s="3329"/>
      <c r="B15" s="183">
        <v>3.6829999999999998</v>
      </c>
      <c r="C15" s="184" t="s">
        <v>113</v>
      </c>
      <c r="D15" s="185">
        <v>1</v>
      </c>
      <c r="E15" s="186" t="s">
        <v>114</v>
      </c>
      <c r="F15" s="3329"/>
      <c r="G15" s="183">
        <v>1.8923000000000001</v>
      </c>
      <c r="H15" s="184" t="s">
        <v>113</v>
      </c>
      <c r="I15" s="185">
        <v>2</v>
      </c>
      <c r="J15" s="186" t="s">
        <v>114</v>
      </c>
      <c r="K15" s="3329"/>
      <c r="L15" s="183">
        <v>1.016</v>
      </c>
      <c r="M15" s="184" t="s">
        <v>113</v>
      </c>
      <c r="N15" s="185">
        <v>1</v>
      </c>
      <c r="O15" s="186" t="s">
        <v>114</v>
      </c>
      <c r="P15" s="3329"/>
      <c r="Q15" s="183">
        <v>1.0668</v>
      </c>
      <c r="R15" s="184" t="s">
        <v>113</v>
      </c>
      <c r="S15" s="185">
        <v>2</v>
      </c>
      <c r="T15" s="186" t="s">
        <v>114</v>
      </c>
      <c r="U15" s="3329"/>
      <c r="V15" s="183">
        <v>0.73599999999999999</v>
      </c>
      <c r="W15" s="184" t="s">
        <v>113</v>
      </c>
      <c r="X15" s="185">
        <v>1</v>
      </c>
      <c r="Y15" s="186" t="s">
        <v>114</v>
      </c>
      <c r="Z15" s="3329"/>
      <c r="AA15" s="183">
        <v>3.302</v>
      </c>
      <c r="AB15" s="184" t="s">
        <v>113</v>
      </c>
      <c r="AC15" s="185">
        <v>2</v>
      </c>
      <c r="AD15" s="186" t="s">
        <v>114</v>
      </c>
      <c r="AE15" s="3329"/>
      <c r="AF15" s="183">
        <v>9.9999999999999995E-7</v>
      </c>
      <c r="AG15" s="184" t="s">
        <v>113</v>
      </c>
      <c r="AH15" s="185">
        <v>1</v>
      </c>
      <c r="AI15" s="186" t="s">
        <v>114</v>
      </c>
      <c r="AJ15" s="3329"/>
      <c r="AK15" s="183">
        <v>9.9999999999999994E-12</v>
      </c>
      <c r="AL15" s="184" t="s">
        <v>113</v>
      </c>
      <c r="AM15" s="185">
        <v>2</v>
      </c>
      <c r="AN15" s="186" t="s">
        <v>114</v>
      </c>
      <c r="AO15" s="3329"/>
      <c r="AP15" s="183">
        <v>9.9999999999999995E-7</v>
      </c>
      <c r="AQ15" s="184" t="s">
        <v>113</v>
      </c>
      <c r="AR15" s="185">
        <v>1</v>
      </c>
      <c r="AS15" s="186" t="s">
        <v>114</v>
      </c>
      <c r="AT15" s="3329"/>
      <c r="AU15" s="183">
        <v>2.8439999999999999</v>
      </c>
      <c r="AV15" s="184" t="s">
        <v>113</v>
      </c>
      <c r="AW15" s="185">
        <v>2</v>
      </c>
      <c r="AX15" s="186" t="s">
        <v>114</v>
      </c>
      <c r="AY15" s="3329"/>
      <c r="AZ15" s="183">
        <v>9.9999999999999995E-8</v>
      </c>
      <c r="BA15" s="184" t="s">
        <v>113</v>
      </c>
      <c r="BB15" s="185">
        <v>1</v>
      </c>
      <c r="BC15" s="186" t="s">
        <v>114</v>
      </c>
      <c r="BD15" s="3329"/>
      <c r="BE15" s="183">
        <v>3.2511999999999999</v>
      </c>
      <c r="BF15" s="184" t="s">
        <v>113</v>
      </c>
      <c r="BG15" s="185">
        <v>2</v>
      </c>
      <c r="BH15" s="186" t="s">
        <v>114</v>
      </c>
      <c r="BI15" s="3329"/>
      <c r="BJ15" s="183">
        <v>1E-10</v>
      </c>
      <c r="BK15" s="184" t="s">
        <v>113</v>
      </c>
      <c r="BL15" s="185">
        <v>1</v>
      </c>
      <c r="BM15" s="186" t="s">
        <v>114</v>
      </c>
      <c r="BN15" s="3329"/>
      <c r="BO15" s="183">
        <v>0.58399999999999996</v>
      </c>
      <c r="BP15" s="184" t="s">
        <v>113</v>
      </c>
      <c r="BQ15" s="185">
        <v>2</v>
      </c>
      <c r="BR15" s="186" t="s">
        <v>114</v>
      </c>
      <c r="BW15" s="27"/>
      <c r="BX15" s="27"/>
      <c r="BY15" s="27"/>
      <c r="BZ15" s="27"/>
      <c r="CA15" s="27"/>
      <c r="CB15" s="27"/>
      <c r="CC15" s="27"/>
      <c r="CD15" s="27"/>
      <c r="CE15" s="27"/>
    </row>
    <row r="16" spans="1:83" ht="26.1" customHeight="1" x14ac:dyDescent="0.25">
      <c r="A16" s="3333" t="s">
        <v>110</v>
      </c>
      <c r="B16" s="3334"/>
      <c r="C16" s="3337">
        <f>B22/((54*3.1415/59)*(154.5/3.281))</f>
        <v>1.2944394544664652E-2</v>
      </c>
      <c r="D16" s="3337"/>
      <c r="E16" s="3338"/>
      <c r="F16" s="3333" t="s">
        <v>110</v>
      </c>
      <c r="G16" s="3334"/>
      <c r="H16" s="3337">
        <f>G22/((54*3.1415/59)*(154.5/3.281))</f>
        <v>1.3072907876330272E-3</v>
      </c>
      <c r="I16" s="3337"/>
      <c r="J16" s="3338"/>
      <c r="K16" s="3333" t="s">
        <v>110</v>
      </c>
      <c r="L16" s="3334"/>
      <c r="M16" s="3337">
        <f>L22/((54*3.1415/59)*(154.5/3.281))</f>
        <v>1.3072907876330272E-3</v>
      </c>
      <c r="N16" s="3337"/>
      <c r="O16" s="3338"/>
      <c r="P16" s="3333" t="s">
        <v>110</v>
      </c>
      <c r="Q16" s="3334"/>
      <c r="R16" s="3337">
        <f>Q22/((54*3.1415/59)*(154.5/3.281))</f>
        <v>4.9145270626611087E-2</v>
      </c>
      <c r="S16" s="3337"/>
      <c r="T16" s="3338"/>
      <c r="U16" s="3333" t="s">
        <v>110</v>
      </c>
      <c r="V16" s="3334"/>
      <c r="W16" s="3337">
        <f>V22/((54*3.1415/59)*(154.5/3.281))</f>
        <v>9.7551958887327813E-3</v>
      </c>
      <c r="X16" s="3337"/>
      <c r="Y16" s="3338"/>
      <c r="Z16" s="3333" t="s">
        <v>110</v>
      </c>
      <c r="AA16" s="3334"/>
      <c r="AB16" s="3337">
        <f>AA22/((54*3.1415/59)*(154.5/3.281))</f>
        <v>2.3257958702013574E-2</v>
      </c>
      <c r="AC16" s="3337"/>
      <c r="AD16" s="3338"/>
      <c r="AE16" s="3333" t="s">
        <v>110</v>
      </c>
      <c r="AF16" s="3334"/>
      <c r="AG16" s="3337">
        <f>AF22/((54*3.1415/59)*(154.5/3.281))</f>
        <v>5.2151300855801157E-2</v>
      </c>
      <c r="AH16" s="3337"/>
      <c r="AI16" s="3338"/>
      <c r="AJ16" s="3333" t="s">
        <v>110</v>
      </c>
      <c r="AK16" s="3334"/>
      <c r="AL16" s="3337">
        <f>AK22/((54*3.1415/59)*(154.5/3.281))</f>
        <v>7.8732880204339384E-3</v>
      </c>
      <c r="AM16" s="3337"/>
      <c r="AN16" s="3338"/>
      <c r="AO16" s="3333" t="s">
        <v>110</v>
      </c>
      <c r="AP16" s="3334"/>
      <c r="AQ16" s="3337">
        <f>AP22/((54*3.1415/59)*(154.5/3.281))</f>
        <v>7.1273198308806282E-3</v>
      </c>
      <c r="AR16" s="3337"/>
      <c r="AS16" s="3338"/>
      <c r="AT16" s="3333" t="s">
        <v>110</v>
      </c>
      <c r="AU16" s="3334"/>
      <c r="AV16" s="3337">
        <f>AU22/((54*3.1415/59)*(154.5/3.281))</f>
        <v>3.6013276161009272E-2</v>
      </c>
      <c r="AW16" s="3337"/>
      <c r="AX16" s="3338"/>
      <c r="AY16" s="3333" t="s">
        <v>110</v>
      </c>
      <c r="AZ16" s="3334"/>
      <c r="BA16" s="3337">
        <f>AZ22/((54*3.1415/59)*(154.5/3.281))</f>
        <v>3.0200632941420613E-2</v>
      </c>
      <c r="BB16" s="3337"/>
      <c r="BC16" s="3338"/>
      <c r="BD16" s="3333" t="s">
        <v>110</v>
      </c>
      <c r="BE16" s="3334"/>
      <c r="BF16" s="3337">
        <f>BE22/((54*3.1415/59)*(154.5/3.281))</f>
        <v>4.0333983001491311E-2</v>
      </c>
      <c r="BG16" s="3337"/>
      <c r="BH16" s="3338"/>
      <c r="BI16" s="3333" t="s">
        <v>110</v>
      </c>
      <c r="BJ16" s="3334"/>
      <c r="BK16" s="3337">
        <f>BJ22/((54*3.1415/59)*(154.5/3.281))</f>
        <v>2.4373218074514066E-3</v>
      </c>
      <c r="BL16" s="3337"/>
      <c r="BM16" s="3338"/>
      <c r="BN16" s="3333" t="s">
        <v>110</v>
      </c>
      <c r="BO16" s="3334"/>
      <c r="BP16" s="3337">
        <f>BO22/((54*3.1415/59)*(154.5/3.281))</f>
        <v>5.4359662129825313E-3</v>
      </c>
      <c r="BQ16" s="3337"/>
      <c r="BR16" s="3338"/>
    </row>
    <row r="17" spans="1:138" ht="6.75" customHeight="1" x14ac:dyDescent="0.25">
      <c r="A17" s="3335"/>
      <c r="B17" s="3336"/>
      <c r="C17" s="3339"/>
      <c r="D17" s="3339"/>
      <c r="E17" s="3340"/>
      <c r="F17" s="3335"/>
      <c r="G17" s="3336"/>
      <c r="H17" s="3339"/>
      <c r="I17" s="3339"/>
      <c r="J17" s="3340"/>
      <c r="K17" s="3335"/>
      <c r="L17" s="3336"/>
      <c r="M17" s="3339"/>
      <c r="N17" s="3339"/>
      <c r="O17" s="3340"/>
      <c r="P17" s="3335"/>
      <c r="Q17" s="3336"/>
      <c r="R17" s="3339"/>
      <c r="S17" s="3339"/>
      <c r="T17" s="3340"/>
      <c r="U17" s="3335"/>
      <c r="V17" s="3336"/>
      <c r="W17" s="3339"/>
      <c r="X17" s="3339"/>
      <c r="Y17" s="3340"/>
      <c r="Z17" s="3335"/>
      <c r="AA17" s="3336"/>
      <c r="AB17" s="3339"/>
      <c r="AC17" s="3339"/>
      <c r="AD17" s="3340"/>
      <c r="AE17" s="3335"/>
      <c r="AF17" s="3336"/>
      <c r="AG17" s="3339"/>
      <c r="AH17" s="3339"/>
      <c r="AI17" s="3340"/>
      <c r="AJ17" s="3335"/>
      <c r="AK17" s="3336"/>
      <c r="AL17" s="3339"/>
      <c r="AM17" s="3339"/>
      <c r="AN17" s="3340"/>
      <c r="AO17" s="3335"/>
      <c r="AP17" s="3336"/>
      <c r="AQ17" s="3339"/>
      <c r="AR17" s="3339"/>
      <c r="AS17" s="3340"/>
      <c r="AT17" s="3335"/>
      <c r="AU17" s="3336"/>
      <c r="AV17" s="3339"/>
      <c r="AW17" s="3339"/>
      <c r="AX17" s="3340"/>
      <c r="AY17" s="3335"/>
      <c r="AZ17" s="3336"/>
      <c r="BA17" s="3339"/>
      <c r="BB17" s="3339"/>
      <c r="BC17" s="3340"/>
      <c r="BD17" s="3335"/>
      <c r="BE17" s="3336"/>
      <c r="BF17" s="3339"/>
      <c r="BG17" s="3339"/>
      <c r="BH17" s="3340"/>
      <c r="BI17" s="3335"/>
      <c r="BJ17" s="3336"/>
      <c r="BK17" s="3339"/>
      <c r="BL17" s="3339"/>
      <c r="BM17" s="3340"/>
      <c r="BN17" s="3335"/>
      <c r="BO17" s="3336"/>
      <c r="BP17" s="3339"/>
      <c r="BQ17" s="3339"/>
      <c r="BR17" s="3340"/>
    </row>
    <row r="18" spans="1:138" ht="12.75" customHeight="1" x14ac:dyDescent="0.25">
      <c r="A18" s="3335"/>
      <c r="B18" s="3336"/>
      <c r="C18" s="3339"/>
      <c r="D18" s="3339"/>
      <c r="E18" s="3340"/>
      <c r="F18" s="3335"/>
      <c r="G18" s="3336"/>
      <c r="H18" s="3339"/>
      <c r="I18" s="3339"/>
      <c r="J18" s="3340"/>
      <c r="K18" s="3335"/>
      <c r="L18" s="3336"/>
      <c r="M18" s="3339"/>
      <c r="N18" s="3339"/>
      <c r="O18" s="3340"/>
      <c r="P18" s="3335"/>
      <c r="Q18" s="3336"/>
      <c r="R18" s="3339"/>
      <c r="S18" s="3339"/>
      <c r="T18" s="3340"/>
      <c r="U18" s="3335"/>
      <c r="V18" s="3336"/>
      <c r="W18" s="3339"/>
      <c r="X18" s="3339"/>
      <c r="Y18" s="3340"/>
      <c r="Z18" s="3335"/>
      <c r="AA18" s="3336"/>
      <c r="AB18" s="3339"/>
      <c r="AC18" s="3339"/>
      <c r="AD18" s="3340"/>
      <c r="AE18" s="3335"/>
      <c r="AF18" s="3336"/>
      <c r="AG18" s="3339"/>
      <c r="AH18" s="3339"/>
      <c r="AI18" s="3340"/>
      <c r="AJ18" s="3335"/>
      <c r="AK18" s="3336"/>
      <c r="AL18" s="3339"/>
      <c r="AM18" s="3339"/>
      <c r="AN18" s="3340"/>
      <c r="AO18" s="3335"/>
      <c r="AP18" s="3336"/>
      <c r="AQ18" s="3339"/>
      <c r="AR18" s="3339"/>
      <c r="AS18" s="3340"/>
      <c r="AT18" s="3335"/>
      <c r="AU18" s="3336"/>
      <c r="AV18" s="3339"/>
      <c r="AW18" s="3339"/>
      <c r="AX18" s="3340"/>
      <c r="AY18" s="3335"/>
      <c r="AZ18" s="3336"/>
      <c r="BA18" s="3339"/>
      <c r="BB18" s="3339"/>
      <c r="BC18" s="3340"/>
      <c r="BD18" s="3335"/>
      <c r="BE18" s="3336"/>
      <c r="BF18" s="3339"/>
      <c r="BG18" s="3339"/>
      <c r="BH18" s="3340"/>
      <c r="BI18" s="3335"/>
      <c r="BJ18" s="3336"/>
      <c r="BK18" s="3339"/>
      <c r="BL18" s="3339"/>
      <c r="BM18" s="3340"/>
      <c r="BN18" s="3335"/>
      <c r="BO18" s="3336"/>
      <c r="BP18" s="3339"/>
      <c r="BQ18" s="3339"/>
      <c r="BR18" s="3340"/>
    </row>
    <row r="19" spans="1:138" ht="6" hidden="1" customHeight="1" x14ac:dyDescent="0.25">
      <c r="A19" s="3335"/>
      <c r="B19" s="3336"/>
      <c r="C19" s="3339"/>
      <c r="D19" s="3339"/>
      <c r="E19" s="3340"/>
      <c r="F19" s="3335"/>
      <c r="G19" s="3336"/>
      <c r="H19" s="3339"/>
      <c r="I19" s="3339"/>
      <c r="J19" s="3340"/>
      <c r="K19" s="3335"/>
      <c r="L19" s="3336"/>
      <c r="M19" s="3339"/>
      <c r="N19" s="3339"/>
      <c r="O19" s="3340"/>
      <c r="P19" s="3335"/>
      <c r="Q19" s="3336"/>
      <c r="R19" s="3339"/>
      <c r="S19" s="3339"/>
      <c r="T19" s="3340"/>
      <c r="U19" s="3335"/>
      <c r="V19" s="3336"/>
      <c r="W19" s="3339"/>
      <c r="X19" s="3339"/>
      <c r="Y19" s="3340"/>
      <c r="Z19" s="3335"/>
      <c r="AA19" s="3336"/>
      <c r="AB19" s="3339"/>
      <c r="AC19" s="3339"/>
      <c r="AD19" s="3340"/>
      <c r="AE19" s="3335"/>
      <c r="AF19" s="3336"/>
      <c r="AG19" s="3339"/>
      <c r="AH19" s="3339"/>
      <c r="AI19" s="3340"/>
      <c r="AJ19" s="3335"/>
      <c r="AK19" s="3336"/>
      <c r="AL19" s="3339"/>
      <c r="AM19" s="3339"/>
      <c r="AN19" s="3340"/>
      <c r="AO19" s="3335"/>
      <c r="AP19" s="3336"/>
      <c r="AQ19" s="3339"/>
      <c r="AR19" s="3339"/>
      <c r="AS19" s="3340"/>
      <c r="AT19" s="3335"/>
      <c r="AU19" s="3336"/>
      <c r="AV19" s="3339"/>
      <c r="AW19" s="3339"/>
      <c r="AX19" s="3340"/>
      <c r="AY19" s="3335"/>
      <c r="AZ19" s="3336"/>
      <c r="BA19" s="3339"/>
      <c r="BB19" s="3339"/>
      <c r="BC19" s="3340"/>
      <c r="BD19" s="3335"/>
      <c r="BE19" s="3336"/>
      <c r="BF19" s="3339"/>
      <c r="BG19" s="3339"/>
      <c r="BH19" s="3340"/>
      <c r="BI19" s="3335"/>
      <c r="BJ19" s="3336"/>
      <c r="BK19" s="3339"/>
      <c r="BL19" s="3339"/>
      <c r="BM19" s="3340"/>
      <c r="BN19" s="3335"/>
      <c r="BO19" s="3336"/>
      <c r="BP19" s="3339"/>
      <c r="BQ19" s="3339"/>
      <c r="BR19" s="3340"/>
    </row>
    <row r="20" spans="1:138" ht="28.5" customHeight="1" x14ac:dyDescent="0.25">
      <c r="A20" s="3341" t="s">
        <v>444</v>
      </c>
      <c r="B20" s="3342"/>
      <c r="C20" s="2319" t="s">
        <v>111</v>
      </c>
      <c r="D20" s="2320"/>
      <c r="E20" s="3343"/>
      <c r="F20" s="3341" t="s">
        <v>444</v>
      </c>
      <c r="G20" s="3342"/>
      <c r="H20" s="2319" t="s">
        <v>111</v>
      </c>
      <c r="I20" s="2320"/>
      <c r="J20" s="3343"/>
      <c r="K20" s="3341" t="s">
        <v>444</v>
      </c>
      <c r="L20" s="3342"/>
      <c r="M20" s="2319" t="s">
        <v>111</v>
      </c>
      <c r="N20" s="2320"/>
      <c r="O20" s="3343"/>
      <c r="P20" s="3341" t="s">
        <v>444</v>
      </c>
      <c r="Q20" s="3342"/>
      <c r="R20" s="2319" t="s">
        <v>111</v>
      </c>
      <c r="S20" s="2320"/>
      <c r="T20" s="3343"/>
      <c r="U20" s="3341" t="s">
        <v>444</v>
      </c>
      <c r="V20" s="3342"/>
      <c r="W20" s="2319" t="s">
        <v>111</v>
      </c>
      <c r="X20" s="2320"/>
      <c r="Y20" s="3343"/>
      <c r="Z20" s="3341" t="s">
        <v>444</v>
      </c>
      <c r="AA20" s="3342"/>
      <c r="AB20" s="2319" t="s">
        <v>111</v>
      </c>
      <c r="AC20" s="2320"/>
      <c r="AD20" s="3343"/>
      <c r="AE20" s="3341" t="s">
        <v>444</v>
      </c>
      <c r="AF20" s="3342"/>
      <c r="AG20" s="2319" t="s">
        <v>111</v>
      </c>
      <c r="AH20" s="2320"/>
      <c r="AI20" s="3343"/>
      <c r="AJ20" s="3341" t="s">
        <v>444</v>
      </c>
      <c r="AK20" s="3342"/>
      <c r="AL20" s="2319" t="s">
        <v>111</v>
      </c>
      <c r="AM20" s="2320"/>
      <c r="AN20" s="3343"/>
      <c r="AO20" s="3341" t="s">
        <v>444</v>
      </c>
      <c r="AP20" s="3342"/>
      <c r="AQ20" s="2319" t="s">
        <v>111</v>
      </c>
      <c r="AR20" s="2320"/>
      <c r="AS20" s="3343"/>
      <c r="AT20" s="3341" t="s">
        <v>444</v>
      </c>
      <c r="AU20" s="3342"/>
      <c r="AV20" s="2319" t="s">
        <v>111</v>
      </c>
      <c r="AW20" s="2320"/>
      <c r="AX20" s="3343"/>
      <c r="AY20" s="3341" t="s">
        <v>444</v>
      </c>
      <c r="AZ20" s="3342"/>
      <c r="BA20" s="2319" t="s">
        <v>111</v>
      </c>
      <c r="BB20" s="2320"/>
      <c r="BC20" s="3343"/>
      <c r="BD20" s="3341" t="s">
        <v>444</v>
      </c>
      <c r="BE20" s="3342"/>
      <c r="BF20" s="2319" t="s">
        <v>111</v>
      </c>
      <c r="BG20" s="2320"/>
      <c r="BH20" s="3343"/>
      <c r="BI20" s="3341" t="s">
        <v>444</v>
      </c>
      <c r="BJ20" s="3342"/>
      <c r="BK20" s="2319" t="s">
        <v>111</v>
      </c>
      <c r="BL20" s="2320"/>
      <c r="BM20" s="3343"/>
      <c r="BN20" s="3341" t="s">
        <v>444</v>
      </c>
      <c r="BO20" s="3342"/>
      <c r="BP20" s="2319" t="s">
        <v>111</v>
      </c>
      <c r="BQ20" s="2320"/>
      <c r="BR20" s="3343"/>
    </row>
    <row r="21" spans="1:138" s="22" customFormat="1" ht="74.25" customHeight="1" x14ac:dyDescent="1.35">
      <c r="A21" s="3328" t="s">
        <v>443</v>
      </c>
      <c r="B21" s="3326">
        <v>29</v>
      </c>
      <c r="C21" s="3326"/>
      <c r="D21" s="3326"/>
      <c r="E21" s="3327"/>
      <c r="F21" s="3328" t="s">
        <v>443</v>
      </c>
      <c r="G21" s="3326">
        <v>30</v>
      </c>
      <c r="H21" s="3326"/>
      <c r="I21" s="3326"/>
      <c r="J21" s="3327"/>
      <c r="K21" s="3328" t="s">
        <v>443</v>
      </c>
      <c r="L21" s="3326">
        <v>31</v>
      </c>
      <c r="M21" s="3326"/>
      <c r="N21" s="3326"/>
      <c r="O21" s="3327"/>
      <c r="P21" s="3328" t="s">
        <v>443</v>
      </c>
      <c r="Q21" s="3326">
        <v>32</v>
      </c>
      <c r="R21" s="3326"/>
      <c r="S21" s="3326"/>
      <c r="T21" s="3327"/>
      <c r="U21" s="3328" t="s">
        <v>443</v>
      </c>
      <c r="V21" s="3326">
        <v>33</v>
      </c>
      <c r="W21" s="3326"/>
      <c r="X21" s="3326"/>
      <c r="Y21" s="3327"/>
      <c r="Z21" s="3328" t="s">
        <v>443</v>
      </c>
      <c r="AA21" s="3326">
        <v>34</v>
      </c>
      <c r="AB21" s="3326"/>
      <c r="AC21" s="3326"/>
      <c r="AD21" s="3327"/>
      <c r="AE21" s="3328" t="s">
        <v>443</v>
      </c>
      <c r="AF21" s="3326">
        <v>35</v>
      </c>
      <c r="AG21" s="3326"/>
      <c r="AH21" s="3326"/>
      <c r="AI21" s="3327"/>
      <c r="AJ21" s="3328" t="s">
        <v>443</v>
      </c>
      <c r="AK21" s="3326">
        <v>36</v>
      </c>
      <c r="AL21" s="3326"/>
      <c r="AM21" s="3326"/>
      <c r="AN21" s="3327"/>
      <c r="AO21" s="3328" t="s">
        <v>443</v>
      </c>
      <c r="AP21" s="3326">
        <v>37</v>
      </c>
      <c r="AQ21" s="3326"/>
      <c r="AR21" s="3326"/>
      <c r="AS21" s="3327"/>
      <c r="AT21" s="3328" t="s">
        <v>443</v>
      </c>
      <c r="AU21" s="3326">
        <v>38</v>
      </c>
      <c r="AV21" s="3326"/>
      <c r="AW21" s="3326"/>
      <c r="AX21" s="3327"/>
      <c r="AY21" s="3328" t="s">
        <v>443</v>
      </c>
      <c r="AZ21" s="3326">
        <v>39</v>
      </c>
      <c r="BA21" s="3326"/>
      <c r="BB21" s="3326"/>
      <c r="BC21" s="3327"/>
      <c r="BD21" s="3328" t="s">
        <v>443</v>
      </c>
      <c r="BE21" s="3326">
        <v>40</v>
      </c>
      <c r="BF21" s="3326"/>
      <c r="BG21" s="3326"/>
      <c r="BH21" s="3327"/>
      <c r="BI21" s="3328" t="s">
        <v>443</v>
      </c>
      <c r="BJ21" s="3326">
        <v>41</v>
      </c>
      <c r="BK21" s="3326"/>
      <c r="BL21" s="3326"/>
      <c r="BM21" s="3327"/>
      <c r="BN21" s="3328" t="s">
        <v>443</v>
      </c>
      <c r="BO21" s="3326">
        <v>42</v>
      </c>
      <c r="BP21" s="3326"/>
      <c r="BQ21" s="3326"/>
      <c r="BR21" s="3327"/>
    </row>
    <row r="22" spans="1:138" ht="32.25" customHeight="1" thickBot="1" x14ac:dyDescent="0.3">
      <c r="A22" s="3329"/>
      <c r="B22" s="183">
        <v>1.7525999999999999</v>
      </c>
      <c r="C22" s="184" t="s">
        <v>113</v>
      </c>
      <c r="D22" s="185">
        <v>1</v>
      </c>
      <c r="E22" s="186" t="s">
        <v>114</v>
      </c>
      <c r="F22" s="3329"/>
      <c r="G22" s="183">
        <v>0.17699999999999999</v>
      </c>
      <c r="H22" s="184" t="s">
        <v>113</v>
      </c>
      <c r="I22" s="185">
        <v>2</v>
      </c>
      <c r="J22" s="186" t="s">
        <v>114</v>
      </c>
      <c r="K22" s="3329"/>
      <c r="L22" s="183">
        <v>0.17699999999999999</v>
      </c>
      <c r="M22" s="184" t="s">
        <v>113</v>
      </c>
      <c r="N22" s="185">
        <v>1</v>
      </c>
      <c r="O22" s="186" t="s">
        <v>114</v>
      </c>
      <c r="P22" s="3329"/>
      <c r="Q22" s="183">
        <v>6.6539999999999999</v>
      </c>
      <c r="R22" s="184" t="s">
        <v>113</v>
      </c>
      <c r="S22" s="185">
        <v>2</v>
      </c>
      <c r="T22" s="186" t="s">
        <v>114</v>
      </c>
      <c r="U22" s="3329"/>
      <c r="V22" s="183">
        <v>1.3208</v>
      </c>
      <c r="W22" s="184" t="s">
        <v>113</v>
      </c>
      <c r="X22" s="185">
        <v>1</v>
      </c>
      <c r="Y22" s="186" t="s">
        <v>114</v>
      </c>
      <c r="Z22" s="3329"/>
      <c r="AA22" s="183">
        <v>3.149</v>
      </c>
      <c r="AB22" s="184" t="s">
        <v>113</v>
      </c>
      <c r="AC22" s="185">
        <v>2</v>
      </c>
      <c r="AD22" s="186" t="s">
        <v>114</v>
      </c>
      <c r="AE22" s="3329"/>
      <c r="AF22" s="183">
        <v>7.0609999999999999</v>
      </c>
      <c r="AG22" s="184" t="s">
        <v>113</v>
      </c>
      <c r="AH22" s="185">
        <v>1</v>
      </c>
      <c r="AI22" s="186" t="s">
        <v>114</v>
      </c>
      <c r="AJ22" s="3329"/>
      <c r="AK22" s="183">
        <v>1.0660000000000001</v>
      </c>
      <c r="AL22" s="184" t="s">
        <v>113</v>
      </c>
      <c r="AM22" s="185">
        <v>2</v>
      </c>
      <c r="AN22" s="186" t="s">
        <v>114</v>
      </c>
      <c r="AO22" s="3329"/>
      <c r="AP22" s="183">
        <v>0.96499999999999997</v>
      </c>
      <c r="AQ22" s="184" t="s">
        <v>113</v>
      </c>
      <c r="AR22" s="185">
        <v>1</v>
      </c>
      <c r="AS22" s="186" t="s">
        <v>114</v>
      </c>
      <c r="AT22" s="3329"/>
      <c r="AU22" s="183">
        <v>4.8760000000000003</v>
      </c>
      <c r="AV22" s="184" t="s">
        <v>113</v>
      </c>
      <c r="AW22" s="185">
        <v>2</v>
      </c>
      <c r="AX22" s="186" t="s">
        <v>114</v>
      </c>
      <c r="AY22" s="3329"/>
      <c r="AZ22" s="183">
        <v>4.0890000000000004</v>
      </c>
      <c r="BA22" s="184" t="s">
        <v>113</v>
      </c>
      <c r="BB22" s="185">
        <v>1</v>
      </c>
      <c r="BC22" s="186" t="s">
        <v>114</v>
      </c>
      <c r="BD22" s="3329"/>
      <c r="BE22" s="183">
        <v>5.4610000000000003</v>
      </c>
      <c r="BF22" s="184" t="s">
        <v>113</v>
      </c>
      <c r="BG22" s="185">
        <v>2</v>
      </c>
      <c r="BH22" s="186" t="s">
        <v>114</v>
      </c>
      <c r="BI22" s="3329"/>
      <c r="BJ22" s="183">
        <v>0.33</v>
      </c>
      <c r="BK22" s="184" t="s">
        <v>113</v>
      </c>
      <c r="BL22" s="185">
        <v>1</v>
      </c>
      <c r="BM22" s="186" t="s">
        <v>114</v>
      </c>
      <c r="BN22" s="3329"/>
      <c r="BO22" s="183">
        <v>0.73599999999999999</v>
      </c>
      <c r="BP22" s="184" t="s">
        <v>113</v>
      </c>
      <c r="BQ22" s="185">
        <v>2</v>
      </c>
      <c r="BR22" s="186" t="s">
        <v>114</v>
      </c>
      <c r="BW22" s="27"/>
      <c r="BX22" s="27"/>
      <c r="BY22" s="27"/>
      <c r="BZ22" s="27"/>
      <c r="CA22" s="27"/>
      <c r="CB22" s="27"/>
      <c r="CC22" s="27"/>
      <c r="CD22" s="27"/>
      <c r="CE22" s="27"/>
    </row>
    <row r="23" spans="1:138" ht="26.1" customHeight="1" x14ac:dyDescent="0.25">
      <c r="A23" s="3333" t="s">
        <v>110</v>
      </c>
      <c r="B23" s="3334"/>
      <c r="C23" s="3337">
        <f>B29/((54*3.1415/59)*(154.5/3.281))</f>
        <v>6.2845973513951575E-2</v>
      </c>
      <c r="D23" s="3337"/>
      <c r="E23" s="3338"/>
      <c r="F23" s="3333" t="s">
        <v>110</v>
      </c>
      <c r="G23" s="3334"/>
      <c r="H23" s="3337">
        <f>G29/((54*3.1415/59)*(154.5/3.281))</f>
        <v>1.1625286439177315E-2</v>
      </c>
      <c r="I23" s="3337"/>
      <c r="J23" s="3338"/>
      <c r="K23" s="3333" t="s">
        <v>110</v>
      </c>
      <c r="L23" s="3334"/>
      <c r="M23" s="3337">
        <f>L29/((54*3.1415/59)*(154.5/3.281))</f>
        <v>5.9972888110622494E-3</v>
      </c>
      <c r="N23" s="3337"/>
      <c r="O23" s="3338"/>
      <c r="P23" s="3333" t="s">
        <v>110</v>
      </c>
      <c r="Q23" s="3334"/>
      <c r="R23" s="3337">
        <f>Q29/((54*3.1415/59)*(154.5/3.281))</f>
        <v>1.0879318249624006E-2</v>
      </c>
      <c r="S23" s="3337"/>
      <c r="T23" s="3338"/>
      <c r="U23" s="3333" t="s">
        <v>110</v>
      </c>
      <c r="V23" s="3334"/>
      <c r="W23" s="3337">
        <f>V29/((54*3.1415/59)*(154.5/3.281))</f>
        <v>3.9366440102169692E-3</v>
      </c>
      <c r="X23" s="3337"/>
      <c r="Y23" s="3338"/>
      <c r="Z23" s="3333" t="s">
        <v>110</v>
      </c>
      <c r="AA23" s="3334"/>
      <c r="AB23" s="3337">
        <f>AA29/((54*3.1415/59)*(154.5/3.281))</f>
        <v>7.503996837486755E-3</v>
      </c>
      <c r="AC23" s="3337"/>
      <c r="AD23" s="3338"/>
      <c r="AE23" s="3333" t="s">
        <v>110</v>
      </c>
      <c r="AF23" s="3334"/>
      <c r="AG23" s="3337">
        <f>AF29/((54*3.1415/59)*(154.5/3.281))</f>
        <v>5.4359662129825313E-3</v>
      </c>
      <c r="AH23" s="3337"/>
      <c r="AI23" s="3338"/>
      <c r="AJ23" s="3333" t="s">
        <v>110</v>
      </c>
      <c r="AK23" s="3334"/>
      <c r="AL23" s="3337">
        <f>AK29/((54*3.1415/59)*(154.5/3.281))</f>
        <v>3.5599670036108423E-3</v>
      </c>
      <c r="AM23" s="3337"/>
      <c r="AN23" s="3338"/>
      <c r="AO23" s="3333" t="s">
        <v>110</v>
      </c>
      <c r="AP23" s="3334"/>
      <c r="AQ23" s="3337">
        <f>AP29/((54*3.1415/59)*(154.5/3.281))</f>
        <v>7.785396718892508E-2</v>
      </c>
      <c r="AR23" s="3337"/>
      <c r="AS23" s="3338"/>
      <c r="AT23" s="3333" t="s">
        <v>110</v>
      </c>
      <c r="AU23" s="3334"/>
      <c r="AV23" s="3337">
        <f>AU29/((54*3.1415/59)*(154.5/3.281))</f>
        <v>7.3858236589436568E-11</v>
      </c>
      <c r="AW23" s="3337"/>
      <c r="AX23" s="3338"/>
      <c r="AY23" s="3333" t="s">
        <v>110</v>
      </c>
      <c r="AZ23" s="3334"/>
      <c r="BA23" s="3337">
        <f>AZ29/((54*3.1415/59)*(154.5/3.281))</f>
        <v>2.813998814057533E-3</v>
      </c>
      <c r="BB23" s="3337"/>
      <c r="BC23" s="3338"/>
      <c r="BD23" s="3333" t="s">
        <v>110</v>
      </c>
      <c r="BE23" s="3334"/>
      <c r="BF23" s="3337">
        <f>BE29/((54*3.1415/59)*(154.5/3.281))</f>
        <v>5.0592892063764053E-3</v>
      </c>
      <c r="BG23" s="3337"/>
      <c r="BH23" s="3338"/>
      <c r="BI23" s="3333" t="s">
        <v>110</v>
      </c>
      <c r="BJ23" s="3334"/>
      <c r="BK23" s="3337">
        <f>BJ29/((54*3.1415/59)*(154.5/3.281))</f>
        <v>7.385823658943656E-10</v>
      </c>
      <c r="BL23" s="3337"/>
      <c r="BM23" s="3338"/>
      <c r="BN23" s="3333" t="s">
        <v>110</v>
      </c>
      <c r="BO23" s="3334"/>
      <c r="BP23" s="3337">
        <f>BO29/((54*3.1415/59)*(154.5/3.281))</f>
        <v>2.9077987745261172E-2</v>
      </c>
      <c r="BQ23" s="3337"/>
      <c r="BR23" s="3338"/>
    </row>
    <row r="24" spans="1:138" ht="6.75" customHeight="1" x14ac:dyDescent="0.25">
      <c r="A24" s="3335"/>
      <c r="B24" s="3336"/>
      <c r="C24" s="3339"/>
      <c r="D24" s="3339"/>
      <c r="E24" s="3340"/>
      <c r="F24" s="3335"/>
      <c r="G24" s="3336"/>
      <c r="H24" s="3339"/>
      <c r="I24" s="3339"/>
      <c r="J24" s="3340"/>
      <c r="K24" s="3335"/>
      <c r="L24" s="3336"/>
      <c r="M24" s="3339"/>
      <c r="N24" s="3339"/>
      <c r="O24" s="3340"/>
      <c r="P24" s="3335"/>
      <c r="Q24" s="3336"/>
      <c r="R24" s="3339"/>
      <c r="S24" s="3339"/>
      <c r="T24" s="3340"/>
      <c r="U24" s="3335"/>
      <c r="V24" s="3336"/>
      <c r="W24" s="3339"/>
      <c r="X24" s="3339"/>
      <c r="Y24" s="3340"/>
      <c r="Z24" s="3335"/>
      <c r="AA24" s="3336"/>
      <c r="AB24" s="3339"/>
      <c r="AC24" s="3339"/>
      <c r="AD24" s="3340"/>
      <c r="AE24" s="3335"/>
      <c r="AF24" s="3336"/>
      <c r="AG24" s="3339"/>
      <c r="AH24" s="3339"/>
      <c r="AI24" s="3340"/>
      <c r="AJ24" s="3335"/>
      <c r="AK24" s="3336"/>
      <c r="AL24" s="3339"/>
      <c r="AM24" s="3339"/>
      <c r="AN24" s="3340"/>
      <c r="AO24" s="3335"/>
      <c r="AP24" s="3336"/>
      <c r="AQ24" s="3339"/>
      <c r="AR24" s="3339"/>
      <c r="AS24" s="3340"/>
      <c r="AT24" s="3335"/>
      <c r="AU24" s="3336"/>
      <c r="AV24" s="3339"/>
      <c r="AW24" s="3339"/>
      <c r="AX24" s="3340"/>
      <c r="AY24" s="3335"/>
      <c r="AZ24" s="3336"/>
      <c r="BA24" s="3339"/>
      <c r="BB24" s="3339"/>
      <c r="BC24" s="3340"/>
      <c r="BD24" s="3335"/>
      <c r="BE24" s="3336"/>
      <c r="BF24" s="3339"/>
      <c r="BG24" s="3339"/>
      <c r="BH24" s="3340"/>
      <c r="BI24" s="3335"/>
      <c r="BJ24" s="3336"/>
      <c r="BK24" s="3339"/>
      <c r="BL24" s="3339"/>
      <c r="BM24" s="3340"/>
      <c r="BN24" s="3335"/>
      <c r="BO24" s="3336"/>
      <c r="BP24" s="3339"/>
      <c r="BQ24" s="3339"/>
      <c r="BR24" s="3340"/>
    </row>
    <row r="25" spans="1:138" ht="8.25" customHeight="1" x14ac:dyDescent="0.25">
      <c r="A25" s="3335"/>
      <c r="B25" s="3336"/>
      <c r="C25" s="3339"/>
      <c r="D25" s="3339"/>
      <c r="E25" s="3340"/>
      <c r="F25" s="3335"/>
      <c r="G25" s="3336"/>
      <c r="H25" s="3339"/>
      <c r="I25" s="3339"/>
      <c r="J25" s="3340"/>
      <c r="K25" s="3335"/>
      <c r="L25" s="3336"/>
      <c r="M25" s="3339"/>
      <c r="N25" s="3339"/>
      <c r="O25" s="3340"/>
      <c r="P25" s="3335"/>
      <c r="Q25" s="3336"/>
      <c r="R25" s="3339"/>
      <c r="S25" s="3339"/>
      <c r="T25" s="3340"/>
      <c r="U25" s="3335"/>
      <c r="V25" s="3336"/>
      <c r="W25" s="3339"/>
      <c r="X25" s="3339"/>
      <c r="Y25" s="3340"/>
      <c r="Z25" s="3335"/>
      <c r="AA25" s="3336"/>
      <c r="AB25" s="3339"/>
      <c r="AC25" s="3339"/>
      <c r="AD25" s="3340"/>
      <c r="AE25" s="3335"/>
      <c r="AF25" s="3336"/>
      <c r="AG25" s="3339"/>
      <c r="AH25" s="3339"/>
      <c r="AI25" s="3340"/>
      <c r="AJ25" s="3335"/>
      <c r="AK25" s="3336"/>
      <c r="AL25" s="3339"/>
      <c r="AM25" s="3339"/>
      <c r="AN25" s="3340"/>
      <c r="AO25" s="3335"/>
      <c r="AP25" s="3336"/>
      <c r="AQ25" s="3339"/>
      <c r="AR25" s="3339"/>
      <c r="AS25" s="3340"/>
      <c r="AT25" s="3335"/>
      <c r="AU25" s="3336"/>
      <c r="AV25" s="3339"/>
      <c r="AW25" s="3339"/>
      <c r="AX25" s="3340"/>
      <c r="AY25" s="3335"/>
      <c r="AZ25" s="3336"/>
      <c r="BA25" s="3339"/>
      <c r="BB25" s="3339"/>
      <c r="BC25" s="3340"/>
      <c r="BD25" s="3335"/>
      <c r="BE25" s="3336"/>
      <c r="BF25" s="3339"/>
      <c r="BG25" s="3339"/>
      <c r="BH25" s="3340"/>
      <c r="BI25" s="3335"/>
      <c r="BJ25" s="3336"/>
      <c r="BK25" s="3339"/>
      <c r="BL25" s="3339"/>
      <c r="BM25" s="3340"/>
      <c r="BN25" s="3335"/>
      <c r="BO25" s="3336"/>
      <c r="BP25" s="3339"/>
      <c r="BQ25" s="3339"/>
      <c r="BR25" s="3340"/>
    </row>
    <row r="26" spans="1:138" ht="6" hidden="1" customHeight="1" x14ac:dyDescent="0.25">
      <c r="A26" s="3335"/>
      <c r="B26" s="3336"/>
      <c r="C26" s="3339"/>
      <c r="D26" s="3339"/>
      <c r="E26" s="3340"/>
      <c r="F26" s="3335"/>
      <c r="G26" s="3336"/>
      <c r="H26" s="3339"/>
      <c r="I26" s="3339"/>
      <c r="J26" s="3340"/>
      <c r="K26" s="3335"/>
      <c r="L26" s="3336"/>
      <c r="M26" s="3339"/>
      <c r="N26" s="3339"/>
      <c r="O26" s="3340"/>
      <c r="P26" s="3335"/>
      <c r="Q26" s="3336"/>
      <c r="R26" s="3339"/>
      <c r="S26" s="3339"/>
      <c r="T26" s="3340"/>
      <c r="U26" s="3335"/>
      <c r="V26" s="3336"/>
      <c r="W26" s="3339"/>
      <c r="X26" s="3339"/>
      <c r="Y26" s="3340"/>
      <c r="Z26" s="3335"/>
      <c r="AA26" s="3336"/>
      <c r="AB26" s="3339"/>
      <c r="AC26" s="3339"/>
      <c r="AD26" s="3340"/>
      <c r="AE26" s="3335"/>
      <c r="AF26" s="3336"/>
      <c r="AG26" s="3339"/>
      <c r="AH26" s="3339"/>
      <c r="AI26" s="3340"/>
      <c r="AJ26" s="3335"/>
      <c r="AK26" s="3336"/>
      <c r="AL26" s="3339"/>
      <c r="AM26" s="3339"/>
      <c r="AN26" s="3340"/>
      <c r="AO26" s="3335"/>
      <c r="AP26" s="3336"/>
      <c r="AQ26" s="3339"/>
      <c r="AR26" s="3339"/>
      <c r="AS26" s="3340"/>
      <c r="AT26" s="3335"/>
      <c r="AU26" s="3336"/>
      <c r="AV26" s="3339"/>
      <c r="AW26" s="3339"/>
      <c r="AX26" s="3340"/>
      <c r="AY26" s="3335"/>
      <c r="AZ26" s="3336"/>
      <c r="BA26" s="3339"/>
      <c r="BB26" s="3339"/>
      <c r="BC26" s="3340"/>
      <c r="BD26" s="3335"/>
      <c r="BE26" s="3336"/>
      <c r="BF26" s="3339"/>
      <c r="BG26" s="3339"/>
      <c r="BH26" s="3340"/>
      <c r="BI26" s="3335"/>
      <c r="BJ26" s="3336"/>
      <c r="BK26" s="3339"/>
      <c r="BL26" s="3339"/>
      <c r="BM26" s="3340"/>
      <c r="BN26" s="3335"/>
      <c r="BO26" s="3336"/>
      <c r="BP26" s="3339"/>
      <c r="BQ26" s="3339"/>
      <c r="BR26" s="3340"/>
    </row>
    <row r="27" spans="1:138" ht="29.25" customHeight="1" x14ac:dyDescent="0.25">
      <c r="A27" s="3341" t="s">
        <v>444</v>
      </c>
      <c r="B27" s="3342"/>
      <c r="C27" s="2319" t="s">
        <v>111</v>
      </c>
      <c r="D27" s="2320"/>
      <c r="E27" s="3343"/>
      <c r="F27" s="3341" t="s">
        <v>444</v>
      </c>
      <c r="G27" s="3342"/>
      <c r="H27" s="2319" t="s">
        <v>111</v>
      </c>
      <c r="I27" s="2320"/>
      <c r="J27" s="3343"/>
      <c r="K27" s="3341" t="s">
        <v>444</v>
      </c>
      <c r="L27" s="3342"/>
      <c r="M27" s="2319" t="s">
        <v>111</v>
      </c>
      <c r="N27" s="2320"/>
      <c r="O27" s="3343"/>
      <c r="P27" s="3341" t="s">
        <v>444</v>
      </c>
      <c r="Q27" s="3342"/>
      <c r="R27" s="2319" t="s">
        <v>111</v>
      </c>
      <c r="S27" s="2320"/>
      <c r="T27" s="3343"/>
      <c r="U27" s="3341" t="s">
        <v>444</v>
      </c>
      <c r="V27" s="3342"/>
      <c r="W27" s="2319" t="s">
        <v>111</v>
      </c>
      <c r="X27" s="2320"/>
      <c r="Y27" s="3343"/>
      <c r="Z27" s="3341" t="s">
        <v>444</v>
      </c>
      <c r="AA27" s="3342"/>
      <c r="AB27" s="2319" t="s">
        <v>111</v>
      </c>
      <c r="AC27" s="2320"/>
      <c r="AD27" s="3343"/>
      <c r="AE27" s="3341" t="s">
        <v>444</v>
      </c>
      <c r="AF27" s="3342"/>
      <c r="AG27" s="2319" t="s">
        <v>111</v>
      </c>
      <c r="AH27" s="2320"/>
      <c r="AI27" s="3343"/>
      <c r="AJ27" s="3341" t="s">
        <v>444</v>
      </c>
      <c r="AK27" s="3342"/>
      <c r="AL27" s="2319" t="s">
        <v>111</v>
      </c>
      <c r="AM27" s="2320"/>
      <c r="AN27" s="3343"/>
      <c r="AO27" s="3341" t="s">
        <v>444</v>
      </c>
      <c r="AP27" s="3342"/>
      <c r="AQ27" s="2319" t="s">
        <v>111</v>
      </c>
      <c r="AR27" s="2320"/>
      <c r="AS27" s="3343"/>
      <c r="AT27" s="3341" t="s">
        <v>444</v>
      </c>
      <c r="AU27" s="3342"/>
      <c r="AV27" s="2319" t="s">
        <v>111</v>
      </c>
      <c r="AW27" s="2320"/>
      <c r="AX27" s="3343"/>
      <c r="AY27" s="3341" t="s">
        <v>444</v>
      </c>
      <c r="AZ27" s="3342"/>
      <c r="BA27" s="2319" t="s">
        <v>111</v>
      </c>
      <c r="BB27" s="2320"/>
      <c r="BC27" s="3343"/>
      <c r="BD27" s="3341" t="s">
        <v>444</v>
      </c>
      <c r="BE27" s="3342"/>
      <c r="BF27" s="2319" t="s">
        <v>111</v>
      </c>
      <c r="BG27" s="2320"/>
      <c r="BH27" s="3343"/>
      <c r="BI27" s="3341" t="s">
        <v>444</v>
      </c>
      <c r="BJ27" s="3342"/>
      <c r="BK27" s="2319" t="s">
        <v>111</v>
      </c>
      <c r="BL27" s="2320"/>
      <c r="BM27" s="3343"/>
      <c r="BN27" s="3341" t="s">
        <v>444</v>
      </c>
      <c r="BO27" s="3342"/>
      <c r="BP27" s="2319" t="s">
        <v>111</v>
      </c>
      <c r="BQ27" s="2320"/>
      <c r="BR27" s="3343"/>
    </row>
    <row r="28" spans="1:138" s="22" customFormat="1" ht="80.099999999999994" customHeight="1" x14ac:dyDescent="1.35">
      <c r="A28" s="3328" t="s">
        <v>443</v>
      </c>
      <c r="B28" s="3326">
        <v>43</v>
      </c>
      <c r="C28" s="3326"/>
      <c r="D28" s="3326"/>
      <c r="E28" s="3327"/>
      <c r="F28" s="3328" t="s">
        <v>443</v>
      </c>
      <c r="G28" s="3326">
        <v>44</v>
      </c>
      <c r="H28" s="3326"/>
      <c r="I28" s="3326"/>
      <c r="J28" s="3327"/>
      <c r="K28" s="3328" t="s">
        <v>443</v>
      </c>
      <c r="L28" s="3326">
        <v>45</v>
      </c>
      <c r="M28" s="3326"/>
      <c r="N28" s="3326"/>
      <c r="O28" s="3327"/>
      <c r="P28" s="3328" t="s">
        <v>443</v>
      </c>
      <c r="Q28" s="3326">
        <v>46</v>
      </c>
      <c r="R28" s="3326"/>
      <c r="S28" s="3326"/>
      <c r="T28" s="3327"/>
      <c r="U28" s="3328" t="s">
        <v>443</v>
      </c>
      <c r="V28" s="3326">
        <v>47</v>
      </c>
      <c r="W28" s="3326"/>
      <c r="X28" s="3326"/>
      <c r="Y28" s="3327"/>
      <c r="Z28" s="3328" t="s">
        <v>443</v>
      </c>
      <c r="AA28" s="3326">
        <v>48</v>
      </c>
      <c r="AB28" s="3326"/>
      <c r="AC28" s="3326"/>
      <c r="AD28" s="3327"/>
      <c r="AE28" s="3328" t="s">
        <v>443</v>
      </c>
      <c r="AF28" s="3326">
        <v>49</v>
      </c>
      <c r="AG28" s="3326"/>
      <c r="AH28" s="3326"/>
      <c r="AI28" s="3327"/>
      <c r="AJ28" s="3328" t="s">
        <v>443</v>
      </c>
      <c r="AK28" s="3326">
        <v>50</v>
      </c>
      <c r="AL28" s="3326"/>
      <c r="AM28" s="3326"/>
      <c r="AN28" s="3327"/>
      <c r="AO28" s="3328" t="s">
        <v>443</v>
      </c>
      <c r="AP28" s="3326">
        <v>51</v>
      </c>
      <c r="AQ28" s="3326"/>
      <c r="AR28" s="3326"/>
      <c r="AS28" s="3327"/>
      <c r="AT28" s="3328" t="s">
        <v>443</v>
      </c>
      <c r="AU28" s="3326">
        <v>52</v>
      </c>
      <c r="AV28" s="3326"/>
      <c r="AW28" s="3326"/>
      <c r="AX28" s="3327"/>
      <c r="AY28" s="3328" t="s">
        <v>443</v>
      </c>
      <c r="AZ28" s="3326">
        <v>53</v>
      </c>
      <c r="BA28" s="3326"/>
      <c r="BB28" s="3326"/>
      <c r="BC28" s="3327"/>
      <c r="BD28" s="3328" t="s">
        <v>443</v>
      </c>
      <c r="BE28" s="3326">
        <v>54</v>
      </c>
      <c r="BF28" s="3326"/>
      <c r="BG28" s="3326"/>
      <c r="BH28" s="3327"/>
      <c r="BI28" s="3328" t="s">
        <v>443</v>
      </c>
      <c r="BJ28" s="3326">
        <v>55</v>
      </c>
      <c r="BK28" s="3326"/>
      <c r="BL28" s="3326"/>
      <c r="BM28" s="3327"/>
      <c r="BN28" s="3328" t="s">
        <v>443</v>
      </c>
      <c r="BO28" s="3326">
        <v>56</v>
      </c>
      <c r="BP28" s="3326"/>
      <c r="BQ28" s="3326"/>
      <c r="BR28" s="3327"/>
      <c r="BT28" s="218"/>
    </row>
    <row r="29" spans="1:138" ht="27" thickBot="1" x14ac:dyDescent="0.3">
      <c r="A29" s="3329"/>
      <c r="B29" s="183">
        <v>8.5090000000000003</v>
      </c>
      <c r="C29" s="184" t="s">
        <v>113</v>
      </c>
      <c r="D29" s="185">
        <v>1</v>
      </c>
      <c r="E29" s="186" t="s">
        <v>114</v>
      </c>
      <c r="F29" s="3329"/>
      <c r="G29" s="183">
        <v>1.5740000000000001</v>
      </c>
      <c r="H29" s="184" t="s">
        <v>113</v>
      </c>
      <c r="I29" s="185">
        <v>2</v>
      </c>
      <c r="J29" s="186" t="s">
        <v>114</v>
      </c>
      <c r="K29" s="3329"/>
      <c r="L29" s="183">
        <v>0.81200000000000006</v>
      </c>
      <c r="M29" s="184" t="s">
        <v>113</v>
      </c>
      <c r="N29" s="185">
        <v>1</v>
      </c>
      <c r="O29" s="186" t="s">
        <v>114</v>
      </c>
      <c r="P29" s="3329"/>
      <c r="Q29" s="183">
        <v>1.4730000000000001</v>
      </c>
      <c r="R29" s="184" t="s">
        <v>113</v>
      </c>
      <c r="S29" s="185">
        <v>2</v>
      </c>
      <c r="T29" s="186" t="s">
        <v>114</v>
      </c>
      <c r="U29" s="3329"/>
      <c r="V29" s="183">
        <v>0.53300000000000003</v>
      </c>
      <c r="W29" s="184" t="s">
        <v>113</v>
      </c>
      <c r="X29" s="185">
        <v>1</v>
      </c>
      <c r="Y29" s="186" t="s">
        <v>114</v>
      </c>
      <c r="Z29" s="3329"/>
      <c r="AA29" s="183">
        <v>1.016</v>
      </c>
      <c r="AB29" s="184" t="s">
        <v>113</v>
      </c>
      <c r="AC29" s="185">
        <v>2</v>
      </c>
      <c r="AD29" s="186" t="s">
        <v>114</v>
      </c>
      <c r="AE29" s="3329"/>
      <c r="AF29" s="183">
        <v>0.73599999999999999</v>
      </c>
      <c r="AG29" s="184" t="s">
        <v>113</v>
      </c>
      <c r="AH29" s="185">
        <v>1</v>
      </c>
      <c r="AI29" s="186" t="s">
        <v>114</v>
      </c>
      <c r="AJ29" s="3329"/>
      <c r="AK29" s="183">
        <v>0.48199999999999998</v>
      </c>
      <c r="AL29" s="184" t="s">
        <v>113</v>
      </c>
      <c r="AM29" s="185">
        <v>2</v>
      </c>
      <c r="AN29" s="186" t="s">
        <v>114</v>
      </c>
      <c r="AO29" s="3329"/>
      <c r="AP29" s="183">
        <v>10.541</v>
      </c>
      <c r="AQ29" s="184" t="s">
        <v>113</v>
      </c>
      <c r="AR29" s="185">
        <v>1</v>
      </c>
      <c r="AS29" s="186" t="s">
        <v>114</v>
      </c>
      <c r="AT29" s="3329"/>
      <c r="AU29" s="183">
        <v>1E-8</v>
      </c>
      <c r="AV29" s="184" t="s">
        <v>113</v>
      </c>
      <c r="AW29" s="185">
        <v>2</v>
      </c>
      <c r="AX29" s="186" t="s">
        <v>114</v>
      </c>
      <c r="AY29" s="3329"/>
      <c r="AZ29" s="183">
        <v>0.38100000000000001</v>
      </c>
      <c r="BA29" s="184" t="s">
        <v>113</v>
      </c>
      <c r="BB29" s="185">
        <v>1</v>
      </c>
      <c r="BC29" s="186" t="s">
        <v>114</v>
      </c>
      <c r="BD29" s="3329"/>
      <c r="BE29" s="183">
        <v>0.68500000000000005</v>
      </c>
      <c r="BF29" s="184" t="s">
        <v>113</v>
      </c>
      <c r="BG29" s="185">
        <v>2</v>
      </c>
      <c r="BH29" s="186" t="s">
        <v>114</v>
      </c>
      <c r="BI29" s="3329"/>
      <c r="BJ29" s="183">
        <v>9.9999999999999995E-8</v>
      </c>
      <c r="BK29" s="184" t="s">
        <v>113</v>
      </c>
      <c r="BL29" s="185">
        <v>1</v>
      </c>
      <c r="BM29" s="186" t="s">
        <v>114</v>
      </c>
      <c r="BN29" s="3329"/>
      <c r="BO29" s="183">
        <v>3.9369999999999998</v>
      </c>
      <c r="BP29" s="184" t="s">
        <v>113</v>
      </c>
      <c r="BQ29" s="185">
        <v>2</v>
      </c>
      <c r="BR29" s="186" t="s">
        <v>114</v>
      </c>
      <c r="BW29" s="27"/>
      <c r="BX29" s="27"/>
      <c r="BY29" s="27"/>
      <c r="BZ29" s="27"/>
      <c r="CA29" s="27"/>
      <c r="CB29" s="27"/>
      <c r="CC29" s="27"/>
      <c r="CD29" s="27"/>
      <c r="CE29" s="27"/>
    </row>
    <row r="30" spans="1:138" ht="26.1" customHeight="1" x14ac:dyDescent="0.3">
      <c r="A30" s="3333" t="s">
        <v>110</v>
      </c>
      <c r="B30" s="3334"/>
      <c r="C30" s="3337">
        <f>B36/((54*3.1415/59)*(154.5/3.281))</f>
        <v>5.4359662129825313E-3</v>
      </c>
      <c r="D30" s="3337"/>
      <c r="E30" s="3338"/>
      <c r="F30" s="3333" t="s">
        <v>110</v>
      </c>
      <c r="G30" s="3334"/>
      <c r="H30" s="3337">
        <f>G36/((54*3.1415/59)*(154.5/3.281))</f>
        <v>1.3501285648549004E-2</v>
      </c>
      <c r="I30" s="3337"/>
      <c r="J30" s="3338"/>
      <c r="K30" s="3333" t="s">
        <v>110</v>
      </c>
      <c r="L30" s="3334"/>
      <c r="M30" s="3337">
        <f>L36/((54*3.1415/59)*(154.5/3.281))</f>
        <v>7.3858236589436568E-15</v>
      </c>
      <c r="N30" s="3337"/>
      <c r="O30" s="3338"/>
      <c r="P30" s="3333" t="s">
        <v>110</v>
      </c>
      <c r="Q30" s="3334"/>
      <c r="R30" s="3337">
        <f>Q36/((54*3.1415/59)*(154.5/3.281))</f>
        <v>1.7259192726219539E-2</v>
      </c>
      <c r="S30" s="3337"/>
      <c r="T30" s="3338"/>
      <c r="U30" s="3333" t="s">
        <v>110</v>
      </c>
      <c r="V30" s="3334"/>
      <c r="W30" s="3337">
        <f>V36/((54*3.1415/59)*(154.5/3.281))</f>
        <v>5.8126432195886573E-3</v>
      </c>
      <c r="X30" s="3337"/>
      <c r="Y30" s="3338"/>
      <c r="Z30" s="3333" t="s">
        <v>110</v>
      </c>
      <c r="AA30" s="3334"/>
      <c r="AB30" s="3337">
        <f>AA36/((54*3.1415/59)*(154.5/3.281))</f>
        <v>1.650731587773907E-2</v>
      </c>
      <c r="AC30" s="3337"/>
      <c r="AD30" s="3338"/>
      <c r="AE30" s="3333" t="s">
        <v>110</v>
      </c>
      <c r="AF30" s="3334"/>
      <c r="AG30" s="3337">
        <f>AF36/((54*3.1415/59)*(154.5/3.281))</f>
        <v>7.385823658943656E-10</v>
      </c>
      <c r="AH30" s="3337"/>
      <c r="AI30" s="3338"/>
      <c r="AJ30" s="3333" t="s">
        <v>110</v>
      </c>
      <c r="AK30" s="3334"/>
      <c r="AL30" s="3337">
        <f>AK36/((54*3.1415/59)*(154.5/3.281))</f>
        <v>4.689998023429222E-3</v>
      </c>
      <c r="AM30" s="3337"/>
      <c r="AN30" s="3338"/>
      <c r="AO30" s="3333" t="s">
        <v>110</v>
      </c>
      <c r="AP30" s="3334"/>
      <c r="AQ30" s="3337">
        <f>AP36/((54*3.1415/59)*(154.5/3.281))</f>
        <v>1.313199446560182E-2</v>
      </c>
      <c r="AR30" s="3337"/>
      <c r="AS30" s="3338"/>
      <c r="AT30" s="3333" t="s">
        <v>110</v>
      </c>
      <c r="AU30" s="3334"/>
      <c r="AV30" s="3337">
        <f>AU36/((54*3.1415/59)*(154.5/3.281))</f>
        <v>4.8746436149028132E-3</v>
      </c>
      <c r="AW30" s="3337"/>
      <c r="AX30" s="3338"/>
      <c r="AY30" s="3333" t="s">
        <v>110</v>
      </c>
      <c r="AZ30" s="3334"/>
      <c r="BA30" s="3337">
        <f>AZ36/((54*3.1415/59)*(154.5/3.281))</f>
        <v>1.1440640847703723E-2</v>
      </c>
      <c r="BB30" s="3337"/>
      <c r="BC30" s="3338"/>
      <c r="BD30" s="3333" t="s">
        <v>110</v>
      </c>
      <c r="BE30" s="3334"/>
      <c r="BF30" s="3337">
        <f>BE36/((54*3.1415/59)*(154.5/3.281))</f>
        <v>1.1226451961594357E-3</v>
      </c>
      <c r="BG30" s="3337"/>
      <c r="BH30" s="3338"/>
      <c r="BI30" s="3333" t="s">
        <v>110</v>
      </c>
      <c r="BJ30" s="3334"/>
      <c r="BK30" s="3337">
        <f>BJ36/((54*3.1415/59)*(154.5/3.281))</f>
        <v>2.6219673989249979E-3</v>
      </c>
      <c r="BL30" s="3337"/>
      <c r="BM30" s="3338"/>
      <c r="BN30" s="3333" t="s">
        <v>110</v>
      </c>
      <c r="BO30" s="3334"/>
      <c r="BP30" s="3337">
        <f>BO36/((54*3.1415/59)*(154.5/3.281))</f>
        <v>7.3858236589436568E-11</v>
      </c>
      <c r="BQ30" s="3337"/>
      <c r="BR30" s="3338"/>
      <c r="BT30" s="219"/>
    </row>
    <row r="31" spans="1:138" ht="3.75" customHeight="1" x14ac:dyDescent="0.25">
      <c r="A31" s="3335"/>
      <c r="B31" s="3336"/>
      <c r="C31" s="3339"/>
      <c r="D31" s="3339"/>
      <c r="E31" s="3340"/>
      <c r="F31" s="3335"/>
      <c r="G31" s="3336"/>
      <c r="H31" s="3339"/>
      <c r="I31" s="3339"/>
      <c r="J31" s="3340"/>
      <c r="K31" s="3335"/>
      <c r="L31" s="3336"/>
      <c r="M31" s="3339"/>
      <c r="N31" s="3339"/>
      <c r="O31" s="3340"/>
      <c r="P31" s="3335"/>
      <c r="Q31" s="3336"/>
      <c r="R31" s="3339"/>
      <c r="S31" s="3339"/>
      <c r="T31" s="3340"/>
      <c r="U31" s="3335"/>
      <c r="V31" s="3336"/>
      <c r="W31" s="3339"/>
      <c r="X31" s="3339"/>
      <c r="Y31" s="3340"/>
      <c r="Z31" s="3335"/>
      <c r="AA31" s="3336"/>
      <c r="AB31" s="3339"/>
      <c r="AC31" s="3339"/>
      <c r="AD31" s="3340"/>
      <c r="AE31" s="3335"/>
      <c r="AF31" s="3336"/>
      <c r="AG31" s="3339"/>
      <c r="AH31" s="3339"/>
      <c r="AI31" s="3340"/>
      <c r="AJ31" s="3335"/>
      <c r="AK31" s="3336"/>
      <c r="AL31" s="3339"/>
      <c r="AM31" s="3339"/>
      <c r="AN31" s="3340"/>
      <c r="AO31" s="3335"/>
      <c r="AP31" s="3336"/>
      <c r="AQ31" s="3339"/>
      <c r="AR31" s="3339"/>
      <c r="AS31" s="3340"/>
      <c r="AT31" s="3335"/>
      <c r="AU31" s="3336"/>
      <c r="AV31" s="3339"/>
      <c r="AW31" s="3339"/>
      <c r="AX31" s="3340"/>
      <c r="AY31" s="3335"/>
      <c r="AZ31" s="3336"/>
      <c r="BA31" s="3339"/>
      <c r="BB31" s="3339"/>
      <c r="BC31" s="3340"/>
      <c r="BD31" s="3335"/>
      <c r="BE31" s="3336"/>
      <c r="BF31" s="3339"/>
      <c r="BG31" s="3339"/>
      <c r="BH31" s="3340"/>
      <c r="BI31" s="3335"/>
      <c r="BJ31" s="3336"/>
      <c r="BK31" s="3339"/>
      <c r="BL31" s="3339"/>
      <c r="BM31" s="3340"/>
      <c r="BN31" s="3335"/>
      <c r="BO31" s="3336"/>
      <c r="BP31" s="3339"/>
      <c r="BQ31" s="3339"/>
      <c r="BR31" s="3340"/>
    </row>
    <row r="32" spans="1:138" ht="4.5" hidden="1" customHeight="1" x14ac:dyDescent="0.25">
      <c r="A32" s="3335"/>
      <c r="B32" s="3336"/>
      <c r="C32" s="3339"/>
      <c r="D32" s="3339"/>
      <c r="E32" s="3340"/>
      <c r="F32" s="3335"/>
      <c r="G32" s="3336"/>
      <c r="H32" s="3339"/>
      <c r="I32" s="3339"/>
      <c r="J32" s="3340"/>
      <c r="K32" s="3335"/>
      <c r="L32" s="3336"/>
      <c r="M32" s="3339"/>
      <c r="N32" s="3339"/>
      <c r="O32" s="3340"/>
      <c r="P32" s="3335"/>
      <c r="Q32" s="3336"/>
      <c r="R32" s="3339"/>
      <c r="S32" s="3339"/>
      <c r="T32" s="3340"/>
      <c r="U32" s="3335"/>
      <c r="V32" s="3336"/>
      <c r="W32" s="3339"/>
      <c r="X32" s="3339"/>
      <c r="Y32" s="3340"/>
      <c r="Z32" s="3335"/>
      <c r="AA32" s="3336"/>
      <c r="AB32" s="3339"/>
      <c r="AC32" s="3339"/>
      <c r="AD32" s="3340"/>
      <c r="AE32" s="3335"/>
      <c r="AF32" s="3336"/>
      <c r="AG32" s="3339"/>
      <c r="AH32" s="3339"/>
      <c r="AI32" s="3340"/>
      <c r="AJ32" s="3335"/>
      <c r="AK32" s="3336"/>
      <c r="AL32" s="3339"/>
      <c r="AM32" s="3339"/>
      <c r="AN32" s="3340"/>
      <c r="AO32" s="3335"/>
      <c r="AP32" s="3336"/>
      <c r="AQ32" s="3339"/>
      <c r="AR32" s="3339"/>
      <c r="AS32" s="3340"/>
      <c r="AT32" s="3335"/>
      <c r="AU32" s="3336"/>
      <c r="AV32" s="3339"/>
      <c r="AW32" s="3339"/>
      <c r="AX32" s="3340"/>
      <c r="AY32" s="3335"/>
      <c r="AZ32" s="3336"/>
      <c r="BA32" s="3339"/>
      <c r="BB32" s="3339"/>
      <c r="BC32" s="3340"/>
      <c r="BD32" s="3335"/>
      <c r="BE32" s="3336"/>
      <c r="BF32" s="3339"/>
      <c r="BG32" s="3339"/>
      <c r="BH32" s="3340"/>
      <c r="BI32" s="3335"/>
      <c r="BJ32" s="3336"/>
      <c r="BK32" s="3339"/>
      <c r="BL32" s="3339"/>
      <c r="BM32" s="3340"/>
      <c r="BN32" s="3335"/>
      <c r="BO32" s="3336"/>
      <c r="BP32" s="3339"/>
      <c r="BQ32" s="3339"/>
      <c r="BR32" s="3340"/>
      <c r="ED32" s="13"/>
      <c r="EE32" s="13"/>
      <c r="EF32" s="13"/>
      <c r="EG32" s="13"/>
      <c r="EH32" s="13"/>
    </row>
    <row r="33" spans="1:138" ht="6" customHeight="1" thickBot="1" x14ac:dyDescent="0.3">
      <c r="A33" s="3335"/>
      <c r="B33" s="3336"/>
      <c r="C33" s="3339"/>
      <c r="D33" s="3339"/>
      <c r="E33" s="3340"/>
      <c r="F33" s="3335"/>
      <c r="G33" s="3336"/>
      <c r="H33" s="3339"/>
      <c r="I33" s="3339"/>
      <c r="J33" s="3340"/>
      <c r="K33" s="3335"/>
      <c r="L33" s="3336"/>
      <c r="M33" s="3339"/>
      <c r="N33" s="3339"/>
      <c r="O33" s="3340"/>
      <c r="P33" s="3335"/>
      <c r="Q33" s="3336"/>
      <c r="R33" s="3339"/>
      <c r="S33" s="3339"/>
      <c r="T33" s="3340"/>
      <c r="U33" s="3335"/>
      <c r="V33" s="3336"/>
      <c r="W33" s="3339"/>
      <c r="X33" s="3339"/>
      <c r="Y33" s="3340"/>
      <c r="Z33" s="3335"/>
      <c r="AA33" s="3336"/>
      <c r="AB33" s="3339"/>
      <c r="AC33" s="3339"/>
      <c r="AD33" s="3340"/>
      <c r="AE33" s="3346"/>
      <c r="AF33" s="3347"/>
      <c r="AG33" s="3339"/>
      <c r="AH33" s="3339"/>
      <c r="AI33" s="3340"/>
      <c r="AJ33" s="3335"/>
      <c r="AK33" s="3336"/>
      <c r="AL33" s="3339"/>
      <c r="AM33" s="3339"/>
      <c r="AN33" s="3340"/>
      <c r="AO33" s="3335"/>
      <c r="AP33" s="3336"/>
      <c r="AQ33" s="3339"/>
      <c r="AR33" s="3339"/>
      <c r="AS33" s="3340"/>
      <c r="AT33" s="3335"/>
      <c r="AU33" s="3336"/>
      <c r="AV33" s="3339"/>
      <c r="AW33" s="3339"/>
      <c r="AX33" s="3340"/>
      <c r="AY33" s="3335"/>
      <c r="AZ33" s="3336"/>
      <c r="BA33" s="3339"/>
      <c r="BB33" s="3339"/>
      <c r="BC33" s="3340"/>
      <c r="BD33" s="3335"/>
      <c r="BE33" s="3336"/>
      <c r="BF33" s="3339"/>
      <c r="BG33" s="3339"/>
      <c r="BH33" s="3340"/>
      <c r="BI33" s="3335"/>
      <c r="BJ33" s="3336"/>
      <c r="BK33" s="3339"/>
      <c r="BL33" s="3339"/>
      <c r="BM33" s="3340"/>
      <c r="BN33" s="3335"/>
      <c r="BO33" s="3336"/>
      <c r="BP33" s="3339"/>
      <c r="BQ33" s="3339"/>
      <c r="BR33" s="3340"/>
      <c r="ED33" s="13"/>
      <c r="EE33" s="13"/>
      <c r="EF33" s="13"/>
      <c r="EG33" s="13"/>
      <c r="EH33" s="13"/>
    </row>
    <row r="34" spans="1:138" ht="28.5" customHeight="1" thickBot="1" x14ac:dyDescent="0.3">
      <c r="A34" s="3344" t="s">
        <v>444</v>
      </c>
      <c r="B34" s="3345"/>
      <c r="C34" s="2319" t="s">
        <v>111</v>
      </c>
      <c r="D34" s="2320"/>
      <c r="E34" s="3343"/>
      <c r="F34" s="3341" t="s">
        <v>444</v>
      </c>
      <c r="G34" s="3342"/>
      <c r="H34" s="2319" t="s">
        <v>111</v>
      </c>
      <c r="I34" s="2320"/>
      <c r="J34" s="3343"/>
      <c r="K34" s="3341" t="s">
        <v>444</v>
      </c>
      <c r="L34" s="3342"/>
      <c r="M34" s="2319" t="s">
        <v>111</v>
      </c>
      <c r="N34" s="2320"/>
      <c r="O34" s="3343"/>
      <c r="P34" s="3341" t="s">
        <v>444</v>
      </c>
      <c r="Q34" s="3342"/>
      <c r="R34" s="2319" t="s">
        <v>111</v>
      </c>
      <c r="S34" s="2320"/>
      <c r="T34" s="3343"/>
      <c r="U34" s="3341" t="s">
        <v>444</v>
      </c>
      <c r="V34" s="3342"/>
      <c r="W34" s="2319" t="s">
        <v>111</v>
      </c>
      <c r="X34" s="2320"/>
      <c r="Y34" s="3343"/>
      <c r="Z34" s="3341" t="s">
        <v>444</v>
      </c>
      <c r="AA34" s="3342"/>
      <c r="AB34" s="2319" t="s">
        <v>111</v>
      </c>
      <c r="AC34" s="2320"/>
      <c r="AD34" s="2320"/>
      <c r="AE34" s="3344" t="s">
        <v>444</v>
      </c>
      <c r="AF34" s="3345"/>
      <c r="AG34" s="2320" t="s">
        <v>111</v>
      </c>
      <c r="AH34" s="2320"/>
      <c r="AI34" s="3343"/>
      <c r="AJ34" s="3341" t="s">
        <v>444</v>
      </c>
      <c r="AK34" s="3342"/>
      <c r="AL34" s="2319" t="s">
        <v>111</v>
      </c>
      <c r="AM34" s="2320"/>
      <c r="AN34" s="3343"/>
      <c r="AO34" s="3344" t="s">
        <v>444</v>
      </c>
      <c r="AP34" s="3345"/>
      <c r="AQ34" s="2319" t="s">
        <v>111</v>
      </c>
      <c r="AR34" s="2320"/>
      <c r="AS34" s="3343"/>
      <c r="AT34" s="3341" t="s">
        <v>444</v>
      </c>
      <c r="AU34" s="3342"/>
      <c r="AV34" s="2319" t="s">
        <v>111</v>
      </c>
      <c r="AW34" s="2320"/>
      <c r="AX34" s="3343"/>
      <c r="AY34" s="3344" t="s">
        <v>444</v>
      </c>
      <c r="AZ34" s="3345"/>
      <c r="BA34" s="2319" t="s">
        <v>111</v>
      </c>
      <c r="BB34" s="2320"/>
      <c r="BC34" s="3343"/>
      <c r="BD34" s="3344" t="s">
        <v>444</v>
      </c>
      <c r="BE34" s="3345"/>
      <c r="BF34" s="2319" t="s">
        <v>111</v>
      </c>
      <c r="BG34" s="2320"/>
      <c r="BH34" s="3343"/>
      <c r="BI34" s="3341" t="s">
        <v>444</v>
      </c>
      <c r="BJ34" s="3342"/>
      <c r="BK34" s="2319" t="s">
        <v>111</v>
      </c>
      <c r="BL34" s="2320"/>
      <c r="BM34" s="3343"/>
      <c r="BN34" s="3341" t="s">
        <v>444</v>
      </c>
      <c r="BO34" s="3342"/>
      <c r="BP34" s="2319" t="s">
        <v>111</v>
      </c>
      <c r="BQ34" s="2320"/>
      <c r="BR34" s="3343"/>
      <c r="ED34" s="13"/>
      <c r="EE34" s="13"/>
      <c r="EF34" s="13"/>
      <c r="EG34" s="13"/>
      <c r="EH34" s="13"/>
    </row>
    <row r="35" spans="1:138" s="22" customFormat="1" ht="80.099999999999994" customHeight="1" x14ac:dyDescent="1.35">
      <c r="A35" s="3328" t="s">
        <v>443</v>
      </c>
      <c r="B35" s="3326">
        <v>57</v>
      </c>
      <c r="C35" s="3326"/>
      <c r="D35" s="3326"/>
      <c r="E35" s="3327"/>
      <c r="F35" s="3328" t="s">
        <v>443</v>
      </c>
      <c r="G35" s="3326">
        <v>58</v>
      </c>
      <c r="H35" s="3326"/>
      <c r="I35" s="3326"/>
      <c r="J35" s="3327"/>
      <c r="K35" s="3328" t="s">
        <v>443</v>
      </c>
      <c r="L35" s="3326">
        <v>59</v>
      </c>
      <c r="M35" s="3326"/>
      <c r="N35" s="3326"/>
      <c r="O35" s="3327"/>
      <c r="P35" s="3328" t="s">
        <v>443</v>
      </c>
      <c r="Q35" s="3326">
        <v>60</v>
      </c>
      <c r="R35" s="3326"/>
      <c r="S35" s="3326"/>
      <c r="T35" s="3327"/>
      <c r="U35" s="3328" t="s">
        <v>443</v>
      </c>
      <c r="V35" s="3326">
        <v>61</v>
      </c>
      <c r="W35" s="3326"/>
      <c r="X35" s="3326"/>
      <c r="Y35" s="3327"/>
      <c r="Z35" s="3328" t="s">
        <v>443</v>
      </c>
      <c r="AA35" s="3326">
        <v>62</v>
      </c>
      <c r="AB35" s="3326"/>
      <c r="AC35" s="3326"/>
      <c r="AD35" s="3327"/>
      <c r="AE35" s="3348" t="s">
        <v>443</v>
      </c>
      <c r="AF35" s="3349">
        <v>63</v>
      </c>
      <c r="AG35" s="3326"/>
      <c r="AH35" s="3326"/>
      <c r="AI35" s="3327"/>
      <c r="AJ35" s="3328" t="s">
        <v>443</v>
      </c>
      <c r="AK35" s="3326">
        <v>64</v>
      </c>
      <c r="AL35" s="3326"/>
      <c r="AM35" s="3326"/>
      <c r="AN35" s="3327"/>
      <c r="AO35" s="3328" t="s">
        <v>443</v>
      </c>
      <c r="AP35" s="3326">
        <v>65</v>
      </c>
      <c r="AQ35" s="3326"/>
      <c r="AR35" s="3326"/>
      <c r="AS35" s="3327"/>
      <c r="AT35" s="3328" t="s">
        <v>443</v>
      </c>
      <c r="AU35" s="3326">
        <v>66</v>
      </c>
      <c r="AV35" s="3326"/>
      <c r="AW35" s="3326"/>
      <c r="AX35" s="3327"/>
      <c r="AY35" s="3328" t="s">
        <v>443</v>
      </c>
      <c r="AZ35" s="3326">
        <v>67</v>
      </c>
      <c r="BA35" s="3326"/>
      <c r="BB35" s="3326"/>
      <c r="BC35" s="3327"/>
      <c r="BD35" s="3328" t="s">
        <v>443</v>
      </c>
      <c r="BE35" s="3326">
        <v>68</v>
      </c>
      <c r="BF35" s="3326"/>
      <c r="BG35" s="3326"/>
      <c r="BH35" s="3327"/>
      <c r="BI35" s="3328" t="s">
        <v>443</v>
      </c>
      <c r="BJ35" s="3326">
        <v>69</v>
      </c>
      <c r="BK35" s="3326"/>
      <c r="BL35" s="3326"/>
      <c r="BM35" s="3327"/>
      <c r="BN35" s="3328" t="s">
        <v>443</v>
      </c>
      <c r="BO35" s="3326">
        <v>70</v>
      </c>
      <c r="BP35" s="3326"/>
      <c r="BQ35" s="3326"/>
      <c r="BR35" s="3327"/>
      <c r="CU35" s="56"/>
      <c r="ED35" s="13"/>
      <c r="EE35" s="13"/>
      <c r="EF35" s="13"/>
      <c r="EG35" s="13"/>
      <c r="EH35" s="13"/>
    </row>
    <row r="36" spans="1:138" ht="27" thickBot="1" x14ac:dyDescent="0.3">
      <c r="A36" s="3329"/>
      <c r="B36" s="183">
        <v>0.73599999999999999</v>
      </c>
      <c r="C36" s="184" t="s">
        <v>113</v>
      </c>
      <c r="D36" s="185">
        <v>1</v>
      </c>
      <c r="E36" s="186" t="s">
        <v>114</v>
      </c>
      <c r="F36" s="3329"/>
      <c r="G36" s="183">
        <v>1.8280000000000001</v>
      </c>
      <c r="H36" s="184" t="s">
        <v>113</v>
      </c>
      <c r="I36" s="185">
        <v>2</v>
      </c>
      <c r="J36" s="186" t="s">
        <v>114</v>
      </c>
      <c r="K36" s="3329"/>
      <c r="L36" s="183">
        <v>9.9999999999999998E-13</v>
      </c>
      <c r="M36" s="184" t="s">
        <v>113</v>
      </c>
      <c r="N36" s="185">
        <v>1</v>
      </c>
      <c r="O36" s="186" t="s">
        <v>114</v>
      </c>
      <c r="P36" s="3329"/>
      <c r="Q36" s="183">
        <v>2.3368000000000002</v>
      </c>
      <c r="R36" s="184" t="s">
        <v>113</v>
      </c>
      <c r="S36" s="185">
        <v>2</v>
      </c>
      <c r="T36" s="186" t="s">
        <v>114</v>
      </c>
      <c r="U36" s="3329"/>
      <c r="V36" s="183">
        <v>0.78700000000000003</v>
      </c>
      <c r="W36" s="184" t="s">
        <v>113</v>
      </c>
      <c r="X36" s="185">
        <v>1</v>
      </c>
      <c r="Y36" s="186" t="s">
        <v>114</v>
      </c>
      <c r="Z36" s="3329"/>
      <c r="AA36" s="183">
        <v>2.2349999999999999</v>
      </c>
      <c r="AB36" s="184" t="s">
        <v>113</v>
      </c>
      <c r="AC36" s="185">
        <v>2</v>
      </c>
      <c r="AD36" s="186" t="s">
        <v>114</v>
      </c>
      <c r="AE36" s="3329"/>
      <c r="AF36" s="183">
        <v>9.9999999999999995E-8</v>
      </c>
      <c r="AG36" s="184" t="s">
        <v>113</v>
      </c>
      <c r="AH36" s="185">
        <v>1</v>
      </c>
      <c r="AI36" s="186" t="s">
        <v>114</v>
      </c>
      <c r="AJ36" s="3329"/>
      <c r="AK36" s="183">
        <v>0.63500000000000001</v>
      </c>
      <c r="AL36" s="184" t="s">
        <v>113</v>
      </c>
      <c r="AM36" s="185">
        <v>2</v>
      </c>
      <c r="AN36" s="186" t="s">
        <v>114</v>
      </c>
      <c r="AO36" s="3329"/>
      <c r="AP36" s="183">
        <v>1.778</v>
      </c>
      <c r="AQ36" s="184" t="s">
        <v>113</v>
      </c>
      <c r="AR36" s="185">
        <v>1</v>
      </c>
      <c r="AS36" s="186" t="s">
        <v>114</v>
      </c>
      <c r="AT36" s="3329"/>
      <c r="AU36" s="183">
        <v>0.66</v>
      </c>
      <c r="AV36" s="184" t="s">
        <v>113</v>
      </c>
      <c r="AW36" s="185">
        <v>2</v>
      </c>
      <c r="AX36" s="186" t="s">
        <v>114</v>
      </c>
      <c r="AY36" s="3329"/>
      <c r="AZ36" s="183">
        <v>1.5489999999999999</v>
      </c>
      <c r="BA36" s="184" t="s">
        <v>113</v>
      </c>
      <c r="BB36" s="185">
        <v>1</v>
      </c>
      <c r="BC36" s="186" t="s">
        <v>114</v>
      </c>
      <c r="BD36" s="3329"/>
      <c r="BE36" s="183">
        <v>0.152</v>
      </c>
      <c r="BF36" s="184" t="s">
        <v>113</v>
      </c>
      <c r="BG36" s="185">
        <v>2</v>
      </c>
      <c r="BH36" s="186" t="s">
        <v>114</v>
      </c>
      <c r="BI36" s="3329"/>
      <c r="BJ36" s="183">
        <v>0.35499999999999998</v>
      </c>
      <c r="BK36" s="184" t="s">
        <v>113</v>
      </c>
      <c r="BL36" s="185">
        <v>1</v>
      </c>
      <c r="BM36" s="186" t="s">
        <v>114</v>
      </c>
      <c r="BN36" s="3329"/>
      <c r="BO36" s="183">
        <v>1E-8</v>
      </c>
      <c r="BP36" s="184" t="s">
        <v>113</v>
      </c>
      <c r="BQ36" s="185">
        <v>2</v>
      </c>
      <c r="BR36" s="186" t="s">
        <v>114</v>
      </c>
      <c r="BW36" s="27"/>
      <c r="BX36" s="27"/>
      <c r="BY36" s="27"/>
      <c r="BZ36" s="27"/>
      <c r="CA36" s="27"/>
      <c r="CB36" s="27"/>
      <c r="CC36" s="27"/>
      <c r="CD36" s="27"/>
      <c r="CE36" s="27"/>
      <c r="ED36" s="13"/>
      <c r="EE36" s="13"/>
      <c r="EF36" s="13"/>
      <c r="EG36" s="13"/>
      <c r="EH36" s="13"/>
    </row>
    <row r="37" spans="1:138" ht="26.1" customHeight="1" x14ac:dyDescent="0.25">
      <c r="A37" s="3333" t="s">
        <v>110</v>
      </c>
      <c r="B37" s="3334"/>
      <c r="C37" s="3337">
        <f>B43/((54*3.1415/59)*(154.5/3.281))</f>
        <v>2.3819281300093292E-2</v>
      </c>
      <c r="D37" s="3337"/>
      <c r="E37" s="3338"/>
      <c r="F37" s="3333" t="s">
        <v>110</v>
      </c>
      <c r="G37" s="3334"/>
      <c r="H37" s="3337">
        <f>G43/((54*3.1415/59)*(154.5/3.281))</f>
        <v>6.7506428242745022E-3</v>
      </c>
      <c r="I37" s="3337"/>
      <c r="J37" s="3338"/>
      <c r="K37" s="3333" t="s">
        <v>110</v>
      </c>
      <c r="L37" s="3334"/>
      <c r="M37" s="3337">
        <f>L43/((54*3.1415/59)*(154.5/3.281))</f>
        <v>1.1625286439177315E-2</v>
      </c>
      <c r="N37" s="3337"/>
      <c r="O37" s="3338"/>
      <c r="P37" s="3333" t="s">
        <v>110</v>
      </c>
      <c r="Q37" s="3334"/>
      <c r="R37" s="3337">
        <f>Q43/((54*3.1415/59)*(154.5/3.281))</f>
        <v>4.3147981815548839E-2</v>
      </c>
      <c r="S37" s="3337"/>
      <c r="T37" s="3338"/>
      <c r="U37" s="3333" t="s">
        <v>110</v>
      </c>
      <c r="V37" s="3334"/>
      <c r="W37" s="3337">
        <f>V43/((54*3.1415/59)*(154.5/3.281))</f>
        <v>1.8006638080504636E-2</v>
      </c>
      <c r="X37" s="3337"/>
      <c r="Y37" s="3338"/>
      <c r="Z37" s="3333" t="s">
        <v>110</v>
      </c>
      <c r="AA37" s="3334"/>
      <c r="AB37" s="3337">
        <f>AA43/((54*3.1415/59)*(154.5/3.281))</f>
        <v>9.1879646317259075E-3</v>
      </c>
      <c r="AC37" s="3337"/>
      <c r="AD37" s="3338"/>
      <c r="AE37" s="3333" t="s">
        <v>110</v>
      </c>
      <c r="AF37" s="3334"/>
      <c r="AG37" s="3337">
        <f>AF43/((54*3.1415/59)*(154.5/3.281))</f>
        <v>2.3819281300093292E-2</v>
      </c>
      <c r="AH37" s="3337"/>
      <c r="AI37" s="3338"/>
      <c r="AJ37" s="3333" t="s">
        <v>110</v>
      </c>
      <c r="AK37" s="3334"/>
      <c r="AL37" s="3337">
        <f>AK43/((54*3.1415/59)*(154.5/3.281))</f>
        <v>8.4419964421725991E-3</v>
      </c>
      <c r="AM37" s="3337"/>
      <c r="AN37" s="3338"/>
      <c r="AO37" s="3333" t="s">
        <v>110</v>
      </c>
      <c r="AP37" s="3334"/>
      <c r="AQ37" s="3337">
        <f>AP43/((54*3.1415/59)*(154.5/3.281))</f>
        <v>3.3199277346951737E-2</v>
      </c>
      <c r="AR37" s="3337"/>
      <c r="AS37" s="3338"/>
      <c r="AT37" s="3333" t="s">
        <v>110</v>
      </c>
      <c r="AU37" s="3334"/>
      <c r="AV37" s="3337">
        <f>AU43/((54*3.1415/59)*(154.5/3.281))</f>
        <v>8.4419964421725991E-3</v>
      </c>
      <c r="AW37" s="3337"/>
      <c r="AX37" s="3338"/>
      <c r="AY37" s="3333" t="s">
        <v>110</v>
      </c>
      <c r="AZ37" s="3334"/>
      <c r="BA37" s="3337">
        <f>AZ43/((54*3.1415/59)*(154.5/3.281))</f>
        <v>1.1443595177167303E-2</v>
      </c>
      <c r="BB37" s="3337"/>
      <c r="BC37" s="3338"/>
      <c r="BD37" s="3333" t="s">
        <v>110</v>
      </c>
      <c r="BE37" s="3334"/>
      <c r="BF37" s="3337">
        <f>BE43/((54*3.1415/59)*(154.5/3.281))</f>
        <v>4.8207271021925242E-2</v>
      </c>
      <c r="BG37" s="3337"/>
      <c r="BH37" s="3338"/>
      <c r="BI37" s="3333" t="s">
        <v>110</v>
      </c>
      <c r="BJ37" s="3334"/>
      <c r="BK37" s="3337">
        <f>BJ43/((54*3.1415/59)*(154.5/3.281))</f>
        <v>4.5023981024920534E-3</v>
      </c>
      <c r="BL37" s="3337"/>
      <c r="BM37" s="3338"/>
      <c r="BN37" s="3333" t="s">
        <v>110</v>
      </c>
      <c r="BO37" s="3334"/>
      <c r="BP37" s="3337">
        <f>BO43/((54*3.1415/59)*(154.5/3.281))</f>
        <v>1.8944637685190478E-2</v>
      </c>
      <c r="BQ37" s="3337"/>
      <c r="BR37" s="3338"/>
      <c r="ED37" s="13"/>
      <c r="EE37" s="13"/>
      <c r="EF37" s="13"/>
      <c r="EG37" s="13"/>
      <c r="EH37" s="13"/>
    </row>
    <row r="38" spans="1:138" ht="6.75" customHeight="1" x14ac:dyDescent="0.25">
      <c r="A38" s="3335"/>
      <c r="B38" s="3336"/>
      <c r="C38" s="3339"/>
      <c r="D38" s="3339"/>
      <c r="E38" s="3340"/>
      <c r="F38" s="3335"/>
      <c r="G38" s="3336"/>
      <c r="H38" s="3339"/>
      <c r="I38" s="3339"/>
      <c r="J38" s="3340"/>
      <c r="K38" s="3335"/>
      <c r="L38" s="3336"/>
      <c r="M38" s="3339"/>
      <c r="N38" s="3339"/>
      <c r="O38" s="3340"/>
      <c r="P38" s="3335"/>
      <c r="Q38" s="3336"/>
      <c r="R38" s="3339"/>
      <c r="S38" s="3339"/>
      <c r="T38" s="3340"/>
      <c r="U38" s="3335"/>
      <c r="V38" s="3336"/>
      <c r="W38" s="3339"/>
      <c r="X38" s="3339"/>
      <c r="Y38" s="3340"/>
      <c r="Z38" s="3335"/>
      <c r="AA38" s="3336"/>
      <c r="AB38" s="3339"/>
      <c r="AC38" s="3339"/>
      <c r="AD38" s="3340"/>
      <c r="AE38" s="3335"/>
      <c r="AF38" s="3336"/>
      <c r="AG38" s="3339"/>
      <c r="AH38" s="3339"/>
      <c r="AI38" s="3340"/>
      <c r="AJ38" s="3335"/>
      <c r="AK38" s="3336"/>
      <c r="AL38" s="3339"/>
      <c r="AM38" s="3339"/>
      <c r="AN38" s="3340"/>
      <c r="AO38" s="3335"/>
      <c r="AP38" s="3336"/>
      <c r="AQ38" s="3339"/>
      <c r="AR38" s="3339"/>
      <c r="AS38" s="3340"/>
      <c r="AT38" s="3335"/>
      <c r="AU38" s="3336"/>
      <c r="AV38" s="3339"/>
      <c r="AW38" s="3339"/>
      <c r="AX38" s="3340"/>
      <c r="AY38" s="3335"/>
      <c r="AZ38" s="3336"/>
      <c r="BA38" s="3339"/>
      <c r="BB38" s="3339"/>
      <c r="BC38" s="3340"/>
      <c r="BD38" s="3335"/>
      <c r="BE38" s="3336"/>
      <c r="BF38" s="3339"/>
      <c r="BG38" s="3339"/>
      <c r="BH38" s="3340"/>
      <c r="BI38" s="3335"/>
      <c r="BJ38" s="3336"/>
      <c r="BK38" s="3339"/>
      <c r="BL38" s="3339"/>
      <c r="BM38" s="3340"/>
      <c r="BN38" s="3335"/>
      <c r="BO38" s="3336"/>
      <c r="BP38" s="3339"/>
      <c r="BQ38" s="3339"/>
      <c r="BR38" s="3340"/>
      <c r="ED38" s="57"/>
      <c r="EE38" s="57"/>
      <c r="EF38" s="57"/>
      <c r="EG38" s="57"/>
      <c r="EH38" s="57"/>
    </row>
    <row r="39" spans="1:138" ht="6" customHeight="1" x14ac:dyDescent="0.25">
      <c r="A39" s="3335"/>
      <c r="B39" s="3336"/>
      <c r="C39" s="3339"/>
      <c r="D39" s="3339"/>
      <c r="E39" s="3340"/>
      <c r="F39" s="3335"/>
      <c r="G39" s="3336"/>
      <c r="H39" s="3339"/>
      <c r="I39" s="3339"/>
      <c r="J39" s="3340"/>
      <c r="K39" s="3335"/>
      <c r="L39" s="3336"/>
      <c r="M39" s="3339"/>
      <c r="N39" s="3339"/>
      <c r="O39" s="3340"/>
      <c r="P39" s="3335"/>
      <c r="Q39" s="3336"/>
      <c r="R39" s="3339"/>
      <c r="S39" s="3339"/>
      <c r="T39" s="3340"/>
      <c r="U39" s="3335"/>
      <c r="V39" s="3336"/>
      <c r="W39" s="3339"/>
      <c r="X39" s="3339"/>
      <c r="Y39" s="3340"/>
      <c r="Z39" s="3335"/>
      <c r="AA39" s="3336"/>
      <c r="AB39" s="3339"/>
      <c r="AC39" s="3339"/>
      <c r="AD39" s="3340"/>
      <c r="AE39" s="3335"/>
      <c r="AF39" s="3336"/>
      <c r="AG39" s="3339"/>
      <c r="AH39" s="3339"/>
      <c r="AI39" s="3340"/>
      <c r="AJ39" s="3335"/>
      <c r="AK39" s="3336"/>
      <c r="AL39" s="3339"/>
      <c r="AM39" s="3339"/>
      <c r="AN39" s="3340"/>
      <c r="AO39" s="3335"/>
      <c r="AP39" s="3336"/>
      <c r="AQ39" s="3339"/>
      <c r="AR39" s="3339"/>
      <c r="AS39" s="3340"/>
      <c r="AT39" s="3335"/>
      <c r="AU39" s="3336"/>
      <c r="AV39" s="3339"/>
      <c r="AW39" s="3339"/>
      <c r="AX39" s="3340"/>
      <c r="AY39" s="3335"/>
      <c r="AZ39" s="3336"/>
      <c r="BA39" s="3339"/>
      <c r="BB39" s="3339"/>
      <c r="BC39" s="3340"/>
      <c r="BD39" s="3335"/>
      <c r="BE39" s="3336"/>
      <c r="BF39" s="3339"/>
      <c r="BG39" s="3339"/>
      <c r="BH39" s="3340"/>
      <c r="BI39" s="3335"/>
      <c r="BJ39" s="3336"/>
      <c r="BK39" s="3339"/>
      <c r="BL39" s="3339"/>
      <c r="BM39" s="3340"/>
      <c r="BN39" s="3335"/>
      <c r="BO39" s="3336"/>
      <c r="BP39" s="3339"/>
      <c r="BQ39" s="3339"/>
      <c r="BR39" s="3340"/>
      <c r="ED39" s="57"/>
      <c r="EE39" s="57"/>
      <c r="EF39" s="57"/>
      <c r="EG39" s="57"/>
      <c r="EH39" s="57"/>
    </row>
    <row r="40" spans="1:138" ht="6" hidden="1" customHeight="1" x14ac:dyDescent="0.25">
      <c r="A40" s="3335"/>
      <c r="B40" s="3336"/>
      <c r="C40" s="3339"/>
      <c r="D40" s="3339"/>
      <c r="E40" s="3340"/>
      <c r="F40" s="3335"/>
      <c r="G40" s="3336"/>
      <c r="H40" s="3339"/>
      <c r="I40" s="3339"/>
      <c r="J40" s="3340"/>
      <c r="K40" s="3335"/>
      <c r="L40" s="3336"/>
      <c r="M40" s="3339"/>
      <c r="N40" s="3339"/>
      <c r="O40" s="3340"/>
      <c r="P40" s="3335"/>
      <c r="Q40" s="3336"/>
      <c r="R40" s="3339"/>
      <c r="S40" s="3339"/>
      <c r="T40" s="3340"/>
      <c r="U40" s="3335"/>
      <c r="V40" s="3336"/>
      <c r="W40" s="3339"/>
      <c r="X40" s="3339"/>
      <c r="Y40" s="3340"/>
      <c r="Z40" s="3335"/>
      <c r="AA40" s="3336"/>
      <c r="AB40" s="3339"/>
      <c r="AC40" s="3339"/>
      <c r="AD40" s="3340"/>
      <c r="AE40" s="3335"/>
      <c r="AF40" s="3336"/>
      <c r="AG40" s="3339"/>
      <c r="AH40" s="3339"/>
      <c r="AI40" s="3340"/>
      <c r="AJ40" s="3335"/>
      <c r="AK40" s="3336"/>
      <c r="AL40" s="3339"/>
      <c r="AM40" s="3339"/>
      <c r="AN40" s="3340"/>
      <c r="AO40" s="3335"/>
      <c r="AP40" s="3336"/>
      <c r="AQ40" s="3339"/>
      <c r="AR40" s="3339"/>
      <c r="AS40" s="3340"/>
      <c r="AT40" s="3335"/>
      <c r="AU40" s="3336"/>
      <c r="AV40" s="3339"/>
      <c r="AW40" s="3339"/>
      <c r="AX40" s="3340"/>
      <c r="AY40" s="3335"/>
      <c r="AZ40" s="3336"/>
      <c r="BA40" s="3339"/>
      <c r="BB40" s="3339"/>
      <c r="BC40" s="3340"/>
      <c r="BD40" s="3335"/>
      <c r="BE40" s="3336"/>
      <c r="BF40" s="3339"/>
      <c r="BG40" s="3339"/>
      <c r="BH40" s="3340"/>
      <c r="BI40" s="3335"/>
      <c r="BJ40" s="3336"/>
      <c r="BK40" s="3339"/>
      <c r="BL40" s="3339"/>
      <c r="BM40" s="3340"/>
      <c r="BN40" s="3335"/>
      <c r="BO40" s="3336"/>
      <c r="BP40" s="3339"/>
      <c r="BQ40" s="3339"/>
      <c r="BR40" s="3340"/>
      <c r="ED40" s="57"/>
      <c r="EE40" s="57"/>
      <c r="EF40" s="57"/>
      <c r="EG40" s="57"/>
      <c r="EH40" s="57"/>
    </row>
    <row r="41" spans="1:138" ht="28.5" customHeight="1" x14ac:dyDescent="0.25">
      <c r="A41" s="3341" t="s">
        <v>444</v>
      </c>
      <c r="B41" s="3342"/>
      <c r="C41" s="2319" t="s">
        <v>111</v>
      </c>
      <c r="D41" s="2320"/>
      <c r="E41" s="3343"/>
      <c r="F41" s="3341" t="s">
        <v>444</v>
      </c>
      <c r="G41" s="3342"/>
      <c r="H41" s="2319" t="s">
        <v>111</v>
      </c>
      <c r="I41" s="2320"/>
      <c r="J41" s="3343"/>
      <c r="K41" s="3341" t="s">
        <v>444</v>
      </c>
      <c r="L41" s="3342"/>
      <c r="M41" s="2319" t="s">
        <v>111</v>
      </c>
      <c r="N41" s="2320"/>
      <c r="O41" s="3343"/>
      <c r="P41" s="3341" t="s">
        <v>444</v>
      </c>
      <c r="Q41" s="3342"/>
      <c r="R41" s="2319" t="s">
        <v>111</v>
      </c>
      <c r="S41" s="2320"/>
      <c r="T41" s="3343"/>
      <c r="U41" s="3341" t="s">
        <v>444</v>
      </c>
      <c r="V41" s="3342"/>
      <c r="W41" s="2319" t="s">
        <v>111</v>
      </c>
      <c r="X41" s="2320"/>
      <c r="Y41" s="3343"/>
      <c r="Z41" s="3341" t="s">
        <v>444</v>
      </c>
      <c r="AA41" s="3342"/>
      <c r="AB41" s="2319" t="s">
        <v>111</v>
      </c>
      <c r="AC41" s="2320"/>
      <c r="AD41" s="3343"/>
      <c r="AE41" s="3341" t="s">
        <v>444</v>
      </c>
      <c r="AF41" s="3342"/>
      <c r="AG41" s="2319" t="s">
        <v>111</v>
      </c>
      <c r="AH41" s="2320"/>
      <c r="AI41" s="3343"/>
      <c r="AJ41" s="3341" t="s">
        <v>444</v>
      </c>
      <c r="AK41" s="3342"/>
      <c r="AL41" s="2319" t="s">
        <v>111</v>
      </c>
      <c r="AM41" s="2320"/>
      <c r="AN41" s="3343"/>
      <c r="AO41" s="3341" t="s">
        <v>444</v>
      </c>
      <c r="AP41" s="3342"/>
      <c r="AQ41" s="2319" t="s">
        <v>111</v>
      </c>
      <c r="AR41" s="2320"/>
      <c r="AS41" s="3343"/>
      <c r="AT41" s="3341" t="s">
        <v>444</v>
      </c>
      <c r="AU41" s="3342"/>
      <c r="AV41" s="2319" t="s">
        <v>111</v>
      </c>
      <c r="AW41" s="2320"/>
      <c r="AX41" s="3343"/>
      <c r="AY41" s="3341" t="s">
        <v>444</v>
      </c>
      <c r="AZ41" s="3342"/>
      <c r="BA41" s="2319" t="s">
        <v>111</v>
      </c>
      <c r="BB41" s="2320"/>
      <c r="BC41" s="3343"/>
      <c r="BD41" s="3341" t="s">
        <v>444</v>
      </c>
      <c r="BE41" s="3342"/>
      <c r="BF41" s="2319" t="s">
        <v>111</v>
      </c>
      <c r="BG41" s="2320"/>
      <c r="BH41" s="3343"/>
      <c r="BI41" s="3341" t="s">
        <v>444</v>
      </c>
      <c r="BJ41" s="3342"/>
      <c r="BK41" s="2319" t="s">
        <v>111</v>
      </c>
      <c r="BL41" s="2320"/>
      <c r="BM41" s="3343"/>
      <c r="BN41" s="3341" t="s">
        <v>444</v>
      </c>
      <c r="BO41" s="3342"/>
      <c r="BP41" s="2319" t="s">
        <v>111</v>
      </c>
      <c r="BQ41" s="2320"/>
      <c r="BR41" s="3343"/>
      <c r="ED41" s="57"/>
      <c r="EE41" s="57"/>
      <c r="EF41" s="57"/>
      <c r="EG41" s="57"/>
      <c r="EH41" s="57"/>
    </row>
    <row r="42" spans="1:138" s="22" customFormat="1" ht="80.099999999999994" customHeight="1" x14ac:dyDescent="1.35">
      <c r="A42" s="3328" t="s">
        <v>443</v>
      </c>
      <c r="B42" s="3326">
        <v>71</v>
      </c>
      <c r="C42" s="3326"/>
      <c r="D42" s="3326"/>
      <c r="E42" s="3327"/>
      <c r="F42" s="3328" t="s">
        <v>443</v>
      </c>
      <c r="G42" s="3326">
        <v>72</v>
      </c>
      <c r="H42" s="3326"/>
      <c r="I42" s="3326"/>
      <c r="J42" s="3327"/>
      <c r="K42" s="3328" t="s">
        <v>443</v>
      </c>
      <c r="L42" s="3326">
        <v>73</v>
      </c>
      <c r="M42" s="3326"/>
      <c r="N42" s="3326"/>
      <c r="O42" s="3327"/>
      <c r="P42" s="3328" t="s">
        <v>443</v>
      </c>
      <c r="Q42" s="3326">
        <v>74</v>
      </c>
      <c r="R42" s="3326"/>
      <c r="S42" s="3326"/>
      <c r="T42" s="3327"/>
      <c r="U42" s="3328" t="s">
        <v>443</v>
      </c>
      <c r="V42" s="3326">
        <v>75</v>
      </c>
      <c r="W42" s="3326"/>
      <c r="X42" s="3326"/>
      <c r="Y42" s="3327"/>
      <c r="Z42" s="3328" t="s">
        <v>443</v>
      </c>
      <c r="AA42" s="3326">
        <v>76</v>
      </c>
      <c r="AB42" s="3326"/>
      <c r="AC42" s="3326"/>
      <c r="AD42" s="3327"/>
      <c r="AE42" s="3328" t="s">
        <v>443</v>
      </c>
      <c r="AF42" s="3326">
        <v>77</v>
      </c>
      <c r="AG42" s="3326"/>
      <c r="AH42" s="3326"/>
      <c r="AI42" s="3327"/>
      <c r="AJ42" s="3328" t="s">
        <v>443</v>
      </c>
      <c r="AK42" s="3326">
        <v>78</v>
      </c>
      <c r="AL42" s="3326"/>
      <c r="AM42" s="3326"/>
      <c r="AN42" s="3327"/>
      <c r="AO42" s="3328" t="s">
        <v>443</v>
      </c>
      <c r="AP42" s="3326">
        <v>79</v>
      </c>
      <c r="AQ42" s="3326"/>
      <c r="AR42" s="3326"/>
      <c r="AS42" s="3327"/>
      <c r="AT42" s="3328" t="s">
        <v>443</v>
      </c>
      <c r="AU42" s="3326">
        <v>80</v>
      </c>
      <c r="AV42" s="3326"/>
      <c r="AW42" s="3326"/>
      <c r="AX42" s="3327"/>
      <c r="AY42" s="3328" t="s">
        <v>443</v>
      </c>
      <c r="AZ42" s="3326">
        <v>81</v>
      </c>
      <c r="BA42" s="3326"/>
      <c r="BB42" s="3326"/>
      <c r="BC42" s="3327"/>
      <c r="BD42" s="3328" t="s">
        <v>443</v>
      </c>
      <c r="BE42" s="3326">
        <v>82</v>
      </c>
      <c r="BF42" s="3326"/>
      <c r="BG42" s="3326"/>
      <c r="BH42" s="3327"/>
      <c r="BI42" s="3328" t="s">
        <v>443</v>
      </c>
      <c r="BJ42" s="3326">
        <v>83</v>
      </c>
      <c r="BK42" s="3326"/>
      <c r="BL42" s="3326"/>
      <c r="BM42" s="3327"/>
      <c r="BN42" s="3328" t="s">
        <v>443</v>
      </c>
      <c r="BO42" s="3326">
        <v>84</v>
      </c>
      <c r="BP42" s="3326"/>
      <c r="BQ42" s="3326"/>
      <c r="BR42" s="3327"/>
      <c r="CU42"/>
      <c r="ED42" s="13"/>
      <c r="EE42" s="13"/>
      <c r="EF42" s="13"/>
      <c r="EG42" s="13"/>
      <c r="EH42" s="13"/>
    </row>
    <row r="43" spans="1:138" ht="27" thickBot="1" x14ac:dyDescent="0.3">
      <c r="A43" s="3329"/>
      <c r="B43" s="183">
        <v>3.2250000000000001</v>
      </c>
      <c r="C43" s="184" t="s">
        <v>113</v>
      </c>
      <c r="D43" s="185">
        <v>1</v>
      </c>
      <c r="E43" s="186" t="s">
        <v>114</v>
      </c>
      <c r="F43" s="3329"/>
      <c r="G43" s="183">
        <v>0.91400000000000003</v>
      </c>
      <c r="H43" s="184" t="s">
        <v>113</v>
      </c>
      <c r="I43" s="185">
        <v>2</v>
      </c>
      <c r="J43" s="186" t="s">
        <v>114</v>
      </c>
      <c r="K43" s="3329"/>
      <c r="L43" s="183">
        <v>1.5740000000000001</v>
      </c>
      <c r="M43" s="184" t="s">
        <v>113</v>
      </c>
      <c r="N43" s="185">
        <v>1</v>
      </c>
      <c r="O43" s="186" t="s">
        <v>114</v>
      </c>
      <c r="P43" s="3329"/>
      <c r="Q43" s="183">
        <v>5.8419999999999996</v>
      </c>
      <c r="R43" s="184" t="s">
        <v>113</v>
      </c>
      <c r="S43" s="185">
        <v>2</v>
      </c>
      <c r="T43" s="186" t="s">
        <v>114</v>
      </c>
      <c r="U43" s="3329"/>
      <c r="V43" s="183">
        <v>2.4380000000000002</v>
      </c>
      <c r="W43" s="184" t="s">
        <v>113</v>
      </c>
      <c r="X43" s="185">
        <v>1</v>
      </c>
      <c r="Y43" s="186" t="s">
        <v>114</v>
      </c>
      <c r="Z43" s="3329"/>
      <c r="AA43" s="183">
        <v>1.244</v>
      </c>
      <c r="AB43" s="184" t="s">
        <v>113</v>
      </c>
      <c r="AC43" s="185">
        <v>2</v>
      </c>
      <c r="AD43" s="186" t="s">
        <v>114</v>
      </c>
      <c r="AE43" s="3329"/>
      <c r="AF43" s="183">
        <v>3.2250000000000001</v>
      </c>
      <c r="AG43" s="184" t="s">
        <v>113</v>
      </c>
      <c r="AH43" s="185">
        <v>2</v>
      </c>
      <c r="AI43" s="186" t="s">
        <v>114</v>
      </c>
      <c r="AJ43" s="3329"/>
      <c r="AK43" s="183">
        <v>1.143</v>
      </c>
      <c r="AL43" s="184" t="s">
        <v>113</v>
      </c>
      <c r="AM43" s="185">
        <v>1</v>
      </c>
      <c r="AN43" s="186" t="s">
        <v>114</v>
      </c>
      <c r="AO43" s="3329"/>
      <c r="AP43" s="183">
        <v>4.4950000000000001</v>
      </c>
      <c r="AQ43" s="184" t="s">
        <v>113</v>
      </c>
      <c r="AR43" s="185">
        <v>2</v>
      </c>
      <c r="AS43" s="186" t="s">
        <v>114</v>
      </c>
      <c r="AT43" s="3329"/>
      <c r="AU43" s="183">
        <v>1.143</v>
      </c>
      <c r="AV43" s="184" t="s">
        <v>113</v>
      </c>
      <c r="AW43" s="185">
        <v>1</v>
      </c>
      <c r="AX43" s="186" t="s">
        <v>114</v>
      </c>
      <c r="AY43" s="3329"/>
      <c r="AZ43" s="183">
        <v>1.5494000000000001</v>
      </c>
      <c r="BA43" s="184" t="s">
        <v>113</v>
      </c>
      <c r="BB43" s="185">
        <v>2</v>
      </c>
      <c r="BC43" s="186" t="s">
        <v>114</v>
      </c>
      <c r="BD43" s="3329"/>
      <c r="BE43" s="183">
        <v>6.5270000000000001</v>
      </c>
      <c r="BF43" s="184" t="s">
        <v>113</v>
      </c>
      <c r="BG43" s="185">
        <v>1</v>
      </c>
      <c r="BH43" s="186" t="s">
        <v>114</v>
      </c>
      <c r="BI43" s="3329"/>
      <c r="BJ43" s="183">
        <v>0.60960000000000003</v>
      </c>
      <c r="BK43" s="184" t="s">
        <v>113</v>
      </c>
      <c r="BL43" s="185">
        <v>2</v>
      </c>
      <c r="BM43" s="186" t="s">
        <v>114</v>
      </c>
      <c r="BN43" s="3329"/>
      <c r="BO43" s="183">
        <v>2.5649999999999999</v>
      </c>
      <c r="BP43" s="184" t="s">
        <v>113</v>
      </c>
      <c r="BQ43" s="185">
        <v>1</v>
      </c>
      <c r="BR43" s="186" t="s">
        <v>114</v>
      </c>
      <c r="BW43" s="27"/>
      <c r="BX43" s="27"/>
      <c r="BY43" s="27"/>
      <c r="BZ43" s="27"/>
      <c r="CA43" s="27"/>
      <c r="CB43" s="27"/>
      <c r="CC43" s="27"/>
      <c r="CD43" s="27"/>
      <c r="CE43" s="27"/>
      <c r="ED43" s="13"/>
      <c r="EE43" s="13"/>
      <c r="EF43" s="13"/>
      <c r="EG43" s="13"/>
      <c r="EH43" s="13"/>
    </row>
    <row r="44" spans="1:138" ht="26.1" customHeight="1" x14ac:dyDescent="0.25">
      <c r="A44" s="3333" t="s">
        <v>110</v>
      </c>
      <c r="B44" s="3334"/>
      <c r="C44" s="3337">
        <f>B50/((54*3.1415/59)*(154.5/3.281))</f>
        <v>3.1832899970047158E-2</v>
      </c>
      <c r="D44" s="3337"/>
      <c r="E44" s="3338"/>
      <c r="F44" s="3333" t="s">
        <v>110</v>
      </c>
      <c r="G44" s="3334"/>
      <c r="H44" s="3337">
        <f>G50/((54*3.1415/59)*(154.5/3.281))</f>
        <v>3.1891986559318707E-2</v>
      </c>
      <c r="I44" s="3337"/>
      <c r="J44" s="3338"/>
      <c r="K44" s="3333" t="s">
        <v>110</v>
      </c>
      <c r="L44" s="3334"/>
      <c r="M44" s="3337">
        <f>L50/((54*3.1415/59)*(154.5/3.281))</f>
        <v>1.0879318249624006E-2</v>
      </c>
      <c r="N44" s="3337"/>
      <c r="O44" s="3338"/>
      <c r="P44" s="3333" t="s">
        <v>110</v>
      </c>
      <c r="Q44" s="3334"/>
      <c r="R44" s="3337">
        <f>Q50/((54*3.1415/59)*(154.5/3.281))</f>
        <v>7.3119654223542194E-3</v>
      </c>
      <c r="S44" s="3337"/>
      <c r="T44" s="3338"/>
      <c r="U44" s="3333" t="s">
        <v>110</v>
      </c>
      <c r="V44" s="3334"/>
      <c r="W44" s="3337">
        <f>V50/((54*3.1415/59)*(154.5/3.281))</f>
        <v>7.3858236589436571E-12</v>
      </c>
      <c r="X44" s="3337"/>
      <c r="Y44" s="3338"/>
      <c r="Z44" s="3333" t="s">
        <v>110</v>
      </c>
      <c r="AA44" s="3334"/>
      <c r="AB44" s="3337">
        <f>AA50/((54*3.1415/59)*(154.5/3.281))</f>
        <v>8.4419964421725991E-3</v>
      </c>
      <c r="AC44" s="3337"/>
      <c r="AD44" s="3338"/>
      <c r="AE44" s="3333" t="s">
        <v>110</v>
      </c>
      <c r="AF44" s="3334"/>
      <c r="AG44" s="3337">
        <f>AF50/((54*3.1415/59)*(154.5/3.281))</f>
        <v>1.6321193121533691E-2</v>
      </c>
      <c r="AH44" s="3337"/>
      <c r="AI44" s="3338"/>
      <c r="AJ44" s="3333" t="s">
        <v>110</v>
      </c>
      <c r="AK44" s="3334"/>
      <c r="AL44" s="3337">
        <f>AK50/((54*3.1415/59)*(154.5/3.281))</f>
        <v>2.813998814057533E-2</v>
      </c>
      <c r="AM44" s="3337"/>
      <c r="AN44" s="3338"/>
      <c r="AO44" s="3333" t="s">
        <v>110</v>
      </c>
      <c r="AP44" s="3334"/>
      <c r="AQ44" s="3337">
        <f>AP50/((54*3.1415/59)*(154.5/3.281))</f>
        <v>2.3634635708619702E-2</v>
      </c>
      <c r="AR44" s="3337"/>
      <c r="AS44" s="3338"/>
      <c r="AT44" s="3333" t="s">
        <v>110</v>
      </c>
      <c r="AU44" s="3334"/>
      <c r="AV44" s="3337">
        <f>AU50/((54*3.1415/59)*(154.5/3.281))</f>
        <v>1.2001963445783441E-2</v>
      </c>
      <c r="AW44" s="3337"/>
      <c r="AX44" s="3338"/>
      <c r="AY44" s="3333" t="s">
        <v>110</v>
      </c>
      <c r="AZ44" s="3334"/>
      <c r="BA44" s="3337">
        <f>AZ50/((54*3.1415/59)*(154.5/3.281))</f>
        <v>1.5753961864526819E-2</v>
      </c>
      <c r="BB44" s="3337"/>
      <c r="BC44" s="3338"/>
      <c r="BD44" s="3333" t="s">
        <v>110</v>
      </c>
      <c r="BE44" s="3334"/>
      <c r="BF44" s="3337">
        <f>BE50/((54*3.1415/59)*(154.5/3.281))</f>
        <v>1.650731587773907E-2</v>
      </c>
      <c r="BG44" s="3337"/>
      <c r="BH44" s="3338"/>
      <c r="BI44" s="3333" t="s">
        <v>110</v>
      </c>
      <c r="BJ44" s="3334"/>
      <c r="BK44" s="3337">
        <f>BJ50/((54*3.1415/59)*(154.5/3.281))</f>
        <v>7.3858236589436565E-13</v>
      </c>
      <c r="BL44" s="3337"/>
      <c r="BM44" s="3338"/>
      <c r="BN44" s="3333" t="s">
        <v>110</v>
      </c>
      <c r="BO44" s="3334"/>
      <c r="BP44" s="3337">
        <f>BO50/((54*3.1415/59)*(154.5/3.281))</f>
        <v>1.500799367497351E-2</v>
      </c>
      <c r="BQ44" s="3337"/>
      <c r="BR44" s="3338"/>
      <c r="ED44" s="13"/>
      <c r="EE44" s="13"/>
      <c r="EF44" s="13"/>
      <c r="EG44" s="13"/>
      <c r="EH44" s="13"/>
    </row>
    <row r="45" spans="1:138" ht="6.75" customHeight="1" x14ac:dyDescent="0.25">
      <c r="A45" s="3335"/>
      <c r="B45" s="3336"/>
      <c r="C45" s="3339"/>
      <c r="D45" s="3339"/>
      <c r="E45" s="3340"/>
      <c r="F45" s="3335"/>
      <c r="G45" s="3336"/>
      <c r="H45" s="3339"/>
      <c r="I45" s="3339"/>
      <c r="J45" s="3340"/>
      <c r="K45" s="3335"/>
      <c r="L45" s="3336"/>
      <c r="M45" s="3339"/>
      <c r="N45" s="3339"/>
      <c r="O45" s="3340"/>
      <c r="P45" s="3335"/>
      <c r="Q45" s="3336"/>
      <c r="R45" s="3339"/>
      <c r="S45" s="3339"/>
      <c r="T45" s="3340"/>
      <c r="U45" s="3335"/>
      <c r="V45" s="3336"/>
      <c r="W45" s="3339"/>
      <c r="X45" s="3339"/>
      <c r="Y45" s="3340"/>
      <c r="Z45" s="3335"/>
      <c r="AA45" s="3336"/>
      <c r="AB45" s="3339"/>
      <c r="AC45" s="3339"/>
      <c r="AD45" s="3340"/>
      <c r="AE45" s="3335"/>
      <c r="AF45" s="3336"/>
      <c r="AG45" s="3339"/>
      <c r="AH45" s="3339"/>
      <c r="AI45" s="3340"/>
      <c r="AJ45" s="3335"/>
      <c r="AK45" s="3336"/>
      <c r="AL45" s="3339"/>
      <c r="AM45" s="3339"/>
      <c r="AN45" s="3340"/>
      <c r="AO45" s="3335"/>
      <c r="AP45" s="3336"/>
      <c r="AQ45" s="3339"/>
      <c r="AR45" s="3339"/>
      <c r="AS45" s="3340"/>
      <c r="AT45" s="3335"/>
      <c r="AU45" s="3336"/>
      <c r="AV45" s="3339"/>
      <c r="AW45" s="3339"/>
      <c r="AX45" s="3340"/>
      <c r="AY45" s="3335"/>
      <c r="AZ45" s="3336"/>
      <c r="BA45" s="3339"/>
      <c r="BB45" s="3339"/>
      <c r="BC45" s="3340"/>
      <c r="BD45" s="3335"/>
      <c r="BE45" s="3336"/>
      <c r="BF45" s="3339"/>
      <c r="BG45" s="3339"/>
      <c r="BH45" s="3340"/>
      <c r="BI45" s="3335"/>
      <c r="BJ45" s="3336"/>
      <c r="BK45" s="3339"/>
      <c r="BL45" s="3339"/>
      <c r="BM45" s="3340"/>
      <c r="BN45" s="3335"/>
      <c r="BO45" s="3336"/>
      <c r="BP45" s="3339"/>
      <c r="BQ45" s="3339"/>
      <c r="BR45" s="3340"/>
      <c r="ED45" s="13"/>
      <c r="EE45" s="13"/>
      <c r="EF45" s="13"/>
      <c r="EG45" s="13"/>
      <c r="EH45" s="13"/>
    </row>
    <row r="46" spans="1:138" ht="6" customHeight="1" x14ac:dyDescent="0.25">
      <c r="A46" s="3335"/>
      <c r="B46" s="3336"/>
      <c r="C46" s="3339"/>
      <c r="D46" s="3339"/>
      <c r="E46" s="3340"/>
      <c r="F46" s="3335"/>
      <c r="G46" s="3336"/>
      <c r="H46" s="3339"/>
      <c r="I46" s="3339"/>
      <c r="J46" s="3340"/>
      <c r="K46" s="3335"/>
      <c r="L46" s="3336"/>
      <c r="M46" s="3339"/>
      <c r="N46" s="3339"/>
      <c r="O46" s="3340"/>
      <c r="P46" s="3335"/>
      <c r="Q46" s="3336"/>
      <c r="R46" s="3339"/>
      <c r="S46" s="3339"/>
      <c r="T46" s="3340"/>
      <c r="U46" s="3335"/>
      <c r="V46" s="3336"/>
      <c r="W46" s="3339"/>
      <c r="X46" s="3339"/>
      <c r="Y46" s="3340"/>
      <c r="Z46" s="3335"/>
      <c r="AA46" s="3336"/>
      <c r="AB46" s="3339"/>
      <c r="AC46" s="3339"/>
      <c r="AD46" s="3340"/>
      <c r="AE46" s="3335"/>
      <c r="AF46" s="3336"/>
      <c r="AG46" s="3339"/>
      <c r="AH46" s="3339"/>
      <c r="AI46" s="3340"/>
      <c r="AJ46" s="3335"/>
      <c r="AK46" s="3336"/>
      <c r="AL46" s="3339"/>
      <c r="AM46" s="3339"/>
      <c r="AN46" s="3340"/>
      <c r="AO46" s="3335"/>
      <c r="AP46" s="3336"/>
      <c r="AQ46" s="3339"/>
      <c r="AR46" s="3339"/>
      <c r="AS46" s="3340"/>
      <c r="AT46" s="3335"/>
      <c r="AU46" s="3336"/>
      <c r="AV46" s="3339"/>
      <c r="AW46" s="3339"/>
      <c r="AX46" s="3340"/>
      <c r="AY46" s="3335"/>
      <c r="AZ46" s="3336"/>
      <c r="BA46" s="3339"/>
      <c r="BB46" s="3339"/>
      <c r="BC46" s="3340"/>
      <c r="BD46" s="3335"/>
      <c r="BE46" s="3336"/>
      <c r="BF46" s="3339"/>
      <c r="BG46" s="3339"/>
      <c r="BH46" s="3340"/>
      <c r="BI46" s="3335"/>
      <c r="BJ46" s="3336"/>
      <c r="BK46" s="3339"/>
      <c r="BL46" s="3339"/>
      <c r="BM46" s="3340"/>
      <c r="BN46" s="3335"/>
      <c r="BO46" s="3336"/>
      <c r="BP46" s="3339"/>
      <c r="BQ46" s="3339"/>
      <c r="BR46" s="3340"/>
      <c r="ED46" s="13"/>
      <c r="EE46" s="13"/>
      <c r="EF46" s="13"/>
      <c r="EG46" s="13"/>
      <c r="EH46" s="13"/>
    </row>
    <row r="47" spans="1:138" ht="6" hidden="1" customHeight="1" x14ac:dyDescent="0.25">
      <c r="A47" s="3335"/>
      <c r="B47" s="3336"/>
      <c r="C47" s="3339"/>
      <c r="D47" s="3339"/>
      <c r="E47" s="3340"/>
      <c r="F47" s="3335"/>
      <c r="G47" s="3336"/>
      <c r="H47" s="3339"/>
      <c r="I47" s="3339"/>
      <c r="J47" s="3340"/>
      <c r="K47" s="3335"/>
      <c r="L47" s="3336"/>
      <c r="M47" s="3339"/>
      <c r="N47" s="3339"/>
      <c r="O47" s="3340"/>
      <c r="P47" s="3335"/>
      <c r="Q47" s="3336"/>
      <c r="R47" s="3339"/>
      <c r="S47" s="3339"/>
      <c r="T47" s="3340"/>
      <c r="U47" s="3335"/>
      <c r="V47" s="3336"/>
      <c r="W47" s="3339"/>
      <c r="X47" s="3339"/>
      <c r="Y47" s="3340"/>
      <c r="Z47" s="3335"/>
      <c r="AA47" s="3336"/>
      <c r="AB47" s="3339"/>
      <c r="AC47" s="3339"/>
      <c r="AD47" s="3340"/>
      <c r="AE47" s="3335"/>
      <c r="AF47" s="3336"/>
      <c r="AG47" s="3339"/>
      <c r="AH47" s="3339"/>
      <c r="AI47" s="3340"/>
      <c r="AJ47" s="3335"/>
      <c r="AK47" s="3336"/>
      <c r="AL47" s="3339"/>
      <c r="AM47" s="3339"/>
      <c r="AN47" s="3340"/>
      <c r="AO47" s="3335"/>
      <c r="AP47" s="3336"/>
      <c r="AQ47" s="3339"/>
      <c r="AR47" s="3339"/>
      <c r="AS47" s="3340"/>
      <c r="AT47" s="3335"/>
      <c r="AU47" s="3336"/>
      <c r="AV47" s="3339"/>
      <c r="AW47" s="3339"/>
      <c r="AX47" s="3340"/>
      <c r="AY47" s="3335"/>
      <c r="AZ47" s="3336"/>
      <c r="BA47" s="3339"/>
      <c r="BB47" s="3339"/>
      <c r="BC47" s="3340"/>
      <c r="BD47" s="3335"/>
      <c r="BE47" s="3336"/>
      <c r="BF47" s="3339"/>
      <c r="BG47" s="3339"/>
      <c r="BH47" s="3340"/>
      <c r="BI47" s="3335"/>
      <c r="BJ47" s="3336"/>
      <c r="BK47" s="3339"/>
      <c r="BL47" s="3339"/>
      <c r="BM47" s="3340"/>
      <c r="BN47" s="3335"/>
      <c r="BO47" s="3336"/>
      <c r="BP47" s="3339"/>
      <c r="BQ47" s="3339"/>
      <c r="BR47" s="3340"/>
      <c r="ED47" s="13"/>
      <c r="EE47" s="13"/>
      <c r="EF47" s="13"/>
      <c r="EG47" s="13"/>
      <c r="EH47" s="13"/>
    </row>
    <row r="48" spans="1:138" ht="28.5" customHeight="1" x14ac:dyDescent="0.25">
      <c r="A48" s="3341" t="s">
        <v>444</v>
      </c>
      <c r="B48" s="3342"/>
      <c r="C48" s="2319" t="s">
        <v>111</v>
      </c>
      <c r="D48" s="2320"/>
      <c r="E48" s="3343"/>
      <c r="F48" s="3341" t="s">
        <v>444</v>
      </c>
      <c r="G48" s="3342"/>
      <c r="H48" s="2319" t="s">
        <v>111</v>
      </c>
      <c r="I48" s="2320"/>
      <c r="J48" s="3343"/>
      <c r="K48" s="3341" t="s">
        <v>444</v>
      </c>
      <c r="L48" s="3342"/>
      <c r="M48" s="2319" t="s">
        <v>111</v>
      </c>
      <c r="N48" s="2320"/>
      <c r="O48" s="3343"/>
      <c r="P48" s="3341" t="s">
        <v>444</v>
      </c>
      <c r="Q48" s="3342"/>
      <c r="R48" s="2319" t="s">
        <v>111</v>
      </c>
      <c r="S48" s="2320"/>
      <c r="T48" s="3343"/>
      <c r="U48" s="3341" t="s">
        <v>444</v>
      </c>
      <c r="V48" s="3342"/>
      <c r="W48" s="2319" t="s">
        <v>111</v>
      </c>
      <c r="X48" s="2320"/>
      <c r="Y48" s="3343"/>
      <c r="Z48" s="3341" t="s">
        <v>444</v>
      </c>
      <c r="AA48" s="3342"/>
      <c r="AB48" s="2319" t="s">
        <v>111</v>
      </c>
      <c r="AC48" s="2320"/>
      <c r="AD48" s="3343"/>
      <c r="AE48" s="3341" t="s">
        <v>444</v>
      </c>
      <c r="AF48" s="3342"/>
      <c r="AG48" s="2319" t="s">
        <v>111</v>
      </c>
      <c r="AH48" s="2320"/>
      <c r="AI48" s="3343"/>
      <c r="AJ48" s="3341" t="s">
        <v>444</v>
      </c>
      <c r="AK48" s="3342"/>
      <c r="AL48" s="2319" t="s">
        <v>111</v>
      </c>
      <c r="AM48" s="2320"/>
      <c r="AN48" s="3343"/>
      <c r="AO48" s="3341" t="s">
        <v>444</v>
      </c>
      <c r="AP48" s="3342"/>
      <c r="AQ48" s="2319" t="s">
        <v>111</v>
      </c>
      <c r="AR48" s="2320"/>
      <c r="AS48" s="3343"/>
      <c r="AT48" s="3341" t="s">
        <v>444</v>
      </c>
      <c r="AU48" s="3342"/>
      <c r="AV48" s="2319" t="s">
        <v>111</v>
      </c>
      <c r="AW48" s="2320"/>
      <c r="AX48" s="3343"/>
      <c r="AY48" s="3341" t="s">
        <v>444</v>
      </c>
      <c r="AZ48" s="3342"/>
      <c r="BA48" s="2319" t="s">
        <v>111</v>
      </c>
      <c r="BB48" s="2320"/>
      <c r="BC48" s="3343"/>
      <c r="BD48" s="3341" t="s">
        <v>444</v>
      </c>
      <c r="BE48" s="3342"/>
      <c r="BF48" s="2319" t="s">
        <v>111</v>
      </c>
      <c r="BG48" s="2320"/>
      <c r="BH48" s="3343"/>
      <c r="BI48" s="3341" t="s">
        <v>444</v>
      </c>
      <c r="BJ48" s="3342"/>
      <c r="BK48" s="2319" t="s">
        <v>111</v>
      </c>
      <c r="BL48" s="2320"/>
      <c r="BM48" s="3343"/>
      <c r="BN48" s="3341" t="s">
        <v>444</v>
      </c>
      <c r="BO48" s="3342"/>
      <c r="BP48" s="2319" t="s">
        <v>111</v>
      </c>
      <c r="BQ48" s="2320"/>
      <c r="BR48" s="3343"/>
      <c r="ED48" s="13"/>
      <c r="EE48" s="13"/>
      <c r="EF48" s="13"/>
      <c r="EG48" s="13"/>
      <c r="EH48" s="13"/>
    </row>
    <row r="49" spans="1:138" s="22" customFormat="1" ht="80.099999999999994" customHeight="1" x14ac:dyDescent="1.35">
      <c r="A49" s="3328" t="s">
        <v>443</v>
      </c>
      <c r="B49" s="3326">
        <v>85</v>
      </c>
      <c r="C49" s="3326"/>
      <c r="D49" s="3326"/>
      <c r="E49" s="3327"/>
      <c r="F49" s="3328" t="s">
        <v>443</v>
      </c>
      <c r="G49" s="3326">
        <v>86</v>
      </c>
      <c r="H49" s="3326"/>
      <c r="I49" s="3326"/>
      <c r="J49" s="3327"/>
      <c r="K49" s="3328" t="s">
        <v>443</v>
      </c>
      <c r="L49" s="3326">
        <v>87</v>
      </c>
      <c r="M49" s="3326"/>
      <c r="N49" s="3326"/>
      <c r="O49" s="3327"/>
      <c r="P49" s="3328" t="s">
        <v>443</v>
      </c>
      <c r="Q49" s="3326">
        <v>88</v>
      </c>
      <c r="R49" s="3326"/>
      <c r="S49" s="3326"/>
      <c r="T49" s="3327"/>
      <c r="U49" s="3328" t="s">
        <v>443</v>
      </c>
      <c r="V49" s="3326">
        <v>89</v>
      </c>
      <c r="W49" s="3326"/>
      <c r="X49" s="3326"/>
      <c r="Y49" s="3327"/>
      <c r="Z49" s="3328" t="s">
        <v>443</v>
      </c>
      <c r="AA49" s="3326">
        <v>90</v>
      </c>
      <c r="AB49" s="3326"/>
      <c r="AC49" s="3326"/>
      <c r="AD49" s="3327"/>
      <c r="AE49" s="3328" t="s">
        <v>443</v>
      </c>
      <c r="AF49" s="3326">
        <v>91</v>
      </c>
      <c r="AG49" s="3326"/>
      <c r="AH49" s="3326"/>
      <c r="AI49" s="3327"/>
      <c r="AJ49" s="3328" t="s">
        <v>443</v>
      </c>
      <c r="AK49" s="3326">
        <v>92</v>
      </c>
      <c r="AL49" s="3326"/>
      <c r="AM49" s="3326"/>
      <c r="AN49" s="3327"/>
      <c r="AO49" s="3328" t="s">
        <v>443</v>
      </c>
      <c r="AP49" s="3326">
        <v>93</v>
      </c>
      <c r="AQ49" s="3326"/>
      <c r="AR49" s="3326"/>
      <c r="AS49" s="3327"/>
      <c r="AT49" s="3328" t="s">
        <v>443</v>
      </c>
      <c r="AU49" s="3326">
        <v>94</v>
      </c>
      <c r="AV49" s="3326"/>
      <c r="AW49" s="3326"/>
      <c r="AX49" s="3327"/>
      <c r="AY49" s="3328" t="s">
        <v>443</v>
      </c>
      <c r="AZ49" s="3326">
        <v>95</v>
      </c>
      <c r="BA49" s="3326"/>
      <c r="BB49" s="3326"/>
      <c r="BC49" s="3327"/>
      <c r="BD49" s="3328" t="s">
        <v>443</v>
      </c>
      <c r="BE49" s="3326">
        <v>96</v>
      </c>
      <c r="BF49" s="3326"/>
      <c r="BG49" s="3326"/>
      <c r="BH49" s="3327"/>
      <c r="BI49" s="3328" t="s">
        <v>443</v>
      </c>
      <c r="BJ49" s="3326">
        <v>97</v>
      </c>
      <c r="BK49" s="3326"/>
      <c r="BL49" s="3326"/>
      <c r="BM49" s="3327"/>
      <c r="BN49" s="3328" t="s">
        <v>443</v>
      </c>
      <c r="BO49" s="3326">
        <v>98</v>
      </c>
      <c r="BP49" s="3326"/>
      <c r="BQ49" s="3326"/>
      <c r="BR49" s="3327"/>
      <c r="BT49" s="220"/>
      <c r="CU49"/>
      <c r="ED49" s="57"/>
      <c r="EE49" s="57"/>
      <c r="EF49" s="57"/>
      <c r="EG49" s="57"/>
      <c r="EH49" s="57"/>
    </row>
    <row r="50" spans="1:138" ht="27" thickBot="1" x14ac:dyDescent="0.3">
      <c r="A50" s="3329"/>
      <c r="B50" s="183">
        <v>4.3099999999999996</v>
      </c>
      <c r="C50" s="184" t="s">
        <v>113</v>
      </c>
      <c r="D50" s="185">
        <v>2</v>
      </c>
      <c r="E50" s="186" t="s">
        <v>114</v>
      </c>
      <c r="F50" s="3329"/>
      <c r="G50" s="183">
        <v>4.3179999999999996</v>
      </c>
      <c r="H50" s="184" t="s">
        <v>113</v>
      </c>
      <c r="I50" s="185">
        <v>1</v>
      </c>
      <c r="J50" s="186" t="s">
        <v>114</v>
      </c>
      <c r="K50" s="3329"/>
      <c r="L50" s="183">
        <v>1.4730000000000001</v>
      </c>
      <c r="M50" s="184" t="s">
        <v>113</v>
      </c>
      <c r="N50" s="185">
        <v>2</v>
      </c>
      <c r="O50" s="186" t="s">
        <v>114</v>
      </c>
      <c r="P50" s="3329"/>
      <c r="Q50" s="183">
        <v>0.99</v>
      </c>
      <c r="R50" s="184" t="s">
        <v>113</v>
      </c>
      <c r="S50" s="185">
        <v>1</v>
      </c>
      <c r="T50" s="186" t="s">
        <v>114</v>
      </c>
      <c r="U50" s="3329"/>
      <c r="V50" s="183">
        <v>1.0000000000000001E-9</v>
      </c>
      <c r="W50" s="184" t="s">
        <v>113</v>
      </c>
      <c r="X50" s="185">
        <v>2</v>
      </c>
      <c r="Y50" s="186" t="s">
        <v>114</v>
      </c>
      <c r="Z50" s="3329"/>
      <c r="AA50" s="183">
        <v>1.143</v>
      </c>
      <c r="AB50" s="184" t="s">
        <v>113</v>
      </c>
      <c r="AC50" s="185">
        <v>1</v>
      </c>
      <c r="AD50" s="186" t="s">
        <v>114</v>
      </c>
      <c r="AE50" s="3329"/>
      <c r="AF50" s="183">
        <v>2.2098</v>
      </c>
      <c r="AG50" s="184" t="s">
        <v>113</v>
      </c>
      <c r="AH50" s="185">
        <v>2</v>
      </c>
      <c r="AI50" s="186" t="s">
        <v>114</v>
      </c>
      <c r="AJ50" s="3329"/>
      <c r="AK50" s="183">
        <v>3.81</v>
      </c>
      <c r="AL50" s="184" t="s">
        <v>113</v>
      </c>
      <c r="AM50" s="185">
        <v>1</v>
      </c>
      <c r="AN50" s="186" t="s">
        <v>114</v>
      </c>
      <c r="AO50" s="3329"/>
      <c r="AP50" s="183">
        <v>3.2</v>
      </c>
      <c r="AQ50" s="184" t="s">
        <v>113</v>
      </c>
      <c r="AR50" s="185">
        <v>2</v>
      </c>
      <c r="AS50" s="186" t="s">
        <v>114</v>
      </c>
      <c r="AT50" s="3329"/>
      <c r="AU50" s="183">
        <v>1.625</v>
      </c>
      <c r="AV50" s="184" t="s">
        <v>113</v>
      </c>
      <c r="AW50" s="185">
        <v>1</v>
      </c>
      <c r="AX50" s="186" t="s">
        <v>114</v>
      </c>
      <c r="AY50" s="3329"/>
      <c r="AZ50" s="183">
        <v>2.133</v>
      </c>
      <c r="BA50" s="184" t="s">
        <v>113</v>
      </c>
      <c r="BB50" s="185">
        <v>2</v>
      </c>
      <c r="BC50" s="186" t="s">
        <v>114</v>
      </c>
      <c r="BD50" s="3329"/>
      <c r="BE50" s="183">
        <v>2.2349999999999999</v>
      </c>
      <c r="BF50" s="184" t="s">
        <v>113</v>
      </c>
      <c r="BG50" s="185">
        <v>1</v>
      </c>
      <c r="BH50" s="186" t="s">
        <v>114</v>
      </c>
      <c r="BI50" s="3329"/>
      <c r="BJ50" s="183">
        <v>1E-10</v>
      </c>
      <c r="BK50" s="184" t="s">
        <v>113</v>
      </c>
      <c r="BL50" s="185">
        <v>2</v>
      </c>
      <c r="BM50" s="186" t="s">
        <v>114</v>
      </c>
      <c r="BN50" s="3329"/>
      <c r="BO50" s="183">
        <v>2.032</v>
      </c>
      <c r="BP50" s="184" t="s">
        <v>113</v>
      </c>
      <c r="BQ50" s="185">
        <v>1</v>
      </c>
      <c r="BR50" s="186" t="s">
        <v>114</v>
      </c>
      <c r="BW50" s="27"/>
      <c r="BX50" s="27"/>
      <c r="BY50" s="27"/>
      <c r="BZ50" s="27"/>
      <c r="CA50" s="27"/>
      <c r="CB50" s="27"/>
      <c r="CC50" s="27"/>
      <c r="CD50" s="27"/>
      <c r="CE50" s="27"/>
      <c r="ED50" s="57"/>
      <c r="EE50" s="57"/>
      <c r="EF50" s="57"/>
      <c r="EG50" s="57"/>
      <c r="EH50" s="57"/>
    </row>
    <row r="51" spans="1:138" ht="26.1" customHeight="1" x14ac:dyDescent="0.25">
      <c r="A51" s="3333" t="s">
        <v>110</v>
      </c>
      <c r="B51" s="3334"/>
      <c r="C51" s="3337">
        <f>B57/((54*3.1415/59)*(154.5/3.281))</f>
        <v>4.3133210168230952E-3</v>
      </c>
      <c r="D51" s="3337"/>
      <c r="E51" s="3338"/>
      <c r="F51" s="3333" t="s">
        <v>110</v>
      </c>
      <c r="G51" s="3334"/>
      <c r="H51" s="3337">
        <f>G57/((54*3.1415/59)*(154.5/3.281))</f>
        <v>1.0502641243017878E-2</v>
      </c>
      <c r="I51" s="3337"/>
      <c r="J51" s="3338"/>
      <c r="K51" s="3333" t="s">
        <v>110</v>
      </c>
      <c r="L51" s="3334"/>
      <c r="M51" s="3337">
        <f>L57/((54*3.1415/59)*(154.5/3.281))</f>
        <v>6.0969974304579885E-2</v>
      </c>
      <c r="N51" s="3337"/>
      <c r="O51" s="3338"/>
      <c r="P51" s="3333" t="s">
        <v>110</v>
      </c>
      <c r="Q51" s="3334"/>
      <c r="R51" s="3337">
        <f>Q57/((54*3.1415/59)*(154.5/3.281))</f>
        <v>1.1226451961594357E-3</v>
      </c>
      <c r="S51" s="3337"/>
      <c r="T51" s="3338"/>
      <c r="U51" s="3333" t="s">
        <v>110</v>
      </c>
      <c r="V51" s="3334"/>
      <c r="W51" s="3337">
        <f>V57/((54*3.1415/59)*(154.5/3.281))</f>
        <v>1.2001963445783441E-2</v>
      </c>
      <c r="X51" s="3337"/>
      <c r="Y51" s="3338"/>
      <c r="Z51" s="3333" t="s">
        <v>110</v>
      </c>
      <c r="AA51" s="3334"/>
      <c r="AB51" s="3337">
        <f>AA57/((54*3.1415/59)*(154.5/3.281))</f>
        <v>1.4254639661761256E-2</v>
      </c>
      <c r="AC51" s="3337"/>
      <c r="AD51" s="3338"/>
      <c r="AF51" s="59"/>
      <c r="AG51" s="59"/>
      <c r="AH51" s="59"/>
      <c r="AJ51" s="59"/>
      <c r="AK51" s="59"/>
      <c r="AL51" s="59"/>
      <c r="AN51" s="59"/>
      <c r="AO51" s="59"/>
      <c r="AP51" s="59"/>
      <c r="AR51" s="59"/>
      <c r="AS51" s="59"/>
      <c r="AT51" s="59"/>
      <c r="AV51" s="59"/>
      <c r="AW51" s="59"/>
      <c r="AX51" s="59"/>
      <c r="AZ51" s="59"/>
      <c r="BA51" s="59"/>
      <c r="BB51" s="59"/>
      <c r="BD51" s="59"/>
      <c r="BE51" s="59"/>
      <c r="BF51" s="59"/>
      <c r="BH51" s="59"/>
      <c r="BI51" s="59"/>
      <c r="BJ51" s="59"/>
      <c r="BL51" s="59"/>
      <c r="BM51" s="59"/>
      <c r="BN51" s="59"/>
      <c r="BP51" s="59"/>
      <c r="BQ51" s="59"/>
      <c r="BR51" s="59"/>
      <c r="ED51" s="57"/>
      <c r="EE51" s="57"/>
      <c r="EF51" s="57"/>
      <c r="EG51" s="57"/>
      <c r="EH51" s="57"/>
    </row>
    <row r="52" spans="1:138" ht="6.75" customHeight="1" x14ac:dyDescent="0.25">
      <c r="A52" s="3335"/>
      <c r="B52" s="3336"/>
      <c r="C52" s="3339"/>
      <c r="D52" s="3339"/>
      <c r="E52" s="3340"/>
      <c r="F52" s="3335"/>
      <c r="G52" s="3336"/>
      <c r="H52" s="3339"/>
      <c r="I52" s="3339"/>
      <c r="J52" s="3340"/>
      <c r="K52" s="3335"/>
      <c r="L52" s="3336"/>
      <c r="M52" s="3339"/>
      <c r="N52" s="3339"/>
      <c r="O52" s="3340"/>
      <c r="P52" s="3335"/>
      <c r="Q52" s="3336"/>
      <c r="R52" s="3339"/>
      <c r="S52" s="3339"/>
      <c r="T52" s="3340"/>
      <c r="U52" s="3335"/>
      <c r="V52" s="3336"/>
      <c r="W52" s="3339"/>
      <c r="X52" s="3339"/>
      <c r="Y52" s="3340"/>
      <c r="Z52" s="3335"/>
      <c r="AA52" s="3336"/>
      <c r="AB52" s="3339"/>
      <c r="AC52" s="3339"/>
      <c r="AD52" s="3340"/>
      <c r="AF52" s="59"/>
      <c r="AG52" s="59"/>
      <c r="AH52" s="59"/>
      <c r="AJ52" s="59"/>
      <c r="AK52" s="59"/>
      <c r="AL52" s="59"/>
      <c r="AN52" s="59"/>
      <c r="AO52" s="59"/>
      <c r="AP52" s="59"/>
      <c r="AR52" s="59"/>
      <c r="AS52" s="59"/>
      <c r="AT52" s="59"/>
      <c r="AV52" s="59"/>
      <c r="AW52" s="59"/>
      <c r="AX52" s="59"/>
      <c r="AZ52" s="59"/>
      <c r="BA52" s="59"/>
      <c r="BB52" s="59"/>
      <c r="BD52" s="59"/>
      <c r="BE52" s="59"/>
      <c r="BF52" s="59"/>
      <c r="BH52" s="59"/>
      <c r="BI52" s="59"/>
      <c r="BJ52" s="59"/>
      <c r="BL52" s="59"/>
      <c r="BM52" s="59"/>
      <c r="BN52" s="59"/>
      <c r="BP52" s="59"/>
      <c r="BQ52" s="59"/>
      <c r="BR52" s="59"/>
      <c r="ED52" s="57"/>
      <c r="EE52" s="57"/>
      <c r="EF52" s="57"/>
      <c r="EG52" s="57"/>
      <c r="EH52" s="57"/>
    </row>
    <row r="53" spans="1:138" ht="21.75" hidden="1" customHeight="1" x14ac:dyDescent="0.25">
      <c r="A53" s="3335"/>
      <c r="B53" s="3336"/>
      <c r="C53" s="3339"/>
      <c r="D53" s="3339"/>
      <c r="E53" s="3340"/>
      <c r="F53" s="3335"/>
      <c r="G53" s="3336"/>
      <c r="H53" s="3339"/>
      <c r="I53" s="3339"/>
      <c r="J53" s="3340"/>
      <c r="K53" s="3335"/>
      <c r="L53" s="3336"/>
      <c r="M53" s="3339"/>
      <c r="N53" s="3339"/>
      <c r="O53" s="3340"/>
      <c r="P53" s="3335"/>
      <c r="Q53" s="3336"/>
      <c r="R53" s="3339"/>
      <c r="S53" s="3339"/>
      <c r="T53" s="3340"/>
      <c r="U53" s="3335"/>
      <c r="V53" s="3336"/>
      <c r="W53" s="3339"/>
      <c r="X53" s="3339"/>
      <c r="Y53" s="3340"/>
      <c r="Z53" s="3335"/>
      <c r="AA53" s="3336"/>
      <c r="AB53" s="3339"/>
      <c r="AC53" s="3339"/>
      <c r="AD53" s="3340"/>
      <c r="AF53" s="59"/>
      <c r="AG53" s="59"/>
      <c r="AH53" s="59"/>
      <c r="AJ53" s="59"/>
      <c r="AK53" s="59"/>
      <c r="AL53" s="59"/>
      <c r="AN53" s="59"/>
      <c r="AO53" s="59"/>
      <c r="AP53" s="59"/>
      <c r="AR53" s="59"/>
      <c r="AS53" s="59"/>
      <c r="AT53" s="59"/>
      <c r="AV53" s="59"/>
      <c r="AW53" s="59"/>
      <c r="AX53" s="59"/>
      <c r="AZ53" s="59"/>
      <c r="BA53" s="59"/>
      <c r="BB53" s="59"/>
      <c r="BD53" s="59"/>
      <c r="BE53" s="59"/>
      <c r="BF53" s="59"/>
      <c r="BH53" s="59"/>
      <c r="BI53" s="59"/>
      <c r="BJ53" s="59"/>
      <c r="BL53" s="59"/>
      <c r="BM53" s="59"/>
      <c r="BN53" s="59"/>
      <c r="BP53" s="59"/>
      <c r="BQ53" s="59"/>
      <c r="BR53" s="59"/>
      <c r="ED53" s="57"/>
      <c r="EE53" s="57"/>
      <c r="EF53" s="57"/>
      <c r="EG53" s="57"/>
      <c r="EH53" s="57"/>
    </row>
    <row r="54" spans="1:138" ht="7.5" customHeight="1" x14ac:dyDescent="0.25">
      <c r="A54" s="3335"/>
      <c r="B54" s="3336"/>
      <c r="C54" s="3339"/>
      <c r="D54" s="3339"/>
      <c r="E54" s="3340"/>
      <c r="F54" s="3335"/>
      <c r="G54" s="3336"/>
      <c r="H54" s="3339"/>
      <c r="I54" s="3339"/>
      <c r="J54" s="3340"/>
      <c r="K54" s="3335"/>
      <c r="L54" s="3336"/>
      <c r="M54" s="3339"/>
      <c r="N54" s="3339"/>
      <c r="O54" s="3340"/>
      <c r="P54" s="3335"/>
      <c r="Q54" s="3336"/>
      <c r="R54" s="3339"/>
      <c r="S54" s="3339"/>
      <c r="T54" s="3340"/>
      <c r="U54" s="3335"/>
      <c r="V54" s="3336"/>
      <c r="W54" s="3339"/>
      <c r="X54" s="3339"/>
      <c r="Y54" s="3340"/>
      <c r="Z54" s="3335"/>
      <c r="AA54" s="3336"/>
      <c r="AB54" s="3339"/>
      <c r="AC54" s="3339"/>
      <c r="AD54" s="3340"/>
      <c r="AF54" s="59"/>
      <c r="AG54" s="59"/>
      <c r="AH54" s="59"/>
      <c r="AJ54" s="59"/>
      <c r="AK54" s="59"/>
      <c r="AL54" s="59"/>
      <c r="AN54" s="59"/>
      <c r="AO54" s="59"/>
      <c r="AP54" s="59"/>
      <c r="AR54" s="59"/>
      <c r="AS54" s="59"/>
      <c r="AT54" s="59"/>
      <c r="AV54" s="59"/>
      <c r="AW54" s="59"/>
      <c r="AX54" s="59"/>
      <c r="AZ54" s="59"/>
      <c r="BA54" s="59"/>
      <c r="BB54" s="59"/>
      <c r="BD54" s="59"/>
      <c r="BE54" s="59"/>
      <c r="BF54" s="59"/>
      <c r="BH54" s="59"/>
      <c r="BI54" s="59"/>
      <c r="BJ54" s="59"/>
      <c r="BL54" s="59"/>
      <c r="BM54" s="59"/>
      <c r="BN54" s="59"/>
      <c r="BP54" s="59"/>
      <c r="BQ54" s="59"/>
      <c r="BR54" s="59"/>
    </row>
    <row r="55" spans="1:138" ht="29.25" customHeight="1" thickBot="1" x14ac:dyDescent="0.3">
      <c r="A55" s="3341" t="s">
        <v>444</v>
      </c>
      <c r="B55" s="3342"/>
      <c r="C55" s="2319" t="s">
        <v>111</v>
      </c>
      <c r="D55" s="2320"/>
      <c r="E55" s="3343"/>
      <c r="F55" s="3341" t="s">
        <v>444</v>
      </c>
      <c r="G55" s="3342"/>
      <c r="H55" s="2319" t="s">
        <v>111</v>
      </c>
      <c r="I55" s="2320"/>
      <c r="J55" s="3343"/>
      <c r="K55" s="3341" t="s">
        <v>444</v>
      </c>
      <c r="L55" s="3342"/>
      <c r="M55" s="2319" t="s">
        <v>111</v>
      </c>
      <c r="N55" s="2320"/>
      <c r="O55" s="3343"/>
      <c r="P55" s="3341" t="s">
        <v>444</v>
      </c>
      <c r="Q55" s="3342"/>
      <c r="R55" s="2319" t="s">
        <v>111</v>
      </c>
      <c r="S55" s="2320"/>
      <c r="T55" s="3343"/>
      <c r="U55" s="3341" t="s">
        <v>444</v>
      </c>
      <c r="V55" s="3342"/>
      <c r="W55" s="2319" t="s">
        <v>111</v>
      </c>
      <c r="X55" s="2320"/>
      <c r="Y55" s="3343"/>
      <c r="Z55" s="3341" t="s">
        <v>444</v>
      </c>
      <c r="AA55" s="3342"/>
      <c r="AB55" s="2319" t="s">
        <v>111</v>
      </c>
      <c r="AC55" s="2320"/>
      <c r="AD55" s="3343"/>
      <c r="AF55" s="59"/>
      <c r="AG55" s="59"/>
      <c r="AH55" s="59" t="s">
        <v>16</v>
      </c>
      <c r="AJ55" s="59"/>
      <c r="AK55" s="59"/>
      <c r="AL55" s="59"/>
      <c r="AN55" s="59"/>
      <c r="AO55" s="59"/>
      <c r="AP55" s="59"/>
      <c r="AR55" s="59"/>
      <c r="AS55" s="59"/>
      <c r="AT55" s="59"/>
      <c r="AV55" s="59"/>
      <c r="AW55" s="59"/>
      <c r="AX55" s="59"/>
      <c r="AZ55" s="59"/>
      <c r="BA55" s="59"/>
      <c r="BB55" s="59"/>
      <c r="BD55" s="59"/>
      <c r="BE55" s="59"/>
      <c r="BF55" s="59"/>
      <c r="BH55" s="59"/>
      <c r="BI55" s="59"/>
      <c r="BJ55" s="59"/>
      <c r="BL55" s="59"/>
      <c r="BM55" s="59"/>
      <c r="BN55" s="59"/>
      <c r="BP55" s="59"/>
      <c r="BQ55" s="59"/>
      <c r="BR55" s="59"/>
    </row>
    <row r="56" spans="1:138" s="22" customFormat="1" ht="80.099999999999994" customHeight="1" thickTop="1" thickBot="1" x14ac:dyDescent="1.4">
      <c r="A56" s="3328" t="s">
        <v>443</v>
      </c>
      <c r="B56" s="3326">
        <v>99</v>
      </c>
      <c r="C56" s="3326"/>
      <c r="D56" s="3326"/>
      <c r="E56" s="3327"/>
      <c r="F56" s="3328" t="s">
        <v>443</v>
      </c>
      <c r="G56" s="3326">
        <v>100</v>
      </c>
      <c r="H56" s="3326"/>
      <c r="I56" s="3326"/>
      <c r="J56" s="3327"/>
      <c r="K56" s="3328" t="s">
        <v>443</v>
      </c>
      <c r="L56" s="3326">
        <v>101</v>
      </c>
      <c r="M56" s="3326"/>
      <c r="N56" s="3326"/>
      <c r="O56" s="3327"/>
      <c r="P56" s="3328" t="s">
        <v>443</v>
      </c>
      <c r="Q56" s="3326">
        <v>102</v>
      </c>
      <c r="R56" s="3326"/>
      <c r="S56" s="3326"/>
      <c r="T56" s="3327"/>
      <c r="U56" s="3328" t="s">
        <v>443</v>
      </c>
      <c r="V56" s="3326">
        <v>103</v>
      </c>
      <c r="W56" s="3326"/>
      <c r="X56" s="3326"/>
      <c r="Y56" s="3327"/>
      <c r="Z56" s="3328" t="s">
        <v>443</v>
      </c>
      <c r="AA56" s="3326">
        <v>104</v>
      </c>
      <c r="AB56" s="3326"/>
      <c r="AC56" s="3326"/>
      <c r="AD56" s="3327"/>
      <c r="AE56"/>
      <c r="AF56" s="59"/>
      <c r="AG56" s="59"/>
      <c r="AH56" s="59"/>
      <c r="AI56"/>
      <c r="AJ56" s="59"/>
      <c r="AK56" s="59"/>
      <c r="AL56" s="59"/>
      <c r="AM56"/>
      <c r="AN56" s="59"/>
      <c r="AO56" s="59"/>
      <c r="AP56" s="59"/>
      <c r="AQ56"/>
      <c r="AR56" s="59"/>
      <c r="AS56" s="59"/>
      <c r="AT56" s="59"/>
      <c r="AU56"/>
      <c r="AV56" s="59"/>
      <c r="AW56" s="3276" t="s">
        <v>471</v>
      </c>
      <c r="AX56" s="3277"/>
      <c r="AY56" s="3277"/>
      <c r="AZ56" s="3277"/>
      <c r="BA56" s="3277"/>
      <c r="BB56" s="3277"/>
      <c r="BC56" s="3277"/>
      <c r="BD56" s="3277"/>
      <c r="BE56" s="3277"/>
      <c r="BF56" s="3277"/>
      <c r="BG56" s="3277"/>
      <c r="BH56" s="3277"/>
      <c r="BI56" s="3277"/>
      <c r="BJ56" s="3277"/>
      <c r="BK56" s="3277"/>
      <c r="BL56" s="3277"/>
      <c r="BM56" s="3277"/>
      <c r="BN56" s="3278"/>
      <c r="BO56"/>
      <c r="BP56" s="59"/>
      <c r="BQ56" s="59"/>
      <c r="BR56" s="59"/>
      <c r="CU56"/>
      <c r="ED56"/>
      <c r="EE56"/>
      <c r="EF56"/>
      <c r="EG56"/>
      <c r="EH56"/>
    </row>
    <row r="57" spans="1:138" ht="27" customHeight="1" thickTop="1" thickBot="1" x14ac:dyDescent="0.3">
      <c r="A57" s="3329"/>
      <c r="B57" s="183">
        <v>0.58399999999999996</v>
      </c>
      <c r="C57" s="184" t="s">
        <v>113</v>
      </c>
      <c r="D57" s="185">
        <v>2</v>
      </c>
      <c r="E57" s="186" t="s">
        <v>114</v>
      </c>
      <c r="F57" s="3329"/>
      <c r="G57" s="183">
        <v>1.4219999999999999</v>
      </c>
      <c r="H57" s="184" t="s">
        <v>113</v>
      </c>
      <c r="I57" s="185">
        <v>1</v>
      </c>
      <c r="J57" s="186" t="s">
        <v>114</v>
      </c>
      <c r="K57" s="3329"/>
      <c r="L57" s="183">
        <v>8.2550000000000008</v>
      </c>
      <c r="M57" s="184" t="s">
        <v>113</v>
      </c>
      <c r="N57" s="185">
        <v>2</v>
      </c>
      <c r="O57" s="186" t="s">
        <v>114</v>
      </c>
      <c r="P57" s="3329"/>
      <c r="Q57" s="183">
        <v>0.152</v>
      </c>
      <c r="R57" s="184" t="s">
        <v>113</v>
      </c>
      <c r="S57" s="185">
        <v>1</v>
      </c>
      <c r="T57" s="186" t="s">
        <v>114</v>
      </c>
      <c r="U57" s="3329"/>
      <c r="V57" s="183">
        <v>1.625</v>
      </c>
      <c r="W57" s="184" t="s">
        <v>113</v>
      </c>
      <c r="X57" s="185">
        <v>2</v>
      </c>
      <c r="Y57" s="186" t="s">
        <v>114</v>
      </c>
      <c r="Z57" s="3329"/>
      <c r="AA57" s="183">
        <v>1.93</v>
      </c>
      <c r="AB57" s="184" t="s">
        <v>113</v>
      </c>
      <c r="AC57" s="185">
        <v>1</v>
      </c>
      <c r="AD57" s="186" t="s">
        <v>114</v>
      </c>
      <c r="BW57" s="27"/>
      <c r="BX57" s="27"/>
      <c r="BY57" s="27"/>
      <c r="BZ57" s="27"/>
      <c r="CA57" s="27"/>
      <c r="CB57" s="27"/>
      <c r="CC57" s="27"/>
      <c r="CD57" s="27"/>
      <c r="CE57" s="27"/>
    </row>
    <row r="58" spans="1:138" ht="26.1" hidden="1" customHeight="1" thickTop="1" x14ac:dyDescent="0.25">
      <c r="A58" s="3330"/>
      <c r="B58" s="3331"/>
      <c r="C58" s="3331"/>
      <c r="D58" s="3332"/>
      <c r="E58" s="3332"/>
      <c r="F58" s="3331"/>
      <c r="G58" s="3331"/>
      <c r="H58" s="3331"/>
      <c r="I58" s="3332"/>
      <c r="J58" s="3332"/>
      <c r="K58" s="3331"/>
      <c r="L58" s="3331"/>
      <c r="M58" s="3331"/>
      <c r="N58" s="3332"/>
      <c r="O58" s="3332"/>
      <c r="P58" s="3331"/>
      <c r="Q58" s="3331"/>
      <c r="R58" s="3331"/>
      <c r="S58" s="3332"/>
      <c r="T58" s="3332"/>
      <c r="U58" s="3331"/>
      <c r="V58" s="3331"/>
      <c r="W58" s="3331"/>
      <c r="X58" s="3332"/>
      <c r="Y58" s="3332"/>
      <c r="Z58" s="3331"/>
      <c r="AA58" s="3331"/>
      <c r="AB58" s="3331"/>
      <c r="AC58" s="3332"/>
      <c r="AD58" s="3332"/>
    </row>
    <row r="59" spans="1:138" ht="6.75" hidden="1" customHeight="1" x14ac:dyDescent="0.25">
      <c r="A59" s="3353"/>
      <c r="B59" s="3354"/>
      <c r="C59" s="3354"/>
      <c r="D59" s="113"/>
      <c r="E59" s="113"/>
      <c r="F59" s="3354"/>
      <c r="G59" s="3354"/>
      <c r="H59" s="3354"/>
      <c r="I59" s="113"/>
      <c r="J59" s="113"/>
      <c r="K59" s="3354"/>
      <c r="L59" s="3354"/>
      <c r="M59" s="3354"/>
      <c r="N59" s="113"/>
      <c r="O59" s="113"/>
      <c r="P59" s="3354"/>
      <c r="Q59" s="3354"/>
      <c r="R59" s="3354"/>
      <c r="S59" s="113"/>
      <c r="T59" s="113"/>
      <c r="U59" s="3354"/>
      <c r="V59" s="3354"/>
      <c r="W59" s="3354"/>
      <c r="X59" s="113"/>
      <c r="Y59" s="113"/>
      <c r="Z59" s="3354"/>
      <c r="AA59" s="3354"/>
      <c r="AB59" s="3354"/>
      <c r="AC59" s="113"/>
      <c r="AD59" s="113"/>
    </row>
    <row r="60" spans="1:138" ht="21.95" hidden="1" customHeight="1" x14ac:dyDescent="0.25">
      <c r="A60" s="3353"/>
      <c r="B60" s="3354"/>
      <c r="C60" s="3354"/>
      <c r="D60" s="60"/>
      <c r="E60" s="113"/>
      <c r="F60" s="3354"/>
      <c r="G60" s="3354"/>
      <c r="H60" s="3354"/>
      <c r="I60" s="60"/>
      <c r="J60" s="113"/>
      <c r="K60" s="3354"/>
      <c r="L60" s="3354"/>
      <c r="M60" s="3354"/>
      <c r="N60" s="60"/>
      <c r="O60" s="113"/>
      <c r="P60" s="3354"/>
      <c r="Q60" s="3354"/>
      <c r="R60" s="3354"/>
      <c r="S60" s="60"/>
      <c r="T60" s="113"/>
      <c r="U60" s="3354"/>
      <c r="V60" s="3354"/>
      <c r="W60" s="3354"/>
      <c r="X60" s="60"/>
      <c r="Y60" s="113"/>
      <c r="Z60" s="3354"/>
      <c r="AA60" s="3354"/>
      <c r="AB60" s="3354"/>
      <c r="AC60" s="60"/>
      <c r="AD60" s="113"/>
    </row>
    <row r="61" spans="1:138" ht="6" hidden="1" customHeight="1" x14ac:dyDescent="0.25">
      <c r="A61" s="3353"/>
      <c r="B61" s="3354"/>
      <c r="C61" s="3354"/>
      <c r="D61" s="3332"/>
      <c r="E61" s="3332"/>
      <c r="F61" s="3354"/>
      <c r="G61" s="3354"/>
      <c r="H61" s="3354"/>
      <c r="I61" s="3332"/>
      <c r="J61" s="3332"/>
      <c r="K61" s="3354"/>
      <c r="L61" s="3354"/>
      <c r="M61" s="3354"/>
      <c r="N61" s="3332"/>
      <c r="O61" s="3332"/>
      <c r="P61" s="3354"/>
      <c r="Q61" s="3354"/>
      <c r="R61" s="3354"/>
      <c r="S61" s="3332"/>
      <c r="T61" s="3332"/>
      <c r="U61" s="3354"/>
      <c r="V61" s="3354"/>
      <c r="W61" s="3354"/>
      <c r="X61" s="3332"/>
      <c r="Y61" s="3332"/>
      <c r="Z61" s="3354"/>
      <c r="AA61" s="3354"/>
      <c r="AB61" s="3354"/>
      <c r="AC61" s="3332"/>
      <c r="AD61" s="3332"/>
    </row>
    <row r="62" spans="1:138" ht="60" hidden="1" customHeight="1" thickTop="1" thickBot="1" x14ac:dyDescent="0.3">
      <c r="A62" s="3350"/>
      <c r="B62" s="3351"/>
      <c r="C62" s="3351"/>
      <c r="D62" s="3351"/>
      <c r="E62" s="3351"/>
      <c r="F62" s="3352"/>
      <c r="G62" s="3351"/>
      <c r="H62" s="3351"/>
      <c r="I62" s="3351"/>
      <c r="J62" s="3351"/>
      <c r="K62" s="3352"/>
      <c r="L62" s="3351"/>
      <c r="M62" s="3351"/>
      <c r="N62" s="3351"/>
      <c r="O62" s="3351"/>
      <c r="P62" s="3352"/>
      <c r="Q62" s="3351"/>
      <c r="R62" s="3351"/>
      <c r="S62" s="3351"/>
      <c r="T62" s="3351"/>
      <c r="U62" s="3352"/>
      <c r="V62" s="3351"/>
      <c r="W62" s="3351"/>
      <c r="X62" s="3351"/>
      <c r="Y62" s="3351"/>
      <c r="Z62" s="3352"/>
      <c r="AA62" s="3351"/>
      <c r="AB62" s="3351"/>
      <c r="AC62" s="3351"/>
      <c r="AD62" s="3351"/>
    </row>
    <row r="63" spans="1:138" ht="27.75" hidden="1" customHeight="1" thickTop="1" thickBot="1" x14ac:dyDescent="0.3">
      <c r="A63" s="3350"/>
      <c r="B63" s="110"/>
      <c r="C63" s="109"/>
      <c r="D63" s="108"/>
      <c r="E63" s="111"/>
      <c r="F63" s="3352"/>
      <c r="G63" s="110"/>
      <c r="H63" s="109"/>
      <c r="I63" s="108"/>
      <c r="J63" s="111"/>
      <c r="K63" s="3352"/>
      <c r="L63" s="110"/>
      <c r="M63" s="109"/>
      <c r="N63" s="108"/>
      <c r="O63" s="111"/>
      <c r="P63" s="3352"/>
      <c r="Q63" s="110"/>
      <c r="R63" s="109"/>
      <c r="S63" s="108"/>
      <c r="T63" s="111"/>
      <c r="U63" s="3352"/>
      <c r="V63" s="110"/>
      <c r="W63" s="109"/>
      <c r="X63" s="108"/>
      <c r="Y63" s="111"/>
      <c r="Z63" s="3352"/>
      <c r="AA63" s="110"/>
      <c r="AB63" s="109"/>
      <c r="AC63" s="108"/>
      <c r="AD63" s="111"/>
      <c r="BW63" s="27"/>
      <c r="BX63" s="27"/>
      <c r="BY63" s="27"/>
      <c r="BZ63" s="27"/>
      <c r="CA63" s="27"/>
      <c r="CB63" s="27"/>
      <c r="CC63" s="27"/>
      <c r="CD63" s="27"/>
      <c r="CE63" s="27"/>
    </row>
    <row r="64" spans="1:138" ht="26.1" hidden="1" customHeight="1" x14ac:dyDescent="0.25">
      <c r="A64" s="3330"/>
      <c r="B64" s="3331"/>
      <c r="C64" s="3331"/>
      <c r="D64" s="3332"/>
      <c r="E64" s="3332"/>
      <c r="F64" s="3331"/>
      <c r="G64" s="3331"/>
      <c r="H64" s="3331"/>
      <c r="I64" s="3332"/>
      <c r="J64" s="3332"/>
      <c r="K64" s="3331"/>
      <c r="L64" s="3331"/>
      <c r="M64" s="3331"/>
      <c r="N64" s="3332"/>
      <c r="O64" s="3332"/>
      <c r="P64" s="3331"/>
      <c r="Q64" s="3331"/>
      <c r="R64" s="3331"/>
      <c r="S64" s="3332"/>
      <c r="T64" s="3332"/>
      <c r="U64" s="3331"/>
      <c r="V64" s="3331"/>
      <c r="W64" s="3331"/>
      <c r="X64" s="3332"/>
      <c r="Y64" s="3332"/>
      <c r="Z64" s="3331"/>
      <c r="AA64" s="3331"/>
      <c r="AB64" s="3331"/>
      <c r="AC64" s="3332"/>
      <c r="AD64" s="3332"/>
    </row>
    <row r="65" spans="1:172" ht="6.75" hidden="1" customHeight="1" x14ac:dyDescent="0.25">
      <c r="A65" s="3353"/>
      <c r="B65" s="3354"/>
      <c r="C65" s="3354"/>
      <c r="D65" s="113"/>
      <c r="E65" s="113"/>
      <c r="F65" s="3354"/>
      <c r="G65" s="3354"/>
      <c r="H65" s="3354"/>
      <c r="I65" s="113"/>
      <c r="J65" s="113"/>
      <c r="K65" s="3354"/>
      <c r="L65" s="3354"/>
      <c r="M65" s="3354"/>
      <c r="N65" s="113"/>
      <c r="O65" s="113"/>
      <c r="P65" s="3354"/>
      <c r="Q65" s="3354"/>
      <c r="R65" s="3354"/>
      <c r="S65" s="113"/>
      <c r="T65" s="113"/>
      <c r="U65" s="3354"/>
      <c r="V65" s="3354"/>
      <c r="W65" s="3354"/>
      <c r="X65" s="113"/>
      <c r="Y65" s="113"/>
      <c r="Z65" s="3354"/>
      <c r="AA65" s="3354"/>
      <c r="AB65" s="3354"/>
      <c r="AC65" s="113"/>
      <c r="AD65" s="113"/>
    </row>
    <row r="66" spans="1:172" ht="21.95" hidden="1" customHeight="1" x14ac:dyDescent="0.25">
      <c r="A66" s="3353"/>
      <c r="B66" s="3354"/>
      <c r="C66" s="3354"/>
      <c r="D66" s="60"/>
      <c r="E66" s="113"/>
      <c r="F66" s="3354"/>
      <c r="G66" s="3354"/>
      <c r="H66" s="3354"/>
      <c r="I66" s="60"/>
      <c r="J66" s="113"/>
      <c r="K66" s="3354"/>
      <c r="L66" s="3354"/>
      <c r="M66" s="3354"/>
      <c r="N66" s="60"/>
      <c r="O66" s="113"/>
      <c r="P66" s="3354"/>
      <c r="Q66" s="3354"/>
      <c r="R66" s="3354"/>
      <c r="S66" s="60"/>
      <c r="T66" s="113"/>
      <c r="U66" s="3354"/>
      <c r="V66" s="3354"/>
      <c r="W66" s="3354"/>
      <c r="X66" s="60"/>
      <c r="Y66" s="113"/>
      <c r="Z66" s="3354"/>
      <c r="AA66" s="3354"/>
      <c r="AB66" s="3354"/>
      <c r="AC66" s="60"/>
      <c r="AD66" s="113"/>
    </row>
    <row r="67" spans="1:172" ht="6" hidden="1" customHeight="1" x14ac:dyDescent="0.25">
      <c r="A67" s="3353"/>
      <c r="B67" s="3354"/>
      <c r="C67" s="3354"/>
      <c r="D67" s="3332"/>
      <c r="E67" s="3332"/>
      <c r="F67" s="3354"/>
      <c r="G67" s="3354"/>
      <c r="H67" s="3354"/>
      <c r="I67" s="3332"/>
      <c r="J67" s="3332"/>
      <c r="K67" s="3354"/>
      <c r="L67" s="3354"/>
      <c r="M67" s="3354"/>
      <c r="N67" s="3332"/>
      <c r="O67" s="3332"/>
      <c r="P67" s="3354"/>
      <c r="Q67" s="3354"/>
      <c r="R67" s="3354"/>
      <c r="S67" s="3332"/>
      <c r="T67" s="3332"/>
      <c r="U67" s="3354"/>
      <c r="V67" s="3354"/>
      <c r="W67" s="3354"/>
      <c r="X67" s="3332"/>
      <c r="Y67" s="3332"/>
      <c r="Z67" s="3354"/>
      <c r="AA67" s="3354"/>
      <c r="AB67" s="3354"/>
      <c r="AC67" s="3332"/>
      <c r="AD67" s="3332"/>
    </row>
    <row r="68" spans="1:172" ht="60" hidden="1" customHeight="1" thickTop="1" thickBot="1" x14ac:dyDescent="0.3">
      <c r="A68" s="3350"/>
      <c r="B68" s="3351"/>
      <c r="C68" s="3351"/>
      <c r="D68" s="3351"/>
      <c r="E68" s="3351"/>
      <c r="F68" s="3352"/>
      <c r="G68" s="3351"/>
      <c r="H68" s="3351"/>
      <c r="I68" s="3351"/>
      <c r="J68" s="3351"/>
      <c r="K68" s="3352"/>
      <c r="L68" s="3351"/>
      <c r="M68" s="3351"/>
      <c r="N68" s="3351"/>
      <c r="O68" s="3351"/>
      <c r="P68" s="3352"/>
      <c r="Q68" s="3351"/>
      <c r="R68" s="3351"/>
      <c r="S68" s="3351"/>
      <c r="T68" s="3351"/>
      <c r="U68" s="3352"/>
      <c r="V68" s="3351"/>
      <c r="W68" s="3351"/>
      <c r="X68" s="3351"/>
      <c r="Y68" s="3351"/>
      <c r="Z68" s="3352"/>
      <c r="AA68" s="3351"/>
      <c r="AB68" s="3351"/>
      <c r="AC68" s="3351"/>
      <c r="AD68" s="3351"/>
    </row>
    <row r="69" spans="1:172" ht="27.75" hidden="1" customHeight="1" thickTop="1" thickBot="1" x14ac:dyDescent="0.3">
      <c r="A69" s="3350"/>
      <c r="B69" s="110"/>
      <c r="C69" s="109"/>
      <c r="D69" s="108"/>
      <c r="E69" s="111"/>
      <c r="F69" s="3352"/>
      <c r="G69" s="110"/>
      <c r="H69" s="109"/>
      <c r="I69" s="108"/>
      <c r="J69" s="111"/>
      <c r="K69" s="3352"/>
      <c r="L69" s="110"/>
      <c r="M69" s="109"/>
      <c r="N69" s="108"/>
      <c r="O69" s="111"/>
      <c r="P69" s="3352"/>
      <c r="Q69" s="110"/>
      <c r="R69" s="109"/>
      <c r="S69" s="108"/>
      <c r="T69" s="111"/>
      <c r="U69" s="3352"/>
      <c r="V69" s="110"/>
      <c r="W69" s="109"/>
      <c r="X69" s="108"/>
      <c r="Y69" s="111"/>
      <c r="Z69" s="3352"/>
      <c r="AA69" s="110"/>
      <c r="AB69" s="109"/>
      <c r="AC69" s="108"/>
      <c r="AD69" s="111"/>
      <c r="BW69" s="27"/>
      <c r="BX69" s="27"/>
      <c r="BY69" s="27"/>
      <c r="BZ69" s="27"/>
      <c r="CA69" s="27"/>
      <c r="CB69" s="27"/>
      <c r="CC69" s="27"/>
      <c r="CD69" s="27"/>
      <c r="CE69" s="27"/>
    </row>
    <row r="70" spans="1:172" s="42" customFormat="1" ht="3" customHeight="1" thickTop="1" x14ac:dyDescent="0.25">
      <c r="A70" s="106"/>
      <c r="B70" s="96"/>
      <c r="C70" s="96"/>
      <c r="D70" s="96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  <c r="AA70" s="96"/>
      <c r="AB70" s="96"/>
      <c r="AC70" s="96"/>
      <c r="AD70" s="96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W70" s="43"/>
      <c r="BX70" s="43"/>
      <c r="BY70" s="43"/>
      <c r="BZ70" s="43"/>
      <c r="CA70" s="43"/>
      <c r="CB70" s="43"/>
      <c r="CC70" s="43"/>
      <c r="CD70" s="43"/>
      <c r="CE70" s="43"/>
    </row>
    <row r="71" spans="1:172" ht="17.25" customHeight="1" thickBot="1" x14ac:dyDescent="0.3">
      <c r="L71" s="59"/>
      <c r="N71" s="59"/>
      <c r="O71" s="59"/>
      <c r="P71" s="59"/>
      <c r="R71" s="59"/>
      <c r="S71" s="59"/>
      <c r="T71" s="59"/>
      <c r="V71" s="59"/>
      <c r="W71" s="59"/>
      <c r="X71" s="59"/>
      <c r="Z71" s="59"/>
      <c r="AA71" s="59"/>
      <c r="AB71" s="59"/>
      <c r="AD71" s="59"/>
    </row>
    <row r="72" spans="1:172" ht="23.25" customHeight="1" thickTop="1" x14ac:dyDescent="0.25">
      <c r="A72" s="3287" t="s">
        <v>442</v>
      </c>
      <c r="B72" s="3288"/>
      <c r="C72" s="3288"/>
      <c r="D72" s="3288"/>
      <c r="E72" s="3288"/>
      <c r="F72" s="3288"/>
      <c r="G72" s="3289"/>
      <c r="H72" s="3293" cm="1">
        <f t="array" aca="1" ref="H72" ca="1">SUM(COUNTIF(INDIRECT({"B7","G7","L7","Q7","V7","AA7","AF7","AK7","AP7","AU7","AZ7","BE7","BJ7","BO7","B14","G14","L14","Q14","V14","AA14","AF14","AK14","AP14","AU14","AZ14","BE14","BJ14","BO14","B21","G21","L21","Q21","V21","AA21","AF21","AK21","AP21","AU21","AZ21","BE21","BJ21","BO21","B28","G28","L28","Q28","V28","AA28","AF28","AK28","AP28","AU28","AZ28","BE28","BJ28","BO28","B35","G35","L35","Q35","V35","AA35","AF35","AK35","AP35","AU35","AZ35","BE35","BJ35","BO35","B42","G42","L42","Q42","V42","AA42","AF42","AK42","AP42","AU42","AZ42","BE42","BJ42","BO42","B49","G49","L49","Q49","V49","AA49","AF49","AK49","AP49","AU49","AZ49","BE49","BJ49","BO49","B56","G56","L56","Q56","V56","AA56","AF56","AK56","AP56","AU56","AZ56","BE56","BJ56","BO56","B76","G76","L76","Q76","V76","AA76","AF76","AK76","AP76","AU76","AZ76","BE76","BJ76","BO76","B83","G83","L83","Q83","V83"}),"&gt;0"))</f>
        <v>104</v>
      </c>
      <c r="I72" s="3294"/>
      <c r="J72" s="3294"/>
      <c r="K72" s="3294"/>
      <c r="L72" s="3355" t="s">
        <v>441</v>
      </c>
      <c r="M72" s="3356"/>
      <c r="N72" s="3356"/>
      <c r="O72" s="3356"/>
      <c r="P72" s="3356"/>
      <c r="Q72" s="3356"/>
      <c r="R72" s="3356"/>
      <c r="S72" s="3356"/>
      <c r="T72" s="3357"/>
      <c r="U72" s="3355" t="s">
        <v>116</v>
      </c>
      <c r="V72" s="3361"/>
      <c r="W72" s="3361"/>
      <c r="X72" s="3361"/>
      <c r="Y72" s="3361"/>
      <c r="Z72" s="3361"/>
      <c r="AA72" s="3361"/>
      <c r="AB72" s="3361"/>
      <c r="AC72" s="3361"/>
      <c r="AD72" s="3361"/>
      <c r="AE72" s="3361"/>
      <c r="AF72" s="3362"/>
      <c r="AG72" s="3355" t="s">
        <v>117</v>
      </c>
      <c r="AH72" s="3361"/>
      <c r="AI72" s="3361"/>
      <c r="AJ72" s="3361"/>
      <c r="AK72" s="3361"/>
      <c r="AL72" s="3361"/>
      <c r="AM72" s="3361"/>
      <c r="AN72" s="3361"/>
      <c r="AO72" s="3361"/>
      <c r="AP72" s="3361"/>
      <c r="AQ72" s="3362"/>
      <c r="AR72" s="3366" t="s">
        <v>118</v>
      </c>
      <c r="AS72" s="3367"/>
      <c r="AT72" s="3367"/>
      <c r="AU72" s="3367"/>
      <c r="AV72" s="3367"/>
      <c r="AW72" s="3367"/>
      <c r="AX72" s="3367"/>
      <c r="AY72" s="3367"/>
      <c r="AZ72" s="3367"/>
      <c r="BA72" s="3367"/>
      <c r="BB72" s="3367"/>
      <c r="BC72" s="3368"/>
      <c r="BD72" s="3398" t="s">
        <v>119</v>
      </c>
      <c r="BE72" s="3399"/>
      <c r="BF72" s="3399"/>
      <c r="BG72" s="3399"/>
      <c r="BH72" s="3400"/>
      <c r="BI72" s="3411">
        <f>D8+I8+N8+S8+X8+AH8+AM8+AR8+AW8+BB8+BG8+BL8+BQ8+D15+I15+N15+S15+X15+AC15+AH15+AM15+AR15+AW15+BB15+BG15+BL15+BQ15+D22+I22+N22+S22+X22+AC22+AH22+AM22+AR22+AW22+BB22+BG22+BL22+BQ22+D29+I29+N29+S29+X29+AC29+AH29+AM29+AR29+AW29+BB29+BG29+BL29+D36+I36+BQ29+N36+S36+X36+AC36+AH36+AM36+AR36+AW36+BB36+BG36+BL36+BQ36+BQ43+BL43+BG43+BB43+AW43+AR43+AM43+AH43+AC43+X43+S43+N43+I43+D43+D50+I50+N50+S50+X50+AC50+AH50+AM50+AR50+AW50+BB50+BG50+BL50+BQ50+AC57+X57+S57+N57+I57+D57+AC8</f>
        <v>156</v>
      </c>
      <c r="BJ72" s="3412"/>
      <c r="BK72" s="3412"/>
      <c r="BL72" s="3412"/>
      <c r="BM72" s="3412"/>
      <c r="BN72" s="3407" t="s">
        <v>120</v>
      </c>
      <c r="BO72" s="3407"/>
      <c r="BP72" s="3407"/>
      <c r="BQ72" s="3407"/>
      <c r="BR72" s="3408"/>
      <c r="BS72" s="311"/>
    </row>
    <row r="73" spans="1:172" ht="12" hidden="1" customHeight="1" x14ac:dyDescent="0.25">
      <c r="A73" s="3290"/>
      <c r="B73" s="3291"/>
      <c r="C73" s="3291"/>
      <c r="D73" s="3291"/>
      <c r="E73" s="3291"/>
      <c r="F73" s="3291"/>
      <c r="G73" s="3292"/>
      <c r="H73" s="3295"/>
      <c r="I73" s="3296"/>
      <c r="J73" s="3296"/>
      <c r="K73" s="3296"/>
      <c r="L73" s="3358"/>
      <c r="M73" s="3359"/>
      <c r="N73" s="3359"/>
      <c r="O73" s="3359"/>
      <c r="P73" s="3359"/>
      <c r="Q73" s="3359"/>
      <c r="R73" s="3359"/>
      <c r="S73" s="3359"/>
      <c r="T73" s="3360"/>
      <c r="U73" s="3363"/>
      <c r="V73" s="3364"/>
      <c r="W73" s="3364"/>
      <c r="X73" s="3364"/>
      <c r="Y73" s="3364"/>
      <c r="Z73" s="3364"/>
      <c r="AA73" s="3364"/>
      <c r="AB73" s="3364"/>
      <c r="AC73" s="3364"/>
      <c r="AD73" s="3364"/>
      <c r="AE73" s="3364"/>
      <c r="AF73" s="3365"/>
      <c r="AG73" s="3363"/>
      <c r="AH73" s="3364"/>
      <c r="AI73" s="3364"/>
      <c r="AJ73" s="3364"/>
      <c r="AK73" s="3364"/>
      <c r="AL73" s="3364"/>
      <c r="AM73" s="3364"/>
      <c r="AN73" s="3364"/>
      <c r="AO73" s="3364"/>
      <c r="AP73" s="3364"/>
      <c r="AQ73" s="3365"/>
      <c r="AR73" s="3369"/>
      <c r="AS73" s="3370"/>
      <c r="AT73" s="3370"/>
      <c r="AU73" s="3370"/>
      <c r="AV73" s="3370"/>
      <c r="AW73" s="3370"/>
      <c r="AX73" s="3370"/>
      <c r="AY73" s="3370"/>
      <c r="AZ73" s="3370"/>
      <c r="BA73" s="3370"/>
      <c r="BB73" s="3370"/>
      <c r="BC73" s="3371"/>
      <c r="BD73" s="3401"/>
      <c r="BE73" s="3402"/>
      <c r="BF73" s="3402"/>
      <c r="BG73" s="3402"/>
      <c r="BH73" s="3403"/>
      <c r="BI73" s="3413"/>
      <c r="BJ73" s="3414"/>
      <c r="BK73" s="3414"/>
      <c r="BL73" s="3414"/>
      <c r="BM73" s="3414"/>
      <c r="BN73" s="3409"/>
      <c r="BO73" s="3409"/>
      <c r="BP73" s="3409"/>
      <c r="BQ73" s="3409"/>
      <c r="BR73" s="3410"/>
      <c r="BS73" s="312"/>
      <c r="CY73" s="37"/>
      <c r="CZ73" s="38"/>
      <c r="DA73" s="39"/>
      <c r="DB73" s="40"/>
      <c r="DC73" s="41"/>
      <c r="DD73" s="37"/>
      <c r="DE73" s="38"/>
      <c r="DF73" s="39"/>
      <c r="DG73" s="40"/>
      <c r="DH73" s="41"/>
      <c r="DI73" s="37"/>
      <c r="DJ73" s="38"/>
      <c r="DK73" s="39"/>
      <c r="DL73" s="40"/>
      <c r="DM73" s="41"/>
      <c r="DN73" s="37"/>
      <c r="DO73" s="38"/>
      <c r="DP73" s="39"/>
      <c r="DQ73" s="40"/>
      <c r="DR73" s="41"/>
      <c r="DS73" s="37"/>
      <c r="DT73" s="38"/>
      <c r="DU73" s="39"/>
      <c r="DV73" s="697"/>
      <c r="DW73" s="697"/>
      <c r="DX73" s="697"/>
      <c r="DY73" s="697"/>
      <c r="DZ73" s="697"/>
      <c r="EA73" s="697"/>
      <c r="EB73" s="697"/>
      <c r="EC73" s="697"/>
      <c r="ED73" s="697"/>
      <c r="EE73" s="697"/>
      <c r="EF73" s="697"/>
      <c r="EG73" s="697"/>
      <c r="EH73" s="37"/>
      <c r="EI73" s="38"/>
      <c r="EJ73" s="39"/>
      <c r="EK73" s="40"/>
      <c r="EL73" s="41"/>
      <c r="EM73" s="37"/>
      <c r="EN73" s="38"/>
      <c r="EO73" s="39"/>
      <c r="EP73" s="40"/>
      <c r="EQ73" s="41"/>
      <c r="ER73" s="37"/>
      <c r="ES73" s="38"/>
      <c r="ET73" s="39"/>
      <c r="EU73" s="40"/>
      <c r="EV73" s="41"/>
      <c r="EW73" s="37"/>
      <c r="EX73" s="38"/>
      <c r="EY73" s="39"/>
      <c r="EZ73" s="40"/>
      <c r="FA73" s="41"/>
      <c r="FB73" s="37"/>
      <c r="FC73" s="38"/>
      <c r="FD73" s="39"/>
      <c r="FE73" s="40"/>
      <c r="FF73" s="41"/>
      <c r="FG73" s="37"/>
      <c r="FH73" s="38"/>
      <c r="FI73" s="39"/>
      <c r="FJ73" s="40"/>
      <c r="FK73" s="41"/>
      <c r="FL73" s="37"/>
      <c r="FM73" s="38"/>
      <c r="FN73" s="39"/>
      <c r="FO73" s="40"/>
      <c r="FP73" s="41"/>
    </row>
    <row r="74" spans="1:172" ht="6" hidden="1" customHeight="1" x14ac:dyDescent="0.25">
      <c r="A74" s="3290"/>
      <c r="B74" s="3291"/>
      <c r="C74" s="3291"/>
      <c r="D74" s="3291"/>
      <c r="E74" s="3291"/>
      <c r="F74" s="3291"/>
      <c r="G74" s="3292"/>
      <c r="H74" s="3295"/>
      <c r="I74" s="3296"/>
      <c r="J74" s="3296"/>
      <c r="K74" s="3296"/>
      <c r="L74" s="3358"/>
      <c r="M74" s="3359"/>
      <c r="N74" s="3359"/>
      <c r="O74" s="3359"/>
      <c r="P74" s="3359"/>
      <c r="Q74" s="3359"/>
      <c r="R74" s="3359"/>
      <c r="S74" s="3359"/>
      <c r="T74" s="3360"/>
      <c r="U74" s="3363"/>
      <c r="V74" s="3364"/>
      <c r="W74" s="3364"/>
      <c r="X74" s="3364"/>
      <c r="Y74" s="3364"/>
      <c r="Z74" s="3364"/>
      <c r="AA74" s="3364"/>
      <c r="AB74" s="3364"/>
      <c r="AC74" s="3364"/>
      <c r="AD74" s="3364"/>
      <c r="AE74" s="3364"/>
      <c r="AF74" s="3365"/>
      <c r="AG74" s="3363"/>
      <c r="AH74" s="3364"/>
      <c r="AI74" s="3364"/>
      <c r="AJ74" s="3364"/>
      <c r="AK74" s="3364"/>
      <c r="AL74" s="3364"/>
      <c r="AM74" s="3364"/>
      <c r="AN74" s="3364"/>
      <c r="AO74" s="3364"/>
      <c r="AP74" s="3364"/>
      <c r="AQ74" s="3365"/>
      <c r="AR74" s="3369"/>
      <c r="AS74" s="3370"/>
      <c r="AT74" s="3370"/>
      <c r="AU74" s="3370"/>
      <c r="AV74" s="3370"/>
      <c r="AW74" s="3370"/>
      <c r="AX74" s="3370"/>
      <c r="AY74" s="3370"/>
      <c r="AZ74" s="3370"/>
      <c r="BA74" s="3370"/>
      <c r="BB74" s="3370"/>
      <c r="BC74" s="3371"/>
      <c r="BD74" s="3401"/>
      <c r="BE74" s="3402"/>
      <c r="BF74" s="3402"/>
      <c r="BG74" s="3402"/>
      <c r="BH74" s="3403"/>
      <c r="BI74" s="3413"/>
      <c r="BJ74" s="3414"/>
      <c r="BK74" s="3414"/>
      <c r="BL74" s="3414"/>
      <c r="BM74" s="3414"/>
      <c r="BN74" s="3409"/>
      <c r="BO74" s="3409"/>
      <c r="BP74" s="3409"/>
      <c r="BQ74" s="3409"/>
      <c r="BR74" s="3410"/>
      <c r="BS74" s="312"/>
      <c r="CY74" s="674"/>
      <c r="CZ74" s="674"/>
      <c r="DA74" s="674"/>
      <c r="DB74" s="675"/>
      <c r="DC74" s="675"/>
      <c r="DD74" s="44"/>
      <c r="DE74" s="702"/>
      <c r="DF74" s="702"/>
      <c r="DG74" s="702"/>
      <c r="DI74" s="45"/>
      <c r="DJ74" s="45"/>
      <c r="DK74" s="45"/>
      <c r="DL74" s="45"/>
      <c r="DM74" s="45"/>
      <c r="DN74" s="45"/>
      <c r="DO74" s="45"/>
      <c r="DP74" s="45"/>
      <c r="DQ74" s="45"/>
      <c r="DR74" s="45"/>
      <c r="DS74" s="45"/>
      <c r="DT74" s="45"/>
      <c r="DU74" s="45"/>
      <c r="DV74" s="697"/>
      <c r="DW74" s="697"/>
      <c r="DX74" s="697"/>
      <c r="DY74" s="697"/>
      <c r="DZ74" s="697"/>
      <c r="EA74" s="697"/>
      <c r="EB74" s="697"/>
      <c r="EC74" s="697"/>
      <c r="ED74" s="697"/>
      <c r="EE74" s="697"/>
      <c r="EF74" s="697"/>
      <c r="EG74" s="697"/>
      <c r="EH74" s="697"/>
      <c r="EI74" s="697"/>
      <c r="EJ74" s="697"/>
      <c r="EK74" s="697"/>
      <c r="EL74" s="697"/>
      <c r="EM74" s="697"/>
      <c r="EN74" s="697"/>
      <c r="EO74" s="697"/>
      <c r="EP74" s="697"/>
      <c r="EQ74" s="697"/>
      <c r="ER74" s="46"/>
      <c r="ES74" s="698"/>
      <c r="ET74" s="698"/>
      <c r="EU74" s="698"/>
      <c r="EV74" s="698"/>
      <c r="EW74" s="698"/>
      <c r="EX74" s="698"/>
      <c r="EY74" s="698"/>
      <c r="EZ74" s="698"/>
      <c r="FA74" s="698"/>
      <c r="FB74" s="698"/>
      <c r="FC74" s="698"/>
      <c r="FD74" s="698"/>
      <c r="FE74" s="699"/>
      <c r="FF74" s="699"/>
      <c r="FG74" s="699"/>
      <c r="FH74" s="699"/>
      <c r="FI74" s="699"/>
      <c r="FJ74" s="700"/>
      <c r="FK74" s="700"/>
      <c r="FL74" s="700"/>
      <c r="FM74" s="700"/>
      <c r="FN74" s="701"/>
      <c r="FO74" s="701"/>
      <c r="FP74" s="701"/>
    </row>
    <row r="75" spans="1:172" ht="38.25" customHeight="1" x14ac:dyDescent="0.25">
      <c r="A75" s="3290"/>
      <c r="B75" s="3291"/>
      <c r="C75" s="3291"/>
      <c r="D75" s="3291"/>
      <c r="E75" s="3291"/>
      <c r="F75" s="3291"/>
      <c r="G75" s="3292"/>
      <c r="H75" s="3295"/>
      <c r="I75" s="3296"/>
      <c r="J75" s="3296"/>
      <c r="K75" s="3296"/>
      <c r="L75" s="3358"/>
      <c r="M75" s="3359"/>
      <c r="N75" s="3359"/>
      <c r="O75" s="3359"/>
      <c r="P75" s="3359"/>
      <c r="Q75" s="3359"/>
      <c r="R75" s="3359"/>
      <c r="S75" s="3359"/>
      <c r="T75" s="3360"/>
      <c r="U75" s="3363"/>
      <c r="V75" s="3364"/>
      <c r="W75" s="3364"/>
      <c r="X75" s="3364"/>
      <c r="Y75" s="3364"/>
      <c r="Z75" s="3364"/>
      <c r="AA75" s="3364"/>
      <c r="AB75" s="3364"/>
      <c r="AC75" s="3364"/>
      <c r="AD75" s="3364"/>
      <c r="AE75" s="3364"/>
      <c r="AF75" s="3365"/>
      <c r="AG75" s="3363"/>
      <c r="AH75" s="3364"/>
      <c r="AI75" s="3364"/>
      <c r="AJ75" s="3364"/>
      <c r="AK75" s="3364"/>
      <c r="AL75" s="3364"/>
      <c r="AM75" s="3364"/>
      <c r="AN75" s="3364"/>
      <c r="AO75" s="3364"/>
      <c r="AP75" s="3364"/>
      <c r="AQ75" s="3365"/>
      <c r="AR75" s="3369"/>
      <c r="AS75" s="3370"/>
      <c r="AT75" s="3370"/>
      <c r="AU75" s="3370"/>
      <c r="AV75" s="3370"/>
      <c r="AW75" s="3370"/>
      <c r="AX75" s="3370"/>
      <c r="AY75" s="3370"/>
      <c r="AZ75" s="3370"/>
      <c r="BA75" s="3370"/>
      <c r="BB75" s="3370"/>
      <c r="BC75" s="3371"/>
      <c r="BD75" s="3401"/>
      <c r="BE75" s="3402"/>
      <c r="BF75" s="3402"/>
      <c r="BG75" s="3402"/>
      <c r="BH75" s="3403"/>
      <c r="BI75" s="3413"/>
      <c r="BJ75" s="3414"/>
      <c r="BK75" s="3414"/>
      <c r="BL75" s="3414"/>
      <c r="BM75" s="3414"/>
      <c r="BN75" s="3409"/>
      <c r="BO75" s="3409"/>
      <c r="BP75" s="3409"/>
      <c r="BQ75" s="3409"/>
      <c r="BR75" s="3410"/>
      <c r="BS75" s="312"/>
      <c r="CY75" s="36"/>
      <c r="CZ75" s="36"/>
      <c r="DA75" s="36"/>
      <c r="DB75" s="29"/>
      <c r="DC75" s="29"/>
      <c r="DD75" s="44"/>
      <c r="DE75" s="702"/>
      <c r="DF75" s="702"/>
      <c r="DG75" s="702"/>
      <c r="DI75" s="45"/>
      <c r="DJ75" s="45"/>
      <c r="DK75" s="45"/>
      <c r="DL75" s="45"/>
      <c r="DM75" s="45"/>
      <c r="DN75" s="45"/>
      <c r="DO75" s="45"/>
      <c r="DP75" s="45"/>
      <c r="DQ75" s="45"/>
      <c r="DR75" s="45"/>
      <c r="DS75" s="45"/>
      <c r="DT75" s="45"/>
      <c r="DU75" s="45"/>
      <c r="DV75" s="697"/>
      <c r="DW75" s="697"/>
      <c r="DX75" s="697"/>
      <c r="DY75" s="697"/>
      <c r="DZ75" s="697"/>
      <c r="EA75" s="697"/>
      <c r="EB75" s="697"/>
      <c r="EC75" s="697"/>
      <c r="ED75" s="697"/>
      <c r="EE75" s="697"/>
      <c r="EF75" s="697"/>
      <c r="EG75" s="697"/>
      <c r="EH75" s="697"/>
      <c r="EI75" s="697"/>
      <c r="EJ75" s="697"/>
      <c r="EK75" s="697"/>
      <c r="EL75" s="697"/>
      <c r="EM75" s="697"/>
      <c r="EN75" s="697"/>
      <c r="EO75" s="697"/>
      <c r="EP75" s="697"/>
      <c r="EQ75" s="697"/>
      <c r="ER75" s="46"/>
      <c r="ES75" s="698"/>
      <c r="ET75" s="698"/>
      <c r="EU75" s="698"/>
      <c r="EV75" s="698"/>
      <c r="EW75" s="698"/>
      <c r="EX75" s="698"/>
      <c r="EY75" s="698"/>
      <c r="EZ75" s="698"/>
      <c r="FA75" s="698"/>
      <c r="FB75" s="698"/>
      <c r="FC75" s="698"/>
      <c r="FD75" s="698"/>
      <c r="FE75" s="699"/>
      <c r="FF75" s="699"/>
      <c r="FG75" s="699"/>
      <c r="FH75" s="699"/>
      <c r="FI75" s="699"/>
      <c r="FJ75" s="700"/>
      <c r="FK75" s="700"/>
      <c r="FL75" s="700"/>
      <c r="FM75" s="700"/>
      <c r="FN75" s="701"/>
      <c r="FO75" s="701"/>
      <c r="FP75" s="701"/>
    </row>
    <row r="76" spans="1:172" ht="69" customHeight="1" thickBot="1" x14ac:dyDescent="0.3">
      <c r="A76" s="3299" t="s">
        <v>440</v>
      </c>
      <c r="B76" s="3300"/>
      <c r="C76" s="3300"/>
      <c r="D76" s="3300"/>
      <c r="E76" s="3300"/>
      <c r="F76" s="3300"/>
      <c r="G76" s="3301"/>
      <c r="H76" s="3297" cm="1">
        <f t="array" aca="1" ref="H76" ca="1">SUM(COUNTIF(INDIRECT({"B8","G8","L8","Q8","V8","AA8","AF8","AK8","AP8","AU8","AZ8","BE8","BJ8","BO8","B15","G15","L15","Q15","V15","AA15","AF15","AK15","AP15","AU15","AZ15","BE15","BJ15","BO15","B22","G22","L22","Q22","V22","AA22","AF22","AK22","AP22","AU22","AZ22","BE22","BJ22","BO22","B29","G29","L29","Q29","V29","AA29","AF29","AK29","AP29","AU29","AZ29","BE29","BJ29","BO29","B36","G36","L36","Q36","V36","AA36","AF36","AK36","AP36","AU36","AZ36","BE36","BJ36","BO36","B43","G43","L43","Q43","V43","AA43","AF43","AK43","AP43","AU43","AZ43","BE43","BJ43","BO43","B50","G50","L50","Q50","V50","AA50","AF50","AK50","AP50","AU50","AZ50","BE50","BJ50","BO50","B57","G57","L57","Q57","V57","AA57","AF57","AK57","AP57","AU57","AZ57","BE57","BJ57","BO57","B77","G77","L77","Q77","V77","AA77","AF77","AK77","AP77","AU77","AZ77","BE77","BJ77","BO77","B84","G84","L84","Q84","V84"}),"&gt;0"))</f>
        <v>104</v>
      </c>
      <c r="I76" s="3298"/>
      <c r="J76" s="3298"/>
      <c r="K76" s="3298"/>
      <c r="L76" s="3358"/>
      <c r="M76" s="3359"/>
      <c r="N76" s="3359"/>
      <c r="O76" s="3359"/>
      <c r="P76" s="3359"/>
      <c r="Q76" s="3359"/>
      <c r="R76" s="3359"/>
      <c r="S76" s="3359"/>
      <c r="T76" s="3360"/>
      <c r="U76" s="3363"/>
      <c r="V76" s="3364"/>
      <c r="W76" s="3364"/>
      <c r="X76" s="3364"/>
      <c r="Y76" s="3364"/>
      <c r="Z76" s="3364"/>
      <c r="AA76" s="3364"/>
      <c r="AB76" s="3364"/>
      <c r="AC76" s="3364"/>
      <c r="AD76" s="3364"/>
      <c r="AE76" s="3364"/>
      <c r="AF76" s="3365"/>
      <c r="AG76" s="3363"/>
      <c r="AH76" s="3364"/>
      <c r="AI76" s="3364"/>
      <c r="AJ76" s="3364"/>
      <c r="AK76" s="3364"/>
      <c r="AL76" s="3364"/>
      <c r="AM76" s="3364"/>
      <c r="AN76" s="3364"/>
      <c r="AO76" s="3364"/>
      <c r="AP76" s="3364"/>
      <c r="AQ76" s="3365"/>
      <c r="AR76" s="3369"/>
      <c r="AS76" s="3370"/>
      <c r="AT76" s="3370"/>
      <c r="AU76" s="3370"/>
      <c r="AV76" s="3370"/>
      <c r="AW76" s="3370"/>
      <c r="AX76" s="3370"/>
      <c r="AY76" s="3370"/>
      <c r="AZ76" s="3370"/>
      <c r="BA76" s="3370"/>
      <c r="BB76" s="3370"/>
      <c r="BC76" s="3371"/>
      <c r="BD76" s="3401"/>
      <c r="BE76" s="3402"/>
      <c r="BF76" s="3402"/>
      <c r="BG76" s="3402"/>
      <c r="BH76" s="3403"/>
      <c r="BI76" s="3413"/>
      <c r="BJ76" s="3414"/>
      <c r="BK76" s="3414"/>
      <c r="BL76" s="3414"/>
      <c r="BM76" s="3414"/>
      <c r="BN76" s="3409"/>
      <c r="BO76" s="3409"/>
      <c r="BP76" s="3409"/>
      <c r="BQ76" s="3409"/>
      <c r="BR76" s="3410"/>
      <c r="BS76" s="313"/>
      <c r="BT76" s="3372"/>
      <c r="BW76" s="51"/>
      <c r="BX76" s="51"/>
      <c r="BY76" s="51"/>
      <c r="BZ76" s="51"/>
      <c r="CA76" s="51"/>
      <c r="CB76" s="51"/>
      <c r="CC76" s="27"/>
      <c r="CD76" s="27"/>
      <c r="CE76" s="27"/>
      <c r="CG76" s="27"/>
      <c r="CH76" s="27"/>
      <c r="CI76" s="27"/>
      <c r="CJ76" s="27"/>
      <c r="CK76" s="27"/>
      <c r="CL76" s="27"/>
      <c r="CY76" s="676"/>
      <c r="CZ76" s="676"/>
      <c r="DA76" s="676"/>
      <c r="DB76" s="29"/>
      <c r="DC76" s="29"/>
      <c r="DD76" s="47"/>
      <c r="DE76" s="702"/>
      <c r="DF76" s="702"/>
      <c r="DG76" s="702"/>
      <c r="DH76" s="48"/>
      <c r="DI76" s="45"/>
      <c r="DJ76" s="45"/>
      <c r="DK76" s="45"/>
      <c r="DL76" s="45"/>
      <c r="DM76" s="45"/>
      <c r="DN76" s="45"/>
      <c r="DO76" s="45"/>
      <c r="DP76" s="45"/>
      <c r="DQ76" s="45"/>
      <c r="DR76" s="45"/>
      <c r="DS76" s="45"/>
      <c r="DT76" s="45"/>
      <c r="DU76" s="45"/>
      <c r="DV76" s="697"/>
      <c r="DW76" s="697"/>
      <c r="DX76" s="697"/>
      <c r="DY76" s="697"/>
      <c r="DZ76" s="697"/>
      <c r="EA76" s="697"/>
      <c r="EB76" s="697"/>
      <c r="EC76" s="697"/>
      <c r="ED76" s="697"/>
      <c r="EE76" s="697"/>
      <c r="EF76" s="697"/>
      <c r="EG76" s="697"/>
      <c r="EH76" s="697"/>
      <c r="EI76" s="697"/>
      <c r="EJ76" s="697"/>
      <c r="EK76" s="697"/>
      <c r="EL76" s="697"/>
      <c r="EM76" s="697"/>
      <c r="EN76" s="697"/>
      <c r="EO76" s="697"/>
      <c r="EP76" s="697"/>
      <c r="EQ76" s="697"/>
      <c r="ER76" s="46"/>
      <c r="ES76" s="698"/>
      <c r="ET76" s="698"/>
      <c r="EU76" s="698"/>
      <c r="EV76" s="698"/>
      <c r="EW76" s="698"/>
      <c r="EX76" s="698"/>
      <c r="EY76" s="698"/>
      <c r="EZ76" s="698"/>
      <c r="FA76" s="698"/>
      <c r="FB76" s="698"/>
      <c r="FC76" s="698"/>
      <c r="FD76" s="698"/>
      <c r="FE76" s="699"/>
      <c r="FF76" s="699"/>
      <c r="FG76" s="699"/>
      <c r="FH76" s="699"/>
      <c r="FI76" s="699"/>
      <c r="FJ76" s="700"/>
      <c r="FK76" s="700"/>
      <c r="FL76" s="700"/>
      <c r="FM76" s="700"/>
      <c r="FN76" s="701"/>
      <c r="FO76" s="701"/>
      <c r="FP76" s="701"/>
    </row>
    <row r="77" spans="1:172" ht="63" customHeight="1" thickTop="1" x14ac:dyDescent="1">
      <c r="A77" s="3302" t="s">
        <v>450</v>
      </c>
      <c r="B77" s="3303"/>
      <c r="C77" s="3308" t="s">
        <v>451</v>
      </c>
      <c r="D77" s="3309"/>
      <c r="E77" s="3309"/>
      <c r="F77" s="3309"/>
      <c r="G77" s="3310"/>
      <c r="H77" s="3320">
        <v>104</v>
      </c>
      <c r="I77" s="3321"/>
      <c r="J77" s="3321"/>
      <c r="K77" s="3321"/>
      <c r="L77" s="3373"/>
      <c r="M77" s="3374"/>
      <c r="N77" s="3374"/>
      <c r="O77" s="3374"/>
      <c r="P77" s="3374"/>
      <c r="Q77" s="3374"/>
      <c r="R77" s="3374"/>
      <c r="S77" s="3374"/>
      <c r="T77" s="3375"/>
      <c r="U77" s="3380" t="s">
        <v>13</v>
      </c>
      <c r="V77" s="3381"/>
      <c r="W77" s="3381"/>
      <c r="X77" s="3381"/>
      <c r="Y77" s="3381"/>
      <c r="Z77" s="3381"/>
      <c r="AA77" s="3381"/>
      <c r="AB77" s="3381"/>
      <c r="AC77" s="3381"/>
      <c r="AD77" s="3381"/>
      <c r="AE77" s="3381"/>
      <c r="AF77" s="3382"/>
      <c r="AG77" s="3386">
        <f>AR77-AF107</f>
        <v>-8.9767878893098896E-4</v>
      </c>
      <c r="AH77" s="3387"/>
      <c r="AI77" s="3387"/>
      <c r="AJ77" s="3387"/>
      <c r="AK77" s="3387"/>
      <c r="AL77" s="3387"/>
      <c r="AM77" s="3387"/>
      <c r="AN77" s="3387"/>
      <c r="AO77" s="3387"/>
      <c r="AP77" s="3387"/>
      <c r="AQ77" s="3388"/>
      <c r="AR77" s="3392">
        <f>B8+G8+L8+Q8+V8+AA8+AF8+AK8+AP8+AU8+AZ8+BE8+BJ8+BO8+B15+G15+L15+Q15+V15+AA15+AF15+AK15+AP15+AU15+AZ15+BE15+BJ15+BO15+B22+G22+L22+Q22+V22+AA22+AF22+AK22+AP22+AU22+AZ22+BE22+BJ22+BO22+B29+G29+L29+Q29+V29+AA29+AF29+AK29+AP29+AU29+AZ29+BE29+BJ29+BO29+B36+G36+L36+Q36+V36+AA36+AF36+AK36+AP36+AU36+AZ36+BE36+BJ36+BO36+B43+G43+L43+Q43+V43+AA43+AF43+AK43+AP43+AU43+AZ43+BE43+BJ43+BO43+B50+G50+L50+Q50+V50+AA50+AF50+AK50+AP50+AU50+AZ50+BE50+BJ50+BO50+B57+G57+L57+Q57+V57+AA57</f>
        <v>242.56910232121106</v>
      </c>
      <c r="AS77" s="3393"/>
      <c r="AT77" s="3393"/>
      <c r="AU77" s="3393"/>
      <c r="AV77" s="3393"/>
      <c r="AW77" s="3393"/>
      <c r="AX77" s="3393"/>
      <c r="AY77" s="3393"/>
      <c r="AZ77" s="3393"/>
      <c r="BA77" s="3393"/>
      <c r="BB77" s="3393"/>
      <c r="BC77" s="3394"/>
      <c r="BD77" s="3401"/>
      <c r="BE77" s="3402"/>
      <c r="BF77" s="3402"/>
      <c r="BG77" s="3402"/>
      <c r="BH77" s="3403"/>
      <c r="BI77" s="3421">
        <f>BI72*1.5</f>
        <v>234</v>
      </c>
      <c r="BJ77" s="3422"/>
      <c r="BK77" s="3422"/>
      <c r="BL77" s="3422"/>
      <c r="BM77" s="3422"/>
      <c r="BN77" s="3422"/>
      <c r="BO77" s="3422"/>
      <c r="BP77" s="3422"/>
      <c r="BQ77" s="3422"/>
      <c r="BR77" s="3423"/>
      <c r="BS77" s="315"/>
      <c r="BT77" s="3372"/>
      <c r="BW77" s="27"/>
      <c r="BX77" s="27"/>
      <c r="BY77" s="27"/>
      <c r="BZ77" s="27"/>
      <c r="CA77" s="27"/>
      <c r="CB77" s="27"/>
      <c r="CC77" s="27"/>
      <c r="CD77" s="27"/>
      <c r="CE77" s="27"/>
      <c r="CG77" s="27"/>
      <c r="CH77" s="27"/>
      <c r="CI77" s="27"/>
      <c r="CJ77" s="27"/>
      <c r="CK77" s="27"/>
      <c r="CL77" s="27"/>
      <c r="CY77" s="676"/>
      <c r="CZ77" s="676"/>
      <c r="DA77" s="676"/>
      <c r="DB77" s="29"/>
      <c r="DC77" s="29"/>
      <c r="DD77" s="47"/>
      <c r="DE77" s="702"/>
      <c r="DF77" s="702"/>
      <c r="DG77" s="702"/>
      <c r="DH77" s="48"/>
      <c r="DI77" s="45"/>
      <c r="DJ77" s="45"/>
      <c r="DK77" s="45"/>
      <c r="DL77" s="45"/>
      <c r="DM77" s="45"/>
      <c r="DN77" s="45"/>
      <c r="DO77" s="45"/>
      <c r="DP77" s="45"/>
      <c r="DQ77" s="45"/>
      <c r="DR77" s="45"/>
      <c r="DS77" s="45"/>
      <c r="DT77" s="45"/>
      <c r="DU77" s="45"/>
      <c r="DV77" s="697"/>
      <c r="DW77" s="697"/>
      <c r="DX77" s="697"/>
      <c r="DY77" s="697"/>
      <c r="DZ77" s="697"/>
      <c r="EA77" s="697"/>
      <c r="EB77" s="697"/>
      <c r="EC77" s="697"/>
      <c r="ED77" s="697"/>
      <c r="EE77" s="697"/>
      <c r="EF77" s="697"/>
      <c r="EG77" s="697"/>
      <c r="EH77" s="697"/>
      <c r="EI77" s="697"/>
      <c r="EJ77" s="697"/>
      <c r="EK77" s="697"/>
      <c r="EL77" s="697"/>
      <c r="EM77" s="697"/>
      <c r="EN77" s="697"/>
      <c r="EO77" s="697"/>
      <c r="EP77" s="697"/>
      <c r="EQ77" s="697"/>
      <c r="ER77" s="46"/>
      <c r="ES77" s="698"/>
      <c r="ET77" s="698"/>
      <c r="EU77" s="698"/>
      <c r="EV77" s="698"/>
      <c r="EW77" s="698"/>
      <c r="EX77" s="698"/>
      <c r="EY77" s="698"/>
      <c r="EZ77" s="698"/>
      <c r="FA77" s="698"/>
      <c r="FB77" s="698"/>
      <c r="FC77" s="698"/>
      <c r="FD77" s="698"/>
      <c r="FE77" s="699"/>
      <c r="FF77" s="699"/>
      <c r="FG77" s="699"/>
      <c r="FH77" s="699"/>
      <c r="FI77" s="699"/>
      <c r="FJ77" s="700"/>
      <c r="FK77" s="700"/>
      <c r="FL77" s="700"/>
      <c r="FM77" s="700"/>
      <c r="FN77" s="701"/>
      <c r="FO77" s="701"/>
      <c r="FP77" s="701"/>
    </row>
    <row r="78" spans="1:172" ht="15" customHeight="1" x14ac:dyDescent="1">
      <c r="A78" s="3304"/>
      <c r="B78" s="3305"/>
      <c r="C78" s="3311" t="s">
        <v>452</v>
      </c>
      <c r="D78" s="3312"/>
      <c r="E78" s="3312"/>
      <c r="F78" s="3312"/>
      <c r="G78" s="3313"/>
      <c r="H78" s="3322">
        <v>104</v>
      </c>
      <c r="I78" s="3323"/>
      <c r="J78" s="3323"/>
      <c r="K78" s="3323"/>
      <c r="L78" s="3376"/>
      <c r="M78" s="3374"/>
      <c r="N78" s="3374"/>
      <c r="O78" s="3374"/>
      <c r="P78" s="3374"/>
      <c r="Q78" s="3374"/>
      <c r="R78" s="3374"/>
      <c r="S78" s="3374"/>
      <c r="T78" s="3375"/>
      <c r="U78" s="3380"/>
      <c r="V78" s="3381"/>
      <c r="W78" s="3381"/>
      <c r="X78" s="3381"/>
      <c r="Y78" s="3381"/>
      <c r="Z78" s="3381"/>
      <c r="AA78" s="3381"/>
      <c r="AB78" s="3381"/>
      <c r="AC78" s="3381"/>
      <c r="AD78" s="3381"/>
      <c r="AE78" s="3381"/>
      <c r="AF78" s="3382"/>
      <c r="AG78" s="3386"/>
      <c r="AH78" s="3387"/>
      <c r="AI78" s="3387"/>
      <c r="AJ78" s="3387"/>
      <c r="AK78" s="3387"/>
      <c r="AL78" s="3387"/>
      <c r="AM78" s="3387"/>
      <c r="AN78" s="3387"/>
      <c r="AO78" s="3387"/>
      <c r="AP78" s="3387"/>
      <c r="AQ78" s="3388"/>
      <c r="AR78" s="3392"/>
      <c r="AS78" s="3393"/>
      <c r="AT78" s="3393"/>
      <c r="AU78" s="3393"/>
      <c r="AV78" s="3393"/>
      <c r="AW78" s="3393"/>
      <c r="AX78" s="3393"/>
      <c r="AY78" s="3393"/>
      <c r="AZ78" s="3393"/>
      <c r="BA78" s="3393"/>
      <c r="BB78" s="3393"/>
      <c r="BC78" s="3394"/>
      <c r="BD78" s="3401"/>
      <c r="BE78" s="3402"/>
      <c r="BF78" s="3402"/>
      <c r="BG78" s="3402"/>
      <c r="BH78" s="3403"/>
      <c r="BI78" s="3421"/>
      <c r="BJ78" s="3422"/>
      <c r="BK78" s="3422"/>
      <c r="BL78" s="3422"/>
      <c r="BM78" s="3422"/>
      <c r="BN78" s="3422"/>
      <c r="BO78" s="3422"/>
      <c r="BP78" s="3422"/>
      <c r="BQ78" s="3422"/>
      <c r="BR78" s="3423"/>
      <c r="BS78" s="315"/>
      <c r="BT78" s="50"/>
      <c r="BW78" s="27"/>
      <c r="BX78" s="27"/>
      <c r="BY78" s="27"/>
      <c r="BZ78" s="27"/>
      <c r="CA78" s="27"/>
      <c r="CB78" s="27"/>
      <c r="CC78" s="27"/>
      <c r="CD78" s="27"/>
      <c r="CE78" s="27"/>
      <c r="CG78" s="27"/>
      <c r="CH78" s="27"/>
      <c r="CI78" s="27"/>
      <c r="CJ78" s="27"/>
      <c r="CK78" s="27"/>
      <c r="CL78" s="27"/>
      <c r="CY78" s="676"/>
      <c r="CZ78" s="676"/>
      <c r="DA78" s="676"/>
      <c r="DB78" s="675"/>
      <c r="DC78" s="675"/>
      <c r="DD78" s="47"/>
      <c r="DE78" s="703"/>
      <c r="DF78" s="703"/>
      <c r="DG78" s="703"/>
      <c r="DH78" s="48"/>
      <c r="DI78" s="45"/>
      <c r="DJ78" s="45"/>
      <c r="DK78" s="45"/>
      <c r="DL78" s="45"/>
      <c r="DM78" s="45"/>
      <c r="DN78" s="45"/>
      <c r="DO78" s="45"/>
      <c r="DP78" s="45"/>
      <c r="DQ78" s="45"/>
      <c r="DR78" s="45"/>
      <c r="DS78" s="45"/>
      <c r="DT78" s="45"/>
      <c r="DU78" s="45"/>
      <c r="DV78" s="697"/>
      <c r="DW78" s="697"/>
      <c r="DX78" s="697"/>
      <c r="DY78" s="697"/>
      <c r="DZ78" s="697"/>
      <c r="EA78" s="697"/>
      <c r="EB78" s="697"/>
      <c r="EC78" s="697"/>
      <c r="ED78" s="697"/>
      <c r="EE78" s="697"/>
      <c r="EF78" s="697"/>
      <c r="EG78" s="697"/>
      <c r="EH78" s="697"/>
      <c r="EI78" s="697"/>
      <c r="EJ78" s="697"/>
      <c r="EK78" s="697"/>
      <c r="EL78" s="697"/>
      <c r="EM78" s="697"/>
      <c r="EN78" s="697"/>
      <c r="EO78" s="697"/>
      <c r="EP78" s="697"/>
      <c r="EQ78" s="697"/>
      <c r="ER78" s="46"/>
      <c r="ES78" s="698"/>
      <c r="ET78" s="698"/>
      <c r="EU78" s="698"/>
      <c r="EV78" s="698"/>
      <c r="EW78" s="698"/>
      <c r="EX78" s="698"/>
      <c r="EY78" s="698"/>
      <c r="EZ78" s="698"/>
      <c r="FA78" s="698"/>
      <c r="FB78" s="698"/>
      <c r="FC78" s="698"/>
      <c r="FD78" s="698"/>
      <c r="FE78" s="699"/>
      <c r="FF78" s="699"/>
      <c r="FG78" s="699"/>
      <c r="FH78" s="699"/>
      <c r="FI78" s="699"/>
      <c r="FJ78" s="700"/>
      <c r="FK78" s="700"/>
      <c r="FL78" s="700"/>
      <c r="FM78" s="700"/>
      <c r="FN78" s="701"/>
      <c r="FO78" s="701"/>
      <c r="FP78" s="701"/>
    </row>
    <row r="79" spans="1:172" ht="26.25" customHeight="1" x14ac:dyDescent="1">
      <c r="A79" s="3304"/>
      <c r="B79" s="3305"/>
      <c r="C79" s="3314"/>
      <c r="D79" s="3315"/>
      <c r="E79" s="3315"/>
      <c r="F79" s="3315"/>
      <c r="G79" s="3316"/>
      <c r="H79" s="3324"/>
      <c r="I79" s="3325"/>
      <c r="J79" s="3325"/>
      <c r="K79" s="3325"/>
      <c r="L79" s="3376"/>
      <c r="M79" s="3374"/>
      <c r="N79" s="3374"/>
      <c r="O79" s="3374"/>
      <c r="P79" s="3374"/>
      <c r="Q79" s="3374"/>
      <c r="R79" s="3374"/>
      <c r="S79" s="3374"/>
      <c r="T79" s="3375"/>
      <c r="U79" s="3380"/>
      <c r="V79" s="3381"/>
      <c r="W79" s="3381"/>
      <c r="X79" s="3381"/>
      <c r="Y79" s="3381"/>
      <c r="Z79" s="3381"/>
      <c r="AA79" s="3381"/>
      <c r="AB79" s="3381"/>
      <c r="AC79" s="3381"/>
      <c r="AD79" s="3381"/>
      <c r="AE79" s="3381"/>
      <c r="AF79" s="3382"/>
      <c r="AG79" s="3386"/>
      <c r="AH79" s="3387"/>
      <c r="AI79" s="3387"/>
      <c r="AJ79" s="3387"/>
      <c r="AK79" s="3387"/>
      <c r="AL79" s="3387"/>
      <c r="AM79" s="3387"/>
      <c r="AN79" s="3387"/>
      <c r="AO79" s="3387"/>
      <c r="AP79" s="3387"/>
      <c r="AQ79" s="3388"/>
      <c r="AR79" s="3392"/>
      <c r="AS79" s="3393"/>
      <c r="AT79" s="3393"/>
      <c r="AU79" s="3393"/>
      <c r="AV79" s="3393"/>
      <c r="AW79" s="3393"/>
      <c r="AX79" s="3393"/>
      <c r="AY79" s="3393"/>
      <c r="AZ79" s="3393"/>
      <c r="BA79" s="3393"/>
      <c r="BB79" s="3393"/>
      <c r="BC79" s="3394"/>
      <c r="BD79" s="3401"/>
      <c r="BE79" s="3402"/>
      <c r="BF79" s="3402"/>
      <c r="BG79" s="3402"/>
      <c r="BH79" s="3403"/>
      <c r="BI79" s="3421"/>
      <c r="BJ79" s="3422"/>
      <c r="BK79" s="3422"/>
      <c r="BL79" s="3422"/>
      <c r="BM79" s="3422"/>
      <c r="BN79" s="3422"/>
      <c r="BO79" s="3422"/>
      <c r="BP79" s="3422"/>
      <c r="BQ79" s="3422"/>
      <c r="BR79" s="3423"/>
      <c r="BS79" s="315"/>
      <c r="BT79" s="50"/>
      <c r="BW79" s="27"/>
      <c r="BX79" s="27"/>
      <c r="BY79" s="27"/>
      <c r="BZ79" s="27"/>
      <c r="CA79" s="27"/>
      <c r="CB79" s="27"/>
      <c r="CC79" s="27"/>
      <c r="CD79" s="27"/>
      <c r="CE79" s="27"/>
      <c r="CG79" s="27"/>
      <c r="CH79" s="27"/>
      <c r="CI79" s="27"/>
      <c r="CJ79" s="27"/>
      <c r="CK79" s="27"/>
      <c r="CL79" s="27"/>
      <c r="CZ79" s="17"/>
      <c r="DE79" s="703"/>
      <c r="DF79" s="703"/>
      <c r="DG79" s="703"/>
      <c r="DH79" s="48"/>
      <c r="DI79" s="49"/>
      <c r="DJ79" s="49"/>
      <c r="DK79" s="49"/>
      <c r="DL79" s="49"/>
      <c r="DM79" s="49"/>
      <c r="DN79" s="49"/>
      <c r="DO79" s="49"/>
      <c r="DP79" s="49"/>
      <c r="DQ79" s="49"/>
      <c r="DR79" s="49"/>
      <c r="DS79" s="49"/>
      <c r="DT79" s="49"/>
      <c r="DU79" s="49"/>
      <c r="DV79" s="704"/>
      <c r="DW79" s="705"/>
      <c r="DX79" s="705"/>
      <c r="DY79" s="705"/>
      <c r="DZ79" s="705"/>
      <c r="EA79" s="705"/>
      <c r="EB79" s="705"/>
      <c r="EC79" s="705"/>
      <c r="ED79" s="705"/>
      <c r="EE79" s="705"/>
      <c r="EF79" s="705"/>
      <c r="EG79" s="705"/>
      <c r="EH79" s="706"/>
      <c r="EI79" s="706"/>
      <c r="EJ79" s="706"/>
      <c r="EK79" s="706"/>
      <c r="EL79" s="706"/>
      <c r="EM79" s="706"/>
      <c r="EN79" s="706"/>
      <c r="EO79" s="706"/>
      <c r="EP79" s="706"/>
      <c r="EQ79" s="706"/>
      <c r="ER79" s="706"/>
      <c r="ES79" s="707"/>
      <c r="ET79" s="707"/>
      <c r="EU79" s="707"/>
      <c r="EV79" s="707"/>
      <c r="EW79" s="707"/>
      <c r="EX79" s="707"/>
      <c r="EY79" s="707"/>
      <c r="EZ79" s="707"/>
      <c r="FA79" s="707"/>
      <c r="FB79" s="707"/>
      <c r="FC79" s="707"/>
      <c r="FD79" s="707"/>
      <c r="FE79" s="699"/>
      <c r="FF79" s="699"/>
      <c r="FG79" s="699"/>
      <c r="FH79" s="699"/>
      <c r="FI79" s="699"/>
      <c r="FJ79" s="708"/>
      <c r="FK79" s="708"/>
      <c r="FL79" s="708"/>
      <c r="FM79" s="708"/>
      <c r="FN79" s="708"/>
      <c r="FO79" s="708"/>
      <c r="FP79" s="708"/>
    </row>
    <row r="80" spans="1:172" ht="15" hidden="1" customHeight="1" x14ac:dyDescent="1">
      <c r="A80" s="3304"/>
      <c r="B80" s="3305"/>
      <c r="C80" s="3314"/>
      <c r="D80" s="3315"/>
      <c r="E80" s="3315"/>
      <c r="F80" s="3315"/>
      <c r="G80" s="3316"/>
      <c r="H80" s="3324"/>
      <c r="I80" s="3325"/>
      <c r="J80" s="3325"/>
      <c r="K80" s="3325"/>
      <c r="L80" s="3376"/>
      <c r="M80" s="3374"/>
      <c r="N80" s="3374"/>
      <c r="O80" s="3374"/>
      <c r="P80" s="3374"/>
      <c r="Q80" s="3374"/>
      <c r="R80" s="3374"/>
      <c r="S80" s="3374"/>
      <c r="T80" s="3375"/>
      <c r="U80" s="3380"/>
      <c r="V80" s="3381"/>
      <c r="W80" s="3381"/>
      <c r="X80" s="3381"/>
      <c r="Y80" s="3381"/>
      <c r="Z80" s="3381"/>
      <c r="AA80" s="3381"/>
      <c r="AB80" s="3381"/>
      <c r="AC80" s="3381"/>
      <c r="AD80" s="3381"/>
      <c r="AE80" s="3381"/>
      <c r="AF80" s="3382"/>
      <c r="AG80" s="3386"/>
      <c r="AH80" s="3387"/>
      <c r="AI80" s="3387"/>
      <c r="AJ80" s="3387"/>
      <c r="AK80" s="3387"/>
      <c r="AL80" s="3387"/>
      <c r="AM80" s="3387"/>
      <c r="AN80" s="3387"/>
      <c r="AO80" s="3387"/>
      <c r="AP80" s="3387"/>
      <c r="AQ80" s="3388"/>
      <c r="AR80" s="3392"/>
      <c r="AS80" s="3393"/>
      <c r="AT80" s="3393"/>
      <c r="AU80" s="3393"/>
      <c r="AV80" s="3393"/>
      <c r="AW80" s="3393"/>
      <c r="AX80" s="3393"/>
      <c r="AY80" s="3393"/>
      <c r="AZ80" s="3393"/>
      <c r="BA80" s="3393"/>
      <c r="BB80" s="3393"/>
      <c r="BC80" s="3394"/>
      <c r="BD80" s="3401"/>
      <c r="BE80" s="3402"/>
      <c r="BF80" s="3402"/>
      <c r="BG80" s="3402"/>
      <c r="BH80" s="3403"/>
      <c r="BI80" s="3421"/>
      <c r="BJ80" s="3422"/>
      <c r="BK80" s="3422"/>
      <c r="BL80" s="3422"/>
      <c r="BM80" s="3422"/>
      <c r="BN80" s="3422"/>
      <c r="BO80" s="3422"/>
      <c r="BP80" s="3422"/>
      <c r="BQ80" s="3422"/>
      <c r="BR80" s="3423"/>
      <c r="BS80" s="315"/>
      <c r="BT80" s="53"/>
      <c r="DE80" s="703"/>
      <c r="DF80" s="703"/>
      <c r="DG80" s="703"/>
      <c r="DH80" s="52"/>
      <c r="DI80" s="45"/>
      <c r="DJ80" s="45"/>
      <c r="DK80" s="45"/>
      <c r="DL80" s="45"/>
      <c r="DM80" s="45"/>
      <c r="DN80" s="45"/>
      <c r="DO80" s="45"/>
      <c r="DP80" s="45"/>
      <c r="DQ80" s="45"/>
      <c r="DR80" s="45"/>
      <c r="DS80" s="45"/>
      <c r="DT80" s="45"/>
      <c r="DU80" s="45"/>
      <c r="DV80" s="705"/>
      <c r="DW80" s="705"/>
      <c r="DX80" s="705"/>
      <c r="DY80" s="705"/>
      <c r="DZ80" s="705"/>
      <c r="EA80" s="705"/>
      <c r="EB80" s="705"/>
      <c r="EC80" s="705"/>
      <c r="ED80" s="705"/>
      <c r="EE80" s="705"/>
      <c r="EF80" s="705"/>
      <c r="EG80" s="705"/>
      <c r="EH80" s="706"/>
      <c r="EI80" s="706"/>
      <c r="EJ80" s="706"/>
      <c r="EK80" s="706"/>
      <c r="EL80" s="706"/>
      <c r="EM80" s="706"/>
      <c r="EN80" s="706"/>
      <c r="EO80" s="706"/>
      <c r="EP80" s="706"/>
      <c r="EQ80" s="706"/>
      <c r="ER80" s="706"/>
      <c r="ES80" s="707"/>
      <c r="ET80" s="707"/>
      <c r="EU80" s="707"/>
      <c r="EV80" s="707"/>
      <c r="EW80" s="707"/>
      <c r="EX80" s="707"/>
      <c r="EY80" s="707"/>
      <c r="EZ80" s="707"/>
      <c r="FA80" s="707"/>
      <c r="FB80" s="707"/>
      <c r="FC80" s="707"/>
      <c r="FD80" s="707"/>
      <c r="FE80" s="699"/>
      <c r="FF80" s="699"/>
      <c r="FG80" s="699"/>
      <c r="FH80" s="699"/>
      <c r="FI80" s="699"/>
      <c r="FJ80" s="708"/>
      <c r="FK80" s="708"/>
      <c r="FL80" s="708"/>
      <c r="FM80" s="708"/>
      <c r="FN80" s="708"/>
      <c r="FO80" s="708"/>
      <c r="FP80" s="708"/>
    </row>
    <row r="81" spans="1:172" ht="3.75" hidden="1" customHeight="1" x14ac:dyDescent="1">
      <c r="A81" s="3304"/>
      <c r="B81" s="3305"/>
      <c r="C81" s="3314"/>
      <c r="D81" s="3315"/>
      <c r="E81" s="3315"/>
      <c r="F81" s="3315"/>
      <c r="G81" s="3316"/>
      <c r="H81" s="3324"/>
      <c r="I81" s="3325"/>
      <c r="J81" s="3325"/>
      <c r="K81" s="3325"/>
      <c r="L81" s="3376"/>
      <c r="M81" s="3374"/>
      <c r="N81" s="3374"/>
      <c r="O81" s="3374"/>
      <c r="P81" s="3374"/>
      <c r="Q81" s="3374"/>
      <c r="R81" s="3374"/>
      <c r="S81" s="3374"/>
      <c r="T81" s="3375"/>
      <c r="U81" s="3380"/>
      <c r="V81" s="3381"/>
      <c r="W81" s="3381"/>
      <c r="X81" s="3381"/>
      <c r="Y81" s="3381"/>
      <c r="Z81" s="3381"/>
      <c r="AA81" s="3381"/>
      <c r="AB81" s="3381"/>
      <c r="AC81" s="3381"/>
      <c r="AD81" s="3381"/>
      <c r="AE81" s="3381"/>
      <c r="AF81" s="3382"/>
      <c r="AG81" s="3386"/>
      <c r="AH81" s="3387"/>
      <c r="AI81" s="3387"/>
      <c r="AJ81" s="3387"/>
      <c r="AK81" s="3387"/>
      <c r="AL81" s="3387"/>
      <c r="AM81" s="3387"/>
      <c r="AN81" s="3387"/>
      <c r="AO81" s="3387"/>
      <c r="AP81" s="3387"/>
      <c r="AQ81" s="3388"/>
      <c r="AR81" s="3392"/>
      <c r="AS81" s="3393"/>
      <c r="AT81" s="3393"/>
      <c r="AU81" s="3393"/>
      <c r="AV81" s="3393"/>
      <c r="AW81" s="3393"/>
      <c r="AX81" s="3393"/>
      <c r="AY81" s="3393"/>
      <c r="AZ81" s="3393"/>
      <c r="BA81" s="3393"/>
      <c r="BB81" s="3393"/>
      <c r="BC81" s="3394"/>
      <c r="BD81" s="3401"/>
      <c r="BE81" s="3402"/>
      <c r="BF81" s="3402"/>
      <c r="BG81" s="3402"/>
      <c r="BH81" s="3403"/>
      <c r="BI81" s="3421"/>
      <c r="BJ81" s="3422"/>
      <c r="BK81" s="3422"/>
      <c r="BL81" s="3422"/>
      <c r="BM81" s="3422"/>
      <c r="BN81" s="3422"/>
      <c r="BO81" s="3422"/>
      <c r="BP81" s="3422"/>
      <c r="BQ81" s="3422"/>
      <c r="BR81" s="3423"/>
      <c r="BS81" s="315"/>
      <c r="BT81" s="53"/>
      <c r="DE81" s="709"/>
      <c r="DF81" s="709"/>
      <c r="DG81" s="709"/>
      <c r="DH81" s="52"/>
      <c r="DI81" s="45"/>
      <c r="DJ81" s="45"/>
      <c r="DK81" s="45"/>
      <c r="DL81" s="45"/>
      <c r="DM81" s="45"/>
      <c r="DN81" s="45"/>
      <c r="DO81" s="45"/>
      <c r="DP81" s="45"/>
      <c r="DQ81" s="45"/>
      <c r="DR81" s="45"/>
      <c r="DS81" s="45"/>
      <c r="DT81" s="45"/>
      <c r="DU81" s="45"/>
      <c r="DV81" s="705"/>
      <c r="DW81" s="705"/>
      <c r="DX81" s="705"/>
      <c r="DY81" s="705"/>
      <c r="DZ81" s="705"/>
      <c r="EA81" s="705"/>
      <c r="EB81" s="705"/>
      <c r="EC81" s="705"/>
      <c r="ED81" s="705"/>
      <c r="EE81" s="705"/>
      <c r="EF81" s="705"/>
      <c r="EG81" s="705"/>
      <c r="EH81" s="706"/>
      <c r="EI81" s="706"/>
      <c r="EJ81" s="706"/>
      <c r="EK81" s="706"/>
      <c r="EL81" s="706"/>
      <c r="EM81" s="706"/>
      <c r="EN81" s="706"/>
      <c r="EO81" s="706"/>
      <c r="EP81" s="706"/>
      <c r="EQ81" s="706"/>
      <c r="ER81" s="706"/>
      <c r="ES81" s="707"/>
      <c r="ET81" s="707"/>
      <c r="EU81" s="707"/>
      <c r="EV81" s="707"/>
      <c r="EW81" s="707"/>
      <c r="EX81" s="707"/>
      <c r="EY81" s="707"/>
      <c r="EZ81" s="707"/>
      <c r="FA81" s="707"/>
      <c r="FB81" s="707"/>
      <c r="FC81" s="707"/>
      <c r="FD81" s="707"/>
      <c r="FE81" s="699"/>
      <c r="FF81" s="699"/>
      <c r="FG81" s="699"/>
      <c r="FH81" s="699"/>
      <c r="FI81" s="699"/>
      <c r="FJ81" s="708"/>
      <c r="FK81" s="708"/>
      <c r="FL81" s="708"/>
      <c r="FM81" s="708"/>
      <c r="FN81" s="708"/>
      <c r="FO81" s="708"/>
      <c r="FP81" s="708"/>
    </row>
    <row r="82" spans="1:172" ht="28.5" customHeight="1" thickBot="1" x14ac:dyDescent="1.05">
      <c r="A82" s="3306"/>
      <c r="B82" s="3307"/>
      <c r="C82" s="3317"/>
      <c r="D82" s="3318"/>
      <c r="E82" s="3318"/>
      <c r="F82" s="3318"/>
      <c r="G82" s="3319"/>
      <c r="H82" s="3285"/>
      <c r="I82" s="3286"/>
      <c r="J82" s="3286"/>
      <c r="K82" s="3286"/>
      <c r="L82" s="3376"/>
      <c r="M82" s="3374"/>
      <c r="N82" s="3374"/>
      <c r="O82" s="3374"/>
      <c r="P82" s="3374"/>
      <c r="Q82" s="3374"/>
      <c r="R82" s="3374"/>
      <c r="S82" s="3374"/>
      <c r="T82" s="3375"/>
      <c r="U82" s="3380"/>
      <c r="V82" s="3381"/>
      <c r="W82" s="3381"/>
      <c r="X82" s="3381"/>
      <c r="Y82" s="3381"/>
      <c r="Z82" s="3381"/>
      <c r="AA82" s="3381"/>
      <c r="AB82" s="3381"/>
      <c r="AC82" s="3381"/>
      <c r="AD82" s="3381"/>
      <c r="AE82" s="3381"/>
      <c r="AF82" s="3382"/>
      <c r="AG82" s="3386"/>
      <c r="AH82" s="3387"/>
      <c r="AI82" s="3387"/>
      <c r="AJ82" s="3387"/>
      <c r="AK82" s="3387"/>
      <c r="AL82" s="3387"/>
      <c r="AM82" s="3387"/>
      <c r="AN82" s="3387"/>
      <c r="AO82" s="3387"/>
      <c r="AP82" s="3387"/>
      <c r="AQ82" s="3388"/>
      <c r="AR82" s="3392"/>
      <c r="AS82" s="3393"/>
      <c r="AT82" s="3393"/>
      <c r="AU82" s="3393"/>
      <c r="AV82" s="3393"/>
      <c r="AW82" s="3393"/>
      <c r="AX82" s="3393"/>
      <c r="AY82" s="3393"/>
      <c r="AZ82" s="3393"/>
      <c r="BA82" s="3393"/>
      <c r="BB82" s="3393"/>
      <c r="BC82" s="3394"/>
      <c r="BD82" s="3401"/>
      <c r="BE82" s="3402"/>
      <c r="BF82" s="3402"/>
      <c r="BG82" s="3402"/>
      <c r="BH82" s="3403"/>
      <c r="BI82" s="3421"/>
      <c r="BJ82" s="3422"/>
      <c r="BK82" s="3422"/>
      <c r="BL82" s="3422"/>
      <c r="BM82" s="3422"/>
      <c r="BN82" s="3422"/>
      <c r="BO82" s="3422"/>
      <c r="BP82" s="3422"/>
      <c r="BQ82" s="3422"/>
      <c r="BR82" s="3423"/>
      <c r="BS82" s="315"/>
      <c r="BT82" s="53"/>
      <c r="DE82" s="709"/>
      <c r="DF82" s="709"/>
      <c r="DG82" s="709"/>
      <c r="DH82" s="52"/>
      <c r="DI82" s="45"/>
      <c r="DJ82" s="45"/>
      <c r="DK82" s="45"/>
      <c r="DL82" s="45"/>
      <c r="DM82" s="45"/>
      <c r="DN82" s="45"/>
      <c r="DO82" s="45"/>
      <c r="DP82" s="45"/>
      <c r="DQ82" s="45"/>
      <c r="DR82" s="45"/>
      <c r="DS82" s="45"/>
      <c r="DT82" s="45"/>
      <c r="DU82" s="45"/>
      <c r="DV82" s="705"/>
      <c r="DW82" s="705"/>
      <c r="DX82" s="705"/>
      <c r="DY82" s="705"/>
      <c r="DZ82" s="705"/>
      <c r="EA82" s="705"/>
      <c r="EB82" s="705"/>
      <c r="EC82" s="705"/>
      <c r="ED82" s="705"/>
      <c r="EE82" s="705"/>
      <c r="EF82" s="705"/>
      <c r="EG82" s="705"/>
      <c r="EH82" s="706"/>
      <c r="EI82" s="706"/>
      <c r="EJ82" s="706"/>
      <c r="EK82" s="706"/>
      <c r="EL82" s="706"/>
      <c r="EM82" s="706"/>
      <c r="EN82" s="706"/>
      <c r="EO82" s="706"/>
      <c r="EP82" s="706"/>
      <c r="EQ82" s="706"/>
      <c r="ER82" s="706"/>
      <c r="ES82" s="707"/>
      <c r="ET82" s="707"/>
      <c r="EU82" s="707"/>
      <c r="EV82" s="707"/>
      <c r="EW82" s="707"/>
      <c r="EX82" s="707"/>
      <c r="EY82" s="707"/>
      <c r="EZ82" s="707"/>
      <c r="FA82" s="707"/>
      <c r="FB82" s="707"/>
      <c r="FC82" s="707"/>
      <c r="FD82" s="707"/>
      <c r="FE82" s="699"/>
      <c r="FF82" s="699"/>
      <c r="FG82" s="699"/>
      <c r="FH82" s="699"/>
      <c r="FI82" s="699"/>
      <c r="FJ82" s="708"/>
      <c r="FK82" s="708"/>
      <c r="FL82" s="708"/>
      <c r="FM82" s="708"/>
      <c r="FN82" s="708"/>
      <c r="FO82" s="708"/>
      <c r="FP82" s="708"/>
    </row>
    <row r="83" spans="1:172" ht="81" customHeight="1" thickTop="1" x14ac:dyDescent="0.25">
      <c r="A83" s="3279" t="s">
        <v>453</v>
      </c>
      <c r="B83" s="3280"/>
      <c r="C83" s="3280"/>
      <c r="D83" s="3280"/>
      <c r="E83" s="3280"/>
      <c r="F83" s="3280"/>
      <c r="G83" s="3280"/>
      <c r="H83" s="3283">
        <v>104</v>
      </c>
      <c r="I83" s="3284"/>
      <c r="J83" s="3284"/>
      <c r="K83" s="3284"/>
      <c r="L83" s="3376"/>
      <c r="M83" s="3374"/>
      <c r="N83" s="3374"/>
      <c r="O83" s="3374"/>
      <c r="P83" s="3374"/>
      <c r="Q83" s="3374"/>
      <c r="R83" s="3374"/>
      <c r="S83" s="3374"/>
      <c r="T83" s="3375"/>
      <c r="U83" s="3380"/>
      <c r="V83" s="3381"/>
      <c r="W83" s="3381"/>
      <c r="X83" s="3381"/>
      <c r="Y83" s="3381"/>
      <c r="Z83" s="3381"/>
      <c r="AA83" s="3381"/>
      <c r="AB83" s="3381"/>
      <c r="AC83" s="3381"/>
      <c r="AD83" s="3381"/>
      <c r="AE83" s="3381"/>
      <c r="AF83" s="3382"/>
      <c r="AG83" s="3386"/>
      <c r="AH83" s="3387"/>
      <c r="AI83" s="3387"/>
      <c r="AJ83" s="3387"/>
      <c r="AK83" s="3387"/>
      <c r="AL83" s="3387"/>
      <c r="AM83" s="3387"/>
      <c r="AN83" s="3387"/>
      <c r="AO83" s="3387"/>
      <c r="AP83" s="3387"/>
      <c r="AQ83" s="3388"/>
      <c r="AR83" s="3392"/>
      <c r="AS83" s="3393"/>
      <c r="AT83" s="3393"/>
      <c r="AU83" s="3393"/>
      <c r="AV83" s="3393"/>
      <c r="AW83" s="3393"/>
      <c r="AX83" s="3393"/>
      <c r="AY83" s="3393"/>
      <c r="AZ83" s="3393"/>
      <c r="BA83" s="3393"/>
      <c r="BB83" s="3393"/>
      <c r="BC83" s="3394"/>
      <c r="BD83" s="3401"/>
      <c r="BE83" s="3402"/>
      <c r="BF83" s="3402"/>
      <c r="BG83" s="3402"/>
      <c r="BH83" s="3403"/>
      <c r="BI83" s="3415" t="s">
        <v>121</v>
      </c>
      <c r="BJ83" s="3416"/>
      <c r="BK83" s="3416"/>
      <c r="BL83" s="3416"/>
      <c r="BM83" s="3416"/>
      <c r="BN83" s="3416"/>
      <c r="BO83" s="3416"/>
      <c r="BP83" s="3416"/>
      <c r="BQ83" s="3416"/>
      <c r="BR83" s="3417"/>
      <c r="BS83" s="312"/>
      <c r="DE83" s="709"/>
      <c r="DF83" s="709"/>
      <c r="DG83" s="709"/>
      <c r="DH83" s="52"/>
      <c r="DI83" s="45"/>
      <c r="DJ83" s="45"/>
      <c r="DK83" s="45"/>
      <c r="DL83" s="45"/>
      <c r="DM83" s="45"/>
      <c r="DN83" s="45"/>
      <c r="DO83" s="45"/>
      <c r="DP83" s="45"/>
      <c r="DQ83" s="45"/>
      <c r="DR83" s="45"/>
      <c r="DS83" s="45"/>
      <c r="DT83" s="45"/>
      <c r="DU83" s="45"/>
      <c r="DV83" s="705"/>
      <c r="DW83" s="705"/>
      <c r="DX83" s="705"/>
      <c r="DY83" s="705"/>
      <c r="DZ83" s="705"/>
      <c r="EA83" s="705"/>
      <c r="EB83" s="705"/>
      <c r="EC83" s="705"/>
      <c r="ED83" s="705"/>
      <c r="EE83" s="705"/>
      <c r="EF83" s="705"/>
      <c r="EG83" s="705"/>
      <c r="EH83" s="706"/>
      <c r="EI83" s="706"/>
      <c r="EJ83" s="706"/>
      <c r="EK83" s="706"/>
      <c r="EL83" s="706"/>
      <c r="EM83" s="706"/>
      <c r="EN83" s="706"/>
      <c r="EO83" s="706"/>
      <c r="EP83" s="706"/>
      <c r="EQ83" s="706"/>
      <c r="ER83" s="706"/>
      <c r="ES83" s="707"/>
      <c r="ET83" s="707"/>
      <c r="EU83" s="707"/>
      <c r="EV83" s="707"/>
      <c r="EW83" s="707"/>
      <c r="EX83" s="707"/>
      <c r="EY83" s="707"/>
      <c r="EZ83" s="707"/>
      <c r="FA83" s="707"/>
      <c r="FB83" s="707"/>
      <c r="FC83" s="707"/>
      <c r="FD83" s="707"/>
      <c r="FE83" s="699"/>
      <c r="FF83" s="699"/>
      <c r="FG83" s="699"/>
      <c r="FH83" s="699"/>
      <c r="FI83" s="699"/>
      <c r="FJ83" s="708"/>
      <c r="FK83" s="708"/>
      <c r="FL83" s="708"/>
      <c r="FM83" s="708"/>
      <c r="FN83" s="708"/>
      <c r="FO83" s="708"/>
      <c r="FP83" s="708"/>
    </row>
    <row r="84" spans="1:172" ht="35.25" customHeight="1" thickBot="1" x14ac:dyDescent="0.3">
      <c r="A84" s="3281"/>
      <c r="B84" s="3282"/>
      <c r="C84" s="3282"/>
      <c r="D84" s="3282"/>
      <c r="E84" s="3282"/>
      <c r="F84" s="3282"/>
      <c r="G84" s="3282"/>
      <c r="H84" s="3285"/>
      <c r="I84" s="3286"/>
      <c r="J84" s="3286"/>
      <c r="K84" s="3286"/>
      <c r="L84" s="3377"/>
      <c r="M84" s="3378"/>
      <c r="N84" s="3378"/>
      <c r="O84" s="3378"/>
      <c r="P84" s="3378"/>
      <c r="Q84" s="3378"/>
      <c r="R84" s="3378"/>
      <c r="S84" s="3378"/>
      <c r="T84" s="3379"/>
      <c r="U84" s="3383"/>
      <c r="V84" s="3384"/>
      <c r="W84" s="3384"/>
      <c r="X84" s="3384"/>
      <c r="Y84" s="3384"/>
      <c r="Z84" s="3384"/>
      <c r="AA84" s="3384"/>
      <c r="AB84" s="3384"/>
      <c r="AC84" s="3384"/>
      <c r="AD84" s="3384"/>
      <c r="AE84" s="3384"/>
      <c r="AF84" s="3385"/>
      <c r="AG84" s="3389"/>
      <c r="AH84" s="3390"/>
      <c r="AI84" s="3390"/>
      <c r="AJ84" s="3390"/>
      <c r="AK84" s="3390"/>
      <c r="AL84" s="3390"/>
      <c r="AM84" s="3390"/>
      <c r="AN84" s="3390"/>
      <c r="AO84" s="3390"/>
      <c r="AP84" s="3390"/>
      <c r="AQ84" s="3391"/>
      <c r="AR84" s="3395"/>
      <c r="AS84" s="3396"/>
      <c r="AT84" s="3396"/>
      <c r="AU84" s="3396"/>
      <c r="AV84" s="3396"/>
      <c r="AW84" s="3396"/>
      <c r="AX84" s="3396"/>
      <c r="AY84" s="3396"/>
      <c r="AZ84" s="3396"/>
      <c r="BA84" s="3396"/>
      <c r="BB84" s="3396"/>
      <c r="BC84" s="3397"/>
      <c r="BD84" s="3404"/>
      <c r="BE84" s="3405"/>
      <c r="BF84" s="3405"/>
      <c r="BG84" s="3405"/>
      <c r="BH84" s="3406"/>
      <c r="BI84" s="3418"/>
      <c r="BJ84" s="3419"/>
      <c r="BK84" s="3419"/>
      <c r="BL84" s="3419"/>
      <c r="BM84" s="3419"/>
      <c r="BN84" s="3419"/>
      <c r="BO84" s="3419"/>
      <c r="BP84" s="3419"/>
      <c r="BQ84" s="3419"/>
      <c r="BR84" s="3420"/>
      <c r="BS84" s="314"/>
      <c r="DE84" s="709"/>
      <c r="DF84" s="709"/>
      <c r="DG84" s="709"/>
      <c r="DH84" s="52"/>
      <c r="DI84" s="45"/>
      <c r="DJ84" s="45"/>
      <c r="DK84" s="45"/>
      <c r="DL84" s="45"/>
      <c r="DM84" s="45"/>
      <c r="DN84" s="45"/>
      <c r="DO84" s="45"/>
      <c r="DP84" s="45"/>
      <c r="DQ84" s="45"/>
      <c r="DR84" s="45"/>
      <c r="DS84" s="45"/>
      <c r="DT84" s="45"/>
      <c r="DU84" s="45"/>
      <c r="DV84" s="705"/>
      <c r="DW84" s="705"/>
      <c r="DX84" s="705"/>
      <c r="DY84" s="705"/>
      <c r="DZ84" s="705"/>
      <c r="EA84" s="705"/>
      <c r="EB84" s="705"/>
      <c r="EC84" s="705"/>
      <c r="ED84" s="705"/>
      <c r="EE84" s="705"/>
      <c r="EF84" s="705"/>
      <c r="EG84" s="705"/>
      <c r="EH84" s="706"/>
      <c r="EI84" s="706"/>
      <c r="EJ84" s="706"/>
      <c r="EK84" s="706"/>
      <c r="EL84" s="706"/>
      <c r="EM84" s="706"/>
      <c r="EN84" s="706"/>
      <c r="EO84" s="706"/>
      <c r="EP84" s="706"/>
      <c r="EQ84" s="706"/>
      <c r="ER84" s="706"/>
      <c r="ES84" s="707"/>
      <c r="ET84" s="707"/>
      <c r="EU84" s="707"/>
      <c r="EV84" s="707"/>
      <c r="EW84" s="707"/>
      <c r="EX84" s="707"/>
      <c r="EY84" s="707"/>
      <c r="EZ84" s="707"/>
      <c r="FA84" s="707"/>
      <c r="FB84" s="707"/>
      <c r="FC84" s="707"/>
      <c r="FD84" s="707"/>
      <c r="FE84" s="699"/>
      <c r="FF84" s="699"/>
      <c r="FG84" s="699"/>
      <c r="FH84" s="699"/>
      <c r="FI84" s="699"/>
      <c r="FJ84" s="699"/>
      <c r="FK84" s="699"/>
      <c r="FL84" s="699"/>
      <c r="FM84" s="699"/>
      <c r="FN84" s="699"/>
      <c r="FO84" s="699"/>
      <c r="FP84" s="699"/>
    </row>
    <row r="85" spans="1:172" ht="51.75" customHeight="1" thickTop="1" x14ac:dyDescent="0.25">
      <c r="A85" s="44"/>
      <c r="B85" s="44"/>
      <c r="C85" s="44"/>
      <c r="D85" s="44"/>
      <c r="E85" s="44"/>
      <c r="F85" s="44"/>
      <c r="G85" s="69"/>
      <c r="H85" s="69"/>
      <c r="I85" s="71"/>
      <c r="J85" s="71"/>
      <c r="K85" s="69"/>
      <c r="L85" s="69"/>
      <c r="M85" s="44"/>
      <c r="N85" s="69"/>
      <c r="O85" s="69"/>
      <c r="P85" s="44"/>
      <c r="Q85" s="44"/>
      <c r="R85" s="44"/>
      <c r="S85" s="69"/>
      <c r="T85" s="69"/>
      <c r="U85" s="44"/>
      <c r="V85" s="44"/>
      <c r="W85" s="44"/>
      <c r="X85" s="69"/>
      <c r="Y85" s="69"/>
      <c r="Z85" s="44"/>
      <c r="AA85" s="44"/>
      <c r="AB85" s="44"/>
      <c r="AC85" s="69"/>
      <c r="AD85" s="69"/>
      <c r="AE85" s="44"/>
      <c r="AF85" s="44"/>
      <c r="AG85" s="44"/>
      <c r="AH85" s="69"/>
      <c r="AI85" s="69"/>
      <c r="AJ85" s="44"/>
      <c r="AK85" s="288"/>
      <c r="AL85" s="288"/>
      <c r="AM85" s="288"/>
      <c r="AN85" s="288"/>
      <c r="AO85" s="44"/>
      <c r="AP85" s="44"/>
      <c r="AQ85" s="44"/>
      <c r="AR85" s="69"/>
      <c r="AS85" s="69"/>
      <c r="AT85" s="44"/>
      <c r="AU85" s="44"/>
      <c r="AV85" s="44"/>
      <c r="AW85" s="69"/>
      <c r="AX85" s="69"/>
      <c r="AY85" s="44"/>
      <c r="AZ85" s="287"/>
      <c r="BA85" s="287"/>
      <c r="BB85" s="287"/>
      <c r="BC85" s="287"/>
      <c r="BD85" s="44"/>
      <c r="BE85" s="44"/>
      <c r="BF85" s="44"/>
      <c r="BG85" s="69"/>
      <c r="BH85" s="69"/>
      <c r="BI85" s="44"/>
      <c r="BJ85" s="44"/>
      <c r="BK85" s="44"/>
      <c r="BL85" s="69"/>
      <c r="BM85" s="69"/>
      <c r="BN85" s="44"/>
      <c r="BO85" s="44"/>
      <c r="BP85" s="44"/>
      <c r="BQ85" s="69"/>
      <c r="BR85" s="69"/>
      <c r="DE85" s="709"/>
      <c r="DF85" s="709"/>
      <c r="DG85" s="709"/>
      <c r="DH85" s="52"/>
      <c r="DI85" s="49"/>
      <c r="DJ85" s="49"/>
      <c r="DK85" s="49"/>
      <c r="DL85" s="49"/>
      <c r="DM85" s="49"/>
      <c r="DN85" s="49"/>
      <c r="DO85" s="49"/>
      <c r="DP85" s="49"/>
      <c r="DQ85" s="49"/>
      <c r="DR85" s="49"/>
      <c r="DS85" s="49"/>
      <c r="DT85" s="49"/>
      <c r="DU85" s="49"/>
      <c r="DV85" s="705"/>
      <c r="DW85" s="705"/>
      <c r="DX85" s="705"/>
      <c r="DY85" s="705"/>
      <c r="DZ85" s="705"/>
      <c r="EA85" s="705"/>
      <c r="EB85" s="705"/>
      <c r="EC85" s="705"/>
      <c r="ED85" s="705"/>
      <c r="EE85" s="705"/>
      <c r="EF85" s="705"/>
      <c r="EG85" s="705"/>
      <c r="EH85" s="706"/>
      <c r="EI85" s="706"/>
      <c r="EJ85" s="706"/>
      <c r="EK85" s="706"/>
      <c r="EL85" s="706"/>
      <c r="EM85" s="706"/>
      <c r="EN85" s="706"/>
      <c r="EO85" s="706"/>
      <c r="EP85" s="706"/>
      <c r="EQ85" s="706"/>
      <c r="ER85" s="706"/>
      <c r="ES85" s="707"/>
      <c r="ET85" s="707"/>
      <c r="EU85" s="707"/>
      <c r="EV85" s="707"/>
      <c r="EW85" s="707"/>
      <c r="EX85" s="707"/>
      <c r="EY85" s="707"/>
      <c r="EZ85" s="707"/>
      <c r="FA85" s="707"/>
      <c r="FB85" s="707"/>
      <c r="FC85" s="707"/>
      <c r="FD85" s="707"/>
      <c r="FE85" s="699"/>
      <c r="FF85" s="699"/>
      <c r="FG85" s="699"/>
      <c r="FH85" s="699"/>
      <c r="FI85" s="699"/>
      <c r="FJ85" s="699"/>
      <c r="FK85" s="699"/>
      <c r="FL85" s="699"/>
      <c r="FM85" s="699"/>
      <c r="FN85" s="699"/>
      <c r="FO85" s="699"/>
      <c r="FP85" s="699"/>
    </row>
    <row r="86" spans="1:172" ht="11.25" hidden="1" customHeight="1" x14ac:dyDescent="0.25">
      <c r="A86" s="296"/>
      <c r="B86" s="297"/>
      <c r="C86" s="300"/>
      <c r="D86" s="301"/>
      <c r="E86" s="301"/>
      <c r="F86" s="301"/>
      <c r="G86" s="302"/>
      <c r="H86" s="306"/>
      <c r="I86" s="71"/>
      <c r="J86" s="71"/>
      <c r="K86" s="307"/>
      <c r="L86" s="47"/>
      <c r="M86" s="47"/>
      <c r="N86" s="69"/>
      <c r="O86" s="69"/>
      <c r="P86" s="47"/>
      <c r="Q86" s="47"/>
      <c r="R86" s="47"/>
      <c r="S86" s="69"/>
      <c r="T86" s="69"/>
      <c r="U86" s="47"/>
      <c r="V86" s="47"/>
      <c r="W86" s="47"/>
      <c r="X86" s="69"/>
      <c r="Y86" s="69"/>
      <c r="Z86" s="47"/>
      <c r="AA86" s="47"/>
      <c r="AB86" s="47"/>
      <c r="AC86" s="69"/>
      <c r="AD86" s="69"/>
      <c r="AE86" s="47"/>
      <c r="AF86" s="47"/>
      <c r="AG86" s="47"/>
      <c r="AH86" s="69"/>
      <c r="AI86" s="69"/>
      <c r="AJ86" s="47"/>
      <c r="AK86" s="47"/>
      <c r="AL86" s="47"/>
      <c r="AM86" s="69"/>
      <c r="AN86" s="69"/>
      <c r="AO86" s="47"/>
      <c r="AP86" s="47"/>
      <c r="AQ86" s="47"/>
      <c r="AR86" s="69"/>
      <c r="AS86" s="69"/>
      <c r="AT86" s="47"/>
      <c r="AU86" s="47"/>
      <c r="AV86" s="47"/>
      <c r="AW86" s="69"/>
      <c r="AX86" s="69"/>
      <c r="AY86" s="47"/>
      <c r="AZ86" s="47"/>
      <c r="BA86" s="47"/>
      <c r="BB86" s="69"/>
      <c r="BC86" s="69"/>
      <c r="BD86" s="47"/>
      <c r="BE86" s="47"/>
      <c r="BF86" s="47"/>
      <c r="BG86" s="69"/>
      <c r="BH86" s="69"/>
      <c r="BI86" s="47"/>
      <c r="BJ86" s="47"/>
      <c r="BK86" s="47"/>
      <c r="BL86" s="69"/>
      <c r="BM86" s="69"/>
      <c r="BN86" s="47"/>
      <c r="BO86" s="47"/>
      <c r="BP86" s="47"/>
      <c r="BQ86" s="69"/>
      <c r="BR86" s="69"/>
    </row>
    <row r="87" spans="1:172" ht="15" hidden="1" customHeight="1" x14ac:dyDescent="0.25">
      <c r="A87" s="296"/>
      <c r="B87" s="297"/>
      <c r="C87" s="300"/>
      <c r="D87" s="301"/>
      <c r="E87" s="301"/>
      <c r="F87" s="301"/>
      <c r="G87" s="302"/>
      <c r="H87" s="308"/>
      <c r="I87" s="309"/>
      <c r="J87" s="309"/>
      <c r="K87" s="310"/>
      <c r="L87" s="47"/>
      <c r="M87" s="47"/>
      <c r="N87" s="101"/>
      <c r="O87" s="69"/>
      <c r="P87" s="47"/>
      <c r="Q87" s="47"/>
      <c r="R87" s="47"/>
      <c r="S87" s="101"/>
      <c r="T87" s="69"/>
      <c r="U87" s="47"/>
      <c r="V87" s="47"/>
      <c r="W87" s="47"/>
      <c r="X87" s="101"/>
      <c r="Y87" s="69"/>
      <c r="Z87" s="47"/>
      <c r="AA87" s="47"/>
      <c r="AB87" s="47"/>
      <c r="AC87" s="101"/>
      <c r="AD87" s="69"/>
      <c r="AE87" s="47"/>
      <c r="AF87" s="47"/>
      <c r="AG87" s="47"/>
      <c r="AH87" s="101"/>
      <c r="AI87" s="69"/>
      <c r="AJ87" s="47"/>
      <c r="AK87" s="47"/>
      <c r="AL87" s="47"/>
      <c r="AM87" s="101"/>
      <c r="AN87" s="69"/>
      <c r="AO87" s="47"/>
      <c r="AP87" s="47"/>
      <c r="AQ87" s="47"/>
      <c r="AR87" s="101"/>
      <c r="AS87" s="69"/>
      <c r="AT87" s="47"/>
      <c r="AU87" s="47"/>
      <c r="AV87" s="47"/>
      <c r="AW87" s="101"/>
      <c r="AX87" s="69"/>
      <c r="AY87" s="47"/>
      <c r="AZ87" s="47"/>
      <c r="BA87" s="47"/>
      <c r="BB87" s="101"/>
      <c r="BC87" s="69"/>
      <c r="BD87" s="47"/>
      <c r="BE87" s="47"/>
      <c r="BF87" s="47"/>
      <c r="BG87" s="101"/>
      <c r="BH87" s="69"/>
      <c r="BI87" s="47"/>
      <c r="BJ87" s="47"/>
      <c r="BK87" s="47"/>
      <c r="BL87" s="101"/>
      <c r="BM87" s="69"/>
      <c r="BN87" s="47"/>
      <c r="BO87" s="47"/>
      <c r="BP87" s="47"/>
      <c r="BQ87" s="101"/>
      <c r="BR87" s="69"/>
    </row>
    <row r="88" spans="1:172" ht="15" hidden="1" customHeight="1" x14ac:dyDescent="0.25">
      <c r="A88" s="298"/>
      <c r="B88" s="299"/>
      <c r="C88" s="303"/>
      <c r="D88" s="304"/>
      <c r="E88" s="304"/>
      <c r="F88" s="304"/>
      <c r="G88" s="305"/>
      <c r="H88" s="308"/>
      <c r="I88" s="309"/>
      <c r="J88" s="309"/>
      <c r="K88" s="310"/>
      <c r="L88" s="47"/>
      <c r="M88" s="47"/>
      <c r="N88" s="69"/>
      <c r="O88" s="69"/>
      <c r="P88" s="47"/>
      <c r="Q88" s="47"/>
      <c r="R88" s="47"/>
      <c r="S88" s="69"/>
      <c r="T88" s="69"/>
      <c r="U88" s="47"/>
      <c r="V88" s="47"/>
      <c r="W88" s="47"/>
      <c r="X88" s="69"/>
      <c r="Y88" s="69"/>
      <c r="Z88" s="47"/>
      <c r="AA88" s="47"/>
      <c r="AB88" s="47"/>
      <c r="AC88" s="69"/>
      <c r="AD88" s="69"/>
      <c r="AE88" s="47"/>
      <c r="AF88" s="47"/>
      <c r="AG88" s="47"/>
      <c r="AH88" s="69"/>
      <c r="AI88" s="69"/>
      <c r="AJ88" s="47"/>
      <c r="AK88" s="47"/>
      <c r="AL88" s="47"/>
      <c r="AM88" s="69"/>
      <c r="AN88" s="69"/>
      <c r="AO88" s="47"/>
      <c r="AP88" s="47"/>
      <c r="AQ88" s="47"/>
      <c r="AR88" s="69"/>
      <c r="AS88" s="69"/>
      <c r="AT88" s="47"/>
      <c r="AU88" s="47"/>
      <c r="AV88" s="47"/>
      <c r="AW88" s="69"/>
      <c r="AX88" s="69"/>
      <c r="AY88" s="47"/>
      <c r="AZ88" s="47"/>
      <c r="BA88" s="47"/>
      <c r="BB88" s="69"/>
      <c r="BC88" s="69"/>
      <c r="BD88" s="47"/>
      <c r="BE88" s="47"/>
      <c r="BF88" s="47"/>
      <c r="BG88" s="69"/>
      <c r="BH88" s="69"/>
      <c r="BI88" s="47"/>
      <c r="BJ88" s="47"/>
      <c r="BK88" s="47"/>
      <c r="BL88" s="69"/>
      <c r="BM88" s="69"/>
      <c r="BN88" s="47"/>
      <c r="BO88" s="47"/>
      <c r="BP88" s="47"/>
      <c r="BQ88" s="69"/>
      <c r="BR88" s="69"/>
    </row>
    <row r="89" spans="1:172" ht="98.25" customHeight="1" x14ac:dyDescent="0.25">
      <c r="A89" s="70"/>
      <c r="B89" s="37"/>
      <c r="C89" s="38"/>
      <c r="D89" s="39"/>
      <c r="E89" s="40"/>
      <c r="F89" s="41"/>
      <c r="G89" s="37"/>
      <c r="H89" s="38"/>
      <c r="I89" s="39"/>
      <c r="J89" s="40"/>
      <c r="K89" s="41"/>
      <c r="L89" s="37"/>
      <c r="M89" s="38"/>
      <c r="N89" s="39"/>
      <c r="O89" s="40"/>
      <c r="P89" s="41"/>
      <c r="Q89" s="37"/>
      <c r="R89" s="38"/>
      <c r="S89" s="39"/>
      <c r="T89" s="40"/>
      <c r="U89" s="41"/>
      <c r="V89" s="37"/>
      <c r="W89" s="38"/>
      <c r="X89" s="39"/>
      <c r="Y89" s="697"/>
      <c r="Z89" s="697"/>
      <c r="AA89" s="697"/>
      <c r="AB89" s="697"/>
      <c r="AC89" s="697"/>
      <c r="AD89" s="697"/>
      <c r="AE89" s="697"/>
      <c r="AF89" s="697"/>
      <c r="AG89" s="697"/>
      <c r="AH89" s="697"/>
      <c r="AI89" s="697"/>
      <c r="AJ89" s="697"/>
      <c r="AK89" s="697"/>
      <c r="AL89" s="697"/>
      <c r="AM89" s="697"/>
      <c r="AN89" s="697"/>
      <c r="AO89" s="697"/>
      <c r="AP89" s="697"/>
      <c r="AQ89" s="697"/>
      <c r="AR89" s="697"/>
      <c r="AS89" s="697"/>
      <c r="AT89" s="697"/>
      <c r="AU89" s="697"/>
      <c r="AV89" s="698"/>
      <c r="AW89" s="698"/>
      <c r="AX89" s="698"/>
      <c r="AY89" s="698"/>
      <c r="AZ89" s="698"/>
      <c r="BA89" s="698"/>
      <c r="BB89" s="698"/>
      <c r="BC89" s="698"/>
      <c r="BD89" s="698"/>
      <c r="BE89" s="698"/>
      <c r="BF89" s="698"/>
      <c r="BG89" s="698"/>
      <c r="BH89" s="699"/>
      <c r="BI89" s="699"/>
      <c r="BJ89" s="699"/>
      <c r="BK89" s="699"/>
      <c r="BL89" s="699"/>
      <c r="BM89" s="1802"/>
      <c r="BN89" s="1802"/>
      <c r="BO89" s="1802"/>
      <c r="BP89" s="701"/>
      <c r="BQ89" s="701"/>
      <c r="BR89" s="701"/>
      <c r="BS89" s="701"/>
    </row>
    <row r="90" spans="1:172" ht="30" customHeight="1" x14ac:dyDescent="0.25">
      <c r="A90" s="70"/>
      <c r="B90" s="674"/>
      <c r="C90" s="674"/>
      <c r="D90" s="674"/>
      <c r="E90" s="675"/>
      <c r="F90" s="675"/>
      <c r="G90" s="44"/>
      <c r="H90" s="702" cm="1">
        <f t="array" aca="1" ref="H90" ca="1">SUM(COUNTIF(INDIRECT({"B7","G7","L7","Q7","V7","AA7","AF7","AK7","AP7","AU7","AZ7","BE7","BJ7","BO7","B14","G14","L14","Q14","V14","AA14","AF14","AK14","AP14","AU14","AZ14","BE14","BJ14","BO14","B21","G21","L21","Q21","V21","AA21","AF21","AK21","AP21","AU21","AZ21","BE21","BJ21","BO21","B28","G28","L28","Q28","V28","AA28","AF28","AK28","AP28","AU28","AZ28","BE28","BJ28","BO28","B35","G35","L35","Q35","V35","AA35","AF35","AK35","AP35","AU35","AZ35","BE35","BJ35","BO35","B42","G42","L42","Q42","V42","AA42","AF42","AK42","AP42","AU42","AZ42","BE42","BJ42","BO42","B49","G49","L49","Q49","V49","AA49","AF49","AK49","AP49","AU49","AZ49","BE49","BJ49","BO49","B56","G56","L56","Q56","V56","AA56","AF56","AK56","AP56","AU56","AZ56","BE56","BJ56","BO56","B76","G76","L76","Q76","V76","AA76","AF76","AK76","AP76","AU76","AZ76","BE76","BJ76","BO76","B83","G83","L83","Q83","V83"}),"&gt;0"))</f>
        <v>104</v>
      </c>
      <c r="I90" s="702"/>
      <c r="J90" s="702"/>
      <c r="K90" s="702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697"/>
      <c r="Z90" s="697"/>
      <c r="AA90" s="697"/>
      <c r="AB90" s="697"/>
      <c r="AC90" s="697"/>
      <c r="AD90" s="697"/>
      <c r="AE90" s="697"/>
      <c r="AF90" s="697"/>
      <c r="AG90" s="697"/>
      <c r="AH90" s="697"/>
      <c r="AI90" s="697"/>
      <c r="AJ90" s="697"/>
      <c r="AK90" s="697"/>
      <c r="AL90" s="697"/>
      <c r="AM90" s="697"/>
      <c r="AN90" s="697"/>
      <c r="AO90" s="697"/>
      <c r="AP90" s="697"/>
      <c r="AQ90" s="697"/>
      <c r="AR90" s="697"/>
      <c r="AS90" s="697"/>
      <c r="AT90" s="697"/>
      <c r="AU90" s="697"/>
      <c r="AV90" s="698"/>
      <c r="AW90" s="698"/>
      <c r="AX90" s="698"/>
      <c r="AY90" s="698"/>
      <c r="AZ90" s="698"/>
      <c r="BA90" s="698"/>
      <c r="BB90" s="698"/>
      <c r="BC90" s="698"/>
      <c r="BD90" s="698"/>
      <c r="BE90" s="698"/>
      <c r="BF90" s="698"/>
      <c r="BG90" s="698"/>
      <c r="BH90" s="699"/>
      <c r="BI90" s="699"/>
      <c r="BJ90" s="699"/>
      <c r="BK90" s="699"/>
      <c r="BL90" s="699"/>
      <c r="BM90" s="1802"/>
      <c r="BN90" s="1802"/>
      <c r="BO90" s="1802"/>
      <c r="BP90" s="701"/>
      <c r="BQ90" s="701"/>
      <c r="BR90" s="701"/>
      <c r="BS90" s="701"/>
    </row>
    <row r="91" spans="1:172" ht="15.75" customHeight="1" x14ac:dyDescent="0.25">
      <c r="A91" s="44"/>
      <c r="B91" s="676"/>
      <c r="C91" s="676"/>
      <c r="D91" s="676"/>
      <c r="E91" s="29"/>
      <c r="F91" s="29"/>
      <c r="G91" s="47"/>
      <c r="H91" s="702"/>
      <c r="I91" s="702"/>
      <c r="J91" s="702"/>
      <c r="K91" s="702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697"/>
      <c r="Z91" s="697"/>
      <c r="AA91" s="697"/>
      <c r="AB91" s="697"/>
      <c r="AC91" s="697"/>
      <c r="AD91" s="697"/>
      <c r="AE91" s="697"/>
      <c r="AF91" s="697"/>
      <c r="AG91" s="697"/>
      <c r="AH91" s="697"/>
      <c r="AI91" s="697"/>
      <c r="AJ91" s="697"/>
      <c r="AK91" s="697"/>
      <c r="AL91" s="697"/>
      <c r="AM91" s="697"/>
      <c r="AN91" s="697"/>
      <c r="AO91" s="697"/>
      <c r="AP91" s="697"/>
      <c r="AQ91" s="697"/>
      <c r="AR91" s="697"/>
      <c r="AS91" s="697"/>
      <c r="AT91" s="697"/>
      <c r="AU91" s="697"/>
      <c r="AV91" s="698"/>
      <c r="AW91" s="698"/>
      <c r="AX91" s="698"/>
      <c r="AY91" s="698"/>
      <c r="AZ91" s="698"/>
      <c r="BA91" s="698"/>
      <c r="BB91" s="698"/>
      <c r="BC91" s="698"/>
      <c r="BD91" s="698"/>
      <c r="BE91" s="698"/>
      <c r="BF91" s="698"/>
      <c r="BG91" s="698"/>
      <c r="BH91" s="699"/>
      <c r="BI91" s="699"/>
      <c r="BJ91" s="699"/>
      <c r="BK91" s="699"/>
      <c r="BL91" s="699"/>
      <c r="BM91" s="1802"/>
      <c r="BN91" s="1802"/>
      <c r="BO91" s="1802"/>
      <c r="BP91" s="701"/>
      <c r="BQ91" s="701"/>
      <c r="BR91" s="701"/>
      <c r="BS91" s="701"/>
    </row>
    <row r="92" spans="1:172" ht="15.75" customHeight="1" x14ac:dyDescent="0.25">
      <c r="A92" s="47"/>
      <c r="B92" s="676"/>
      <c r="C92" s="676"/>
      <c r="D92" s="676"/>
      <c r="E92" s="29"/>
      <c r="F92" s="29"/>
      <c r="G92" s="47"/>
      <c r="H92" s="702"/>
      <c r="I92" s="702"/>
      <c r="J92" s="702"/>
      <c r="K92" s="702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697"/>
      <c r="Z92" s="697"/>
      <c r="AA92" s="697"/>
      <c r="AB92" s="697"/>
      <c r="AC92" s="697"/>
      <c r="AD92" s="697"/>
      <c r="AE92" s="697"/>
      <c r="AF92" s="697"/>
      <c r="AG92" s="697"/>
      <c r="AH92" s="697"/>
      <c r="AI92" s="697"/>
      <c r="AJ92" s="697"/>
      <c r="AK92" s="697"/>
      <c r="AL92" s="697"/>
      <c r="AM92" s="697"/>
      <c r="AN92" s="697"/>
      <c r="AO92" s="697"/>
      <c r="AP92" s="697"/>
      <c r="AQ92" s="697"/>
      <c r="AR92" s="697"/>
      <c r="AS92" s="697"/>
      <c r="AT92" s="697"/>
      <c r="AU92" s="697"/>
      <c r="AV92" s="698"/>
      <c r="AW92" s="698"/>
      <c r="AX92" s="698"/>
      <c r="AY92" s="698"/>
      <c r="AZ92" s="698"/>
      <c r="BA92" s="698"/>
      <c r="BB92" s="698"/>
      <c r="BC92" s="698"/>
      <c r="BD92" s="698"/>
      <c r="BE92" s="698"/>
      <c r="BF92" s="698"/>
      <c r="BG92" s="698"/>
      <c r="BH92" s="699"/>
      <c r="BI92" s="699"/>
      <c r="BJ92" s="699"/>
      <c r="BK92" s="699"/>
      <c r="BL92" s="699"/>
      <c r="BM92" s="1802"/>
      <c r="BN92" s="1802"/>
      <c r="BO92" s="1802"/>
      <c r="BP92" s="701"/>
      <c r="BQ92" s="701"/>
      <c r="BR92" s="701"/>
      <c r="BS92" s="701"/>
    </row>
    <row r="93" spans="1:172" ht="12" customHeight="1" x14ac:dyDescent="0.25">
      <c r="A93" s="47"/>
      <c r="B93" s="676"/>
      <c r="C93" s="676"/>
      <c r="D93" s="676"/>
      <c r="E93" s="675"/>
      <c r="F93" s="675"/>
      <c r="G93" s="47"/>
      <c r="H93" s="3424">
        <v>131</v>
      </c>
      <c r="I93" s="3424"/>
      <c r="J93" s="3424"/>
      <c r="K93" s="3424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697"/>
      <c r="Z93" s="697"/>
      <c r="AA93" s="697"/>
      <c r="AB93" s="697"/>
      <c r="AC93" s="697"/>
      <c r="AD93" s="697"/>
      <c r="AE93" s="697"/>
      <c r="AF93" s="697"/>
      <c r="AG93" s="697"/>
      <c r="AH93" s="697"/>
      <c r="AI93" s="697"/>
      <c r="AJ93" s="697"/>
      <c r="AK93" s="697"/>
      <c r="AL93" s="697"/>
      <c r="AM93" s="697"/>
      <c r="AN93" s="697"/>
      <c r="AO93" s="697"/>
      <c r="AP93" s="697"/>
      <c r="AQ93" s="697"/>
      <c r="AR93" s="697"/>
      <c r="AS93" s="697"/>
      <c r="AT93" s="697"/>
      <c r="AU93" s="697"/>
      <c r="AV93" s="698"/>
      <c r="AW93" s="698"/>
      <c r="AX93" s="698"/>
      <c r="AY93" s="698"/>
      <c r="AZ93" s="698"/>
      <c r="BA93" s="698"/>
      <c r="BB93" s="698"/>
      <c r="BC93" s="698"/>
      <c r="BD93" s="698"/>
      <c r="BE93" s="698"/>
      <c r="BF93" s="698"/>
      <c r="BG93" s="698"/>
      <c r="BH93" s="699"/>
      <c r="BI93" s="699"/>
      <c r="BJ93" s="699"/>
      <c r="BK93" s="699"/>
      <c r="BL93" s="699"/>
      <c r="BM93" s="1802"/>
      <c r="BN93" s="1802"/>
      <c r="BO93" s="1802"/>
      <c r="BP93" s="701"/>
      <c r="BQ93" s="701"/>
      <c r="BR93" s="701"/>
      <c r="BS93" s="701"/>
    </row>
    <row r="94" spans="1:172" ht="15" hidden="1" customHeight="1" x14ac:dyDescent="0.25">
      <c r="A94" s="47"/>
      <c r="C94" s="17"/>
      <c r="H94" s="3424"/>
      <c r="I94" s="3424"/>
      <c r="J94" s="3424"/>
      <c r="K94" s="3424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705"/>
      <c r="Z94" s="705"/>
      <c r="AA94" s="705"/>
      <c r="AB94" s="705"/>
      <c r="AC94" s="705"/>
      <c r="AD94" s="705"/>
      <c r="AE94" s="705"/>
      <c r="AF94" s="705"/>
      <c r="AG94" s="705"/>
      <c r="AH94" s="705"/>
      <c r="AI94" s="705"/>
      <c r="AJ94" s="705"/>
      <c r="AK94" s="706"/>
      <c r="AL94" s="706"/>
      <c r="AM94" s="706"/>
      <c r="AN94" s="706"/>
      <c r="AO94" s="706"/>
      <c r="AP94" s="706"/>
      <c r="AQ94" s="706"/>
      <c r="AR94" s="706"/>
      <c r="AS94" s="706"/>
      <c r="AT94" s="706"/>
      <c r="AU94" s="706"/>
      <c r="AV94" s="707"/>
      <c r="AW94" s="707"/>
      <c r="AX94" s="707"/>
      <c r="AY94" s="707"/>
      <c r="AZ94" s="707"/>
      <c r="BA94" s="707"/>
      <c r="BB94" s="707"/>
      <c r="BC94" s="707"/>
      <c r="BD94" s="707"/>
      <c r="BE94" s="707"/>
      <c r="BF94" s="707"/>
      <c r="BG94" s="707"/>
      <c r="BH94" s="699"/>
      <c r="BI94" s="699"/>
      <c r="BJ94" s="699"/>
      <c r="BK94" s="699"/>
      <c r="BL94" s="699"/>
      <c r="BM94" s="708"/>
      <c r="BN94" s="708"/>
      <c r="BO94" s="708"/>
      <c r="BP94" s="708"/>
      <c r="BQ94" s="708"/>
      <c r="BR94" s="708"/>
      <c r="BS94" s="708"/>
    </row>
    <row r="95" spans="1:172" ht="58.5" customHeight="1" x14ac:dyDescent="0.25">
      <c r="A95" s="70"/>
      <c r="H95" s="3424"/>
      <c r="I95" s="3424"/>
      <c r="J95" s="3424"/>
      <c r="K95" s="3424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705"/>
      <c r="Z95" s="705"/>
      <c r="AA95" s="705"/>
      <c r="AB95" s="705"/>
      <c r="AC95" s="705"/>
      <c r="AD95" s="705"/>
      <c r="AE95" s="705"/>
      <c r="AF95" s="705"/>
      <c r="AG95" s="705"/>
      <c r="AH95" s="705"/>
      <c r="AI95" s="705"/>
      <c r="AJ95" s="705"/>
      <c r="AK95" s="706"/>
      <c r="AL95" s="706"/>
      <c r="AM95" s="706"/>
      <c r="AN95" s="706"/>
      <c r="AO95" s="706"/>
      <c r="AP95" s="706"/>
      <c r="AQ95" s="706"/>
      <c r="AR95" s="706"/>
      <c r="AS95" s="706"/>
      <c r="AT95" s="706"/>
      <c r="AU95" s="706"/>
      <c r="AV95" s="707"/>
      <c r="AW95" s="707"/>
      <c r="AX95" s="707"/>
      <c r="AY95" s="707"/>
      <c r="AZ95" s="707"/>
      <c r="BA95" s="707"/>
      <c r="BB95" s="707"/>
      <c r="BC95" s="707"/>
      <c r="BD95" s="707"/>
      <c r="BE95" s="707"/>
      <c r="BF95" s="707"/>
      <c r="BG95" s="707"/>
      <c r="BH95" s="699"/>
      <c r="BI95" s="699"/>
      <c r="BJ95" s="699"/>
      <c r="BK95" s="699"/>
      <c r="BL95" s="699"/>
      <c r="BM95" s="708"/>
      <c r="BN95" s="708"/>
      <c r="BO95" s="708"/>
      <c r="BP95" s="708"/>
      <c r="BQ95" s="708"/>
      <c r="BR95" s="708"/>
      <c r="BS95" s="708"/>
    </row>
    <row r="96" spans="1:172" ht="58.5" x14ac:dyDescent="0.25">
      <c r="A96" s="70"/>
      <c r="H96" s="709"/>
      <c r="I96" s="709"/>
      <c r="J96" s="709"/>
      <c r="K96" s="52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705"/>
      <c r="Z96" s="705"/>
      <c r="AA96" s="705"/>
      <c r="AB96" s="705"/>
      <c r="AC96" s="705"/>
      <c r="AD96" s="705"/>
      <c r="AE96" s="705"/>
      <c r="AF96" s="705"/>
      <c r="AG96" s="705"/>
      <c r="AH96" s="705"/>
      <c r="AI96" s="705"/>
      <c r="AJ96" s="705"/>
      <c r="AK96" s="706"/>
      <c r="AL96" s="706"/>
      <c r="AM96" s="706"/>
      <c r="AN96" s="706"/>
      <c r="AO96" s="706"/>
      <c r="AP96" s="706"/>
      <c r="AQ96" s="706"/>
      <c r="AR96" s="706"/>
      <c r="AS96" s="706"/>
      <c r="AT96" s="706"/>
      <c r="AU96" s="706"/>
      <c r="AV96" s="707"/>
      <c r="AW96" s="707"/>
      <c r="AX96" s="707"/>
      <c r="AY96" s="707"/>
      <c r="AZ96" s="707"/>
      <c r="BA96" s="707"/>
      <c r="BB96" s="707"/>
      <c r="BC96" s="707"/>
      <c r="BD96" s="707"/>
      <c r="BE96" s="707"/>
      <c r="BF96" s="707"/>
      <c r="BG96" s="707"/>
      <c r="BH96" s="699"/>
      <c r="BI96" s="699"/>
      <c r="BJ96" s="699"/>
      <c r="BK96" s="699"/>
      <c r="BL96" s="699"/>
      <c r="BM96" s="708"/>
      <c r="BN96" s="708"/>
      <c r="BO96" s="708"/>
      <c r="BP96" s="708"/>
      <c r="BQ96" s="708"/>
      <c r="BR96" s="708"/>
      <c r="BS96" s="708"/>
    </row>
    <row r="97" spans="1:71" ht="15" customHeight="1" x14ac:dyDescent="0.25">
      <c r="A97" s="44"/>
      <c r="H97" s="709"/>
      <c r="I97" s="709"/>
      <c r="J97" s="709"/>
      <c r="K97" s="52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705"/>
      <c r="Z97" s="705"/>
      <c r="AA97" s="705"/>
      <c r="AB97" s="705"/>
      <c r="AC97" s="705"/>
      <c r="AD97" s="705"/>
      <c r="AE97" s="705"/>
      <c r="AF97" s="705"/>
      <c r="AG97" s="705"/>
      <c r="AH97" s="705"/>
      <c r="AI97" s="705"/>
      <c r="AJ97" s="705"/>
      <c r="AK97" s="706"/>
      <c r="AL97" s="706"/>
      <c r="AM97" s="706"/>
      <c r="AN97" s="706"/>
      <c r="AO97" s="706"/>
      <c r="AP97" s="706"/>
      <c r="AQ97" s="706"/>
      <c r="AR97" s="706"/>
      <c r="AS97" s="706"/>
      <c r="AT97" s="706"/>
      <c r="AU97" s="706"/>
      <c r="AV97" s="707"/>
      <c r="AW97" s="707"/>
      <c r="AX97" s="707"/>
      <c r="AY97" s="707"/>
      <c r="AZ97" s="707"/>
      <c r="BA97" s="707"/>
      <c r="BB97" s="707"/>
      <c r="BC97" s="707"/>
      <c r="BD97" s="707"/>
      <c r="BE97" s="707"/>
      <c r="BF97" s="707"/>
      <c r="BG97" s="707"/>
      <c r="BH97" s="699"/>
      <c r="BI97" s="699"/>
      <c r="BJ97" s="699"/>
      <c r="BK97" s="699"/>
      <c r="BL97" s="699"/>
      <c r="BM97" s="708"/>
      <c r="BN97" s="708"/>
      <c r="BO97" s="708"/>
      <c r="BP97" s="708"/>
      <c r="BQ97" s="708"/>
      <c r="BR97" s="708"/>
      <c r="BS97" s="708"/>
    </row>
    <row r="98" spans="1:71" ht="15" customHeight="1" x14ac:dyDescent="0.25">
      <c r="A98" s="47"/>
      <c r="H98" s="709"/>
      <c r="I98" s="709"/>
      <c r="J98" s="709"/>
      <c r="K98" s="52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705"/>
      <c r="Z98" s="705"/>
      <c r="AA98" s="705"/>
      <c r="AB98" s="705"/>
      <c r="AC98" s="705"/>
      <c r="AD98" s="705"/>
      <c r="AE98" s="705"/>
      <c r="AF98" s="705"/>
      <c r="AG98" s="705"/>
      <c r="AH98" s="705"/>
      <c r="AI98" s="705"/>
      <c r="AJ98" s="705"/>
      <c r="AK98" s="706"/>
      <c r="AL98" s="706"/>
      <c r="AM98" s="706"/>
      <c r="AN98" s="706"/>
      <c r="AO98" s="706"/>
      <c r="AP98" s="706"/>
      <c r="AQ98" s="706"/>
      <c r="AR98" s="706"/>
      <c r="AS98" s="706"/>
      <c r="AT98" s="706"/>
      <c r="AU98" s="706"/>
      <c r="AV98" s="707"/>
      <c r="AW98" s="707"/>
      <c r="AX98" s="707"/>
      <c r="AY98" s="707"/>
      <c r="AZ98" s="707"/>
      <c r="BA98" s="707"/>
      <c r="BB98" s="707"/>
      <c r="BC98" s="707"/>
      <c r="BD98" s="707"/>
      <c r="BE98" s="707"/>
      <c r="BF98" s="707"/>
      <c r="BG98" s="707"/>
      <c r="BH98" s="699"/>
      <c r="BI98" s="699"/>
      <c r="BJ98" s="699"/>
      <c r="BK98" s="699"/>
      <c r="BL98" s="699"/>
      <c r="BM98" s="699"/>
      <c r="BN98" s="699"/>
      <c r="BO98" s="699"/>
      <c r="BP98" s="699"/>
      <c r="BQ98" s="699"/>
      <c r="BR98" s="699"/>
      <c r="BS98" s="699"/>
    </row>
    <row r="99" spans="1:71" ht="6" customHeight="1" x14ac:dyDescent="0.25">
      <c r="A99" s="47"/>
      <c r="H99" s="709"/>
      <c r="I99" s="709"/>
      <c r="J99" s="709"/>
      <c r="K99" s="52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705"/>
      <c r="Z99" s="705"/>
      <c r="AA99" s="705"/>
      <c r="AB99" s="705"/>
      <c r="AC99" s="705"/>
      <c r="AD99" s="705"/>
      <c r="AE99" s="705"/>
      <c r="AF99" s="705"/>
      <c r="AG99" s="705"/>
      <c r="AH99" s="705"/>
      <c r="AI99" s="705"/>
      <c r="AJ99" s="705"/>
      <c r="AK99" s="706"/>
      <c r="AL99" s="706"/>
      <c r="AM99" s="706"/>
      <c r="AN99" s="706"/>
      <c r="AO99" s="706"/>
      <c r="AP99" s="706"/>
      <c r="AQ99" s="706"/>
      <c r="AR99" s="706"/>
      <c r="AS99" s="706"/>
      <c r="AT99" s="706"/>
      <c r="AU99" s="706"/>
      <c r="AV99" s="707"/>
      <c r="AW99" s="707"/>
      <c r="AX99" s="707"/>
      <c r="AY99" s="707"/>
      <c r="AZ99" s="707"/>
      <c r="BA99" s="707"/>
      <c r="BB99" s="707"/>
      <c r="BC99" s="707"/>
      <c r="BD99" s="707"/>
      <c r="BE99" s="707"/>
      <c r="BF99" s="707"/>
      <c r="BG99" s="707"/>
      <c r="BH99" s="699"/>
      <c r="BI99" s="699"/>
      <c r="BJ99" s="699"/>
      <c r="BK99" s="699"/>
      <c r="BL99" s="699"/>
      <c r="BM99" s="699"/>
      <c r="BN99" s="699"/>
      <c r="BO99" s="699"/>
      <c r="BP99" s="699"/>
      <c r="BQ99" s="699"/>
      <c r="BR99" s="699"/>
      <c r="BS99" s="699"/>
    </row>
    <row r="100" spans="1:71" ht="15" hidden="1" customHeight="1" x14ac:dyDescent="0.25">
      <c r="A100" s="47"/>
      <c r="B100" s="47"/>
      <c r="C100" s="47"/>
      <c r="D100" s="69"/>
      <c r="E100" s="69"/>
      <c r="F100" s="47"/>
      <c r="G100" s="47"/>
      <c r="H100" s="47"/>
      <c r="I100" s="69"/>
      <c r="J100" s="69"/>
      <c r="K100" s="47"/>
      <c r="L100" s="47"/>
      <c r="M100" s="47"/>
      <c r="N100" s="69"/>
      <c r="O100" s="69"/>
      <c r="P100" s="47"/>
      <c r="Q100" s="47"/>
      <c r="R100" s="47"/>
      <c r="S100" s="69"/>
      <c r="T100" s="69"/>
      <c r="U100" s="47"/>
      <c r="V100" s="47"/>
      <c r="W100" s="47"/>
      <c r="X100" s="69"/>
      <c r="Y100" s="69"/>
      <c r="Z100" s="47"/>
      <c r="AA100" s="47"/>
      <c r="AB100" s="47"/>
      <c r="AC100" s="69"/>
      <c r="AD100" s="69"/>
      <c r="AE100" s="47"/>
      <c r="AF100" s="47"/>
      <c r="AG100" s="47"/>
      <c r="AH100" s="69"/>
      <c r="AI100" s="69"/>
      <c r="AJ100" s="47"/>
      <c r="AK100" s="47"/>
      <c r="AL100" s="47"/>
      <c r="AM100" s="69"/>
      <c r="AN100" s="69"/>
      <c r="AO100" s="47"/>
      <c r="AP100" s="47"/>
      <c r="AQ100" s="47"/>
      <c r="AR100" s="69"/>
      <c r="AS100" s="69"/>
      <c r="AT100" s="47"/>
      <c r="AU100" s="47"/>
      <c r="AV100" s="47"/>
      <c r="AW100" s="69"/>
      <c r="AX100" s="69"/>
      <c r="AY100" s="47"/>
      <c r="AZ100" s="47"/>
      <c r="BA100" s="47"/>
      <c r="BB100" s="69"/>
      <c r="BC100" s="69"/>
      <c r="BD100" s="47"/>
      <c r="BE100" s="47"/>
      <c r="BF100" s="47"/>
      <c r="BG100" s="69"/>
      <c r="BH100" s="69"/>
      <c r="BI100" s="47"/>
      <c r="BJ100" s="47"/>
      <c r="BK100" s="47"/>
      <c r="BL100" s="69"/>
      <c r="BM100" s="699"/>
      <c r="BN100" s="699"/>
      <c r="BO100" s="699"/>
      <c r="BP100" s="699"/>
      <c r="BQ100" s="699"/>
      <c r="BR100" s="699"/>
      <c r="BS100" s="699"/>
    </row>
    <row r="101" spans="1:71" ht="22.5" customHeight="1" x14ac:dyDescent="0.25">
      <c r="A101" s="70"/>
      <c r="B101" s="72" cm="1">
        <f t="array" aca="1" ref="B101" ca="1">SUM(COUNTIF(INDIRECT({"B8","G8","L8","Q8","V8","AA8","AF8","AK8","AP8","AU8","AZ8","BE8","BJ8","BO8","B15","G15","L15","Q15","V15","AA15","AF15","AK15","AP15","AU15","AZ15","BE15","BJ15","BO15","B22","G22","L22","Q22","V22","AA22","AF22","AK22","AP22","AU22","AZ22","BE22","BJ22","BO22","B29","G29","L29","Q29","V29","AA29","AF29","AK29","AP29","AU29","AZ29","BE29","BJ29","BO29","B36","G36","L36","Q36","V36","AA36","AF36","AK36","AP36","AU36","AZ36","BE36","BJ36","BO36","B43","G43","L43","Q43","V43","AA43","AF43","AK43","AP43","AU43","AZ43","BE43","BJ43","BO43","B50","G50","L50","Q50","V50","AA50","AF50","AK50","AP50","AU50","AZ50","BE50","BJ50","BO50","B57","G57","L57","Q57","V57","AA57","AF57","AK57","AP57","AU57","AZ57","BE57","BJ57","BO57","B77","G77","L77","Q77","V77","AA77","AF77","AK77","AP77","AU77","AZ77","BE77","BJ77","BO77","B84","G84","L84","Q84","V84"}),"&gt;0"))</f>
        <v>104</v>
      </c>
      <c r="C101" s="72"/>
      <c r="D101" s="72"/>
      <c r="E101" s="72"/>
      <c r="F101" s="70"/>
      <c r="G101" s="72"/>
      <c r="H101" s="72"/>
      <c r="I101" s="72"/>
      <c r="J101" s="72"/>
      <c r="K101" s="70"/>
      <c r="L101" s="72"/>
      <c r="M101" s="72"/>
      <c r="N101" s="72"/>
      <c r="O101" s="72"/>
      <c r="P101" s="70"/>
      <c r="Q101" s="72"/>
      <c r="R101" s="72"/>
      <c r="S101" s="72"/>
      <c r="T101" s="72"/>
      <c r="U101" s="70"/>
      <c r="V101" s="72"/>
      <c r="W101" s="72"/>
      <c r="X101" s="72"/>
      <c r="Y101" s="72"/>
      <c r="Z101" s="70"/>
      <c r="AA101" s="72"/>
      <c r="AB101" s="72"/>
      <c r="AC101" s="72"/>
      <c r="AD101" s="72"/>
      <c r="AE101" s="70"/>
      <c r="AF101" s="72"/>
      <c r="AG101" s="72"/>
      <c r="AH101" s="72"/>
      <c r="AI101" s="72"/>
      <c r="AJ101" s="70"/>
      <c r="AK101" s="72"/>
      <c r="AL101" s="72"/>
      <c r="AM101" s="72"/>
      <c r="AN101" s="72"/>
      <c r="AO101" s="70"/>
      <c r="AP101" s="72"/>
      <c r="AQ101" s="72"/>
      <c r="AR101" s="72"/>
      <c r="AS101" s="72"/>
      <c r="AT101" s="70"/>
      <c r="AU101" s="72"/>
      <c r="AV101" s="72"/>
      <c r="AW101" s="72"/>
      <c r="AX101" s="72"/>
      <c r="AY101" s="70"/>
      <c r="AZ101" s="72"/>
      <c r="BA101" s="72"/>
      <c r="BB101" s="72"/>
      <c r="BC101" s="72"/>
      <c r="BD101" s="70"/>
      <c r="BE101" s="72"/>
      <c r="BF101" s="72"/>
      <c r="BG101" s="72"/>
      <c r="BH101" s="72"/>
      <c r="BI101" s="70"/>
      <c r="BJ101" s="72"/>
      <c r="BK101" s="72"/>
      <c r="BL101" s="72"/>
      <c r="BM101" s="699"/>
      <c r="BN101" s="699"/>
      <c r="BO101" s="699"/>
      <c r="BP101" s="699"/>
      <c r="BQ101" s="699"/>
      <c r="BR101" s="699"/>
      <c r="BS101" s="699"/>
    </row>
    <row r="102" spans="1:71" ht="29.25" customHeight="1" x14ac:dyDescent="0.25">
      <c r="A102" s="70"/>
      <c r="B102" s="32"/>
      <c r="C102" s="33"/>
      <c r="D102" s="34"/>
      <c r="E102" s="35"/>
      <c r="F102" s="70"/>
      <c r="G102" s="32"/>
      <c r="H102" s="33"/>
      <c r="I102" s="34"/>
      <c r="J102" s="35"/>
      <c r="K102" s="70"/>
      <c r="L102" s="32"/>
      <c r="M102" s="33"/>
      <c r="N102" s="34"/>
      <c r="O102" s="35"/>
      <c r="P102" s="70"/>
      <c r="Q102" s="32"/>
      <c r="R102" s="33"/>
      <c r="S102" s="34"/>
      <c r="T102" s="35"/>
      <c r="U102" s="70"/>
      <c r="V102" s="32"/>
      <c r="W102" s="33"/>
      <c r="X102" s="34"/>
      <c r="Y102" s="35"/>
      <c r="Z102" s="70"/>
      <c r="AA102" s="32"/>
      <c r="AB102" s="33"/>
      <c r="AC102" s="34"/>
      <c r="AD102" s="35"/>
      <c r="AE102" s="70"/>
      <c r="AF102" s="32"/>
      <c r="AG102" s="33"/>
      <c r="AH102" s="34"/>
      <c r="AI102" s="35"/>
      <c r="AJ102" s="70"/>
      <c r="AK102" s="32"/>
      <c r="AL102" s="33"/>
      <c r="AM102" s="34"/>
      <c r="AN102" s="35"/>
      <c r="AO102" s="70"/>
      <c r="AP102" s="32"/>
      <c r="AQ102" s="33"/>
      <c r="AR102" s="34"/>
      <c r="AS102" s="35"/>
      <c r="AT102" s="70"/>
      <c r="AU102" s="32"/>
      <c r="AV102" s="33"/>
      <c r="AW102" s="34"/>
      <c r="AX102" s="35"/>
      <c r="AY102" s="70"/>
      <c r="AZ102" s="32"/>
      <c r="BA102" s="33"/>
      <c r="BB102" s="34"/>
      <c r="BC102" s="35"/>
      <c r="BD102" s="70"/>
      <c r="BE102" s="32"/>
      <c r="BF102" s="33"/>
      <c r="BG102" s="34"/>
      <c r="BH102" s="35"/>
      <c r="BI102" s="70"/>
      <c r="BJ102" s="32"/>
      <c r="BK102" s="33"/>
      <c r="BL102" s="34"/>
      <c r="BM102" s="35"/>
      <c r="BN102" s="70"/>
      <c r="BO102" s="32"/>
      <c r="BP102" s="33"/>
      <c r="BQ102" s="34"/>
      <c r="BR102" s="35"/>
    </row>
    <row r="103" spans="1:71" ht="15" customHeight="1" x14ac:dyDescent="0.25">
      <c r="A103" s="44"/>
      <c r="B103" s="44"/>
      <c r="C103" s="44"/>
      <c r="D103" s="69"/>
      <c r="E103" s="69"/>
      <c r="F103" s="44"/>
      <c r="G103" s="44"/>
      <c r="H103" s="44"/>
      <c r="I103" s="69"/>
      <c r="J103" s="69"/>
      <c r="K103" s="44"/>
      <c r="L103" s="44"/>
      <c r="M103" s="44"/>
      <c r="N103" s="69"/>
      <c r="O103" s="69"/>
      <c r="P103" s="44"/>
      <c r="Q103" s="44"/>
      <c r="R103" s="44"/>
      <c r="S103" s="69"/>
      <c r="T103" s="69"/>
      <c r="U103" s="44"/>
      <c r="V103" s="44"/>
      <c r="W103" s="44"/>
      <c r="X103" s="69"/>
      <c r="Y103" s="69"/>
      <c r="Z103" s="44"/>
      <c r="AA103" s="44"/>
      <c r="AB103" s="44"/>
      <c r="AC103" s="69"/>
      <c r="AD103" s="69"/>
      <c r="AE103" s="44"/>
      <c r="AF103" s="44"/>
      <c r="AG103" s="44"/>
      <c r="AH103" s="69"/>
      <c r="AI103" s="69"/>
      <c r="AJ103" s="44"/>
      <c r="AK103" s="44"/>
      <c r="AL103" s="44"/>
      <c r="AM103" s="69"/>
      <c r="AN103" s="69"/>
      <c r="AO103" s="44"/>
      <c r="AP103" s="44"/>
      <c r="AQ103" s="44"/>
      <c r="AR103" s="69"/>
      <c r="AS103" s="69"/>
      <c r="AT103" s="44"/>
      <c r="AU103" s="44"/>
      <c r="AV103" s="44"/>
      <c r="AW103" s="69"/>
      <c r="AX103" s="69"/>
      <c r="AY103" s="44"/>
      <c r="AZ103" s="44"/>
      <c r="BA103" s="44"/>
      <c r="BB103" s="69"/>
      <c r="BC103" s="69"/>
      <c r="BD103" s="44"/>
      <c r="BE103" s="44"/>
      <c r="BF103" s="44"/>
      <c r="BG103" s="69"/>
      <c r="BH103" s="69"/>
      <c r="BI103" s="44"/>
      <c r="BJ103" s="44"/>
      <c r="BK103" s="44"/>
      <c r="BL103" s="69"/>
      <c r="BM103" s="69"/>
      <c r="BN103" s="44"/>
      <c r="BO103" s="44"/>
      <c r="BP103" s="44"/>
      <c r="BQ103" s="69"/>
      <c r="BR103" s="69"/>
    </row>
    <row r="104" spans="1:71" ht="15" customHeight="1" x14ac:dyDescent="0.25">
      <c r="A104" s="47"/>
      <c r="B104" s="47"/>
      <c r="C104" s="47"/>
      <c r="D104" s="69"/>
      <c r="E104" s="69"/>
      <c r="F104" s="47"/>
      <c r="G104" s="47"/>
      <c r="H104" s="47"/>
      <c r="I104" s="69"/>
      <c r="J104" s="69"/>
      <c r="K104" s="47"/>
      <c r="L104" s="47"/>
      <c r="M104" s="47"/>
      <c r="N104" s="69"/>
      <c r="O104" s="69"/>
      <c r="P104" s="47"/>
      <c r="Q104" s="47"/>
      <c r="R104" s="47"/>
      <c r="S104" s="69"/>
      <c r="T104" s="69"/>
      <c r="U104" s="47"/>
      <c r="V104" s="47"/>
      <c r="W104" s="47"/>
      <c r="X104" s="69"/>
      <c r="Y104" s="69"/>
      <c r="Z104" s="47"/>
      <c r="AA104" s="47"/>
      <c r="AB104" s="47"/>
      <c r="AC104" s="69"/>
      <c r="AD104" s="69"/>
      <c r="AE104" s="47"/>
      <c r="AF104" s="47"/>
      <c r="AG104" s="47"/>
      <c r="AH104" s="69"/>
      <c r="AI104" s="69"/>
      <c r="AJ104" s="47"/>
      <c r="AK104" s="47"/>
      <c r="AL104" s="47"/>
      <c r="AM104" s="69"/>
      <c r="AN104" s="69"/>
      <c r="AO104" s="47"/>
      <c r="AP104" s="47"/>
      <c r="AQ104" s="47"/>
      <c r="AR104" s="69"/>
      <c r="AS104" s="69"/>
      <c r="AT104" s="47"/>
      <c r="AU104" s="47"/>
      <c r="AV104" s="47"/>
      <c r="AW104" s="69"/>
      <c r="AX104" s="69"/>
      <c r="AY104" s="47"/>
      <c r="AZ104" s="47"/>
      <c r="BA104" s="47"/>
      <c r="BB104" s="69"/>
      <c r="BC104" s="69"/>
      <c r="BD104" s="47"/>
      <c r="BE104" s="47"/>
      <c r="BF104" s="47"/>
      <c r="BG104" s="69"/>
      <c r="BH104" s="69"/>
      <c r="BI104" s="47"/>
      <c r="BJ104" s="47"/>
      <c r="BK104" s="47"/>
      <c r="BL104" s="69"/>
      <c r="BM104" s="69"/>
      <c r="BN104" s="47"/>
      <c r="BO104" s="47"/>
      <c r="BP104" s="47"/>
      <c r="BQ104" s="69"/>
      <c r="BR104" s="69"/>
    </row>
    <row r="105" spans="1:71" ht="3.75" customHeight="1" thickBot="1" x14ac:dyDescent="0.3">
      <c r="A105" s="47"/>
      <c r="B105" s="47"/>
      <c r="C105" s="47"/>
      <c r="D105" s="101"/>
      <c r="E105" s="69"/>
      <c r="F105" s="47"/>
      <c r="G105" s="47"/>
      <c r="H105" s="47"/>
      <c r="I105" s="101"/>
      <c r="J105" s="69"/>
      <c r="K105" s="47"/>
      <c r="L105" s="47"/>
      <c r="M105" s="47"/>
      <c r="N105" s="101"/>
      <c r="O105" s="69"/>
      <c r="P105" s="47"/>
      <c r="Q105" s="47"/>
      <c r="R105" s="47"/>
      <c r="S105" s="101"/>
      <c r="T105" s="69"/>
      <c r="U105" s="47"/>
      <c r="V105" s="47"/>
      <c r="W105" s="47"/>
      <c r="X105" s="101"/>
      <c r="Y105" s="69"/>
      <c r="Z105" s="47"/>
      <c r="AA105" s="47"/>
      <c r="AB105" s="47"/>
      <c r="AC105" s="101"/>
      <c r="AD105" s="104"/>
      <c r="AE105" s="103"/>
      <c r="AF105" s="103"/>
      <c r="AG105" s="103"/>
      <c r="AH105" s="103"/>
      <c r="AI105" s="103"/>
      <c r="AJ105" s="103"/>
      <c r="AK105" s="103"/>
      <c r="AL105" s="103"/>
      <c r="AM105" s="103"/>
      <c r="AN105" s="103"/>
      <c r="AO105" s="103"/>
      <c r="AP105" s="103"/>
      <c r="AQ105" s="103"/>
      <c r="AR105" s="103"/>
      <c r="AS105" s="103"/>
      <c r="AT105" s="103"/>
      <c r="AU105" s="103"/>
      <c r="AV105" s="103"/>
      <c r="AW105" s="103"/>
      <c r="AX105" s="103"/>
      <c r="AY105" s="103"/>
      <c r="AZ105" s="103"/>
      <c r="BA105" s="103"/>
      <c r="BB105" s="103"/>
      <c r="BC105" s="103"/>
      <c r="BD105" s="103"/>
      <c r="BE105" s="103"/>
      <c r="BF105" s="103"/>
      <c r="BG105" s="103"/>
      <c r="BH105" s="103"/>
      <c r="BI105" s="103"/>
      <c r="BJ105" s="103"/>
      <c r="BK105" s="103"/>
      <c r="BL105" s="102"/>
      <c r="BM105" s="69"/>
      <c r="BN105" s="47"/>
      <c r="BO105" s="47"/>
      <c r="BP105" s="47"/>
      <c r="BQ105" s="101"/>
      <c r="BR105" s="69"/>
    </row>
    <row r="106" spans="1:71" ht="15" hidden="1" customHeight="1" x14ac:dyDescent="0.25">
      <c r="A106" s="47"/>
      <c r="B106" s="47"/>
      <c r="C106" s="47"/>
      <c r="D106" s="69"/>
      <c r="E106" s="69"/>
      <c r="F106" s="47"/>
      <c r="G106" s="47"/>
      <c r="H106" s="47"/>
      <c r="I106" s="69"/>
      <c r="J106" s="69"/>
      <c r="K106" s="47"/>
      <c r="L106" s="47"/>
      <c r="M106" s="47"/>
      <c r="N106" s="69"/>
      <c r="O106" s="69"/>
      <c r="P106" s="47"/>
      <c r="Q106" s="47"/>
      <c r="R106" s="47"/>
      <c r="S106" s="69"/>
      <c r="T106" s="69"/>
      <c r="U106" s="47"/>
      <c r="V106" s="47"/>
      <c r="W106" s="47"/>
      <c r="X106" s="69"/>
      <c r="Y106" s="69"/>
      <c r="Z106" s="47"/>
      <c r="AA106" s="47"/>
      <c r="AB106" s="47"/>
      <c r="AC106" s="69"/>
      <c r="AD106" s="100"/>
      <c r="BL106" s="99"/>
      <c r="BM106" s="69"/>
      <c r="BN106" s="47"/>
      <c r="BO106" s="47"/>
      <c r="BP106" s="47"/>
      <c r="BQ106" s="69"/>
      <c r="BR106" s="69"/>
    </row>
    <row r="107" spans="1:71" ht="33.75" customHeight="1" thickTop="1" x14ac:dyDescent="0.25">
      <c r="A107" s="70"/>
      <c r="B107" s="72"/>
      <c r="C107" s="72"/>
      <c r="D107" s="72"/>
      <c r="E107" s="72"/>
      <c r="F107" s="70"/>
      <c r="G107" s="72"/>
      <c r="H107" s="72"/>
      <c r="I107" s="72"/>
      <c r="J107" s="72"/>
      <c r="K107" s="70"/>
      <c r="L107" s="72"/>
      <c r="M107" s="72"/>
      <c r="N107" s="72"/>
      <c r="O107" s="72"/>
      <c r="P107" s="70"/>
      <c r="Q107" s="72"/>
      <c r="R107" s="72"/>
      <c r="S107" s="72"/>
      <c r="T107" s="72"/>
      <c r="U107" s="70"/>
      <c r="V107" s="72"/>
      <c r="W107" s="72"/>
      <c r="X107" s="72"/>
      <c r="Y107" s="72"/>
      <c r="Z107" s="70"/>
      <c r="AA107" s="72"/>
      <c r="AB107" s="72"/>
      <c r="AC107" s="72"/>
      <c r="AD107" s="100"/>
      <c r="AF107" s="775">
        <v>242.57</v>
      </c>
      <c r="AG107" s="776"/>
      <c r="AH107" s="776"/>
      <c r="AI107" s="776"/>
      <c r="AJ107" s="777"/>
      <c r="AN107" s="727" t="s">
        <v>122</v>
      </c>
      <c r="AO107" s="727"/>
      <c r="AP107" s="727"/>
      <c r="AQ107" s="727" t="s">
        <v>123</v>
      </c>
      <c r="AR107" s="727"/>
      <c r="AS107" s="727"/>
      <c r="AT107" s="727" t="s">
        <v>124</v>
      </c>
      <c r="AU107" s="727"/>
      <c r="AV107" s="727" t="s">
        <v>125</v>
      </c>
      <c r="AW107" s="727"/>
      <c r="BA107" s="739" t="s">
        <v>126</v>
      </c>
      <c r="BB107" s="740"/>
      <c r="BC107" s="740"/>
      <c r="BD107" s="740"/>
      <c r="BE107" s="740"/>
      <c r="BF107" s="740"/>
      <c r="BG107" s="740"/>
      <c r="BH107" s="740"/>
      <c r="BI107" s="740"/>
      <c r="BJ107" s="741"/>
      <c r="BK107" s="13"/>
      <c r="BL107" s="99"/>
      <c r="BM107" s="72"/>
      <c r="BN107" s="70"/>
      <c r="BO107" s="72"/>
      <c r="BP107" s="72"/>
      <c r="BQ107" s="72"/>
      <c r="BR107" s="72"/>
    </row>
    <row r="108" spans="1:71" ht="31.5" customHeight="1" x14ac:dyDescent="0.25">
      <c r="A108" s="70"/>
      <c r="B108" s="32"/>
      <c r="C108" s="33"/>
      <c r="D108" s="34"/>
      <c r="E108" s="35"/>
      <c r="F108" s="70"/>
      <c r="G108" s="32"/>
      <c r="H108" s="33"/>
      <c r="I108" s="34"/>
      <c r="J108" s="35"/>
      <c r="K108" s="70"/>
      <c r="L108" s="32"/>
      <c r="M108" s="33"/>
      <c r="N108" s="34"/>
      <c r="O108" s="35"/>
      <c r="P108" s="70"/>
      <c r="Q108" s="32"/>
      <c r="R108" s="33"/>
      <c r="S108" s="34"/>
      <c r="T108" s="35"/>
      <c r="U108" s="70"/>
      <c r="V108" s="32"/>
      <c r="W108" s="33"/>
      <c r="X108" s="34"/>
      <c r="Y108" s="35"/>
      <c r="Z108" s="70"/>
      <c r="AA108" s="32"/>
      <c r="AB108" s="33"/>
      <c r="AC108" s="34"/>
      <c r="AD108" s="100"/>
      <c r="AF108" s="778"/>
      <c r="AG108" s="779"/>
      <c r="AH108" s="779"/>
      <c r="AI108" s="779"/>
      <c r="AJ108" s="780"/>
      <c r="AN108" s="727"/>
      <c r="AO108" s="727"/>
      <c r="AP108" s="727"/>
      <c r="AQ108" s="727"/>
      <c r="AR108" s="727"/>
      <c r="AS108" s="727"/>
      <c r="AT108" s="727"/>
      <c r="AU108" s="727"/>
      <c r="AV108" s="727"/>
      <c r="AW108" s="727"/>
      <c r="BA108" s="750"/>
      <c r="BB108" s="751"/>
      <c r="BC108" s="751"/>
      <c r="BD108" s="751"/>
      <c r="BE108" s="751"/>
      <c r="BF108" s="751"/>
      <c r="BG108" s="751"/>
      <c r="BH108" s="751"/>
      <c r="BI108" s="751"/>
      <c r="BJ108" s="752"/>
      <c r="BK108" s="13"/>
      <c r="BL108" s="99"/>
      <c r="BM108" s="35"/>
      <c r="BN108" s="70"/>
      <c r="BO108" s="32"/>
      <c r="BP108" s="33"/>
      <c r="BQ108" s="34"/>
      <c r="BR108" s="35"/>
    </row>
    <row r="109" spans="1:71" ht="15" customHeight="1" x14ac:dyDescent="0.25">
      <c r="A109" s="44"/>
      <c r="B109" s="44"/>
      <c r="C109" s="44"/>
      <c r="D109" s="69"/>
      <c r="E109" s="69"/>
      <c r="F109" s="44"/>
      <c r="G109" s="44"/>
      <c r="H109" s="44"/>
      <c r="I109" s="69"/>
      <c r="J109" s="69"/>
      <c r="K109" s="44"/>
      <c r="L109" s="44"/>
      <c r="M109" s="44"/>
      <c r="N109" s="69"/>
      <c r="O109" s="69"/>
      <c r="P109" s="44"/>
      <c r="Q109" s="44"/>
      <c r="R109" s="44"/>
      <c r="S109" s="69"/>
      <c r="T109" s="69"/>
      <c r="U109" s="44"/>
      <c r="V109" s="44"/>
      <c r="W109" s="44"/>
      <c r="X109" s="69"/>
      <c r="Y109" s="69"/>
      <c r="Z109" s="44"/>
      <c r="AA109" s="44"/>
      <c r="AB109" s="44"/>
      <c r="AC109" s="69"/>
      <c r="AD109" s="100"/>
      <c r="AF109" s="778"/>
      <c r="AG109" s="779"/>
      <c r="AH109" s="779"/>
      <c r="AI109" s="779"/>
      <c r="AJ109" s="780"/>
      <c r="AN109" s="727"/>
      <c r="AO109" s="727"/>
      <c r="AP109" s="727"/>
      <c r="AQ109" s="727"/>
      <c r="AR109" s="727"/>
      <c r="AS109" s="727"/>
      <c r="AT109" s="727"/>
      <c r="AU109" s="727"/>
      <c r="AV109" s="727"/>
      <c r="AW109" s="727"/>
      <c r="BA109" s="742"/>
      <c r="BB109" s="743"/>
      <c r="BC109" s="743"/>
      <c r="BD109" s="743"/>
      <c r="BE109" s="743"/>
      <c r="BF109" s="743"/>
      <c r="BG109" s="743"/>
      <c r="BH109" s="743"/>
      <c r="BI109" s="743"/>
      <c r="BJ109" s="744"/>
      <c r="BK109" s="13"/>
      <c r="BL109" s="99"/>
      <c r="BM109" s="69"/>
      <c r="BN109" s="44"/>
      <c r="BO109" s="44"/>
      <c r="BP109" s="44"/>
      <c r="BQ109" s="69"/>
      <c r="BR109" s="69"/>
    </row>
    <row r="110" spans="1:71" ht="33.75" customHeight="1" x14ac:dyDescent="0.25">
      <c r="A110" s="47"/>
      <c r="B110" s="47"/>
      <c r="C110" s="47"/>
      <c r="D110" s="69"/>
      <c r="E110" s="69"/>
      <c r="F110" s="47"/>
      <c r="G110" s="47"/>
      <c r="H110" s="47"/>
      <c r="I110" s="69"/>
      <c r="J110" s="69"/>
      <c r="K110" s="47"/>
      <c r="L110" s="47"/>
      <c r="M110" s="47"/>
      <c r="N110" s="69"/>
      <c r="O110" s="69"/>
      <c r="P110" s="47"/>
      <c r="Q110" s="47"/>
      <c r="R110" s="47"/>
      <c r="S110" s="69"/>
      <c r="T110" s="69"/>
      <c r="U110" s="47"/>
      <c r="V110" s="47"/>
      <c r="W110" s="47"/>
      <c r="X110" s="69"/>
      <c r="Y110" s="69"/>
      <c r="Z110" s="47"/>
      <c r="AA110" s="47"/>
      <c r="AB110" s="47"/>
      <c r="AC110" s="69"/>
      <c r="AD110" s="100"/>
      <c r="AF110" s="778"/>
      <c r="AG110" s="779"/>
      <c r="AH110" s="779"/>
      <c r="AI110" s="779"/>
      <c r="AJ110" s="780"/>
      <c r="AN110" s="774">
        <v>16068</v>
      </c>
      <c r="AO110" s="774"/>
      <c r="AP110" s="774"/>
      <c r="AQ110" s="774">
        <f ca="1">AV126</f>
        <v>16068</v>
      </c>
      <c r="AR110" s="774"/>
      <c r="AS110" s="774"/>
      <c r="AT110" s="726">
        <f>AR77</f>
        <v>242.56910232121106</v>
      </c>
      <c r="AU110" s="726"/>
      <c r="AV110" s="726">
        <f>AR77+BI77</f>
        <v>476.56910232121106</v>
      </c>
      <c r="AW110" s="726"/>
      <c r="BA110" s="727" t="s">
        <v>128</v>
      </c>
      <c r="BB110" s="727"/>
      <c r="BC110" s="727"/>
      <c r="BD110" s="727"/>
      <c r="BE110" s="727"/>
      <c r="BF110" s="727"/>
      <c r="BG110" s="727"/>
      <c r="BH110" s="727"/>
      <c r="BI110" s="727"/>
      <c r="BJ110" s="727"/>
      <c r="BK110" s="13"/>
      <c r="BL110" s="99"/>
      <c r="BM110" s="69"/>
      <c r="BN110" s="47"/>
      <c r="BO110" s="47"/>
      <c r="BP110" s="47"/>
      <c r="BQ110" s="69"/>
      <c r="BR110" s="69"/>
    </row>
    <row r="111" spans="1:71" ht="6.75" customHeight="1" x14ac:dyDescent="0.25">
      <c r="A111" s="47"/>
      <c r="B111" s="47"/>
      <c r="C111" s="47"/>
      <c r="D111" s="101"/>
      <c r="E111" s="69"/>
      <c r="F111" s="47"/>
      <c r="G111" s="47"/>
      <c r="H111" s="47"/>
      <c r="I111" s="101"/>
      <c r="J111" s="69"/>
      <c r="K111" s="47"/>
      <c r="L111" s="47"/>
      <c r="M111" s="47"/>
      <c r="N111" s="101"/>
      <c r="O111" s="69"/>
      <c r="P111" s="47"/>
      <c r="Q111" s="47"/>
      <c r="R111" s="47"/>
      <c r="S111" s="101"/>
      <c r="T111" s="69"/>
      <c r="U111" s="47"/>
      <c r="V111" s="47"/>
      <c r="W111" s="47"/>
      <c r="X111" s="101"/>
      <c r="Y111" s="69"/>
      <c r="Z111" s="47"/>
      <c r="AA111" s="47"/>
      <c r="AB111" s="47"/>
      <c r="AC111" s="101"/>
      <c r="AD111" s="100"/>
      <c r="AF111" s="778"/>
      <c r="AG111" s="779"/>
      <c r="AH111" s="779"/>
      <c r="AI111" s="779"/>
      <c r="AJ111" s="780"/>
      <c r="AN111" s="774"/>
      <c r="AO111" s="774"/>
      <c r="AP111" s="774"/>
      <c r="AQ111" s="774"/>
      <c r="AR111" s="774"/>
      <c r="AS111" s="774"/>
      <c r="AT111" s="726"/>
      <c r="AU111" s="726"/>
      <c r="AV111" s="726"/>
      <c r="AW111" s="726"/>
      <c r="BA111" s="727"/>
      <c r="BB111" s="727"/>
      <c r="BC111" s="727"/>
      <c r="BD111" s="727"/>
      <c r="BE111" s="727"/>
      <c r="BF111" s="727"/>
      <c r="BG111" s="727"/>
      <c r="BH111" s="727"/>
      <c r="BI111" s="727"/>
      <c r="BJ111" s="727"/>
      <c r="BK111" s="13"/>
      <c r="BL111" s="99"/>
      <c r="BM111" s="69"/>
      <c r="BN111" s="47"/>
      <c r="BO111" s="47"/>
      <c r="BP111" s="47"/>
      <c r="BQ111" s="101"/>
      <c r="BR111" s="69"/>
    </row>
    <row r="112" spans="1:71" ht="15" hidden="1" customHeight="1" x14ac:dyDescent="0.25">
      <c r="A112" s="47"/>
      <c r="B112" s="47"/>
      <c r="C112" s="47"/>
      <c r="D112" s="69"/>
      <c r="E112" s="69"/>
      <c r="F112" s="47"/>
      <c r="G112" s="47"/>
      <c r="H112" s="47"/>
      <c r="I112" s="69"/>
      <c r="J112" s="69"/>
      <c r="K112" s="47"/>
      <c r="L112" s="47"/>
      <c r="M112" s="47"/>
      <c r="N112" s="69"/>
      <c r="O112" s="69"/>
      <c r="P112" s="47"/>
      <c r="Q112" s="47"/>
      <c r="R112" s="47"/>
      <c r="S112" s="69"/>
      <c r="T112" s="69"/>
      <c r="U112" s="47"/>
      <c r="V112" s="47"/>
      <c r="W112" s="47"/>
      <c r="X112" s="69"/>
      <c r="Y112" s="69"/>
      <c r="Z112" s="47"/>
      <c r="AA112" s="47"/>
      <c r="AB112" s="47"/>
      <c r="AC112" s="69"/>
      <c r="AD112" s="100"/>
      <c r="AF112" s="778"/>
      <c r="AG112" s="779"/>
      <c r="AH112" s="779"/>
      <c r="AI112" s="779"/>
      <c r="AJ112" s="780"/>
      <c r="AN112" s="774"/>
      <c r="AO112" s="774"/>
      <c r="AP112" s="774"/>
      <c r="AQ112" s="774"/>
      <c r="AR112" s="774"/>
      <c r="AS112" s="774"/>
      <c r="AT112" s="726"/>
      <c r="AU112" s="726"/>
      <c r="AV112" s="726"/>
      <c r="AW112" s="726"/>
      <c r="BA112" s="728">
        <f ca="1">AT110/((54*3.1415/59)*(AQ110/3.281))</f>
        <v>1.7226659758199283E-2</v>
      </c>
      <c r="BB112" s="729"/>
      <c r="BC112" s="729"/>
      <c r="BD112" s="729"/>
      <c r="BE112" s="729"/>
      <c r="BF112" s="729"/>
      <c r="BG112" s="729"/>
      <c r="BH112" s="729"/>
      <c r="BI112" s="729"/>
      <c r="BJ112" s="730"/>
      <c r="BK112" s="57"/>
      <c r="BL112" s="99"/>
      <c r="BM112" s="69"/>
      <c r="BN112" s="47"/>
      <c r="BO112" s="47"/>
      <c r="BP112" s="47"/>
      <c r="BQ112" s="69"/>
      <c r="BR112" s="69"/>
    </row>
    <row r="113" spans="1:70" ht="24.75" customHeight="1" thickBot="1" x14ac:dyDescent="0.3">
      <c r="A113" s="70"/>
      <c r="B113" s="72"/>
      <c r="C113" s="72"/>
      <c r="D113" s="72"/>
      <c r="E113" s="72"/>
      <c r="F113" s="70"/>
      <c r="G113" s="72"/>
      <c r="H113" s="72"/>
      <c r="I113" s="72"/>
      <c r="J113" s="72"/>
      <c r="K113" s="70"/>
      <c r="L113" s="72"/>
      <c r="M113" s="72"/>
      <c r="N113" s="72"/>
      <c r="O113" s="72"/>
      <c r="P113" s="70"/>
      <c r="Q113" s="72"/>
      <c r="R113" s="72"/>
      <c r="S113" s="72"/>
      <c r="T113" s="72"/>
      <c r="U113" s="70"/>
      <c r="V113" s="72"/>
      <c r="W113" s="72"/>
      <c r="X113" s="72"/>
      <c r="Y113" s="72"/>
      <c r="Z113" s="70"/>
      <c r="AA113" s="72"/>
      <c r="AB113" s="72"/>
      <c r="AC113" s="72"/>
      <c r="AD113" s="100"/>
      <c r="AF113" s="781"/>
      <c r="AG113" s="782"/>
      <c r="AH113" s="782"/>
      <c r="AI113" s="782"/>
      <c r="AJ113" s="783"/>
      <c r="AN113" s="774"/>
      <c r="AO113" s="774"/>
      <c r="AP113" s="774"/>
      <c r="AQ113" s="774"/>
      <c r="AR113" s="774"/>
      <c r="AS113" s="774"/>
      <c r="AT113" s="726"/>
      <c r="AU113" s="726"/>
      <c r="AV113" s="726"/>
      <c r="AW113" s="726"/>
      <c r="BA113" s="731"/>
      <c r="BB113" s="732"/>
      <c r="BC113" s="732"/>
      <c r="BD113" s="732"/>
      <c r="BE113" s="732"/>
      <c r="BF113" s="732"/>
      <c r="BG113" s="732"/>
      <c r="BH113" s="732"/>
      <c r="BI113" s="732"/>
      <c r="BJ113" s="733"/>
      <c r="BK113" s="57"/>
      <c r="BL113" s="99"/>
      <c r="BM113" s="72"/>
      <c r="BN113" s="70"/>
      <c r="BO113" s="72"/>
      <c r="BP113" s="72"/>
      <c r="BQ113" s="72"/>
      <c r="BR113" s="72"/>
    </row>
    <row r="114" spans="1:70" ht="27" customHeight="1" thickTop="1" x14ac:dyDescent="0.25">
      <c r="A114" s="70"/>
      <c r="B114" s="32"/>
      <c r="C114" s="33"/>
      <c r="D114" s="34"/>
      <c r="E114" s="35"/>
      <c r="F114" s="70"/>
      <c r="G114" s="32"/>
      <c r="H114" s="33"/>
      <c r="I114" s="34"/>
      <c r="J114" s="35"/>
      <c r="K114" s="70"/>
      <c r="L114" s="32"/>
      <c r="M114" s="33"/>
      <c r="N114" s="34"/>
      <c r="O114" s="35"/>
      <c r="P114" s="70"/>
      <c r="Q114" s="32"/>
      <c r="R114" s="33"/>
      <c r="S114" s="34"/>
      <c r="T114" s="35"/>
      <c r="U114" s="70"/>
      <c r="V114" s="32" t="s">
        <v>16</v>
      </c>
      <c r="W114" s="33"/>
      <c r="X114" s="34"/>
      <c r="Y114" s="35"/>
      <c r="Z114" s="70"/>
      <c r="AA114" s="32"/>
      <c r="AB114" s="33"/>
      <c r="AC114" s="34"/>
      <c r="AD114" s="100"/>
      <c r="BA114" s="734"/>
      <c r="BB114" s="735"/>
      <c r="BC114" s="735"/>
      <c r="BD114" s="735"/>
      <c r="BE114" s="735"/>
      <c r="BF114" s="735"/>
      <c r="BG114" s="735"/>
      <c r="BH114" s="735"/>
      <c r="BI114" s="735"/>
      <c r="BJ114" s="736"/>
      <c r="BK114" s="57"/>
      <c r="BL114" s="99"/>
      <c r="BM114" s="35"/>
      <c r="BN114" s="70"/>
      <c r="BO114" s="32"/>
      <c r="BP114" s="33"/>
      <c r="BQ114" s="34"/>
      <c r="BR114" s="35"/>
    </row>
    <row r="115" spans="1:70" ht="15" customHeight="1" x14ac:dyDescent="0.25">
      <c r="A115" s="44"/>
      <c r="B115" s="44"/>
      <c r="C115" s="44"/>
      <c r="D115" s="69"/>
      <c r="E115" s="69"/>
      <c r="F115" s="44"/>
      <c r="G115" s="44"/>
      <c r="H115" s="44"/>
      <c r="I115" s="69"/>
      <c r="J115" s="69"/>
      <c r="K115" s="44"/>
      <c r="L115" s="44"/>
      <c r="M115" s="44"/>
      <c r="N115" s="69"/>
      <c r="O115" s="69"/>
      <c r="P115" s="44"/>
      <c r="Q115" s="44"/>
      <c r="R115" s="44"/>
      <c r="S115" s="69"/>
      <c r="T115" s="69"/>
      <c r="U115" s="44"/>
      <c r="V115" s="44"/>
      <c r="W115" s="44"/>
      <c r="X115" s="69"/>
      <c r="Y115" s="69"/>
      <c r="Z115" s="44"/>
      <c r="AA115" s="44"/>
      <c r="AB115" s="44"/>
      <c r="AC115" s="69"/>
      <c r="AD115" s="100"/>
      <c r="BA115" s="739" t="s">
        <v>129</v>
      </c>
      <c r="BB115" s="740"/>
      <c r="BC115" s="740"/>
      <c r="BD115" s="740"/>
      <c r="BE115" s="740"/>
      <c r="BF115" s="740"/>
      <c r="BG115" s="740"/>
      <c r="BH115" s="740"/>
      <c r="BI115" s="740"/>
      <c r="BJ115" s="741"/>
      <c r="BK115" s="13"/>
      <c r="BL115" s="99"/>
      <c r="BM115" s="69"/>
      <c r="BN115" s="44"/>
      <c r="BO115" s="44"/>
      <c r="BP115" s="44"/>
      <c r="BQ115" s="69"/>
      <c r="BR115" s="69"/>
    </row>
    <row r="116" spans="1:70" ht="15" customHeight="1" x14ac:dyDescent="0.25">
      <c r="A116" s="47"/>
      <c r="B116" s="47"/>
      <c r="C116" s="47"/>
      <c r="D116" s="69"/>
      <c r="E116" s="69"/>
      <c r="F116" s="47"/>
      <c r="G116" s="47"/>
      <c r="H116" s="47"/>
      <c r="I116" s="69"/>
      <c r="J116" s="69"/>
      <c r="K116" s="47"/>
      <c r="L116" s="47"/>
      <c r="M116" s="47"/>
      <c r="N116" s="69"/>
      <c r="O116" s="69"/>
      <c r="P116" s="47"/>
      <c r="Q116" s="47"/>
      <c r="R116" s="47"/>
      <c r="S116" s="69"/>
      <c r="T116" s="69"/>
      <c r="U116" s="47"/>
      <c r="V116" s="47"/>
      <c r="W116" s="47"/>
      <c r="X116" s="69"/>
      <c r="Y116" s="69"/>
      <c r="Z116" s="47"/>
      <c r="AA116" s="47"/>
      <c r="AB116" s="47"/>
      <c r="AC116" s="69"/>
      <c r="AD116" s="100"/>
      <c r="BA116" s="742"/>
      <c r="BB116" s="743"/>
      <c r="BC116" s="743"/>
      <c r="BD116" s="743"/>
      <c r="BE116" s="743"/>
      <c r="BF116" s="743"/>
      <c r="BG116" s="743"/>
      <c r="BH116" s="743"/>
      <c r="BI116" s="743"/>
      <c r="BJ116" s="744"/>
      <c r="BK116" s="13"/>
      <c r="BL116" s="99"/>
      <c r="BM116" s="29"/>
      <c r="BN116" s="47"/>
      <c r="BO116" s="47"/>
      <c r="BP116" s="47"/>
      <c r="BQ116" s="29"/>
      <c r="BR116" s="29"/>
    </row>
    <row r="117" spans="1:70" ht="4.5" customHeight="1" x14ac:dyDescent="0.25">
      <c r="A117" s="47"/>
      <c r="B117" s="47"/>
      <c r="C117" s="47"/>
      <c r="D117" s="101"/>
      <c r="E117" s="69"/>
      <c r="F117" s="47"/>
      <c r="G117" s="47"/>
      <c r="H117" s="47"/>
      <c r="I117" s="101"/>
      <c r="J117" s="69"/>
      <c r="K117" s="47"/>
      <c r="L117" s="47"/>
      <c r="M117" s="47"/>
      <c r="N117" s="101"/>
      <c r="O117" s="69"/>
      <c r="P117" s="47"/>
      <c r="Q117" s="47"/>
      <c r="R117" s="47"/>
      <c r="S117" s="101"/>
      <c r="T117" s="69"/>
      <c r="U117" s="47"/>
      <c r="V117" s="47"/>
      <c r="W117" s="47"/>
      <c r="X117" s="101"/>
      <c r="Y117" s="69"/>
      <c r="Z117" s="47"/>
      <c r="AA117" s="47"/>
      <c r="AB117" s="47"/>
      <c r="AC117" s="101"/>
      <c r="AD117" s="100"/>
      <c r="AP117" s="1255">
        <v>154.5</v>
      </c>
      <c r="AQ117" s="1255"/>
      <c r="AR117" s="1255"/>
      <c r="AS117" s="746" cm="1">
        <f t="array" aca="1" ref="AS117" ca="1">SUM(COUNTIF(INDIRECT({"B8","G8","L8","Q8","V8","AA8","AF8","AK8","AP8","AU8","AZ8","BE8","BJ8","BO8","B15","G15","L15","Q15","V15","AA15","AF15","AK15","AP15","AU15","AZ15","BE15","BJ15","BO15","B22","G22","L22","Q22","V22","AA22","AF22","AK22","AP22","AU22","AZ22","BE22","BJ22","BO22","B29","G29","L29","Q29","V29","AA29","AF29","AK29","AP29","AU29","AZ29","BE29","BJ29","BO29","B36","G36","L36","Q36","V36","AA36","AF36","AK36","AP36","AU36","AZ36","BE36","BJ36","BO36","B43","G43","L43","Q43","V43","AA43","AF43","AK43","AP43","AU43","AZ43","BE43","BJ43","BO43","B50","G50","L50","Q50","V50","AA50","AF50","AK50","AP50","AU50","AZ50","BE50","BJ50","BO50","B57","G57","L57","Q57","V57","AA57","AF57","AK57","AP57","AU57","AZ57","BE57","BJ57","BO57","B77","G77","L77","Q77","V77","AA77","AF77","AK77","AP77","AU77","AZ77","BE77","BJ77","BO77","B84","G84","L84","Q84","V84"}),"&gt;0"))</f>
        <v>104</v>
      </c>
      <c r="AT117" s="746"/>
      <c r="AU117" s="746"/>
      <c r="AV117" s="747">
        <f ca="1">AS117*AP117</f>
        <v>16068</v>
      </c>
      <c r="AW117" s="748"/>
      <c r="AX117" s="748"/>
      <c r="AY117" s="749"/>
      <c r="BA117" s="739" t="s">
        <v>130</v>
      </c>
      <c r="BB117" s="740"/>
      <c r="BC117" s="740"/>
      <c r="BD117" s="740"/>
      <c r="BE117" s="740"/>
      <c r="BF117" s="740"/>
      <c r="BG117" s="740"/>
      <c r="BH117" s="740"/>
      <c r="BI117" s="740"/>
      <c r="BJ117" s="741"/>
      <c r="BK117" s="13"/>
      <c r="BL117" s="99"/>
      <c r="BM117" s="29"/>
      <c r="BN117" s="47"/>
      <c r="BO117" s="47"/>
      <c r="BP117" s="47"/>
      <c r="BQ117" s="30"/>
      <c r="BR117" s="29"/>
    </row>
    <row r="118" spans="1:70" ht="8.25" hidden="1" customHeight="1" x14ac:dyDescent="0.25">
      <c r="A118" s="47"/>
      <c r="B118" s="47"/>
      <c r="C118" s="47"/>
      <c r="D118" s="69"/>
      <c r="E118" s="69"/>
      <c r="F118" s="47"/>
      <c r="G118" s="47"/>
      <c r="H118" s="47"/>
      <c r="I118" s="69"/>
      <c r="J118" s="69"/>
      <c r="K118" s="47"/>
      <c r="L118" s="47"/>
      <c r="M118" s="47"/>
      <c r="N118" s="69"/>
      <c r="O118" s="69"/>
      <c r="P118" s="47"/>
      <c r="Q118" s="47"/>
      <c r="R118" s="47"/>
      <c r="S118" s="69"/>
      <c r="T118" s="69"/>
      <c r="U118" s="47"/>
      <c r="V118" s="47"/>
      <c r="W118" s="47"/>
      <c r="X118" s="69"/>
      <c r="Y118" s="69"/>
      <c r="Z118" s="47"/>
      <c r="AA118" s="47"/>
      <c r="AB118" s="47"/>
      <c r="AC118" s="69"/>
      <c r="AD118" s="100"/>
      <c r="AP118" s="1255"/>
      <c r="AQ118" s="1255"/>
      <c r="AR118" s="1255"/>
      <c r="AS118" s="746"/>
      <c r="AT118" s="746"/>
      <c r="AU118" s="746"/>
      <c r="AV118" s="747"/>
      <c r="AW118" s="748"/>
      <c r="AX118" s="748"/>
      <c r="AY118" s="749"/>
      <c r="BA118" s="750"/>
      <c r="BB118" s="751"/>
      <c r="BC118" s="751"/>
      <c r="BD118" s="751"/>
      <c r="BE118" s="751"/>
      <c r="BF118" s="751"/>
      <c r="BG118" s="751"/>
      <c r="BH118" s="751"/>
      <c r="BI118" s="751"/>
      <c r="BJ118" s="752"/>
      <c r="BK118" s="13"/>
      <c r="BL118" s="99"/>
      <c r="BM118" s="69"/>
      <c r="BN118" s="47"/>
      <c r="BO118" s="47"/>
      <c r="BP118" s="47"/>
      <c r="BQ118" s="69"/>
      <c r="BR118" s="69"/>
    </row>
    <row r="119" spans="1:70" ht="53.25" customHeight="1" x14ac:dyDescent="0.25">
      <c r="A119" s="70"/>
      <c r="B119" s="72"/>
      <c r="C119" s="72"/>
      <c r="D119" s="72"/>
      <c r="E119" s="72"/>
      <c r="F119" s="70"/>
      <c r="G119" s="72"/>
      <c r="H119" s="72"/>
      <c r="I119" s="72"/>
      <c r="J119" s="72"/>
      <c r="K119" s="70"/>
      <c r="L119" s="72"/>
      <c r="M119" s="72"/>
      <c r="N119" s="72"/>
      <c r="O119" s="72"/>
      <c r="P119" s="70"/>
      <c r="Q119" s="72"/>
      <c r="R119" s="72"/>
      <c r="S119" s="72"/>
      <c r="T119" s="72"/>
      <c r="U119" s="70"/>
      <c r="V119" s="72"/>
      <c r="W119" s="72"/>
      <c r="X119" s="72"/>
      <c r="Y119" s="72"/>
      <c r="Z119" s="70"/>
      <c r="AA119" s="72"/>
      <c r="AB119" s="72"/>
      <c r="AC119" s="72"/>
      <c r="AD119" s="100"/>
      <c r="AP119" s="1255"/>
      <c r="AQ119" s="1255"/>
      <c r="AR119" s="1255"/>
      <c r="AS119" s="746"/>
      <c r="AT119" s="746"/>
      <c r="AU119" s="746"/>
      <c r="AV119" s="747"/>
      <c r="AW119" s="748"/>
      <c r="AX119" s="748"/>
      <c r="AY119" s="749"/>
      <c r="BA119" s="750"/>
      <c r="BB119" s="751"/>
      <c r="BC119" s="751"/>
      <c r="BD119" s="751"/>
      <c r="BE119" s="751"/>
      <c r="BF119" s="751"/>
      <c r="BG119" s="751"/>
      <c r="BH119" s="751"/>
      <c r="BI119" s="751"/>
      <c r="BJ119" s="752"/>
      <c r="BK119" s="13"/>
      <c r="BL119" s="99"/>
      <c r="BM119" s="72"/>
      <c r="BN119" s="70"/>
      <c r="BO119" s="72"/>
      <c r="BP119" s="72"/>
      <c r="BQ119" s="72"/>
      <c r="BR119" s="72"/>
    </row>
    <row r="120" spans="1:70" ht="26.25" x14ac:dyDescent="0.25">
      <c r="A120" s="70"/>
      <c r="B120" s="32"/>
      <c r="C120" s="33"/>
      <c r="D120" s="34"/>
      <c r="E120" s="35"/>
      <c r="F120" s="70"/>
      <c r="G120" s="32"/>
      <c r="H120" s="33"/>
      <c r="I120" s="34"/>
      <c r="J120" s="35"/>
      <c r="K120" s="70"/>
      <c r="L120" s="32"/>
      <c r="M120" s="33"/>
      <c r="N120" s="34"/>
      <c r="O120" s="35"/>
      <c r="P120" s="70"/>
      <c r="Q120" s="32"/>
      <c r="R120" s="33"/>
      <c r="S120" s="34"/>
      <c r="T120" s="35"/>
      <c r="U120" s="70"/>
      <c r="V120" s="32"/>
      <c r="W120" s="33"/>
      <c r="X120" s="34"/>
      <c r="Y120" s="35"/>
      <c r="Z120" s="70"/>
      <c r="AA120" s="32"/>
      <c r="AB120" s="33"/>
      <c r="AC120" s="34"/>
      <c r="AD120" s="100"/>
      <c r="AP120" s="727"/>
      <c r="AQ120" s="727"/>
      <c r="AR120" s="727"/>
      <c r="AS120" s="746"/>
      <c r="AT120" s="746"/>
      <c r="AU120" s="746"/>
      <c r="AV120" s="747"/>
      <c r="AW120" s="748"/>
      <c r="AX120" s="748"/>
      <c r="AY120" s="749"/>
      <c r="BA120" s="742"/>
      <c r="BB120" s="743"/>
      <c r="BC120" s="743"/>
      <c r="BD120" s="743"/>
      <c r="BE120" s="743"/>
      <c r="BF120" s="743"/>
      <c r="BG120" s="743"/>
      <c r="BH120" s="743"/>
      <c r="BI120" s="743"/>
      <c r="BJ120" s="744"/>
      <c r="BK120" s="13"/>
      <c r="BL120" s="99"/>
      <c r="BM120" s="35"/>
      <c r="BN120" s="70"/>
      <c r="BO120" s="32"/>
      <c r="BP120" s="33"/>
      <c r="BQ120" s="34"/>
      <c r="BR120" s="35"/>
    </row>
    <row r="121" spans="1:70" ht="40.5" customHeight="1" x14ac:dyDescent="0.25">
      <c r="F121" s="44"/>
      <c r="G121" s="44"/>
      <c r="H121" s="44"/>
      <c r="I121" s="69"/>
      <c r="J121" s="69"/>
      <c r="K121" s="44"/>
      <c r="L121" s="44"/>
      <c r="M121" s="44"/>
      <c r="N121" s="69"/>
      <c r="O121" s="69"/>
      <c r="P121" s="44"/>
      <c r="Q121" s="44"/>
      <c r="R121" s="44"/>
      <c r="S121" s="69"/>
      <c r="T121" s="69"/>
      <c r="U121" s="44"/>
      <c r="V121" s="44"/>
      <c r="W121" s="44"/>
      <c r="X121" s="69"/>
      <c r="Y121" s="69"/>
      <c r="Z121" s="44"/>
      <c r="AA121" s="44"/>
      <c r="AB121" s="44"/>
      <c r="AC121" s="69"/>
      <c r="AD121" s="100"/>
      <c r="AP121" s="727"/>
      <c r="AQ121" s="727"/>
      <c r="AR121" s="727"/>
      <c r="AS121" s="746"/>
      <c r="AT121" s="746"/>
      <c r="AU121" s="746"/>
      <c r="AV121" s="747"/>
      <c r="AW121" s="748"/>
      <c r="AX121" s="748"/>
      <c r="AY121" s="749"/>
      <c r="BA121" s="728">
        <f ca="1">AV110/((54*3.1415/59)*(AQ110/3.281))</f>
        <v>3.3844762990822508E-2</v>
      </c>
      <c r="BB121" s="729"/>
      <c r="BC121" s="729"/>
      <c r="BD121" s="729"/>
      <c r="BE121" s="729"/>
      <c r="BF121" s="729"/>
      <c r="BG121" s="729"/>
      <c r="BH121" s="729"/>
      <c r="BI121" s="729"/>
      <c r="BJ121" s="730"/>
      <c r="BK121" s="57"/>
      <c r="BL121" s="99"/>
    </row>
    <row r="122" spans="1:70" ht="26.25" hidden="1" x14ac:dyDescent="0.25">
      <c r="AD122" s="100"/>
      <c r="AP122" s="727"/>
      <c r="AQ122" s="727"/>
      <c r="AR122" s="727"/>
      <c r="AS122" s="746"/>
      <c r="AT122" s="746"/>
      <c r="AU122" s="746"/>
      <c r="AV122" s="747"/>
      <c r="AW122" s="748"/>
      <c r="AX122" s="748"/>
      <c r="AY122" s="749"/>
      <c r="BA122" s="731"/>
      <c r="BB122" s="732"/>
      <c r="BC122" s="732"/>
      <c r="BD122" s="732"/>
      <c r="BE122" s="732"/>
      <c r="BF122" s="732"/>
      <c r="BG122" s="732"/>
      <c r="BH122" s="732"/>
      <c r="BI122" s="732"/>
      <c r="BJ122" s="733"/>
      <c r="BK122" s="57"/>
      <c r="BL122" s="99"/>
    </row>
    <row r="123" spans="1:70" ht="26.25" x14ac:dyDescent="0.25">
      <c r="AD123" s="100"/>
      <c r="AP123" s="727"/>
      <c r="AQ123" s="727"/>
      <c r="AR123" s="727"/>
      <c r="AS123" s="746"/>
      <c r="AT123" s="746"/>
      <c r="AU123" s="746"/>
      <c r="AV123" s="747"/>
      <c r="AW123" s="748"/>
      <c r="AX123" s="748"/>
      <c r="AY123" s="749"/>
      <c r="BA123" s="731"/>
      <c r="BB123" s="732"/>
      <c r="BC123" s="732"/>
      <c r="BD123" s="732"/>
      <c r="BE123" s="732"/>
      <c r="BF123" s="732"/>
      <c r="BG123" s="732"/>
      <c r="BH123" s="732"/>
      <c r="BI123" s="732"/>
      <c r="BJ123" s="733"/>
      <c r="BK123" s="57"/>
      <c r="BL123" s="99"/>
    </row>
    <row r="124" spans="1:70" ht="26.25" x14ac:dyDescent="0.25">
      <c r="AD124" s="100"/>
      <c r="AP124" s="727"/>
      <c r="AQ124" s="727"/>
      <c r="AR124" s="727"/>
      <c r="AS124" s="746"/>
      <c r="AT124" s="746"/>
      <c r="AU124" s="746"/>
      <c r="AV124" s="747"/>
      <c r="AW124" s="748"/>
      <c r="AX124" s="748"/>
      <c r="AY124" s="749"/>
      <c r="BA124" s="731"/>
      <c r="BB124" s="732"/>
      <c r="BC124" s="732"/>
      <c r="BD124" s="732"/>
      <c r="BE124" s="732"/>
      <c r="BF124" s="732"/>
      <c r="BG124" s="732"/>
      <c r="BH124" s="732"/>
      <c r="BI124" s="732"/>
      <c r="BJ124" s="733"/>
      <c r="BK124" s="57"/>
      <c r="BL124" s="99"/>
    </row>
    <row r="125" spans="1:70" ht="26.25" x14ac:dyDescent="0.25">
      <c r="AD125" s="100"/>
      <c r="AP125" s="727"/>
      <c r="AQ125" s="727"/>
      <c r="AR125" s="727"/>
      <c r="AS125" s="746"/>
      <c r="AT125" s="746"/>
      <c r="AU125" s="746"/>
      <c r="AV125" s="747"/>
      <c r="AW125" s="748"/>
      <c r="AX125" s="748"/>
      <c r="AY125" s="749"/>
      <c r="BA125" s="734"/>
      <c r="BB125" s="735"/>
      <c r="BC125" s="735"/>
      <c r="BD125" s="735"/>
      <c r="BE125" s="735"/>
      <c r="BF125" s="735"/>
      <c r="BG125" s="735"/>
      <c r="BH125" s="735"/>
      <c r="BI125" s="735"/>
      <c r="BJ125" s="736"/>
      <c r="BK125" s="57"/>
      <c r="BL125" s="99"/>
    </row>
    <row r="126" spans="1:70" x14ac:dyDescent="0.25">
      <c r="AD126" s="100"/>
      <c r="AS126" s="1254">
        <f ca="1">AS123+AS120+AS117</f>
        <v>104</v>
      </c>
      <c r="AT126" s="1254"/>
      <c r="AU126" s="1254"/>
      <c r="AV126" s="747">
        <f ca="1">AV120+AV123+AV117</f>
        <v>16068</v>
      </c>
      <c r="AW126" s="748"/>
      <c r="AX126" s="748"/>
      <c r="AY126" s="749"/>
      <c r="BL126" s="99"/>
    </row>
    <row r="127" spans="1:70" x14ac:dyDescent="0.25">
      <c r="AD127" s="100"/>
      <c r="AS127" s="1254"/>
      <c r="AT127" s="1254"/>
      <c r="AU127" s="1254"/>
      <c r="AV127" s="747"/>
      <c r="AW127" s="748"/>
      <c r="AX127" s="748"/>
      <c r="AY127" s="749"/>
      <c r="BL127" s="99"/>
    </row>
    <row r="128" spans="1:70" ht="25.5" customHeight="1" x14ac:dyDescent="0.25">
      <c r="AD128" s="100"/>
      <c r="AS128" s="1254"/>
      <c r="AT128" s="1254"/>
      <c r="AU128" s="1254"/>
      <c r="AV128" s="747"/>
      <c r="AW128" s="748"/>
      <c r="AX128" s="748"/>
      <c r="AY128" s="749"/>
      <c r="BL128" s="99"/>
    </row>
    <row r="129" spans="30:64" ht="24" customHeight="1" x14ac:dyDescent="0.25">
      <c r="AD129" s="100"/>
      <c r="BL129" s="99"/>
    </row>
    <row r="130" spans="30:64" ht="21.75" customHeight="1" x14ac:dyDescent="0.25">
      <c r="AD130" s="100"/>
      <c r="BL130" s="99"/>
    </row>
    <row r="131" spans="30:64" ht="21.75" customHeight="1" x14ac:dyDescent="0.25">
      <c r="AD131" s="98"/>
      <c r="AE131" s="58"/>
      <c r="AF131" s="58"/>
      <c r="AG131" s="58"/>
      <c r="AH131" s="58"/>
      <c r="AI131" s="58"/>
      <c r="AJ131" s="58"/>
      <c r="AK131" s="58"/>
      <c r="AL131" s="58"/>
      <c r="AM131" s="58"/>
      <c r="AN131" s="58"/>
      <c r="AO131" s="58"/>
      <c r="AP131" s="58"/>
      <c r="AQ131" s="58"/>
      <c r="AR131" s="58"/>
      <c r="AS131" s="58"/>
      <c r="AT131" s="58"/>
      <c r="AU131" s="58"/>
      <c r="AV131" s="58"/>
      <c r="AW131" s="58"/>
      <c r="AX131" s="58"/>
      <c r="AY131" s="58"/>
      <c r="AZ131" s="58"/>
      <c r="BA131" s="58"/>
      <c r="BB131" s="58"/>
      <c r="BC131" s="58"/>
      <c r="BD131" s="58"/>
      <c r="BE131" s="58"/>
      <c r="BF131" s="58"/>
      <c r="BG131" s="58"/>
      <c r="BH131" s="58"/>
      <c r="BI131" s="58"/>
      <c r="BJ131" s="58"/>
      <c r="BK131" s="58"/>
      <c r="BL131" s="97"/>
    </row>
    <row r="132" spans="30:64" ht="21.75" customHeight="1" x14ac:dyDescent="0.25"/>
    <row r="133" spans="30:64" ht="25.5" customHeight="1" x14ac:dyDescent="0.25"/>
    <row r="134" spans="30:64" ht="26.25" customHeight="1" x14ac:dyDescent="0.25"/>
    <row r="135" spans="30:64" ht="41.25" customHeight="1" x14ac:dyDescent="0.25"/>
  </sheetData>
  <mergeCells count="784">
    <mergeCell ref="BA115:BJ116"/>
    <mergeCell ref="AP117:AR119"/>
    <mergeCell ref="AS117:AU119"/>
    <mergeCell ref="AV117:AY119"/>
    <mergeCell ref="BA117:BJ120"/>
    <mergeCell ref="AP120:AR122"/>
    <mergeCell ref="AS126:AU128"/>
    <mergeCell ref="AV126:AY128"/>
    <mergeCell ref="AS120:AU122"/>
    <mergeCell ref="AV120:AY122"/>
    <mergeCell ref="BA121:BJ125"/>
    <mergeCell ref="AP123:AR125"/>
    <mergeCell ref="AS123:AU125"/>
    <mergeCell ref="AV123:AY125"/>
    <mergeCell ref="B90:D90"/>
    <mergeCell ref="E90:F90"/>
    <mergeCell ref="H90:K92"/>
    <mergeCell ref="B91:D93"/>
    <mergeCell ref="E93:F93"/>
    <mergeCell ref="H93:K95"/>
    <mergeCell ref="H96:J99"/>
    <mergeCell ref="BM98:BS101"/>
    <mergeCell ref="AF107:AJ113"/>
    <mergeCell ref="AN107:AP109"/>
    <mergeCell ref="AQ107:AS109"/>
    <mergeCell ref="AT107:AU109"/>
    <mergeCell ref="AV107:AW109"/>
    <mergeCell ref="BA107:BJ109"/>
    <mergeCell ref="AN110:AP113"/>
    <mergeCell ref="AQ110:AS113"/>
    <mergeCell ref="AT110:AU113"/>
    <mergeCell ref="AV110:AW113"/>
    <mergeCell ref="BA110:BJ111"/>
    <mergeCell ref="BA112:BJ114"/>
    <mergeCell ref="Y89:AJ93"/>
    <mergeCell ref="AK89:AU93"/>
    <mergeCell ref="AV89:BG93"/>
    <mergeCell ref="BH89:BL99"/>
    <mergeCell ref="BM89:BO93"/>
    <mergeCell ref="BP89:BS93"/>
    <mergeCell ref="Y94:AJ99"/>
    <mergeCell ref="AK94:AU99"/>
    <mergeCell ref="AV94:BG99"/>
    <mergeCell ref="BM94:BS97"/>
    <mergeCell ref="ES74:FD78"/>
    <mergeCell ref="FE74:FI85"/>
    <mergeCell ref="FJ74:FM78"/>
    <mergeCell ref="DE74:DG77"/>
    <mergeCell ref="DV79:EG85"/>
    <mergeCell ref="EH74:EQ78"/>
    <mergeCell ref="BN72:BR76"/>
    <mergeCell ref="BI72:BM76"/>
    <mergeCell ref="BI83:BR84"/>
    <mergeCell ref="BI77:BR82"/>
    <mergeCell ref="FN74:FP78"/>
    <mergeCell ref="BT76:BT77"/>
    <mergeCell ref="CY76:DA78"/>
    <mergeCell ref="L77:T84"/>
    <mergeCell ref="U77:AF84"/>
    <mergeCell ref="AG77:AQ84"/>
    <mergeCell ref="AR77:BC84"/>
    <mergeCell ref="DB78:DC78"/>
    <mergeCell ref="DE78:DG80"/>
    <mergeCell ref="EH79:ER85"/>
    <mergeCell ref="ES79:FD85"/>
    <mergeCell ref="FJ79:FP83"/>
    <mergeCell ref="DE81:DG85"/>
    <mergeCell ref="FJ84:FP85"/>
    <mergeCell ref="BD72:BH84"/>
    <mergeCell ref="DV73:EG78"/>
    <mergeCell ref="CY74:DA74"/>
    <mergeCell ref="DB74:DC74"/>
    <mergeCell ref="V68:Y68"/>
    <mergeCell ref="Z68:Z69"/>
    <mergeCell ref="AA68:AD68"/>
    <mergeCell ref="L72:T76"/>
    <mergeCell ref="U72:AF76"/>
    <mergeCell ref="AG72:AQ76"/>
    <mergeCell ref="AR72:BC76"/>
    <mergeCell ref="A68:A69"/>
    <mergeCell ref="B68:E68"/>
    <mergeCell ref="F68:F69"/>
    <mergeCell ref="G68:J68"/>
    <mergeCell ref="K68:K69"/>
    <mergeCell ref="L68:O68"/>
    <mergeCell ref="P68:P69"/>
    <mergeCell ref="Q68:T68"/>
    <mergeCell ref="U68:U69"/>
    <mergeCell ref="X64:Y64"/>
    <mergeCell ref="Z64:AB64"/>
    <mergeCell ref="AC64:AD64"/>
    <mergeCell ref="A65:C67"/>
    <mergeCell ref="F65:H67"/>
    <mergeCell ref="K65:M67"/>
    <mergeCell ref="P65:R67"/>
    <mergeCell ref="U65:W67"/>
    <mergeCell ref="Z65:AB67"/>
    <mergeCell ref="D67:E67"/>
    <mergeCell ref="I67:J67"/>
    <mergeCell ref="N67:O67"/>
    <mergeCell ref="S67:T67"/>
    <mergeCell ref="X67:Y67"/>
    <mergeCell ref="AC67:AD67"/>
    <mergeCell ref="A64:C64"/>
    <mergeCell ref="D64:E64"/>
    <mergeCell ref="F64:H64"/>
    <mergeCell ref="I64:J64"/>
    <mergeCell ref="K64:M64"/>
    <mergeCell ref="N64:O64"/>
    <mergeCell ref="P64:R64"/>
    <mergeCell ref="S64:T64"/>
    <mergeCell ref="U64:W64"/>
    <mergeCell ref="AC61:AD61"/>
    <mergeCell ref="A62:A63"/>
    <mergeCell ref="B62:E62"/>
    <mergeCell ref="F62:F63"/>
    <mergeCell ref="G62:J62"/>
    <mergeCell ref="K62:K63"/>
    <mergeCell ref="L62:O62"/>
    <mergeCell ref="P62:P63"/>
    <mergeCell ref="Q62:T62"/>
    <mergeCell ref="U62:U63"/>
    <mergeCell ref="V62:Y62"/>
    <mergeCell ref="Z62:Z63"/>
    <mergeCell ref="AA62:AD62"/>
    <mergeCell ref="A59:C61"/>
    <mergeCell ref="F59:H61"/>
    <mergeCell ref="K59:M61"/>
    <mergeCell ref="P59:R61"/>
    <mergeCell ref="U59:W61"/>
    <mergeCell ref="Z59:AB61"/>
    <mergeCell ref="D61:E61"/>
    <mergeCell ref="I61:J61"/>
    <mergeCell ref="N61:O61"/>
    <mergeCell ref="S61:T61"/>
    <mergeCell ref="X61:Y61"/>
    <mergeCell ref="X58:Y58"/>
    <mergeCell ref="Z58:AB58"/>
    <mergeCell ref="AC58:AD58"/>
    <mergeCell ref="A56:A57"/>
    <mergeCell ref="B56:E56"/>
    <mergeCell ref="F56:F57"/>
    <mergeCell ref="G56:J56"/>
    <mergeCell ref="K56:K57"/>
    <mergeCell ref="L56:O56"/>
    <mergeCell ref="P56:P57"/>
    <mergeCell ref="Q56:T56"/>
    <mergeCell ref="U56:U57"/>
    <mergeCell ref="W51:Y54"/>
    <mergeCell ref="Z51:AA54"/>
    <mergeCell ref="AB51:AD54"/>
    <mergeCell ref="A55:B55"/>
    <mergeCell ref="C55:E55"/>
    <mergeCell ref="F55:G55"/>
    <mergeCell ref="H55:J55"/>
    <mergeCell ref="K55:L55"/>
    <mergeCell ref="M55:O55"/>
    <mergeCell ref="P55:Q55"/>
    <mergeCell ref="R55:T55"/>
    <mergeCell ref="U55:V55"/>
    <mergeCell ref="W55:Y55"/>
    <mergeCell ref="Z55:AA55"/>
    <mergeCell ref="AB55:AD55"/>
    <mergeCell ref="A51:B54"/>
    <mergeCell ref="C51:E54"/>
    <mergeCell ref="F51:G54"/>
    <mergeCell ref="H51:J54"/>
    <mergeCell ref="K51:L54"/>
    <mergeCell ref="M51:O54"/>
    <mergeCell ref="P51:Q54"/>
    <mergeCell ref="R51:T54"/>
    <mergeCell ref="U51:V54"/>
    <mergeCell ref="AU49:AX49"/>
    <mergeCell ref="AY49:AY50"/>
    <mergeCell ref="AZ49:BC49"/>
    <mergeCell ref="BD49:BD50"/>
    <mergeCell ref="BE49:BH49"/>
    <mergeCell ref="BI49:BI50"/>
    <mergeCell ref="BJ49:BM49"/>
    <mergeCell ref="BN49:BN50"/>
    <mergeCell ref="BO49:BR49"/>
    <mergeCell ref="BF48:BH48"/>
    <mergeCell ref="BI48:BJ48"/>
    <mergeCell ref="BK48:BM48"/>
    <mergeCell ref="BN48:BO48"/>
    <mergeCell ref="BP48:BR48"/>
    <mergeCell ref="A49:A50"/>
    <mergeCell ref="B49:E49"/>
    <mergeCell ref="F49:F50"/>
    <mergeCell ref="G49:J49"/>
    <mergeCell ref="K49:K50"/>
    <mergeCell ref="L49:O49"/>
    <mergeCell ref="P49:P50"/>
    <mergeCell ref="Q49:T49"/>
    <mergeCell ref="U49:U50"/>
    <mergeCell ref="V49:Y49"/>
    <mergeCell ref="Z49:Z50"/>
    <mergeCell ref="AA49:AD49"/>
    <mergeCell ref="AE49:AE50"/>
    <mergeCell ref="AF49:AI49"/>
    <mergeCell ref="AJ49:AJ50"/>
    <mergeCell ref="AK49:AN49"/>
    <mergeCell ref="AO49:AO50"/>
    <mergeCell ref="AP49:AS49"/>
    <mergeCell ref="AT49:AT50"/>
    <mergeCell ref="BP44:BR47"/>
    <mergeCell ref="A48:B48"/>
    <mergeCell ref="C48:E48"/>
    <mergeCell ref="F48:G48"/>
    <mergeCell ref="H48:J48"/>
    <mergeCell ref="K48:L48"/>
    <mergeCell ref="M48:O48"/>
    <mergeCell ref="P48:Q48"/>
    <mergeCell ref="R48:T48"/>
    <mergeCell ref="U48:V48"/>
    <mergeCell ref="W48:Y48"/>
    <mergeCell ref="Z48:AA48"/>
    <mergeCell ref="AB48:AD48"/>
    <mergeCell ref="AE48:AF48"/>
    <mergeCell ref="AG48:AI48"/>
    <mergeCell ref="AJ48:AK48"/>
    <mergeCell ref="AL48:AN48"/>
    <mergeCell ref="AO48:AP48"/>
    <mergeCell ref="AQ48:AS48"/>
    <mergeCell ref="AT48:AU48"/>
    <mergeCell ref="AV48:AX48"/>
    <mergeCell ref="AY48:AZ48"/>
    <mergeCell ref="BA48:BC48"/>
    <mergeCell ref="BD48:BE48"/>
    <mergeCell ref="AT44:AU47"/>
    <mergeCell ref="AV44:AX47"/>
    <mergeCell ref="AY44:AZ47"/>
    <mergeCell ref="BA44:BC47"/>
    <mergeCell ref="BD44:BE47"/>
    <mergeCell ref="BF44:BH47"/>
    <mergeCell ref="BI44:BJ47"/>
    <mergeCell ref="BK44:BM47"/>
    <mergeCell ref="BN44:BO47"/>
    <mergeCell ref="W44:Y47"/>
    <mergeCell ref="Z44:AA47"/>
    <mergeCell ref="AB44:AD47"/>
    <mergeCell ref="AE44:AF47"/>
    <mergeCell ref="AG44:AI47"/>
    <mergeCell ref="AJ44:AK47"/>
    <mergeCell ref="AL44:AN47"/>
    <mergeCell ref="AO44:AP47"/>
    <mergeCell ref="AQ44:AS47"/>
    <mergeCell ref="A44:B47"/>
    <mergeCell ref="C44:E47"/>
    <mergeCell ref="F44:G47"/>
    <mergeCell ref="H44:J47"/>
    <mergeCell ref="K44:L47"/>
    <mergeCell ref="M44:O47"/>
    <mergeCell ref="P44:Q47"/>
    <mergeCell ref="R44:T47"/>
    <mergeCell ref="U44:V47"/>
    <mergeCell ref="AU42:AX42"/>
    <mergeCell ref="AY42:AY43"/>
    <mergeCell ref="AZ42:BC42"/>
    <mergeCell ref="BD42:BD43"/>
    <mergeCell ref="BE42:BH42"/>
    <mergeCell ref="BI42:BI43"/>
    <mergeCell ref="BJ42:BM42"/>
    <mergeCell ref="BN42:BN43"/>
    <mergeCell ref="BO42:BR42"/>
    <mergeCell ref="BF41:BH41"/>
    <mergeCell ref="BI41:BJ41"/>
    <mergeCell ref="BK41:BM41"/>
    <mergeCell ref="BN41:BO41"/>
    <mergeCell ref="BP41:BR41"/>
    <mergeCell ref="A42:A43"/>
    <mergeCell ref="B42:E42"/>
    <mergeCell ref="F42:F43"/>
    <mergeCell ref="G42:J42"/>
    <mergeCell ref="K42:K43"/>
    <mergeCell ref="L42:O42"/>
    <mergeCell ref="P42:P43"/>
    <mergeCell ref="Q42:T42"/>
    <mergeCell ref="U42:U43"/>
    <mergeCell ref="V42:Y42"/>
    <mergeCell ref="Z42:Z43"/>
    <mergeCell ref="AA42:AD42"/>
    <mergeCell ref="AE42:AE43"/>
    <mergeCell ref="AF42:AI42"/>
    <mergeCell ref="AJ42:AJ43"/>
    <mergeCell ref="AK42:AN42"/>
    <mergeCell ref="AO42:AO43"/>
    <mergeCell ref="AP42:AS42"/>
    <mergeCell ref="AT42:AT43"/>
    <mergeCell ref="BP37:BR40"/>
    <mergeCell ref="A41:B41"/>
    <mergeCell ref="C41:E41"/>
    <mergeCell ref="F41:G41"/>
    <mergeCell ref="H41:J41"/>
    <mergeCell ref="K41:L41"/>
    <mergeCell ref="M41:O41"/>
    <mergeCell ref="P41:Q41"/>
    <mergeCell ref="R41:T41"/>
    <mergeCell ref="U41:V41"/>
    <mergeCell ref="W41:Y41"/>
    <mergeCell ref="Z41:AA41"/>
    <mergeCell ref="AB41:AD41"/>
    <mergeCell ref="AE41:AF41"/>
    <mergeCell ref="AG41:AI41"/>
    <mergeCell ref="AJ41:AK41"/>
    <mergeCell ref="AL41:AN41"/>
    <mergeCell ref="AO41:AP41"/>
    <mergeCell ref="AQ41:AS41"/>
    <mergeCell ref="AT41:AU41"/>
    <mergeCell ref="AV41:AX41"/>
    <mergeCell ref="AY41:AZ41"/>
    <mergeCell ref="BA41:BC41"/>
    <mergeCell ref="BD41:BE41"/>
    <mergeCell ref="AT37:AU40"/>
    <mergeCell ref="AV37:AX40"/>
    <mergeCell ref="AY37:AZ40"/>
    <mergeCell ref="BA37:BC40"/>
    <mergeCell ref="BD37:BE40"/>
    <mergeCell ref="BF37:BH40"/>
    <mergeCell ref="BI37:BJ40"/>
    <mergeCell ref="BK37:BM40"/>
    <mergeCell ref="BN37:BO40"/>
    <mergeCell ref="W37:Y40"/>
    <mergeCell ref="Z37:AA40"/>
    <mergeCell ref="AB37:AD40"/>
    <mergeCell ref="AE37:AF40"/>
    <mergeCell ref="AG37:AI40"/>
    <mergeCell ref="AJ37:AK40"/>
    <mergeCell ref="AL37:AN40"/>
    <mergeCell ref="AO37:AP40"/>
    <mergeCell ref="AQ37:AS40"/>
    <mergeCell ref="A37:B40"/>
    <mergeCell ref="C37:E40"/>
    <mergeCell ref="F37:G40"/>
    <mergeCell ref="H37:J40"/>
    <mergeCell ref="K37:L40"/>
    <mergeCell ref="M37:O40"/>
    <mergeCell ref="P37:Q40"/>
    <mergeCell ref="R37:T40"/>
    <mergeCell ref="U37:V40"/>
    <mergeCell ref="AU35:AX35"/>
    <mergeCell ref="AY35:AY36"/>
    <mergeCell ref="AZ35:BC35"/>
    <mergeCell ref="BD35:BD36"/>
    <mergeCell ref="BE35:BH35"/>
    <mergeCell ref="BI35:BI36"/>
    <mergeCell ref="BJ35:BM35"/>
    <mergeCell ref="BN35:BN36"/>
    <mergeCell ref="BO35:BR35"/>
    <mergeCell ref="BF34:BH34"/>
    <mergeCell ref="BI34:BJ34"/>
    <mergeCell ref="BK34:BM34"/>
    <mergeCell ref="BN34:BO34"/>
    <mergeCell ref="BP34:BR34"/>
    <mergeCell ref="A35:A36"/>
    <mergeCell ref="B35:E35"/>
    <mergeCell ref="F35:F36"/>
    <mergeCell ref="G35:J35"/>
    <mergeCell ref="K35:K36"/>
    <mergeCell ref="L35:O35"/>
    <mergeCell ref="P35:P36"/>
    <mergeCell ref="Q35:T35"/>
    <mergeCell ref="U35:U36"/>
    <mergeCell ref="V35:Y35"/>
    <mergeCell ref="Z35:Z36"/>
    <mergeCell ref="AA35:AD35"/>
    <mergeCell ref="AE35:AE36"/>
    <mergeCell ref="AF35:AI35"/>
    <mergeCell ref="AJ35:AJ36"/>
    <mergeCell ref="AK35:AN35"/>
    <mergeCell ref="AO35:AO36"/>
    <mergeCell ref="AP35:AS35"/>
    <mergeCell ref="AT35:AT36"/>
    <mergeCell ref="BP30:BR33"/>
    <mergeCell ref="A34:B34"/>
    <mergeCell ref="C34:E34"/>
    <mergeCell ref="F34:G34"/>
    <mergeCell ref="H34:J34"/>
    <mergeCell ref="K34:L34"/>
    <mergeCell ref="M34:O34"/>
    <mergeCell ref="P34:Q34"/>
    <mergeCell ref="R34:T34"/>
    <mergeCell ref="U34:V34"/>
    <mergeCell ref="W34:Y34"/>
    <mergeCell ref="Z34:AA34"/>
    <mergeCell ref="AB34:AD34"/>
    <mergeCell ref="AE34:AF34"/>
    <mergeCell ref="AG34:AI34"/>
    <mergeCell ref="AJ34:AK34"/>
    <mergeCell ref="AL34:AN34"/>
    <mergeCell ref="AO34:AP34"/>
    <mergeCell ref="AQ34:AS34"/>
    <mergeCell ref="AT34:AU34"/>
    <mergeCell ref="AV34:AX34"/>
    <mergeCell ref="AY34:AZ34"/>
    <mergeCell ref="BA34:BC34"/>
    <mergeCell ref="BD34:BE34"/>
    <mergeCell ref="AT30:AU33"/>
    <mergeCell ref="AV30:AX33"/>
    <mergeCell ref="AY30:AZ33"/>
    <mergeCell ref="BA30:BC33"/>
    <mergeCell ref="BD30:BE33"/>
    <mergeCell ref="BF30:BH33"/>
    <mergeCell ref="BI30:BJ33"/>
    <mergeCell ref="BK30:BM33"/>
    <mergeCell ref="BN30:BO33"/>
    <mergeCell ref="W30:Y33"/>
    <mergeCell ref="Z30:AA33"/>
    <mergeCell ref="AB30:AD33"/>
    <mergeCell ref="AE30:AF33"/>
    <mergeCell ref="AG30:AI33"/>
    <mergeCell ref="AJ30:AK33"/>
    <mergeCell ref="AL30:AN33"/>
    <mergeCell ref="AO30:AP33"/>
    <mergeCell ref="AQ30:AS33"/>
    <mergeCell ref="A30:B33"/>
    <mergeCell ref="C30:E33"/>
    <mergeCell ref="F30:G33"/>
    <mergeCell ref="H30:J33"/>
    <mergeCell ref="K30:L33"/>
    <mergeCell ref="M30:O33"/>
    <mergeCell ref="P30:Q33"/>
    <mergeCell ref="R30:T33"/>
    <mergeCell ref="U30:V33"/>
    <mergeCell ref="AU28:AX28"/>
    <mergeCell ref="AY28:AY29"/>
    <mergeCell ref="AZ28:BC28"/>
    <mergeCell ref="BD28:BD29"/>
    <mergeCell ref="BE28:BH28"/>
    <mergeCell ref="BI28:BI29"/>
    <mergeCell ref="BJ28:BM28"/>
    <mergeCell ref="BN28:BN29"/>
    <mergeCell ref="BO28:BR28"/>
    <mergeCell ref="BF27:BH27"/>
    <mergeCell ref="BI27:BJ27"/>
    <mergeCell ref="BK27:BM27"/>
    <mergeCell ref="BN27:BO27"/>
    <mergeCell ref="BP27:BR27"/>
    <mergeCell ref="A28:A29"/>
    <mergeCell ref="B28:E28"/>
    <mergeCell ref="F28:F29"/>
    <mergeCell ref="G28:J28"/>
    <mergeCell ref="K28:K29"/>
    <mergeCell ref="L28:O28"/>
    <mergeCell ref="P28:P29"/>
    <mergeCell ref="Q28:T28"/>
    <mergeCell ref="U28:U29"/>
    <mergeCell ref="V28:Y28"/>
    <mergeCell ref="Z28:Z29"/>
    <mergeCell ref="AA28:AD28"/>
    <mergeCell ref="AE28:AE29"/>
    <mergeCell ref="AF28:AI28"/>
    <mergeCell ref="AJ28:AJ29"/>
    <mergeCell ref="AK28:AN28"/>
    <mergeCell ref="AO28:AO29"/>
    <mergeCell ref="AP28:AS28"/>
    <mergeCell ref="AT28:AT29"/>
    <mergeCell ref="BP23:BR26"/>
    <mergeCell ref="A27:B27"/>
    <mergeCell ref="C27:E27"/>
    <mergeCell ref="F27:G27"/>
    <mergeCell ref="H27:J27"/>
    <mergeCell ref="K27:L27"/>
    <mergeCell ref="M27:O27"/>
    <mergeCell ref="P27:Q27"/>
    <mergeCell ref="R27:T27"/>
    <mergeCell ref="U27:V27"/>
    <mergeCell ref="W27:Y27"/>
    <mergeCell ref="Z27:AA27"/>
    <mergeCell ref="AB27:AD27"/>
    <mergeCell ref="AE27:AF27"/>
    <mergeCell ref="AG27:AI27"/>
    <mergeCell ref="AJ27:AK27"/>
    <mergeCell ref="AL27:AN27"/>
    <mergeCell ref="AO27:AP27"/>
    <mergeCell ref="AQ27:AS27"/>
    <mergeCell ref="AT27:AU27"/>
    <mergeCell ref="AV27:AX27"/>
    <mergeCell ref="AY27:AZ27"/>
    <mergeCell ref="BA27:BC27"/>
    <mergeCell ref="BD27:BE27"/>
    <mergeCell ref="AT23:AU26"/>
    <mergeCell ref="AV23:AX26"/>
    <mergeCell ref="AY23:AZ26"/>
    <mergeCell ref="BA23:BC26"/>
    <mergeCell ref="BD23:BE26"/>
    <mergeCell ref="BF23:BH26"/>
    <mergeCell ref="BI23:BJ26"/>
    <mergeCell ref="BK23:BM26"/>
    <mergeCell ref="BN23:BO26"/>
    <mergeCell ref="W23:Y26"/>
    <mergeCell ref="Z23:AA26"/>
    <mergeCell ref="AB23:AD26"/>
    <mergeCell ref="AE23:AF26"/>
    <mergeCell ref="AG23:AI26"/>
    <mergeCell ref="AJ23:AK26"/>
    <mergeCell ref="AL23:AN26"/>
    <mergeCell ref="AO23:AP26"/>
    <mergeCell ref="AQ23:AS26"/>
    <mergeCell ref="A23:B26"/>
    <mergeCell ref="C23:E26"/>
    <mergeCell ref="F23:G26"/>
    <mergeCell ref="H23:J26"/>
    <mergeCell ref="K23:L26"/>
    <mergeCell ref="M23:O26"/>
    <mergeCell ref="P23:Q26"/>
    <mergeCell ref="R23:T26"/>
    <mergeCell ref="U23:V26"/>
    <mergeCell ref="AU21:AX21"/>
    <mergeCell ref="AY21:AY22"/>
    <mergeCell ref="AZ21:BC21"/>
    <mergeCell ref="BD21:BD22"/>
    <mergeCell ref="BE21:BH21"/>
    <mergeCell ref="BI21:BI22"/>
    <mergeCell ref="BJ21:BM21"/>
    <mergeCell ref="BN21:BN22"/>
    <mergeCell ref="BO21:BR21"/>
    <mergeCell ref="BF20:BH20"/>
    <mergeCell ref="BI20:BJ20"/>
    <mergeCell ref="BK20:BM20"/>
    <mergeCell ref="BN20:BO20"/>
    <mergeCell ref="BP20:BR20"/>
    <mergeCell ref="A21:A22"/>
    <mergeCell ref="B21:E21"/>
    <mergeCell ref="F21:F22"/>
    <mergeCell ref="G21:J21"/>
    <mergeCell ref="K21:K22"/>
    <mergeCell ref="L21:O21"/>
    <mergeCell ref="P21:P22"/>
    <mergeCell ref="Q21:T21"/>
    <mergeCell ref="U21:U22"/>
    <mergeCell ref="V21:Y21"/>
    <mergeCell ref="Z21:Z22"/>
    <mergeCell ref="AA21:AD21"/>
    <mergeCell ref="AE21:AE22"/>
    <mergeCell ref="AF21:AI21"/>
    <mergeCell ref="AJ21:AJ22"/>
    <mergeCell ref="AK21:AN21"/>
    <mergeCell ref="AO21:AO22"/>
    <mergeCell ref="AP21:AS21"/>
    <mergeCell ref="AT21:AT22"/>
    <mergeCell ref="BP16:BR19"/>
    <mergeCell ref="A20:B20"/>
    <mergeCell ref="C20:E20"/>
    <mergeCell ref="F20:G20"/>
    <mergeCell ref="H20:J20"/>
    <mergeCell ref="K20:L20"/>
    <mergeCell ref="M20:O20"/>
    <mergeCell ref="P20:Q20"/>
    <mergeCell ref="R20:T20"/>
    <mergeCell ref="U20:V20"/>
    <mergeCell ref="W20:Y20"/>
    <mergeCell ref="Z20:AA20"/>
    <mergeCell ref="AB20:AD20"/>
    <mergeCell ref="AE20:AF20"/>
    <mergeCell ref="AG20:AI20"/>
    <mergeCell ref="AJ20:AK20"/>
    <mergeCell ref="AL20:AN20"/>
    <mergeCell ref="AO20:AP20"/>
    <mergeCell ref="AQ20:AS20"/>
    <mergeCell ref="AT20:AU20"/>
    <mergeCell ref="AV20:AX20"/>
    <mergeCell ref="AY20:AZ20"/>
    <mergeCell ref="BA20:BC20"/>
    <mergeCell ref="BD20:BE20"/>
    <mergeCell ref="AT16:AU19"/>
    <mergeCell ref="AV16:AX19"/>
    <mergeCell ref="AY16:AZ19"/>
    <mergeCell ref="BA16:BC19"/>
    <mergeCell ref="BD16:BE19"/>
    <mergeCell ref="BF16:BH19"/>
    <mergeCell ref="BI16:BJ19"/>
    <mergeCell ref="BK16:BM19"/>
    <mergeCell ref="BN16:BO19"/>
    <mergeCell ref="W16:Y19"/>
    <mergeCell ref="Z16:AA19"/>
    <mergeCell ref="AB16:AD19"/>
    <mergeCell ref="AE16:AF19"/>
    <mergeCell ref="AG16:AI19"/>
    <mergeCell ref="AJ16:AK19"/>
    <mergeCell ref="AL16:AN19"/>
    <mergeCell ref="AO16:AP19"/>
    <mergeCell ref="AQ16:AS19"/>
    <mergeCell ref="A16:B19"/>
    <mergeCell ref="C16:E19"/>
    <mergeCell ref="F16:G19"/>
    <mergeCell ref="H16:J19"/>
    <mergeCell ref="K16:L19"/>
    <mergeCell ref="M16:O19"/>
    <mergeCell ref="P16:Q19"/>
    <mergeCell ref="R16:T19"/>
    <mergeCell ref="U16:V19"/>
    <mergeCell ref="AU14:AX14"/>
    <mergeCell ref="AY14:AY15"/>
    <mergeCell ref="AZ14:BC14"/>
    <mergeCell ref="BD14:BD15"/>
    <mergeCell ref="BE14:BH14"/>
    <mergeCell ref="BI14:BI15"/>
    <mergeCell ref="BJ14:BM14"/>
    <mergeCell ref="BN14:BN15"/>
    <mergeCell ref="BO14:BR14"/>
    <mergeCell ref="BF13:BH13"/>
    <mergeCell ref="BI13:BJ13"/>
    <mergeCell ref="BK13:BM13"/>
    <mergeCell ref="BN13:BO13"/>
    <mergeCell ref="BP13:BR13"/>
    <mergeCell ref="A14:A15"/>
    <mergeCell ref="B14:E14"/>
    <mergeCell ref="F14:F15"/>
    <mergeCell ref="G14:J14"/>
    <mergeCell ref="K14:K15"/>
    <mergeCell ref="L14:O14"/>
    <mergeCell ref="P14:P15"/>
    <mergeCell ref="Q14:T14"/>
    <mergeCell ref="U14:U15"/>
    <mergeCell ref="V14:Y14"/>
    <mergeCell ref="Z14:Z15"/>
    <mergeCell ref="AA14:AD14"/>
    <mergeCell ref="AE14:AE15"/>
    <mergeCell ref="AF14:AI14"/>
    <mergeCell ref="AJ14:AJ15"/>
    <mergeCell ref="AK14:AN14"/>
    <mergeCell ref="AO14:AO15"/>
    <mergeCell ref="AP14:AS14"/>
    <mergeCell ref="AT14:AT15"/>
    <mergeCell ref="BP9:BR12"/>
    <mergeCell ref="A13:B13"/>
    <mergeCell ref="C13:E13"/>
    <mergeCell ref="F13:G13"/>
    <mergeCell ref="H13:J13"/>
    <mergeCell ref="K13:L13"/>
    <mergeCell ref="M13:O13"/>
    <mergeCell ref="P13:Q13"/>
    <mergeCell ref="R13:T13"/>
    <mergeCell ref="U13:V13"/>
    <mergeCell ref="W13:Y13"/>
    <mergeCell ref="Z13:AA13"/>
    <mergeCell ref="AB13:AD13"/>
    <mergeCell ref="AE13:AF13"/>
    <mergeCell ref="AG13:AI13"/>
    <mergeCell ref="AJ13:AK13"/>
    <mergeCell ref="AL13:AN13"/>
    <mergeCell ref="AO13:AP13"/>
    <mergeCell ref="AQ13:AS13"/>
    <mergeCell ref="AT13:AU13"/>
    <mergeCell ref="AV13:AX13"/>
    <mergeCell ref="AY13:AZ13"/>
    <mergeCell ref="BA13:BC13"/>
    <mergeCell ref="BD13:BE13"/>
    <mergeCell ref="AT9:AU12"/>
    <mergeCell ref="AV9:AX12"/>
    <mergeCell ref="AY9:AZ12"/>
    <mergeCell ref="BA9:BC12"/>
    <mergeCell ref="BD9:BE12"/>
    <mergeCell ref="BF9:BH12"/>
    <mergeCell ref="BI9:BJ12"/>
    <mergeCell ref="BK9:BM12"/>
    <mergeCell ref="BN9:BO12"/>
    <mergeCell ref="W9:Y12"/>
    <mergeCell ref="Z9:AA12"/>
    <mergeCell ref="AB9:AD12"/>
    <mergeCell ref="AE9:AF12"/>
    <mergeCell ref="AG9:AI12"/>
    <mergeCell ref="AJ9:AK12"/>
    <mergeCell ref="AL9:AN12"/>
    <mergeCell ref="AO9:AP12"/>
    <mergeCell ref="AQ9:AS12"/>
    <mergeCell ref="A9:B12"/>
    <mergeCell ref="C9:E12"/>
    <mergeCell ref="F9:G12"/>
    <mergeCell ref="H9:J12"/>
    <mergeCell ref="K9:L12"/>
    <mergeCell ref="M9:O12"/>
    <mergeCell ref="P9:Q12"/>
    <mergeCell ref="R9:T12"/>
    <mergeCell ref="U9:V12"/>
    <mergeCell ref="AU7:AX7"/>
    <mergeCell ref="AY7:AY8"/>
    <mergeCell ref="AZ7:BC7"/>
    <mergeCell ref="BD7:BD8"/>
    <mergeCell ref="BE7:BH7"/>
    <mergeCell ref="BI7:BI8"/>
    <mergeCell ref="BJ7:BM7"/>
    <mergeCell ref="BN7:BN8"/>
    <mergeCell ref="BO7:BR7"/>
    <mergeCell ref="BF6:BH6"/>
    <mergeCell ref="BI6:BJ6"/>
    <mergeCell ref="BK6:BM6"/>
    <mergeCell ref="BN6:BO6"/>
    <mergeCell ref="BP6:BR6"/>
    <mergeCell ref="A7:A8"/>
    <mergeCell ref="B7:E7"/>
    <mergeCell ref="F7:F8"/>
    <mergeCell ref="G7:J7"/>
    <mergeCell ref="K7:K8"/>
    <mergeCell ref="L7:O7"/>
    <mergeCell ref="P7:P8"/>
    <mergeCell ref="Q7:T7"/>
    <mergeCell ref="U7:U8"/>
    <mergeCell ref="V7:Y7"/>
    <mergeCell ref="Z7:Z8"/>
    <mergeCell ref="AA7:AD7"/>
    <mergeCell ref="AE7:AE8"/>
    <mergeCell ref="AF7:AI7"/>
    <mergeCell ref="AJ7:AJ8"/>
    <mergeCell ref="AK7:AN7"/>
    <mergeCell ref="AO7:AO8"/>
    <mergeCell ref="AP7:AS7"/>
    <mergeCell ref="AT7:AT8"/>
    <mergeCell ref="BP2:BR5"/>
    <mergeCell ref="A6:B6"/>
    <mergeCell ref="C6:E6"/>
    <mergeCell ref="F6:G6"/>
    <mergeCell ref="H6:J6"/>
    <mergeCell ref="K6:L6"/>
    <mergeCell ref="M6:O6"/>
    <mergeCell ref="P6:Q6"/>
    <mergeCell ref="R6:T6"/>
    <mergeCell ref="U6:V6"/>
    <mergeCell ref="W6:Y6"/>
    <mergeCell ref="Z6:AA6"/>
    <mergeCell ref="AB6:AD6"/>
    <mergeCell ref="AE6:AF6"/>
    <mergeCell ref="AG6:AI6"/>
    <mergeCell ref="AJ6:AK6"/>
    <mergeCell ref="AL6:AN6"/>
    <mergeCell ref="AO6:AP6"/>
    <mergeCell ref="AQ6:AS6"/>
    <mergeCell ref="AT6:AU6"/>
    <mergeCell ref="AV6:AX6"/>
    <mergeCell ref="AY6:AZ6"/>
    <mergeCell ref="BA6:BC6"/>
    <mergeCell ref="BD6:BE6"/>
    <mergeCell ref="AT2:AU5"/>
    <mergeCell ref="AV2:AX5"/>
    <mergeCell ref="AY2:AZ5"/>
    <mergeCell ref="BA2:BC5"/>
    <mergeCell ref="BD2:BE5"/>
    <mergeCell ref="BF2:BH5"/>
    <mergeCell ref="BI2:BJ5"/>
    <mergeCell ref="BK2:BM5"/>
    <mergeCell ref="BN2:BO5"/>
    <mergeCell ref="W2:Y5"/>
    <mergeCell ref="Z2:AA5"/>
    <mergeCell ref="AB2:AD5"/>
    <mergeCell ref="AE2:AF5"/>
    <mergeCell ref="AG2:AI5"/>
    <mergeCell ref="AJ2:AK5"/>
    <mergeCell ref="AL2:AN5"/>
    <mergeCell ref="AO2:AP5"/>
    <mergeCell ref="AQ2:AS5"/>
    <mergeCell ref="A2:B5"/>
    <mergeCell ref="C2:E5"/>
    <mergeCell ref="F2:G5"/>
    <mergeCell ref="H2:J5"/>
    <mergeCell ref="K2:L5"/>
    <mergeCell ref="M2:O5"/>
    <mergeCell ref="P2:Q5"/>
    <mergeCell ref="R2:T5"/>
    <mergeCell ref="U2:V5"/>
    <mergeCell ref="AW56:BN56"/>
    <mergeCell ref="A83:G84"/>
    <mergeCell ref="H83:K84"/>
    <mergeCell ref="A72:G75"/>
    <mergeCell ref="H72:K75"/>
    <mergeCell ref="H76:K76"/>
    <mergeCell ref="A76:G76"/>
    <mergeCell ref="A77:B82"/>
    <mergeCell ref="C77:G77"/>
    <mergeCell ref="C78:G82"/>
    <mergeCell ref="H77:K77"/>
    <mergeCell ref="H78:K82"/>
    <mergeCell ref="V56:Y56"/>
    <mergeCell ref="Z56:Z57"/>
    <mergeCell ref="AA56:AD56"/>
    <mergeCell ref="A58:C58"/>
    <mergeCell ref="D58:E58"/>
    <mergeCell ref="F58:H58"/>
    <mergeCell ref="I58:J58"/>
    <mergeCell ref="K58:M58"/>
    <mergeCell ref="N58:O58"/>
    <mergeCell ref="P58:R58"/>
    <mergeCell ref="S58:T58"/>
    <mergeCell ref="U58:W58"/>
  </mergeCells>
  <pageMargins left="0.75" right="0" top="0.3" bottom="0" header="0.3" footer="0.3"/>
  <pageSetup paperSize="8" scale="43" fitToWidth="0" orientation="landscape" r:id="rId1"/>
  <rowBreaks count="2" manualBreakCount="2">
    <brk id="70" max="69" man="1"/>
    <brk id="101" max="70" man="1"/>
  </rowBreaks>
  <colBreaks count="1" manualBreakCount="1">
    <brk id="70" max="90" man="1"/>
  </colBreaks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4D731-3DA7-46A4-9C18-D600C325C4E2}">
  <sheetPr>
    <pageSetUpPr fitToPage="1"/>
  </sheetPr>
  <dimension ref="A1:DH195"/>
  <sheetViews>
    <sheetView view="pageBreakPreview" zoomScale="40" zoomScaleNormal="115" zoomScaleSheetLayoutView="40" workbookViewId="0">
      <selection activeCell="O31" sqref="O31:R31"/>
    </sheetView>
  </sheetViews>
  <sheetFormatPr defaultRowHeight="15" x14ac:dyDescent="0.25"/>
  <cols>
    <col min="1" max="1" width="4" customWidth="1"/>
    <col min="2" max="2" width="13.5703125" customWidth="1"/>
    <col min="3" max="5" width="6.28515625" customWidth="1"/>
    <col min="6" max="6" width="4.140625" customWidth="1"/>
    <col min="7" max="7" width="13.5703125" customWidth="1"/>
    <col min="8" max="10" width="6.28515625" customWidth="1"/>
    <col min="11" max="11" width="4.140625" customWidth="1"/>
    <col min="12" max="12" width="13.5703125" customWidth="1"/>
    <col min="13" max="15" width="6.28515625" customWidth="1"/>
    <col min="16" max="16" width="4.140625" customWidth="1"/>
    <col min="17" max="17" width="13.5703125" customWidth="1"/>
    <col min="18" max="20" width="6.28515625" customWidth="1"/>
    <col min="21" max="21" width="4.140625" customWidth="1"/>
    <col min="22" max="22" width="13.5703125" customWidth="1"/>
    <col min="23" max="25" width="6.28515625" customWidth="1"/>
    <col min="26" max="26" width="4.140625" customWidth="1"/>
    <col min="27" max="27" width="13.5703125" customWidth="1"/>
    <col min="28" max="30" width="6.28515625" customWidth="1"/>
    <col min="31" max="31" width="4.140625" customWidth="1"/>
    <col min="32" max="32" width="13.5703125" customWidth="1"/>
    <col min="33" max="35" width="6.28515625" customWidth="1"/>
    <col min="36" max="36" width="4.140625" customWidth="1"/>
    <col min="37" max="37" width="13.5703125" customWidth="1"/>
    <col min="38" max="40" width="6.28515625" customWidth="1"/>
    <col min="41" max="41" width="4.140625" customWidth="1"/>
    <col min="42" max="42" width="13.5703125" customWidth="1"/>
    <col min="43" max="45" width="6.28515625" customWidth="1"/>
    <col min="46" max="46" width="4.140625" customWidth="1"/>
    <col min="47" max="47" width="13.5703125" customWidth="1"/>
    <col min="48" max="50" width="6.28515625" customWidth="1"/>
    <col min="51" max="51" width="4.140625" customWidth="1"/>
    <col min="52" max="52" width="13.5703125" customWidth="1"/>
    <col min="53" max="55" width="6.28515625" customWidth="1"/>
    <col min="56" max="56" width="4.140625" customWidth="1"/>
    <col min="57" max="57" width="13.5703125" customWidth="1"/>
    <col min="58" max="60" width="6.28515625" customWidth="1"/>
    <col min="61" max="61" width="4.140625" customWidth="1"/>
    <col min="62" max="62" width="13.5703125" customWidth="1"/>
    <col min="63" max="65" width="6.28515625" customWidth="1"/>
    <col min="66" max="66" width="4.140625" customWidth="1"/>
    <col min="67" max="67" width="13.5703125" customWidth="1"/>
    <col min="68" max="70" width="6.28515625" customWidth="1"/>
    <col min="71" max="71" width="1" customWidth="1"/>
    <col min="72" max="72" width="56.7109375" customWidth="1"/>
    <col min="73" max="73" width="13" customWidth="1"/>
    <col min="74" max="74" width="7" customWidth="1"/>
  </cols>
  <sheetData>
    <row r="1" spans="1:83" ht="142.5" customHeight="1" thickBot="1" x14ac:dyDescent="0.3"/>
    <row r="2" spans="1:83" ht="22.5" customHeight="1" thickTop="1" x14ac:dyDescent="0.25">
      <c r="A2" s="1900" t="s">
        <v>110</v>
      </c>
      <c r="B2" s="1901"/>
      <c r="C2" s="1904">
        <f>B7/((36*3.1415/59)*(156/3.281))</f>
        <v>1.1981652430721348E-2</v>
      </c>
      <c r="D2" s="1904"/>
      <c r="E2" s="1905"/>
      <c r="F2" s="1900" t="s">
        <v>110</v>
      </c>
      <c r="G2" s="1901"/>
      <c r="H2" s="1904">
        <f>G7/((36*3.1415/59)*(156/3.281))</f>
        <v>1.0972209185642258E-13</v>
      </c>
      <c r="I2" s="1904"/>
      <c r="J2" s="1905"/>
      <c r="K2" s="1882" t="s">
        <v>110</v>
      </c>
      <c r="L2" s="1883"/>
      <c r="M2" s="1886">
        <f>L7/((36*3.1415/59)*(153/3.281))</f>
        <v>1.1187350542223481E-11</v>
      </c>
      <c r="N2" s="1886"/>
      <c r="O2" s="1887"/>
      <c r="P2" s="1882" t="s">
        <v>110</v>
      </c>
      <c r="Q2" s="1883"/>
      <c r="R2" s="1886">
        <f t="shared" ref="R2" si="0">Q7/((36*3.1415/59)*(153/3.281))</f>
        <v>1.1187350542223481E-10</v>
      </c>
      <c r="S2" s="1886"/>
      <c r="T2" s="1887"/>
      <c r="U2" s="1882" t="s">
        <v>110</v>
      </c>
      <c r="V2" s="1883"/>
      <c r="W2" s="1886">
        <f t="shared" ref="W2" si="1">V7/((36*3.1415/59)*(153/3.281))</f>
        <v>1.9891109264073347E-2</v>
      </c>
      <c r="X2" s="1886"/>
      <c r="Y2" s="1887"/>
      <c r="Z2" s="1882" t="s">
        <v>110</v>
      </c>
      <c r="AA2" s="1883"/>
      <c r="AB2" s="1886">
        <f t="shared" ref="AB2" si="2">AA7/((36*3.1415/59)*(153/3.281))</f>
        <v>1.1646031914454642E-2</v>
      </c>
      <c r="AC2" s="1886"/>
      <c r="AD2" s="1887"/>
      <c r="AE2" s="1882" t="s">
        <v>110</v>
      </c>
      <c r="AF2" s="1883"/>
      <c r="AG2" s="1886">
        <f t="shared" ref="AG2" si="3">AF7/((36*3.1415/59)*(153/3.281))</f>
        <v>9.3749997543832765E-3</v>
      </c>
      <c r="AH2" s="1886"/>
      <c r="AI2" s="1887"/>
      <c r="AJ2" s="1882" t="s">
        <v>110</v>
      </c>
      <c r="AK2" s="1883"/>
      <c r="AL2" s="1886">
        <f t="shared" ref="AL2" si="4">AK7/((36*3.1415/59)*(153/3.281))</f>
        <v>1.1187350542223481E-10</v>
      </c>
      <c r="AM2" s="1886"/>
      <c r="AN2" s="1887"/>
      <c r="AO2" s="1882" t="s">
        <v>110</v>
      </c>
      <c r="AP2" s="1883"/>
      <c r="AQ2" s="1886">
        <f t="shared" ref="AQ2" si="5">AP7/((36*3.1415/59)*(153/3.281))</f>
        <v>1.2216586792108042E-2</v>
      </c>
      <c r="AR2" s="1886"/>
      <c r="AS2" s="1887"/>
      <c r="AT2" s="1882" t="s">
        <v>110</v>
      </c>
      <c r="AU2" s="1883"/>
      <c r="AV2" s="1886">
        <f t="shared" ref="AV2" si="6">AU7/((36*3.1415/59)*(153/3.281))</f>
        <v>3.6918256789337488E-3</v>
      </c>
      <c r="AW2" s="1886"/>
      <c r="AX2" s="1887"/>
      <c r="AY2" s="1882" t="s">
        <v>110</v>
      </c>
      <c r="AZ2" s="1883"/>
      <c r="BA2" s="1886">
        <f t="shared" ref="BA2" si="7">AZ7/((36*3.1415/59)*(153/3.281))</f>
        <v>1.1187350542223481E-9</v>
      </c>
      <c r="BB2" s="1886"/>
      <c r="BC2" s="1887"/>
      <c r="BD2" s="1882" t="s">
        <v>110</v>
      </c>
      <c r="BE2" s="1883"/>
      <c r="BF2" s="1886">
        <f t="shared" ref="BF2" si="8">BE7/((36*3.1415/59)*(153/3.281))</f>
        <v>3.9715094424893349E-3</v>
      </c>
      <c r="BG2" s="1886"/>
      <c r="BH2" s="1887"/>
      <c r="BI2" s="1882" t="s">
        <v>110</v>
      </c>
      <c r="BJ2" s="1883"/>
      <c r="BK2" s="1886">
        <f t="shared" ref="BK2" si="9">BJ7/((36*3.1415/59)*(153/3.281))</f>
        <v>2.2710321600713668E-3</v>
      </c>
      <c r="BL2" s="1886"/>
      <c r="BM2" s="1887"/>
      <c r="BN2" s="1882" t="s">
        <v>110</v>
      </c>
      <c r="BO2" s="1883"/>
      <c r="BP2" s="1886">
        <f t="shared" ref="BP2" si="10">BO7/((36*3.1415/59)*(153/3.281))</f>
        <v>1.1187350542223481E-10</v>
      </c>
      <c r="BQ2" s="1886"/>
      <c r="BR2" s="1887"/>
    </row>
    <row r="3" spans="1:83" ht="22.5" customHeight="1" x14ac:dyDescent="0.25">
      <c r="A3" s="1902"/>
      <c r="B3" s="1903"/>
      <c r="C3" s="1906"/>
      <c r="D3" s="1906"/>
      <c r="E3" s="1907"/>
      <c r="F3" s="1902"/>
      <c r="G3" s="1903"/>
      <c r="H3" s="1906"/>
      <c r="I3" s="1906"/>
      <c r="J3" s="1907"/>
      <c r="K3" s="1884"/>
      <c r="L3" s="1885"/>
      <c r="M3" s="1888"/>
      <c r="N3" s="1888"/>
      <c r="O3" s="1889"/>
      <c r="P3" s="1884"/>
      <c r="Q3" s="1885"/>
      <c r="R3" s="1888"/>
      <c r="S3" s="1888"/>
      <c r="T3" s="1889"/>
      <c r="U3" s="1884"/>
      <c r="V3" s="1885"/>
      <c r="W3" s="1888"/>
      <c r="X3" s="1888"/>
      <c r="Y3" s="1889"/>
      <c r="Z3" s="1884"/>
      <c r="AA3" s="1885"/>
      <c r="AB3" s="1888"/>
      <c r="AC3" s="1888"/>
      <c r="AD3" s="1889"/>
      <c r="AE3" s="1884"/>
      <c r="AF3" s="1885"/>
      <c r="AG3" s="1888"/>
      <c r="AH3" s="1888"/>
      <c r="AI3" s="1889"/>
      <c r="AJ3" s="1884"/>
      <c r="AK3" s="1885"/>
      <c r="AL3" s="1888"/>
      <c r="AM3" s="1888"/>
      <c r="AN3" s="1889"/>
      <c r="AO3" s="1884"/>
      <c r="AP3" s="1885"/>
      <c r="AQ3" s="1888"/>
      <c r="AR3" s="1888"/>
      <c r="AS3" s="1889"/>
      <c r="AT3" s="1884"/>
      <c r="AU3" s="1885"/>
      <c r="AV3" s="1888"/>
      <c r="AW3" s="1888"/>
      <c r="AX3" s="1889"/>
      <c r="AY3" s="1884"/>
      <c r="AZ3" s="1885"/>
      <c r="BA3" s="1888"/>
      <c r="BB3" s="1888"/>
      <c r="BC3" s="1889"/>
      <c r="BD3" s="1884"/>
      <c r="BE3" s="1885"/>
      <c r="BF3" s="1888"/>
      <c r="BG3" s="1888"/>
      <c r="BH3" s="1889"/>
      <c r="BI3" s="1884"/>
      <c r="BJ3" s="1885"/>
      <c r="BK3" s="1888"/>
      <c r="BL3" s="1888"/>
      <c r="BM3" s="1889"/>
      <c r="BN3" s="1884"/>
      <c r="BO3" s="1885"/>
      <c r="BP3" s="1888"/>
      <c r="BQ3" s="1888"/>
      <c r="BR3" s="1889"/>
    </row>
    <row r="4" spans="1:83" ht="33" customHeight="1" x14ac:dyDescent="0.25">
      <c r="A4" s="3427" t="s">
        <v>111</v>
      </c>
      <c r="B4" s="3425"/>
      <c r="C4" s="3425"/>
      <c r="D4" s="3425"/>
      <c r="E4" s="3426"/>
      <c r="F4" s="3427" t="s">
        <v>111</v>
      </c>
      <c r="G4" s="3425"/>
      <c r="H4" s="3425"/>
      <c r="I4" s="3425"/>
      <c r="J4" s="3426"/>
      <c r="K4" s="3427" t="s">
        <v>111</v>
      </c>
      <c r="L4" s="3425"/>
      <c r="M4" s="3425"/>
      <c r="N4" s="3425"/>
      <c r="O4" s="3426"/>
      <c r="P4" s="3427" t="s">
        <v>111</v>
      </c>
      <c r="Q4" s="3425"/>
      <c r="R4" s="3425"/>
      <c r="S4" s="3425"/>
      <c r="T4" s="3426"/>
      <c r="U4" s="3427" t="s">
        <v>111</v>
      </c>
      <c r="V4" s="3425"/>
      <c r="W4" s="3425"/>
      <c r="X4" s="3425"/>
      <c r="Y4" s="3426"/>
      <c r="Z4" s="3427" t="s">
        <v>111</v>
      </c>
      <c r="AA4" s="3425"/>
      <c r="AB4" s="3425"/>
      <c r="AC4" s="3425"/>
      <c r="AD4" s="3426"/>
      <c r="AE4" s="3427" t="s">
        <v>111</v>
      </c>
      <c r="AF4" s="3425"/>
      <c r="AG4" s="3425"/>
      <c r="AH4" s="3425"/>
      <c r="AI4" s="3426"/>
      <c r="AJ4" s="3427" t="s">
        <v>111</v>
      </c>
      <c r="AK4" s="3425"/>
      <c r="AL4" s="3425"/>
      <c r="AM4" s="3425"/>
      <c r="AN4" s="3426"/>
      <c r="AO4" s="3427" t="s">
        <v>111</v>
      </c>
      <c r="AP4" s="3425"/>
      <c r="AQ4" s="3425"/>
      <c r="AR4" s="3425"/>
      <c r="AS4" s="3426"/>
      <c r="AT4" s="3427" t="s">
        <v>111</v>
      </c>
      <c r="AU4" s="3425"/>
      <c r="AV4" s="3425"/>
      <c r="AW4" s="3425"/>
      <c r="AX4" s="3426"/>
      <c r="AY4" s="3427" t="s">
        <v>111</v>
      </c>
      <c r="AZ4" s="3425"/>
      <c r="BA4" s="3425"/>
      <c r="BB4" s="3425"/>
      <c r="BC4" s="3426"/>
      <c r="BD4" s="3427" t="s">
        <v>111</v>
      </c>
      <c r="BE4" s="3425"/>
      <c r="BF4" s="3425"/>
      <c r="BG4" s="3425"/>
      <c r="BH4" s="3426"/>
      <c r="BI4" s="3427" t="s">
        <v>111</v>
      </c>
      <c r="BJ4" s="3425"/>
      <c r="BK4" s="3425"/>
      <c r="BL4" s="3425"/>
      <c r="BM4" s="3426"/>
      <c r="BN4" s="3427" t="s">
        <v>111</v>
      </c>
      <c r="BO4" s="3425"/>
      <c r="BP4" s="3425"/>
      <c r="BQ4" s="3425"/>
      <c r="BR4" s="3426"/>
    </row>
    <row r="5" spans="1:83" ht="33" customHeight="1" x14ac:dyDescent="0.25">
      <c r="A5" s="3425" t="s">
        <v>454</v>
      </c>
      <c r="B5" s="3425"/>
      <c r="C5" s="3425" t="s">
        <v>455</v>
      </c>
      <c r="D5" s="3425"/>
      <c r="E5" s="3426"/>
      <c r="F5" s="3425" t="s">
        <v>454</v>
      </c>
      <c r="G5" s="3425"/>
      <c r="H5" s="3425" t="s">
        <v>455</v>
      </c>
      <c r="I5" s="3425"/>
      <c r="J5" s="3426"/>
      <c r="K5" s="3425" t="s">
        <v>454</v>
      </c>
      <c r="L5" s="3425"/>
      <c r="M5" s="3425" t="s">
        <v>455</v>
      </c>
      <c r="N5" s="3425"/>
      <c r="O5" s="3426"/>
      <c r="P5" s="3425" t="s">
        <v>454</v>
      </c>
      <c r="Q5" s="3425"/>
      <c r="R5" s="3425" t="s">
        <v>455</v>
      </c>
      <c r="S5" s="3425"/>
      <c r="T5" s="3426"/>
      <c r="U5" s="3425" t="s">
        <v>454</v>
      </c>
      <c r="V5" s="3425"/>
      <c r="W5" s="3425" t="s">
        <v>455</v>
      </c>
      <c r="X5" s="3425"/>
      <c r="Y5" s="3426"/>
      <c r="Z5" s="3425" t="s">
        <v>454</v>
      </c>
      <c r="AA5" s="3425"/>
      <c r="AB5" s="3425" t="s">
        <v>455</v>
      </c>
      <c r="AC5" s="3425"/>
      <c r="AD5" s="3426"/>
      <c r="AE5" s="3425" t="s">
        <v>454</v>
      </c>
      <c r="AF5" s="3425"/>
      <c r="AG5" s="3425" t="s">
        <v>455</v>
      </c>
      <c r="AH5" s="3425"/>
      <c r="AI5" s="3426"/>
      <c r="AJ5" s="3425" t="s">
        <v>454</v>
      </c>
      <c r="AK5" s="3425"/>
      <c r="AL5" s="3425" t="s">
        <v>455</v>
      </c>
      <c r="AM5" s="3425"/>
      <c r="AN5" s="3426"/>
      <c r="AO5" s="3425" t="s">
        <v>454</v>
      </c>
      <c r="AP5" s="3425"/>
      <c r="AQ5" s="3425" t="s">
        <v>455</v>
      </c>
      <c r="AR5" s="3425"/>
      <c r="AS5" s="3426"/>
      <c r="AT5" s="3425" t="s">
        <v>454</v>
      </c>
      <c r="AU5" s="3425"/>
      <c r="AV5" s="3425" t="s">
        <v>455</v>
      </c>
      <c r="AW5" s="3425"/>
      <c r="AX5" s="3426"/>
      <c r="AY5" s="3425" t="s">
        <v>454</v>
      </c>
      <c r="AZ5" s="3425"/>
      <c r="BA5" s="3425" t="s">
        <v>455</v>
      </c>
      <c r="BB5" s="3425"/>
      <c r="BC5" s="3426"/>
      <c r="BD5" s="3425" t="s">
        <v>454</v>
      </c>
      <c r="BE5" s="3425"/>
      <c r="BF5" s="3425" t="s">
        <v>455</v>
      </c>
      <c r="BG5" s="3425"/>
      <c r="BH5" s="3426"/>
      <c r="BI5" s="3425" t="s">
        <v>454</v>
      </c>
      <c r="BJ5" s="3425"/>
      <c r="BK5" s="3425" t="s">
        <v>455</v>
      </c>
      <c r="BL5" s="3425"/>
      <c r="BM5" s="3426"/>
      <c r="BN5" s="3425" t="s">
        <v>454</v>
      </c>
      <c r="BO5" s="3425"/>
      <c r="BP5" s="3425" t="s">
        <v>455</v>
      </c>
      <c r="BQ5" s="3425"/>
      <c r="BR5" s="3426"/>
    </row>
    <row r="6" spans="1:83" s="22" customFormat="1" ht="84.95" customHeight="1" x14ac:dyDescent="1.35">
      <c r="A6" s="1898" t="s">
        <v>112</v>
      </c>
      <c r="B6" s="588">
        <v>1</v>
      </c>
      <c r="C6" s="589"/>
      <c r="D6" s="589"/>
      <c r="E6" s="590"/>
      <c r="F6" s="1898" t="s">
        <v>112</v>
      </c>
      <c r="G6" s="588">
        <v>13</v>
      </c>
      <c r="H6" s="589"/>
      <c r="I6" s="589"/>
      <c r="J6" s="590"/>
      <c r="K6" s="1870" t="s">
        <v>456</v>
      </c>
      <c r="L6" s="588">
        <v>2</v>
      </c>
      <c r="M6" s="589"/>
      <c r="N6" s="589"/>
      <c r="O6" s="590"/>
      <c r="P6" s="1870" t="s">
        <v>456</v>
      </c>
      <c r="Q6" s="588">
        <v>3</v>
      </c>
      <c r="R6" s="589"/>
      <c r="S6" s="589"/>
      <c r="T6" s="590"/>
      <c r="U6" s="1870" t="s">
        <v>456</v>
      </c>
      <c r="V6" s="588">
        <v>4</v>
      </c>
      <c r="W6" s="589"/>
      <c r="X6" s="589"/>
      <c r="Y6" s="590"/>
      <c r="Z6" s="1870" t="s">
        <v>456</v>
      </c>
      <c r="AA6" s="588">
        <v>5</v>
      </c>
      <c r="AB6" s="589"/>
      <c r="AC6" s="589"/>
      <c r="AD6" s="590"/>
      <c r="AE6" s="1870" t="s">
        <v>456</v>
      </c>
      <c r="AF6" s="588">
        <v>6</v>
      </c>
      <c r="AG6" s="589"/>
      <c r="AH6" s="589"/>
      <c r="AI6" s="590"/>
      <c r="AJ6" s="1870" t="s">
        <v>456</v>
      </c>
      <c r="AK6" s="588">
        <v>7</v>
      </c>
      <c r="AL6" s="589"/>
      <c r="AM6" s="589"/>
      <c r="AN6" s="590"/>
      <c r="AO6" s="1870" t="s">
        <v>456</v>
      </c>
      <c r="AP6" s="588">
        <v>8</v>
      </c>
      <c r="AQ6" s="589"/>
      <c r="AR6" s="589"/>
      <c r="AS6" s="590"/>
      <c r="AT6" s="1870" t="s">
        <v>456</v>
      </c>
      <c r="AU6" s="588">
        <v>9</v>
      </c>
      <c r="AV6" s="589"/>
      <c r="AW6" s="589"/>
      <c r="AX6" s="590"/>
      <c r="AY6" s="1870" t="s">
        <v>456</v>
      </c>
      <c r="AZ6" s="588">
        <v>10</v>
      </c>
      <c r="BA6" s="589"/>
      <c r="BB6" s="589"/>
      <c r="BC6" s="590"/>
      <c r="BD6" s="1870" t="s">
        <v>456</v>
      </c>
      <c r="BE6" s="588">
        <v>11</v>
      </c>
      <c r="BF6" s="589"/>
      <c r="BG6" s="589"/>
      <c r="BH6" s="590"/>
      <c r="BI6" s="1870" t="s">
        <v>456</v>
      </c>
      <c r="BJ6" s="588">
        <v>12</v>
      </c>
      <c r="BK6" s="589"/>
      <c r="BL6" s="589"/>
      <c r="BM6" s="590"/>
      <c r="BN6" s="1870" t="s">
        <v>456</v>
      </c>
      <c r="BO6" s="588">
        <v>14</v>
      </c>
      <c r="BP6" s="589"/>
      <c r="BQ6" s="589"/>
      <c r="BR6" s="590"/>
    </row>
    <row r="7" spans="1:83" ht="37.5" customHeight="1" thickBot="1" x14ac:dyDescent="0.3">
      <c r="A7" s="1899"/>
      <c r="B7" s="61">
        <v>1.0920000000000001</v>
      </c>
      <c r="C7" s="62" t="s">
        <v>113</v>
      </c>
      <c r="D7" s="63">
        <v>1</v>
      </c>
      <c r="E7" s="64" t="s">
        <v>114</v>
      </c>
      <c r="F7" s="1899"/>
      <c r="G7" s="61">
        <v>9.9999999999999994E-12</v>
      </c>
      <c r="H7" s="62" t="s">
        <v>113</v>
      </c>
      <c r="I7" s="63">
        <v>1</v>
      </c>
      <c r="J7" s="64" t="s">
        <v>114</v>
      </c>
      <c r="K7" s="1871"/>
      <c r="L7" s="61">
        <v>1.0000000000000001E-9</v>
      </c>
      <c r="M7" s="62" t="s">
        <v>113</v>
      </c>
      <c r="N7" s="63"/>
      <c r="O7" s="64" t="s">
        <v>114</v>
      </c>
      <c r="P7" s="1871"/>
      <c r="Q7" s="61">
        <v>1E-8</v>
      </c>
      <c r="R7" s="62" t="s">
        <v>113</v>
      </c>
      <c r="S7" s="63">
        <v>1</v>
      </c>
      <c r="T7" s="64" t="s">
        <v>114</v>
      </c>
      <c r="U7" s="1871"/>
      <c r="V7" s="61">
        <v>1.778</v>
      </c>
      <c r="W7" s="62" t="s">
        <v>113</v>
      </c>
      <c r="X7" s="63">
        <v>1</v>
      </c>
      <c r="Y7" s="64" t="s">
        <v>114</v>
      </c>
      <c r="Z7" s="1871"/>
      <c r="AA7" s="61">
        <v>1.0409999999999999</v>
      </c>
      <c r="AB7" s="62" t="s">
        <v>113</v>
      </c>
      <c r="AC7" s="63">
        <v>1</v>
      </c>
      <c r="AD7" s="64" t="s">
        <v>114</v>
      </c>
      <c r="AE7" s="1871"/>
      <c r="AF7" s="61">
        <v>0.83799999999999997</v>
      </c>
      <c r="AG7" s="62" t="s">
        <v>113</v>
      </c>
      <c r="AH7" s="63"/>
      <c r="AI7" s="64" t="s">
        <v>114</v>
      </c>
      <c r="AJ7" s="1871"/>
      <c r="AK7" s="61">
        <v>1E-8</v>
      </c>
      <c r="AL7" s="62" t="s">
        <v>113</v>
      </c>
      <c r="AM7" s="63">
        <v>1</v>
      </c>
      <c r="AN7" s="64" t="s">
        <v>114</v>
      </c>
      <c r="AO7" s="1871"/>
      <c r="AP7" s="61">
        <v>1.0920000000000001</v>
      </c>
      <c r="AQ7" s="62" t="s">
        <v>113</v>
      </c>
      <c r="AR7" s="63">
        <v>1</v>
      </c>
      <c r="AS7" s="64" t="s">
        <v>114</v>
      </c>
      <c r="AT7" s="1871"/>
      <c r="AU7" s="61">
        <v>0.33</v>
      </c>
      <c r="AV7" s="62" t="s">
        <v>113</v>
      </c>
      <c r="AW7" s="63">
        <v>1</v>
      </c>
      <c r="AX7" s="64" t="s">
        <v>114</v>
      </c>
      <c r="AY7" s="1871"/>
      <c r="AZ7" s="61">
        <v>9.9999999999999995E-8</v>
      </c>
      <c r="BA7" s="62" t="s">
        <v>113</v>
      </c>
      <c r="BB7" s="63"/>
      <c r="BC7" s="64" t="s">
        <v>114</v>
      </c>
      <c r="BD7" s="1871"/>
      <c r="BE7" s="61">
        <v>0.35499999999999998</v>
      </c>
      <c r="BF7" s="62" t="s">
        <v>113</v>
      </c>
      <c r="BG7" s="63">
        <v>1</v>
      </c>
      <c r="BH7" s="64" t="s">
        <v>114</v>
      </c>
      <c r="BI7" s="1871"/>
      <c r="BJ7" s="61">
        <v>0.20300000000000001</v>
      </c>
      <c r="BK7" s="62" t="s">
        <v>113</v>
      </c>
      <c r="BL7" s="63">
        <v>1</v>
      </c>
      <c r="BM7" s="64" t="s">
        <v>114</v>
      </c>
      <c r="BN7" s="1871"/>
      <c r="BO7" s="61">
        <v>1E-8</v>
      </c>
      <c r="BP7" s="62" t="s">
        <v>113</v>
      </c>
      <c r="BQ7" s="63"/>
      <c r="BR7" s="64" t="s">
        <v>114</v>
      </c>
      <c r="BW7" s="27"/>
      <c r="BX7" s="27"/>
      <c r="BY7" s="27"/>
      <c r="BZ7" s="27"/>
      <c r="CA7" s="27"/>
      <c r="CB7" s="27"/>
      <c r="CC7" s="27"/>
      <c r="CD7" s="27"/>
      <c r="CE7" s="27"/>
    </row>
    <row r="8" spans="1:83" ht="22.5" customHeight="1" thickTop="1" x14ac:dyDescent="0.25">
      <c r="A8" s="1882" t="s">
        <v>110</v>
      </c>
      <c r="B8" s="1883"/>
      <c r="C8" s="1886">
        <f t="shared" ref="C8" si="11">B13/((36*3.1415/59)*(153/3.281))</f>
        <v>4.5465392603596224E-3</v>
      </c>
      <c r="D8" s="1886"/>
      <c r="E8" s="1887"/>
      <c r="F8" s="1882" t="s">
        <v>110</v>
      </c>
      <c r="G8" s="1883"/>
      <c r="H8" s="1886">
        <f t="shared" ref="H8" si="12">G13/((36*3.1415/59)*(153/3.281))</f>
        <v>4.5420643201427337E-3</v>
      </c>
      <c r="I8" s="1886"/>
      <c r="J8" s="1887"/>
      <c r="K8" s="1882" t="s">
        <v>110</v>
      </c>
      <c r="L8" s="1883"/>
      <c r="M8" s="1886">
        <f t="shared" ref="M8" si="13">L13/((36*3.1415/59)*(153/3.281))</f>
        <v>7.1039675943119105E-3</v>
      </c>
      <c r="N8" s="1886"/>
      <c r="O8" s="1887"/>
      <c r="P8" s="1882" t="s">
        <v>110</v>
      </c>
      <c r="Q8" s="1883"/>
      <c r="R8" s="1886">
        <f t="shared" ref="R8" si="14">Q13/((36*3.1415/59)*(153/3.281))</f>
        <v>6.8130964802140996E-3</v>
      </c>
      <c r="S8" s="1886"/>
      <c r="T8" s="1887"/>
      <c r="U8" s="1882" t="s">
        <v>110</v>
      </c>
      <c r="V8" s="1883"/>
      <c r="W8" s="1886">
        <f t="shared" ref="W8" si="15">V13/((36*3.1415/59)*(153/3.281))</f>
        <v>1.8179444631113154E-2</v>
      </c>
      <c r="X8" s="1886"/>
      <c r="Y8" s="1887"/>
      <c r="Z8" s="1882" t="s">
        <v>110</v>
      </c>
      <c r="AA8" s="1883"/>
      <c r="AB8" s="1886">
        <f t="shared" ref="AB8" si="16">AA13/((36*3.1415/59)*(153/3.281))</f>
        <v>1.5908412471041789E-2</v>
      </c>
      <c r="AC8" s="1886"/>
      <c r="AD8" s="1887"/>
      <c r="AE8" s="1882" t="s">
        <v>110</v>
      </c>
      <c r="AF8" s="1883"/>
      <c r="AG8" s="1886">
        <f t="shared" ref="AG8" si="17">AF13/((36*3.1415/59)*(153/3.281))</f>
        <v>1.118735054222348E-12</v>
      </c>
      <c r="AH8" s="1886"/>
      <c r="AI8" s="1887"/>
      <c r="AJ8" s="1882" t="s">
        <v>110</v>
      </c>
      <c r="AK8" s="1883"/>
      <c r="AL8" s="1886">
        <f t="shared" ref="AL8" si="18">AK13/((36*3.1415/59)*(153/3.281))</f>
        <v>1.1366348150899056E-3</v>
      </c>
      <c r="AM8" s="1886"/>
      <c r="AN8" s="1887"/>
      <c r="AO8" s="1882" t="s">
        <v>110</v>
      </c>
      <c r="AP8" s="1883"/>
      <c r="AQ8" s="1886">
        <f t="shared" ref="AQ8" si="19">AP13/((36*3.1415/59)*(153/3.281))</f>
        <v>1.8749999508766553E-2</v>
      </c>
      <c r="AR8" s="1886"/>
      <c r="AS8" s="1887"/>
      <c r="AT8" s="1882" t="s">
        <v>110</v>
      </c>
      <c r="AU8" s="1883"/>
      <c r="AV8" s="1886">
        <f t="shared" ref="AV8" si="20">AU13/((36*3.1415/59)*(153/3.281))</f>
        <v>2.9836663896110019E-2</v>
      </c>
      <c r="AW8" s="1886"/>
      <c r="AX8" s="1887"/>
      <c r="AY8" s="1882" t="s">
        <v>110</v>
      </c>
      <c r="AZ8" s="1883"/>
      <c r="BA8" s="1886">
        <f t="shared" ref="BA8" si="21">AZ13/((36*3.1415/59)*(153/3.281))</f>
        <v>1.1187350542223479E-8</v>
      </c>
      <c r="BB8" s="1886"/>
      <c r="BC8" s="1887"/>
      <c r="BD8" s="1882" t="s">
        <v>110</v>
      </c>
      <c r="BE8" s="1883"/>
      <c r="BF8" s="1886">
        <f t="shared" ref="BF8" si="22">BE13/((36*3.1415/59)*(153/3.281))</f>
        <v>1.1187350542223479E-8</v>
      </c>
      <c r="BG8" s="1886"/>
      <c r="BH8" s="1887"/>
      <c r="BI8" s="1882" t="s">
        <v>110</v>
      </c>
      <c r="BJ8" s="1883"/>
      <c r="BK8" s="1886">
        <f t="shared" ref="BK8" si="23">BJ13/((36*3.1415/59)*(153/3.281))</f>
        <v>2.9545792782012213E-2</v>
      </c>
      <c r="BL8" s="1886"/>
      <c r="BM8" s="1887"/>
      <c r="BN8" s="1882" t="s">
        <v>110</v>
      </c>
      <c r="BO8" s="1883"/>
      <c r="BP8" s="1886">
        <f t="shared" ref="BP8" si="24">BO13/((36*3.1415/59)*(153/3.281))</f>
        <v>1.0504922159147848E-2</v>
      </c>
      <c r="BQ8" s="1886"/>
      <c r="BR8" s="1887"/>
    </row>
    <row r="9" spans="1:83" ht="22.5" customHeight="1" x14ac:dyDescent="0.25">
      <c r="A9" s="1884"/>
      <c r="B9" s="1885"/>
      <c r="C9" s="1888"/>
      <c r="D9" s="1888"/>
      <c r="E9" s="1889"/>
      <c r="F9" s="1884"/>
      <c r="G9" s="1885"/>
      <c r="H9" s="1888"/>
      <c r="I9" s="1888"/>
      <c r="J9" s="1889"/>
      <c r="K9" s="1884"/>
      <c r="L9" s="1885"/>
      <c r="M9" s="1888"/>
      <c r="N9" s="1888"/>
      <c r="O9" s="1889"/>
      <c r="P9" s="1884"/>
      <c r="Q9" s="1885"/>
      <c r="R9" s="1888"/>
      <c r="S9" s="1888"/>
      <c r="T9" s="1889"/>
      <c r="U9" s="1884"/>
      <c r="V9" s="1885"/>
      <c r="W9" s="1888"/>
      <c r="X9" s="1888"/>
      <c r="Y9" s="1889"/>
      <c r="Z9" s="1884"/>
      <c r="AA9" s="1885"/>
      <c r="AB9" s="1888"/>
      <c r="AC9" s="1888"/>
      <c r="AD9" s="1889"/>
      <c r="AE9" s="1884"/>
      <c r="AF9" s="1885"/>
      <c r="AG9" s="1888"/>
      <c r="AH9" s="1888"/>
      <c r="AI9" s="1889"/>
      <c r="AJ9" s="1884"/>
      <c r="AK9" s="1885"/>
      <c r="AL9" s="1888"/>
      <c r="AM9" s="1888"/>
      <c r="AN9" s="1889"/>
      <c r="AO9" s="1884"/>
      <c r="AP9" s="1885"/>
      <c r="AQ9" s="1888"/>
      <c r="AR9" s="1888"/>
      <c r="AS9" s="1889"/>
      <c r="AT9" s="1884"/>
      <c r="AU9" s="1885"/>
      <c r="AV9" s="1888"/>
      <c r="AW9" s="1888"/>
      <c r="AX9" s="1889"/>
      <c r="AY9" s="1884"/>
      <c r="AZ9" s="1885"/>
      <c r="BA9" s="1888"/>
      <c r="BB9" s="1888"/>
      <c r="BC9" s="1889"/>
      <c r="BD9" s="1884"/>
      <c r="BE9" s="1885"/>
      <c r="BF9" s="1888"/>
      <c r="BG9" s="1888"/>
      <c r="BH9" s="1889"/>
      <c r="BI9" s="1884"/>
      <c r="BJ9" s="1885"/>
      <c r="BK9" s="1888"/>
      <c r="BL9" s="1888"/>
      <c r="BM9" s="1889"/>
      <c r="BN9" s="1884"/>
      <c r="BO9" s="1885"/>
      <c r="BP9" s="1888"/>
      <c r="BQ9" s="1888"/>
      <c r="BR9" s="1889"/>
    </row>
    <row r="10" spans="1:83" ht="33" customHeight="1" x14ac:dyDescent="0.25">
      <c r="A10" s="3427" t="s">
        <v>111</v>
      </c>
      <c r="B10" s="3425"/>
      <c r="C10" s="3425"/>
      <c r="D10" s="3425"/>
      <c r="E10" s="3426"/>
      <c r="F10" s="3427" t="s">
        <v>111</v>
      </c>
      <c r="G10" s="3425"/>
      <c r="H10" s="3425"/>
      <c r="I10" s="3425"/>
      <c r="J10" s="3426"/>
      <c r="K10" s="3427" t="s">
        <v>111</v>
      </c>
      <c r="L10" s="3425"/>
      <c r="M10" s="3425"/>
      <c r="N10" s="3425"/>
      <c r="O10" s="3426"/>
      <c r="P10" s="3427" t="s">
        <v>111</v>
      </c>
      <c r="Q10" s="3425"/>
      <c r="R10" s="3425"/>
      <c r="S10" s="3425"/>
      <c r="T10" s="3426"/>
      <c r="U10" s="3427" t="s">
        <v>111</v>
      </c>
      <c r="V10" s="3425"/>
      <c r="W10" s="3425"/>
      <c r="X10" s="3425"/>
      <c r="Y10" s="3426"/>
      <c r="Z10" s="3427" t="s">
        <v>111</v>
      </c>
      <c r="AA10" s="3425"/>
      <c r="AB10" s="3425"/>
      <c r="AC10" s="3425"/>
      <c r="AD10" s="3426"/>
      <c r="AE10" s="3427" t="s">
        <v>111</v>
      </c>
      <c r="AF10" s="3425"/>
      <c r="AG10" s="3425"/>
      <c r="AH10" s="3425"/>
      <c r="AI10" s="3426"/>
      <c r="AJ10" s="3427" t="s">
        <v>111</v>
      </c>
      <c r="AK10" s="3425"/>
      <c r="AL10" s="3425"/>
      <c r="AM10" s="3425"/>
      <c r="AN10" s="3426"/>
      <c r="AO10" s="3427" t="s">
        <v>111</v>
      </c>
      <c r="AP10" s="3425"/>
      <c r="AQ10" s="3425"/>
      <c r="AR10" s="3425"/>
      <c r="AS10" s="3426"/>
      <c r="AT10" s="3427" t="s">
        <v>111</v>
      </c>
      <c r="AU10" s="3425"/>
      <c r="AV10" s="3425"/>
      <c r="AW10" s="3425"/>
      <c r="AX10" s="3426"/>
      <c r="AY10" s="3427" t="s">
        <v>111</v>
      </c>
      <c r="AZ10" s="3425"/>
      <c r="BA10" s="3425"/>
      <c r="BB10" s="3425"/>
      <c r="BC10" s="3426"/>
      <c r="BD10" s="3427" t="s">
        <v>111</v>
      </c>
      <c r="BE10" s="3425"/>
      <c r="BF10" s="3425"/>
      <c r="BG10" s="3425"/>
      <c r="BH10" s="3426"/>
      <c r="BI10" s="3427" t="s">
        <v>111</v>
      </c>
      <c r="BJ10" s="3425"/>
      <c r="BK10" s="3425"/>
      <c r="BL10" s="3425"/>
      <c r="BM10" s="3426"/>
      <c r="BN10" s="3427" t="s">
        <v>111</v>
      </c>
      <c r="BO10" s="3425"/>
      <c r="BP10" s="3425"/>
      <c r="BQ10" s="3425"/>
      <c r="BR10" s="3426"/>
    </row>
    <row r="11" spans="1:83" ht="33" customHeight="1" x14ac:dyDescent="0.25">
      <c r="A11" s="3425" t="s">
        <v>454</v>
      </c>
      <c r="B11" s="3425"/>
      <c r="C11" s="3425" t="s">
        <v>455</v>
      </c>
      <c r="D11" s="3425"/>
      <c r="E11" s="3426"/>
      <c r="F11" s="3425" t="s">
        <v>454</v>
      </c>
      <c r="G11" s="3425"/>
      <c r="H11" s="3425" t="s">
        <v>455</v>
      </c>
      <c r="I11" s="3425"/>
      <c r="J11" s="3426"/>
      <c r="K11" s="3425" t="s">
        <v>454</v>
      </c>
      <c r="L11" s="3425"/>
      <c r="M11" s="3425" t="s">
        <v>455</v>
      </c>
      <c r="N11" s="3425"/>
      <c r="O11" s="3426"/>
      <c r="P11" s="3425" t="s">
        <v>454</v>
      </c>
      <c r="Q11" s="3425"/>
      <c r="R11" s="3425" t="s">
        <v>455</v>
      </c>
      <c r="S11" s="3425"/>
      <c r="T11" s="3426"/>
      <c r="U11" s="3425" t="s">
        <v>454</v>
      </c>
      <c r="V11" s="3425"/>
      <c r="W11" s="3425" t="s">
        <v>455</v>
      </c>
      <c r="X11" s="3425"/>
      <c r="Y11" s="3426"/>
      <c r="Z11" s="3425" t="s">
        <v>454</v>
      </c>
      <c r="AA11" s="3425"/>
      <c r="AB11" s="3425" t="s">
        <v>455</v>
      </c>
      <c r="AC11" s="3425"/>
      <c r="AD11" s="3426"/>
      <c r="AE11" s="3425" t="s">
        <v>454</v>
      </c>
      <c r="AF11" s="3425"/>
      <c r="AG11" s="3425" t="s">
        <v>455</v>
      </c>
      <c r="AH11" s="3425"/>
      <c r="AI11" s="3426"/>
      <c r="AJ11" s="3425" t="s">
        <v>454</v>
      </c>
      <c r="AK11" s="3425"/>
      <c r="AL11" s="3425" t="s">
        <v>455</v>
      </c>
      <c r="AM11" s="3425"/>
      <c r="AN11" s="3426"/>
      <c r="AO11" s="3425" t="s">
        <v>454</v>
      </c>
      <c r="AP11" s="3425"/>
      <c r="AQ11" s="3425" t="s">
        <v>455</v>
      </c>
      <c r="AR11" s="3425"/>
      <c r="AS11" s="3426"/>
      <c r="AT11" s="3425" t="s">
        <v>454</v>
      </c>
      <c r="AU11" s="3425"/>
      <c r="AV11" s="3425" t="s">
        <v>455</v>
      </c>
      <c r="AW11" s="3425"/>
      <c r="AX11" s="3426"/>
      <c r="AY11" s="3425" t="s">
        <v>454</v>
      </c>
      <c r="AZ11" s="3425"/>
      <c r="BA11" s="3425" t="s">
        <v>455</v>
      </c>
      <c r="BB11" s="3425"/>
      <c r="BC11" s="3426"/>
      <c r="BD11" s="3425" t="s">
        <v>454</v>
      </c>
      <c r="BE11" s="3425"/>
      <c r="BF11" s="3425" t="s">
        <v>455</v>
      </c>
      <c r="BG11" s="3425"/>
      <c r="BH11" s="3426"/>
      <c r="BI11" s="3425" t="s">
        <v>454</v>
      </c>
      <c r="BJ11" s="3425"/>
      <c r="BK11" s="3425" t="s">
        <v>455</v>
      </c>
      <c r="BL11" s="3425"/>
      <c r="BM11" s="3426"/>
      <c r="BN11" s="3425" t="s">
        <v>454</v>
      </c>
      <c r="BO11" s="3425"/>
      <c r="BP11" s="3425" t="s">
        <v>455</v>
      </c>
      <c r="BQ11" s="3425"/>
      <c r="BR11" s="3426"/>
    </row>
    <row r="12" spans="1:83" s="22" customFormat="1" ht="84.95" customHeight="1" x14ac:dyDescent="1.35">
      <c r="A12" s="1870" t="s">
        <v>456</v>
      </c>
      <c r="B12" s="588">
        <v>15</v>
      </c>
      <c r="C12" s="589"/>
      <c r="D12" s="589"/>
      <c r="E12" s="590"/>
      <c r="F12" s="1870" t="s">
        <v>456</v>
      </c>
      <c r="G12" s="588">
        <v>16</v>
      </c>
      <c r="H12" s="589"/>
      <c r="I12" s="589"/>
      <c r="J12" s="590"/>
      <c r="K12" s="1870" t="s">
        <v>456</v>
      </c>
      <c r="L12" s="588">
        <v>17</v>
      </c>
      <c r="M12" s="589"/>
      <c r="N12" s="589"/>
      <c r="O12" s="590"/>
      <c r="P12" s="1870" t="s">
        <v>456</v>
      </c>
      <c r="Q12" s="588">
        <v>18</v>
      </c>
      <c r="R12" s="589"/>
      <c r="S12" s="589"/>
      <c r="T12" s="590"/>
      <c r="U12" s="1870" t="s">
        <v>456</v>
      </c>
      <c r="V12" s="588">
        <v>19</v>
      </c>
      <c r="W12" s="589"/>
      <c r="X12" s="589"/>
      <c r="Y12" s="590"/>
      <c r="Z12" s="1870" t="s">
        <v>456</v>
      </c>
      <c r="AA12" s="588">
        <v>20</v>
      </c>
      <c r="AB12" s="589"/>
      <c r="AC12" s="589"/>
      <c r="AD12" s="590"/>
      <c r="AE12" s="1870" t="s">
        <v>456</v>
      </c>
      <c r="AF12" s="588">
        <v>21</v>
      </c>
      <c r="AG12" s="589"/>
      <c r="AH12" s="589"/>
      <c r="AI12" s="590"/>
      <c r="AJ12" s="1870" t="s">
        <v>456</v>
      </c>
      <c r="AK12" s="588">
        <v>22</v>
      </c>
      <c r="AL12" s="589"/>
      <c r="AM12" s="589"/>
      <c r="AN12" s="590"/>
      <c r="AO12" s="1870" t="s">
        <v>456</v>
      </c>
      <c r="AP12" s="588">
        <v>23</v>
      </c>
      <c r="AQ12" s="589"/>
      <c r="AR12" s="589"/>
      <c r="AS12" s="590"/>
      <c r="AT12" s="1870" t="s">
        <v>456</v>
      </c>
      <c r="AU12" s="588">
        <v>24</v>
      </c>
      <c r="AV12" s="589"/>
      <c r="AW12" s="589"/>
      <c r="AX12" s="590"/>
      <c r="AY12" s="1870" t="s">
        <v>456</v>
      </c>
      <c r="AZ12" s="588">
        <v>25</v>
      </c>
      <c r="BA12" s="589"/>
      <c r="BB12" s="589"/>
      <c r="BC12" s="590"/>
      <c r="BD12" s="1870" t="s">
        <v>456</v>
      </c>
      <c r="BE12" s="588">
        <v>26</v>
      </c>
      <c r="BF12" s="589"/>
      <c r="BG12" s="589"/>
      <c r="BH12" s="590"/>
      <c r="BI12" s="1870" t="s">
        <v>456</v>
      </c>
      <c r="BJ12" s="588">
        <v>27</v>
      </c>
      <c r="BK12" s="589"/>
      <c r="BL12" s="589"/>
      <c r="BM12" s="590"/>
      <c r="BN12" s="1870" t="s">
        <v>456</v>
      </c>
      <c r="BO12" s="588">
        <v>28</v>
      </c>
      <c r="BP12" s="589"/>
      <c r="BQ12" s="589"/>
      <c r="BR12" s="590"/>
    </row>
    <row r="13" spans="1:83" ht="37.5" customHeight="1" thickBot="1" x14ac:dyDescent="0.3">
      <c r="A13" s="1871"/>
      <c r="B13" s="61">
        <v>0.40639999999999998</v>
      </c>
      <c r="C13" s="62" t="s">
        <v>113</v>
      </c>
      <c r="D13" s="63">
        <v>1</v>
      </c>
      <c r="E13" s="64" t="s">
        <v>114</v>
      </c>
      <c r="F13" s="1871"/>
      <c r="G13" s="61">
        <v>0.40600000000000003</v>
      </c>
      <c r="H13" s="62" t="s">
        <v>113</v>
      </c>
      <c r="I13" s="63">
        <v>1</v>
      </c>
      <c r="J13" s="64" t="s">
        <v>114</v>
      </c>
      <c r="K13" s="1871"/>
      <c r="L13" s="61">
        <v>0.63500000000000001</v>
      </c>
      <c r="M13" s="62" t="s">
        <v>113</v>
      </c>
      <c r="N13" s="63"/>
      <c r="O13" s="64" t="s">
        <v>114</v>
      </c>
      <c r="P13" s="1871"/>
      <c r="Q13" s="61">
        <v>0.60899999999999999</v>
      </c>
      <c r="R13" s="62" t="s">
        <v>113</v>
      </c>
      <c r="S13" s="63">
        <v>1</v>
      </c>
      <c r="T13" s="64" t="s">
        <v>114</v>
      </c>
      <c r="U13" s="1871"/>
      <c r="V13" s="61">
        <v>1.625</v>
      </c>
      <c r="W13" s="62" t="s">
        <v>113</v>
      </c>
      <c r="X13" s="63">
        <v>1</v>
      </c>
      <c r="Y13" s="64" t="s">
        <v>114</v>
      </c>
      <c r="Z13" s="1871"/>
      <c r="AA13" s="61">
        <v>1.4219999999999999</v>
      </c>
      <c r="AB13" s="62" t="s">
        <v>113</v>
      </c>
      <c r="AC13" s="63">
        <v>1</v>
      </c>
      <c r="AD13" s="64" t="s">
        <v>114</v>
      </c>
      <c r="AE13" s="1871"/>
      <c r="AF13" s="61">
        <v>1E-10</v>
      </c>
      <c r="AG13" s="62" t="s">
        <v>113</v>
      </c>
      <c r="AH13" s="63"/>
      <c r="AI13" s="64" t="s">
        <v>114</v>
      </c>
      <c r="AJ13" s="1871"/>
      <c r="AK13" s="61">
        <v>0.1016</v>
      </c>
      <c r="AL13" s="62" t="s">
        <v>113</v>
      </c>
      <c r="AM13" s="63">
        <v>1</v>
      </c>
      <c r="AN13" s="64" t="s">
        <v>114</v>
      </c>
      <c r="AO13" s="1871"/>
      <c r="AP13" s="61">
        <v>1.6759999999999999</v>
      </c>
      <c r="AQ13" s="62" t="s">
        <v>113</v>
      </c>
      <c r="AR13" s="63">
        <v>1</v>
      </c>
      <c r="AS13" s="64" t="s">
        <v>114</v>
      </c>
      <c r="AT13" s="1871"/>
      <c r="AU13" s="61">
        <v>2.6669999999999998</v>
      </c>
      <c r="AV13" s="62" t="s">
        <v>113</v>
      </c>
      <c r="AW13" s="63">
        <v>1</v>
      </c>
      <c r="AX13" s="64" t="s">
        <v>114</v>
      </c>
      <c r="AY13" s="1871"/>
      <c r="AZ13" s="61">
        <v>9.9999999999999995E-7</v>
      </c>
      <c r="BA13" s="62" t="s">
        <v>113</v>
      </c>
      <c r="BB13" s="63"/>
      <c r="BC13" s="64" t="s">
        <v>114</v>
      </c>
      <c r="BD13" s="1871"/>
      <c r="BE13" s="61">
        <v>9.9999999999999995E-7</v>
      </c>
      <c r="BF13" s="62" t="s">
        <v>113</v>
      </c>
      <c r="BG13" s="63">
        <v>1</v>
      </c>
      <c r="BH13" s="64" t="s">
        <v>114</v>
      </c>
      <c r="BI13" s="1871"/>
      <c r="BJ13" s="61">
        <v>2.641</v>
      </c>
      <c r="BK13" s="62" t="s">
        <v>113</v>
      </c>
      <c r="BL13" s="63">
        <v>1</v>
      </c>
      <c r="BM13" s="64" t="s">
        <v>114</v>
      </c>
      <c r="BN13" s="1871"/>
      <c r="BO13" s="61">
        <v>0.93899999999999995</v>
      </c>
      <c r="BP13" s="62" t="s">
        <v>113</v>
      </c>
      <c r="BQ13" s="63">
        <v>1</v>
      </c>
      <c r="BR13" s="64" t="s">
        <v>114</v>
      </c>
      <c r="BW13" s="27"/>
      <c r="BX13" s="27"/>
      <c r="BY13" s="27"/>
      <c r="BZ13" s="27"/>
      <c r="CA13" s="27"/>
      <c r="CB13" s="27"/>
      <c r="CC13" s="27"/>
      <c r="CD13" s="27"/>
      <c r="CE13" s="27"/>
    </row>
    <row r="14" spans="1:83" ht="22.5" customHeight="1" thickTop="1" x14ac:dyDescent="0.25">
      <c r="A14" s="1882" t="s">
        <v>110</v>
      </c>
      <c r="B14" s="1883"/>
      <c r="C14" s="1886">
        <f t="shared" ref="C14" si="25">B19/((36*3.1415/59)*(153/3.281))</f>
        <v>3.4009545648359379E-3</v>
      </c>
      <c r="D14" s="1886"/>
      <c r="E14" s="1887"/>
      <c r="F14" s="1882" t="s">
        <v>110</v>
      </c>
      <c r="G14" s="1883"/>
      <c r="H14" s="1886">
        <f t="shared" ref="H14" si="26">G19/((36*3.1415/59)*(153/3.281))</f>
        <v>8.5247611131742916E-3</v>
      </c>
      <c r="I14" s="1886"/>
      <c r="J14" s="1887"/>
      <c r="K14" s="1882" t="s">
        <v>110</v>
      </c>
      <c r="L14" s="1883"/>
      <c r="M14" s="1886">
        <f t="shared" ref="M14" si="27">L19/((36*3.1415/59)*(153/3.281))</f>
        <v>1.1187350542223481E-9</v>
      </c>
      <c r="N14" s="1886"/>
      <c r="O14" s="1887"/>
      <c r="P14" s="1882" t="s">
        <v>110</v>
      </c>
      <c r="Q14" s="1883"/>
      <c r="R14" s="1886">
        <f t="shared" ref="R14" si="28">Q19/((36*3.1415/59)*(153/3.281))</f>
        <v>1.118735054222348E-13</v>
      </c>
      <c r="S14" s="1886"/>
      <c r="T14" s="1887"/>
      <c r="U14" s="1882" t="s">
        <v>110</v>
      </c>
      <c r="V14" s="1883"/>
      <c r="W14" s="1886">
        <f t="shared" ref="W14" si="29">V19/((36*3.1415/59)*(153/3.281))</f>
        <v>7.9542062355208946E-3</v>
      </c>
      <c r="X14" s="1886"/>
      <c r="Y14" s="1887"/>
      <c r="Z14" s="1882" t="s">
        <v>110</v>
      </c>
      <c r="AA14" s="1883"/>
      <c r="AB14" s="1886">
        <f t="shared" ref="AB14" si="30">AA19/((36*3.1415/59)*(153/3.281))</f>
        <v>3.4009545648359379E-3</v>
      </c>
      <c r="AC14" s="1886"/>
      <c r="AD14" s="1887"/>
      <c r="AE14" s="1882" t="s">
        <v>110</v>
      </c>
      <c r="AF14" s="1883"/>
      <c r="AG14" s="1886">
        <f t="shared" ref="AG14" si="31">AF19/((36*3.1415/59)*(153/3.281))</f>
        <v>6.5334127166585118E-3</v>
      </c>
      <c r="AH14" s="1886"/>
      <c r="AI14" s="1887"/>
      <c r="AJ14" s="1882" t="s">
        <v>110</v>
      </c>
      <c r="AK14" s="1883"/>
      <c r="AL14" s="1886">
        <f t="shared" ref="AL14" si="32">AK19/((36*3.1415/59)*(153/3.281))</f>
        <v>1.7004772824179689E-3</v>
      </c>
      <c r="AM14" s="1886"/>
      <c r="AN14" s="1887"/>
      <c r="AO14" s="1882" t="s">
        <v>110</v>
      </c>
      <c r="AP14" s="1883"/>
      <c r="AQ14" s="1886">
        <f t="shared" ref="AQ14" si="33">AP19/((36*3.1415/59)*(153/3.281))</f>
        <v>1.1187350542223481E-10</v>
      </c>
      <c r="AR14" s="1886"/>
      <c r="AS14" s="1887"/>
      <c r="AT14" s="1882" t="s">
        <v>110</v>
      </c>
      <c r="AU14" s="1883"/>
      <c r="AV14" s="1886">
        <f t="shared" ref="AV14" si="34">AU19/((36*3.1415/59)*(153/3.281))</f>
        <v>1.4207935188623819E-3</v>
      </c>
      <c r="AW14" s="1886"/>
      <c r="AX14" s="1887"/>
      <c r="AY14" s="1882" t="s">
        <v>110</v>
      </c>
      <c r="AZ14" s="1883"/>
      <c r="BA14" s="1886">
        <f t="shared" ref="BA14" si="35">AZ19/((36*3.1415/59)*(153/3.281))</f>
        <v>9.6546835179388626E-3</v>
      </c>
      <c r="BB14" s="1886"/>
      <c r="BC14" s="1887"/>
      <c r="BD14" s="1882" t="s">
        <v>110</v>
      </c>
      <c r="BE14" s="1883"/>
      <c r="BF14" s="1886">
        <f t="shared" ref="BF14" si="36">BE19/((36*3.1415/59)*(153/3.281))</f>
        <v>1.1187350542223481E-10</v>
      </c>
      <c r="BG14" s="1886"/>
      <c r="BH14" s="1887"/>
      <c r="BI14" s="1882" t="s">
        <v>110</v>
      </c>
      <c r="BJ14" s="1883"/>
      <c r="BK14" s="1886">
        <f t="shared" ref="BK14" si="37">BJ19/((36*3.1415/59)*(153/3.281))</f>
        <v>5.9628578390051156E-3</v>
      </c>
      <c r="BL14" s="1886"/>
      <c r="BM14" s="1887"/>
      <c r="BN14" s="1882" t="s">
        <v>110</v>
      </c>
      <c r="BO14" s="1883"/>
      <c r="BP14" s="1886">
        <f t="shared" ref="BP14" si="38">BO19/((36*3.1415/59)*(153/3.281))</f>
        <v>1.9801610459735559E-3</v>
      </c>
      <c r="BQ14" s="1886"/>
      <c r="BR14" s="1887"/>
    </row>
    <row r="15" spans="1:83" ht="22.5" customHeight="1" x14ac:dyDescent="0.25">
      <c r="A15" s="1884"/>
      <c r="B15" s="1885"/>
      <c r="C15" s="1888"/>
      <c r="D15" s="1888"/>
      <c r="E15" s="1889"/>
      <c r="F15" s="1884"/>
      <c r="G15" s="1885"/>
      <c r="H15" s="1888"/>
      <c r="I15" s="1888"/>
      <c r="J15" s="1889"/>
      <c r="K15" s="1884"/>
      <c r="L15" s="1885"/>
      <c r="M15" s="1888"/>
      <c r="N15" s="1888"/>
      <c r="O15" s="1889"/>
      <c r="P15" s="1884"/>
      <c r="Q15" s="1885"/>
      <c r="R15" s="1888"/>
      <c r="S15" s="1888"/>
      <c r="T15" s="1889"/>
      <c r="U15" s="1884"/>
      <c r="V15" s="1885"/>
      <c r="W15" s="1888"/>
      <c r="X15" s="1888"/>
      <c r="Y15" s="1889"/>
      <c r="Z15" s="1884"/>
      <c r="AA15" s="1885"/>
      <c r="AB15" s="1888"/>
      <c r="AC15" s="1888"/>
      <c r="AD15" s="1889"/>
      <c r="AE15" s="1884"/>
      <c r="AF15" s="1885"/>
      <c r="AG15" s="1888"/>
      <c r="AH15" s="1888"/>
      <c r="AI15" s="1889"/>
      <c r="AJ15" s="1884"/>
      <c r="AK15" s="1885"/>
      <c r="AL15" s="1888"/>
      <c r="AM15" s="1888"/>
      <c r="AN15" s="1889"/>
      <c r="AO15" s="1884"/>
      <c r="AP15" s="1885"/>
      <c r="AQ15" s="1888"/>
      <c r="AR15" s="1888"/>
      <c r="AS15" s="1889"/>
      <c r="AT15" s="1884"/>
      <c r="AU15" s="1885"/>
      <c r="AV15" s="1888"/>
      <c r="AW15" s="1888"/>
      <c r="AX15" s="1889"/>
      <c r="AY15" s="1884"/>
      <c r="AZ15" s="1885"/>
      <c r="BA15" s="1888"/>
      <c r="BB15" s="1888"/>
      <c r="BC15" s="1889"/>
      <c r="BD15" s="1884"/>
      <c r="BE15" s="1885"/>
      <c r="BF15" s="1888"/>
      <c r="BG15" s="1888"/>
      <c r="BH15" s="1889"/>
      <c r="BI15" s="1884"/>
      <c r="BJ15" s="1885"/>
      <c r="BK15" s="1888"/>
      <c r="BL15" s="1888"/>
      <c r="BM15" s="1889"/>
      <c r="BN15" s="1884"/>
      <c r="BO15" s="1885"/>
      <c r="BP15" s="1888"/>
      <c r="BQ15" s="1888"/>
      <c r="BR15" s="1889"/>
    </row>
    <row r="16" spans="1:83" ht="33" customHeight="1" x14ac:dyDescent="0.25">
      <c r="A16" s="3427" t="s">
        <v>111</v>
      </c>
      <c r="B16" s="3425"/>
      <c r="C16" s="3425"/>
      <c r="D16" s="3425"/>
      <c r="E16" s="3426"/>
      <c r="F16" s="3427" t="s">
        <v>111</v>
      </c>
      <c r="G16" s="3425"/>
      <c r="H16" s="3425"/>
      <c r="I16" s="3425"/>
      <c r="J16" s="3426"/>
      <c r="K16" s="3427" t="s">
        <v>111</v>
      </c>
      <c r="L16" s="3425"/>
      <c r="M16" s="3425"/>
      <c r="N16" s="3425"/>
      <c r="O16" s="3426"/>
      <c r="P16" s="3427" t="s">
        <v>111</v>
      </c>
      <c r="Q16" s="3425"/>
      <c r="R16" s="3425"/>
      <c r="S16" s="3425"/>
      <c r="T16" s="3426"/>
      <c r="U16" s="3427" t="s">
        <v>111</v>
      </c>
      <c r="V16" s="3425"/>
      <c r="W16" s="3425"/>
      <c r="X16" s="3425"/>
      <c r="Y16" s="3426"/>
      <c r="Z16" s="3427" t="s">
        <v>111</v>
      </c>
      <c r="AA16" s="3425"/>
      <c r="AB16" s="3425"/>
      <c r="AC16" s="3425"/>
      <c r="AD16" s="3426"/>
      <c r="AE16" s="3427" t="s">
        <v>111</v>
      </c>
      <c r="AF16" s="3425"/>
      <c r="AG16" s="3425"/>
      <c r="AH16" s="3425"/>
      <c r="AI16" s="3426"/>
      <c r="AJ16" s="3427" t="s">
        <v>111</v>
      </c>
      <c r="AK16" s="3425"/>
      <c r="AL16" s="3425"/>
      <c r="AM16" s="3425"/>
      <c r="AN16" s="3426"/>
      <c r="AO16" s="3427" t="s">
        <v>111</v>
      </c>
      <c r="AP16" s="3425"/>
      <c r="AQ16" s="3425"/>
      <c r="AR16" s="3425"/>
      <c r="AS16" s="3426"/>
      <c r="AT16" s="3427" t="s">
        <v>111</v>
      </c>
      <c r="AU16" s="3425"/>
      <c r="AV16" s="3425"/>
      <c r="AW16" s="3425"/>
      <c r="AX16" s="3426"/>
      <c r="AY16" s="3427" t="s">
        <v>111</v>
      </c>
      <c r="AZ16" s="3425"/>
      <c r="BA16" s="3425"/>
      <c r="BB16" s="3425"/>
      <c r="BC16" s="3426"/>
      <c r="BD16" s="3427" t="s">
        <v>111</v>
      </c>
      <c r="BE16" s="3425"/>
      <c r="BF16" s="3425"/>
      <c r="BG16" s="3425"/>
      <c r="BH16" s="3426"/>
      <c r="BI16" s="3427" t="s">
        <v>111</v>
      </c>
      <c r="BJ16" s="3425"/>
      <c r="BK16" s="3425"/>
      <c r="BL16" s="3425"/>
      <c r="BM16" s="3426"/>
      <c r="BN16" s="3427" t="s">
        <v>111</v>
      </c>
      <c r="BO16" s="3425"/>
      <c r="BP16" s="3425"/>
      <c r="BQ16" s="3425"/>
      <c r="BR16" s="3426"/>
    </row>
    <row r="17" spans="1:112" ht="33" customHeight="1" x14ac:dyDescent="0.25">
      <c r="A17" s="3425" t="s">
        <v>454</v>
      </c>
      <c r="B17" s="3425"/>
      <c r="C17" s="3425" t="s">
        <v>455</v>
      </c>
      <c r="D17" s="3425"/>
      <c r="E17" s="3426"/>
      <c r="F17" s="3425" t="s">
        <v>454</v>
      </c>
      <c r="G17" s="3425"/>
      <c r="H17" s="3425" t="s">
        <v>455</v>
      </c>
      <c r="I17" s="3425"/>
      <c r="J17" s="3426"/>
      <c r="K17" s="3425" t="s">
        <v>454</v>
      </c>
      <c r="L17" s="3425"/>
      <c r="M17" s="3425" t="s">
        <v>455</v>
      </c>
      <c r="N17" s="3425"/>
      <c r="O17" s="3426"/>
      <c r="P17" s="3425" t="s">
        <v>454</v>
      </c>
      <c r="Q17" s="3425"/>
      <c r="R17" s="3425" t="s">
        <v>455</v>
      </c>
      <c r="S17" s="3425"/>
      <c r="T17" s="3426"/>
      <c r="U17" s="3425" t="s">
        <v>454</v>
      </c>
      <c r="V17" s="3425"/>
      <c r="W17" s="3425" t="s">
        <v>455</v>
      </c>
      <c r="X17" s="3425"/>
      <c r="Y17" s="3426"/>
      <c r="Z17" s="3425" t="s">
        <v>454</v>
      </c>
      <c r="AA17" s="3425"/>
      <c r="AB17" s="3425" t="s">
        <v>455</v>
      </c>
      <c r="AC17" s="3425"/>
      <c r="AD17" s="3426"/>
      <c r="AE17" s="3425" t="s">
        <v>454</v>
      </c>
      <c r="AF17" s="3425"/>
      <c r="AG17" s="3425" t="s">
        <v>455</v>
      </c>
      <c r="AH17" s="3425"/>
      <c r="AI17" s="3426"/>
      <c r="AJ17" s="3425" t="s">
        <v>454</v>
      </c>
      <c r="AK17" s="3425"/>
      <c r="AL17" s="3425" t="s">
        <v>455</v>
      </c>
      <c r="AM17" s="3425"/>
      <c r="AN17" s="3426"/>
      <c r="AO17" s="3425" t="s">
        <v>454</v>
      </c>
      <c r="AP17" s="3425"/>
      <c r="AQ17" s="3425" t="s">
        <v>455</v>
      </c>
      <c r="AR17" s="3425"/>
      <c r="AS17" s="3426"/>
      <c r="AT17" s="3425" t="s">
        <v>454</v>
      </c>
      <c r="AU17" s="3425"/>
      <c r="AV17" s="3425" t="s">
        <v>455</v>
      </c>
      <c r="AW17" s="3425"/>
      <c r="AX17" s="3426"/>
      <c r="AY17" s="3425" t="s">
        <v>454</v>
      </c>
      <c r="AZ17" s="3425"/>
      <c r="BA17" s="3425" t="s">
        <v>455</v>
      </c>
      <c r="BB17" s="3425"/>
      <c r="BC17" s="3426"/>
      <c r="BD17" s="3425" t="s">
        <v>454</v>
      </c>
      <c r="BE17" s="3425"/>
      <c r="BF17" s="3425" t="s">
        <v>455</v>
      </c>
      <c r="BG17" s="3425"/>
      <c r="BH17" s="3426"/>
      <c r="BI17" s="3425" t="s">
        <v>454</v>
      </c>
      <c r="BJ17" s="3425"/>
      <c r="BK17" s="3425" t="s">
        <v>455</v>
      </c>
      <c r="BL17" s="3425"/>
      <c r="BM17" s="3426"/>
      <c r="BN17" s="3425" t="s">
        <v>454</v>
      </c>
      <c r="BO17" s="3425"/>
      <c r="BP17" s="3425" t="s">
        <v>455</v>
      </c>
      <c r="BQ17" s="3425"/>
      <c r="BR17" s="3426"/>
    </row>
    <row r="18" spans="1:112" s="22" customFormat="1" ht="84.95" customHeight="1" x14ac:dyDescent="1.35">
      <c r="A18" s="1870" t="s">
        <v>456</v>
      </c>
      <c r="B18" s="588">
        <v>29</v>
      </c>
      <c r="C18" s="589"/>
      <c r="D18" s="589"/>
      <c r="E18" s="590"/>
      <c r="F18" s="1870" t="s">
        <v>456</v>
      </c>
      <c r="G18" s="588">
        <v>30</v>
      </c>
      <c r="H18" s="589"/>
      <c r="I18" s="589"/>
      <c r="J18" s="590"/>
      <c r="K18" s="1870" t="s">
        <v>456</v>
      </c>
      <c r="L18" s="588">
        <v>31</v>
      </c>
      <c r="M18" s="589"/>
      <c r="N18" s="589"/>
      <c r="O18" s="590"/>
      <c r="P18" s="1870" t="s">
        <v>456</v>
      </c>
      <c r="Q18" s="588">
        <v>32</v>
      </c>
      <c r="R18" s="589"/>
      <c r="S18" s="589"/>
      <c r="T18" s="590"/>
      <c r="U18" s="1870" t="s">
        <v>456</v>
      </c>
      <c r="V18" s="588">
        <v>33</v>
      </c>
      <c r="W18" s="589"/>
      <c r="X18" s="589"/>
      <c r="Y18" s="590"/>
      <c r="Z18" s="1870" t="s">
        <v>456</v>
      </c>
      <c r="AA18" s="588">
        <v>34</v>
      </c>
      <c r="AB18" s="589"/>
      <c r="AC18" s="589"/>
      <c r="AD18" s="590"/>
      <c r="AE18" s="1870" t="s">
        <v>456</v>
      </c>
      <c r="AF18" s="588">
        <v>35</v>
      </c>
      <c r="AG18" s="589"/>
      <c r="AH18" s="589"/>
      <c r="AI18" s="590"/>
      <c r="AJ18" s="1870" t="s">
        <v>456</v>
      </c>
      <c r="AK18" s="588">
        <v>36</v>
      </c>
      <c r="AL18" s="589"/>
      <c r="AM18" s="589"/>
      <c r="AN18" s="590"/>
      <c r="AO18" s="1870" t="s">
        <v>456</v>
      </c>
      <c r="AP18" s="588">
        <v>37</v>
      </c>
      <c r="AQ18" s="589"/>
      <c r="AR18" s="589"/>
      <c r="AS18" s="590"/>
      <c r="AT18" s="1870" t="s">
        <v>456</v>
      </c>
      <c r="AU18" s="588">
        <v>38</v>
      </c>
      <c r="AV18" s="589"/>
      <c r="AW18" s="589"/>
      <c r="AX18" s="590"/>
      <c r="AY18" s="1870" t="s">
        <v>456</v>
      </c>
      <c r="AZ18" s="588">
        <v>39</v>
      </c>
      <c r="BA18" s="589"/>
      <c r="BB18" s="589"/>
      <c r="BC18" s="590"/>
      <c r="BD18" s="1870" t="s">
        <v>456</v>
      </c>
      <c r="BE18" s="588">
        <v>40</v>
      </c>
      <c r="BF18" s="589"/>
      <c r="BG18" s="589"/>
      <c r="BH18" s="590"/>
      <c r="BI18" s="1870" t="s">
        <v>456</v>
      </c>
      <c r="BJ18" s="588">
        <v>41</v>
      </c>
      <c r="BK18" s="589"/>
      <c r="BL18" s="589"/>
      <c r="BM18" s="590"/>
      <c r="BN18" s="1870" t="s">
        <v>456</v>
      </c>
      <c r="BO18" s="588">
        <v>42</v>
      </c>
      <c r="BP18" s="589"/>
      <c r="BQ18" s="589"/>
      <c r="BR18" s="590"/>
    </row>
    <row r="19" spans="1:112" ht="37.5" customHeight="1" thickBot="1" x14ac:dyDescent="0.3">
      <c r="A19" s="1871"/>
      <c r="B19" s="61">
        <v>0.30399999999999999</v>
      </c>
      <c r="C19" s="62" t="s">
        <v>113</v>
      </c>
      <c r="D19" s="63"/>
      <c r="E19" s="64" t="s">
        <v>114</v>
      </c>
      <c r="F19" s="1871"/>
      <c r="G19" s="61">
        <v>0.76200000000000001</v>
      </c>
      <c r="H19" s="62" t="s">
        <v>113</v>
      </c>
      <c r="I19" s="63">
        <v>1</v>
      </c>
      <c r="J19" s="64" t="s">
        <v>114</v>
      </c>
      <c r="K19" s="1871"/>
      <c r="L19" s="61">
        <v>9.9999999999999995E-8</v>
      </c>
      <c r="M19" s="62" t="s">
        <v>113</v>
      </c>
      <c r="N19" s="63">
        <v>1</v>
      </c>
      <c r="O19" s="64" t="s">
        <v>114</v>
      </c>
      <c r="P19" s="1871"/>
      <c r="Q19" s="61">
        <v>9.9999999999999994E-12</v>
      </c>
      <c r="R19" s="62" t="s">
        <v>113</v>
      </c>
      <c r="S19" s="63"/>
      <c r="T19" s="64" t="s">
        <v>114</v>
      </c>
      <c r="U19" s="1871"/>
      <c r="V19" s="61">
        <v>0.71099999999999997</v>
      </c>
      <c r="W19" s="62" t="s">
        <v>113</v>
      </c>
      <c r="X19" s="63">
        <v>1</v>
      </c>
      <c r="Y19" s="64" t="s">
        <v>114</v>
      </c>
      <c r="Z19" s="1871"/>
      <c r="AA19" s="61">
        <v>0.30399999999999999</v>
      </c>
      <c r="AB19" s="62" t="s">
        <v>113</v>
      </c>
      <c r="AC19" s="63">
        <v>1</v>
      </c>
      <c r="AD19" s="64" t="s">
        <v>114</v>
      </c>
      <c r="AE19" s="1871"/>
      <c r="AF19" s="61">
        <v>0.58399999999999996</v>
      </c>
      <c r="AG19" s="62" t="s">
        <v>113</v>
      </c>
      <c r="AH19" s="63">
        <v>1</v>
      </c>
      <c r="AI19" s="64" t="s">
        <v>114</v>
      </c>
      <c r="AJ19" s="1871"/>
      <c r="AK19" s="61">
        <v>0.152</v>
      </c>
      <c r="AL19" s="62" t="s">
        <v>113</v>
      </c>
      <c r="AM19" s="63">
        <v>1</v>
      </c>
      <c r="AN19" s="64" t="s">
        <v>114</v>
      </c>
      <c r="AO19" s="1871"/>
      <c r="AP19" s="61">
        <v>1E-8</v>
      </c>
      <c r="AQ19" s="62" t="s">
        <v>113</v>
      </c>
      <c r="AR19" s="63"/>
      <c r="AS19" s="64" t="s">
        <v>114</v>
      </c>
      <c r="AT19" s="1871"/>
      <c r="AU19" s="61">
        <v>0.127</v>
      </c>
      <c r="AV19" s="62" t="s">
        <v>113</v>
      </c>
      <c r="AW19" s="63">
        <v>1</v>
      </c>
      <c r="AX19" s="64" t="s">
        <v>114</v>
      </c>
      <c r="AY19" s="1871"/>
      <c r="AZ19" s="61">
        <v>0.86299999999999999</v>
      </c>
      <c r="BA19" s="62" t="s">
        <v>113</v>
      </c>
      <c r="BB19" s="63">
        <v>1</v>
      </c>
      <c r="BC19" s="64" t="s">
        <v>114</v>
      </c>
      <c r="BD19" s="1871"/>
      <c r="BE19" s="61">
        <v>1E-8</v>
      </c>
      <c r="BF19" s="62" t="s">
        <v>113</v>
      </c>
      <c r="BG19" s="63">
        <v>1</v>
      </c>
      <c r="BH19" s="64" t="s">
        <v>114</v>
      </c>
      <c r="BI19" s="1871"/>
      <c r="BJ19" s="61">
        <v>0.53300000000000003</v>
      </c>
      <c r="BK19" s="62" t="s">
        <v>113</v>
      </c>
      <c r="BL19" s="63"/>
      <c r="BM19" s="64" t="s">
        <v>114</v>
      </c>
      <c r="BN19" s="1871"/>
      <c r="BO19" s="61">
        <v>0.17699999999999999</v>
      </c>
      <c r="BP19" s="62" t="s">
        <v>113</v>
      </c>
      <c r="BQ19" s="63">
        <v>1</v>
      </c>
      <c r="BR19" s="64" t="s">
        <v>114</v>
      </c>
      <c r="BW19" s="27"/>
      <c r="BX19" s="27"/>
      <c r="BY19" s="27"/>
      <c r="BZ19" s="27"/>
      <c r="CA19" s="27"/>
      <c r="CB19" s="27"/>
      <c r="CC19" s="27"/>
      <c r="CD19" s="27"/>
      <c r="CE19" s="27"/>
    </row>
    <row r="20" spans="1:112" ht="22.5" customHeight="1" thickTop="1" x14ac:dyDescent="0.25">
      <c r="A20" s="1882" t="s">
        <v>110</v>
      </c>
      <c r="B20" s="1883"/>
      <c r="C20" s="1886">
        <f t="shared" ref="C20" si="39">B25/((36*3.1415/59)*(153/3.281))</f>
        <v>1.7049522226348583E-2</v>
      </c>
      <c r="D20" s="1886"/>
      <c r="E20" s="1887"/>
      <c r="F20" s="1882" t="s">
        <v>110</v>
      </c>
      <c r="G20" s="1883"/>
      <c r="H20" s="1886">
        <f t="shared" ref="H20" si="40">G25/((36*3.1415/59)*(153/3.281))</f>
        <v>4.5420643201427337E-3</v>
      </c>
      <c r="I20" s="1886"/>
      <c r="J20" s="1887"/>
      <c r="K20" s="1882" t="s">
        <v>110</v>
      </c>
      <c r="L20" s="1883"/>
      <c r="M20" s="1886">
        <f t="shared" ref="M20" si="41">L25/((36*3.1415/59)*(153/3.281))</f>
        <v>1.9891109264073351E-3</v>
      </c>
      <c r="N20" s="1886"/>
      <c r="O20" s="1887"/>
      <c r="P20" s="1882" t="s">
        <v>110</v>
      </c>
      <c r="Q20" s="1883"/>
      <c r="R20" s="1886">
        <f t="shared" ref="R20" si="42">Q25/((36*3.1415/59)*(153/3.281))</f>
        <v>4.5465392603596224E-3</v>
      </c>
      <c r="S20" s="1886"/>
      <c r="T20" s="1887"/>
      <c r="U20" s="1882" t="s">
        <v>110</v>
      </c>
      <c r="V20" s="1883"/>
      <c r="W20" s="1886">
        <f t="shared" ref="W20" si="43">V25/((36*3.1415/59)*(153/3.281))</f>
        <v>1.1366348150899056E-3</v>
      </c>
      <c r="X20" s="1886"/>
      <c r="Y20" s="1887"/>
      <c r="Z20" s="1882" t="s">
        <v>110</v>
      </c>
      <c r="AA20" s="1883"/>
      <c r="AB20" s="1886">
        <f t="shared" ref="AB20" si="44">AA25/((36*3.1415/59)*(153/3.281))</f>
        <v>1.9801610459735559E-3</v>
      </c>
      <c r="AC20" s="1886"/>
      <c r="AD20" s="1887"/>
      <c r="AE20" s="582" t="s">
        <v>110</v>
      </c>
      <c r="AF20" s="3174"/>
      <c r="AG20" s="3177">
        <f>AF25/((36*3.1415/59)*(180/3.281))</f>
        <v>2.8908113801105468E-3</v>
      </c>
      <c r="AH20" s="3177"/>
      <c r="AI20" s="3178"/>
      <c r="AJ20" s="582" t="s">
        <v>110</v>
      </c>
      <c r="AK20" s="3174"/>
      <c r="AL20" s="3177">
        <f t="shared" ref="AL20" si="45">AK25/((36*3.1415/59)*(180/3.281))</f>
        <v>3.8607546721213231E-3</v>
      </c>
      <c r="AM20" s="3177"/>
      <c r="AN20" s="3178"/>
      <c r="AO20" s="582" t="s">
        <v>110</v>
      </c>
      <c r="AP20" s="3174"/>
      <c r="AQ20" s="3177">
        <f t="shared" ref="AQ20" si="46">AP25/((36*3.1415/59)*(180/3.281))</f>
        <v>2.3183546528649717E-2</v>
      </c>
      <c r="AR20" s="3177"/>
      <c r="AS20" s="3178"/>
      <c r="AT20" s="582" t="s">
        <v>110</v>
      </c>
      <c r="AU20" s="3174"/>
      <c r="AV20" s="3177">
        <f t="shared" ref="AV20" si="47">AU25/((36*3.1415/59)*(180/3.281))</f>
        <v>1.9303773360606616E-3</v>
      </c>
      <c r="AW20" s="3177"/>
      <c r="AX20" s="3178"/>
      <c r="AY20" s="582" t="s">
        <v>110</v>
      </c>
      <c r="AZ20" s="3174"/>
      <c r="BA20" s="3177">
        <f t="shared" ref="BA20" si="48">AZ25/((36*3.1415/59)*(180/3.281))</f>
        <v>2.1681085350829105E-3</v>
      </c>
      <c r="BB20" s="3177"/>
      <c r="BC20" s="3178"/>
      <c r="BD20" s="582" t="s">
        <v>110</v>
      </c>
      <c r="BE20" s="3174"/>
      <c r="BF20" s="3177">
        <f t="shared" ref="BF20" si="49">BE25/((36*3.1415/59)*(180/3.281))</f>
        <v>3.6230234730990738E-3</v>
      </c>
      <c r="BG20" s="3177"/>
      <c r="BH20" s="3178"/>
      <c r="BI20" s="582" t="s">
        <v>110</v>
      </c>
      <c r="BJ20" s="3174"/>
      <c r="BK20" s="3177">
        <f t="shared" ref="BK20" si="50">BJ25/((36*3.1415/59)*(180/3.281))</f>
        <v>8.6952563354377767E-3</v>
      </c>
      <c r="BL20" s="3177"/>
      <c r="BM20" s="3178"/>
      <c r="BN20" s="582" t="s">
        <v>110</v>
      </c>
      <c r="BO20" s="3174"/>
      <c r="BP20" s="3177">
        <f t="shared" ref="BP20" si="51">BO25/((36*3.1415/59)*(180/3.281))</f>
        <v>1.4492093892396296E-3</v>
      </c>
      <c r="BQ20" s="3177"/>
      <c r="BR20" s="3178"/>
    </row>
    <row r="21" spans="1:112" ht="22.5" customHeight="1" x14ac:dyDescent="0.25">
      <c r="A21" s="1884"/>
      <c r="B21" s="1885"/>
      <c r="C21" s="1888"/>
      <c r="D21" s="1888"/>
      <c r="E21" s="1889"/>
      <c r="F21" s="1884"/>
      <c r="G21" s="1885"/>
      <c r="H21" s="1888"/>
      <c r="I21" s="1888"/>
      <c r="J21" s="1889"/>
      <c r="K21" s="1884"/>
      <c r="L21" s="1885"/>
      <c r="M21" s="1888"/>
      <c r="N21" s="1888"/>
      <c r="O21" s="1889"/>
      <c r="P21" s="1884"/>
      <c r="Q21" s="1885"/>
      <c r="R21" s="1888"/>
      <c r="S21" s="1888"/>
      <c r="T21" s="1889"/>
      <c r="U21" s="1884"/>
      <c r="V21" s="1885"/>
      <c r="W21" s="1888"/>
      <c r="X21" s="1888"/>
      <c r="Y21" s="1889"/>
      <c r="Z21" s="1884"/>
      <c r="AA21" s="1885"/>
      <c r="AB21" s="1888"/>
      <c r="AC21" s="1888"/>
      <c r="AD21" s="1889"/>
      <c r="AE21" s="3175"/>
      <c r="AF21" s="3176"/>
      <c r="AG21" s="3179"/>
      <c r="AH21" s="3179"/>
      <c r="AI21" s="3180"/>
      <c r="AJ21" s="3175"/>
      <c r="AK21" s="3176"/>
      <c r="AL21" s="3179"/>
      <c r="AM21" s="3179"/>
      <c r="AN21" s="3180"/>
      <c r="AO21" s="3175"/>
      <c r="AP21" s="3176"/>
      <c r="AQ21" s="3179"/>
      <c r="AR21" s="3179"/>
      <c r="AS21" s="3180"/>
      <c r="AT21" s="3175"/>
      <c r="AU21" s="3176"/>
      <c r="AV21" s="3179"/>
      <c r="AW21" s="3179"/>
      <c r="AX21" s="3180"/>
      <c r="AY21" s="3175"/>
      <c r="AZ21" s="3176"/>
      <c r="BA21" s="3179"/>
      <c r="BB21" s="3179"/>
      <c r="BC21" s="3180"/>
      <c r="BD21" s="3175"/>
      <c r="BE21" s="3176"/>
      <c r="BF21" s="3179"/>
      <c r="BG21" s="3179"/>
      <c r="BH21" s="3180"/>
      <c r="BI21" s="3175"/>
      <c r="BJ21" s="3176"/>
      <c r="BK21" s="3179"/>
      <c r="BL21" s="3179"/>
      <c r="BM21" s="3180"/>
      <c r="BN21" s="3175"/>
      <c r="BO21" s="3176"/>
      <c r="BP21" s="3179"/>
      <c r="BQ21" s="3179"/>
      <c r="BR21" s="3180"/>
    </row>
    <row r="22" spans="1:112" ht="33" customHeight="1" x14ac:dyDescent="0.25">
      <c r="A22" s="3427" t="s">
        <v>111</v>
      </c>
      <c r="B22" s="3425"/>
      <c r="C22" s="3425"/>
      <c r="D22" s="3425"/>
      <c r="E22" s="3426"/>
      <c r="F22" s="3427" t="s">
        <v>111</v>
      </c>
      <c r="G22" s="3425"/>
      <c r="H22" s="3425"/>
      <c r="I22" s="3425"/>
      <c r="J22" s="3426"/>
      <c r="K22" s="3427" t="s">
        <v>111</v>
      </c>
      <c r="L22" s="3425"/>
      <c r="M22" s="3425"/>
      <c r="N22" s="3425"/>
      <c r="O22" s="3426"/>
      <c r="P22" s="3427" t="s">
        <v>111</v>
      </c>
      <c r="Q22" s="3425"/>
      <c r="R22" s="3425"/>
      <c r="S22" s="3425"/>
      <c r="T22" s="3426"/>
      <c r="U22" s="3427" t="s">
        <v>111</v>
      </c>
      <c r="V22" s="3425"/>
      <c r="W22" s="3425"/>
      <c r="X22" s="3425"/>
      <c r="Y22" s="3426"/>
      <c r="Z22" s="3427" t="s">
        <v>111</v>
      </c>
      <c r="AA22" s="3425"/>
      <c r="AB22" s="3425"/>
      <c r="AC22" s="3425"/>
      <c r="AD22" s="3426"/>
      <c r="AE22" s="3427" t="s">
        <v>111</v>
      </c>
      <c r="AF22" s="3425"/>
      <c r="AG22" s="3425"/>
      <c r="AH22" s="3425"/>
      <c r="AI22" s="3426"/>
      <c r="AJ22" s="3427" t="s">
        <v>111</v>
      </c>
      <c r="AK22" s="3425"/>
      <c r="AL22" s="3425"/>
      <c r="AM22" s="3425"/>
      <c r="AN22" s="3426"/>
      <c r="AO22" s="3427" t="s">
        <v>111</v>
      </c>
      <c r="AP22" s="3425"/>
      <c r="AQ22" s="3425"/>
      <c r="AR22" s="3425"/>
      <c r="AS22" s="3426"/>
      <c r="AT22" s="3427" t="s">
        <v>111</v>
      </c>
      <c r="AU22" s="3425"/>
      <c r="AV22" s="3425"/>
      <c r="AW22" s="3425"/>
      <c r="AX22" s="3426"/>
      <c r="AY22" s="3427" t="s">
        <v>111</v>
      </c>
      <c r="AZ22" s="3425"/>
      <c r="BA22" s="3425"/>
      <c r="BB22" s="3425"/>
      <c r="BC22" s="3426"/>
      <c r="BD22" s="3427" t="s">
        <v>111</v>
      </c>
      <c r="BE22" s="3425"/>
      <c r="BF22" s="3425"/>
      <c r="BG22" s="3425"/>
      <c r="BH22" s="3426"/>
      <c r="BI22" s="3427" t="s">
        <v>111</v>
      </c>
      <c r="BJ22" s="3425"/>
      <c r="BK22" s="3425"/>
      <c r="BL22" s="3425"/>
      <c r="BM22" s="3426"/>
      <c r="BN22" s="3427" t="s">
        <v>111</v>
      </c>
      <c r="BO22" s="3425"/>
      <c r="BP22" s="3425"/>
      <c r="BQ22" s="3425"/>
      <c r="BR22" s="3426"/>
    </row>
    <row r="23" spans="1:112" ht="33" customHeight="1" x14ac:dyDescent="0.25">
      <c r="A23" s="3425" t="s">
        <v>454</v>
      </c>
      <c r="B23" s="3425"/>
      <c r="C23" s="3425" t="s">
        <v>455</v>
      </c>
      <c r="D23" s="3425"/>
      <c r="E23" s="3426"/>
      <c r="F23" s="3425" t="s">
        <v>454</v>
      </c>
      <c r="G23" s="3425"/>
      <c r="H23" s="3425" t="s">
        <v>455</v>
      </c>
      <c r="I23" s="3425"/>
      <c r="J23" s="3426"/>
      <c r="K23" s="3425" t="s">
        <v>454</v>
      </c>
      <c r="L23" s="3425"/>
      <c r="M23" s="3425" t="s">
        <v>455</v>
      </c>
      <c r="N23" s="3425"/>
      <c r="O23" s="3426"/>
      <c r="P23" s="3425" t="s">
        <v>454</v>
      </c>
      <c r="Q23" s="3425"/>
      <c r="R23" s="3425" t="s">
        <v>455</v>
      </c>
      <c r="S23" s="3425"/>
      <c r="T23" s="3426"/>
      <c r="U23" s="3425" t="s">
        <v>454</v>
      </c>
      <c r="V23" s="3425"/>
      <c r="W23" s="3425" t="s">
        <v>455</v>
      </c>
      <c r="X23" s="3425"/>
      <c r="Y23" s="3426"/>
      <c r="Z23" s="3425" t="s">
        <v>454</v>
      </c>
      <c r="AA23" s="3425"/>
      <c r="AB23" s="3425" t="s">
        <v>455</v>
      </c>
      <c r="AC23" s="3425"/>
      <c r="AD23" s="3426"/>
      <c r="AE23" s="3425" t="s">
        <v>454</v>
      </c>
      <c r="AF23" s="3425"/>
      <c r="AG23" s="3425" t="s">
        <v>455</v>
      </c>
      <c r="AH23" s="3425"/>
      <c r="AI23" s="3426"/>
      <c r="AJ23" s="3425" t="s">
        <v>454</v>
      </c>
      <c r="AK23" s="3425"/>
      <c r="AL23" s="3425" t="s">
        <v>455</v>
      </c>
      <c r="AM23" s="3425"/>
      <c r="AN23" s="3426"/>
      <c r="AO23" s="3425" t="s">
        <v>454</v>
      </c>
      <c r="AP23" s="3425"/>
      <c r="AQ23" s="3425" t="s">
        <v>455</v>
      </c>
      <c r="AR23" s="3425"/>
      <c r="AS23" s="3426"/>
      <c r="AT23" s="3425" t="s">
        <v>454</v>
      </c>
      <c r="AU23" s="3425"/>
      <c r="AV23" s="3425" t="s">
        <v>455</v>
      </c>
      <c r="AW23" s="3425"/>
      <c r="AX23" s="3426"/>
      <c r="AY23" s="3425" t="s">
        <v>454</v>
      </c>
      <c r="AZ23" s="3425"/>
      <c r="BA23" s="3425" t="s">
        <v>455</v>
      </c>
      <c r="BB23" s="3425"/>
      <c r="BC23" s="3426"/>
      <c r="BD23" s="3425" t="s">
        <v>454</v>
      </c>
      <c r="BE23" s="3425"/>
      <c r="BF23" s="3425" t="s">
        <v>455</v>
      </c>
      <c r="BG23" s="3425"/>
      <c r="BH23" s="3426"/>
      <c r="BI23" s="3425" t="s">
        <v>454</v>
      </c>
      <c r="BJ23" s="3425"/>
      <c r="BK23" s="3425" t="s">
        <v>455</v>
      </c>
      <c r="BL23" s="3425"/>
      <c r="BM23" s="3426"/>
      <c r="BN23" s="3425" t="s">
        <v>454</v>
      </c>
      <c r="BO23" s="3425"/>
      <c r="BP23" s="3425" t="s">
        <v>455</v>
      </c>
      <c r="BQ23" s="3425"/>
      <c r="BR23" s="3426"/>
    </row>
    <row r="24" spans="1:112" s="22" customFormat="1" ht="84.95" customHeight="1" x14ac:dyDescent="1.35">
      <c r="A24" s="1870" t="s">
        <v>456</v>
      </c>
      <c r="B24" s="588">
        <v>43</v>
      </c>
      <c r="C24" s="589"/>
      <c r="D24" s="589"/>
      <c r="E24" s="590"/>
      <c r="F24" s="1870" t="s">
        <v>456</v>
      </c>
      <c r="G24" s="588">
        <v>44</v>
      </c>
      <c r="H24" s="589"/>
      <c r="I24" s="589"/>
      <c r="J24" s="590"/>
      <c r="K24" s="1870" t="s">
        <v>456</v>
      </c>
      <c r="L24" s="588">
        <v>45</v>
      </c>
      <c r="M24" s="589"/>
      <c r="N24" s="589"/>
      <c r="O24" s="590"/>
      <c r="P24" s="1870" t="s">
        <v>456</v>
      </c>
      <c r="Q24" s="588">
        <v>46</v>
      </c>
      <c r="R24" s="589"/>
      <c r="S24" s="589"/>
      <c r="T24" s="590"/>
      <c r="U24" s="1870" t="s">
        <v>456</v>
      </c>
      <c r="V24" s="588">
        <v>47</v>
      </c>
      <c r="W24" s="589"/>
      <c r="X24" s="589"/>
      <c r="Y24" s="590"/>
      <c r="Z24" s="1870" t="s">
        <v>456</v>
      </c>
      <c r="AA24" s="588">
        <v>48</v>
      </c>
      <c r="AB24" s="589"/>
      <c r="AC24" s="589"/>
      <c r="AD24" s="590"/>
      <c r="AE24" s="586" t="s">
        <v>457</v>
      </c>
      <c r="AF24" s="588">
        <v>49</v>
      </c>
      <c r="AG24" s="589"/>
      <c r="AH24" s="589"/>
      <c r="AI24" s="590"/>
      <c r="AJ24" s="586" t="s">
        <v>457</v>
      </c>
      <c r="AK24" s="588">
        <v>50</v>
      </c>
      <c r="AL24" s="589"/>
      <c r="AM24" s="589"/>
      <c r="AN24" s="590"/>
      <c r="AO24" s="586" t="s">
        <v>457</v>
      </c>
      <c r="AP24" s="588">
        <v>51</v>
      </c>
      <c r="AQ24" s="589"/>
      <c r="AR24" s="589"/>
      <c r="AS24" s="590"/>
      <c r="AT24" s="586" t="s">
        <v>457</v>
      </c>
      <c r="AU24" s="588">
        <v>52</v>
      </c>
      <c r="AV24" s="589"/>
      <c r="AW24" s="589"/>
      <c r="AX24" s="590"/>
      <c r="AY24" s="586" t="s">
        <v>457</v>
      </c>
      <c r="AZ24" s="588">
        <v>53</v>
      </c>
      <c r="BA24" s="589"/>
      <c r="BB24" s="589"/>
      <c r="BC24" s="590"/>
      <c r="BD24" s="586" t="s">
        <v>457</v>
      </c>
      <c r="BE24" s="588">
        <v>54</v>
      </c>
      <c r="BF24" s="589"/>
      <c r="BG24" s="589"/>
      <c r="BH24" s="590"/>
      <c r="BI24" s="586" t="s">
        <v>457</v>
      </c>
      <c r="BJ24" s="588">
        <v>55</v>
      </c>
      <c r="BK24" s="589"/>
      <c r="BL24" s="589"/>
      <c r="BM24" s="590"/>
      <c r="BN24" s="586" t="s">
        <v>457</v>
      </c>
      <c r="BO24" s="588">
        <v>56</v>
      </c>
      <c r="BP24" s="589"/>
      <c r="BQ24" s="589"/>
      <c r="BR24" s="590"/>
    </row>
    <row r="25" spans="1:112" ht="37.5" customHeight="1" thickBot="1" x14ac:dyDescent="0.3">
      <c r="A25" s="1871"/>
      <c r="B25" s="61">
        <v>1.524</v>
      </c>
      <c r="C25" s="62" t="s">
        <v>113</v>
      </c>
      <c r="D25" s="63">
        <v>1</v>
      </c>
      <c r="E25" s="64" t="s">
        <v>114</v>
      </c>
      <c r="F25" s="1871"/>
      <c r="G25" s="61">
        <v>0.40600000000000003</v>
      </c>
      <c r="H25" s="62" t="s">
        <v>113</v>
      </c>
      <c r="I25" s="63">
        <v>1</v>
      </c>
      <c r="J25" s="64" t="s">
        <v>114</v>
      </c>
      <c r="K25" s="1871"/>
      <c r="L25" s="61">
        <v>0.17780000000000001</v>
      </c>
      <c r="M25" s="62" t="s">
        <v>113</v>
      </c>
      <c r="N25" s="63">
        <v>1</v>
      </c>
      <c r="O25" s="64" t="s">
        <v>114</v>
      </c>
      <c r="P25" s="1871"/>
      <c r="Q25" s="61">
        <v>0.40639999999999998</v>
      </c>
      <c r="R25" s="62" t="s">
        <v>113</v>
      </c>
      <c r="S25" s="63">
        <v>1</v>
      </c>
      <c r="T25" s="64" t="s">
        <v>114</v>
      </c>
      <c r="U25" s="1871"/>
      <c r="V25" s="61">
        <v>0.1016</v>
      </c>
      <c r="W25" s="62" t="s">
        <v>113</v>
      </c>
      <c r="X25" s="63"/>
      <c r="Y25" s="64" t="s">
        <v>114</v>
      </c>
      <c r="Z25" s="1871"/>
      <c r="AA25" s="61">
        <v>0.17699999999999999</v>
      </c>
      <c r="AB25" s="62" t="s">
        <v>113</v>
      </c>
      <c r="AC25" s="63">
        <v>1</v>
      </c>
      <c r="AD25" s="64" t="s">
        <v>114</v>
      </c>
      <c r="AE25" s="587"/>
      <c r="AF25" s="61">
        <v>0.30399999999999999</v>
      </c>
      <c r="AG25" s="62" t="s">
        <v>113</v>
      </c>
      <c r="AH25" s="63">
        <v>1</v>
      </c>
      <c r="AI25" s="64" t="s">
        <v>114</v>
      </c>
      <c r="AJ25" s="587"/>
      <c r="AK25" s="61">
        <v>0.40600000000000003</v>
      </c>
      <c r="AL25" s="62" t="s">
        <v>113</v>
      </c>
      <c r="AM25" s="63">
        <v>1</v>
      </c>
      <c r="AN25" s="64" t="s">
        <v>114</v>
      </c>
      <c r="AO25" s="587"/>
      <c r="AP25" s="61">
        <v>2.4380000000000002</v>
      </c>
      <c r="AQ25" s="62" t="s">
        <v>113</v>
      </c>
      <c r="AR25" s="63">
        <v>1</v>
      </c>
      <c r="AS25" s="64" t="s">
        <v>114</v>
      </c>
      <c r="AT25" s="587"/>
      <c r="AU25" s="61">
        <v>0.20300000000000001</v>
      </c>
      <c r="AV25" s="62" t="s">
        <v>113</v>
      </c>
      <c r="AW25" s="63">
        <v>1</v>
      </c>
      <c r="AX25" s="64" t="s">
        <v>114</v>
      </c>
      <c r="AY25" s="587"/>
      <c r="AZ25" s="61">
        <v>0.22800000000000001</v>
      </c>
      <c r="BA25" s="62" t="s">
        <v>113</v>
      </c>
      <c r="BB25" s="63">
        <v>1</v>
      </c>
      <c r="BC25" s="64" t="s">
        <v>114</v>
      </c>
      <c r="BD25" s="587"/>
      <c r="BE25" s="61">
        <v>0.38100000000000001</v>
      </c>
      <c r="BF25" s="62" t="s">
        <v>113</v>
      </c>
      <c r="BG25" s="63">
        <v>1</v>
      </c>
      <c r="BH25" s="64" t="s">
        <v>114</v>
      </c>
      <c r="BI25" s="587"/>
      <c r="BJ25" s="61">
        <v>0.91439999999999999</v>
      </c>
      <c r="BK25" s="62" t="s">
        <v>113</v>
      </c>
      <c r="BL25" s="63">
        <v>1</v>
      </c>
      <c r="BM25" s="64" t="s">
        <v>114</v>
      </c>
      <c r="BN25" s="587"/>
      <c r="BO25" s="61">
        <v>0.15240000000000001</v>
      </c>
      <c r="BP25" s="62" t="s">
        <v>113</v>
      </c>
      <c r="BQ25" s="63">
        <v>1</v>
      </c>
      <c r="BR25" s="64" t="s">
        <v>114</v>
      </c>
      <c r="BW25" s="27"/>
    </row>
    <row r="26" spans="1:112" ht="22.5" customHeight="1" thickTop="1" x14ac:dyDescent="0.25">
      <c r="A26" s="582" t="s">
        <v>110</v>
      </c>
      <c r="B26" s="3174"/>
      <c r="C26" s="3177">
        <f t="shared" ref="C26" si="52">B31/((36*3.1415/59)*(180/3.281))</f>
        <v>2.1013536143974627E-2</v>
      </c>
      <c r="D26" s="3177"/>
      <c r="E26" s="3178"/>
      <c r="F26" s="582" t="s">
        <v>110</v>
      </c>
      <c r="G26" s="3174"/>
      <c r="H26" s="3177">
        <f t="shared" ref="H26" si="53">G31/((36*3.1415/59)*(180/3.281))</f>
        <v>1.9322791856528393E-3</v>
      </c>
      <c r="I26" s="3177"/>
      <c r="J26" s="3178"/>
      <c r="K26" s="582" t="s">
        <v>110</v>
      </c>
      <c r="L26" s="3174"/>
      <c r="M26" s="3177">
        <f t="shared" ref="M26" si="54">L31/((36*3.1415/59)*(180/3.281))</f>
        <v>1.2076744910330247E-3</v>
      </c>
      <c r="N26" s="3177"/>
      <c r="O26" s="3178"/>
      <c r="P26" s="582" t="s">
        <v>110</v>
      </c>
      <c r="Q26" s="3174"/>
      <c r="R26" s="3177">
        <f t="shared" ref="R26" si="55">Q31/((36*3.1415/59)*(180/3.281))</f>
        <v>1.2076744910330247E-3</v>
      </c>
      <c r="S26" s="3177"/>
      <c r="T26" s="3178"/>
      <c r="U26" s="582" t="s">
        <v>110</v>
      </c>
      <c r="V26" s="3174"/>
      <c r="W26" s="3177">
        <f t="shared" ref="W26" si="56">V31/((36*3.1415/59)*(180/3.281))</f>
        <v>3.1380518270936863E-3</v>
      </c>
      <c r="X26" s="3177"/>
      <c r="Y26" s="3178"/>
      <c r="Z26" s="582" t="s">
        <v>110</v>
      </c>
      <c r="AA26" s="3174"/>
      <c r="AB26" s="3177">
        <f t="shared" ref="AB26" si="57">AA31/((36*3.1415/59)*(180/3.281))</f>
        <v>9.5092479608899589E-12</v>
      </c>
      <c r="AC26" s="3177"/>
      <c r="AD26" s="3178"/>
      <c r="AE26" s="582" t="s">
        <v>110</v>
      </c>
      <c r="AF26" s="3174"/>
      <c r="AG26" s="3177">
        <f t="shared" ref="AG26" si="58">AF31/((36*3.1415/59)*(180/3.281))</f>
        <v>9.8991271272864459E-3</v>
      </c>
      <c r="AH26" s="3177"/>
      <c r="AI26" s="3178"/>
      <c r="AJ26" s="582" t="s">
        <v>110</v>
      </c>
      <c r="AK26" s="3174"/>
      <c r="AL26" s="3177">
        <f t="shared" ref="AL26" si="59">AK31/((36*3.1415/59)*(180/3.281))</f>
        <v>1.6907442874462347E-3</v>
      </c>
      <c r="AM26" s="3177"/>
      <c r="AN26" s="3178"/>
      <c r="AO26" s="582" t="s">
        <v>110</v>
      </c>
      <c r="AP26" s="3174"/>
      <c r="AQ26" s="3177">
        <f t="shared" ref="AQ26" si="60">AP31/((36*3.1415/59)*(180/3.281))</f>
        <v>1.9322791856528393E-3</v>
      </c>
      <c r="AR26" s="3177"/>
      <c r="AS26" s="3178"/>
      <c r="AT26" s="582" t="s">
        <v>110</v>
      </c>
      <c r="AU26" s="3174"/>
      <c r="AV26" s="3177">
        <f t="shared" ref="AV26" si="61">AU31/((36*3.1415/59)*(180/3.281))</f>
        <v>5.5553026587519139E-3</v>
      </c>
      <c r="AW26" s="3177"/>
      <c r="AX26" s="3178"/>
      <c r="AY26" s="582" t="s">
        <v>110</v>
      </c>
      <c r="AZ26" s="3174"/>
      <c r="BA26" s="3177">
        <f t="shared" ref="BA26" si="62">AZ31/((36*3.1415/59)*(180/3.281))</f>
        <v>1.4492093892396296E-3</v>
      </c>
      <c r="BB26" s="3177"/>
      <c r="BC26" s="3178"/>
      <c r="BD26" s="582" t="s">
        <v>110</v>
      </c>
      <c r="BE26" s="3174"/>
      <c r="BF26" s="3177">
        <f t="shared" ref="BF26" si="63">BE31/((36*3.1415/59)*(180/3.281))</f>
        <v>9.5092479608899586E-16</v>
      </c>
      <c r="BG26" s="3177"/>
      <c r="BH26" s="3178"/>
      <c r="BI26" s="582" t="s">
        <v>110</v>
      </c>
      <c r="BJ26" s="3174"/>
      <c r="BK26" s="3177">
        <f t="shared" ref="BK26" si="64">BJ31/((36*3.1415/59)*(180/3.281))</f>
        <v>2.4153489820660495E-3</v>
      </c>
      <c r="BL26" s="3177"/>
      <c r="BM26" s="3178"/>
      <c r="BN26" s="582" t="s">
        <v>110</v>
      </c>
      <c r="BO26" s="3174"/>
      <c r="BP26" s="3177">
        <f t="shared" ref="BP26" si="65">BO31/((36*3.1415/59)*(180/3.281))</f>
        <v>2.4153489820660495E-3</v>
      </c>
      <c r="BQ26" s="3177"/>
      <c r="BR26" s="3178"/>
    </row>
    <row r="27" spans="1:112" ht="22.5" customHeight="1" x14ac:dyDescent="0.25">
      <c r="A27" s="3175"/>
      <c r="B27" s="3176"/>
      <c r="C27" s="3179"/>
      <c r="D27" s="3179"/>
      <c r="E27" s="3180"/>
      <c r="F27" s="3175"/>
      <c r="G27" s="3176"/>
      <c r="H27" s="3179"/>
      <c r="I27" s="3179"/>
      <c r="J27" s="3180"/>
      <c r="K27" s="3175"/>
      <c r="L27" s="3176"/>
      <c r="M27" s="3179"/>
      <c r="N27" s="3179"/>
      <c r="O27" s="3180"/>
      <c r="P27" s="3175"/>
      <c r="Q27" s="3176"/>
      <c r="R27" s="3179"/>
      <c r="S27" s="3179"/>
      <c r="T27" s="3180"/>
      <c r="U27" s="3175"/>
      <c r="V27" s="3176"/>
      <c r="W27" s="3179"/>
      <c r="X27" s="3179"/>
      <c r="Y27" s="3180"/>
      <c r="Z27" s="3175"/>
      <c r="AA27" s="3176"/>
      <c r="AB27" s="3179"/>
      <c r="AC27" s="3179"/>
      <c r="AD27" s="3180"/>
      <c r="AE27" s="3175"/>
      <c r="AF27" s="3176"/>
      <c r="AG27" s="3179"/>
      <c r="AH27" s="3179"/>
      <c r="AI27" s="3180"/>
      <c r="AJ27" s="3175"/>
      <c r="AK27" s="3176"/>
      <c r="AL27" s="3179"/>
      <c r="AM27" s="3179"/>
      <c r="AN27" s="3180"/>
      <c r="AO27" s="3175"/>
      <c r="AP27" s="3176"/>
      <c r="AQ27" s="3179"/>
      <c r="AR27" s="3179"/>
      <c r="AS27" s="3180"/>
      <c r="AT27" s="3175"/>
      <c r="AU27" s="3176"/>
      <c r="AV27" s="3179"/>
      <c r="AW27" s="3179"/>
      <c r="AX27" s="3180"/>
      <c r="AY27" s="3175"/>
      <c r="AZ27" s="3176"/>
      <c r="BA27" s="3179"/>
      <c r="BB27" s="3179"/>
      <c r="BC27" s="3180"/>
      <c r="BD27" s="3175"/>
      <c r="BE27" s="3176"/>
      <c r="BF27" s="3179"/>
      <c r="BG27" s="3179"/>
      <c r="BH27" s="3180"/>
      <c r="BI27" s="3175"/>
      <c r="BJ27" s="3176"/>
      <c r="BK27" s="3179"/>
      <c r="BL27" s="3179"/>
      <c r="BM27" s="3180"/>
      <c r="BN27" s="3175"/>
      <c r="BO27" s="3176"/>
      <c r="BP27" s="3179"/>
      <c r="BQ27" s="3179"/>
      <c r="BR27" s="3180"/>
      <c r="DG27" s="13"/>
      <c r="DH27" s="13"/>
    </row>
    <row r="28" spans="1:112" ht="33" customHeight="1" x14ac:dyDescent="0.25">
      <c r="A28" s="3427" t="s">
        <v>111</v>
      </c>
      <c r="B28" s="3425"/>
      <c r="C28" s="3425"/>
      <c r="D28" s="3425"/>
      <c r="E28" s="3426"/>
      <c r="F28" s="3427" t="s">
        <v>111</v>
      </c>
      <c r="G28" s="3425"/>
      <c r="H28" s="3425"/>
      <c r="I28" s="3425"/>
      <c r="J28" s="3426"/>
      <c r="K28" s="3427" t="s">
        <v>111</v>
      </c>
      <c r="L28" s="3425"/>
      <c r="M28" s="3425"/>
      <c r="N28" s="3425"/>
      <c r="O28" s="3426"/>
      <c r="P28" s="3427" t="s">
        <v>111</v>
      </c>
      <c r="Q28" s="3425"/>
      <c r="R28" s="3425"/>
      <c r="S28" s="3425"/>
      <c r="T28" s="3426"/>
      <c r="U28" s="3427" t="s">
        <v>111</v>
      </c>
      <c r="V28" s="3425"/>
      <c r="W28" s="3425"/>
      <c r="X28" s="3425"/>
      <c r="Y28" s="3426"/>
      <c r="Z28" s="3427" t="s">
        <v>111</v>
      </c>
      <c r="AA28" s="3425"/>
      <c r="AB28" s="3425"/>
      <c r="AC28" s="3425"/>
      <c r="AD28" s="3426"/>
      <c r="AE28" s="3427" t="s">
        <v>111</v>
      </c>
      <c r="AF28" s="3425"/>
      <c r="AG28" s="3425"/>
      <c r="AH28" s="3425"/>
      <c r="AI28" s="3426"/>
      <c r="AJ28" s="3427" t="s">
        <v>111</v>
      </c>
      <c r="AK28" s="3425"/>
      <c r="AL28" s="3425"/>
      <c r="AM28" s="3425"/>
      <c r="AN28" s="3426"/>
      <c r="AO28" s="3427" t="s">
        <v>111</v>
      </c>
      <c r="AP28" s="3425"/>
      <c r="AQ28" s="3425"/>
      <c r="AR28" s="3425"/>
      <c r="AS28" s="3426"/>
      <c r="AT28" s="3427" t="s">
        <v>111</v>
      </c>
      <c r="AU28" s="3425"/>
      <c r="AV28" s="3425"/>
      <c r="AW28" s="3425"/>
      <c r="AX28" s="3426"/>
      <c r="AY28" s="3427" t="s">
        <v>111</v>
      </c>
      <c r="AZ28" s="3425"/>
      <c r="BA28" s="3425"/>
      <c r="BB28" s="3425"/>
      <c r="BC28" s="3426"/>
      <c r="BD28" s="3427" t="s">
        <v>111</v>
      </c>
      <c r="BE28" s="3425"/>
      <c r="BF28" s="3425"/>
      <c r="BG28" s="3425"/>
      <c r="BH28" s="3426"/>
      <c r="BI28" s="3427" t="s">
        <v>111</v>
      </c>
      <c r="BJ28" s="3425"/>
      <c r="BK28" s="3425"/>
      <c r="BL28" s="3425"/>
      <c r="BM28" s="3426"/>
      <c r="BN28" s="3427" t="s">
        <v>111</v>
      </c>
      <c r="BO28" s="3425"/>
      <c r="BP28" s="3425"/>
      <c r="BQ28" s="3425"/>
      <c r="BR28" s="3426"/>
      <c r="DG28" s="13"/>
      <c r="DH28" s="13"/>
    </row>
    <row r="29" spans="1:112" ht="33" customHeight="1" x14ac:dyDescent="0.25">
      <c r="A29" s="3425" t="s">
        <v>454</v>
      </c>
      <c r="B29" s="3425"/>
      <c r="C29" s="3425" t="s">
        <v>455</v>
      </c>
      <c r="D29" s="3425"/>
      <c r="E29" s="3426"/>
      <c r="F29" s="3425" t="s">
        <v>454</v>
      </c>
      <c r="G29" s="3425"/>
      <c r="H29" s="3425" t="s">
        <v>455</v>
      </c>
      <c r="I29" s="3425"/>
      <c r="J29" s="3426"/>
      <c r="K29" s="3425" t="s">
        <v>454</v>
      </c>
      <c r="L29" s="3425"/>
      <c r="M29" s="3425" t="s">
        <v>455</v>
      </c>
      <c r="N29" s="3425"/>
      <c r="O29" s="3426"/>
      <c r="P29" s="3425" t="s">
        <v>454</v>
      </c>
      <c r="Q29" s="3425"/>
      <c r="R29" s="3425" t="s">
        <v>455</v>
      </c>
      <c r="S29" s="3425"/>
      <c r="T29" s="3426"/>
      <c r="U29" s="3425" t="s">
        <v>454</v>
      </c>
      <c r="V29" s="3425"/>
      <c r="W29" s="3425" t="s">
        <v>455</v>
      </c>
      <c r="X29" s="3425"/>
      <c r="Y29" s="3426"/>
      <c r="Z29" s="3425" t="s">
        <v>454</v>
      </c>
      <c r="AA29" s="3425"/>
      <c r="AB29" s="3425" t="s">
        <v>455</v>
      </c>
      <c r="AC29" s="3425"/>
      <c r="AD29" s="3426"/>
      <c r="AE29" s="3425" t="s">
        <v>454</v>
      </c>
      <c r="AF29" s="3425"/>
      <c r="AG29" s="3425" t="s">
        <v>455</v>
      </c>
      <c r="AH29" s="3425"/>
      <c r="AI29" s="3426"/>
      <c r="AJ29" s="3425" t="s">
        <v>454</v>
      </c>
      <c r="AK29" s="3425"/>
      <c r="AL29" s="3425" t="s">
        <v>455</v>
      </c>
      <c r="AM29" s="3425"/>
      <c r="AN29" s="3426"/>
      <c r="AO29" s="3425" t="s">
        <v>454</v>
      </c>
      <c r="AP29" s="3425"/>
      <c r="AQ29" s="3425" t="s">
        <v>455</v>
      </c>
      <c r="AR29" s="3425"/>
      <c r="AS29" s="3426"/>
      <c r="AT29" s="3425" t="s">
        <v>454</v>
      </c>
      <c r="AU29" s="3425"/>
      <c r="AV29" s="3425" t="s">
        <v>455</v>
      </c>
      <c r="AW29" s="3425"/>
      <c r="AX29" s="3426"/>
      <c r="AY29" s="3425" t="s">
        <v>454</v>
      </c>
      <c r="AZ29" s="3425"/>
      <c r="BA29" s="3425" t="s">
        <v>455</v>
      </c>
      <c r="BB29" s="3425"/>
      <c r="BC29" s="3426"/>
      <c r="BD29" s="3425" t="s">
        <v>454</v>
      </c>
      <c r="BE29" s="3425"/>
      <c r="BF29" s="3425" t="s">
        <v>455</v>
      </c>
      <c r="BG29" s="3425"/>
      <c r="BH29" s="3426"/>
      <c r="BI29" s="3425" t="s">
        <v>454</v>
      </c>
      <c r="BJ29" s="3425"/>
      <c r="BK29" s="3425" t="s">
        <v>455</v>
      </c>
      <c r="BL29" s="3425"/>
      <c r="BM29" s="3426"/>
      <c r="BN29" s="3425" t="s">
        <v>454</v>
      </c>
      <c r="BO29" s="3425"/>
      <c r="BP29" s="3425" t="s">
        <v>455</v>
      </c>
      <c r="BQ29" s="3425"/>
      <c r="BR29" s="3426"/>
      <c r="DG29" s="13"/>
      <c r="DH29" s="13"/>
    </row>
    <row r="30" spans="1:112" s="22" customFormat="1" ht="85.5" customHeight="1" x14ac:dyDescent="1.35">
      <c r="A30" s="586" t="s">
        <v>457</v>
      </c>
      <c r="B30" s="588">
        <v>57</v>
      </c>
      <c r="C30" s="589"/>
      <c r="D30" s="589"/>
      <c r="E30" s="590"/>
      <c r="F30" s="586" t="s">
        <v>457</v>
      </c>
      <c r="G30" s="588">
        <v>58</v>
      </c>
      <c r="H30" s="589"/>
      <c r="I30" s="589"/>
      <c r="J30" s="590"/>
      <c r="K30" s="586" t="s">
        <v>457</v>
      </c>
      <c r="L30" s="588">
        <v>59</v>
      </c>
      <c r="M30" s="589"/>
      <c r="N30" s="589"/>
      <c r="O30" s="590"/>
      <c r="P30" s="586" t="s">
        <v>457</v>
      </c>
      <c r="Q30" s="588">
        <v>60</v>
      </c>
      <c r="R30" s="589"/>
      <c r="S30" s="589"/>
      <c r="T30" s="590"/>
      <c r="U30" s="586" t="s">
        <v>457</v>
      </c>
      <c r="V30" s="588">
        <v>61</v>
      </c>
      <c r="W30" s="589"/>
      <c r="X30" s="589"/>
      <c r="Y30" s="590"/>
      <c r="Z30" s="586" t="s">
        <v>457</v>
      </c>
      <c r="AA30" s="588">
        <v>62</v>
      </c>
      <c r="AB30" s="589"/>
      <c r="AC30" s="589"/>
      <c r="AD30" s="590"/>
      <c r="AE30" s="586" t="s">
        <v>457</v>
      </c>
      <c r="AF30" s="588">
        <v>63</v>
      </c>
      <c r="AG30" s="589"/>
      <c r="AH30" s="589"/>
      <c r="AI30" s="590"/>
      <c r="AJ30" s="586" t="s">
        <v>457</v>
      </c>
      <c r="AK30" s="588">
        <v>64</v>
      </c>
      <c r="AL30" s="589"/>
      <c r="AM30" s="589"/>
      <c r="AN30" s="590"/>
      <c r="AO30" s="586" t="s">
        <v>457</v>
      </c>
      <c r="AP30" s="588">
        <v>65</v>
      </c>
      <c r="AQ30" s="589"/>
      <c r="AR30" s="589"/>
      <c r="AS30" s="590"/>
      <c r="AT30" s="586" t="s">
        <v>457</v>
      </c>
      <c r="AU30" s="588">
        <v>66</v>
      </c>
      <c r="AV30" s="589"/>
      <c r="AW30" s="589"/>
      <c r="AX30" s="590"/>
      <c r="AY30" s="586" t="s">
        <v>457</v>
      </c>
      <c r="AZ30" s="588">
        <v>67</v>
      </c>
      <c r="BA30" s="589"/>
      <c r="BB30" s="589"/>
      <c r="BC30" s="590"/>
      <c r="BD30" s="586" t="s">
        <v>457</v>
      </c>
      <c r="BE30" s="588">
        <v>68</v>
      </c>
      <c r="BF30" s="589"/>
      <c r="BG30" s="589"/>
      <c r="BH30" s="590"/>
      <c r="BI30" s="586" t="s">
        <v>457</v>
      </c>
      <c r="BJ30" s="588">
        <v>69</v>
      </c>
      <c r="BK30" s="589"/>
      <c r="BL30" s="589"/>
      <c r="BM30" s="590"/>
      <c r="BN30" s="586" t="s">
        <v>457</v>
      </c>
      <c r="BO30" s="588">
        <v>70</v>
      </c>
      <c r="BP30" s="589"/>
      <c r="BQ30" s="589"/>
      <c r="BR30" s="590"/>
      <c r="DG30" s="317"/>
      <c r="DH30" s="317"/>
    </row>
    <row r="31" spans="1:112" ht="37.5" customHeight="1" thickBot="1" x14ac:dyDescent="0.3">
      <c r="A31" s="587"/>
      <c r="B31" s="61">
        <v>2.2098</v>
      </c>
      <c r="C31" s="62" t="s">
        <v>113</v>
      </c>
      <c r="D31" s="63">
        <v>1</v>
      </c>
      <c r="E31" s="64" t="s">
        <v>114</v>
      </c>
      <c r="F31" s="587"/>
      <c r="G31" s="61">
        <v>0.20319999999999999</v>
      </c>
      <c r="H31" s="62" t="s">
        <v>113</v>
      </c>
      <c r="I31" s="63">
        <v>1</v>
      </c>
      <c r="J31" s="64" t="s">
        <v>114</v>
      </c>
      <c r="K31" s="587"/>
      <c r="L31" s="61">
        <v>0.127</v>
      </c>
      <c r="M31" s="62" t="s">
        <v>113</v>
      </c>
      <c r="N31" s="63">
        <v>1</v>
      </c>
      <c r="O31" s="64" t="s">
        <v>114</v>
      </c>
      <c r="P31" s="587"/>
      <c r="Q31" s="61">
        <v>0.127</v>
      </c>
      <c r="R31" s="62" t="s">
        <v>113</v>
      </c>
      <c r="S31" s="63">
        <v>1</v>
      </c>
      <c r="T31" s="64" t="s">
        <v>114</v>
      </c>
      <c r="U31" s="587"/>
      <c r="V31" s="61">
        <v>0.33</v>
      </c>
      <c r="W31" s="62" t="s">
        <v>113</v>
      </c>
      <c r="X31" s="63">
        <v>1</v>
      </c>
      <c r="Y31" s="64" t="s">
        <v>114</v>
      </c>
      <c r="Z31" s="587"/>
      <c r="AA31" s="61">
        <v>1.0000000000000001E-9</v>
      </c>
      <c r="AB31" s="62" t="s">
        <v>113</v>
      </c>
      <c r="AC31" s="63">
        <v>1</v>
      </c>
      <c r="AD31" s="64" t="s">
        <v>114</v>
      </c>
      <c r="AE31" s="587"/>
      <c r="AF31" s="61">
        <v>1.0409999999999999</v>
      </c>
      <c r="AG31" s="62" t="s">
        <v>113</v>
      </c>
      <c r="AH31" s="63">
        <v>1</v>
      </c>
      <c r="AI31" s="64" t="s">
        <v>114</v>
      </c>
      <c r="AJ31" s="587"/>
      <c r="AK31" s="61">
        <v>0.17780000000000001</v>
      </c>
      <c r="AL31" s="62" t="s">
        <v>113</v>
      </c>
      <c r="AM31" s="63">
        <v>1</v>
      </c>
      <c r="AN31" s="64" t="s">
        <v>114</v>
      </c>
      <c r="AO31" s="587"/>
      <c r="AP31" s="61">
        <v>0.20319999999999999</v>
      </c>
      <c r="AQ31" s="62" t="s">
        <v>113</v>
      </c>
      <c r="AR31" s="63">
        <v>1</v>
      </c>
      <c r="AS31" s="64" t="s">
        <v>114</v>
      </c>
      <c r="AT31" s="587"/>
      <c r="AU31" s="61">
        <v>0.58420000000000005</v>
      </c>
      <c r="AV31" s="62" t="s">
        <v>113</v>
      </c>
      <c r="AW31" s="63">
        <v>1</v>
      </c>
      <c r="AX31" s="64" t="s">
        <v>114</v>
      </c>
      <c r="AY31" s="587"/>
      <c r="AZ31" s="61">
        <v>0.15240000000000001</v>
      </c>
      <c r="BA31" s="62" t="s">
        <v>113</v>
      </c>
      <c r="BB31" s="63">
        <v>1</v>
      </c>
      <c r="BC31" s="64" t="s">
        <v>114</v>
      </c>
      <c r="BD31" s="587"/>
      <c r="BE31" s="61">
        <v>1E-13</v>
      </c>
      <c r="BF31" s="62" t="s">
        <v>113</v>
      </c>
      <c r="BG31" s="63">
        <v>1</v>
      </c>
      <c r="BH31" s="64" t="s">
        <v>114</v>
      </c>
      <c r="BI31" s="587"/>
      <c r="BJ31" s="61">
        <v>0.254</v>
      </c>
      <c r="BK31" s="62" t="s">
        <v>113</v>
      </c>
      <c r="BL31" s="63">
        <v>1</v>
      </c>
      <c r="BM31" s="64" t="s">
        <v>114</v>
      </c>
      <c r="BN31" s="587"/>
      <c r="BO31" s="61">
        <v>0.254</v>
      </c>
      <c r="BP31" s="62" t="s">
        <v>113</v>
      </c>
      <c r="BQ31" s="63">
        <v>1</v>
      </c>
      <c r="BR31" s="64" t="s">
        <v>114</v>
      </c>
      <c r="BW31" s="27"/>
      <c r="DG31" s="13"/>
      <c r="DH31" s="13"/>
    </row>
    <row r="32" spans="1:112" ht="22.5" customHeight="1" thickTop="1" x14ac:dyDescent="0.25">
      <c r="A32" s="582" t="s">
        <v>110</v>
      </c>
      <c r="B32" s="3174"/>
      <c r="C32" s="3177">
        <f t="shared" ref="C32" si="66">B37/((36*3.1415/59)*(180/3.281))</f>
        <v>1.2076744910330247E-3</v>
      </c>
      <c r="D32" s="3177"/>
      <c r="E32" s="3178"/>
      <c r="F32" s="582" t="s">
        <v>110</v>
      </c>
      <c r="G32" s="3174"/>
      <c r="H32" s="3177">
        <f t="shared" ref="H32" si="67">G37/((36*3.1415/59)*(180/3.281))</f>
        <v>6.2761036541873726E-3</v>
      </c>
      <c r="I32" s="3177"/>
      <c r="J32" s="3178"/>
      <c r="K32" s="582" t="s">
        <v>110</v>
      </c>
      <c r="L32" s="3174"/>
      <c r="M32" s="3177">
        <f t="shared" ref="M32" si="68">L37/((36*3.1415/59)*(180/3.281))</f>
        <v>4.8306979641320989E-3</v>
      </c>
      <c r="N32" s="3177"/>
      <c r="O32" s="3178"/>
      <c r="P32" s="582" t="s">
        <v>110</v>
      </c>
      <c r="Q32" s="3174"/>
      <c r="R32" s="3177">
        <f t="shared" ref="R32" si="69">Q37/((36*3.1415/59)*(180/3.281))</f>
        <v>3.3757830261159348E-3</v>
      </c>
      <c r="S32" s="3177"/>
      <c r="T32" s="3178"/>
      <c r="U32" s="582" t="s">
        <v>110</v>
      </c>
      <c r="V32" s="3174"/>
      <c r="W32" s="3177">
        <f t="shared" ref="W32" si="70">V37/((36*3.1415/59)*(180/3.281))</f>
        <v>1.2076744910330247E-3</v>
      </c>
      <c r="X32" s="3177"/>
      <c r="Y32" s="3178"/>
      <c r="Z32" s="582" t="s">
        <v>110</v>
      </c>
      <c r="AA32" s="3174"/>
      <c r="AB32" s="3177">
        <f t="shared" ref="AB32" si="71">AA37/((36*3.1415/59)*(180/3.281))</f>
        <v>9.5092479608899589E-12</v>
      </c>
      <c r="AC32" s="3177"/>
      <c r="AD32" s="3178"/>
      <c r="AE32" s="582" t="s">
        <v>110</v>
      </c>
      <c r="AF32" s="3174"/>
      <c r="AG32" s="3177">
        <f t="shared" ref="AG32" si="72">AF37/((36*3.1415/59)*(180/3.281))</f>
        <v>1.9322791856528393E-3</v>
      </c>
      <c r="AH32" s="3177"/>
      <c r="AI32" s="3178"/>
      <c r="AJ32" s="582" t="s">
        <v>110</v>
      </c>
      <c r="AK32" s="3174"/>
      <c r="AL32" s="3177">
        <f t="shared" ref="AL32" si="73">AK37/((36*3.1415/59)*(180/3.281))</f>
        <v>4.8306979641320989E-3</v>
      </c>
      <c r="AM32" s="3177"/>
      <c r="AN32" s="3178"/>
      <c r="AO32" s="582" t="s">
        <v>110</v>
      </c>
      <c r="AP32" s="3174"/>
      <c r="AQ32" s="3177">
        <f t="shared" ref="AQ32" si="74">AP37/((36*3.1415/59)*(180/3.281))</f>
        <v>1.6907442874462347E-3</v>
      </c>
      <c r="AR32" s="3177"/>
      <c r="AS32" s="3178"/>
      <c r="AT32" s="3430" t="s">
        <v>110</v>
      </c>
      <c r="AU32" s="3431"/>
      <c r="AV32" s="3434">
        <f>AU37/((36*3.1415/59)*(183/3.281))</f>
        <v>4.9890815039397079E-3</v>
      </c>
      <c r="AW32" s="3434"/>
      <c r="AX32" s="3435"/>
      <c r="AY32" s="712"/>
      <c r="AZ32" s="710"/>
      <c r="BA32" s="1804"/>
      <c r="BB32" s="1804"/>
      <c r="BC32" s="1804"/>
      <c r="BD32" s="710"/>
      <c r="BE32" s="710"/>
      <c r="BF32" s="1804"/>
      <c r="BG32" s="1804"/>
      <c r="BH32" s="1804"/>
      <c r="BI32" s="710"/>
      <c r="BJ32" s="710"/>
      <c r="BK32" s="1804"/>
      <c r="BL32" s="1804"/>
      <c r="BM32" s="1804"/>
      <c r="BN32" s="710"/>
      <c r="BO32" s="710"/>
      <c r="BP32" s="1804"/>
      <c r="BQ32" s="1804"/>
      <c r="BR32" s="1804"/>
      <c r="DG32" s="57"/>
      <c r="DH32" s="57"/>
    </row>
    <row r="33" spans="1:112" ht="22.5" customHeight="1" x14ac:dyDescent="0.25">
      <c r="A33" s="3175"/>
      <c r="B33" s="3176"/>
      <c r="C33" s="3179"/>
      <c r="D33" s="3179"/>
      <c r="E33" s="3180"/>
      <c r="F33" s="3175"/>
      <c r="G33" s="3176"/>
      <c r="H33" s="3179"/>
      <c r="I33" s="3179"/>
      <c r="J33" s="3180"/>
      <c r="K33" s="3175"/>
      <c r="L33" s="3176"/>
      <c r="M33" s="3179"/>
      <c r="N33" s="3179"/>
      <c r="O33" s="3180"/>
      <c r="P33" s="3175"/>
      <c r="Q33" s="3176"/>
      <c r="R33" s="3179"/>
      <c r="S33" s="3179"/>
      <c r="T33" s="3180"/>
      <c r="U33" s="3175"/>
      <c r="V33" s="3176"/>
      <c r="W33" s="3179"/>
      <c r="X33" s="3179"/>
      <c r="Y33" s="3180"/>
      <c r="Z33" s="3175"/>
      <c r="AA33" s="3176"/>
      <c r="AB33" s="3179"/>
      <c r="AC33" s="3179"/>
      <c r="AD33" s="3180"/>
      <c r="AE33" s="3175"/>
      <c r="AF33" s="3176"/>
      <c r="AG33" s="3179"/>
      <c r="AH33" s="3179"/>
      <c r="AI33" s="3180"/>
      <c r="AJ33" s="3175"/>
      <c r="AK33" s="3176"/>
      <c r="AL33" s="3179"/>
      <c r="AM33" s="3179"/>
      <c r="AN33" s="3180"/>
      <c r="AO33" s="3175"/>
      <c r="AP33" s="3176"/>
      <c r="AQ33" s="3179"/>
      <c r="AR33" s="3179"/>
      <c r="AS33" s="3180"/>
      <c r="AT33" s="3432"/>
      <c r="AU33" s="3433"/>
      <c r="AV33" s="3436"/>
      <c r="AW33" s="3436"/>
      <c r="AX33" s="3437"/>
      <c r="AY33" s="1859"/>
      <c r="AZ33" s="719"/>
      <c r="BA33" s="1300"/>
      <c r="BB33" s="1300"/>
      <c r="BC33" s="1300"/>
      <c r="BD33" s="719"/>
      <c r="BE33" s="719"/>
      <c r="BF33" s="1300"/>
      <c r="BG33" s="1300"/>
      <c r="BH33" s="1300"/>
      <c r="BI33" s="719"/>
      <c r="BJ33" s="719"/>
      <c r="BK33" s="1300"/>
      <c r="BL33" s="1300"/>
      <c r="BM33" s="1300"/>
      <c r="BN33" s="719"/>
      <c r="BO33" s="719"/>
      <c r="BP33" s="1300"/>
      <c r="BQ33" s="1300"/>
      <c r="BR33" s="1300"/>
      <c r="DG33" s="57"/>
      <c r="DH33" s="57"/>
    </row>
    <row r="34" spans="1:112" ht="33" customHeight="1" x14ac:dyDescent="0.25">
      <c r="A34" s="3427" t="s">
        <v>111</v>
      </c>
      <c r="B34" s="3425"/>
      <c r="C34" s="3425"/>
      <c r="D34" s="3425"/>
      <c r="E34" s="3426"/>
      <c r="F34" s="3427" t="s">
        <v>111</v>
      </c>
      <c r="G34" s="3425"/>
      <c r="H34" s="3425"/>
      <c r="I34" s="3425"/>
      <c r="J34" s="3426"/>
      <c r="K34" s="3427" t="s">
        <v>111</v>
      </c>
      <c r="L34" s="3425"/>
      <c r="M34" s="3425"/>
      <c r="N34" s="3425"/>
      <c r="O34" s="3426"/>
      <c r="P34" s="3427" t="s">
        <v>111</v>
      </c>
      <c r="Q34" s="3425"/>
      <c r="R34" s="3425"/>
      <c r="S34" s="3425"/>
      <c r="T34" s="3426"/>
      <c r="U34" s="3427" t="s">
        <v>111</v>
      </c>
      <c r="V34" s="3425"/>
      <c r="W34" s="3425"/>
      <c r="X34" s="3425"/>
      <c r="Y34" s="3426"/>
      <c r="Z34" s="3427" t="s">
        <v>111</v>
      </c>
      <c r="AA34" s="3425"/>
      <c r="AB34" s="3425"/>
      <c r="AC34" s="3425"/>
      <c r="AD34" s="3426"/>
      <c r="AE34" s="3427" t="s">
        <v>111</v>
      </c>
      <c r="AF34" s="3425"/>
      <c r="AG34" s="3425"/>
      <c r="AH34" s="3425"/>
      <c r="AI34" s="3426"/>
      <c r="AJ34" s="3427" t="s">
        <v>111</v>
      </c>
      <c r="AK34" s="3425"/>
      <c r="AL34" s="3425"/>
      <c r="AM34" s="3425"/>
      <c r="AN34" s="3426"/>
      <c r="AO34" s="3427" t="s">
        <v>111</v>
      </c>
      <c r="AP34" s="3425"/>
      <c r="AQ34" s="3425"/>
      <c r="AR34" s="3425"/>
      <c r="AS34" s="3426"/>
      <c r="AT34" s="3427" t="s">
        <v>111</v>
      </c>
      <c r="AU34" s="3425"/>
      <c r="AV34" s="3425"/>
      <c r="AW34" s="3425"/>
      <c r="AX34" s="3426"/>
      <c r="AY34" s="1859"/>
      <c r="AZ34" s="719"/>
      <c r="BA34" s="719"/>
      <c r="BB34" s="719"/>
      <c r="BC34" s="719"/>
      <c r="BD34" s="719"/>
      <c r="BE34" s="719"/>
      <c r="BF34" s="719"/>
      <c r="BG34" s="719"/>
      <c r="BH34" s="719"/>
      <c r="BI34" s="719"/>
      <c r="BJ34" s="719"/>
      <c r="BK34" s="719"/>
      <c r="BL34" s="719"/>
      <c r="BM34" s="719"/>
      <c r="BN34" s="719"/>
      <c r="BO34" s="719"/>
      <c r="BP34" s="719"/>
      <c r="BQ34" s="719"/>
      <c r="BR34" s="719"/>
      <c r="DG34" s="57"/>
      <c r="DH34" s="57"/>
    </row>
    <row r="35" spans="1:112" ht="33" customHeight="1" x14ac:dyDescent="0.25">
      <c r="A35" s="3425" t="s">
        <v>454</v>
      </c>
      <c r="B35" s="3425"/>
      <c r="C35" s="3425" t="s">
        <v>455</v>
      </c>
      <c r="D35" s="3425"/>
      <c r="E35" s="3426"/>
      <c r="F35" s="3425" t="s">
        <v>454</v>
      </c>
      <c r="G35" s="3425"/>
      <c r="H35" s="3425" t="s">
        <v>455</v>
      </c>
      <c r="I35" s="3425"/>
      <c r="J35" s="3426"/>
      <c r="K35" s="3425" t="s">
        <v>454</v>
      </c>
      <c r="L35" s="3425"/>
      <c r="M35" s="3425" t="s">
        <v>455</v>
      </c>
      <c r="N35" s="3425"/>
      <c r="O35" s="3426"/>
      <c r="P35" s="3425" t="s">
        <v>454</v>
      </c>
      <c r="Q35" s="3425"/>
      <c r="R35" s="3425" t="s">
        <v>455</v>
      </c>
      <c r="S35" s="3425"/>
      <c r="T35" s="3426"/>
      <c r="U35" s="3425" t="s">
        <v>454</v>
      </c>
      <c r="V35" s="3425"/>
      <c r="W35" s="3425" t="s">
        <v>455</v>
      </c>
      <c r="X35" s="3425"/>
      <c r="Y35" s="3426"/>
      <c r="Z35" s="3425" t="s">
        <v>454</v>
      </c>
      <c r="AA35" s="3425"/>
      <c r="AB35" s="3425" t="s">
        <v>455</v>
      </c>
      <c r="AC35" s="3425"/>
      <c r="AD35" s="3426"/>
      <c r="AE35" s="3425" t="s">
        <v>454</v>
      </c>
      <c r="AF35" s="3425"/>
      <c r="AG35" s="3425" t="s">
        <v>455</v>
      </c>
      <c r="AH35" s="3425"/>
      <c r="AI35" s="3426"/>
      <c r="AJ35" s="3425" t="s">
        <v>454</v>
      </c>
      <c r="AK35" s="3425"/>
      <c r="AL35" s="3425" t="s">
        <v>455</v>
      </c>
      <c r="AM35" s="3425"/>
      <c r="AN35" s="3426"/>
      <c r="AO35" s="3425" t="s">
        <v>454</v>
      </c>
      <c r="AP35" s="3425"/>
      <c r="AQ35" s="3425" t="s">
        <v>455</v>
      </c>
      <c r="AR35" s="3425"/>
      <c r="AS35" s="3426"/>
      <c r="AT35" s="3425" t="s">
        <v>454</v>
      </c>
      <c r="AU35" s="3425"/>
      <c r="AV35" s="3425" t="s">
        <v>455</v>
      </c>
      <c r="AW35" s="3425"/>
      <c r="AX35" s="3426"/>
      <c r="AY35" s="1859"/>
      <c r="AZ35" s="719"/>
      <c r="BA35" s="719"/>
      <c r="BB35" s="719"/>
      <c r="BC35" s="719"/>
      <c r="BD35" s="719"/>
      <c r="BE35" s="719"/>
      <c r="BF35" s="719"/>
      <c r="BG35" s="719"/>
      <c r="BH35" s="719"/>
      <c r="BI35" s="719"/>
      <c r="BJ35" s="719"/>
      <c r="BK35" s="719"/>
      <c r="BL35" s="719"/>
      <c r="BM35" s="719"/>
      <c r="BN35" s="719"/>
      <c r="BO35" s="719"/>
      <c r="BP35" s="719"/>
      <c r="BQ35" s="719"/>
      <c r="BR35" s="719"/>
      <c r="DG35" s="13"/>
      <c r="DH35" s="13"/>
    </row>
    <row r="36" spans="1:112" s="22" customFormat="1" ht="74.25" customHeight="1" x14ac:dyDescent="1.35">
      <c r="A36" s="586" t="s">
        <v>457</v>
      </c>
      <c r="B36" s="588">
        <v>71</v>
      </c>
      <c r="C36" s="589"/>
      <c r="D36" s="589"/>
      <c r="E36" s="590"/>
      <c r="F36" s="586" t="s">
        <v>457</v>
      </c>
      <c r="G36" s="588">
        <v>72</v>
      </c>
      <c r="H36" s="589"/>
      <c r="I36" s="589"/>
      <c r="J36" s="590"/>
      <c r="K36" s="586" t="s">
        <v>457</v>
      </c>
      <c r="L36" s="588">
        <v>73</v>
      </c>
      <c r="M36" s="589"/>
      <c r="N36" s="589"/>
      <c r="O36" s="590"/>
      <c r="P36" s="586" t="s">
        <v>457</v>
      </c>
      <c r="Q36" s="588">
        <v>74</v>
      </c>
      <c r="R36" s="589"/>
      <c r="S36" s="589"/>
      <c r="T36" s="590"/>
      <c r="U36" s="586" t="s">
        <v>457</v>
      </c>
      <c r="V36" s="588">
        <v>75</v>
      </c>
      <c r="W36" s="589"/>
      <c r="X36" s="589"/>
      <c r="Y36" s="590"/>
      <c r="Z36" s="586" t="s">
        <v>457</v>
      </c>
      <c r="AA36" s="588">
        <v>76</v>
      </c>
      <c r="AB36" s="589"/>
      <c r="AC36" s="589"/>
      <c r="AD36" s="590"/>
      <c r="AE36" s="586" t="s">
        <v>457</v>
      </c>
      <c r="AF36" s="588">
        <v>77</v>
      </c>
      <c r="AG36" s="589"/>
      <c r="AH36" s="589"/>
      <c r="AI36" s="590"/>
      <c r="AJ36" s="586" t="s">
        <v>457</v>
      </c>
      <c r="AK36" s="588">
        <v>78</v>
      </c>
      <c r="AL36" s="589"/>
      <c r="AM36" s="589"/>
      <c r="AN36" s="590"/>
      <c r="AO36" s="586" t="s">
        <v>457</v>
      </c>
      <c r="AP36" s="588">
        <v>79</v>
      </c>
      <c r="AQ36" s="589"/>
      <c r="AR36" s="589"/>
      <c r="AS36" s="590"/>
      <c r="AT36" s="3428" t="s">
        <v>458</v>
      </c>
      <c r="AU36" s="588">
        <v>80</v>
      </c>
      <c r="AV36" s="589"/>
      <c r="AW36" s="589"/>
      <c r="AX36" s="590"/>
      <c r="AY36" s="718"/>
      <c r="AZ36" s="717"/>
      <c r="BA36" s="717"/>
      <c r="BB36" s="717"/>
      <c r="BC36" s="717"/>
      <c r="BD36" s="716"/>
      <c r="BE36" s="717"/>
      <c r="BF36" s="717"/>
      <c r="BG36" s="717"/>
      <c r="BH36" s="717"/>
      <c r="BI36" s="716"/>
      <c r="BJ36" s="717"/>
      <c r="BK36" s="717"/>
      <c r="BL36" s="717"/>
      <c r="BM36" s="717"/>
      <c r="BN36" s="716"/>
      <c r="BO36" s="717"/>
      <c r="BP36" s="717"/>
      <c r="BQ36" s="717"/>
      <c r="BR36" s="717"/>
      <c r="DG36" s="317"/>
      <c r="DH36" s="317"/>
    </row>
    <row r="37" spans="1:112" ht="37.5" customHeight="1" thickBot="1" x14ac:dyDescent="0.3">
      <c r="A37" s="587"/>
      <c r="B37" s="61">
        <v>0.127</v>
      </c>
      <c r="C37" s="62" t="s">
        <v>113</v>
      </c>
      <c r="D37" s="63">
        <v>1</v>
      </c>
      <c r="E37" s="64" t="s">
        <v>114</v>
      </c>
      <c r="F37" s="587"/>
      <c r="G37" s="61">
        <v>0.66</v>
      </c>
      <c r="H37" s="62" t="s">
        <v>113</v>
      </c>
      <c r="I37" s="63">
        <v>1</v>
      </c>
      <c r="J37" s="64" t="s">
        <v>114</v>
      </c>
      <c r="K37" s="587"/>
      <c r="L37" s="61">
        <v>0.50800000000000001</v>
      </c>
      <c r="M37" s="62" t="s">
        <v>113</v>
      </c>
      <c r="N37" s="63">
        <v>1</v>
      </c>
      <c r="O37" s="64" t="s">
        <v>114</v>
      </c>
      <c r="P37" s="587"/>
      <c r="Q37" s="61">
        <v>0.35499999999999998</v>
      </c>
      <c r="R37" s="62" t="s">
        <v>113</v>
      </c>
      <c r="S37" s="63"/>
      <c r="T37" s="64" t="s">
        <v>114</v>
      </c>
      <c r="U37" s="587"/>
      <c r="V37" s="61">
        <v>0.127</v>
      </c>
      <c r="W37" s="62" t="s">
        <v>113</v>
      </c>
      <c r="X37" s="63"/>
      <c r="Y37" s="64" t="s">
        <v>114</v>
      </c>
      <c r="Z37" s="587"/>
      <c r="AA37" s="61">
        <v>1.0000000000000001E-9</v>
      </c>
      <c r="AB37" s="62" t="s">
        <v>113</v>
      </c>
      <c r="AC37" s="63">
        <v>1</v>
      </c>
      <c r="AD37" s="64" t="s">
        <v>114</v>
      </c>
      <c r="AE37" s="587"/>
      <c r="AF37" s="61">
        <v>0.20319999999999999</v>
      </c>
      <c r="AG37" s="62" t="s">
        <v>113</v>
      </c>
      <c r="AH37" s="63">
        <v>1</v>
      </c>
      <c r="AI37" s="64" t="s">
        <v>114</v>
      </c>
      <c r="AJ37" s="587"/>
      <c r="AK37" s="61">
        <v>0.50800000000000001</v>
      </c>
      <c r="AL37" s="62" t="s">
        <v>113</v>
      </c>
      <c r="AM37" s="63">
        <v>1</v>
      </c>
      <c r="AN37" s="64" t="s">
        <v>114</v>
      </c>
      <c r="AO37" s="587"/>
      <c r="AP37" s="61">
        <v>0.17780000000000001</v>
      </c>
      <c r="AQ37" s="62" t="s">
        <v>113</v>
      </c>
      <c r="AR37" s="63">
        <v>1</v>
      </c>
      <c r="AS37" s="64" t="s">
        <v>114</v>
      </c>
      <c r="AT37" s="3429"/>
      <c r="AU37" s="61">
        <v>0.53339999999999999</v>
      </c>
      <c r="AV37" s="62" t="s">
        <v>113</v>
      </c>
      <c r="AW37" s="63">
        <v>1</v>
      </c>
      <c r="AX37" s="64" t="s">
        <v>114</v>
      </c>
      <c r="AY37" s="718"/>
      <c r="AZ37" s="32"/>
      <c r="BA37" s="33"/>
      <c r="BB37" s="34"/>
      <c r="BC37" s="35"/>
      <c r="BD37" s="716"/>
      <c r="BE37" s="32"/>
      <c r="BF37" s="33"/>
      <c r="BG37" s="34"/>
      <c r="BH37" s="35"/>
      <c r="BI37" s="716"/>
      <c r="BJ37" s="32"/>
      <c r="BK37" s="33"/>
      <c r="BL37" s="34"/>
      <c r="BM37" s="35"/>
      <c r="BN37" s="716"/>
      <c r="BO37" s="32"/>
      <c r="BP37" s="33"/>
      <c r="BQ37" s="34"/>
      <c r="BR37" s="35"/>
      <c r="BW37" s="27"/>
      <c r="DG37" s="13"/>
      <c r="DH37" s="13"/>
    </row>
    <row r="38" spans="1:112" ht="18.600000000000001" customHeight="1" thickTop="1" x14ac:dyDescent="0.25">
      <c r="A38" s="710"/>
      <c r="B38" s="710"/>
      <c r="C38" s="1804"/>
      <c r="D38" s="1804"/>
      <c r="E38" s="1804"/>
      <c r="F38" s="710"/>
      <c r="G38" s="710"/>
      <c r="H38" s="1804"/>
      <c r="I38" s="1804"/>
      <c r="J38" s="1804"/>
      <c r="K38" s="710"/>
      <c r="L38" s="710"/>
      <c r="M38" s="1804"/>
      <c r="N38" s="1804"/>
      <c r="O38" s="1804"/>
      <c r="P38" s="710"/>
      <c r="Q38" s="710"/>
      <c r="R38" s="1804"/>
      <c r="S38" s="1804"/>
      <c r="T38" s="1804"/>
      <c r="U38" s="710"/>
      <c r="V38" s="710"/>
      <c r="W38" s="1804"/>
      <c r="X38" s="1804"/>
      <c r="Y38" s="1804"/>
      <c r="Z38" s="710"/>
      <c r="AA38" s="710"/>
      <c r="AB38" s="1804"/>
      <c r="AC38" s="1804"/>
      <c r="AD38" s="1804"/>
      <c r="AE38" s="710"/>
      <c r="AF38" s="710"/>
      <c r="AG38" s="1804"/>
      <c r="AH38" s="1804"/>
      <c r="AI38" s="1804"/>
      <c r="AJ38" s="710"/>
      <c r="AK38" s="710"/>
      <c r="AL38" s="1804"/>
      <c r="AM38" s="1804"/>
      <c r="AN38" s="1804"/>
      <c r="AO38" s="710"/>
      <c r="AP38" s="710"/>
      <c r="AQ38" s="1804"/>
      <c r="AR38" s="1804"/>
      <c r="AS38" s="1804"/>
      <c r="AT38" s="710"/>
      <c r="AU38" s="710"/>
      <c r="AV38" s="1804"/>
      <c r="AW38" s="1804"/>
      <c r="AX38" s="1804"/>
      <c r="AY38" s="719"/>
      <c r="AZ38" s="719"/>
      <c r="BA38" s="1300"/>
      <c r="BB38" s="1300"/>
      <c r="BC38" s="1300"/>
      <c r="BD38" s="719"/>
      <c r="BE38" s="719"/>
      <c r="BF38" s="1300"/>
      <c r="BG38" s="1300"/>
      <c r="BH38" s="1300"/>
      <c r="BI38" s="719"/>
      <c r="BJ38" s="719"/>
      <c r="BK38" s="1300"/>
      <c r="BL38" s="1300"/>
      <c r="BM38" s="1300"/>
      <c r="BN38" s="719"/>
      <c r="BO38" s="719"/>
      <c r="BP38" s="1300"/>
      <c r="BQ38" s="1300"/>
      <c r="BR38" s="1300"/>
      <c r="DG38" s="13"/>
      <c r="DH38" s="13"/>
    </row>
    <row r="39" spans="1:112" ht="18.600000000000001" hidden="1" customHeight="1" x14ac:dyDescent="0.25">
      <c r="A39" s="719"/>
      <c r="B39" s="719"/>
      <c r="C39" s="1300"/>
      <c r="D39" s="1300"/>
      <c r="E39" s="1300"/>
      <c r="F39" s="719"/>
      <c r="G39" s="719"/>
      <c r="H39" s="1300"/>
      <c r="I39" s="1300"/>
      <c r="J39" s="1300"/>
      <c r="K39" s="719"/>
      <c r="L39" s="719"/>
      <c r="M39" s="1300"/>
      <c r="N39" s="1300"/>
      <c r="O39" s="1300"/>
      <c r="P39" s="719"/>
      <c r="Q39" s="719"/>
      <c r="R39" s="1300"/>
      <c r="S39" s="1300"/>
      <c r="T39" s="1300"/>
      <c r="U39" s="719"/>
      <c r="V39" s="719"/>
      <c r="W39" s="1300"/>
      <c r="X39" s="1300"/>
      <c r="Y39" s="1300"/>
      <c r="Z39" s="719"/>
      <c r="AA39" s="719"/>
      <c r="AB39" s="1300"/>
      <c r="AC39" s="1300"/>
      <c r="AD39" s="1300"/>
      <c r="AE39" s="719"/>
      <c r="AF39" s="719"/>
      <c r="AG39" s="1300"/>
      <c r="AH39" s="1300"/>
      <c r="AI39" s="1300"/>
      <c r="AJ39" s="719"/>
      <c r="AK39" s="719"/>
      <c r="AL39" s="1300"/>
      <c r="AM39" s="1300"/>
      <c r="AN39" s="1300"/>
      <c r="AO39" s="719"/>
      <c r="AP39" s="719"/>
      <c r="AQ39" s="1300"/>
      <c r="AR39" s="1300"/>
      <c r="AS39" s="1300"/>
      <c r="AT39" s="719"/>
      <c r="AU39" s="719"/>
      <c r="AV39" s="1300"/>
      <c r="AW39" s="1300"/>
      <c r="AX39" s="1300"/>
      <c r="AY39" s="719"/>
      <c r="AZ39" s="719"/>
      <c r="BA39" s="1300"/>
      <c r="BB39" s="1300"/>
      <c r="BC39" s="1300"/>
      <c r="BD39" s="719"/>
      <c r="BE39" s="719"/>
      <c r="BF39" s="1300"/>
      <c r="BG39" s="1300"/>
      <c r="BH39" s="1300"/>
      <c r="BI39" s="719"/>
      <c r="BJ39" s="719"/>
      <c r="BK39" s="1300"/>
      <c r="BL39" s="1300"/>
      <c r="BM39" s="1300"/>
      <c r="BN39" s="719"/>
      <c r="BO39" s="719"/>
      <c r="BP39" s="1300"/>
      <c r="BQ39" s="1300"/>
      <c r="BR39" s="1300"/>
      <c r="DG39" s="13"/>
      <c r="DH39" s="13"/>
    </row>
    <row r="40" spans="1:112" ht="9.9499999999999993" hidden="1" customHeight="1" x14ac:dyDescent="0.25">
      <c r="A40" s="719"/>
      <c r="B40" s="719"/>
      <c r="C40" s="719"/>
      <c r="D40" s="719"/>
      <c r="E40" s="719"/>
      <c r="F40" s="719"/>
      <c r="G40" s="719"/>
      <c r="H40" s="719"/>
      <c r="I40" s="719"/>
      <c r="J40" s="719"/>
      <c r="K40" s="719"/>
      <c r="L40" s="719"/>
      <c r="M40" s="719"/>
      <c r="N40" s="719"/>
      <c r="O40" s="719"/>
      <c r="P40" s="719"/>
      <c r="Q40" s="719"/>
      <c r="R40" s="719"/>
      <c r="S40" s="719"/>
      <c r="T40" s="719"/>
      <c r="U40" s="719"/>
      <c r="V40" s="719"/>
      <c r="W40" s="719"/>
      <c r="X40" s="719"/>
      <c r="Y40" s="719"/>
      <c r="Z40" s="719"/>
      <c r="AA40" s="719"/>
      <c r="AB40" s="719"/>
      <c r="AC40" s="719"/>
      <c r="AD40" s="719"/>
      <c r="AE40" s="719"/>
      <c r="AF40" s="719"/>
      <c r="AG40" s="719"/>
      <c r="AH40" s="719"/>
      <c r="AI40" s="719"/>
      <c r="AJ40" s="719"/>
      <c r="AK40" s="719"/>
      <c r="AL40" s="719"/>
      <c r="AM40" s="719"/>
      <c r="AN40" s="719"/>
      <c r="AO40" s="719"/>
      <c r="AP40" s="719"/>
      <c r="AQ40" s="719"/>
      <c r="AR40" s="719"/>
      <c r="AS40" s="719"/>
      <c r="AT40" s="719"/>
      <c r="AU40" s="719"/>
      <c r="AV40" s="719"/>
      <c r="AW40" s="719"/>
      <c r="AX40" s="719"/>
      <c r="AY40" s="719"/>
      <c r="AZ40" s="719"/>
      <c r="BA40" s="719"/>
      <c r="BB40" s="719"/>
      <c r="BC40" s="719"/>
      <c r="BD40" s="719"/>
      <c r="BE40" s="719"/>
      <c r="BF40" s="719"/>
      <c r="BG40" s="719"/>
      <c r="BH40" s="719"/>
      <c r="BI40" s="719"/>
      <c r="BJ40" s="719"/>
      <c r="BK40" s="719"/>
      <c r="BL40" s="719"/>
      <c r="BM40" s="719"/>
      <c r="BN40" s="719"/>
      <c r="BO40" s="719"/>
      <c r="BP40" s="719"/>
      <c r="BQ40" s="719"/>
      <c r="BR40" s="719"/>
      <c r="DG40" s="13"/>
      <c r="DH40" s="13"/>
    </row>
    <row r="41" spans="1:112" ht="9.9499999999999993" hidden="1" customHeight="1" x14ac:dyDescent="0.25">
      <c r="A41" s="719"/>
      <c r="B41" s="719"/>
      <c r="C41" s="719"/>
      <c r="D41" s="719"/>
      <c r="E41" s="719"/>
      <c r="F41" s="719"/>
      <c r="G41" s="719"/>
      <c r="H41" s="719"/>
      <c r="I41" s="719"/>
      <c r="J41" s="719"/>
      <c r="K41" s="719"/>
      <c r="L41" s="719"/>
      <c r="M41" s="719"/>
      <c r="N41" s="719"/>
      <c r="O41" s="719"/>
      <c r="P41" s="719"/>
      <c r="Q41" s="719"/>
      <c r="R41" s="719"/>
      <c r="S41" s="719"/>
      <c r="T41" s="719"/>
      <c r="U41" s="719"/>
      <c r="V41" s="719"/>
      <c r="W41" s="719"/>
      <c r="X41" s="719"/>
      <c r="Y41" s="719"/>
      <c r="Z41" s="719"/>
      <c r="AA41" s="719"/>
      <c r="AB41" s="719"/>
      <c r="AC41" s="719"/>
      <c r="AD41" s="719"/>
      <c r="AE41" s="719"/>
      <c r="AF41" s="719"/>
      <c r="AG41" s="719"/>
      <c r="AH41" s="719"/>
      <c r="AI41" s="719"/>
      <c r="AJ41" s="719"/>
      <c r="AK41" s="719"/>
      <c r="AL41" s="719"/>
      <c r="AM41" s="719"/>
      <c r="AN41" s="719"/>
      <c r="AO41" s="719"/>
      <c r="AP41" s="719"/>
      <c r="AQ41" s="719"/>
      <c r="AR41" s="719"/>
      <c r="AS41" s="719"/>
      <c r="AT41" s="719"/>
      <c r="AU41" s="719"/>
      <c r="AV41" s="719"/>
      <c r="AW41" s="719"/>
      <c r="AX41" s="719"/>
      <c r="AY41" s="719"/>
      <c r="AZ41" s="719"/>
      <c r="BA41" s="719"/>
      <c r="BB41" s="719"/>
      <c r="BC41" s="719"/>
      <c r="BD41" s="719"/>
      <c r="BE41" s="719"/>
      <c r="BF41" s="719"/>
      <c r="BG41" s="719"/>
      <c r="BH41" s="719"/>
      <c r="BI41" s="719"/>
      <c r="BJ41" s="719"/>
      <c r="BK41" s="719"/>
      <c r="BL41" s="719"/>
      <c r="BM41" s="719"/>
      <c r="BN41" s="719"/>
      <c r="BO41" s="719"/>
      <c r="BP41" s="719"/>
      <c r="BQ41" s="719"/>
      <c r="BR41" s="719"/>
      <c r="DG41" s="57"/>
      <c r="DH41" s="57"/>
    </row>
    <row r="42" spans="1:112" s="22" customFormat="1" ht="84.95" hidden="1" customHeight="1" x14ac:dyDescent="1.35">
      <c r="A42" s="716"/>
      <c r="B42" s="1797"/>
      <c r="C42" s="1797"/>
      <c r="D42" s="1797"/>
      <c r="E42" s="1797"/>
      <c r="F42" s="716"/>
      <c r="G42" s="1797"/>
      <c r="H42" s="1797"/>
      <c r="I42" s="1797"/>
      <c r="J42" s="1797"/>
      <c r="K42" s="716"/>
      <c r="L42" s="1797"/>
      <c r="M42" s="1797"/>
      <c r="N42" s="1797"/>
      <c r="O42" s="1797"/>
      <c r="P42" s="716"/>
      <c r="Q42" s="1797"/>
      <c r="R42" s="1797"/>
      <c r="S42" s="1797"/>
      <c r="T42" s="1797"/>
      <c r="U42" s="716"/>
      <c r="V42" s="1797"/>
      <c r="W42" s="1797"/>
      <c r="X42" s="1797"/>
      <c r="Y42" s="1797"/>
      <c r="Z42" s="716"/>
      <c r="AA42" s="1797"/>
      <c r="AB42" s="1797"/>
      <c r="AC42" s="1797"/>
      <c r="AD42" s="1797"/>
      <c r="AE42" s="716"/>
      <c r="AF42" s="1797"/>
      <c r="AG42" s="1797"/>
      <c r="AH42" s="1797"/>
      <c r="AI42" s="1797"/>
      <c r="AJ42" s="716"/>
      <c r="AK42" s="1797"/>
      <c r="AL42" s="1797"/>
      <c r="AM42" s="1797"/>
      <c r="AN42" s="1797"/>
      <c r="AO42" s="716"/>
      <c r="AP42" s="1797"/>
      <c r="AQ42" s="1797"/>
      <c r="AR42" s="1797"/>
      <c r="AS42" s="1797"/>
      <c r="AT42" s="716"/>
      <c r="AU42" s="1797"/>
      <c r="AV42" s="1797"/>
      <c r="AW42" s="1797"/>
      <c r="AX42" s="1797"/>
      <c r="AY42" s="716"/>
      <c r="AZ42" s="1797"/>
      <c r="BA42" s="1797"/>
      <c r="BB42" s="1797"/>
      <c r="BC42" s="1797"/>
      <c r="BD42" s="716"/>
      <c r="BE42" s="1797"/>
      <c r="BF42" s="1797"/>
      <c r="BG42" s="1797"/>
      <c r="BH42" s="1797"/>
      <c r="BI42" s="716"/>
      <c r="BJ42" s="1797"/>
      <c r="BK42" s="1797"/>
      <c r="BL42" s="1797"/>
      <c r="BM42" s="1797"/>
      <c r="BN42" s="716"/>
      <c r="BO42" s="1797"/>
      <c r="BP42" s="1797"/>
      <c r="BQ42" s="1797"/>
      <c r="BR42" s="1797"/>
      <c r="DG42" s="57"/>
      <c r="DH42" s="57"/>
    </row>
    <row r="43" spans="1:112" ht="23.1" hidden="1" customHeight="1" x14ac:dyDescent="0.25">
      <c r="A43" s="716"/>
      <c r="B43" s="32"/>
      <c r="C43" s="33"/>
      <c r="D43" s="34"/>
      <c r="E43" s="35"/>
      <c r="F43" s="716"/>
      <c r="G43" s="32"/>
      <c r="H43" s="33"/>
      <c r="I43" s="34"/>
      <c r="J43" s="35"/>
      <c r="K43" s="716"/>
      <c r="L43" s="32"/>
      <c r="M43" s="33"/>
      <c r="N43" s="34"/>
      <c r="O43" s="35"/>
      <c r="P43" s="716"/>
      <c r="Q43" s="32"/>
      <c r="R43" s="33"/>
      <c r="S43" s="34"/>
      <c r="T43" s="35"/>
      <c r="U43" s="716"/>
      <c r="V43" s="32"/>
      <c r="W43" s="33"/>
      <c r="X43" s="34"/>
      <c r="Y43" s="35"/>
      <c r="Z43" s="716"/>
      <c r="AA43" s="32"/>
      <c r="AB43" s="33"/>
      <c r="AC43" s="34"/>
      <c r="AD43" s="35"/>
      <c r="AE43" s="716"/>
      <c r="AF43" s="32"/>
      <c r="AG43" s="33"/>
      <c r="AH43" s="34"/>
      <c r="AI43" s="35"/>
      <c r="AJ43" s="716"/>
      <c r="AK43" s="32"/>
      <c r="AL43" s="33"/>
      <c r="AM43" s="34"/>
      <c r="AN43" s="35"/>
      <c r="AO43" s="716"/>
      <c r="AP43" s="32"/>
      <c r="AQ43" s="33"/>
      <c r="AR43" s="34"/>
      <c r="AS43" s="35"/>
      <c r="AT43" s="716"/>
      <c r="AU43" s="32"/>
      <c r="AV43" s="33"/>
      <c r="AW43" s="34"/>
      <c r="AX43" s="35"/>
      <c r="AY43" s="716"/>
      <c r="AZ43" s="32"/>
      <c r="BA43" s="33"/>
      <c r="BB43" s="34"/>
      <c r="BC43" s="35"/>
      <c r="BD43" s="716"/>
      <c r="BE43" s="32"/>
      <c r="BF43" s="33"/>
      <c r="BG43" s="34"/>
      <c r="BH43" s="35"/>
      <c r="BI43" s="716"/>
      <c r="BJ43" s="32"/>
      <c r="BK43" s="33"/>
      <c r="BL43" s="34"/>
      <c r="BM43" s="35"/>
      <c r="BN43" s="716"/>
      <c r="BO43" s="32"/>
      <c r="BP43" s="33"/>
      <c r="BQ43" s="34"/>
      <c r="BR43" s="35"/>
      <c r="BW43" s="27"/>
      <c r="DG43" s="57"/>
      <c r="DH43" s="57"/>
    </row>
    <row r="44" spans="1:112" ht="18.600000000000001" hidden="1" customHeight="1" x14ac:dyDescent="0.25">
      <c r="A44" s="719"/>
      <c r="B44" s="719"/>
      <c r="C44" s="1300"/>
      <c r="D44" s="1300"/>
      <c r="E44" s="1300"/>
      <c r="F44" s="719"/>
      <c r="G44" s="719"/>
      <c r="H44" s="1300"/>
      <c r="I44" s="1300"/>
      <c r="J44" s="1300"/>
      <c r="K44" s="719"/>
      <c r="L44" s="719"/>
      <c r="M44" s="1300"/>
      <c r="N44" s="1300"/>
      <c r="O44" s="1300"/>
      <c r="P44" s="719"/>
      <c r="Q44" s="719"/>
      <c r="R44" s="1300"/>
      <c r="S44" s="1300"/>
      <c r="T44" s="1300"/>
      <c r="U44" s="719"/>
      <c r="V44" s="719"/>
      <c r="W44" s="1300"/>
      <c r="X44" s="1300"/>
      <c r="Y44" s="1300"/>
      <c r="Z44" s="719"/>
      <c r="AA44" s="719"/>
      <c r="AB44" s="1300"/>
      <c r="AC44" s="1300"/>
      <c r="AD44" s="1300"/>
      <c r="AE44" s="719"/>
      <c r="AF44" s="719"/>
      <c r="AG44" s="1300"/>
      <c r="AH44" s="1300"/>
      <c r="AI44" s="1300"/>
      <c r="AJ44" s="719"/>
      <c r="AK44" s="719"/>
      <c r="AL44" s="1300"/>
      <c r="AM44" s="1300"/>
      <c r="AN44" s="1300"/>
      <c r="AO44" s="719"/>
      <c r="AP44" s="719"/>
      <c r="AQ44" s="1300"/>
      <c r="AR44" s="1300"/>
      <c r="AS44" s="1300"/>
      <c r="AT44" s="719"/>
      <c r="AU44" s="719"/>
      <c r="AV44" s="1300"/>
      <c r="AW44" s="1300"/>
      <c r="AX44" s="1300"/>
      <c r="AY44" s="719"/>
      <c r="AZ44" s="719"/>
      <c r="BA44" s="1300"/>
      <c r="BB44" s="1300"/>
      <c r="BC44" s="1300"/>
      <c r="BD44" s="719"/>
      <c r="BE44" s="719"/>
      <c r="BF44" s="1300"/>
      <c r="BG44" s="1300"/>
      <c r="BH44" s="1300"/>
      <c r="BI44" s="719"/>
      <c r="BJ44" s="719"/>
      <c r="BK44" s="1300"/>
      <c r="BL44" s="1300"/>
      <c r="BM44" s="1300"/>
      <c r="BN44" s="719"/>
      <c r="BO44" s="719"/>
      <c r="BP44" s="1300"/>
      <c r="BQ44" s="1300"/>
      <c r="BR44" s="1300"/>
      <c r="DG44" s="57"/>
      <c r="DH44" s="57"/>
    </row>
    <row r="45" spans="1:112" ht="18.600000000000001" hidden="1" customHeight="1" x14ac:dyDescent="0.25">
      <c r="A45" s="719"/>
      <c r="B45" s="719"/>
      <c r="C45" s="1300"/>
      <c r="D45" s="1300"/>
      <c r="E45" s="1300"/>
      <c r="F45" s="719"/>
      <c r="G45" s="719"/>
      <c r="H45" s="1300"/>
      <c r="I45" s="1300"/>
      <c r="J45" s="1300"/>
      <c r="K45" s="719"/>
      <c r="L45" s="719"/>
      <c r="M45" s="1300"/>
      <c r="N45" s="1300"/>
      <c r="O45" s="1300"/>
      <c r="P45" s="719"/>
      <c r="Q45" s="719"/>
      <c r="R45" s="1300"/>
      <c r="S45" s="1300"/>
      <c r="T45" s="1300"/>
      <c r="U45" s="719"/>
      <c r="V45" s="719"/>
      <c r="W45" s="1300"/>
      <c r="X45" s="1300"/>
      <c r="Y45" s="1300"/>
      <c r="Z45" s="719"/>
      <c r="AA45" s="719"/>
      <c r="AB45" s="1300"/>
      <c r="AC45" s="1300"/>
      <c r="AD45" s="1300"/>
      <c r="AE45" s="719"/>
      <c r="AF45" s="719"/>
      <c r="AG45" s="1300"/>
      <c r="AH45" s="1300"/>
      <c r="AI45" s="1300"/>
      <c r="AJ45" s="719"/>
      <c r="AK45" s="719"/>
      <c r="AL45" s="1300"/>
      <c r="AM45" s="1300"/>
      <c r="AN45" s="1300"/>
      <c r="AO45" s="719"/>
      <c r="AP45" s="719"/>
      <c r="AQ45" s="1300"/>
      <c r="AR45" s="1300"/>
      <c r="AS45" s="1300"/>
      <c r="AT45" s="719"/>
      <c r="AU45" s="719"/>
      <c r="AV45" s="1300"/>
      <c r="AW45" s="1300"/>
      <c r="AX45" s="1300"/>
      <c r="AY45" s="719"/>
      <c r="AZ45" s="719"/>
      <c r="BA45" s="1300"/>
      <c r="BB45" s="1300"/>
      <c r="BC45" s="1300"/>
      <c r="BD45" s="719"/>
      <c r="BE45" s="719"/>
      <c r="BF45" s="1300"/>
      <c r="BG45" s="1300"/>
      <c r="BH45" s="1300"/>
      <c r="BI45" s="719"/>
      <c r="BJ45" s="719"/>
      <c r="BK45" s="1300"/>
      <c r="BL45" s="1300"/>
      <c r="BM45" s="1300"/>
      <c r="BN45" s="719"/>
      <c r="BO45" s="719"/>
      <c r="BP45" s="1300"/>
      <c r="BQ45" s="1300"/>
      <c r="BR45" s="1300"/>
      <c r="DG45" s="57"/>
      <c r="DH45" s="57"/>
    </row>
    <row r="46" spans="1:112" ht="9.9499999999999993" hidden="1" customHeight="1" x14ac:dyDescent="0.25">
      <c r="A46" s="719"/>
      <c r="B46" s="719"/>
      <c r="C46" s="719"/>
      <c r="D46" s="719"/>
      <c r="E46" s="719"/>
      <c r="F46" s="719"/>
      <c r="G46" s="719"/>
      <c r="H46" s="719"/>
      <c r="I46" s="719"/>
      <c r="J46" s="719"/>
      <c r="K46" s="719"/>
      <c r="L46" s="719"/>
      <c r="M46" s="719"/>
      <c r="N46" s="719"/>
      <c r="O46" s="719"/>
      <c r="P46" s="719"/>
      <c r="Q46" s="719"/>
      <c r="R46" s="719"/>
      <c r="S46" s="719"/>
      <c r="T46" s="719"/>
      <c r="U46" s="719"/>
      <c r="V46" s="719"/>
      <c r="W46" s="719"/>
      <c r="X46" s="719"/>
      <c r="Y46" s="719"/>
      <c r="Z46" s="719"/>
      <c r="AA46" s="719"/>
      <c r="AB46" s="719"/>
      <c r="AC46" s="719"/>
      <c r="AD46" s="719"/>
      <c r="AE46" s="719"/>
      <c r="AF46" s="719"/>
      <c r="AG46" s="719"/>
      <c r="AH46" s="719"/>
      <c r="AI46" s="719"/>
      <c r="AJ46" s="719"/>
      <c r="AK46" s="719"/>
      <c r="AL46" s="719"/>
      <c r="AM46" s="719"/>
      <c r="AN46" s="719"/>
      <c r="AO46" s="719"/>
      <c r="AP46" s="719"/>
      <c r="AQ46" s="719"/>
      <c r="AR46" s="719"/>
      <c r="AS46" s="719"/>
      <c r="AT46" s="719"/>
      <c r="AU46" s="719"/>
      <c r="AV46" s="719"/>
      <c r="AW46" s="719"/>
      <c r="AX46" s="719"/>
      <c r="AY46" s="719"/>
      <c r="AZ46" s="719"/>
      <c r="BA46" s="719"/>
      <c r="BB46" s="719"/>
      <c r="BC46" s="719"/>
      <c r="BD46" s="719"/>
      <c r="BE46" s="719"/>
      <c r="BF46" s="719"/>
      <c r="BG46" s="719"/>
      <c r="BH46" s="719"/>
      <c r="BI46" s="719"/>
      <c r="BJ46" s="719"/>
      <c r="BK46" s="719"/>
      <c r="BL46" s="719"/>
      <c r="BM46" s="719"/>
      <c r="BN46" s="719"/>
      <c r="BO46" s="719"/>
      <c r="BP46" s="719"/>
      <c r="BQ46" s="719"/>
      <c r="BR46" s="719"/>
    </row>
    <row r="47" spans="1:112" ht="9.9499999999999993" hidden="1" customHeight="1" x14ac:dyDescent="0.25">
      <c r="A47" s="719"/>
      <c r="B47" s="719"/>
      <c r="C47" s="719"/>
      <c r="D47" s="719"/>
      <c r="E47" s="719"/>
      <c r="F47" s="719"/>
      <c r="G47" s="719"/>
      <c r="H47" s="719"/>
      <c r="I47" s="719"/>
      <c r="J47" s="719"/>
      <c r="K47" s="719"/>
      <c r="L47" s="719"/>
      <c r="M47" s="719"/>
      <c r="N47" s="719"/>
      <c r="O47" s="719"/>
      <c r="P47" s="719"/>
      <c r="Q47" s="719"/>
      <c r="R47" s="719"/>
      <c r="S47" s="719"/>
      <c r="T47" s="719"/>
      <c r="U47" s="719"/>
      <c r="V47" s="719"/>
      <c r="W47" s="719"/>
      <c r="X47" s="719"/>
      <c r="Y47" s="719"/>
      <c r="Z47" s="719"/>
      <c r="AA47" s="719"/>
      <c r="AB47" s="719"/>
      <c r="AC47" s="719"/>
      <c r="AD47" s="719"/>
      <c r="AE47" s="719"/>
      <c r="AF47" s="719"/>
      <c r="AG47" s="719"/>
      <c r="AH47" s="719"/>
      <c r="AI47" s="719"/>
      <c r="AJ47" s="719"/>
      <c r="AK47" s="719"/>
      <c r="AL47" s="719"/>
      <c r="AM47" s="719"/>
      <c r="AN47" s="719"/>
      <c r="AO47" s="719"/>
      <c r="AP47" s="719"/>
      <c r="AQ47" s="719"/>
      <c r="AR47" s="719"/>
      <c r="AS47" s="719"/>
      <c r="AT47" s="719"/>
      <c r="AU47" s="719"/>
      <c r="AV47" s="719"/>
      <c r="AW47" s="719"/>
      <c r="AX47" s="719"/>
      <c r="AY47" s="719"/>
      <c r="AZ47" s="719"/>
      <c r="BA47" s="719"/>
      <c r="BB47" s="719"/>
      <c r="BC47" s="719"/>
      <c r="BD47" s="719"/>
      <c r="BE47" s="719"/>
      <c r="BF47" s="719"/>
      <c r="BG47" s="719"/>
      <c r="BH47" s="719"/>
      <c r="BI47" s="719"/>
      <c r="BJ47" s="719"/>
      <c r="BK47" s="719"/>
      <c r="BL47" s="719"/>
      <c r="BM47" s="719"/>
      <c r="BN47" s="719"/>
      <c r="BO47" s="719"/>
      <c r="BP47" s="719"/>
      <c r="BQ47" s="719"/>
      <c r="BR47" s="719"/>
    </row>
    <row r="48" spans="1:112" s="22" customFormat="1" ht="84.95" hidden="1" customHeight="1" x14ac:dyDescent="1.35">
      <c r="A48" s="716"/>
      <c r="B48" s="1797"/>
      <c r="C48" s="1797"/>
      <c r="D48" s="1797"/>
      <c r="E48" s="1797"/>
      <c r="F48" s="716"/>
      <c r="G48" s="1797"/>
      <c r="H48" s="1797"/>
      <c r="I48" s="1797"/>
      <c r="J48" s="1797"/>
      <c r="K48" s="716"/>
      <c r="L48" s="1797"/>
      <c r="M48" s="1797"/>
      <c r="N48" s="1797"/>
      <c r="O48" s="1797"/>
      <c r="P48" s="716"/>
      <c r="Q48" s="1797"/>
      <c r="R48" s="1797"/>
      <c r="S48" s="1797"/>
      <c r="T48" s="1797"/>
      <c r="U48" s="716"/>
      <c r="V48" s="1797"/>
      <c r="W48" s="1797"/>
      <c r="X48" s="1797"/>
      <c r="Y48" s="1797"/>
      <c r="Z48" s="716"/>
      <c r="AA48" s="1797"/>
      <c r="AB48" s="1797"/>
      <c r="AC48" s="1797"/>
      <c r="AD48" s="1797"/>
      <c r="AE48" s="716"/>
      <c r="AF48" s="1797"/>
      <c r="AG48" s="1797"/>
      <c r="AH48" s="1797"/>
      <c r="AI48" s="1797"/>
      <c r="AJ48" s="716"/>
      <c r="AK48" s="1797"/>
      <c r="AL48" s="1797"/>
      <c r="AM48" s="1797"/>
      <c r="AN48" s="1797"/>
      <c r="AO48" s="716"/>
      <c r="AP48" s="1797"/>
      <c r="AQ48" s="1797"/>
      <c r="AR48" s="1797"/>
      <c r="AS48" s="1797"/>
      <c r="AT48" s="716"/>
      <c r="AU48" s="1797"/>
      <c r="AV48" s="1797"/>
      <c r="AW48" s="1797"/>
      <c r="AX48" s="1797"/>
      <c r="AY48" s="716"/>
      <c r="AZ48" s="1797"/>
      <c r="BA48" s="1797"/>
      <c r="BB48" s="1797"/>
      <c r="BC48" s="1797"/>
      <c r="BD48" s="716"/>
      <c r="BE48" s="1797"/>
      <c r="BF48" s="1797"/>
      <c r="BG48" s="1797"/>
      <c r="BH48" s="1797"/>
      <c r="BI48" s="716"/>
      <c r="BJ48" s="1797"/>
      <c r="BK48" s="1797"/>
      <c r="BL48" s="1797"/>
      <c r="BM48" s="1797"/>
      <c r="BN48" s="716"/>
      <c r="BO48" s="1797"/>
      <c r="BP48" s="1797"/>
      <c r="BQ48" s="1797"/>
      <c r="BR48" s="1797"/>
      <c r="DG48"/>
      <c r="DH48"/>
    </row>
    <row r="49" spans="1:83" ht="23.1" hidden="1" customHeight="1" thickBot="1" x14ac:dyDescent="0.3">
      <c r="A49" s="716"/>
      <c r="B49" s="32"/>
      <c r="C49" s="33"/>
      <c r="D49" s="34"/>
      <c r="E49" s="35"/>
      <c r="F49" s="716"/>
      <c r="G49" s="32"/>
      <c r="H49" s="33"/>
      <c r="I49" s="34"/>
      <c r="J49" s="35"/>
      <c r="K49" s="716"/>
      <c r="L49" s="32"/>
      <c r="M49" s="33"/>
      <c r="N49" s="34"/>
      <c r="O49" s="35"/>
      <c r="P49" s="716"/>
      <c r="Q49" s="32"/>
      <c r="R49" s="33"/>
      <c r="S49" s="34"/>
      <c r="T49" s="35"/>
      <c r="U49" s="716"/>
      <c r="V49" s="32"/>
      <c r="W49" s="33"/>
      <c r="X49" s="34"/>
      <c r="Y49" s="35"/>
      <c r="Z49" s="716"/>
      <c r="AA49" s="32"/>
      <c r="AB49" s="33"/>
      <c r="AC49" s="34"/>
      <c r="AD49" s="35"/>
      <c r="AE49" s="716"/>
      <c r="AF49" s="32"/>
      <c r="AG49" s="33"/>
      <c r="AH49" s="34"/>
      <c r="AI49" s="35"/>
      <c r="AJ49" s="716"/>
      <c r="AK49" s="32"/>
      <c r="AL49" s="33"/>
      <c r="AM49" s="34"/>
      <c r="AN49" s="35"/>
      <c r="AO49" s="716"/>
      <c r="AP49" s="32"/>
      <c r="AQ49" s="33"/>
      <c r="AR49" s="34"/>
      <c r="AS49" s="35"/>
      <c r="AT49" s="716"/>
      <c r="AU49" s="32"/>
      <c r="AV49" s="33"/>
      <c r="AW49" s="34"/>
      <c r="AX49" s="35"/>
      <c r="AY49" s="716"/>
      <c r="AZ49" s="32"/>
      <c r="BA49" s="33"/>
      <c r="BB49" s="34"/>
      <c r="BC49" s="35"/>
      <c r="BD49" s="716"/>
      <c r="BE49" s="32"/>
      <c r="BF49" s="33"/>
      <c r="BG49" s="34"/>
      <c r="BH49" s="35"/>
      <c r="BI49" s="716"/>
      <c r="BJ49" s="32"/>
      <c r="BK49" s="33"/>
      <c r="BL49" s="34"/>
      <c r="BM49" s="35"/>
      <c r="BN49" s="716"/>
      <c r="BO49" s="32"/>
      <c r="BP49" s="33"/>
      <c r="BQ49" s="34"/>
      <c r="BR49" s="35"/>
      <c r="BW49" s="27"/>
    </row>
    <row r="50" spans="1:83" ht="26.1" hidden="1" customHeight="1" thickTop="1" x14ac:dyDescent="0.25">
      <c r="A50" s="719"/>
      <c r="B50" s="719"/>
      <c r="C50" s="1300"/>
      <c r="D50" s="1300"/>
      <c r="E50" s="1300"/>
      <c r="F50" s="719"/>
      <c r="G50" s="719"/>
      <c r="H50" s="1300"/>
      <c r="I50" s="1300"/>
      <c r="J50" s="1300"/>
      <c r="K50" s="719"/>
      <c r="L50" s="719"/>
      <c r="M50" s="1300"/>
      <c r="N50" s="1300"/>
      <c r="O50" s="1300"/>
      <c r="P50" s="719"/>
      <c r="Q50" s="719"/>
      <c r="R50" s="1300"/>
      <c r="S50" s="1300"/>
      <c r="T50" s="1300"/>
      <c r="U50" s="719"/>
      <c r="V50" s="719"/>
      <c r="W50" s="1300"/>
      <c r="X50" s="1300"/>
      <c r="Y50" s="1300"/>
      <c r="Z50" s="719"/>
      <c r="AA50" s="719"/>
      <c r="AB50" s="1300"/>
      <c r="AC50" s="1300"/>
      <c r="AD50" s="1300"/>
      <c r="AE50" s="719"/>
      <c r="AF50" s="719"/>
      <c r="AG50" s="1300"/>
      <c r="AH50" s="1300"/>
      <c r="AI50" s="1300"/>
      <c r="AJ50" s="719"/>
      <c r="AK50" s="719"/>
      <c r="AL50" s="1300"/>
      <c r="AM50" s="1300"/>
      <c r="AN50" s="1300"/>
      <c r="AO50" s="719"/>
      <c r="AP50" s="719"/>
      <c r="AQ50" s="1300"/>
      <c r="AR50" s="1300"/>
      <c r="AS50" s="1300"/>
      <c r="AT50" s="719"/>
      <c r="AU50" s="719"/>
      <c r="AV50" s="1300"/>
      <c r="AW50" s="1300"/>
      <c r="AX50" s="1300"/>
      <c r="AY50" s="719"/>
      <c r="AZ50" s="719"/>
      <c r="BA50" s="1300"/>
      <c r="BB50" s="1300"/>
      <c r="BC50" s="1300"/>
      <c r="BD50" s="719"/>
      <c r="BE50" s="719"/>
      <c r="BF50" s="1300"/>
      <c r="BG50" s="1300"/>
      <c r="BH50" s="1300"/>
      <c r="BI50" s="719"/>
      <c r="BJ50" s="719"/>
      <c r="BK50" s="1300"/>
      <c r="BL50" s="1300"/>
      <c r="BM50" s="1300"/>
      <c r="BN50" s="719"/>
      <c r="BO50" s="719"/>
      <c r="BP50" s="1300"/>
      <c r="BQ50" s="1300"/>
      <c r="BR50" s="1300"/>
    </row>
    <row r="51" spans="1:83" ht="6.75" hidden="1" customHeight="1" x14ac:dyDescent="0.25">
      <c r="A51" s="719"/>
      <c r="B51" s="719"/>
      <c r="C51" s="1300"/>
      <c r="D51" s="1300"/>
      <c r="E51" s="1300"/>
      <c r="F51" s="719"/>
      <c r="G51" s="719"/>
      <c r="H51" s="1300"/>
      <c r="I51" s="1300"/>
      <c r="J51" s="1300"/>
      <c r="K51" s="719"/>
      <c r="L51" s="719"/>
      <c r="M51" s="1300"/>
      <c r="N51" s="1300"/>
      <c r="O51" s="1300"/>
      <c r="P51" s="719"/>
      <c r="Q51" s="719"/>
      <c r="R51" s="1300"/>
      <c r="S51" s="1300"/>
      <c r="T51" s="1300"/>
      <c r="U51" s="719"/>
      <c r="V51" s="719"/>
      <c r="W51" s="1300"/>
      <c r="X51" s="1300"/>
      <c r="Y51" s="1300"/>
      <c r="Z51" s="719"/>
      <c r="AA51" s="719"/>
      <c r="AB51" s="1300"/>
      <c r="AC51" s="1300"/>
      <c r="AD51" s="1300"/>
      <c r="AE51" s="719"/>
      <c r="AF51" s="719"/>
      <c r="AG51" s="1300"/>
      <c r="AH51" s="1300"/>
      <c r="AI51" s="1300"/>
      <c r="AJ51" s="719"/>
      <c r="AK51" s="719"/>
      <c r="AL51" s="1300"/>
      <c r="AM51" s="1300"/>
      <c r="AN51" s="1300"/>
      <c r="AO51" s="719"/>
      <c r="AP51" s="719"/>
      <c r="AQ51" s="1300"/>
      <c r="AR51" s="1300"/>
      <c r="AS51" s="1300"/>
      <c r="AT51" s="719"/>
      <c r="AU51" s="719"/>
      <c r="AV51" s="1300"/>
      <c r="AW51" s="1300"/>
      <c r="AX51" s="1300"/>
      <c r="AY51" s="719"/>
      <c r="AZ51" s="719"/>
      <c r="BA51" s="1300"/>
      <c r="BB51" s="1300"/>
      <c r="BC51" s="1300"/>
      <c r="BD51" s="719"/>
      <c r="BE51" s="719"/>
      <c r="BF51" s="1300"/>
      <c r="BG51" s="1300"/>
      <c r="BH51" s="1300"/>
      <c r="BI51" s="719"/>
      <c r="BJ51" s="719"/>
      <c r="BK51" s="1300"/>
      <c r="BL51" s="1300"/>
      <c r="BM51" s="1300"/>
      <c r="BN51" s="719"/>
      <c r="BO51" s="719"/>
      <c r="BP51" s="1300"/>
      <c r="BQ51" s="1300"/>
      <c r="BR51" s="1300"/>
    </row>
    <row r="52" spans="1:83" ht="21.95" hidden="1" customHeight="1" x14ac:dyDescent="0.25">
      <c r="A52" s="719"/>
      <c r="B52" s="719"/>
      <c r="C52" s="719"/>
      <c r="D52" s="719"/>
      <c r="E52" s="719"/>
      <c r="F52" s="719"/>
      <c r="G52" s="719"/>
      <c r="H52" s="719"/>
      <c r="I52" s="719"/>
      <c r="J52" s="719"/>
      <c r="K52" s="719"/>
      <c r="L52" s="719"/>
      <c r="M52" s="719"/>
      <c r="N52" s="719"/>
      <c r="O52" s="719"/>
      <c r="P52" s="719"/>
      <c r="Q52" s="719"/>
      <c r="R52" s="719"/>
      <c r="S52" s="719"/>
      <c r="T52" s="719"/>
      <c r="U52" s="719"/>
      <c r="V52" s="719"/>
      <c r="W52" s="719"/>
      <c r="X52" s="719"/>
      <c r="Y52" s="719"/>
      <c r="Z52" s="719"/>
      <c r="AA52" s="719"/>
      <c r="AB52" s="719"/>
      <c r="AC52" s="719"/>
      <c r="AD52" s="719"/>
      <c r="AE52" s="719"/>
      <c r="AF52" s="719"/>
      <c r="AG52" s="719"/>
      <c r="AH52" s="719"/>
      <c r="AI52" s="719"/>
      <c r="AJ52" s="719"/>
      <c r="AK52" s="719"/>
      <c r="AL52" s="719"/>
      <c r="AM52" s="719"/>
      <c r="AN52" s="719"/>
      <c r="AO52" s="719"/>
      <c r="AP52" s="719"/>
      <c r="AQ52" s="719"/>
      <c r="AR52" s="719"/>
      <c r="AS52" s="719"/>
      <c r="AT52" s="719"/>
      <c r="AU52" s="719"/>
      <c r="AV52" s="719"/>
      <c r="AW52" s="719"/>
      <c r="AX52" s="719"/>
      <c r="AY52" s="719"/>
      <c r="AZ52" s="719"/>
      <c r="BA52" s="719"/>
      <c r="BB52" s="719"/>
      <c r="BC52" s="719"/>
      <c r="BD52" s="719"/>
      <c r="BE52" s="719"/>
      <c r="BF52" s="719"/>
      <c r="BG52" s="719"/>
      <c r="BH52" s="719"/>
      <c r="BI52" s="719"/>
      <c r="BJ52" s="719"/>
      <c r="BK52" s="719"/>
      <c r="BL52" s="719"/>
      <c r="BM52" s="719"/>
      <c r="BN52" s="719"/>
      <c r="BO52" s="719"/>
      <c r="BP52" s="719"/>
      <c r="BQ52" s="719"/>
      <c r="BR52" s="719"/>
    </row>
    <row r="53" spans="1:83" ht="6" hidden="1" customHeight="1" x14ac:dyDescent="0.25">
      <c r="A53" s="719"/>
      <c r="B53" s="719"/>
      <c r="C53" s="719"/>
      <c r="D53" s="719"/>
      <c r="E53" s="719"/>
      <c r="F53" s="719"/>
      <c r="G53" s="719"/>
      <c r="H53" s="719"/>
      <c r="I53" s="719"/>
      <c r="J53" s="719"/>
      <c r="K53" s="719"/>
      <c r="L53" s="719"/>
      <c r="M53" s="719"/>
      <c r="N53" s="719"/>
      <c r="O53" s="719"/>
      <c r="P53" s="719"/>
      <c r="Q53" s="719"/>
      <c r="R53" s="719"/>
      <c r="S53" s="719"/>
      <c r="T53" s="719"/>
      <c r="U53" s="719"/>
      <c r="V53" s="719"/>
      <c r="W53" s="719"/>
      <c r="X53" s="719"/>
      <c r="Y53" s="719"/>
      <c r="Z53" s="719"/>
      <c r="AA53" s="719"/>
      <c r="AB53" s="719"/>
      <c r="AC53" s="719"/>
      <c r="AD53" s="719"/>
      <c r="AE53" s="719"/>
      <c r="AF53" s="719"/>
      <c r="AG53" s="719"/>
      <c r="AH53" s="719"/>
      <c r="AI53" s="719"/>
      <c r="AJ53" s="719"/>
      <c r="AK53" s="719"/>
      <c r="AL53" s="719"/>
      <c r="AM53" s="719"/>
      <c r="AN53" s="719"/>
      <c r="AO53" s="719"/>
      <c r="AP53" s="719"/>
      <c r="AQ53" s="719"/>
      <c r="AR53" s="719"/>
      <c r="AS53" s="719"/>
      <c r="AT53" s="719"/>
      <c r="AU53" s="719"/>
      <c r="AV53" s="719"/>
      <c r="AW53" s="719"/>
      <c r="AX53" s="719"/>
      <c r="AY53" s="719"/>
      <c r="AZ53" s="719"/>
      <c r="BA53" s="719"/>
      <c r="BB53" s="719"/>
      <c r="BC53" s="719"/>
      <c r="BD53" s="719"/>
      <c r="BE53" s="719"/>
      <c r="BF53" s="719"/>
      <c r="BG53" s="719"/>
      <c r="BH53" s="719"/>
      <c r="BI53" s="719"/>
      <c r="BJ53" s="719"/>
      <c r="BK53" s="719"/>
      <c r="BL53" s="719"/>
      <c r="BM53" s="719"/>
      <c r="BN53" s="719"/>
      <c r="BO53" s="719"/>
      <c r="BP53" s="719"/>
      <c r="BQ53" s="719"/>
      <c r="BR53" s="719"/>
    </row>
    <row r="54" spans="1:83" ht="60" hidden="1" customHeight="1" thickTop="1" thickBot="1" x14ac:dyDescent="0.3">
      <c r="A54" s="716"/>
      <c r="B54" s="1797"/>
      <c r="C54" s="1797"/>
      <c r="D54" s="1797"/>
      <c r="E54" s="1797"/>
      <c r="F54" s="716"/>
      <c r="G54" s="1797"/>
      <c r="H54" s="1797"/>
      <c r="I54" s="1797"/>
      <c r="J54" s="1797"/>
      <c r="K54" s="716"/>
      <c r="L54" s="1797"/>
      <c r="M54" s="1797"/>
      <c r="N54" s="1797"/>
      <c r="O54" s="1797"/>
      <c r="P54" s="716"/>
      <c r="Q54" s="1797"/>
      <c r="R54" s="1797"/>
      <c r="S54" s="1797"/>
      <c r="T54" s="1797"/>
      <c r="U54" s="716"/>
      <c r="V54" s="1797"/>
      <c r="W54" s="1797"/>
      <c r="X54" s="1797"/>
      <c r="Y54" s="1797"/>
      <c r="Z54" s="716"/>
      <c r="AA54" s="1797"/>
      <c r="AB54" s="1797"/>
      <c r="AC54" s="1797"/>
      <c r="AD54" s="1797"/>
      <c r="AE54" s="716"/>
      <c r="AF54" s="1797"/>
      <c r="AG54" s="1797"/>
      <c r="AH54" s="1797"/>
      <c r="AI54" s="1797"/>
      <c r="AJ54" s="716"/>
      <c r="AK54" s="1797"/>
      <c r="AL54" s="1797"/>
      <c r="AM54" s="1797"/>
      <c r="AN54" s="1797"/>
      <c r="AO54" s="716"/>
      <c r="AP54" s="1797"/>
      <c r="AQ54" s="1797"/>
      <c r="AR54" s="1797"/>
      <c r="AS54" s="1797"/>
      <c r="AT54" s="716"/>
      <c r="AU54" s="1797"/>
      <c r="AV54" s="1797"/>
      <c r="AW54" s="1797"/>
      <c r="AX54" s="1797"/>
      <c r="AY54" s="716"/>
      <c r="AZ54" s="1797"/>
      <c r="BA54" s="1797"/>
      <c r="BB54" s="1797"/>
      <c r="BC54" s="1797"/>
      <c r="BD54" s="716"/>
      <c r="BE54" s="1797"/>
      <c r="BF54" s="1797"/>
      <c r="BG54" s="1797"/>
      <c r="BH54" s="1797"/>
      <c r="BI54" s="716"/>
      <c r="BJ54" s="1797"/>
      <c r="BK54" s="1797"/>
      <c r="BL54" s="1797"/>
      <c r="BM54" s="1797"/>
      <c r="BN54" s="716"/>
      <c r="BO54" s="1797"/>
      <c r="BP54" s="1797"/>
      <c r="BQ54" s="1797"/>
      <c r="BR54" s="1797"/>
    </row>
    <row r="55" spans="1:83" ht="27.75" hidden="1" customHeight="1" thickTop="1" thickBot="1" x14ac:dyDescent="0.3">
      <c r="A55" s="716"/>
      <c r="B55" s="32"/>
      <c r="C55" s="33"/>
      <c r="D55" s="34"/>
      <c r="E55" s="35"/>
      <c r="F55" s="716"/>
      <c r="G55" s="32"/>
      <c r="H55" s="33"/>
      <c r="I55" s="34"/>
      <c r="J55" s="35"/>
      <c r="K55" s="716"/>
      <c r="L55" s="32"/>
      <c r="M55" s="33"/>
      <c r="N55" s="34"/>
      <c r="O55" s="35"/>
      <c r="P55" s="716"/>
      <c r="Q55" s="32"/>
      <c r="R55" s="33"/>
      <c r="S55" s="34"/>
      <c r="T55" s="35"/>
      <c r="U55" s="716"/>
      <c r="V55" s="32"/>
      <c r="W55" s="33"/>
      <c r="X55" s="34"/>
      <c r="Y55" s="35"/>
      <c r="Z55" s="716"/>
      <c r="AA55" s="32"/>
      <c r="AB55" s="33"/>
      <c r="AC55" s="34"/>
      <c r="AD55" s="35"/>
      <c r="AE55" s="716"/>
      <c r="AF55" s="32"/>
      <c r="AG55" s="33"/>
      <c r="AH55" s="34"/>
      <c r="AI55" s="35"/>
      <c r="AJ55" s="716"/>
      <c r="AK55" s="32"/>
      <c r="AL55" s="33"/>
      <c r="AM55" s="34"/>
      <c r="AN55" s="35"/>
      <c r="AO55" s="716"/>
      <c r="AP55" s="32"/>
      <c r="AQ55" s="33"/>
      <c r="AR55" s="34"/>
      <c r="AS55" s="35"/>
      <c r="AT55" s="716"/>
      <c r="AU55" s="32"/>
      <c r="AV55" s="33"/>
      <c r="AW55" s="34"/>
      <c r="AX55" s="35"/>
      <c r="AY55" s="716"/>
      <c r="AZ55" s="32"/>
      <c r="BA55" s="33"/>
      <c r="BB55" s="34"/>
      <c r="BC55" s="35"/>
      <c r="BD55" s="716"/>
      <c r="BE55" s="32"/>
      <c r="BF55" s="33"/>
      <c r="BG55" s="34"/>
      <c r="BH55" s="35"/>
      <c r="BI55" s="716"/>
      <c r="BJ55" s="32"/>
      <c r="BK55" s="33"/>
      <c r="BL55" s="34"/>
      <c r="BM55" s="35"/>
      <c r="BN55" s="716"/>
      <c r="BO55" s="32"/>
      <c r="BP55" s="33"/>
      <c r="BQ55" s="34"/>
      <c r="BR55" s="35"/>
      <c r="BW55" s="27"/>
      <c r="BX55" s="27"/>
      <c r="BY55" s="27"/>
      <c r="BZ55" s="27"/>
      <c r="CA55" s="27"/>
      <c r="CB55" s="27"/>
      <c r="CC55" s="27"/>
      <c r="CD55" s="27"/>
      <c r="CE55" s="27"/>
    </row>
    <row r="56" spans="1:83" ht="26.1" hidden="1" customHeight="1" x14ac:dyDescent="0.25">
      <c r="A56" s="719"/>
      <c r="B56" s="719"/>
      <c r="C56" s="1300"/>
      <c r="D56" s="1300"/>
      <c r="E56" s="1300"/>
      <c r="F56" s="719"/>
      <c r="G56" s="719"/>
      <c r="H56" s="1300"/>
      <c r="I56" s="1300"/>
      <c r="J56" s="1300"/>
      <c r="K56" s="719"/>
      <c r="L56" s="719"/>
      <c r="M56" s="1300"/>
      <c r="N56" s="1300"/>
      <c r="O56" s="1300"/>
      <c r="P56" s="719"/>
      <c r="Q56" s="719"/>
      <c r="R56" s="1300"/>
      <c r="S56" s="1300"/>
      <c r="T56" s="1300"/>
      <c r="U56" s="719"/>
      <c r="V56" s="719"/>
      <c r="W56" s="1300"/>
      <c r="X56" s="1300"/>
      <c r="Y56" s="1300"/>
      <c r="Z56" s="719"/>
      <c r="AA56" s="719"/>
      <c r="AB56" s="1300"/>
      <c r="AC56" s="1300"/>
      <c r="AD56" s="1300"/>
      <c r="AE56" s="719"/>
      <c r="AF56" s="719"/>
      <c r="AG56" s="1300"/>
      <c r="AH56" s="1300"/>
      <c r="AI56" s="1300"/>
      <c r="AJ56" s="719"/>
      <c r="AK56" s="719"/>
      <c r="AL56" s="1300"/>
      <c r="AM56" s="1300"/>
      <c r="AN56" s="1300"/>
      <c r="AO56" s="719"/>
      <c r="AP56" s="719"/>
      <c r="AQ56" s="1300"/>
      <c r="AR56" s="1300"/>
      <c r="AS56" s="1300"/>
      <c r="AT56" s="719"/>
      <c r="AU56" s="719"/>
      <c r="AV56" s="1300"/>
      <c r="AW56" s="1300"/>
      <c r="AX56" s="1300"/>
      <c r="AY56" s="719"/>
      <c r="AZ56" s="719"/>
      <c r="BA56" s="1300"/>
      <c r="BB56" s="1300"/>
      <c r="BC56" s="1300"/>
      <c r="BD56" s="719"/>
      <c r="BE56" s="719"/>
      <c r="BF56" s="1300"/>
      <c r="BG56" s="1300"/>
      <c r="BH56" s="1300"/>
      <c r="BI56" s="719"/>
      <c r="BJ56" s="719"/>
      <c r="BK56" s="1300"/>
      <c r="BL56" s="1300"/>
      <c r="BM56" s="1300"/>
      <c r="BN56" s="719"/>
      <c r="BO56" s="719"/>
      <c r="BP56" s="1300"/>
      <c r="BQ56" s="1300"/>
      <c r="BR56" s="1300"/>
    </row>
    <row r="57" spans="1:83" ht="6.75" hidden="1" customHeight="1" x14ac:dyDescent="0.25">
      <c r="A57" s="719"/>
      <c r="B57" s="719"/>
      <c r="C57" s="1300"/>
      <c r="D57" s="1300"/>
      <c r="E57" s="1300"/>
      <c r="F57" s="719"/>
      <c r="G57" s="719"/>
      <c r="H57" s="1300"/>
      <c r="I57" s="1300"/>
      <c r="J57" s="1300"/>
      <c r="K57" s="719"/>
      <c r="L57" s="719"/>
      <c r="M57" s="1300"/>
      <c r="N57" s="1300"/>
      <c r="O57" s="1300"/>
      <c r="P57" s="719"/>
      <c r="Q57" s="719"/>
      <c r="R57" s="1300"/>
      <c r="S57" s="1300"/>
      <c r="T57" s="1300"/>
      <c r="U57" s="719"/>
      <c r="V57" s="719"/>
      <c r="W57" s="1300"/>
      <c r="X57" s="1300"/>
      <c r="Y57" s="1300"/>
      <c r="Z57" s="719"/>
      <c r="AA57" s="719"/>
      <c r="AB57" s="1300"/>
      <c r="AC57" s="1300"/>
      <c r="AD57" s="1300"/>
      <c r="AE57" s="719"/>
      <c r="AF57" s="719"/>
      <c r="AG57" s="1300"/>
      <c r="AH57" s="1300"/>
      <c r="AI57" s="1300"/>
      <c r="AJ57" s="719"/>
      <c r="AK57" s="719"/>
      <c r="AL57" s="1300"/>
      <c r="AM57" s="1300"/>
      <c r="AN57" s="1300"/>
      <c r="AO57" s="719"/>
      <c r="AP57" s="719"/>
      <c r="AQ57" s="1300"/>
      <c r="AR57" s="1300"/>
      <c r="AS57" s="1300"/>
      <c r="AT57" s="719"/>
      <c r="AU57" s="719"/>
      <c r="AV57" s="1300"/>
      <c r="AW57" s="1300"/>
      <c r="AX57" s="1300"/>
      <c r="AY57" s="719"/>
      <c r="AZ57" s="719"/>
      <c r="BA57" s="1300"/>
      <c r="BB57" s="1300"/>
      <c r="BC57" s="1300"/>
      <c r="BD57" s="719"/>
      <c r="BE57" s="719"/>
      <c r="BF57" s="1300"/>
      <c r="BG57" s="1300"/>
      <c r="BH57" s="1300"/>
      <c r="BI57" s="719"/>
      <c r="BJ57" s="719"/>
      <c r="BK57" s="1300"/>
      <c r="BL57" s="1300"/>
      <c r="BM57" s="1300"/>
      <c r="BN57" s="719"/>
      <c r="BO57" s="719"/>
      <c r="BP57" s="1300"/>
      <c r="BQ57" s="1300"/>
      <c r="BR57" s="1300"/>
    </row>
    <row r="58" spans="1:83" ht="21.95" hidden="1" customHeight="1" x14ac:dyDescent="0.25">
      <c r="A58" s="719"/>
      <c r="B58" s="719"/>
      <c r="C58" s="719"/>
      <c r="D58" s="719"/>
      <c r="E58" s="719"/>
      <c r="F58" s="719"/>
      <c r="G58" s="719"/>
      <c r="H58" s="719"/>
      <c r="I58" s="719"/>
      <c r="J58" s="719"/>
      <c r="K58" s="719"/>
      <c r="L58" s="719"/>
      <c r="M58" s="719"/>
      <c r="N58" s="719"/>
      <c r="O58" s="719"/>
      <c r="P58" s="719"/>
      <c r="Q58" s="719"/>
      <c r="R58" s="719"/>
      <c r="S58" s="719"/>
      <c r="T58" s="719"/>
      <c r="U58" s="719"/>
      <c r="V58" s="719"/>
      <c r="W58" s="719"/>
      <c r="X58" s="719"/>
      <c r="Y58" s="719"/>
      <c r="Z58" s="719"/>
      <c r="AA58" s="719"/>
      <c r="AB58" s="719"/>
      <c r="AC58" s="719"/>
      <c r="AD58" s="719"/>
      <c r="AE58" s="719"/>
      <c r="AF58" s="719"/>
      <c r="AG58" s="719"/>
      <c r="AH58" s="719"/>
      <c r="AI58" s="719"/>
      <c r="AJ58" s="719"/>
      <c r="AK58" s="719"/>
      <c r="AL58" s="719"/>
      <c r="AM58" s="719"/>
      <c r="AN58" s="719"/>
      <c r="AO58" s="719"/>
      <c r="AP58" s="719"/>
      <c r="AQ58" s="719"/>
      <c r="AR58" s="719"/>
      <c r="AS58" s="719"/>
      <c r="AT58" s="719"/>
      <c r="AU58" s="719"/>
      <c r="AV58" s="719"/>
      <c r="AW58" s="719"/>
      <c r="AX58" s="719"/>
      <c r="AY58" s="719"/>
      <c r="AZ58" s="719"/>
      <c r="BA58" s="719"/>
      <c r="BB58" s="719"/>
      <c r="BC58" s="719"/>
      <c r="BD58" s="719"/>
      <c r="BE58" s="719"/>
      <c r="BF58" s="719"/>
      <c r="BG58" s="719"/>
      <c r="BH58" s="719"/>
      <c r="BI58" s="719"/>
      <c r="BJ58" s="719"/>
      <c r="BK58" s="719"/>
      <c r="BL58" s="719"/>
      <c r="BM58" s="719"/>
      <c r="BN58" s="719"/>
      <c r="BO58" s="719"/>
      <c r="BP58" s="719"/>
      <c r="BQ58" s="719"/>
      <c r="BR58" s="719"/>
    </row>
    <row r="59" spans="1:83" ht="6" hidden="1" customHeight="1" x14ac:dyDescent="0.25">
      <c r="A59" s="719"/>
      <c r="B59" s="719"/>
      <c r="C59" s="719"/>
      <c r="D59" s="719"/>
      <c r="E59" s="719"/>
      <c r="F59" s="719"/>
      <c r="G59" s="719"/>
      <c r="H59" s="719"/>
      <c r="I59" s="719"/>
      <c r="J59" s="719"/>
      <c r="K59" s="719"/>
      <c r="L59" s="719"/>
      <c r="M59" s="719"/>
      <c r="N59" s="719"/>
      <c r="O59" s="719"/>
      <c r="P59" s="719"/>
      <c r="Q59" s="719"/>
      <c r="R59" s="719"/>
      <c r="S59" s="719"/>
      <c r="T59" s="719"/>
      <c r="U59" s="719"/>
      <c r="V59" s="719"/>
      <c r="W59" s="719"/>
      <c r="X59" s="719"/>
      <c r="Y59" s="719"/>
      <c r="Z59" s="719"/>
      <c r="AA59" s="719"/>
      <c r="AB59" s="719"/>
      <c r="AC59" s="719"/>
      <c r="AD59" s="719"/>
      <c r="AE59" s="719"/>
      <c r="AF59" s="719"/>
      <c r="AG59" s="719"/>
      <c r="AH59" s="719"/>
      <c r="AI59" s="719"/>
      <c r="AJ59" s="719"/>
      <c r="AK59" s="719"/>
      <c r="AL59" s="719"/>
      <c r="AM59" s="719"/>
      <c r="AN59" s="719"/>
      <c r="AO59" s="719"/>
      <c r="AP59" s="719"/>
      <c r="AQ59" s="719"/>
      <c r="AR59" s="719"/>
      <c r="AS59" s="719"/>
      <c r="AT59" s="719"/>
      <c r="AU59" s="719"/>
      <c r="AV59" s="719"/>
      <c r="AW59" s="719"/>
      <c r="AX59" s="719"/>
      <c r="AY59" s="719"/>
      <c r="AZ59" s="719"/>
      <c r="BA59" s="719"/>
      <c r="BB59" s="719"/>
      <c r="BC59" s="719"/>
      <c r="BD59" s="719"/>
      <c r="BE59" s="719"/>
      <c r="BF59" s="719"/>
      <c r="BG59" s="719"/>
      <c r="BH59" s="719"/>
      <c r="BI59" s="719"/>
      <c r="BJ59" s="719"/>
      <c r="BK59" s="719"/>
      <c r="BL59" s="719"/>
      <c r="BM59" s="719"/>
      <c r="BN59" s="719"/>
      <c r="BO59" s="719"/>
      <c r="BP59" s="719"/>
      <c r="BQ59" s="719"/>
      <c r="BR59" s="719"/>
    </row>
    <row r="60" spans="1:83" ht="60" hidden="1" customHeight="1" thickTop="1" thickBot="1" x14ac:dyDescent="0.3">
      <c r="A60" s="716"/>
      <c r="B60" s="1797"/>
      <c r="C60" s="1797"/>
      <c r="D60" s="1797"/>
      <c r="E60" s="1797"/>
      <c r="F60" s="716"/>
      <c r="G60" s="1797"/>
      <c r="H60" s="1797"/>
      <c r="I60" s="1797"/>
      <c r="J60" s="1797"/>
      <c r="K60" s="716"/>
      <c r="L60" s="1797"/>
      <c r="M60" s="1797"/>
      <c r="N60" s="1797"/>
      <c r="O60" s="1797"/>
      <c r="P60" s="716"/>
      <c r="Q60" s="1797"/>
      <c r="R60" s="1797"/>
      <c r="S60" s="1797"/>
      <c r="T60" s="1797"/>
      <c r="U60" s="716"/>
      <c r="V60" s="1797"/>
      <c r="W60" s="1797"/>
      <c r="X60" s="1797"/>
      <c r="Y60" s="1797"/>
      <c r="Z60" s="716"/>
      <c r="AA60" s="1797"/>
      <c r="AB60" s="1797"/>
      <c r="AC60" s="1797"/>
      <c r="AD60" s="1797"/>
      <c r="AE60" s="716"/>
      <c r="AF60" s="1797"/>
      <c r="AG60" s="1797"/>
      <c r="AH60" s="1797"/>
      <c r="AI60" s="1797"/>
      <c r="AJ60" s="716"/>
      <c r="AK60" s="1797"/>
      <c r="AL60" s="1797"/>
      <c r="AM60" s="1797"/>
      <c r="AN60" s="1797"/>
      <c r="AO60" s="716"/>
      <c r="AP60" s="1797"/>
      <c r="AQ60" s="1797"/>
      <c r="AR60" s="1797"/>
      <c r="AS60" s="1797"/>
      <c r="AT60" s="716"/>
      <c r="AU60" s="1797"/>
      <c r="AV60" s="1797"/>
      <c r="AW60" s="1797"/>
      <c r="AX60" s="1797"/>
      <c r="AY60" s="716"/>
      <c r="AZ60" s="1797"/>
      <c r="BA60" s="1797"/>
      <c r="BB60" s="1797"/>
      <c r="BC60" s="1797"/>
      <c r="BD60" s="716"/>
      <c r="BE60" s="1797"/>
      <c r="BF60" s="1797"/>
      <c r="BG60" s="1797"/>
      <c r="BH60" s="1797"/>
      <c r="BI60" s="716"/>
      <c r="BJ60" s="1797"/>
      <c r="BK60" s="1797"/>
      <c r="BL60" s="1797"/>
      <c r="BM60" s="1797"/>
      <c r="BN60" s="716"/>
      <c r="BO60" s="1797"/>
      <c r="BP60" s="1797"/>
      <c r="BQ60" s="1797"/>
      <c r="BR60" s="1797"/>
    </row>
    <row r="61" spans="1:83" ht="27.75" hidden="1" customHeight="1" thickTop="1" thickBot="1" x14ac:dyDescent="0.3">
      <c r="A61" s="716"/>
      <c r="B61" s="32"/>
      <c r="C61" s="33"/>
      <c r="D61" s="34"/>
      <c r="E61" s="35"/>
      <c r="F61" s="716"/>
      <c r="G61" s="32"/>
      <c r="H61" s="33"/>
      <c r="I61" s="34"/>
      <c r="J61" s="35"/>
      <c r="K61" s="716"/>
      <c r="L61" s="32"/>
      <c r="M61" s="33"/>
      <c r="N61" s="34"/>
      <c r="O61" s="35"/>
      <c r="P61" s="716"/>
      <c r="Q61" s="32"/>
      <c r="R61" s="33"/>
      <c r="S61" s="34"/>
      <c r="T61" s="35"/>
      <c r="U61" s="716"/>
      <c r="V61" s="32"/>
      <c r="W61" s="33"/>
      <c r="X61" s="34"/>
      <c r="Y61" s="35"/>
      <c r="Z61" s="716"/>
      <c r="AA61" s="32"/>
      <c r="AB61" s="33"/>
      <c r="AC61" s="34"/>
      <c r="AD61" s="35"/>
      <c r="AE61" s="716"/>
      <c r="AF61" s="32"/>
      <c r="AG61" s="33"/>
      <c r="AH61" s="34"/>
      <c r="AI61" s="35"/>
      <c r="AJ61" s="716"/>
      <c r="AK61" s="32"/>
      <c r="AL61" s="33"/>
      <c r="AM61" s="34"/>
      <c r="AN61" s="35"/>
      <c r="AO61" s="716"/>
      <c r="AP61" s="32"/>
      <c r="AQ61" s="33"/>
      <c r="AR61" s="34"/>
      <c r="AS61" s="35"/>
      <c r="AT61" s="716"/>
      <c r="AU61" s="32"/>
      <c r="AV61" s="33"/>
      <c r="AW61" s="34"/>
      <c r="AX61" s="35"/>
      <c r="AY61" s="716"/>
      <c r="AZ61" s="32"/>
      <c r="BA61" s="33"/>
      <c r="BB61" s="34"/>
      <c r="BC61" s="35"/>
      <c r="BD61" s="716"/>
      <c r="BE61" s="32"/>
      <c r="BF61" s="33"/>
      <c r="BG61" s="34"/>
      <c r="BH61" s="35"/>
      <c r="BI61" s="716"/>
      <c r="BJ61" s="32"/>
      <c r="BK61" s="33"/>
      <c r="BL61" s="34"/>
      <c r="BM61" s="35"/>
      <c r="BN61" s="716"/>
      <c r="BO61" s="32"/>
      <c r="BP61" s="33"/>
      <c r="BQ61" s="34"/>
      <c r="BR61" s="35"/>
      <c r="BW61" s="27"/>
      <c r="BX61" s="27"/>
      <c r="BY61" s="27"/>
      <c r="BZ61" s="27"/>
      <c r="CA61" s="27"/>
      <c r="CB61" s="27"/>
      <c r="CC61" s="27"/>
      <c r="CD61" s="27"/>
      <c r="CE61" s="27"/>
    </row>
    <row r="62" spans="1:83" s="42" customFormat="1" ht="18.600000000000001" hidden="1" customHeight="1" thickTop="1" x14ac:dyDescent="0.25">
      <c r="A62" s="719"/>
      <c r="B62" s="719"/>
      <c r="C62" s="1300"/>
      <c r="D62" s="1300"/>
      <c r="E62" s="1300"/>
      <c r="F62" s="719"/>
      <c r="G62" s="719"/>
      <c r="H62" s="1300"/>
      <c r="I62" s="1300"/>
      <c r="J62" s="1300"/>
      <c r="K62" s="719"/>
      <c r="L62" s="719"/>
      <c r="M62" s="1300"/>
      <c r="N62" s="1300"/>
      <c r="O62" s="1300"/>
      <c r="P62" s="719"/>
      <c r="Q62" s="719"/>
      <c r="R62" s="1300"/>
      <c r="S62" s="1300"/>
      <c r="T62" s="1300"/>
      <c r="U62" s="719"/>
      <c r="V62" s="719"/>
      <c r="W62" s="1300"/>
      <c r="X62" s="1300"/>
      <c r="Y62" s="1300"/>
      <c r="Z62" s="719"/>
      <c r="AA62" s="719"/>
      <c r="AB62" s="1300"/>
      <c r="AC62" s="1300"/>
      <c r="AD62" s="1300"/>
      <c r="AE62" s="719"/>
      <c r="AF62" s="719"/>
      <c r="AG62" s="1300"/>
      <c r="AH62" s="1300"/>
      <c r="AI62" s="1300"/>
      <c r="AJ62" s="719"/>
      <c r="AK62" s="719"/>
      <c r="AL62" s="1300"/>
      <c r="AM62" s="1300"/>
      <c r="AN62" s="1300"/>
      <c r="AO62" s="719"/>
      <c r="AP62" s="719"/>
      <c r="AQ62" s="1300"/>
      <c r="AR62" s="1300"/>
      <c r="AS62" s="1300"/>
      <c r="AT62" s="719"/>
      <c r="AU62" s="719"/>
      <c r="AV62" s="1300"/>
      <c r="AW62" s="1300"/>
      <c r="AX62" s="1300"/>
      <c r="AY62" s="719"/>
      <c r="AZ62" s="719"/>
      <c r="BA62" s="1300"/>
      <c r="BB62" s="1300"/>
      <c r="BC62" s="1300"/>
      <c r="BD62" s="719"/>
      <c r="BE62" s="719"/>
      <c r="BF62" s="1300"/>
      <c r="BG62" s="1300"/>
      <c r="BH62" s="1300"/>
      <c r="BI62" s="719"/>
      <c r="BJ62" s="719"/>
      <c r="BK62" s="1300"/>
      <c r="BL62" s="1300"/>
      <c r="BM62" s="1300"/>
      <c r="BN62" s="719"/>
      <c r="BO62" s="719"/>
      <c r="BP62" s="1300"/>
      <c r="BQ62" s="1300"/>
      <c r="BR62" s="1300"/>
      <c r="BW62" s="43"/>
      <c r="BX62" s="43"/>
      <c r="BY62" s="43"/>
      <c r="BZ62" s="43"/>
      <c r="CA62" s="43"/>
      <c r="CB62" s="43"/>
      <c r="CC62" s="43"/>
      <c r="CD62" s="43"/>
      <c r="CE62" s="43"/>
    </row>
    <row r="63" spans="1:83" ht="18.600000000000001" hidden="1" customHeight="1" x14ac:dyDescent="0.25">
      <c r="A63" s="719"/>
      <c r="B63" s="719"/>
      <c r="C63" s="1300"/>
      <c r="D63" s="1300"/>
      <c r="E63" s="1300"/>
      <c r="F63" s="719"/>
      <c r="G63" s="719"/>
      <c r="H63" s="1300"/>
      <c r="I63" s="1300"/>
      <c r="J63" s="1300"/>
      <c r="K63" s="719"/>
      <c r="L63" s="719"/>
      <c r="M63" s="1300"/>
      <c r="N63" s="1300"/>
      <c r="O63" s="1300"/>
      <c r="P63" s="719"/>
      <c r="Q63" s="719"/>
      <c r="R63" s="1300"/>
      <c r="S63" s="1300"/>
      <c r="T63" s="1300"/>
      <c r="U63" s="719"/>
      <c r="V63" s="719"/>
      <c r="W63" s="1300"/>
      <c r="X63" s="1300"/>
      <c r="Y63" s="1300"/>
      <c r="Z63" s="719"/>
      <c r="AA63" s="719"/>
      <c r="AB63" s="1300"/>
      <c r="AC63" s="1300"/>
      <c r="AD63" s="1300"/>
      <c r="AE63" s="719"/>
      <c r="AF63" s="719"/>
      <c r="AG63" s="1300"/>
      <c r="AH63" s="1300"/>
      <c r="AI63" s="1300"/>
      <c r="AJ63" s="719"/>
      <c r="AK63" s="719"/>
      <c r="AL63" s="1300"/>
      <c r="AM63" s="1300"/>
      <c r="AN63" s="1300"/>
      <c r="AO63" s="719"/>
      <c r="AP63" s="719"/>
      <c r="AQ63" s="1300"/>
      <c r="AR63" s="1300"/>
      <c r="AS63" s="1300"/>
      <c r="AT63" s="719"/>
      <c r="AU63" s="719"/>
      <c r="AV63" s="1300"/>
      <c r="AW63" s="1300"/>
      <c r="AX63" s="1300"/>
      <c r="AY63" s="719"/>
      <c r="AZ63" s="719"/>
      <c r="BA63" s="1300"/>
      <c r="BB63" s="1300"/>
      <c r="BC63" s="1300"/>
      <c r="BD63" s="719"/>
      <c r="BE63" s="719"/>
      <c r="BF63" s="1300"/>
      <c r="BG63" s="1300"/>
      <c r="BH63" s="1300"/>
      <c r="BI63" s="719"/>
      <c r="BJ63" s="719"/>
      <c r="BK63" s="1300"/>
      <c r="BL63" s="1300"/>
      <c r="BM63" s="1300"/>
      <c r="BN63" s="719"/>
      <c r="BO63" s="719"/>
      <c r="BP63" s="1300"/>
      <c r="BQ63" s="1300"/>
      <c r="BR63" s="1300"/>
    </row>
    <row r="64" spans="1:83" ht="9.9499999999999993" hidden="1" customHeight="1" x14ac:dyDescent="0.25">
      <c r="A64" s="719"/>
      <c r="B64" s="719"/>
      <c r="C64" s="719"/>
      <c r="D64" s="719"/>
      <c r="E64" s="719"/>
      <c r="F64" s="719"/>
      <c r="G64" s="719"/>
      <c r="H64" s="719"/>
      <c r="I64" s="719"/>
      <c r="J64" s="719"/>
      <c r="K64" s="719"/>
      <c r="L64" s="719"/>
      <c r="M64" s="719"/>
      <c r="N64" s="719"/>
      <c r="O64" s="719"/>
      <c r="P64" s="719"/>
      <c r="Q64" s="719"/>
      <c r="R64" s="719"/>
      <c r="S64" s="719"/>
      <c r="T64" s="719"/>
      <c r="U64" s="719"/>
      <c r="V64" s="719"/>
      <c r="W64" s="719"/>
      <c r="X64" s="719"/>
      <c r="Y64" s="719"/>
      <c r="Z64" s="719"/>
      <c r="AA64" s="719"/>
      <c r="AB64" s="719"/>
      <c r="AC64" s="719"/>
      <c r="AD64" s="719"/>
      <c r="AE64" s="719"/>
      <c r="AF64" s="719"/>
      <c r="AG64" s="719"/>
      <c r="AH64" s="719"/>
      <c r="AI64" s="719"/>
      <c r="AJ64" s="719"/>
      <c r="AK64" s="719"/>
      <c r="AL64" s="719"/>
      <c r="AM64" s="719"/>
      <c r="AN64" s="719"/>
      <c r="AO64" s="719"/>
      <c r="AP64" s="719"/>
      <c r="AQ64" s="719"/>
      <c r="AR64" s="719"/>
      <c r="AS64" s="719"/>
      <c r="AT64" s="719"/>
      <c r="AU64" s="719"/>
      <c r="AV64" s="719"/>
      <c r="AW64" s="719"/>
      <c r="AX64" s="719"/>
      <c r="AY64" s="719"/>
      <c r="AZ64" s="719"/>
      <c r="BA64" s="719"/>
      <c r="BB64" s="719"/>
      <c r="BC64" s="719"/>
      <c r="BD64" s="719"/>
      <c r="BE64" s="719"/>
      <c r="BF64" s="719"/>
      <c r="BG64" s="719"/>
      <c r="BH64" s="719"/>
      <c r="BI64" s="719"/>
      <c r="BJ64" s="719"/>
      <c r="BK64" s="719"/>
      <c r="BL64" s="719"/>
      <c r="BM64" s="719"/>
      <c r="BN64" s="719"/>
      <c r="BO64" s="719"/>
      <c r="BP64" s="719"/>
      <c r="BQ64" s="719"/>
      <c r="BR64" s="719"/>
    </row>
    <row r="65" spans="1:90" ht="9.9499999999999993" hidden="1" customHeight="1" x14ac:dyDescent="0.25">
      <c r="A65" s="719"/>
      <c r="B65" s="719"/>
      <c r="C65" s="719"/>
      <c r="D65" s="719"/>
      <c r="E65" s="719"/>
      <c r="F65" s="719"/>
      <c r="G65" s="719"/>
      <c r="H65" s="719"/>
      <c r="I65" s="719"/>
      <c r="J65" s="719"/>
      <c r="K65" s="719"/>
      <c r="L65" s="719"/>
      <c r="M65" s="719"/>
      <c r="N65" s="719"/>
      <c r="O65" s="719"/>
      <c r="P65" s="719"/>
      <c r="Q65" s="719"/>
      <c r="R65" s="719"/>
      <c r="S65" s="719"/>
      <c r="T65" s="719"/>
      <c r="U65" s="719"/>
      <c r="V65" s="719"/>
      <c r="W65" s="719"/>
      <c r="X65" s="719"/>
      <c r="Y65" s="719"/>
      <c r="Z65" s="719"/>
      <c r="AA65" s="719"/>
      <c r="AB65" s="719"/>
      <c r="AC65" s="719"/>
      <c r="AD65" s="719"/>
      <c r="AE65" s="719"/>
      <c r="AF65" s="719"/>
      <c r="AG65" s="719"/>
      <c r="AH65" s="719"/>
      <c r="AI65" s="719"/>
      <c r="AJ65" s="719"/>
      <c r="AK65" s="719"/>
      <c r="AL65" s="719"/>
      <c r="AM65" s="719"/>
      <c r="AN65" s="719"/>
      <c r="AO65" s="719"/>
      <c r="AP65" s="719"/>
      <c r="AQ65" s="719"/>
      <c r="AR65" s="719"/>
      <c r="AS65" s="719"/>
      <c r="AT65" s="719"/>
      <c r="AU65" s="719"/>
      <c r="AV65" s="719"/>
      <c r="AW65" s="719"/>
      <c r="AX65" s="719"/>
      <c r="AY65" s="719"/>
      <c r="AZ65" s="719"/>
      <c r="BA65" s="719"/>
      <c r="BB65" s="719"/>
      <c r="BC65" s="719"/>
      <c r="BD65" s="719"/>
      <c r="BE65" s="719"/>
      <c r="BF65" s="719"/>
      <c r="BG65" s="719"/>
      <c r="BH65" s="719"/>
      <c r="BI65" s="719"/>
      <c r="BJ65" s="719"/>
      <c r="BK65" s="719"/>
      <c r="BL65" s="719"/>
      <c r="BM65" s="719"/>
      <c r="BN65" s="719"/>
      <c r="BO65" s="719"/>
      <c r="BP65" s="719"/>
      <c r="BQ65" s="719"/>
      <c r="BR65" s="719"/>
    </row>
    <row r="66" spans="1:90" ht="84.95" hidden="1" customHeight="1" x14ac:dyDescent="0.25">
      <c r="A66" s="716"/>
      <c r="B66" s="1797"/>
      <c r="C66" s="1797"/>
      <c r="D66" s="1797"/>
      <c r="E66" s="1797"/>
      <c r="F66" s="716"/>
      <c r="G66" s="1797"/>
      <c r="H66" s="1797"/>
      <c r="I66" s="1797"/>
      <c r="J66" s="1797"/>
      <c r="K66" s="716"/>
      <c r="L66" s="1797"/>
      <c r="M66" s="1797"/>
      <c r="N66" s="1797"/>
      <c r="O66" s="1797"/>
      <c r="P66" s="716"/>
      <c r="Q66" s="1797"/>
      <c r="R66" s="1797"/>
      <c r="S66" s="1797"/>
      <c r="T66" s="1797"/>
      <c r="U66" s="716"/>
      <c r="V66" s="1797"/>
      <c r="W66" s="1797"/>
      <c r="X66" s="1797"/>
      <c r="Y66" s="1797"/>
      <c r="Z66" s="716"/>
      <c r="AA66" s="1797"/>
      <c r="AB66" s="1797"/>
      <c r="AC66" s="1797"/>
      <c r="AD66" s="1797"/>
      <c r="AE66" s="716"/>
      <c r="AF66" s="1797"/>
      <c r="AG66" s="1797"/>
      <c r="AH66" s="1797"/>
      <c r="AI66" s="1797"/>
      <c r="AJ66" s="716"/>
      <c r="AK66" s="1797"/>
      <c r="AL66" s="1797"/>
      <c r="AM66" s="1797"/>
      <c r="AN66" s="1797"/>
      <c r="AO66" s="716"/>
      <c r="AP66" s="1797"/>
      <c r="AQ66" s="1797"/>
      <c r="AR66" s="1797"/>
      <c r="AS66" s="1797"/>
      <c r="AT66" s="716"/>
      <c r="AU66" s="1797"/>
      <c r="AV66" s="1797"/>
      <c r="AW66" s="1797"/>
      <c r="AX66" s="1797"/>
      <c r="AY66" s="716"/>
      <c r="AZ66" s="1797"/>
      <c r="BA66" s="1797"/>
      <c r="BB66" s="1797"/>
      <c r="BC66" s="1797"/>
      <c r="BD66" s="716"/>
      <c r="BE66" s="1797"/>
      <c r="BF66" s="1797"/>
      <c r="BG66" s="1797"/>
      <c r="BH66" s="1797"/>
      <c r="BI66" s="716"/>
      <c r="BJ66" s="1797"/>
      <c r="BK66" s="1797"/>
      <c r="BL66" s="1797"/>
      <c r="BM66" s="1797"/>
      <c r="BN66" s="716"/>
      <c r="BO66" s="1797"/>
      <c r="BP66" s="1797"/>
      <c r="BQ66" s="1797"/>
      <c r="BR66" s="1797"/>
    </row>
    <row r="67" spans="1:90" ht="23.1" hidden="1" customHeight="1" x14ac:dyDescent="0.25">
      <c r="A67" s="716"/>
      <c r="B67" s="32"/>
      <c r="C67" s="33"/>
      <c r="D67" s="34"/>
      <c r="E67" s="35"/>
      <c r="F67" s="716"/>
      <c r="G67" s="32"/>
      <c r="H67" s="33"/>
      <c r="I67" s="34"/>
      <c r="J67" s="35"/>
      <c r="K67" s="716"/>
      <c r="L67" s="32"/>
      <c r="M67" s="33"/>
      <c r="N67" s="34"/>
      <c r="O67" s="35"/>
      <c r="P67" s="716"/>
      <c r="Q67" s="32"/>
      <c r="R67" s="33"/>
      <c r="S67" s="34"/>
      <c r="T67" s="35"/>
      <c r="U67" s="716"/>
      <c r="V67" s="32"/>
      <c r="W67" s="33"/>
      <c r="X67" s="34"/>
      <c r="Y67" s="35"/>
      <c r="Z67" s="716"/>
      <c r="AA67" s="32"/>
      <c r="AB67" s="33"/>
      <c r="AC67" s="34"/>
      <c r="AD67" s="35"/>
      <c r="AE67" s="716"/>
      <c r="AF67" s="32"/>
      <c r="AG67" s="33"/>
      <c r="AH67" s="34"/>
      <c r="AI67" s="35"/>
      <c r="AJ67" s="716"/>
      <c r="AK67" s="32"/>
      <c r="AL67" s="33"/>
      <c r="AM67" s="34"/>
      <c r="AN67" s="35"/>
      <c r="AO67" s="716"/>
      <c r="AP67" s="32"/>
      <c r="AQ67" s="33"/>
      <c r="AR67" s="34"/>
      <c r="AS67" s="35"/>
      <c r="AT67" s="716"/>
      <c r="AU67" s="32"/>
      <c r="AV67" s="33"/>
      <c r="AW67" s="34"/>
      <c r="AX67" s="35"/>
      <c r="AY67" s="716"/>
      <c r="AZ67" s="32"/>
      <c r="BA67" s="33"/>
      <c r="BB67" s="34"/>
      <c r="BC67" s="35"/>
      <c r="BD67" s="716"/>
      <c r="BE67" s="32"/>
      <c r="BF67" s="33"/>
      <c r="BG67" s="34"/>
      <c r="BH67" s="35"/>
      <c r="BI67" s="716"/>
      <c r="BJ67" s="32"/>
      <c r="BK67" s="33"/>
      <c r="BL67" s="34"/>
      <c r="BM67" s="35"/>
      <c r="BN67" s="716"/>
      <c r="BO67" s="32"/>
      <c r="BP67" s="33"/>
      <c r="BQ67" s="34"/>
      <c r="BR67" s="35"/>
      <c r="BS67" s="50"/>
      <c r="BT67" s="50"/>
      <c r="BW67" s="51"/>
      <c r="BX67" s="51"/>
      <c r="BY67" s="51"/>
      <c r="BZ67" s="51"/>
      <c r="CA67" s="51"/>
      <c r="CB67" s="51"/>
      <c r="CC67" s="27"/>
      <c r="CD67" s="27"/>
      <c r="CE67" s="27"/>
      <c r="CG67" s="27"/>
      <c r="CH67" s="27"/>
      <c r="CI67" s="27"/>
      <c r="CJ67" s="27"/>
      <c r="CK67" s="27"/>
      <c r="CL67" s="27"/>
    </row>
    <row r="68" spans="1:90" ht="18.600000000000001" hidden="1" customHeight="1" x14ac:dyDescent="0.25">
      <c r="A68" s="719"/>
      <c r="B68" s="719"/>
      <c r="C68" s="1300"/>
      <c r="D68" s="1300"/>
      <c r="E68" s="1300"/>
      <c r="F68" s="719"/>
      <c r="G68" s="719"/>
      <c r="H68" s="1300"/>
      <c r="I68" s="1300"/>
      <c r="J68" s="1300"/>
      <c r="K68" s="719"/>
      <c r="L68" s="719"/>
      <c r="M68" s="1300"/>
      <c r="N68" s="1300"/>
      <c r="O68" s="1300"/>
      <c r="P68" s="719"/>
      <c r="Q68" s="719"/>
      <c r="R68" s="1300"/>
      <c r="S68" s="1300"/>
      <c r="T68" s="1300"/>
      <c r="U68" s="719"/>
      <c r="V68" s="719"/>
      <c r="W68" s="1300"/>
      <c r="X68" s="1300"/>
      <c r="Y68" s="1300"/>
      <c r="Z68" s="719"/>
      <c r="AA68" s="719"/>
      <c r="AB68" s="1300"/>
      <c r="AC68" s="1300"/>
      <c r="AD68" s="1300"/>
      <c r="AE68" s="719"/>
      <c r="AF68" s="719"/>
      <c r="AG68" s="1300"/>
      <c r="AH68" s="1300"/>
      <c r="AI68" s="1300"/>
      <c r="AJ68" s="719"/>
      <c r="AK68" s="719"/>
      <c r="AL68" s="1300"/>
      <c r="AM68" s="1300"/>
      <c r="AN68" s="1300"/>
      <c r="AO68" s="719"/>
      <c r="AP68" s="719"/>
      <c r="AQ68" s="1300"/>
      <c r="AR68" s="1300"/>
      <c r="AS68" s="1300"/>
      <c r="AT68" s="719"/>
      <c r="AU68" s="719"/>
      <c r="AV68" s="1300"/>
      <c r="AW68" s="1300"/>
      <c r="AX68" s="1300"/>
      <c r="AY68" s="719"/>
      <c r="AZ68" s="719"/>
      <c r="BA68" s="1300"/>
      <c r="BB68" s="1300"/>
      <c r="BC68" s="1300"/>
      <c r="BD68" s="719"/>
      <c r="BE68" s="719"/>
      <c r="BF68" s="1300"/>
      <c r="BG68" s="1300"/>
      <c r="BH68" s="1300"/>
      <c r="BI68" s="719"/>
      <c r="BJ68" s="719"/>
      <c r="BK68" s="1300"/>
      <c r="BL68" s="1300"/>
      <c r="BM68" s="1300"/>
      <c r="BN68" s="719"/>
      <c r="BO68" s="719"/>
      <c r="BP68" s="1300"/>
      <c r="BQ68" s="1300"/>
      <c r="BR68" s="1300"/>
      <c r="BS68" s="50"/>
      <c r="BT68" s="50"/>
      <c r="BW68" s="27"/>
      <c r="BX68" s="27"/>
      <c r="BY68" s="27"/>
      <c r="BZ68" s="27"/>
      <c r="CA68" s="27"/>
      <c r="CB68" s="27"/>
      <c r="CC68" s="27"/>
      <c r="CD68" s="27"/>
      <c r="CE68" s="27"/>
      <c r="CG68" s="27"/>
      <c r="CH68" s="27"/>
      <c r="CI68" s="27"/>
      <c r="CJ68" s="27"/>
      <c r="CK68" s="27"/>
      <c r="CL68" s="27"/>
    </row>
    <row r="69" spans="1:90" ht="18.600000000000001" hidden="1" customHeight="1" x14ac:dyDescent="0.25">
      <c r="A69" s="719"/>
      <c r="B69" s="719"/>
      <c r="C69" s="1300"/>
      <c r="D69" s="1300"/>
      <c r="E69" s="1300"/>
      <c r="F69" s="719"/>
      <c r="G69" s="719"/>
      <c r="H69" s="1300"/>
      <c r="I69" s="1300"/>
      <c r="J69" s="1300"/>
      <c r="K69" s="719"/>
      <c r="L69" s="719"/>
      <c r="M69" s="1300"/>
      <c r="N69" s="1300"/>
      <c r="O69" s="1300"/>
      <c r="P69" s="719"/>
      <c r="Q69" s="719"/>
      <c r="R69" s="1300"/>
      <c r="S69" s="1300"/>
      <c r="T69" s="1300"/>
      <c r="U69" s="719"/>
      <c r="V69" s="719"/>
      <c r="W69" s="1300"/>
      <c r="X69" s="1300"/>
      <c r="Y69" s="1300"/>
      <c r="Z69" s="719"/>
      <c r="AA69" s="719"/>
      <c r="AB69" s="1300"/>
      <c r="AC69" s="1300"/>
      <c r="AD69" s="1300"/>
      <c r="AE69" s="719"/>
      <c r="AF69" s="719"/>
      <c r="AG69" s="1300"/>
      <c r="AH69" s="1300"/>
      <c r="AI69" s="1300"/>
      <c r="AJ69" s="719"/>
      <c r="AK69" s="719"/>
      <c r="AL69" s="1300"/>
      <c r="AM69" s="1300"/>
      <c r="AN69" s="1300"/>
      <c r="AO69" s="719"/>
      <c r="AP69" s="719"/>
      <c r="AQ69" s="1300"/>
      <c r="AR69" s="1300"/>
      <c r="AS69" s="1300"/>
      <c r="AT69" s="719"/>
      <c r="AU69" s="719"/>
      <c r="AV69" s="1300"/>
      <c r="AW69" s="1300"/>
      <c r="AX69" s="1300"/>
      <c r="AY69" s="719"/>
      <c r="AZ69" s="719"/>
      <c r="BA69" s="1300"/>
      <c r="BB69" s="1300"/>
      <c r="BC69" s="1300"/>
      <c r="BD69" s="719"/>
      <c r="BE69" s="719"/>
      <c r="BF69" s="1300"/>
      <c r="BG69" s="1300"/>
      <c r="BH69" s="1300"/>
      <c r="BI69" s="719"/>
      <c r="BJ69" s="719"/>
      <c r="BK69" s="1300"/>
      <c r="BL69" s="1300"/>
      <c r="BM69" s="1300"/>
      <c r="BN69" s="719"/>
      <c r="BO69" s="719"/>
      <c r="BP69" s="1300"/>
      <c r="BQ69" s="1300"/>
      <c r="BR69" s="1300"/>
      <c r="BS69" s="50"/>
      <c r="BT69" s="50"/>
      <c r="BW69" s="27"/>
      <c r="BX69" s="27"/>
      <c r="BY69" s="27"/>
      <c r="BZ69" s="27"/>
      <c r="CA69" s="27"/>
      <c r="CB69" s="27"/>
      <c r="CC69" s="27"/>
      <c r="CD69" s="27"/>
      <c r="CE69" s="27"/>
      <c r="CG69" s="27"/>
      <c r="CH69" s="27"/>
      <c r="CI69" s="27"/>
      <c r="CJ69" s="27"/>
      <c r="CK69" s="27"/>
      <c r="CL69" s="27"/>
    </row>
    <row r="70" spans="1:90" ht="9.9499999999999993" hidden="1" customHeight="1" x14ac:dyDescent="0.25">
      <c r="A70" s="719"/>
      <c r="B70" s="719"/>
      <c r="C70" s="719"/>
      <c r="D70" s="719"/>
      <c r="E70" s="719"/>
      <c r="F70" s="719"/>
      <c r="G70" s="719"/>
      <c r="H70" s="719"/>
      <c r="I70" s="719"/>
      <c r="J70" s="719"/>
      <c r="K70" s="719"/>
      <c r="L70" s="719"/>
      <c r="M70" s="719"/>
      <c r="N70" s="719"/>
      <c r="O70" s="719"/>
      <c r="P70" s="719"/>
      <c r="Q70" s="719"/>
      <c r="R70" s="719"/>
      <c r="S70" s="719"/>
      <c r="T70" s="719"/>
      <c r="U70" s="719"/>
      <c r="V70" s="719"/>
      <c r="W70" s="719"/>
      <c r="X70" s="719"/>
      <c r="Y70" s="719"/>
      <c r="Z70" s="719"/>
      <c r="AA70" s="719"/>
      <c r="AB70" s="719"/>
      <c r="AC70" s="719"/>
      <c r="AD70" s="719"/>
      <c r="AE70" s="719"/>
      <c r="AF70" s="719"/>
      <c r="AG70" s="719"/>
      <c r="AH70" s="719"/>
      <c r="AI70" s="719"/>
      <c r="AJ70" s="719"/>
      <c r="AK70" s="719"/>
      <c r="AL70" s="719"/>
      <c r="AM70" s="719"/>
      <c r="AN70" s="719"/>
      <c r="AO70" s="719"/>
      <c r="AP70" s="719"/>
      <c r="AQ70" s="719"/>
      <c r="AR70" s="719"/>
      <c r="AS70" s="719"/>
      <c r="AT70" s="719"/>
      <c r="AU70" s="719"/>
      <c r="AV70" s="719"/>
      <c r="AW70" s="719"/>
      <c r="AX70" s="719"/>
      <c r="AY70" s="719"/>
      <c r="AZ70" s="719"/>
      <c r="BA70" s="719"/>
      <c r="BB70" s="719"/>
      <c r="BC70" s="719"/>
      <c r="BD70" s="719"/>
      <c r="BE70" s="719"/>
      <c r="BF70" s="719"/>
      <c r="BG70" s="719"/>
      <c r="BH70" s="719"/>
      <c r="BI70" s="719"/>
      <c r="BJ70" s="719"/>
      <c r="BK70" s="719"/>
      <c r="BL70" s="719"/>
      <c r="BM70" s="719"/>
      <c r="BN70" s="719"/>
      <c r="BO70" s="719"/>
      <c r="BP70" s="719"/>
      <c r="BQ70" s="719"/>
      <c r="BR70" s="719"/>
      <c r="BS70" s="50"/>
      <c r="BT70" s="50"/>
      <c r="BW70" s="27"/>
      <c r="BX70" s="27"/>
      <c r="BY70" s="27"/>
      <c r="BZ70" s="27"/>
      <c r="CA70" s="27"/>
      <c r="CB70" s="27"/>
      <c r="CC70" s="27"/>
      <c r="CD70" s="27"/>
      <c r="CE70" s="27"/>
      <c r="CG70" s="27"/>
      <c r="CH70" s="27"/>
      <c r="CI70" s="27"/>
      <c r="CJ70" s="27"/>
      <c r="CK70" s="27"/>
      <c r="CL70" s="27"/>
    </row>
    <row r="71" spans="1:90" ht="9.9499999999999993" hidden="1" customHeight="1" x14ac:dyDescent="0.25">
      <c r="A71" s="719"/>
      <c r="B71" s="719"/>
      <c r="C71" s="719"/>
      <c r="D71" s="719"/>
      <c r="E71" s="719"/>
      <c r="F71" s="719"/>
      <c r="G71" s="719"/>
      <c r="H71" s="719"/>
      <c r="I71" s="719"/>
      <c r="J71" s="719"/>
      <c r="K71" s="719"/>
      <c r="L71" s="719"/>
      <c r="M71" s="719"/>
      <c r="N71" s="719"/>
      <c r="O71" s="719"/>
      <c r="P71" s="719"/>
      <c r="Q71" s="719"/>
      <c r="R71" s="719"/>
      <c r="S71" s="719"/>
      <c r="T71" s="719"/>
      <c r="U71" s="719"/>
      <c r="V71" s="719"/>
      <c r="W71" s="719"/>
      <c r="X71" s="719"/>
      <c r="Y71" s="719"/>
      <c r="Z71" s="719"/>
      <c r="AA71" s="719"/>
      <c r="AB71" s="719"/>
      <c r="AC71" s="719"/>
      <c r="AD71" s="719"/>
      <c r="AE71" s="719"/>
      <c r="AF71" s="719"/>
      <c r="AG71" s="719"/>
      <c r="AH71" s="719"/>
      <c r="AI71" s="719"/>
      <c r="AJ71" s="719"/>
      <c r="AK71" s="719"/>
      <c r="AL71" s="719"/>
      <c r="AM71" s="719"/>
      <c r="AN71" s="719"/>
      <c r="AO71" s="719"/>
      <c r="AP71" s="719"/>
      <c r="AQ71" s="719"/>
      <c r="AR71" s="719"/>
      <c r="AS71" s="719"/>
      <c r="AT71" s="719"/>
      <c r="AU71" s="719"/>
      <c r="AV71" s="719"/>
      <c r="AW71" s="719"/>
      <c r="AX71" s="719"/>
      <c r="AY71" s="719"/>
      <c r="AZ71" s="719"/>
      <c r="BA71" s="719"/>
      <c r="BB71" s="719"/>
      <c r="BC71" s="719"/>
      <c r="BD71" s="719"/>
      <c r="BE71" s="719"/>
      <c r="BF71" s="719"/>
      <c r="BG71" s="719"/>
      <c r="BH71" s="719"/>
      <c r="BI71" s="719"/>
      <c r="BJ71" s="719"/>
      <c r="BK71" s="719"/>
      <c r="BL71" s="719"/>
      <c r="BM71" s="719"/>
      <c r="BN71" s="719"/>
      <c r="BO71" s="719"/>
      <c r="BP71" s="719"/>
      <c r="BQ71" s="719"/>
      <c r="BR71" s="719"/>
      <c r="BS71" s="53"/>
      <c r="BT71" s="53"/>
    </row>
    <row r="72" spans="1:90" ht="84.95" hidden="1" customHeight="1" x14ac:dyDescent="0.25">
      <c r="A72" s="716"/>
      <c r="B72" s="1797"/>
      <c r="C72" s="1797"/>
      <c r="D72" s="1797"/>
      <c r="E72" s="1797"/>
      <c r="F72" s="716"/>
      <c r="G72" s="1797"/>
      <c r="H72" s="1797"/>
      <c r="I72" s="1797"/>
      <c r="J72" s="1797"/>
      <c r="K72" s="716"/>
      <c r="L72" s="1797"/>
      <c r="M72" s="1797"/>
      <c r="N72" s="1797"/>
      <c r="O72" s="1797"/>
      <c r="P72" s="716"/>
      <c r="Q72" s="1797"/>
      <c r="R72" s="1797"/>
      <c r="S72" s="1797"/>
      <c r="T72" s="1797"/>
      <c r="U72" s="716"/>
      <c r="V72" s="1797"/>
      <c r="W72" s="1797"/>
      <c r="X72" s="1797"/>
      <c r="Y72" s="1797"/>
      <c r="Z72" s="716"/>
      <c r="AA72" s="1797"/>
      <c r="AB72" s="1797"/>
      <c r="AC72" s="1797"/>
      <c r="AD72" s="1797"/>
      <c r="AE72" s="716"/>
      <c r="AF72" s="1797"/>
      <c r="AG72" s="1797"/>
      <c r="AH72" s="1797"/>
      <c r="AI72" s="1797"/>
      <c r="AJ72" s="716"/>
      <c r="AK72" s="1797"/>
      <c r="AL72" s="1797"/>
      <c r="AM72" s="1797"/>
      <c r="AN72" s="1797"/>
      <c r="AO72" s="716"/>
      <c r="AP72" s="1797"/>
      <c r="AQ72" s="1797"/>
      <c r="AR72" s="1797"/>
      <c r="AS72" s="1797"/>
      <c r="AT72" s="716"/>
      <c r="AU72" s="1797"/>
      <c r="AV72" s="1797"/>
      <c r="AW72" s="1797"/>
      <c r="AX72" s="1797"/>
      <c r="AY72" s="716"/>
      <c r="AZ72" s="1797"/>
      <c r="BA72" s="1797"/>
      <c r="BB72" s="1797"/>
      <c r="BC72" s="1797"/>
      <c r="BD72" s="716"/>
      <c r="BE72" s="1797"/>
      <c r="BF72" s="1797"/>
      <c r="BG72" s="1797"/>
      <c r="BH72" s="1797"/>
      <c r="BI72" s="716"/>
      <c r="BJ72" s="1797"/>
      <c r="BK72" s="1797"/>
      <c r="BL72" s="1797"/>
      <c r="BM72" s="1797"/>
      <c r="BN72" s="716"/>
      <c r="BO72" s="1797"/>
      <c r="BP72" s="1797"/>
      <c r="BQ72" s="1797"/>
      <c r="BR72" s="1797"/>
      <c r="BS72" s="53"/>
      <c r="BT72" s="53"/>
    </row>
    <row r="73" spans="1:90" ht="23.1" hidden="1" customHeight="1" x14ac:dyDescent="0.25">
      <c r="A73" s="716"/>
      <c r="B73" s="32"/>
      <c r="C73" s="33"/>
      <c r="D73" s="34"/>
      <c r="E73" s="35"/>
      <c r="F73" s="716"/>
      <c r="G73" s="32"/>
      <c r="H73" s="33"/>
      <c r="I73" s="34"/>
      <c r="J73" s="35"/>
      <c r="K73" s="716"/>
      <c r="L73" s="32"/>
      <c r="M73" s="33"/>
      <c r="N73" s="34"/>
      <c r="O73" s="35"/>
      <c r="P73" s="716"/>
      <c r="Q73" s="32"/>
      <c r="R73" s="33"/>
      <c r="S73" s="34"/>
      <c r="T73" s="35"/>
      <c r="U73" s="716"/>
      <c r="V73" s="32"/>
      <c r="W73" s="33"/>
      <c r="X73" s="34"/>
      <c r="Y73" s="35"/>
      <c r="Z73" s="716"/>
      <c r="AA73" s="32"/>
      <c r="AB73" s="33"/>
      <c r="AC73" s="34"/>
      <c r="AD73" s="35"/>
      <c r="AE73" s="716"/>
      <c r="AF73" s="32"/>
      <c r="AG73" s="33"/>
      <c r="AH73" s="34"/>
      <c r="AI73" s="35"/>
      <c r="AJ73" s="716"/>
      <c r="AK73" s="32"/>
      <c r="AL73" s="33"/>
      <c r="AM73" s="34"/>
      <c r="AN73" s="35"/>
      <c r="AO73" s="716"/>
      <c r="AP73" s="32"/>
      <c r="AQ73" s="33"/>
      <c r="AR73" s="34"/>
      <c r="AS73" s="35"/>
      <c r="AT73" s="716"/>
      <c r="AU73" s="32"/>
      <c r="AV73" s="33"/>
      <c r="AW73" s="34"/>
      <c r="AX73" s="35"/>
      <c r="AY73" s="716"/>
      <c r="AZ73" s="32"/>
      <c r="BA73" s="33"/>
      <c r="BB73" s="34"/>
      <c r="BC73" s="35"/>
      <c r="BD73" s="716"/>
      <c r="BE73" s="32"/>
      <c r="BF73" s="33"/>
      <c r="BG73" s="34"/>
      <c r="BH73" s="35"/>
      <c r="BI73" s="716"/>
      <c r="BJ73" s="32"/>
      <c r="BK73" s="33"/>
      <c r="BL73" s="34"/>
      <c r="BM73" s="35"/>
      <c r="BN73" s="716"/>
      <c r="BO73" s="32"/>
      <c r="BP73" s="33"/>
      <c r="BQ73" s="34"/>
      <c r="BR73" s="35"/>
    </row>
    <row r="74" spans="1:90" ht="18.600000000000001" hidden="1" customHeight="1" x14ac:dyDescent="0.25">
      <c r="A74" s="719"/>
      <c r="B74" s="719"/>
      <c r="C74" s="1300"/>
      <c r="D74" s="1300"/>
      <c r="E74" s="1300"/>
      <c r="F74" s="719"/>
      <c r="G74" s="719"/>
      <c r="H74" s="1300"/>
      <c r="I74" s="1300"/>
      <c r="J74" s="1300"/>
      <c r="K74" s="719"/>
      <c r="L74" s="719"/>
      <c r="M74" s="1300"/>
      <c r="N74" s="1300"/>
      <c r="O74" s="1300"/>
      <c r="P74" s="719"/>
      <c r="Q74" s="719"/>
      <c r="R74" s="1300"/>
      <c r="S74" s="1300"/>
      <c r="T74" s="1300"/>
      <c r="U74" s="719"/>
      <c r="V74" s="719"/>
      <c r="W74" s="1300"/>
      <c r="X74" s="1300"/>
      <c r="Y74" s="1300"/>
      <c r="Z74" s="719"/>
      <c r="AA74" s="719"/>
      <c r="AB74" s="1300"/>
      <c r="AC74" s="1300"/>
      <c r="AD74" s="1300"/>
      <c r="AE74" s="719"/>
      <c r="AF74" s="719"/>
      <c r="AG74" s="1300"/>
      <c r="AH74" s="1300"/>
      <c r="AI74" s="1300"/>
      <c r="AJ74" s="719"/>
      <c r="AK74" s="719"/>
      <c r="AL74" s="1300"/>
      <c r="AM74" s="1300"/>
      <c r="AN74" s="1300"/>
      <c r="AO74" s="719"/>
      <c r="AP74" s="719"/>
      <c r="AQ74" s="1300"/>
      <c r="AR74" s="1300"/>
      <c r="AS74" s="1300"/>
      <c r="AT74" s="719"/>
      <c r="AU74" s="719"/>
      <c r="AV74" s="1300"/>
      <c r="AW74" s="1300"/>
      <c r="AX74" s="1300"/>
      <c r="AY74" s="719"/>
      <c r="AZ74" s="719"/>
      <c r="BA74" s="1300"/>
      <c r="BB74" s="1300"/>
      <c r="BC74" s="1300"/>
      <c r="BD74" s="719"/>
      <c r="BE74" s="719"/>
      <c r="BF74" s="1300"/>
      <c r="BG74" s="1300"/>
      <c r="BH74" s="1300"/>
      <c r="BI74" s="719"/>
      <c r="BJ74" s="719"/>
      <c r="BK74" s="1300"/>
      <c r="BL74" s="1300"/>
      <c r="BM74" s="1300"/>
      <c r="BN74" s="719"/>
      <c r="BO74" s="719"/>
      <c r="BP74" s="1300"/>
      <c r="BQ74" s="1300"/>
      <c r="BR74" s="1300"/>
    </row>
    <row r="75" spans="1:90" ht="18.600000000000001" hidden="1" customHeight="1" x14ac:dyDescent="0.25">
      <c r="A75" s="719"/>
      <c r="B75" s="719"/>
      <c r="C75" s="1300"/>
      <c r="D75" s="1300"/>
      <c r="E75" s="1300"/>
      <c r="F75" s="719"/>
      <c r="G75" s="719"/>
      <c r="H75" s="1300"/>
      <c r="I75" s="1300"/>
      <c r="J75" s="1300"/>
      <c r="K75" s="719"/>
      <c r="L75" s="719"/>
      <c r="M75" s="1300"/>
      <c r="N75" s="1300"/>
      <c r="O75" s="1300"/>
      <c r="P75" s="719"/>
      <c r="Q75" s="719"/>
      <c r="R75" s="1300"/>
      <c r="S75" s="1300"/>
      <c r="T75" s="1300"/>
      <c r="U75" s="719"/>
      <c r="V75" s="719"/>
      <c r="W75" s="1300"/>
      <c r="X75" s="1300"/>
      <c r="Y75" s="1300"/>
      <c r="Z75" s="719"/>
      <c r="AA75" s="719"/>
      <c r="AB75" s="1300"/>
      <c r="AC75" s="1300"/>
      <c r="AD75" s="1300"/>
      <c r="AE75" s="719"/>
      <c r="AF75" s="719"/>
      <c r="AG75" s="1300"/>
      <c r="AH75" s="1300"/>
      <c r="AI75" s="1300"/>
      <c r="AJ75" s="719"/>
      <c r="AK75" s="719"/>
      <c r="AL75" s="1300"/>
      <c r="AM75" s="1300"/>
      <c r="AN75" s="1300"/>
      <c r="AO75" s="719"/>
      <c r="AP75" s="719"/>
      <c r="AQ75" s="1300"/>
      <c r="AR75" s="1300"/>
      <c r="AS75" s="1300"/>
      <c r="AT75" s="719"/>
      <c r="AU75" s="719"/>
      <c r="AV75" s="1300"/>
      <c r="AW75" s="1300"/>
      <c r="AX75" s="1300"/>
      <c r="AY75" s="719"/>
      <c r="AZ75" s="719"/>
      <c r="BA75" s="1300"/>
      <c r="BB75" s="1300"/>
      <c r="BC75" s="1300"/>
      <c r="BD75" s="719"/>
      <c r="BE75" s="719"/>
      <c r="BF75" s="1300"/>
      <c r="BG75" s="1300"/>
      <c r="BH75" s="1300"/>
      <c r="BI75" s="719"/>
      <c r="BJ75" s="719"/>
      <c r="BK75" s="1300"/>
      <c r="BL75" s="1300"/>
      <c r="BM75" s="1300"/>
      <c r="BN75" s="719"/>
      <c r="BO75" s="719"/>
      <c r="BP75" s="1300"/>
      <c r="BQ75" s="1300"/>
      <c r="BR75" s="1300"/>
    </row>
    <row r="76" spans="1:90" ht="9.9499999999999993" hidden="1" customHeight="1" x14ac:dyDescent="0.25">
      <c r="A76" s="719"/>
      <c r="B76" s="719"/>
      <c r="C76" s="719"/>
      <c r="D76" s="719"/>
      <c r="E76" s="719"/>
      <c r="F76" s="719"/>
      <c r="G76" s="719"/>
      <c r="H76" s="719"/>
      <c r="I76" s="719"/>
      <c r="J76" s="719"/>
      <c r="K76" s="719"/>
      <c r="L76" s="719"/>
      <c r="M76" s="719"/>
      <c r="N76" s="719"/>
      <c r="O76" s="719"/>
      <c r="P76" s="719"/>
      <c r="Q76" s="719"/>
      <c r="R76" s="719"/>
      <c r="S76" s="719"/>
      <c r="T76" s="719"/>
      <c r="U76" s="719"/>
      <c r="V76" s="719"/>
      <c r="W76" s="719"/>
      <c r="X76" s="719"/>
      <c r="Y76" s="719"/>
      <c r="Z76" s="719"/>
      <c r="AA76" s="719"/>
      <c r="AB76" s="719"/>
      <c r="AC76" s="719"/>
      <c r="AD76" s="719"/>
      <c r="AE76" s="719"/>
      <c r="AF76" s="719"/>
      <c r="AG76" s="719"/>
      <c r="AH76" s="719"/>
      <c r="AI76" s="719"/>
      <c r="AJ76" s="719"/>
      <c r="AK76" s="719"/>
      <c r="AL76" s="719"/>
      <c r="AM76" s="719"/>
      <c r="AN76" s="719"/>
      <c r="AO76" s="719"/>
      <c r="AP76" s="719"/>
      <c r="AQ76" s="719"/>
      <c r="AR76" s="719"/>
      <c r="AS76" s="719"/>
      <c r="AT76" s="719"/>
      <c r="AU76" s="719"/>
      <c r="AV76" s="719"/>
      <c r="AW76" s="719"/>
      <c r="AX76" s="719"/>
      <c r="AY76" s="719"/>
      <c r="AZ76" s="719"/>
      <c r="BA76" s="719"/>
      <c r="BB76" s="719"/>
      <c r="BC76" s="719"/>
      <c r="BD76" s="719"/>
      <c r="BE76" s="719"/>
      <c r="BF76" s="719"/>
      <c r="BG76" s="719"/>
      <c r="BH76" s="719"/>
      <c r="BI76" s="719"/>
      <c r="BJ76" s="719"/>
      <c r="BK76" s="719"/>
      <c r="BL76" s="719"/>
      <c r="BM76" s="719"/>
      <c r="BN76" s="719"/>
      <c r="BO76" s="719"/>
      <c r="BP76" s="719"/>
      <c r="BQ76" s="719"/>
      <c r="BR76" s="719"/>
    </row>
    <row r="77" spans="1:90" ht="9.9499999999999993" hidden="1" customHeight="1" x14ac:dyDescent="0.25">
      <c r="A77" s="719"/>
      <c r="B77" s="719"/>
      <c r="C77" s="719"/>
      <c r="D77" s="719"/>
      <c r="E77" s="719"/>
      <c r="F77" s="719"/>
      <c r="G77" s="719"/>
      <c r="H77" s="719"/>
      <c r="I77" s="719"/>
      <c r="J77" s="719"/>
      <c r="K77" s="719"/>
      <c r="L77" s="719"/>
      <c r="M77" s="719"/>
      <c r="N77" s="719"/>
      <c r="O77" s="719"/>
      <c r="P77" s="719"/>
      <c r="Q77" s="719"/>
      <c r="R77" s="719"/>
      <c r="S77" s="719"/>
      <c r="T77" s="719"/>
      <c r="U77" s="719"/>
      <c r="V77" s="719"/>
      <c r="W77" s="719"/>
      <c r="X77" s="719"/>
      <c r="Y77" s="719"/>
      <c r="Z77" s="719"/>
      <c r="AA77" s="719"/>
      <c r="AB77" s="719"/>
      <c r="AC77" s="719"/>
      <c r="AD77" s="719"/>
      <c r="AE77" s="719"/>
      <c r="AF77" s="719"/>
      <c r="AG77" s="719"/>
      <c r="AH77" s="719"/>
      <c r="AI77" s="719"/>
      <c r="AJ77" s="719"/>
      <c r="AK77" s="719"/>
      <c r="AL77" s="719"/>
      <c r="AM77" s="719"/>
      <c r="AN77" s="719"/>
      <c r="AO77" s="719"/>
      <c r="AP77" s="719"/>
      <c r="AQ77" s="719"/>
      <c r="AR77" s="719"/>
      <c r="AS77" s="719"/>
      <c r="AT77" s="719"/>
      <c r="AU77" s="719"/>
      <c r="AV77" s="719"/>
      <c r="AW77" s="719"/>
      <c r="AX77" s="719"/>
      <c r="AY77" s="719"/>
      <c r="AZ77" s="719"/>
      <c r="BA77" s="719"/>
      <c r="BB77" s="719"/>
      <c r="BC77" s="719"/>
      <c r="BD77" s="719"/>
      <c r="BE77" s="719"/>
      <c r="BF77" s="719"/>
      <c r="BG77" s="719"/>
      <c r="BH77" s="719"/>
      <c r="BI77" s="719"/>
      <c r="BJ77" s="719"/>
      <c r="BK77" s="719"/>
      <c r="BL77" s="719"/>
      <c r="BM77" s="719"/>
      <c r="BN77" s="719"/>
      <c r="BO77" s="719"/>
      <c r="BP77" s="719"/>
      <c r="BQ77" s="719"/>
      <c r="BR77" s="719"/>
    </row>
    <row r="78" spans="1:90" ht="84.95" hidden="1" customHeight="1" x14ac:dyDescent="0.25">
      <c r="A78" s="716"/>
      <c r="B78" s="1797"/>
      <c r="C78" s="1797"/>
      <c r="D78" s="1797"/>
      <c r="E78" s="1797"/>
      <c r="F78" s="716"/>
      <c r="G78" s="1797"/>
      <c r="H78" s="1797"/>
      <c r="I78" s="1797"/>
      <c r="J78" s="1797"/>
      <c r="K78" s="716"/>
      <c r="L78" s="1797"/>
      <c r="M78" s="1797"/>
      <c r="N78" s="1797"/>
      <c r="O78" s="1797"/>
      <c r="P78" s="716"/>
      <c r="Q78" s="1797"/>
      <c r="R78" s="1797"/>
      <c r="S78" s="1797"/>
      <c r="T78" s="1797"/>
      <c r="U78" s="716"/>
      <c r="V78" s="1797"/>
      <c r="W78" s="1797"/>
      <c r="X78" s="1797"/>
      <c r="Y78" s="1797"/>
      <c r="Z78" s="716"/>
      <c r="AA78" s="1797"/>
      <c r="AB78" s="1797"/>
      <c r="AC78" s="1797"/>
      <c r="AD78" s="1797"/>
      <c r="AE78" s="716"/>
      <c r="AF78" s="1797"/>
      <c r="AG78" s="1797"/>
      <c r="AH78" s="1797"/>
      <c r="AI78" s="1797"/>
      <c r="AJ78" s="716"/>
      <c r="AK78" s="1797"/>
      <c r="AL78" s="1797"/>
      <c r="AM78" s="1797"/>
      <c r="AN78" s="1797"/>
      <c r="AO78" s="716"/>
      <c r="AP78" s="1797"/>
      <c r="AQ78" s="1797"/>
      <c r="AR78" s="1797"/>
      <c r="AS78" s="1797"/>
      <c r="AT78" s="716"/>
      <c r="AU78" s="1797"/>
      <c r="AV78" s="1797"/>
      <c r="AW78" s="1797"/>
      <c r="AX78" s="1797"/>
      <c r="AY78" s="716"/>
      <c r="AZ78" s="1797"/>
      <c r="BA78" s="1797"/>
      <c r="BB78" s="1797"/>
      <c r="BC78" s="1797"/>
      <c r="BD78" s="716"/>
      <c r="BE78" s="1797"/>
      <c r="BF78" s="1797"/>
      <c r="BG78" s="1797"/>
      <c r="BH78" s="1797"/>
      <c r="BI78" s="716"/>
      <c r="BJ78" s="1797"/>
      <c r="BK78" s="1797"/>
      <c r="BL78" s="1797"/>
      <c r="BM78" s="1797"/>
      <c r="BN78" s="716"/>
      <c r="BO78" s="1797"/>
      <c r="BP78" s="1797"/>
      <c r="BQ78" s="1797"/>
      <c r="BR78" s="1797"/>
    </row>
    <row r="79" spans="1:90" ht="23.1" hidden="1" customHeight="1" x14ac:dyDescent="0.25">
      <c r="A79" s="716"/>
      <c r="B79" s="32"/>
      <c r="C79" s="33"/>
      <c r="D79" s="34"/>
      <c r="E79" s="35"/>
      <c r="F79" s="716"/>
      <c r="G79" s="32"/>
      <c r="H79" s="33"/>
      <c r="I79" s="34"/>
      <c r="J79" s="35"/>
      <c r="K79" s="716"/>
      <c r="L79" s="32"/>
      <c r="M79" s="33"/>
      <c r="N79" s="34"/>
      <c r="O79" s="35"/>
      <c r="P79" s="716"/>
      <c r="Q79" s="32"/>
      <c r="R79" s="33"/>
      <c r="S79" s="34"/>
      <c r="T79" s="35"/>
      <c r="U79" s="716"/>
      <c r="V79" s="32"/>
      <c r="W79" s="33"/>
      <c r="X79" s="34"/>
      <c r="Y79" s="35"/>
      <c r="Z79" s="716"/>
      <c r="AA79" s="32"/>
      <c r="AB79" s="33"/>
      <c r="AC79" s="34"/>
      <c r="AD79" s="35"/>
      <c r="AE79" s="716"/>
      <c r="AF79" s="32"/>
      <c r="AG79" s="33"/>
      <c r="AH79" s="34"/>
      <c r="AI79" s="35"/>
      <c r="AJ79" s="716"/>
      <c r="AK79" s="32"/>
      <c r="AL79" s="33"/>
      <c r="AM79" s="34"/>
      <c r="AN79" s="35"/>
      <c r="AO79" s="716"/>
      <c r="AP79" s="32"/>
      <c r="AQ79" s="33"/>
      <c r="AR79" s="34"/>
      <c r="AS79" s="35"/>
      <c r="AT79" s="716"/>
      <c r="AU79" s="32"/>
      <c r="AV79" s="33"/>
      <c r="AW79" s="34"/>
      <c r="AX79" s="35"/>
      <c r="AY79" s="716"/>
      <c r="AZ79" s="32"/>
      <c r="BA79" s="33"/>
      <c r="BB79" s="34"/>
      <c r="BC79" s="35"/>
      <c r="BD79" s="716"/>
      <c r="BE79" s="32"/>
      <c r="BF79" s="33"/>
      <c r="BG79" s="34"/>
      <c r="BH79" s="35"/>
      <c r="BI79" s="716"/>
      <c r="BJ79" s="32"/>
      <c r="BK79" s="33"/>
      <c r="BL79" s="34"/>
      <c r="BM79" s="35"/>
      <c r="BN79" s="716"/>
      <c r="BO79" s="32"/>
      <c r="BP79" s="33"/>
      <c r="BQ79" s="34"/>
      <c r="BR79" s="35"/>
    </row>
    <row r="80" spans="1:90" ht="18.600000000000001" hidden="1" customHeight="1" x14ac:dyDescent="0.25">
      <c r="A80" s="719"/>
      <c r="B80" s="719"/>
      <c r="C80" s="1300"/>
      <c r="D80" s="1300"/>
      <c r="E80" s="1300"/>
      <c r="F80" s="719"/>
      <c r="G80" s="719"/>
      <c r="H80" s="1300"/>
      <c r="I80" s="1300"/>
      <c r="J80" s="1300"/>
      <c r="K80" s="719"/>
      <c r="L80" s="719"/>
      <c r="M80" s="1300"/>
      <c r="N80" s="1300"/>
      <c r="O80" s="1300"/>
      <c r="P80" s="719"/>
      <c r="Q80" s="719"/>
      <c r="R80" s="1300"/>
      <c r="S80" s="1300"/>
      <c r="T80" s="1300"/>
      <c r="U80" s="719"/>
      <c r="V80" s="719"/>
      <c r="W80" s="1300"/>
      <c r="X80" s="1300"/>
      <c r="Y80" s="1300"/>
      <c r="Z80" s="719"/>
      <c r="AA80" s="719"/>
      <c r="AB80" s="1300"/>
      <c r="AC80" s="1300"/>
      <c r="AD80" s="1300"/>
      <c r="AE80" s="719"/>
      <c r="AF80" s="719"/>
      <c r="AG80" s="1300"/>
      <c r="AH80" s="1300"/>
      <c r="AI80" s="1300"/>
      <c r="AJ80" s="719"/>
      <c r="AK80" s="719"/>
      <c r="AL80" s="1300"/>
      <c r="AM80" s="1300"/>
      <c r="AN80" s="1300"/>
      <c r="AO80" s="719"/>
      <c r="AP80" s="719"/>
      <c r="AQ80" s="1300"/>
      <c r="AR80" s="1300"/>
      <c r="AS80" s="1300"/>
      <c r="AT80" s="719"/>
      <c r="AU80" s="719"/>
      <c r="AV80" s="1300"/>
      <c r="AW80" s="1300"/>
      <c r="AX80" s="1300"/>
      <c r="AY80" s="719"/>
      <c r="AZ80" s="719"/>
      <c r="BA80" s="1300"/>
      <c r="BB80" s="1300"/>
      <c r="BC80" s="1300"/>
      <c r="BD80" s="719"/>
      <c r="BE80" s="719"/>
      <c r="BF80" s="1300"/>
      <c r="BG80" s="1300"/>
      <c r="BH80" s="1300"/>
      <c r="BI80" s="719"/>
      <c r="BJ80" s="719"/>
      <c r="BK80" s="1300"/>
      <c r="BL80" s="1300"/>
      <c r="BM80" s="1300"/>
      <c r="BN80" s="719"/>
      <c r="BO80" s="719"/>
      <c r="BP80" s="1300"/>
      <c r="BQ80" s="1300"/>
      <c r="BR80" s="1300"/>
    </row>
    <row r="81" spans="1:70" ht="18.600000000000001" hidden="1" customHeight="1" x14ac:dyDescent="0.25">
      <c r="A81" s="719"/>
      <c r="B81" s="719"/>
      <c r="C81" s="1300"/>
      <c r="D81" s="1300"/>
      <c r="E81" s="1300"/>
      <c r="F81" s="719"/>
      <c r="G81" s="719"/>
      <c r="H81" s="1300"/>
      <c r="I81" s="1300"/>
      <c r="J81" s="1300"/>
      <c r="K81" s="719"/>
      <c r="L81" s="719"/>
      <c r="M81" s="1300"/>
      <c r="N81" s="1300"/>
      <c r="O81" s="1300"/>
      <c r="P81" s="719"/>
      <c r="Q81" s="719"/>
      <c r="R81" s="1300"/>
      <c r="S81" s="1300"/>
      <c r="T81" s="1300"/>
      <c r="U81" s="719"/>
      <c r="V81" s="719"/>
      <c r="W81" s="1300"/>
      <c r="X81" s="1300"/>
      <c r="Y81" s="1300"/>
      <c r="Z81" s="719"/>
      <c r="AA81" s="719"/>
      <c r="AB81" s="1300"/>
      <c r="AC81" s="1300"/>
      <c r="AD81" s="1300"/>
      <c r="AE81" s="719"/>
      <c r="AF81" s="719"/>
      <c r="AG81" s="1300"/>
      <c r="AH81" s="1300"/>
      <c r="AI81" s="1300"/>
      <c r="AJ81" s="719"/>
      <c r="AK81" s="719"/>
      <c r="AL81" s="1300"/>
      <c r="AM81" s="1300"/>
      <c r="AN81" s="1300"/>
      <c r="AO81" s="719"/>
      <c r="AP81" s="719"/>
      <c r="AQ81" s="1300"/>
      <c r="AR81" s="1300"/>
      <c r="AS81" s="1300"/>
      <c r="AT81" s="719"/>
      <c r="AU81" s="719"/>
      <c r="AV81" s="1300"/>
      <c r="AW81" s="1300"/>
      <c r="AX81" s="1300"/>
      <c r="AY81" s="719"/>
      <c r="AZ81" s="719"/>
      <c r="BA81" s="1300"/>
      <c r="BB81" s="1300"/>
      <c r="BC81" s="1300"/>
      <c r="BD81" s="719"/>
      <c r="BE81" s="719"/>
      <c r="BF81" s="1300"/>
      <c r="BG81" s="1300"/>
      <c r="BH81" s="1300"/>
      <c r="BI81" s="719"/>
      <c r="BJ81" s="719"/>
      <c r="BK81" s="1300"/>
      <c r="BL81" s="1300"/>
      <c r="BM81" s="1300"/>
      <c r="BN81" s="719"/>
      <c r="BO81" s="719"/>
      <c r="BP81" s="1300"/>
      <c r="BQ81" s="1300"/>
      <c r="BR81" s="1300"/>
    </row>
    <row r="82" spans="1:70" ht="9.9499999999999993" hidden="1" customHeight="1" x14ac:dyDescent="0.25">
      <c r="A82" s="719"/>
      <c r="B82" s="719"/>
      <c r="C82" s="719"/>
      <c r="D82" s="719"/>
      <c r="E82" s="719"/>
      <c r="F82" s="719"/>
      <c r="G82" s="719"/>
      <c r="H82" s="719"/>
      <c r="I82" s="719"/>
      <c r="J82" s="719"/>
      <c r="K82" s="719"/>
      <c r="L82" s="719"/>
      <c r="M82" s="719"/>
      <c r="N82" s="719"/>
      <c r="O82" s="719"/>
      <c r="P82" s="719"/>
      <c r="Q82" s="719"/>
      <c r="R82" s="719"/>
      <c r="S82" s="719"/>
      <c r="T82" s="719"/>
      <c r="U82" s="719"/>
      <c r="V82" s="719"/>
      <c r="W82" s="719"/>
      <c r="X82" s="719"/>
      <c r="Y82" s="719"/>
      <c r="Z82" s="719"/>
      <c r="AA82" s="719"/>
      <c r="AB82" s="719"/>
      <c r="AC82" s="719"/>
      <c r="AD82" s="719"/>
      <c r="AE82" s="719"/>
      <c r="AF82" s="719"/>
      <c r="AG82" s="719"/>
      <c r="AH82" s="719"/>
      <c r="AI82" s="719"/>
      <c r="AJ82" s="719"/>
      <c r="AK82" s="719"/>
      <c r="AL82" s="719"/>
      <c r="AM82" s="719"/>
      <c r="AN82" s="719"/>
      <c r="AO82" s="719"/>
      <c r="AP82" s="719"/>
      <c r="AQ82" s="719"/>
      <c r="AR82" s="719"/>
      <c r="AS82" s="719"/>
      <c r="AT82" s="719"/>
      <c r="AU82" s="719"/>
      <c r="AV82" s="719"/>
      <c r="AW82" s="719"/>
      <c r="AX82" s="719"/>
      <c r="AY82" s="719"/>
      <c r="AZ82" s="719"/>
      <c r="BA82" s="719"/>
      <c r="BB82" s="719"/>
      <c r="BC82" s="719"/>
      <c r="BD82" s="719"/>
      <c r="BE82" s="719"/>
      <c r="BF82" s="719"/>
      <c r="BG82" s="719"/>
      <c r="BH82" s="719"/>
      <c r="BI82" s="719"/>
      <c r="BJ82" s="719"/>
      <c r="BK82" s="719"/>
      <c r="BL82" s="719"/>
      <c r="BM82" s="719"/>
      <c r="BN82" s="719"/>
      <c r="BO82" s="719"/>
      <c r="BP82" s="719"/>
      <c r="BQ82" s="719"/>
      <c r="BR82" s="719"/>
    </row>
    <row r="83" spans="1:70" ht="9.9499999999999993" hidden="1" customHeight="1" x14ac:dyDescent="0.25">
      <c r="A83" s="719"/>
      <c r="B83" s="719"/>
      <c r="C83" s="719"/>
      <c r="D83" s="719"/>
      <c r="E83" s="719"/>
      <c r="F83" s="719"/>
      <c r="G83" s="719"/>
      <c r="H83" s="719"/>
      <c r="I83" s="719"/>
      <c r="J83" s="719"/>
      <c r="K83" s="719"/>
      <c r="L83" s="719"/>
      <c r="M83" s="719"/>
      <c r="N83" s="719"/>
      <c r="O83" s="719"/>
      <c r="P83" s="719"/>
      <c r="Q83" s="719"/>
      <c r="R83" s="719"/>
      <c r="S83" s="719"/>
      <c r="T83" s="719"/>
      <c r="U83" s="719"/>
      <c r="V83" s="719"/>
      <c r="W83" s="719"/>
      <c r="X83" s="719"/>
      <c r="Y83" s="719"/>
      <c r="Z83" s="719"/>
      <c r="AA83" s="719"/>
      <c r="AB83" s="719"/>
      <c r="AC83" s="719"/>
      <c r="AD83" s="719"/>
      <c r="AE83" s="719"/>
      <c r="AF83" s="719"/>
      <c r="AG83" s="719"/>
      <c r="AH83" s="719"/>
      <c r="AI83" s="719"/>
      <c r="AJ83" s="719"/>
      <c r="AK83" s="719"/>
      <c r="AL83" s="719"/>
      <c r="AM83" s="719"/>
      <c r="AN83" s="719"/>
      <c r="AO83" s="719"/>
      <c r="AP83" s="719"/>
      <c r="AQ83" s="719"/>
      <c r="AR83" s="719"/>
      <c r="AS83" s="719"/>
      <c r="AT83" s="719"/>
      <c r="AU83" s="719"/>
      <c r="AV83" s="719"/>
      <c r="AW83" s="719"/>
      <c r="AX83" s="719"/>
      <c r="AY83" s="719"/>
      <c r="AZ83" s="719"/>
      <c r="BA83" s="719"/>
      <c r="BB83" s="719"/>
      <c r="BC83" s="719"/>
      <c r="BD83" s="719"/>
      <c r="BE83" s="719"/>
      <c r="BF83" s="719"/>
      <c r="BG83" s="719"/>
      <c r="BH83" s="719"/>
      <c r="BI83" s="719"/>
      <c r="BJ83" s="719"/>
      <c r="BK83" s="719"/>
      <c r="BL83" s="719"/>
      <c r="BM83" s="719"/>
      <c r="BN83" s="719"/>
      <c r="BO83" s="719"/>
      <c r="BP83" s="719"/>
      <c r="BQ83" s="719"/>
      <c r="BR83" s="719"/>
    </row>
    <row r="84" spans="1:70" ht="84.95" hidden="1" customHeight="1" x14ac:dyDescent="0.25">
      <c r="A84" s="716"/>
      <c r="B84" s="1797"/>
      <c r="C84" s="1797"/>
      <c r="D84" s="1797"/>
      <c r="E84" s="1797"/>
      <c r="F84" s="716"/>
      <c r="G84" s="1797"/>
      <c r="H84" s="1797"/>
      <c r="I84" s="1797"/>
      <c r="J84" s="1797"/>
      <c r="K84" s="716"/>
      <c r="L84" s="1797"/>
      <c r="M84" s="1797"/>
      <c r="N84" s="1797"/>
      <c r="O84" s="1797"/>
      <c r="P84" s="716"/>
      <c r="Q84" s="1797"/>
      <c r="R84" s="1797"/>
      <c r="S84" s="1797"/>
      <c r="T84" s="1797"/>
      <c r="U84" s="716"/>
      <c r="V84" s="1797"/>
      <c r="W84" s="1797"/>
      <c r="X84" s="1797"/>
      <c r="Y84" s="1797"/>
      <c r="Z84" s="716"/>
      <c r="AA84" s="1797"/>
      <c r="AB84" s="1797"/>
      <c r="AC84" s="1797"/>
      <c r="AD84" s="1797"/>
      <c r="AE84" s="716"/>
      <c r="AF84" s="1797"/>
      <c r="AG84" s="1797"/>
      <c r="AH84" s="1797"/>
      <c r="AI84" s="1797"/>
      <c r="AJ84" s="716"/>
      <c r="AK84" s="1797"/>
      <c r="AL84" s="1797"/>
      <c r="AM84" s="1797"/>
      <c r="AN84" s="1797"/>
      <c r="AO84" s="716"/>
      <c r="AP84" s="1797"/>
      <c r="AQ84" s="1797"/>
      <c r="AR84" s="1797"/>
      <c r="AS84" s="1797"/>
      <c r="AT84" s="716"/>
      <c r="AU84" s="1797"/>
      <c r="AV84" s="1797"/>
      <c r="AW84" s="1797"/>
      <c r="AX84" s="1797"/>
      <c r="AY84" s="716"/>
      <c r="AZ84" s="1797"/>
      <c r="BA84" s="1797"/>
      <c r="BB84" s="1797"/>
      <c r="BC84" s="1797"/>
      <c r="BD84" s="716"/>
      <c r="BE84" s="1797"/>
      <c r="BF84" s="1797"/>
      <c r="BG84" s="1797"/>
      <c r="BH84" s="1797"/>
      <c r="BI84" s="716"/>
      <c r="BJ84" s="1797"/>
      <c r="BK84" s="1797"/>
      <c r="BL84" s="1797"/>
      <c r="BM84" s="1797"/>
      <c r="BN84" s="716"/>
      <c r="BO84" s="1797"/>
      <c r="BP84" s="1797"/>
      <c r="BQ84" s="1797"/>
      <c r="BR84" s="1797"/>
    </row>
    <row r="85" spans="1:70" ht="23.1" hidden="1" customHeight="1" x14ac:dyDescent="0.25">
      <c r="A85" s="716"/>
      <c r="B85" s="32"/>
      <c r="C85" s="33"/>
      <c r="D85" s="34"/>
      <c r="E85" s="35"/>
      <c r="F85" s="716"/>
      <c r="G85" s="32"/>
      <c r="H85" s="33"/>
      <c r="I85" s="34"/>
      <c r="J85" s="35"/>
      <c r="K85" s="716"/>
      <c r="L85" s="32"/>
      <c r="M85" s="33"/>
      <c r="N85" s="34"/>
      <c r="O85" s="35"/>
      <c r="P85" s="716"/>
      <c r="Q85" s="32"/>
      <c r="R85" s="33"/>
      <c r="S85" s="34"/>
      <c r="T85" s="35"/>
      <c r="U85" s="716"/>
      <c r="V85" s="32"/>
      <c r="W85" s="33"/>
      <c r="X85" s="34"/>
      <c r="Y85" s="35"/>
      <c r="Z85" s="716"/>
      <c r="AA85" s="32"/>
      <c r="AB85" s="33"/>
      <c r="AC85" s="34"/>
      <c r="AD85" s="35"/>
      <c r="AE85" s="716"/>
      <c r="AF85" s="32"/>
      <c r="AG85" s="33"/>
      <c r="AH85" s="34"/>
      <c r="AI85" s="35"/>
      <c r="AJ85" s="716"/>
      <c r="AK85" s="32"/>
      <c r="AL85" s="33"/>
      <c r="AM85" s="34"/>
      <c r="AN85" s="35"/>
      <c r="AO85" s="716"/>
      <c r="AP85" s="32"/>
      <c r="AQ85" s="33"/>
      <c r="AR85" s="34"/>
      <c r="AS85" s="35"/>
      <c r="AT85" s="716"/>
      <c r="AU85" s="32"/>
      <c r="AV85" s="33"/>
      <c r="AW85" s="34"/>
      <c r="AX85" s="35"/>
      <c r="AY85" s="716"/>
      <c r="AZ85" s="32"/>
      <c r="BA85" s="33"/>
      <c r="BB85" s="34"/>
      <c r="BC85" s="35"/>
      <c r="BD85" s="716"/>
      <c r="BE85" s="32"/>
      <c r="BF85" s="33"/>
      <c r="BG85" s="34"/>
      <c r="BH85" s="35"/>
      <c r="BI85" s="716"/>
      <c r="BJ85" s="32"/>
      <c r="BK85" s="33"/>
      <c r="BL85" s="34"/>
      <c r="BM85" s="35"/>
      <c r="BN85" s="716"/>
      <c r="BO85" s="32"/>
      <c r="BP85" s="33"/>
      <c r="BQ85" s="34"/>
      <c r="BR85" s="35"/>
    </row>
    <row r="86" spans="1:70" ht="18.600000000000001" hidden="1" customHeight="1" x14ac:dyDescent="0.25">
      <c r="A86" s="719"/>
      <c r="B86" s="719"/>
      <c r="C86" s="1300"/>
      <c r="D86" s="1300"/>
      <c r="E86" s="1300"/>
      <c r="F86" s="719"/>
      <c r="G86" s="719"/>
      <c r="H86" s="1300"/>
      <c r="I86" s="1300"/>
      <c r="J86" s="1300"/>
      <c r="K86" s="719"/>
      <c r="L86" s="719"/>
      <c r="M86" s="1300"/>
      <c r="N86" s="1300"/>
      <c r="O86" s="1300"/>
      <c r="P86" s="719"/>
      <c r="Q86" s="719"/>
      <c r="R86" s="1300"/>
      <c r="S86" s="1300"/>
      <c r="T86" s="1300"/>
      <c r="U86" s="719"/>
      <c r="V86" s="719"/>
      <c r="W86" s="1300"/>
      <c r="X86" s="1300"/>
      <c r="Y86" s="1300"/>
      <c r="Z86" s="719"/>
      <c r="AA86" s="719"/>
      <c r="AB86" s="1300"/>
      <c r="AC86" s="1300"/>
      <c r="AD86" s="1300"/>
      <c r="AE86" s="719"/>
      <c r="AF86" s="719"/>
      <c r="AG86" s="1300"/>
      <c r="AH86" s="1300"/>
      <c r="AI86" s="1300"/>
      <c r="AJ86" s="719"/>
      <c r="AK86" s="719"/>
      <c r="AL86" s="1300"/>
      <c r="AM86" s="1300"/>
      <c r="AN86" s="1300"/>
      <c r="AO86" s="719"/>
      <c r="AP86" s="719"/>
      <c r="AQ86" s="1300"/>
      <c r="AR86" s="1300"/>
      <c r="AS86" s="1300"/>
      <c r="AT86" s="719"/>
      <c r="AU86" s="719"/>
      <c r="AV86" s="1300"/>
      <c r="AW86" s="1300"/>
      <c r="AX86" s="1300"/>
      <c r="AY86" s="719"/>
      <c r="AZ86" s="719"/>
      <c r="BA86" s="1300"/>
      <c r="BB86" s="1300"/>
      <c r="BC86" s="1300"/>
      <c r="BD86" s="719"/>
      <c r="BE86" s="719"/>
      <c r="BF86" s="1300"/>
      <c r="BG86" s="1300"/>
      <c r="BH86" s="1300"/>
      <c r="BI86" s="719"/>
      <c r="BJ86" s="719"/>
      <c r="BK86" s="1300"/>
      <c r="BL86" s="1300"/>
      <c r="BM86" s="1300"/>
      <c r="BN86" s="719"/>
      <c r="BO86" s="719"/>
      <c r="BP86" s="1300"/>
      <c r="BQ86" s="1300"/>
      <c r="BR86" s="1300"/>
    </row>
    <row r="87" spans="1:70" ht="18.600000000000001" hidden="1" customHeight="1" x14ac:dyDescent="0.25">
      <c r="A87" s="719"/>
      <c r="B87" s="719"/>
      <c r="C87" s="1300"/>
      <c r="D87" s="1300"/>
      <c r="E87" s="1300"/>
      <c r="F87" s="719"/>
      <c r="G87" s="719"/>
      <c r="H87" s="1300"/>
      <c r="I87" s="1300"/>
      <c r="J87" s="1300"/>
      <c r="K87" s="719"/>
      <c r="L87" s="719"/>
      <c r="M87" s="1300"/>
      <c r="N87" s="1300"/>
      <c r="O87" s="1300"/>
      <c r="P87" s="719"/>
      <c r="Q87" s="719"/>
      <c r="R87" s="1300"/>
      <c r="S87" s="1300"/>
      <c r="T87" s="1300"/>
      <c r="U87" s="719"/>
      <c r="V87" s="719"/>
      <c r="W87" s="1300"/>
      <c r="X87" s="1300"/>
      <c r="Y87" s="1300"/>
      <c r="Z87" s="719"/>
      <c r="AA87" s="719"/>
      <c r="AB87" s="1300"/>
      <c r="AC87" s="1300"/>
      <c r="AD87" s="1300"/>
      <c r="AE87" s="719"/>
      <c r="AF87" s="719"/>
      <c r="AG87" s="1300"/>
      <c r="AH87" s="1300"/>
      <c r="AI87" s="1300"/>
      <c r="AJ87" s="719"/>
      <c r="AK87" s="719"/>
      <c r="AL87" s="1300"/>
      <c r="AM87" s="1300"/>
      <c r="AN87" s="1300"/>
      <c r="AO87" s="719"/>
      <c r="AP87" s="719"/>
      <c r="AQ87" s="1300"/>
      <c r="AR87" s="1300"/>
      <c r="AS87" s="1300"/>
      <c r="AT87" s="719"/>
      <c r="AU87" s="719"/>
      <c r="AV87" s="1300"/>
      <c r="AW87" s="1300"/>
      <c r="AX87" s="1300"/>
      <c r="AY87" s="719"/>
      <c r="AZ87" s="719"/>
      <c r="BA87" s="1300"/>
      <c r="BB87" s="1300"/>
      <c r="BC87" s="1300"/>
      <c r="BD87" s="719"/>
      <c r="BE87" s="719"/>
      <c r="BF87" s="1300"/>
      <c r="BG87" s="1300"/>
      <c r="BH87" s="1300"/>
      <c r="BI87" s="719"/>
      <c r="BJ87" s="719"/>
      <c r="BK87" s="1300"/>
      <c r="BL87" s="1300"/>
      <c r="BM87" s="1300"/>
      <c r="BN87" s="719"/>
      <c r="BO87" s="719"/>
      <c r="BP87" s="1300"/>
      <c r="BQ87" s="1300"/>
      <c r="BR87" s="1300"/>
    </row>
    <row r="88" spans="1:70" ht="9.9499999999999993" hidden="1" customHeight="1" x14ac:dyDescent="0.25">
      <c r="A88" s="719"/>
      <c r="B88" s="719"/>
      <c r="C88" s="719"/>
      <c r="D88" s="719"/>
      <c r="E88" s="719"/>
      <c r="F88" s="719"/>
      <c r="G88" s="719"/>
      <c r="H88" s="719"/>
      <c r="I88" s="719"/>
      <c r="J88" s="719"/>
      <c r="K88" s="719"/>
      <c r="L88" s="719"/>
      <c r="M88" s="719"/>
      <c r="N88" s="719"/>
      <c r="O88" s="719"/>
      <c r="P88" s="719"/>
      <c r="Q88" s="719"/>
      <c r="R88" s="719"/>
      <c r="S88" s="719"/>
      <c r="T88" s="719"/>
      <c r="U88" s="719"/>
      <c r="V88" s="719"/>
      <c r="W88" s="719"/>
      <c r="X88" s="719"/>
      <c r="Y88" s="719"/>
      <c r="Z88" s="719"/>
      <c r="AA88" s="719"/>
      <c r="AB88" s="719"/>
      <c r="AC88" s="719"/>
      <c r="AD88" s="719"/>
      <c r="AE88" s="719"/>
      <c r="AF88" s="719"/>
      <c r="AG88" s="719"/>
      <c r="AH88" s="719"/>
      <c r="AI88" s="719"/>
      <c r="AJ88" s="719"/>
      <c r="AK88" s="719"/>
      <c r="AL88" s="719"/>
      <c r="AM88" s="719"/>
      <c r="AN88" s="719"/>
      <c r="AO88" s="719"/>
      <c r="AP88" s="719"/>
      <c r="AQ88" s="719"/>
      <c r="AR88" s="719"/>
      <c r="AS88" s="719"/>
      <c r="AT88" s="719"/>
      <c r="AU88" s="719"/>
      <c r="AV88" s="719"/>
      <c r="AW88" s="719"/>
      <c r="AX88" s="719"/>
      <c r="AY88" s="719"/>
      <c r="AZ88" s="719"/>
      <c r="BA88" s="719"/>
      <c r="BB88" s="719"/>
      <c r="BC88" s="719"/>
      <c r="BD88" s="719"/>
      <c r="BE88" s="719"/>
      <c r="BF88" s="719"/>
      <c r="BG88" s="719"/>
      <c r="BH88" s="719"/>
      <c r="BI88" s="719"/>
      <c r="BJ88" s="719"/>
      <c r="BK88" s="719"/>
      <c r="BL88" s="719"/>
      <c r="BM88" s="719"/>
      <c r="BN88" s="719"/>
      <c r="BO88" s="719"/>
      <c r="BP88" s="719"/>
      <c r="BQ88" s="719"/>
      <c r="BR88" s="719"/>
    </row>
    <row r="89" spans="1:70" ht="9.9499999999999993" hidden="1" customHeight="1" x14ac:dyDescent="0.25">
      <c r="A89" s="719"/>
      <c r="B89" s="719"/>
      <c r="C89" s="719"/>
      <c r="D89" s="719"/>
      <c r="E89" s="719"/>
      <c r="F89" s="719"/>
      <c r="G89" s="719"/>
      <c r="H89" s="719"/>
      <c r="I89" s="719"/>
      <c r="J89" s="719"/>
      <c r="K89" s="719"/>
      <c r="L89" s="719"/>
      <c r="M89" s="719"/>
      <c r="N89" s="719"/>
      <c r="O89" s="719"/>
      <c r="P89" s="719"/>
      <c r="Q89" s="719"/>
      <c r="R89" s="719"/>
      <c r="S89" s="719"/>
      <c r="T89" s="719"/>
      <c r="U89" s="719"/>
      <c r="V89" s="719"/>
      <c r="W89" s="719"/>
      <c r="X89" s="719"/>
      <c r="Y89" s="719"/>
      <c r="Z89" s="719"/>
      <c r="AA89" s="719"/>
      <c r="AB89" s="719"/>
      <c r="AC89" s="719"/>
      <c r="AD89" s="719"/>
      <c r="AE89" s="719"/>
      <c r="AF89" s="719"/>
      <c r="AG89" s="719"/>
      <c r="AH89" s="719"/>
      <c r="AI89" s="719"/>
      <c r="AJ89" s="719"/>
      <c r="AK89" s="719"/>
      <c r="AL89" s="719"/>
      <c r="AM89" s="719"/>
      <c r="AN89" s="719"/>
      <c r="AO89" s="719"/>
      <c r="AP89" s="719"/>
      <c r="AQ89" s="719"/>
      <c r="AR89" s="719"/>
      <c r="AS89" s="719"/>
      <c r="AT89" s="719"/>
      <c r="AU89" s="719"/>
      <c r="AV89" s="719"/>
      <c r="AW89" s="719"/>
      <c r="AX89" s="719"/>
      <c r="AY89" s="719"/>
      <c r="AZ89" s="719"/>
      <c r="BA89" s="719"/>
      <c r="BB89" s="719"/>
      <c r="BC89" s="719"/>
      <c r="BD89" s="719"/>
      <c r="BE89" s="719"/>
      <c r="BF89" s="719"/>
      <c r="BG89" s="719"/>
      <c r="BH89" s="719"/>
      <c r="BI89" s="719"/>
      <c r="BJ89" s="719"/>
      <c r="BK89" s="719"/>
      <c r="BL89" s="719"/>
      <c r="BM89" s="719"/>
      <c r="BN89" s="719"/>
      <c r="BO89" s="719"/>
      <c r="BP89" s="719"/>
      <c r="BQ89" s="719"/>
      <c r="BR89" s="719"/>
    </row>
    <row r="90" spans="1:70" ht="84.95" hidden="1" customHeight="1" x14ac:dyDescent="0.25">
      <c r="A90" s="716"/>
      <c r="B90" s="1797"/>
      <c r="C90" s="1797"/>
      <c r="D90" s="1797"/>
      <c r="E90" s="1797"/>
      <c r="F90" s="716"/>
      <c r="G90" s="1797"/>
      <c r="H90" s="1797"/>
      <c r="I90" s="1797"/>
      <c r="J90" s="1797"/>
      <c r="K90" s="716"/>
      <c r="L90" s="1797"/>
      <c r="M90" s="1797"/>
      <c r="N90" s="1797"/>
      <c r="O90" s="1797"/>
      <c r="P90" s="716"/>
      <c r="Q90" s="1797"/>
      <c r="R90" s="1797"/>
      <c r="S90" s="1797"/>
      <c r="T90" s="1797"/>
      <c r="U90" s="716"/>
      <c r="V90" s="1797"/>
      <c r="W90" s="1797"/>
      <c r="X90" s="1797"/>
      <c r="Y90" s="1797"/>
      <c r="Z90" s="716"/>
      <c r="AA90" s="1797"/>
      <c r="AB90" s="1797"/>
      <c r="AC90" s="1797"/>
      <c r="AD90" s="1797"/>
      <c r="AE90" s="716"/>
      <c r="AF90" s="1797"/>
      <c r="AG90" s="1797"/>
      <c r="AH90" s="1797"/>
      <c r="AI90" s="1797"/>
      <c r="AJ90" s="716"/>
      <c r="AK90" s="1797"/>
      <c r="AL90" s="1797"/>
      <c r="AM90" s="1797"/>
      <c r="AN90" s="1797"/>
      <c r="AO90" s="716"/>
      <c r="AP90" s="1797"/>
      <c r="AQ90" s="1797"/>
      <c r="AR90" s="1797"/>
      <c r="AS90" s="1797"/>
      <c r="AT90" s="716"/>
      <c r="AU90" s="1797"/>
      <c r="AV90" s="1797"/>
      <c r="AW90" s="1797"/>
      <c r="AX90" s="1797"/>
      <c r="AY90" s="716"/>
      <c r="AZ90" s="1797"/>
      <c r="BA90" s="1797"/>
      <c r="BB90" s="1797"/>
      <c r="BC90" s="1797"/>
      <c r="BD90" s="716"/>
      <c r="BE90" s="1797"/>
      <c r="BF90" s="1797"/>
      <c r="BG90" s="1797"/>
      <c r="BH90" s="1797"/>
      <c r="BI90" s="716"/>
      <c r="BJ90" s="1797"/>
      <c r="BK90" s="1797"/>
      <c r="BL90" s="1797"/>
      <c r="BM90" s="1797"/>
      <c r="BN90" s="716"/>
      <c r="BO90" s="1797"/>
      <c r="BP90" s="1797"/>
      <c r="BQ90" s="1797"/>
      <c r="BR90" s="1797"/>
    </row>
    <row r="91" spans="1:70" ht="23.1" hidden="1" customHeight="1" x14ac:dyDescent="0.25">
      <c r="A91" s="716"/>
      <c r="B91" s="32"/>
      <c r="C91" s="33"/>
      <c r="D91" s="34"/>
      <c r="E91" s="35"/>
      <c r="F91" s="716"/>
      <c r="G91" s="32"/>
      <c r="H91" s="33"/>
      <c r="I91" s="34"/>
      <c r="J91" s="35"/>
      <c r="K91" s="716"/>
      <c r="L91" s="32"/>
      <c r="M91" s="33"/>
      <c r="N91" s="34"/>
      <c r="O91" s="35"/>
      <c r="P91" s="716"/>
      <c r="Q91" s="32"/>
      <c r="R91" s="33"/>
      <c r="S91" s="34"/>
      <c r="T91" s="35"/>
      <c r="U91" s="716"/>
      <c r="V91" s="32"/>
      <c r="W91" s="33"/>
      <c r="X91" s="34"/>
      <c r="Y91" s="35"/>
      <c r="Z91" s="716"/>
      <c r="AA91" s="32"/>
      <c r="AB91" s="33"/>
      <c r="AC91" s="34"/>
      <c r="AD91" s="35"/>
      <c r="AE91" s="716"/>
      <c r="AF91" s="32"/>
      <c r="AG91" s="33"/>
      <c r="AH91" s="34"/>
      <c r="AI91" s="35"/>
      <c r="AJ91" s="716"/>
      <c r="AK91" s="32"/>
      <c r="AL91" s="33"/>
      <c r="AM91" s="34"/>
      <c r="AN91" s="35"/>
      <c r="AO91" s="716"/>
      <c r="AP91" s="32"/>
      <c r="AQ91" s="33"/>
      <c r="AR91" s="34"/>
      <c r="AS91" s="35"/>
      <c r="AT91" s="716"/>
      <c r="AU91" s="32"/>
      <c r="AV91" s="33"/>
      <c r="AW91" s="34"/>
      <c r="AX91" s="35"/>
      <c r="AY91" s="716"/>
      <c r="AZ91" s="32"/>
      <c r="BA91" s="33"/>
      <c r="BB91" s="34"/>
      <c r="BC91" s="35"/>
      <c r="BD91" s="716"/>
      <c r="BE91" s="32"/>
      <c r="BF91" s="33"/>
      <c r="BG91" s="34"/>
      <c r="BH91" s="35"/>
      <c r="BI91" s="716"/>
      <c r="BJ91" s="32"/>
      <c r="BK91" s="33"/>
      <c r="BL91" s="34"/>
      <c r="BM91" s="35"/>
      <c r="BN91" s="716"/>
      <c r="BO91" s="32"/>
      <c r="BP91" s="33"/>
      <c r="BQ91" s="34"/>
      <c r="BR91" s="35"/>
    </row>
    <row r="92" spans="1:70" ht="18.600000000000001" hidden="1" customHeight="1" x14ac:dyDescent="0.25">
      <c r="A92" s="719"/>
      <c r="B92" s="719"/>
      <c r="C92" s="1300"/>
      <c r="D92" s="1300"/>
      <c r="E92" s="1300"/>
      <c r="F92" s="719"/>
      <c r="G92" s="719"/>
      <c r="H92" s="1300"/>
      <c r="I92" s="1300"/>
      <c r="J92" s="1300"/>
      <c r="K92" s="719"/>
      <c r="L92" s="719"/>
      <c r="M92" s="1300"/>
      <c r="N92" s="1300"/>
      <c r="O92" s="1300"/>
      <c r="P92" s="719"/>
      <c r="Q92" s="719"/>
      <c r="R92" s="1300"/>
      <c r="S92" s="1300"/>
      <c r="T92" s="1300"/>
      <c r="U92" s="719"/>
      <c r="V92" s="719"/>
      <c r="W92" s="1300"/>
      <c r="X92" s="1300"/>
      <c r="Y92" s="1300"/>
      <c r="Z92" s="719"/>
      <c r="AA92" s="719"/>
      <c r="AB92" s="1300"/>
      <c r="AC92" s="1300"/>
      <c r="AD92" s="1300"/>
      <c r="AE92" s="719"/>
      <c r="AF92" s="719"/>
      <c r="AG92" s="1300"/>
      <c r="AH92" s="1300"/>
      <c r="AI92" s="1300"/>
      <c r="AJ92" s="719"/>
      <c r="AK92" s="719"/>
      <c r="AL92" s="1300"/>
      <c r="AM92" s="1300"/>
      <c r="AN92" s="1300"/>
      <c r="AO92" s="719"/>
      <c r="AP92" s="719"/>
      <c r="AQ92" s="1300"/>
      <c r="AR92" s="1300"/>
      <c r="AS92" s="1300"/>
      <c r="AT92" s="719"/>
      <c r="AU92" s="719"/>
      <c r="AV92" s="1300"/>
      <c r="AW92" s="1300"/>
      <c r="AX92" s="1300"/>
      <c r="AY92" s="719"/>
      <c r="AZ92" s="719"/>
      <c r="BA92" s="1300"/>
      <c r="BB92" s="1300"/>
      <c r="BC92" s="1300"/>
      <c r="BD92" s="719"/>
      <c r="BE92" s="719"/>
      <c r="BF92" s="1300"/>
      <c r="BG92" s="1300"/>
      <c r="BH92" s="1300"/>
      <c r="BI92" s="719"/>
      <c r="BJ92" s="719"/>
      <c r="BK92" s="1300"/>
      <c r="BL92" s="1300"/>
      <c r="BM92" s="1300"/>
      <c r="BN92" s="719"/>
      <c r="BO92" s="719"/>
      <c r="BP92" s="1300"/>
      <c r="BQ92" s="1300"/>
      <c r="BR92" s="1300"/>
    </row>
    <row r="93" spans="1:70" ht="18.600000000000001" hidden="1" customHeight="1" x14ac:dyDescent="0.25">
      <c r="A93" s="719"/>
      <c r="B93" s="719"/>
      <c r="C93" s="1300"/>
      <c r="D93" s="1300"/>
      <c r="E93" s="1300"/>
      <c r="F93" s="719"/>
      <c r="G93" s="719"/>
      <c r="H93" s="1300"/>
      <c r="I93" s="1300"/>
      <c r="J93" s="1300"/>
      <c r="K93" s="719"/>
      <c r="L93" s="719"/>
      <c r="M93" s="1300"/>
      <c r="N93" s="1300"/>
      <c r="O93" s="1300"/>
      <c r="P93" s="719"/>
      <c r="Q93" s="719"/>
      <c r="R93" s="1300"/>
      <c r="S93" s="1300"/>
      <c r="T93" s="1300"/>
      <c r="U93" s="719"/>
      <c r="V93" s="719"/>
      <c r="W93" s="1300"/>
      <c r="X93" s="1300"/>
      <c r="Y93" s="1300"/>
      <c r="Z93" s="719"/>
      <c r="AA93" s="719"/>
      <c r="AB93" s="1300"/>
      <c r="AC93" s="1300"/>
      <c r="AD93" s="1300"/>
      <c r="AE93" s="719"/>
      <c r="AF93" s="719"/>
      <c r="AG93" s="1300"/>
      <c r="AH93" s="1300"/>
      <c r="AI93" s="1300"/>
      <c r="AJ93" s="719"/>
      <c r="AK93" s="719"/>
      <c r="AL93" s="1300"/>
      <c r="AM93" s="1300"/>
      <c r="AN93" s="1300"/>
      <c r="AO93" s="719"/>
      <c r="AP93" s="719"/>
      <c r="AQ93" s="1300"/>
      <c r="AR93" s="1300"/>
      <c r="AS93" s="1300"/>
      <c r="AT93" s="719"/>
      <c r="AU93" s="719"/>
      <c r="AV93" s="1300"/>
      <c r="AW93" s="1300"/>
      <c r="AX93" s="1300"/>
      <c r="AY93" s="719"/>
      <c r="AZ93" s="719"/>
      <c r="BA93" s="1300"/>
      <c r="BB93" s="1300"/>
      <c r="BC93" s="1300"/>
      <c r="BD93" s="719"/>
      <c r="BE93" s="719"/>
      <c r="BF93" s="1300"/>
      <c r="BG93" s="1300"/>
      <c r="BH93" s="1300"/>
      <c r="BI93" s="719"/>
      <c r="BJ93" s="719"/>
      <c r="BK93" s="1300"/>
      <c r="BL93" s="1300"/>
      <c r="BM93" s="1300"/>
      <c r="BN93" s="719"/>
      <c r="BO93" s="719"/>
      <c r="BP93" s="1300"/>
      <c r="BQ93" s="1300"/>
      <c r="BR93" s="1300"/>
    </row>
    <row r="94" spans="1:70" ht="9.9499999999999993" hidden="1" customHeight="1" x14ac:dyDescent="0.25">
      <c r="A94" s="719"/>
      <c r="B94" s="719"/>
      <c r="C94" s="719"/>
      <c r="D94" s="719"/>
      <c r="E94" s="719"/>
      <c r="F94" s="719"/>
      <c r="G94" s="719"/>
      <c r="H94" s="719"/>
      <c r="I94" s="719"/>
      <c r="J94" s="719"/>
      <c r="K94" s="719"/>
      <c r="L94" s="719"/>
      <c r="M94" s="719"/>
      <c r="N94" s="719"/>
      <c r="O94" s="719"/>
      <c r="P94" s="719"/>
      <c r="Q94" s="719"/>
      <c r="R94" s="719"/>
      <c r="S94" s="719"/>
      <c r="T94" s="719"/>
      <c r="U94" s="719"/>
      <c r="V94" s="719"/>
      <c r="W94" s="719"/>
      <c r="X94" s="719"/>
      <c r="Y94" s="719"/>
      <c r="Z94" s="719"/>
      <c r="AA94" s="719"/>
      <c r="AB94" s="719"/>
      <c r="AC94" s="719"/>
      <c r="AD94" s="719"/>
      <c r="AE94" s="719"/>
      <c r="AF94" s="719"/>
      <c r="AG94" s="719"/>
      <c r="AH94" s="719"/>
      <c r="AI94" s="719"/>
      <c r="AJ94" s="719"/>
      <c r="AK94" s="719"/>
      <c r="AL94" s="719"/>
      <c r="AM94" s="719"/>
      <c r="AN94" s="719"/>
      <c r="AO94" s="719"/>
      <c r="AP94" s="719"/>
      <c r="AQ94" s="719"/>
      <c r="AR94" s="719"/>
      <c r="AS94" s="719"/>
      <c r="AT94" s="719"/>
      <c r="AU94" s="719"/>
      <c r="AV94" s="719"/>
      <c r="AW94" s="719"/>
      <c r="AX94" s="719"/>
      <c r="AY94" s="719"/>
      <c r="AZ94" s="719"/>
      <c r="BA94" s="719"/>
      <c r="BB94" s="719"/>
      <c r="BC94" s="719"/>
      <c r="BD94" s="719"/>
      <c r="BE94" s="719"/>
      <c r="BF94" s="719"/>
      <c r="BG94" s="719"/>
      <c r="BH94" s="719"/>
      <c r="BI94" s="719"/>
      <c r="BJ94" s="719"/>
      <c r="BK94" s="719"/>
      <c r="BL94" s="719"/>
      <c r="BM94" s="719"/>
      <c r="BN94" s="719"/>
      <c r="BO94" s="719"/>
      <c r="BP94" s="719"/>
      <c r="BQ94" s="719"/>
      <c r="BR94" s="719"/>
    </row>
    <row r="95" spans="1:70" ht="9.9499999999999993" hidden="1" customHeight="1" x14ac:dyDescent="0.25">
      <c r="A95" s="719"/>
      <c r="B95" s="719"/>
      <c r="C95" s="719"/>
      <c r="D95" s="719"/>
      <c r="E95" s="719"/>
      <c r="F95" s="719"/>
      <c r="G95" s="719"/>
      <c r="H95" s="719"/>
      <c r="I95" s="719"/>
      <c r="J95" s="719"/>
      <c r="K95" s="719"/>
      <c r="L95" s="719"/>
      <c r="M95" s="719"/>
      <c r="N95" s="719"/>
      <c r="O95" s="719"/>
      <c r="P95" s="719"/>
      <c r="Q95" s="719"/>
      <c r="R95" s="719"/>
      <c r="S95" s="719"/>
      <c r="T95" s="719"/>
      <c r="U95" s="719"/>
      <c r="V95" s="719"/>
      <c r="W95" s="719"/>
      <c r="X95" s="719"/>
      <c r="Y95" s="719"/>
      <c r="Z95" s="719"/>
      <c r="AA95" s="719"/>
      <c r="AB95" s="719"/>
      <c r="AC95" s="719"/>
      <c r="AD95" s="719"/>
      <c r="AE95" s="719"/>
      <c r="AF95" s="719"/>
      <c r="AG95" s="719"/>
      <c r="AH95" s="719"/>
      <c r="AI95" s="719"/>
      <c r="AJ95" s="719"/>
      <c r="AK95" s="719"/>
      <c r="AL95" s="719"/>
      <c r="AM95" s="719"/>
      <c r="AN95" s="719"/>
      <c r="AO95" s="719"/>
      <c r="AP95" s="719"/>
      <c r="AQ95" s="719"/>
      <c r="AR95" s="719"/>
      <c r="AS95" s="719"/>
      <c r="AT95" s="719"/>
      <c r="AU95" s="719"/>
      <c r="AV95" s="719"/>
      <c r="AW95" s="719"/>
      <c r="AX95" s="719"/>
      <c r="AY95" s="719"/>
      <c r="AZ95" s="719"/>
      <c r="BA95" s="719"/>
      <c r="BB95" s="719"/>
      <c r="BC95" s="719"/>
      <c r="BD95" s="719"/>
      <c r="BE95" s="719"/>
      <c r="BF95" s="719"/>
      <c r="BG95" s="719"/>
      <c r="BH95" s="719"/>
      <c r="BI95" s="719"/>
      <c r="BJ95" s="719"/>
      <c r="BK95" s="719"/>
      <c r="BL95" s="719"/>
      <c r="BM95" s="719"/>
      <c r="BN95" s="719"/>
      <c r="BO95" s="719"/>
      <c r="BP95" s="719"/>
      <c r="BQ95" s="719"/>
      <c r="BR95" s="719"/>
    </row>
    <row r="96" spans="1:70" ht="84.95" hidden="1" customHeight="1" x14ac:dyDescent="0.25">
      <c r="A96" s="716"/>
      <c r="B96" s="1797"/>
      <c r="C96" s="1797"/>
      <c r="D96" s="1797"/>
      <c r="E96" s="1797"/>
      <c r="F96" s="716"/>
      <c r="G96" s="1797"/>
      <c r="H96" s="1797"/>
      <c r="I96" s="1797"/>
      <c r="J96" s="1797"/>
      <c r="K96" s="716"/>
      <c r="L96" s="1797"/>
      <c r="M96" s="1797"/>
      <c r="N96" s="1797"/>
      <c r="O96" s="1797"/>
      <c r="P96" s="716"/>
      <c r="Q96" s="1797"/>
      <c r="R96" s="1797"/>
      <c r="S96" s="1797"/>
      <c r="T96" s="1797"/>
      <c r="U96" s="716"/>
      <c r="V96" s="1797"/>
      <c r="W96" s="1797"/>
      <c r="X96" s="1797"/>
      <c r="Y96" s="1797"/>
      <c r="Z96" s="716"/>
      <c r="AA96" s="1797"/>
      <c r="AB96" s="1797"/>
      <c r="AC96" s="1797"/>
      <c r="AD96" s="1797"/>
      <c r="AE96" s="716"/>
      <c r="AF96" s="1797"/>
      <c r="AG96" s="1797"/>
      <c r="AH96" s="1797"/>
      <c r="AI96" s="1797"/>
      <c r="AJ96" s="716"/>
      <c r="AK96" s="1797"/>
      <c r="AL96" s="1797"/>
      <c r="AM96" s="1797"/>
      <c r="AN96" s="1797"/>
      <c r="AO96" s="716"/>
      <c r="AP96" s="1797"/>
      <c r="AQ96" s="1797"/>
      <c r="AR96" s="1797"/>
      <c r="AS96" s="1797"/>
      <c r="AT96" s="716"/>
      <c r="AU96" s="1797"/>
      <c r="AV96" s="1797"/>
      <c r="AW96" s="1797"/>
      <c r="AX96" s="1797"/>
      <c r="AY96" s="716"/>
      <c r="AZ96" s="1797"/>
      <c r="BA96" s="1797"/>
      <c r="BB96" s="1797"/>
      <c r="BC96" s="1797"/>
      <c r="BD96" s="716"/>
      <c r="BE96" s="1797"/>
      <c r="BF96" s="1797"/>
      <c r="BG96" s="1797"/>
      <c r="BH96" s="1797"/>
      <c r="BI96" s="716"/>
      <c r="BJ96" s="1797"/>
      <c r="BK96" s="1797"/>
      <c r="BL96" s="1797"/>
      <c r="BM96" s="1797"/>
      <c r="BN96" s="716"/>
      <c r="BO96" s="1797"/>
      <c r="BP96" s="1797"/>
      <c r="BQ96" s="1797"/>
      <c r="BR96" s="1797"/>
    </row>
    <row r="97" spans="1:72" ht="23.1" hidden="1" customHeight="1" x14ac:dyDescent="0.25">
      <c r="A97" s="716"/>
      <c r="B97" s="32"/>
      <c r="C97" s="33"/>
      <c r="D97" s="34"/>
      <c r="E97" s="35"/>
      <c r="F97" s="716"/>
      <c r="G97" s="32"/>
      <c r="H97" s="33"/>
      <c r="I97" s="34"/>
      <c r="J97" s="35"/>
      <c r="K97" s="716"/>
      <c r="L97" s="32"/>
      <c r="M97" s="33"/>
      <c r="N97" s="34"/>
      <c r="O97" s="35"/>
      <c r="P97" s="716"/>
      <c r="Q97" s="32"/>
      <c r="R97" s="33"/>
      <c r="S97" s="34"/>
      <c r="T97" s="35"/>
      <c r="U97" s="716"/>
      <c r="V97" s="32"/>
      <c r="W97" s="33"/>
      <c r="X97" s="34"/>
      <c r="Y97" s="35"/>
      <c r="Z97" s="716"/>
      <c r="AA97" s="32"/>
      <c r="AB97" s="33"/>
      <c r="AC97" s="34"/>
      <c r="AD97" s="35"/>
      <c r="AE97" s="716"/>
      <c r="AF97" s="32"/>
      <c r="AG97" s="33"/>
      <c r="AH97" s="34"/>
      <c r="AI97" s="35"/>
      <c r="AJ97" s="716"/>
      <c r="AK97" s="32"/>
      <c r="AL97" s="33"/>
      <c r="AM97" s="34"/>
      <c r="AN97" s="35"/>
      <c r="AO97" s="716"/>
      <c r="AP97" s="32"/>
      <c r="AQ97" s="33"/>
      <c r="AR97" s="34"/>
      <c r="AS97" s="35"/>
      <c r="AT97" s="716"/>
      <c r="AU97" s="32"/>
      <c r="AV97" s="33"/>
      <c r="AW97" s="34"/>
      <c r="AX97" s="35"/>
      <c r="AY97" s="716"/>
      <c r="AZ97" s="32"/>
      <c r="BA97" s="33"/>
      <c r="BB97" s="34"/>
      <c r="BC97" s="35"/>
      <c r="BD97" s="716"/>
      <c r="BE97" s="32"/>
      <c r="BF97" s="33"/>
      <c r="BG97" s="34"/>
      <c r="BH97" s="35"/>
      <c r="BI97" s="716"/>
      <c r="BJ97" s="32"/>
      <c r="BK97" s="33"/>
      <c r="BL97" s="34"/>
      <c r="BM97" s="35"/>
      <c r="BN97" s="716"/>
      <c r="BO97" s="32"/>
      <c r="BP97" s="33"/>
      <c r="BQ97" s="34"/>
      <c r="BR97" s="35"/>
    </row>
    <row r="98" spans="1:72" ht="15" customHeight="1" x14ac:dyDescent="0.25"/>
    <row r="99" spans="1:72" ht="15" customHeight="1" x14ac:dyDescent="0.25"/>
    <row r="100" spans="1:72" ht="15" customHeight="1" x14ac:dyDescent="0.25"/>
    <row r="101" spans="1:72" ht="15" customHeight="1" x14ac:dyDescent="0.25"/>
    <row r="102" spans="1:72" ht="15" customHeight="1" x14ac:dyDescent="0.25"/>
    <row r="103" spans="1:72" ht="15" customHeight="1" x14ac:dyDescent="0.25"/>
    <row r="104" spans="1:72" ht="15" customHeight="1" x14ac:dyDescent="0.25"/>
    <row r="105" spans="1:72" ht="15" customHeight="1" x14ac:dyDescent="0.25">
      <c r="B105" s="70"/>
      <c r="C105" s="72"/>
      <c r="D105" s="72"/>
      <c r="E105" s="72"/>
      <c r="F105" s="72"/>
      <c r="G105" s="70"/>
      <c r="H105" s="72"/>
      <c r="I105" s="72"/>
      <c r="J105" s="72"/>
      <c r="K105" s="72"/>
      <c r="L105" s="70"/>
      <c r="M105" s="72"/>
      <c r="N105" s="72"/>
      <c r="O105" s="72"/>
      <c r="P105" s="72"/>
      <c r="Q105" s="70"/>
      <c r="R105" s="72"/>
      <c r="S105" s="72"/>
      <c r="T105" s="72"/>
      <c r="U105" s="72"/>
      <c r="V105" s="70"/>
      <c r="W105" s="72"/>
      <c r="X105" s="72"/>
      <c r="Y105" s="724" t="s">
        <v>461</v>
      </c>
      <c r="Z105" s="724"/>
      <c r="AA105" s="724"/>
      <c r="AB105" s="724"/>
      <c r="AC105" s="724"/>
      <c r="AD105" s="724"/>
      <c r="AE105" s="724"/>
      <c r="AF105" s="724"/>
      <c r="AG105" s="724"/>
      <c r="AH105" s="724"/>
      <c r="AI105" s="724"/>
      <c r="AJ105" s="724"/>
      <c r="AK105" s="318"/>
      <c r="AL105" s="319"/>
      <c r="AM105" s="320"/>
      <c r="AN105" s="321"/>
      <c r="AO105" s="320"/>
      <c r="AP105" s="318"/>
      <c r="AQ105" s="319"/>
      <c r="AR105" s="320"/>
      <c r="AS105" s="321"/>
      <c r="AT105" s="320"/>
      <c r="AU105" s="318"/>
      <c r="AV105" s="319"/>
      <c r="AW105" s="320"/>
      <c r="AX105" s="321"/>
      <c r="AY105" s="320"/>
      <c r="AZ105" s="318"/>
      <c r="BA105" s="319"/>
      <c r="BB105" s="320"/>
      <c r="BC105" s="321"/>
      <c r="BD105" s="320"/>
      <c r="BE105" s="318"/>
      <c r="BF105" s="319"/>
      <c r="BG105" s="320"/>
      <c r="BH105" s="40"/>
      <c r="BI105" s="41"/>
      <c r="BJ105" s="37"/>
      <c r="BK105" s="38"/>
      <c r="BL105" s="39"/>
      <c r="BM105" s="40"/>
      <c r="BN105" s="41"/>
      <c r="BO105" s="37"/>
      <c r="BP105" s="38"/>
      <c r="BQ105" s="39"/>
      <c r="BR105" s="40"/>
      <c r="BS105" s="41"/>
    </row>
    <row r="106" spans="1:72" ht="15" customHeight="1" x14ac:dyDescent="0.25">
      <c r="B106" s="70"/>
      <c r="C106" s="32"/>
      <c r="D106" s="33"/>
      <c r="E106" s="34"/>
      <c r="F106" s="35"/>
      <c r="G106" s="70"/>
      <c r="H106" s="1801" cm="1">
        <f t="array" aca="1" ref="H106" ca="1">SUM(COUNTIF(INDIRECT({"B6","G6","L6","Q6","V6","AA6","AF6","AK6","AP6","AU6","AZ6","BE6","BJ6","BO6","B12","G12","L12","Q12","V12","AA12","AF12","AK12","AP12","AU12","AZ12","BE12","BJ12","BO12","B18","G18","L18","Q18","V18","AA18","AF18","AK18","AP18","AU18","AZ18","BE18","BJ18","BO18","B24","G24","L24","Q24","V24","AA24","AF24","AK24","AP24","AU24","AZ24","BE24","BJ24","BO24","B30","G30","L30","Q30","V30","AA30","AF30","AK30","AP30","AU30","AZ30","BE30","BJ30","BO30","B36","G36","L36","Q36","V36","AA36","AF36","AK36","AP36","AU36"}),"&gt;0"))</f>
        <v>80</v>
      </c>
      <c r="I106" s="1801"/>
      <c r="J106" s="1801"/>
      <c r="K106" s="1801"/>
      <c r="L106" s="70"/>
      <c r="M106" s="32"/>
      <c r="N106" s="33"/>
      <c r="O106" s="34"/>
      <c r="P106" s="35"/>
      <c r="Q106" s="70"/>
      <c r="R106" s="32"/>
      <c r="S106" s="33"/>
      <c r="T106" s="34"/>
      <c r="U106" s="35"/>
      <c r="V106" s="70"/>
      <c r="W106" s="32"/>
      <c r="X106" s="33"/>
      <c r="Y106" s="724"/>
      <c r="Z106" s="724"/>
      <c r="AA106" s="724"/>
      <c r="AB106" s="724"/>
      <c r="AC106" s="724"/>
      <c r="AD106" s="724"/>
      <c r="AE106" s="724"/>
      <c r="AF106" s="724"/>
      <c r="AG106" s="724"/>
      <c r="AH106" s="724"/>
      <c r="AI106" s="724"/>
      <c r="AJ106" s="724"/>
      <c r="AK106" s="724" t="s">
        <v>117</v>
      </c>
      <c r="AL106" s="724"/>
      <c r="AM106" s="724"/>
      <c r="AN106" s="724"/>
      <c r="AO106" s="724"/>
      <c r="AP106" s="724"/>
      <c r="AQ106" s="724"/>
      <c r="AR106" s="724"/>
      <c r="AS106" s="724"/>
      <c r="AT106" s="724"/>
      <c r="AU106" s="724"/>
      <c r="AV106" s="725" t="s">
        <v>118</v>
      </c>
      <c r="AW106" s="725"/>
      <c r="AX106" s="725"/>
      <c r="AY106" s="725"/>
      <c r="AZ106" s="725"/>
      <c r="BA106" s="725"/>
      <c r="BB106" s="725"/>
      <c r="BC106" s="725"/>
      <c r="BD106" s="725"/>
      <c r="BE106" s="725"/>
      <c r="BF106" s="725"/>
      <c r="BG106" s="725"/>
      <c r="BH106" s="724" t="s">
        <v>119</v>
      </c>
      <c r="BI106" s="724"/>
      <c r="BJ106" s="724"/>
      <c r="BK106" s="724"/>
      <c r="BL106" s="724"/>
      <c r="BM106" s="1802">
        <f>D7+I7+N7+S7+X7+AC7+AH7+AM7+AR7+AW7+BB7+BG7+BL7+BQ7+
D13+I13+N13+S13+X13+AC13+AH13+AM13+AR13+AW13+BB13+BG13+BL13+BQ13+
D19+I19+N19+S19+X19+AC19+AH19+AM19+AR19+AW19+BB19+BG19+BL19+BQ19+
D25+I25+N25+S25+X25+AC25+AH25+AM25+AR25+AW25+BB25+BG25+BL25+BQ25+
D31+I31+N31+S31+X31+AC31+AH31+AM31+AR31+AW31+BB31+BG31+BL31+BQ31+
D37+I37+N37+S37+X37+AC37+AH37+AM37+AR37+AW37</f>
        <v>66</v>
      </c>
      <c r="BN106" s="1802"/>
      <c r="BO106" s="1802"/>
      <c r="BP106" s="1802"/>
      <c r="BQ106" s="701" t="s">
        <v>120</v>
      </c>
      <c r="BR106" s="701"/>
      <c r="BS106" s="701"/>
    </row>
    <row r="107" spans="1:72" ht="15" customHeight="1" x14ac:dyDescent="0.25">
      <c r="B107" s="44"/>
      <c r="C107" s="44"/>
      <c r="D107" s="44"/>
      <c r="E107" s="69"/>
      <c r="F107" s="69"/>
      <c r="G107" s="44"/>
      <c r="H107" s="1801"/>
      <c r="I107" s="1801"/>
      <c r="J107" s="1801"/>
      <c r="K107" s="1801"/>
      <c r="L107" s="44"/>
      <c r="M107" s="44"/>
      <c r="N107" s="44"/>
      <c r="O107" s="69"/>
      <c r="P107" s="69"/>
      <c r="Q107" s="44"/>
      <c r="R107" s="44"/>
      <c r="S107" s="44"/>
      <c r="T107" s="69"/>
      <c r="U107" s="69"/>
      <c r="V107" s="44"/>
      <c r="W107" s="44"/>
      <c r="X107" s="44"/>
      <c r="Y107" s="724"/>
      <c r="Z107" s="724"/>
      <c r="AA107" s="724"/>
      <c r="AB107" s="724"/>
      <c r="AC107" s="724"/>
      <c r="AD107" s="724"/>
      <c r="AE107" s="724"/>
      <c r="AF107" s="724"/>
      <c r="AG107" s="724"/>
      <c r="AH107" s="724"/>
      <c r="AI107" s="724"/>
      <c r="AJ107" s="724"/>
      <c r="AK107" s="724"/>
      <c r="AL107" s="724"/>
      <c r="AM107" s="724"/>
      <c r="AN107" s="724"/>
      <c r="AO107" s="724"/>
      <c r="AP107" s="724"/>
      <c r="AQ107" s="724"/>
      <c r="AR107" s="724"/>
      <c r="AS107" s="724"/>
      <c r="AT107" s="724"/>
      <c r="AU107" s="724"/>
      <c r="AV107" s="725"/>
      <c r="AW107" s="725"/>
      <c r="AX107" s="725"/>
      <c r="AY107" s="725"/>
      <c r="AZ107" s="725"/>
      <c r="BA107" s="725"/>
      <c r="BB107" s="725"/>
      <c r="BC107" s="725"/>
      <c r="BD107" s="725"/>
      <c r="BE107" s="725"/>
      <c r="BF107" s="725"/>
      <c r="BG107" s="725"/>
      <c r="BH107" s="724"/>
      <c r="BI107" s="724"/>
      <c r="BJ107" s="724"/>
      <c r="BK107" s="724"/>
      <c r="BL107" s="724"/>
      <c r="BM107" s="1802"/>
      <c r="BN107" s="1802"/>
      <c r="BO107" s="1802"/>
      <c r="BP107" s="1802"/>
      <c r="BQ107" s="701"/>
      <c r="BR107" s="701"/>
      <c r="BS107" s="701"/>
    </row>
    <row r="108" spans="1:72" ht="24" customHeight="1" x14ac:dyDescent="0.25">
      <c r="B108" s="47"/>
      <c r="C108" s="47"/>
      <c r="D108" s="47"/>
      <c r="E108" s="69"/>
      <c r="F108" s="69"/>
      <c r="G108" s="47"/>
      <c r="H108" s="1801"/>
      <c r="I108" s="1801"/>
      <c r="J108" s="1801"/>
      <c r="K108" s="1801"/>
      <c r="L108" s="47"/>
      <c r="M108" s="47"/>
      <c r="N108" s="47"/>
      <c r="O108" s="69"/>
      <c r="P108" s="69"/>
      <c r="Q108" s="47"/>
      <c r="R108" s="47"/>
      <c r="S108" s="47"/>
      <c r="T108" s="69"/>
      <c r="U108" s="69"/>
      <c r="V108" s="47"/>
      <c r="W108" s="47"/>
      <c r="X108" s="47"/>
      <c r="Y108" s="724"/>
      <c r="Z108" s="724"/>
      <c r="AA108" s="724"/>
      <c r="AB108" s="724"/>
      <c r="AC108" s="724"/>
      <c r="AD108" s="724"/>
      <c r="AE108" s="724"/>
      <c r="AF108" s="724"/>
      <c r="AG108" s="724"/>
      <c r="AH108" s="724"/>
      <c r="AI108" s="724"/>
      <c r="AJ108" s="724"/>
      <c r="AK108" s="724"/>
      <c r="AL108" s="724"/>
      <c r="AM108" s="724"/>
      <c r="AN108" s="724"/>
      <c r="AO108" s="724"/>
      <c r="AP108" s="724"/>
      <c r="AQ108" s="724"/>
      <c r="AR108" s="724"/>
      <c r="AS108" s="724"/>
      <c r="AT108" s="724"/>
      <c r="AU108" s="724"/>
      <c r="AV108" s="725"/>
      <c r="AW108" s="725"/>
      <c r="AX108" s="725"/>
      <c r="AY108" s="725"/>
      <c r="AZ108" s="725"/>
      <c r="BA108" s="725"/>
      <c r="BB108" s="725"/>
      <c r="BC108" s="725"/>
      <c r="BD108" s="725"/>
      <c r="BE108" s="725"/>
      <c r="BF108" s="725"/>
      <c r="BG108" s="725"/>
      <c r="BH108" s="724"/>
      <c r="BI108" s="724"/>
      <c r="BJ108" s="724"/>
      <c r="BK108" s="724"/>
      <c r="BL108" s="724"/>
      <c r="BM108" s="1802"/>
      <c r="BN108" s="1802"/>
      <c r="BO108" s="1802"/>
      <c r="BP108" s="1802"/>
      <c r="BQ108" s="701"/>
      <c r="BR108" s="701"/>
      <c r="BS108" s="701"/>
    </row>
    <row r="109" spans="1:72" ht="27.75" customHeight="1" x14ac:dyDescent="0.25">
      <c r="B109" s="47"/>
      <c r="C109" s="47"/>
      <c r="D109" s="47"/>
      <c r="E109" s="101"/>
      <c r="F109" s="69"/>
      <c r="G109" s="47"/>
      <c r="H109" s="1803" cm="1">
        <f t="array" aca="1" ref="H109" ca="1">SUM(COUNTIF(INDIRECT({"B7","G7","L7","Q7","V7","AA7","AF7","AK7","AP7","AU7","AZ7","BE7","BJ7","BO7","B13","G13","L13","Q13","V13","AA13","AF13","AK13","AP13","AU13","AZ13","BE13","BJ13","BO13","B19","G19","L19","Q19","V19","AA19","AF19","AK19","AP19","AU19","AZ19","BE19","BJ19","BO19","B25","G25","L25","Q25","V25","AA25","AF25","AK25","AP25","AU25","AZ25","BE25","BJ25","BO25","B31","G31","L31","Q31","V31","AA31","AF31","AK31","AP31","AU31","AZ31","BE31","BJ31","BO31","B37","G37","L37","Q37","V37","AA37","AF37","AK37","AP37","AU37"}),"&gt;0"))</f>
        <v>80</v>
      </c>
      <c r="I109" s="1803"/>
      <c r="J109" s="1803"/>
      <c r="K109" s="1803"/>
      <c r="L109" s="47"/>
      <c r="M109" s="47"/>
      <c r="N109" s="47"/>
      <c r="O109" s="101"/>
      <c r="P109" s="69"/>
      <c r="Q109" s="47"/>
      <c r="R109" s="47"/>
      <c r="S109" s="47"/>
      <c r="T109" s="101"/>
      <c r="U109" s="69"/>
      <c r="V109" s="47"/>
      <c r="W109" s="47"/>
      <c r="X109" s="47"/>
      <c r="Y109" s="724"/>
      <c r="Z109" s="724"/>
      <c r="AA109" s="724"/>
      <c r="AB109" s="724"/>
      <c r="AC109" s="724"/>
      <c r="AD109" s="724"/>
      <c r="AE109" s="724"/>
      <c r="AF109" s="724"/>
      <c r="AG109" s="724"/>
      <c r="AH109" s="724"/>
      <c r="AI109" s="724"/>
      <c r="AJ109" s="724"/>
      <c r="AK109" s="724"/>
      <c r="AL109" s="724"/>
      <c r="AM109" s="724"/>
      <c r="AN109" s="724"/>
      <c r="AO109" s="724"/>
      <c r="AP109" s="724"/>
      <c r="AQ109" s="724"/>
      <c r="AR109" s="724"/>
      <c r="AS109" s="724"/>
      <c r="AT109" s="724"/>
      <c r="AU109" s="724"/>
      <c r="AV109" s="725"/>
      <c r="AW109" s="725"/>
      <c r="AX109" s="725"/>
      <c r="AY109" s="725"/>
      <c r="AZ109" s="725"/>
      <c r="BA109" s="725"/>
      <c r="BB109" s="725"/>
      <c r="BC109" s="725"/>
      <c r="BD109" s="725"/>
      <c r="BE109" s="725"/>
      <c r="BF109" s="725"/>
      <c r="BG109" s="725"/>
      <c r="BH109" s="724"/>
      <c r="BI109" s="724"/>
      <c r="BJ109" s="724"/>
      <c r="BK109" s="724"/>
      <c r="BL109" s="724"/>
      <c r="BM109" s="1802"/>
      <c r="BN109" s="1802"/>
      <c r="BO109" s="1802"/>
      <c r="BP109" s="1802"/>
      <c r="BQ109" s="701"/>
      <c r="BR109" s="701"/>
      <c r="BS109" s="701"/>
    </row>
    <row r="110" spans="1:72" ht="24" customHeight="1" x14ac:dyDescent="0.25">
      <c r="B110" s="47"/>
      <c r="C110" s="47"/>
      <c r="D110" s="47"/>
      <c r="E110" s="69"/>
      <c r="F110" s="69"/>
      <c r="G110" s="47"/>
      <c r="H110" s="1803"/>
      <c r="I110" s="1803"/>
      <c r="J110" s="1803"/>
      <c r="K110" s="1803"/>
      <c r="L110" s="47"/>
      <c r="M110" s="47"/>
      <c r="N110" s="47"/>
      <c r="O110" s="69"/>
      <c r="P110" s="69"/>
      <c r="Q110" s="47"/>
      <c r="R110" s="47"/>
      <c r="S110" s="47"/>
      <c r="T110" s="69"/>
      <c r="U110" s="69"/>
      <c r="V110" s="47"/>
      <c r="W110" s="47"/>
      <c r="X110" s="47"/>
      <c r="Y110" s="722" t="s">
        <v>13</v>
      </c>
      <c r="Z110" s="722"/>
      <c r="AA110" s="722"/>
      <c r="AB110" s="722"/>
      <c r="AC110" s="722"/>
      <c r="AD110" s="722"/>
      <c r="AE110" s="722"/>
      <c r="AF110" s="722"/>
      <c r="AG110" s="722"/>
      <c r="AH110" s="722"/>
      <c r="AI110" s="722"/>
      <c r="AJ110" s="722"/>
      <c r="AK110" s="723">
        <f>AV110-AB127</f>
        <v>-3.397746879905128E-3</v>
      </c>
      <c r="AL110" s="723"/>
      <c r="AM110" s="723"/>
      <c r="AN110" s="723"/>
      <c r="AO110" s="723"/>
      <c r="AP110" s="723"/>
      <c r="AQ110" s="723"/>
      <c r="AR110" s="723"/>
      <c r="AS110" s="723"/>
      <c r="AT110" s="723"/>
      <c r="AU110" s="723"/>
      <c r="AV110" s="707">
        <f>B7+G7+L7+Q7+V7+AA7+AF7+AK7+AP7+AU7+AZ7+BE7+BJ7+BO7+
B13+G13+L13+Q13+V13+AA13+AF13+AK13+AP13+AU13+AZ13+BE13+BJ13+BO13+
B19+G19+L19+Q19+V19+AA19+AF19+AK19+AP19+AU19+AZ19+BE19+BJ19+BO19+
B25+G25+L25+Q25+V25+AA25+AF25+AK25+AP25+AU25+AZ25+BE25+BJ25+BO25+
B31+G31+L31+Q31+V31+AA31+AF31+AK31+AP31+AU31+AZ31+BE31+BJ31+BO31+
B37+G37+L37+Q37+V37+AA37+AF37+AK37+AP37+AU37</f>
        <v>41.056602253120097</v>
      </c>
      <c r="AW110" s="707"/>
      <c r="AX110" s="707"/>
      <c r="AY110" s="707"/>
      <c r="AZ110" s="707"/>
      <c r="BA110" s="707"/>
      <c r="BB110" s="707"/>
      <c r="BC110" s="707"/>
      <c r="BD110" s="707"/>
      <c r="BE110" s="707"/>
      <c r="BF110" s="707"/>
      <c r="BG110" s="707"/>
      <c r="BH110" s="724"/>
      <c r="BI110" s="724"/>
      <c r="BJ110" s="724"/>
      <c r="BK110" s="724"/>
      <c r="BL110" s="724"/>
      <c r="BM110" s="708">
        <f>BM106*1.5</f>
        <v>99</v>
      </c>
      <c r="BN110" s="708"/>
      <c r="BO110" s="708"/>
      <c r="BP110" s="708"/>
      <c r="BQ110" s="708"/>
      <c r="BR110" s="708"/>
      <c r="BS110" s="708"/>
    </row>
    <row r="111" spans="1:72" ht="87" x14ac:dyDescent="0.5">
      <c r="B111" s="70"/>
      <c r="C111" s="72"/>
      <c r="D111" s="72"/>
      <c r="E111" s="72"/>
      <c r="F111" s="72"/>
      <c r="G111" s="70"/>
      <c r="H111" s="1803"/>
      <c r="I111" s="1803"/>
      <c r="J111" s="1803"/>
      <c r="K111" s="1803"/>
      <c r="L111" s="70"/>
      <c r="M111" s="72"/>
      <c r="N111" s="72"/>
      <c r="O111" s="72"/>
      <c r="P111" s="72"/>
      <c r="Q111" s="70"/>
      <c r="R111" s="72"/>
      <c r="S111" s="72"/>
      <c r="T111" s="72"/>
      <c r="U111" s="72"/>
      <c r="V111" s="70"/>
      <c r="W111" s="72"/>
      <c r="X111" s="72"/>
      <c r="Y111" s="722"/>
      <c r="Z111" s="722"/>
      <c r="AA111" s="722"/>
      <c r="AB111" s="722"/>
      <c r="AC111" s="722"/>
      <c r="AD111" s="722"/>
      <c r="AE111" s="722"/>
      <c r="AF111" s="722"/>
      <c r="AG111" s="722"/>
      <c r="AH111" s="722"/>
      <c r="AI111" s="722"/>
      <c r="AJ111" s="722"/>
      <c r="AK111" s="723"/>
      <c r="AL111" s="723"/>
      <c r="AM111" s="723"/>
      <c r="AN111" s="723"/>
      <c r="AO111" s="723"/>
      <c r="AP111" s="723"/>
      <c r="AQ111" s="723"/>
      <c r="AR111" s="723"/>
      <c r="AS111" s="723"/>
      <c r="AT111" s="723"/>
      <c r="AU111" s="723"/>
      <c r="AV111" s="707"/>
      <c r="AW111" s="707"/>
      <c r="AX111" s="707"/>
      <c r="AY111" s="707"/>
      <c r="AZ111" s="707"/>
      <c r="BA111" s="707"/>
      <c r="BB111" s="707"/>
      <c r="BC111" s="707"/>
      <c r="BD111" s="707"/>
      <c r="BE111" s="707"/>
      <c r="BF111" s="707"/>
      <c r="BG111" s="707"/>
      <c r="BH111" s="724"/>
      <c r="BI111" s="724"/>
      <c r="BJ111" s="724"/>
      <c r="BK111" s="724"/>
      <c r="BL111" s="724"/>
      <c r="BM111" s="708"/>
      <c r="BN111" s="708"/>
      <c r="BO111" s="708"/>
      <c r="BP111" s="708"/>
      <c r="BQ111" s="708"/>
      <c r="BR111" s="708"/>
      <c r="BS111" s="708"/>
      <c r="BT111" s="228"/>
    </row>
    <row r="112" spans="1:72" ht="26.25" x14ac:dyDescent="0.25">
      <c r="B112" s="3173"/>
      <c r="C112" s="3173"/>
      <c r="D112" s="3173"/>
      <c r="E112" s="3173"/>
      <c r="F112" s="3173"/>
      <c r="G112" s="3173"/>
      <c r="H112" s="3173"/>
      <c r="I112" s="3173"/>
      <c r="J112" s="3173"/>
      <c r="K112" s="3173"/>
      <c r="L112" s="3173"/>
      <c r="M112" s="3173"/>
      <c r="N112" s="3173"/>
      <c r="O112" s="3173"/>
      <c r="P112" s="3173"/>
      <c r="Q112" s="70"/>
      <c r="R112" s="32"/>
      <c r="S112" s="33"/>
      <c r="T112" s="34"/>
      <c r="U112" s="35"/>
      <c r="V112" s="70"/>
      <c r="W112" s="32"/>
      <c r="X112" s="33"/>
      <c r="Y112" s="722"/>
      <c r="Z112" s="722"/>
      <c r="AA112" s="722"/>
      <c r="AB112" s="722"/>
      <c r="AC112" s="722"/>
      <c r="AD112" s="722"/>
      <c r="AE112" s="722"/>
      <c r="AF112" s="722"/>
      <c r="AG112" s="722"/>
      <c r="AH112" s="722"/>
      <c r="AI112" s="722"/>
      <c r="AJ112" s="722"/>
      <c r="AK112" s="723"/>
      <c r="AL112" s="723"/>
      <c r="AM112" s="723"/>
      <c r="AN112" s="723"/>
      <c r="AO112" s="723"/>
      <c r="AP112" s="723"/>
      <c r="AQ112" s="723"/>
      <c r="AR112" s="723"/>
      <c r="AS112" s="723"/>
      <c r="AT112" s="723"/>
      <c r="AU112" s="723"/>
      <c r="AV112" s="707"/>
      <c r="AW112" s="707"/>
      <c r="AX112" s="707"/>
      <c r="AY112" s="707"/>
      <c r="AZ112" s="707"/>
      <c r="BA112" s="707"/>
      <c r="BB112" s="707"/>
      <c r="BC112" s="707"/>
      <c r="BD112" s="707"/>
      <c r="BE112" s="707"/>
      <c r="BF112" s="707"/>
      <c r="BG112" s="707"/>
      <c r="BH112" s="724"/>
      <c r="BI112" s="724"/>
      <c r="BJ112" s="724"/>
      <c r="BK112" s="724"/>
      <c r="BL112" s="724"/>
      <c r="BM112" s="708"/>
      <c r="BN112" s="708"/>
      <c r="BO112" s="708"/>
      <c r="BP112" s="708"/>
      <c r="BQ112" s="708"/>
      <c r="BR112" s="708"/>
      <c r="BS112" s="708"/>
    </row>
    <row r="113" spans="2:71" ht="24" x14ac:dyDescent="0.25">
      <c r="B113" s="3173"/>
      <c r="C113" s="3173"/>
      <c r="D113" s="3173"/>
      <c r="E113" s="3173"/>
      <c r="F113" s="3173"/>
      <c r="G113" s="3173"/>
      <c r="H113" s="3173"/>
      <c r="I113" s="3173"/>
      <c r="J113" s="3173"/>
      <c r="K113" s="3173"/>
      <c r="L113" s="3173"/>
      <c r="M113" s="3173"/>
      <c r="N113" s="3173"/>
      <c r="O113" s="3173"/>
      <c r="P113" s="3173"/>
      <c r="Q113" s="44"/>
      <c r="R113" s="44"/>
      <c r="S113" s="44"/>
      <c r="T113" s="69"/>
      <c r="U113" s="69"/>
      <c r="V113" s="44"/>
      <c r="W113" s="44"/>
      <c r="X113" s="44"/>
      <c r="Y113" s="722"/>
      <c r="Z113" s="722"/>
      <c r="AA113" s="722"/>
      <c r="AB113" s="722"/>
      <c r="AC113" s="722"/>
      <c r="AD113" s="722"/>
      <c r="AE113" s="722"/>
      <c r="AF113" s="722"/>
      <c r="AG113" s="722"/>
      <c r="AH113" s="722"/>
      <c r="AI113" s="722"/>
      <c r="AJ113" s="722"/>
      <c r="AK113" s="723"/>
      <c r="AL113" s="723"/>
      <c r="AM113" s="723"/>
      <c r="AN113" s="723"/>
      <c r="AO113" s="723"/>
      <c r="AP113" s="723"/>
      <c r="AQ113" s="723"/>
      <c r="AR113" s="723"/>
      <c r="AS113" s="723"/>
      <c r="AT113" s="723"/>
      <c r="AU113" s="723"/>
      <c r="AV113" s="707"/>
      <c r="AW113" s="707"/>
      <c r="AX113" s="707"/>
      <c r="AY113" s="707"/>
      <c r="AZ113" s="707"/>
      <c r="BA113" s="707"/>
      <c r="BB113" s="707"/>
      <c r="BC113" s="707"/>
      <c r="BD113" s="707"/>
      <c r="BE113" s="707"/>
      <c r="BF113" s="707"/>
      <c r="BG113" s="707"/>
      <c r="BH113" s="724"/>
      <c r="BI113" s="724"/>
      <c r="BJ113" s="724"/>
      <c r="BK113" s="724"/>
      <c r="BL113" s="724"/>
      <c r="BM113" s="708"/>
      <c r="BN113" s="708"/>
      <c r="BO113" s="708"/>
      <c r="BP113" s="708"/>
      <c r="BQ113" s="708"/>
      <c r="BR113" s="708"/>
      <c r="BS113" s="708"/>
    </row>
    <row r="114" spans="2:71" ht="24" x14ac:dyDescent="0.25">
      <c r="B114" s="3173"/>
      <c r="C114" s="3173"/>
      <c r="D114" s="3173"/>
      <c r="E114" s="3173"/>
      <c r="F114" s="3173"/>
      <c r="G114" s="3173"/>
      <c r="H114" s="3173"/>
      <c r="I114" s="3173"/>
      <c r="J114" s="3173"/>
      <c r="K114" s="3173"/>
      <c r="L114" s="3173"/>
      <c r="M114" s="3173"/>
      <c r="N114" s="3173"/>
      <c r="O114" s="3173"/>
      <c r="P114" s="3173"/>
      <c r="Q114" s="47"/>
      <c r="R114" s="47"/>
      <c r="S114" s="47"/>
      <c r="T114" s="69"/>
      <c r="U114" s="69"/>
      <c r="V114" s="47"/>
      <c r="W114" s="47"/>
      <c r="X114" s="47"/>
      <c r="Y114" s="722"/>
      <c r="Z114" s="722"/>
      <c r="AA114" s="722"/>
      <c r="AB114" s="722"/>
      <c r="AC114" s="722"/>
      <c r="AD114" s="722"/>
      <c r="AE114" s="722"/>
      <c r="AF114" s="722"/>
      <c r="AG114" s="722"/>
      <c r="AH114" s="722"/>
      <c r="AI114" s="722"/>
      <c r="AJ114" s="722"/>
      <c r="AK114" s="723"/>
      <c r="AL114" s="723"/>
      <c r="AM114" s="723"/>
      <c r="AN114" s="723"/>
      <c r="AO114" s="723"/>
      <c r="AP114" s="723"/>
      <c r="AQ114" s="723"/>
      <c r="AR114" s="723"/>
      <c r="AS114" s="723"/>
      <c r="AT114" s="723"/>
      <c r="AU114" s="723"/>
      <c r="AV114" s="707"/>
      <c r="AW114" s="707"/>
      <c r="AX114" s="707"/>
      <c r="AY114" s="707"/>
      <c r="AZ114" s="707"/>
      <c r="BA114" s="707"/>
      <c r="BB114" s="707"/>
      <c r="BC114" s="707"/>
      <c r="BD114" s="707"/>
      <c r="BE114" s="707"/>
      <c r="BF114" s="707"/>
      <c r="BG114" s="707"/>
      <c r="BH114" s="724"/>
      <c r="BI114" s="724"/>
      <c r="BJ114" s="724"/>
      <c r="BK114" s="724"/>
      <c r="BL114" s="724"/>
      <c r="BM114" s="699" t="s">
        <v>121</v>
      </c>
      <c r="BN114" s="699"/>
      <c r="BO114" s="699"/>
      <c r="BP114" s="699"/>
      <c r="BQ114" s="699"/>
      <c r="BR114" s="699"/>
      <c r="BS114" s="699"/>
    </row>
    <row r="115" spans="2:71" ht="27.75" x14ac:dyDescent="0.25">
      <c r="B115" s="3173"/>
      <c r="C115" s="3173"/>
      <c r="D115" s="3173"/>
      <c r="E115" s="3173"/>
      <c r="F115" s="3173"/>
      <c r="G115" s="3173"/>
      <c r="H115" s="3173"/>
      <c r="I115" s="3173"/>
      <c r="J115" s="3173"/>
      <c r="K115" s="3173"/>
      <c r="L115" s="3173"/>
      <c r="M115" s="3173"/>
      <c r="N115" s="3173"/>
      <c r="O115" s="3173"/>
      <c r="P115" s="3173"/>
      <c r="Q115" s="47"/>
      <c r="R115" s="47"/>
      <c r="S115" s="47"/>
      <c r="T115" s="101"/>
      <c r="U115" s="69"/>
      <c r="V115" s="47"/>
      <c r="W115" s="47"/>
      <c r="X115" s="47"/>
      <c r="Y115" s="722"/>
      <c r="Z115" s="722"/>
      <c r="AA115" s="722"/>
      <c r="AB115" s="722"/>
      <c r="AC115" s="722"/>
      <c r="AD115" s="722"/>
      <c r="AE115" s="722"/>
      <c r="AF115" s="722"/>
      <c r="AG115" s="722"/>
      <c r="AH115" s="722"/>
      <c r="AI115" s="722"/>
      <c r="AJ115" s="722"/>
      <c r="AK115" s="723"/>
      <c r="AL115" s="723"/>
      <c r="AM115" s="723"/>
      <c r="AN115" s="723"/>
      <c r="AO115" s="723"/>
      <c r="AP115" s="723"/>
      <c r="AQ115" s="723"/>
      <c r="AR115" s="723"/>
      <c r="AS115" s="723"/>
      <c r="AT115" s="723"/>
      <c r="AU115" s="723"/>
      <c r="AV115" s="707"/>
      <c r="AW115" s="707"/>
      <c r="AX115" s="707"/>
      <c r="AY115" s="707"/>
      <c r="AZ115" s="707"/>
      <c r="BA115" s="707"/>
      <c r="BB115" s="707"/>
      <c r="BC115" s="707"/>
      <c r="BD115" s="707"/>
      <c r="BE115" s="707"/>
      <c r="BF115" s="707"/>
      <c r="BG115" s="707"/>
      <c r="BH115" s="724"/>
      <c r="BI115" s="724"/>
      <c r="BJ115" s="724"/>
      <c r="BK115" s="724"/>
      <c r="BL115" s="724"/>
      <c r="BM115" s="699"/>
      <c r="BN115" s="699"/>
      <c r="BO115" s="699"/>
      <c r="BP115" s="699"/>
      <c r="BQ115" s="699"/>
      <c r="BR115" s="699"/>
      <c r="BS115" s="699"/>
    </row>
    <row r="116" spans="2:71" ht="15" customHeight="1" x14ac:dyDescent="0.25">
      <c r="M116" s="1798"/>
      <c r="N116" s="1798"/>
      <c r="O116" s="1798"/>
      <c r="P116" s="1798"/>
    </row>
    <row r="117" spans="2:71" ht="15" customHeight="1" x14ac:dyDescent="0.25">
      <c r="M117" s="1798"/>
      <c r="N117" s="1798"/>
      <c r="O117" s="1798"/>
      <c r="P117" s="1798"/>
    </row>
    <row r="118" spans="2:71" ht="15" customHeight="1" x14ac:dyDescent="0.25">
      <c r="M118" s="1798"/>
      <c r="N118" s="1798"/>
      <c r="O118" s="1798"/>
      <c r="P118" s="1798"/>
    </row>
    <row r="119" spans="2:71" ht="15" customHeight="1" x14ac:dyDescent="0.25">
      <c r="M119" s="1798"/>
      <c r="N119" s="1798"/>
      <c r="O119" s="1798"/>
      <c r="P119" s="1798"/>
      <c r="BE119" t="s">
        <v>464</v>
      </c>
    </row>
    <row r="120" spans="2:71" ht="15" customHeight="1" x14ac:dyDescent="0.25">
      <c r="M120" s="1798"/>
      <c r="N120" s="1798"/>
      <c r="O120" s="1798"/>
      <c r="P120" s="1798"/>
    </row>
    <row r="125" spans="2:71" x14ac:dyDescent="0.25">
      <c r="AA125" s="27"/>
      <c r="AB125" s="27"/>
      <c r="AC125" s="27"/>
      <c r="AD125" s="27"/>
      <c r="AE125" s="27"/>
      <c r="AF125" s="27"/>
      <c r="AG125" s="27"/>
      <c r="AH125" s="27"/>
    </row>
    <row r="126" spans="2:71" ht="15.75" thickBot="1" x14ac:dyDescent="0.3"/>
    <row r="127" spans="2:71" ht="15.75" thickTop="1" x14ac:dyDescent="0.25">
      <c r="AB127" s="775">
        <v>41.06</v>
      </c>
      <c r="AC127" s="776"/>
      <c r="AD127" s="776"/>
      <c r="AE127" s="776"/>
      <c r="AF127" s="777"/>
      <c r="AJ127" s="727" t="s">
        <v>122</v>
      </c>
      <c r="AK127" s="727"/>
      <c r="AL127" s="727"/>
      <c r="AM127" s="727" t="s">
        <v>123</v>
      </c>
      <c r="AN127" s="727"/>
      <c r="AO127" s="727"/>
      <c r="AP127" s="727" t="s">
        <v>124</v>
      </c>
      <c r="AQ127" s="727"/>
      <c r="AR127" s="727" t="s">
        <v>125</v>
      </c>
      <c r="AS127" s="727"/>
      <c r="AW127" s="739" t="s">
        <v>126</v>
      </c>
      <c r="AX127" s="740"/>
      <c r="AY127" s="740"/>
      <c r="AZ127" s="740"/>
      <c r="BA127" s="740"/>
      <c r="BB127" s="740"/>
      <c r="BC127" s="740"/>
      <c r="BD127" s="740"/>
      <c r="BE127" s="740"/>
      <c r="BF127" s="741"/>
      <c r="BG127" s="13"/>
      <c r="BH127" s="13"/>
      <c r="BI127" s="13"/>
    </row>
    <row r="128" spans="2:71" x14ac:dyDescent="0.25">
      <c r="AB128" s="778"/>
      <c r="AC128" s="779"/>
      <c r="AD128" s="779"/>
      <c r="AE128" s="779"/>
      <c r="AF128" s="780"/>
      <c r="AJ128" s="727"/>
      <c r="AK128" s="727"/>
      <c r="AL128" s="727"/>
      <c r="AM128" s="727"/>
      <c r="AN128" s="727"/>
      <c r="AO128" s="727"/>
      <c r="AP128" s="727"/>
      <c r="AQ128" s="727"/>
      <c r="AR128" s="727"/>
      <c r="AS128" s="727"/>
      <c r="AW128" s="750"/>
      <c r="AX128" s="751"/>
      <c r="AY128" s="751"/>
      <c r="AZ128" s="751"/>
      <c r="BA128" s="751"/>
      <c r="BB128" s="751"/>
      <c r="BC128" s="751"/>
      <c r="BD128" s="751"/>
      <c r="BE128" s="751"/>
      <c r="BF128" s="752"/>
      <c r="BG128" s="13"/>
      <c r="BH128" s="13"/>
      <c r="BI128" s="13"/>
    </row>
    <row r="129" spans="28:96" x14ac:dyDescent="0.25">
      <c r="AB129" s="778"/>
      <c r="AC129" s="779"/>
      <c r="AD129" s="779"/>
      <c r="AE129" s="779"/>
      <c r="AF129" s="780"/>
      <c r="AJ129" s="727"/>
      <c r="AK129" s="727"/>
      <c r="AL129" s="727"/>
      <c r="AM129" s="727"/>
      <c r="AN129" s="727"/>
      <c r="AO129" s="727"/>
      <c r="AP129" s="727"/>
      <c r="AQ129" s="727"/>
      <c r="AR129" s="727"/>
      <c r="AS129" s="727"/>
      <c r="AW129" s="742"/>
      <c r="AX129" s="743"/>
      <c r="AY129" s="743"/>
      <c r="AZ129" s="743"/>
      <c r="BA129" s="743"/>
      <c r="BB129" s="743"/>
      <c r="BC129" s="743"/>
      <c r="BD129" s="743"/>
      <c r="BE129" s="743"/>
      <c r="BF129" s="744"/>
      <c r="BG129" s="13"/>
      <c r="BH129" s="13"/>
      <c r="BI129" s="13"/>
    </row>
    <row r="130" spans="28:96" x14ac:dyDescent="0.25">
      <c r="AB130" s="778"/>
      <c r="AC130" s="779"/>
      <c r="AD130" s="779"/>
      <c r="AE130" s="779"/>
      <c r="AF130" s="780"/>
      <c r="AJ130" s="774">
        <v>13113</v>
      </c>
      <c r="AK130" s="774"/>
      <c r="AL130" s="774"/>
      <c r="AM130" s="774">
        <f ca="1">AR146</f>
        <v>13113</v>
      </c>
      <c r="AN130" s="774"/>
      <c r="AO130" s="774"/>
      <c r="AP130" s="726">
        <f>AV110</f>
        <v>41.056602253120097</v>
      </c>
      <c r="AQ130" s="726"/>
      <c r="AR130" s="726">
        <f>AV110+BM110</f>
        <v>140.0566022531201</v>
      </c>
      <c r="AS130" s="726"/>
      <c r="AW130" s="727" t="s">
        <v>128</v>
      </c>
      <c r="AX130" s="727"/>
      <c r="AY130" s="727"/>
      <c r="AZ130" s="727"/>
      <c r="BA130" s="727"/>
      <c r="BB130" s="727"/>
      <c r="BC130" s="727"/>
      <c r="BD130" s="727"/>
      <c r="BE130" s="727"/>
      <c r="BF130" s="727"/>
      <c r="BG130" s="13"/>
      <c r="BH130" s="13"/>
      <c r="BI130" s="13"/>
    </row>
    <row r="131" spans="28:96" x14ac:dyDescent="0.25">
      <c r="AB131" s="778"/>
      <c r="AC131" s="779"/>
      <c r="AD131" s="779"/>
      <c r="AE131" s="779"/>
      <c r="AF131" s="780"/>
      <c r="AJ131" s="774"/>
      <c r="AK131" s="774"/>
      <c r="AL131" s="774"/>
      <c r="AM131" s="774"/>
      <c r="AN131" s="774"/>
      <c r="AO131" s="774"/>
      <c r="AP131" s="726"/>
      <c r="AQ131" s="726"/>
      <c r="AR131" s="726"/>
      <c r="AS131" s="726"/>
      <c r="AW131" s="727"/>
      <c r="AX131" s="727"/>
      <c r="AY131" s="727"/>
      <c r="AZ131" s="727"/>
      <c r="BA131" s="727"/>
      <c r="BB131" s="727"/>
      <c r="BC131" s="727"/>
      <c r="BD131" s="727"/>
      <c r="BE131" s="727"/>
      <c r="BF131" s="727"/>
      <c r="BG131" s="13"/>
      <c r="BH131" s="13"/>
      <c r="BI131" s="13"/>
    </row>
    <row r="132" spans="28:96" ht="26.25" x14ac:dyDescent="0.25">
      <c r="AB132" s="778"/>
      <c r="AC132" s="779"/>
      <c r="AD132" s="779"/>
      <c r="AE132" s="779"/>
      <c r="AF132" s="780"/>
      <c r="AJ132" s="774"/>
      <c r="AK132" s="774"/>
      <c r="AL132" s="774"/>
      <c r="AM132" s="774"/>
      <c r="AN132" s="774"/>
      <c r="AO132" s="774"/>
      <c r="AP132" s="726"/>
      <c r="AQ132" s="726"/>
      <c r="AR132" s="726"/>
      <c r="AS132" s="726"/>
      <c r="AW132" s="728">
        <f ca="1">AP130/((36*3.1415/59)*(AM130/3.281))</f>
        <v>5.3591957619293388E-3</v>
      </c>
      <c r="AX132" s="729"/>
      <c r="AY132" s="729"/>
      <c r="AZ132" s="729"/>
      <c r="BA132" s="729"/>
      <c r="BB132" s="729"/>
      <c r="BC132" s="729"/>
      <c r="BD132" s="729"/>
      <c r="BE132" s="729"/>
      <c r="BF132" s="730"/>
      <c r="BG132" s="57"/>
      <c r="BH132" s="57"/>
      <c r="BI132" s="57"/>
    </row>
    <row r="133" spans="28:96" ht="27" thickBot="1" x14ac:dyDescent="0.3">
      <c r="AB133" s="781"/>
      <c r="AC133" s="782"/>
      <c r="AD133" s="782"/>
      <c r="AE133" s="782"/>
      <c r="AF133" s="783"/>
      <c r="AJ133" s="774"/>
      <c r="AK133" s="774"/>
      <c r="AL133" s="774"/>
      <c r="AM133" s="774"/>
      <c r="AN133" s="774"/>
      <c r="AO133" s="774"/>
      <c r="AP133" s="726"/>
      <c r="AQ133" s="726"/>
      <c r="AR133" s="726"/>
      <c r="AS133" s="726"/>
      <c r="AW133" s="731"/>
      <c r="AX133" s="732"/>
      <c r="AY133" s="732"/>
      <c r="AZ133" s="732"/>
      <c r="BA133" s="732"/>
      <c r="BB133" s="732"/>
      <c r="BC133" s="732"/>
      <c r="BD133" s="732"/>
      <c r="BE133" s="732"/>
      <c r="BF133" s="733"/>
      <c r="BG133" s="57"/>
      <c r="BH133" s="57"/>
      <c r="BI133" s="57"/>
      <c r="BV133" s="1800"/>
      <c r="BW133" s="1800"/>
      <c r="BX133" s="1800"/>
      <c r="BY133" s="1800"/>
    </row>
    <row r="134" spans="28:96" ht="27" thickTop="1" x14ac:dyDescent="0.25">
      <c r="AW134" s="734"/>
      <c r="AX134" s="735"/>
      <c r="AY134" s="735"/>
      <c r="AZ134" s="735"/>
      <c r="BA134" s="735"/>
      <c r="BB134" s="735"/>
      <c r="BC134" s="735"/>
      <c r="BD134" s="735"/>
      <c r="BE134" s="735"/>
      <c r="BF134" s="736"/>
      <c r="BG134" s="57"/>
      <c r="BH134" s="57"/>
      <c r="BI134" s="57"/>
      <c r="BV134" s="1800"/>
      <c r="BW134" s="1800"/>
      <c r="BX134" s="1800"/>
      <c r="BY134" s="1800"/>
    </row>
    <row r="135" spans="28:96" x14ac:dyDescent="0.25">
      <c r="AW135" s="739" t="s">
        <v>129</v>
      </c>
      <c r="AX135" s="740"/>
      <c r="AY135" s="740"/>
      <c r="AZ135" s="740"/>
      <c r="BA135" s="740"/>
      <c r="BB135" s="740"/>
      <c r="BC135" s="740"/>
      <c r="BD135" s="740"/>
      <c r="BE135" s="740"/>
      <c r="BF135" s="741"/>
      <c r="BG135" s="13"/>
      <c r="BH135" s="13"/>
      <c r="BI135" s="13"/>
    </row>
    <row r="136" spans="28:96" ht="15" customHeight="1" x14ac:dyDescent="0.25">
      <c r="AW136" s="742"/>
      <c r="AX136" s="743"/>
      <c r="AY136" s="743"/>
      <c r="AZ136" s="743"/>
      <c r="BA136" s="743"/>
      <c r="BB136" s="743"/>
      <c r="BC136" s="743"/>
      <c r="BD136" s="743"/>
      <c r="BE136" s="743"/>
      <c r="BF136" s="744"/>
      <c r="BG136" s="13"/>
      <c r="BH136" s="13"/>
      <c r="BI136" s="13"/>
    </row>
    <row r="137" spans="28:96" ht="15" customHeight="1" x14ac:dyDescent="0.25">
      <c r="AL137" s="1255">
        <v>156</v>
      </c>
      <c r="AM137" s="1255"/>
      <c r="AN137" s="1255"/>
      <c r="AO137" s="746" cm="1">
        <f t="array" aca="1" ref="AO137" ca="1">SUM(COUNTIF(INDIRECT({"B7","G7"}),"&gt;0"))</f>
        <v>2</v>
      </c>
      <c r="AP137" s="746"/>
      <c r="AQ137" s="746"/>
      <c r="AR137" s="747">
        <f ca="1">AO137*AL137</f>
        <v>312</v>
      </c>
      <c r="AS137" s="748"/>
      <c r="AT137" s="748"/>
      <c r="AU137" s="749"/>
      <c r="AW137" s="739" t="s">
        <v>130</v>
      </c>
      <c r="AX137" s="740"/>
      <c r="AY137" s="740"/>
      <c r="AZ137" s="740"/>
      <c r="BA137" s="740"/>
      <c r="BB137" s="740"/>
      <c r="BC137" s="740"/>
      <c r="BD137" s="740"/>
      <c r="BE137" s="740"/>
      <c r="BF137" s="741"/>
      <c r="BG137" s="13"/>
      <c r="BH137" s="13"/>
      <c r="BI137" s="13"/>
    </row>
    <row r="138" spans="28:96" x14ac:dyDescent="0.25">
      <c r="AL138" s="1255"/>
      <c r="AM138" s="1255"/>
      <c r="AN138" s="1255"/>
      <c r="AO138" s="746"/>
      <c r="AP138" s="746"/>
      <c r="AQ138" s="746"/>
      <c r="AR138" s="747"/>
      <c r="AS138" s="748"/>
      <c r="AT138" s="748"/>
      <c r="AU138" s="749"/>
      <c r="AW138" s="750"/>
      <c r="AX138" s="751"/>
      <c r="AY138" s="751"/>
      <c r="AZ138" s="751"/>
      <c r="BA138" s="751"/>
      <c r="BB138" s="751"/>
      <c r="BC138" s="751"/>
      <c r="BD138" s="751"/>
      <c r="BE138" s="751"/>
      <c r="BF138" s="752"/>
      <c r="BG138" s="13"/>
      <c r="BH138" s="13"/>
      <c r="BI138" s="13"/>
      <c r="BV138" s="727" t="s">
        <v>122</v>
      </c>
      <c r="BW138" s="727"/>
      <c r="BX138" s="727"/>
      <c r="BY138" s="727" t="s">
        <v>123</v>
      </c>
      <c r="BZ138" s="727"/>
      <c r="CA138" s="727"/>
      <c r="CB138" s="727" t="s">
        <v>124</v>
      </c>
      <c r="CC138" s="727"/>
      <c r="CD138" s="727" t="s">
        <v>125</v>
      </c>
      <c r="CE138" s="727"/>
      <c r="CI138" s="739" t="s">
        <v>126</v>
      </c>
      <c r="CJ138" s="740"/>
      <c r="CK138" s="740"/>
      <c r="CL138" s="740"/>
      <c r="CM138" s="740"/>
      <c r="CN138" s="740"/>
      <c r="CO138" s="740"/>
      <c r="CP138" s="740"/>
      <c r="CQ138" s="740"/>
      <c r="CR138" s="741"/>
    </row>
    <row r="139" spans="28:96" x14ac:dyDescent="0.25">
      <c r="AL139" s="1255"/>
      <c r="AM139" s="1255"/>
      <c r="AN139" s="1255"/>
      <c r="AO139" s="746"/>
      <c r="AP139" s="746"/>
      <c r="AQ139" s="746"/>
      <c r="AR139" s="747"/>
      <c r="AS139" s="748"/>
      <c r="AT139" s="748"/>
      <c r="AU139" s="749"/>
      <c r="AW139" s="750"/>
      <c r="AX139" s="751"/>
      <c r="AY139" s="751"/>
      <c r="AZ139" s="751"/>
      <c r="BA139" s="751"/>
      <c r="BB139" s="751"/>
      <c r="BC139" s="751"/>
      <c r="BD139" s="751"/>
      <c r="BE139" s="751"/>
      <c r="BF139" s="752"/>
      <c r="BG139" s="13"/>
      <c r="BH139" s="13"/>
      <c r="BI139" s="13"/>
      <c r="BV139" s="727"/>
      <c r="BW139" s="727"/>
      <c r="BX139" s="727"/>
      <c r="BY139" s="727"/>
      <c r="BZ139" s="727"/>
      <c r="CA139" s="727"/>
      <c r="CB139" s="727"/>
      <c r="CC139" s="727"/>
      <c r="CD139" s="727"/>
      <c r="CE139" s="727"/>
      <c r="CI139" s="750"/>
      <c r="CJ139" s="751"/>
      <c r="CK139" s="751"/>
      <c r="CL139" s="751"/>
      <c r="CM139" s="751"/>
      <c r="CN139" s="751"/>
      <c r="CO139" s="751"/>
      <c r="CP139" s="751"/>
      <c r="CQ139" s="751"/>
      <c r="CR139" s="752"/>
    </row>
    <row r="140" spans="28:96" x14ac:dyDescent="0.25">
      <c r="AL140" s="727">
        <v>153</v>
      </c>
      <c r="AM140" s="727"/>
      <c r="AN140" s="727"/>
      <c r="AO140" s="746" cm="1">
        <f t="array" aca="1" ref="AO140" ca="1">SUM(COUNTIF(INDIRECT({"L7","Q7","V7","AA7","AF7","AK7","AP7","AU7","AZ7","BE7","BJ7","BO7","B13","G13","L13","Q13","V13","AA13","AF13","AK13","AP13","AU13","AZ13","BE13","BJ13","BO13","B19","G19","L19","Q19","V19","AA19","AF19","AK19","AP19","AU19","AZ19","BE19","BJ19","BO19","B25","G25","L25","Q25","V25","AA25"}),"&gt;0"))</f>
        <v>46</v>
      </c>
      <c r="AP140" s="746"/>
      <c r="AQ140" s="746"/>
      <c r="AR140" s="747">
        <f ca="1">AO140*AL140</f>
        <v>7038</v>
      </c>
      <c r="AS140" s="748"/>
      <c r="AT140" s="748"/>
      <c r="AU140" s="749"/>
      <c r="AW140" s="742"/>
      <c r="AX140" s="743"/>
      <c r="AY140" s="743"/>
      <c r="AZ140" s="743"/>
      <c r="BA140" s="743"/>
      <c r="BB140" s="743"/>
      <c r="BC140" s="743"/>
      <c r="BD140" s="743"/>
      <c r="BE140" s="743"/>
      <c r="BF140" s="744"/>
      <c r="BG140" s="13"/>
      <c r="BH140" s="13"/>
      <c r="BI140" s="13"/>
      <c r="BV140" s="727"/>
      <c r="BW140" s="727"/>
      <c r="BX140" s="727"/>
      <c r="BY140" s="727"/>
      <c r="BZ140" s="727"/>
      <c r="CA140" s="727"/>
      <c r="CB140" s="727"/>
      <c r="CC140" s="727"/>
      <c r="CD140" s="727"/>
      <c r="CE140" s="727"/>
      <c r="CI140" s="742"/>
      <c r="CJ140" s="743"/>
      <c r="CK140" s="743"/>
      <c r="CL140" s="743"/>
      <c r="CM140" s="743"/>
      <c r="CN140" s="743"/>
      <c r="CO140" s="743"/>
      <c r="CP140" s="743"/>
      <c r="CQ140" s="743"/>
      <c r="CR140" s="744"/>
    </row>
    <row r="141" spans="28:96" ht="26.25" x14ac:dyDescent="0.25">
      <c r="AL141" s="727"/>
      <c r="AM141" s="727"/>
      <c r="AN141" s="727"/>
      <c r="AO141" s="746"/>
      <c r="AP141" s="746"/>
      <c r="AQ141" s="746"/>
      <c r="AR141" s="747"/>
      <c r="AS141" s="748"/>
      <c r="AT141" s="748"/>
      <c r="AU141" s="749"/>
      <c r="AW141" s="728">
        <f ca="1">AR130/((36*3.1415/59)*(AM130/3.281))</f>
        <v>1.8281852565335047E-2</v>
      </c>
      <c r="AX141" s="729"/>
      <c r="AY141" s="729"/>
      <c r="AZ141" s="729"/>
      <c r="BA141" s="729"/>
      <c r="BB141" s="729"/>
      <c r="BC141" s="729"/>
      <c r="BD141" s="729"/>
      <c r="BE141" s="729"/>
      <c r="BF141" s="730"/>
      <c r="BG141" s="57"/>
      <c r="BH141" s="57"/>
      <c r="BI141" s="57"/>
      <c r="BV141" s="774">
        <f>AJ130+AJ157</f>
        <v>13113</v>
      </c>
      <c r="BW141" s="774"/>
      <c r="BX141" s="774"/>
      <c r="BY141" s="774">
        <f ca="1">AM130+AM157</f>
        <v>13113</v>
      </c>
      <c r="BZ141" s="774"/>
      <c r="CA141" s="774"/>
      <c r="CB141" s="726">
        <f>AP130+AP157</f>
        <v>41.056602253120097</v>
      </c>
      <c r="CC141" s="726"/>
      <c r="CD141" s="726">
        <f>AR130+AR157</f>
        <v>140.0566022531201</v>
      </c>
      <c r="CE141" s="726"/>
      <c r="CI141" s="727" t="s">
        <v>128</v>
      </c>
      <c r="CJ141" s="727"/>
      <c r="CK141" s="727"/>
      <c r="CL141" s="727"/>
      <c r="CM141" s="727"/>
      <c r="CN141" s="727"/>
      <c r="CO141" s="727"/>
      <c r="CP141" s="727"/>
      <c r="CQ141" s="727"/>
      <c r="CR141" s="727"/>
    </row>
    <row r="142" spans="28:96" ht="26.25" x14ac:dyDescent="0.25">
      <c r="AL142" s="727"/>
      <c r="AM142" s="727"/>
      <c r="AN142" s="727"/>
      <c r="AO142" s="746"/>
      <c r="AP142" s="746"/>
      <c r="AQ142" s="746"/>
      <c r="AR142" s="747"/>
      <c r="AS142" s="748"/>
      <c r="AT142" s="748"/>
      <c r="AU142" s="749"/>
      <c r="AW142" s="731"/>
      <c r="AX142" s="732"/>
      <c r="AY142" s="732"/>
      <c r="AZ142" s="732"/>
      <c r="BA142" s="732"/>
      <c r="BB142" s="732"/>
      <c r="BC142" s="732"/>
      <c r="BD142" s="732"/>
      <c r="BE142" s="732"/>
      <c r="BF142" s="733"/>
      <c r="BG142" s="57"/>
      <c r="BH142" s="57"/>
      <c r="BI142" s="57"/>
      <c r="BV142" s="774"/>
      <c r="BW142" s="774"/>
      <c r="BX142" s="774"/>
      <c r="BY142" s="774"/>
      <c r="BZ142" s="774"/>
      <c r="CA142" s="774"/>
      <c r="CB142" s="726"/>
      <c r="CC142" s="726"/>
      <c r="CD142" s="726"/>
      <c r="CE142" s="726"/>
      <c r="CI142" s="727"/>
      <c r="CJ142" s="727"/>
      <c r="CK142" s="727"/>
      <c r="CL142" s="727"/>
      <c r="CM142" s="727"/>
      <c r="CN142" s="727"/>
      <c r="CO142" s="727"/>
      <c r="CP142" s="727"/>
      <c r="CQ142" s="727"/>
      <c r="CR142" s="727"/>
    </row>
    <row r="143" spans="28:96" ht="26.25" x14ac:dyDescent="0.25">
      <c r="AL143" s="739">
        <v>180</v>
      </c>
      <c r="AM143" s="740"/>
      <c r="AN143" s="741"/>
      <c r="AO143" s="1457" cm="1">
        <f t="array" aca="1" ref="AO143" ca="1">SUM(COUNTIF(INDIRECT({"AF25","AK25","AP25","AU25","AZ25","BE25","BJ25","BO25","B31","G31","L31","Q31","V31","AA31","AF31","AK31","AP31","AU31","AZ31","BE31","BJ31","BO31","B37","G37","L37","Q37","V37","AA37","AF37","AK37","AP37"}),"&gt;0"))</f>
        <v>31</v>
      </c>
      <c r="AP143" s="1458"/>
      <c r="AQ143" s="1459"/>
      <c r="AR143" s="1457">
        <f ca="1">AO143*AL143</f>
        <v>5580</v>
      </c>
      <c r="AS143" s="1458"/>
      <c r="AT143" s="1458"/>
      <c r="AU143" s="1459"/>
      <c r="AW143" s="731"/>
      <c r="AX143" s="732"/>
      <c r="AY143" s="732"/>
      <c r="AZ143" s="732"/>
      <c r="BA143" s="732"/>
      <c r="BB143" s="732"/>
      <c r="BC143" s="732"/>
      <c r="BD143" s="732"/>
      <c r="BE143" s="732"/>
      <c r="BF143" s="733"/>
      <c r="BG143" s="57"/>
      <c r="BH143" s="57"/>
      <c r="BI143" s="57"/>
      <c r="BV143" s="774"/>
      <c r="BW143" s="774"/>
      <c r="BX143" s="774"/>
      <c r="BY143" s="774"/>
      <c r="BZ143" s="774"/>
      <c r="CA143" s="774"/>
      <c r="CB143" s="726"/>
      <c r="CC143" s="726"/>
      <c r="CD143" s="726"/>
      <c r="CE143" s="726"/>
      <c r="CI143" s="728">
        <f ca="1">CB141/((36*3.1415/59)*(BY141/3.281))</f>
        <v>5.3591957619293388E-3</v>
      </c>
      <c r="CJ143" s="729"/>
      <c r="CK143" s="729"/>
      <c r="CL143" s="729"/>
      <c r="CM143" s="729"/>
      <c r="CN143" s="729"/>
      <c r="CO143" s="729"/>
      <c r="CP143" s="729"/>
      <c r="CQ143" s="729"/>
      <c r="CR143" s="730"/>
    </row>
    <row r="144" spans="28:96" ht="26.25" x14ac:dyDescent="0.25">
      <c r="AL144" s="742"/>
      <c r="AM144" s="743"/>
      <c r="AN144" s="744"/>
      <c r="AO144" s="1785"/>
      <c r="AP144" s="1786"/>
      <c r="AQ144" s="1787"/>
      <c r="AR144" s="1785"/>
      <c r="AS144" s="1786"/>
      <c r="AT144" s="1786"/>
      <c r="AU144" s="1787"/>
      <c r="AW144" s="731"/>
      <c r="AX144" s="732"/>
      <c r="AY144" s="732"/>
      <c r="AZ144" s="732"/>
      <c r="BA144" s="732"/>
      <c r="BB144" s="732"/>
      <c r="BC144" s="732"/>
      <c r="BD144" s="732"/>
      <c r="BE144" s="732"/>
      <c r="BF144" s="733"/>
      <c r="BG144" s="57"/>
      <c r="BH144" s="57"/>
      <c r="BI144" s="57"/>
      <c r="BV144" s="774"/>
      <c r="BW144" s="774"/>
      <c r="BX144" s="774"/>
      <c r="BY144" s="774"/>
      <c r="BZ144" s="774"/>
      <c r="CA144" s="774"/>
      <c r="CB144" s="726"/>
      <c r="CC144" s="726"/>
      <c r="CD144" s="726"/>
      <c r="CE144" s="726"/>
      <c r="CI144" s="731"/>
      <c r="CJ144" s="732"/>
      <c r="CK144" s="732"/>
      <c r="CL144" s="732"/>
      <c r="CM144" s="732"/>
      <c r="CN144" s="732"/>
      <c r="CO144" s="732"/>
      <c r="CP144" s="732"/>
      <c r="CQ144" s="732"/>
      <c r="CR144" s="733"/>
    </row>
    <row r="145" spans="35:96" ht="26.25" x14ac:dyDescent="0.25">
      <c r="AL145" s="2034">
        <v>183</v>
      </c>
      <c r="AM145" s="2035"/>
      <c r="AN145" s="2036"/>
      <c r="AO145" s="747" cm="1">
        <f t="array" aca="1" ref="AO145" ca="1">SUM(COUNTIF(INDIRECT({"AU37"}),"&gt;0"))</f>
        <v>1</v>
      </c>
      <c r="AP145" s="748"/>
      <c r="AQ145" s="749"/>
      <c r="AR145" s="747">
        <f ca="1">AO145*AL145</f>
        <v>183</v>
      </c>
      <c r="AS145" s="748"/>
      <c r="AT145" s="748"/>
      <c r="AU145" s="749"/>
      <c r="AW145" s="734"/>
      <c r="AX145" s="735"/>
      <c r="AY145" s="735"/>
      <c r="AZ145" s="735"/>
      <c r="BA145" s="735"/>
      <c r="BB145" s="735"/>
      <c r="BC145" s="735"/>
      <c r="BD145" s="735"/>
      <c r="BE145" s="735"/>
      <c r="BF145" s="736"/>
      <c r="BG145" s="57"/>
      <c r="BH145" s="57"/>
      <c r="BI145" s="57"/>
      <c r="CI145" s="734"/>
      <c r="CJ145" s="735"/>
      <c r="CK145" s="735"/>
      <c r="CL145" s="735"/>
      <c r="CM145" s="735"/>
      <c r="CN145" s="735"/>
      <c r="CO145" s="735"/>
      <c r="CP145" s="735"/>
      <c r="CQ145" s="735"/>
      <c r="CR145" s="736"/>
    </row>
    <row r="146" spans="35:96" ht="15" customHeight="1" x14ac:dyDescent="0.25">
      <c r="AO146" s="1254">
        <f ca="1">AO143+AO140+AO137+AO145</f>
        <v>80</v>
      </c>
      <c r="AP146" s="1254"/>
      <c r="AQ146" s="1254"/>
      <c r="AR146" s="747">
        <f ca="1">AR140+AR137+AR143+AR145</f>
        <v>13113</v>
      </c>
      <c r="AS146" s="748"/>
      <c r="AT146" s="748"/>
      <c r="AU146" s="749"/>
      <c r="CI146" s="739" t="s">
        <v>129</v>
      </c>
      <c r="CJ146" s="740"/>
      <c r="CK146" s="740"/>
      <c r="CL146" s="740"/>
      <c r="CM146" s="740"/>
      <c r="CN146" s="740"/>
      <c r="CO146" s="740"/>
      <c r="CP146" s="740"/>
      <c r="CQ146" s="740"/>
      <c r="CR146" s="741"/>
    </row>
    <row r="147" spans="35:96" x14ac:dyDescent="0.25">
      <c r="AO147" s="1254"/>
      <c r="AP147" s="1254"/>
      <c r="AQ147" s="1254"/>
      <c r="AR147" s="747"/>
      <c r="AS147" s="748"/>
      <c r="AT147" s="748"/>
      <c r="AU147" s="749"/>
      <c r="CI147" s="742"/>
      <c r="CJ147" s="743"/>
      <c r="CK147" s="743"/>
      <c r="CL147" s="743"/>
      <c r="CM147" s="743"/>
      <c r="CN147" s="743"/>
      <c r="CO147" s="743"/>
      <c r="CP147" s="743"/>
      <c r="CQ147" s="743"/>
      <c r="CR147" s="744"/>
    </row>
    <row r="148" spans="35:96" x14ac:dyDescent="0.25">
      <c r="AO148" s="1254"/>
      <c r="AP148" s="1254"/>
      <c r="AQ148" s="1254"/>
      <c r="AR148" s="747"/>
      <c r="AS148" s="748"/>
      <c r="AT148" s="748"/>
      <c r="AU148" s="749"/>
      <c r="BX148" s="1255"/>
      <c r="BY148" s="1255"/>
      <c r="BZ148" s="1255"/>
      <c r="CA148" s="746"/>
      <c r="CB148" s="746"/>
      <c r="CC148" s="746"/>
      <c r="CD148" s="747"/>
      <c r="CE148" s="748"/>
      <c r="CF148" s="748"/>
      <c r="CG148" s="749"/>
      <c r="CI148" s="739" t="s">
        <v>130</v>
      </c>
      <c r="CJ148" s="740"/>
      <c r="CK148" s="740"/>
      <c r="CL148" s="740"/>
      <c r="CM148" s="740"/>
      <c r="CN148" s="740"/>
      <c r="CO148" s="740"/>
      <c r="CP148" s="740"/>
      <c r="CQ148" s="740"/>
      <c r="CR148" s="741"/>
    </row>
    <row r="149" spans="35:96" x14ac:dyDescent="0.25">
      <c r="BX149" s="1255"/>
      <c r="BY149" s="1255"/>
      <c r="BZ149" s="1255"/>
      <c r="CA149" s="746"/>
      <c r="CB149" s="746"/>
      <c r="CC149" s="746"/>
      <c r="CD149" s="747"/>
      <c r="CE149" s="748"/>
      <c r="CF149" s="748"/>
      <c r="CG149" s="749"/>
      <c r="CI149" s="750"/>
      <c r="CJ149" s="751"/>
      <c r="CK149" s="751"/>
      <c r="CL149" s="751"/>
      <c r="CM149" s="751"/>
      <c r="CN149" s="751"/>
      <c r="CO149" s="751"/>
      <c r="CP149" s="751"/>
      <c r="CQ149" s="751"/>
      <c r="CR149" s="752"/>
    </row>
    <row r="150" spans="35:96" ht="15" customHeight="1" x14ac:dyDescent="0.25">
      <c r="AI150" s="1799"/>
      <c r="AJ150" s="1799"/>
      <c r="AK150" s="1799"/>
      <c r="AL150" s="1799"/>
      <c r="BX150" s="1255"/>
      <c r="BY150" s="1255"/>
      <c r="BZ150" s="1255"/>
      <c r="CA150" s="746"/>
      <c r="CB150" s="746"/>
      <c r="CC150" s="746"/>
      <c r="CD150" s="747"/>
      <c r="CE150" s="748"/>
      <c r="CF150" s="748"/>
      <c r="CG150" s="749"/>
      <c r="CI150" s="750"/>
      <c r="CJ150" s="751"/>
      <c r="CK150" s="751"/>
      <c r="CL150" s="751"/>
      <c r="CM150" s="751"/>
      <c r="CN150" s="751"/>
      <c r="CO150" s="751"/>
      <c r="CP150" s="751"/>
      <c r="CQ150" s="751"/>
      <c r="CR150" s="752"/>
    </row>
    <row r="151" spans="35:96" ht="15" customHeight="1" x14ac:dyDescent="0.25">
      <c r="AI151" s="1799"/>
      <c r="AJ151" s="1799"/>
      <c r="AK151" s="1799"/>
      <c r="AL151" s="1799"/>
      <c r="BX151" s="727"/>
      <c r="BY151" s="727"/>
      <c r="BZ151" s="727"/>
      <c r="CA151" s="746"/>
      <c r="CB151" s="746"/>
      <c r="CC151" s="746"/>
      <c r="CD151" s="747"/>
      <c r="CE151" s="748"/>
      <c r="CF151" s="748"/>
      <c r="CG151" s="749"/>
      <c r="CI151" s="742"/>
      <c r="CJ151" s="743"/>
      <c r="CK151" s="743"/>
      <c r="CL151" s="743"/>
      <c r="CM151" s="743"/>
      <c r="CN151" s="743"/>
      <c r="CO151" s="743"/>
      <c r="CP151" s="743"/>
      <c r="CQ151" s="743"/>
      <c r="CR151" s="744"/>
    </row>
    <row r="152" spans="35:96" ht="15" customHeight="1" x14ac:dyDescent="0.25">
      <c r="AI152" s="1799"/>
      <c r="AJ152" s="1799"/>
      <c r="AK152" s="1799"/>
      <c r="AL152" s="1799"/>
      <c r="BX152" s="727"/>
      <c r="BY152" s="727"/>
      <c r="BZ152" s="727"/>
      <c r="CA152" s="746"/>
      <c r="CB152" s="746"/>
      <c r="CC152" s="746"/>
      <c r="CD152" s="747"/>
      <c r="CE152" s="748"/>
      <c r="CF152" s="748"/>
      <c r="CG152" s="749"/>
      <c r="CI152" s="728">
        <f ca="1">CD141/((36*3.1415/59)*(BY141/3.281))</f>
        <v>1.8281852565335047E-2</v>
      </c>
      <c r="CJ152" s="729"/>
      <c r="CK152" s="729"/>
      <c r="CL152" s="729"/>
      <c r="CM152" s="729"/>
      <c r="CN152" s="729"/>
      <c r="CO152" s="729"/>
      <c r="CP152" s="729"/>
      <c r="CQ152" s="729"/>
      <c r="CR152" s="730"/>
    </row>
    <row r="153" spans="35:96" x14ac:dyDescent="0.25">
      <c r="BX153" s="727"/>
      <c r="BY153" s="727"/>
      <c r="BZ153" s="727"/>
      <c r="CA153" s="746"/>
      <c r="CB153" s="746"/>
      <c r="CC153" s="746"/>
      <c r="CD153" s="747"/>
      <c r="CE153" s="748"/>
      <c r="CF153" s="748"/>
      <c r="CG153" s="749"/>
      <c r="CI153" s="731"/>
      <c r="CJ153" s="732"/>
      <c r="CK153" s="732"/>
      <c r="CL153" s="732"/>
      <c r="CM153" s="732"/>
      <c r="CN153" s="732"/>
      <c r="CO153" s="732"/>
      <c r="CP153" s="732"/>
      <c r="CQ153" s="732"/>
      <c r="CR153" s="733"/>
    </row>
    <row r="154" spans="35:96" ht="15" customHeight="1" x14ac:dyDescent="0.25">
      <c r="AJ154" s="727"/>
      <c r="AK154" s="727"/>
      <c r="AL154" s="727"/>
      <c r="AM154" s="727"/>
      <c r="AN154" s="727"/>
      <c r="AO154" s="727"/>
      <c r="AP154" s="727"/>
      <c r="AQ154" s="727"/>
      <c r="AR154" s="727"/>
      <c r="AS154" s="727"/>
      <c r="AW154" s="739"/>
      <c r="AX154" s="740"/>
      <c r="AY154" s="740"/>
      <c r="AZ154" s="740"/>
      <c r="BA154" s="740"/>
      <c r="BB154" s="740"/>
      <c r="BC154" s="740"/>
      <c r="BD154" s="740"/>
      <c r="BE154" s="740"/>
      <c r="BF154" s="741"/>
      <c r="BX154" s="727"/>
      <c r="BY154" s="727"/>
      <c r="BZ154" s="727"/>
      <c r="CA154" s="746"/>
      <c r="CB154" s="746"/>
      <c r="CC154" s="746"/>
      <c r="CD154" s="747"/>
      <c r="CE154" s="748"/>
      <c r="CF154" s="748"/>
      <c r="CG154" s="749"/>
      <c r="CI154" s="731"/>
      <c r="CJ154" s="732"/>
      <c r="CK154" s="732"/>
      <c r="CL154" s="732"/>
      <c r="CM154" s="732"/>
      <c r="CN154" s="732"/>
      <c r="CO154" s="732"/>
      <c r="CP154" s="732"/>
      <c r="CQ154" s="732"/>
      <c r="CR154" s="733"/>
    </row>
    <row r="155" spans="35:96" ht="15" customHeight="1" x14ac:dyDescent="0.25">
      <c r="AJ155" s="727"/>
      <c r="AK155" s="727"/>
      <c r="AL155" s="727"/>
      <c r="AM155" s="727"/>
      <c r="AN155" s="727"/>
      <c r="AO155" s="727"/>
      <c r="AP155" s="727"/>
      <c r="AQ155" s="727"/>
      <c r="AR155" s="727"/>
      <c r="AS155" s="727"/>
      <c r="AW155" s="750"/>
      <c r="AX155" s="751"/>
      <c r="AY155" s="751"/>
      <c r="AZ155" s="751"/>
      <c r="BA155" s="751"/>
      <c r="BB155" s="751"/>
      <c r="BC155" s="751"/>
      <c r="BD155" s="751"/>
      <c r="BE155" s="751"/>
      <c r="BF155" s="752"/>
      <c r="BX155" s="727"/>
      <c r="BY155" s="727"/>
      <c r="BZ155" s="727"/>
      <c r="CA155" s="746"/>
      <c r="CB155" s="746"/>
      <c r="CC155" s="746"/>
      <c r="CD155" s="747"/>
      <c r="CE155" s="748"/>
      <c r="CF155" s="748"/>
      <c r="CG155" s="749"/>
      <c r="CI155" s="731"/>
      <c r="CJ155" s="732"/>
      <c r="CK155" s="732"/>
      <c r="CL155" s="732"/>
      <c r="CM155" s="732"/>
      <c r="CN155" s="732"/>
      <c r="CO155" s="732"/>
      <c r="CP155" s="732"/>
      <c r="CQ155" s="732"/>
      <c r="CR155" s="733"/>
    </row>
    <row r="156" spans="35:96" ht="15" customHeight="1" x14ac:dyDescent="0.25">
      <c r="AJ156" s="727"/>
      <c r="AK156" s="727"/>
      <c r="AL156" s="727"/>
      <c r="AM156" s="727"/>
      <c r="AN156" s="727"/>
      <c r="AO156" s="727"/>
      <c r="AP156" s="727"/>
      <c r="AQ156" s="727"/>
      <c r="AR156" s="727"/>
      <c r="AS156" s="727"/>
      <c r="AW156" s="742"/>
      <c r="AX156" s="743"/>
      <c r="AY156" s="743"/>
      <c r="AZ156" s="743"/>
      <c r="BA156" s="743"/>
      <c r="BB156" s="743"/>
      <c r="BC156" s="743"/>
      <c r="BD156" s="743"/>
      <c r="BE156" s="743"/>
      <c r="BF156" s="744"/>
      <c r="BX156" s="727"/>
      <c r="BY156" s="727"/>
      <c r="BZ156" s="727"/>
      <c r="CA156" s="746"/>
      <c r="CB156" s="746"/>
      <c r="CC156" s="746"/>
      <c r="CD156" s="747"/>
      <c r="CE156" s="748"/>
      <c r="CF156" s="748"/>
      <c r="CG156" s="749"/>
      <c r="CI156" s="734"/>
      <c r="CJ156" s="735"/>
      <c r="CK156" s="735"/>
      <c r="CL156" s="735"/>
      <c r="CM156" s="735"/>
      <c r="CN156" s="735"/>
      <c r="CO156" s="735"/>
      <c r="CP156" s="735"/>
      <c r="CQ156" s="735"/>
      <c r="CR156" s="736"/>
    </row>
    <row r="157" spans="35:96" ht="15" customHeight="1" x14ac:dyDescent="0.25">
      <c r="AJ157" s="774"/>
      <c r="AK157" s="774"/>
      <c r="AL157" s="774"/>
      <c r="AM157" s="774"/>
      <c r="AN157" s="774"/>
      <c r="AO157" s="774"/>
      <c r="AP157" s="726"/>
      <c r="AQ157" s="726"/>
      <c r="AR157" s="726"/>
      <c r="AS157" s="726"/>
      <c r="AW157" s="727"/>
      <c r="AX157" s="727"/>
      <c r="AY157" s="727"/>
      <c r="AZ157" s="727"/>
      <c r="BA157" s="727"/>
      <c r="BB157" s="727"/>
      <c r="BC157" s="727"/>
      <c r="BD157" s="727"/>
      <c r="BE157" s="727"/>
      <c r="BF157" s="727"/>
      <c r="CA157" s="1254"/>
      <c r="CB157" s="1254"/>
      <c r="CC157" s="1254"/>
      <c r="CD157" s="747"/>
      <c r="CE157" s="748"/>
      <c r="CF157" s="748"/>
      <c r="CG157" s="749"/>
    </row>
    <row r="158" spans="35:96" ht="15" customHeight="1" x14ac:dyDescent="0.25">
      <c r="AJ158" s="774"/>
      <c r="AK158" s="774"/>
      <c r="AL158" s="774"/>
      <c r="AM158" s="774"/>
      <c r="AN158" s="774"/>
      <c r="AO158" s="774"/>
      <c r="AP158" s="726"/>
      <c r="AQ158" s="726"/>
      <c r="AR158" s="726"/>
      <c r="AS158" s="726"/>
      <c r="AW158" s="727"/>
      <c r="AX158" s="727"/>
      <c r="AY158" s="727"/>
      <c r="AZ158" s="727"/>
      <c r="BA158" s="727"/>
      <c r="BB158" s="727"/>
      <c r="BC158" s="727"/>
      <c r="BD158" s="727"/>
      <c r="BE158" s="727"/>
      <c r="BF158" s="727"/>
      <c r="CA158" s="1254"/>
      <c r="CB158" s="1254"/>
      <c r="CC158" s="1254"/>
      <c r="CD158" s="747"/>
      <c r="CE158" s="748"/>
      <c r="CF158" s="748"/>
      <c r="CG158" s="749"/>
    </row>
    <row r="159" spans="35:96" ht="15" customHeight="1" x14ac:dyDescent="0.25">
      <c r="AJ159" s="774"/>
      <c r="AK159" s="774"/>
      <c r="AL159" s="774"/>
      <c r="AM159" s="774"/>
      <c r="AN159" s="774"/>
      <c r="AO159" s="774"/>
      <c r="AP159" s="726"/>
      <c r="AQ159" s="726"/>
      <c r="AR159" s="726"/>
      <c r="AS159" s="726"/>
      <c r="AW159" s="728"/>
      <c r="AX159" s="729"/>
      <c r="AY159" s="729"/>
      <c r="AZ159" s="729"/>
      <c r="BA159" s="729"/>
      <c r="BB159" s="729"/>
      <c r="BC159" s="729"/>
      <c r="BD159" s="729"/>
      <c r="BE159" s="729"/>
      <c r="BF159" s="730"/>
      <c r="CA159" s="1254"/>
      <c r="CB159" s="1254"/>
      <c r="CC159" s="1254"/>
      <c r="CD159" s="747"/>
      <c r="CE159" s="748"/>
      <c r="CF159" s="748"/>
      <c r="CG159" s="749"/>
    </row>
    <row r="160" spans="35:96" ht="15" customHeight="1" x14ac:dyDescent="0.25">
      <c r="AJ160" s="774"/>
      <c r="AK160" s="774"/>
      <c r="AL160" s="774"/>
      <c r="AM160" s="774"/>
      <c r="AN160" s="774"/>
      <c r="AO160" s="774"/>
      <c r="AP160" s="726"/>
      <c r="AQ160" s="726"/>
      <c r="AR160" s="726"/>
      <c r="AS160" s="726"/>
      <c r="AW160" s="731"/>
      <c r="AX160" s="732"/>
      <c r="AY160" s="732"/>
      <c r="AZ160" s="732"/>
      <c r="BA160" s="732"/>
      <c r="BB160" s="732"/>
      <c r="BC160" s="732"/>
      <c r="BD160" s="732"/>
      <c r="BE160" s="732"/>
      <c r="BF160" s="733"/>
    </row>
    <row r="161" spans="38:58" x14ac:dyDescent="0.25">
      <c r="AW161" s="734"/>
      <c r="AX161" s="735"/>
      <c r="AY161" s="735"/>
      <c r="AZ161" s="735"/>
      <c r="BA161" s="735"/>
      <c r="BB161" s="735"/>
      <c r="BC161" s="735"/>
      <c r="BD161" s="735"/>
      <c r="BE161" s="735"/>
      <c r="BF161" s="736"/>
    </row>
    <row r="162" spans="38:58" x14ac:dyDescent="0.25">
      <c r="AW162" s="739"/>
      <c r="AX162" s="740"/>
      <c r="AY162" s="740"/>
      <c r="AZ162" s="740"/>
      <c r="BA162" s="740"/>
      <c r="BB162" s="740"/>
      <c r="BC162" s="740"/>
      <c r="BD162" s="740"/>
      <c r="BE162" s="740"/>
      <c r="BF162" s="741"/>
    </row>
    <row r="163" spans="38:58" ht="15" customHeight="1" x14ac:dyDescent="0.25">
      <c r="AW163" s="742"/>
      <c r="AX163" s="743"/>
      <c r="AY163" s="743"/>
      <c r="AZ163" s="743"/>
      <c r="BA163" s="743"/>
      <c r="BB163" s="743"/>
      <c r="BC163" s="743"/>
      <c r="BD163" s="743"/>
      <c r="BE163" s="743"/>
      <c r="BF163" s="744"/>
    </row>
    <row r="164" spans="38:58" ht="15" customHeight="1" x14ac:dyDescent="0.25">
      <c r="AL164" s="1255"/>
      <c r="AM164" s="1255"/>
      <c r="AN164" s="1255"/>
      <c r="AO164" s="746"/>
      <c r="AP164" s="746"/>
      <c r="AQ164" s="746"/>
      <c r="AR164" s="747"/>
      <c r="AS164" s="748"/>
      <c r="AT164" s="748"/>
      <c r="AU164" s="749"/>
      <c r="AW164" s="739"/>
      <c r="AX164" s="740"/>
      <c r="AY164" s="740"/>
      <c r="AZ164" s="740"/>
      <c r="BA164" s="740"/>
      <c r="BB164" s="740"/>
      <c r="BC164" s="740"/>
      <c r="BD164" s="740"/>
      <c r="BE164" s="740"/>
      <c r="BF164" s="741"/>
    </row>
    <row r="165" spans="38:58" ht="15" customHeight="1" x14ac:dyDescent="0.25">
      <c r="AL165" s="1255"/>
      <c r="AM165" s="1255"/>
      <c r="AN165" s="1255"/>
      <c r="AO165" s="746"/>
      <c r="AP165" s="746"/>
      <c r="AQ165" s="746"/>
      <c r="AR165" s="747"/>
      <c r="AS165" s="748"/>
      <c r="AT165" s="748"/>
      <c r="AU165" s="749"/>
      <c r="AW165" s="750"/>
      <c r="AX165" s="751"/>
      <c r="AY165" s="751"/>
      <c r="AZ165" s="751"/>
      <c r="BA165" s="751"/>
      <c r="BB165" s="751"/>
      <c r="BC165" s="751"/>
      <c r="BD165" s="751"/>
      <c r="BE165" s="751"/>
      <c r="BF165" s="752"/>
    </row>
    <row r="166" spans="38:58" x14ac:dyDescent="0.25">
      <c r="AL166" s="1255"/>
      <c r="AM166" s="1255"/>
      <c r="AN166" s="1255"/>
      <c r="AO166" s="746"/>
      <c r="AP166" s="746"/>
      <c r="AQ166" s="746"/>
      <c r="AR166" s="747"/>
      <c r="AS166" s="748"/>
      <c r="AT166" s="748"/>
      <c r="AU166" s="749"/>
      <c r="AW166" s="750"/>
      <c r="AX166" s="751"/>
      <c r="AY166" s="751"/>
      <c r="AZ166" s="751"/>
      <c r="BA166" s="751"/>
      <c r="BB166" s="751"/>
      <c r="BC166" s="751"/>
      <c r="BD166" s="751"/>
      <c r="BE166" s="751"/>
      <c r="BF166" s="752"/>
    </row>
    <row r="167" spans="38:58" x14ac:dyDescent="0.25">
      <c r="AL167" s="727"/>
      <c r="AM167" s="727"/>
      <c r="AN167" s="727"/>
      <c r="AO167" s="746"/>
      <c r="AP167" s="746"/>
      <c r="AQ167" s="746"/>
      <c r="AR167" s="747"/>
      <c r="AS167" s="748"/>
      <c r="AT167" s="748"/>
      <c r="AU167" s="749"/>
      <c r="AW167" s="742"/>
      <c r="AX167" s="743"/>
      <c r="AY167" s="743"/>
      <c r="AZ167" s="743"/>
      <c r="BA167" s="743"/>
      <c r="BB167" s="743"/>
      <c r="BC167" s="743"/>
      <c r="BD167" s="743"/>
      <c r="BE167" s="743"/>
      <c r="BF167" s="744"/>
    </row>
    <row r="168" spans="38:58" x14ac:dyDescent="0.25">
      <c r="AL168" s="727"/>
      <c r="AM168" s="727"/>
      <c r="AN168" s="727"/>
      <c r="AO168" s="746"/>
      <c r="AP168" s="746"/>
      <c r="AQ168" s="746"/>
      <c r="AR168" s="747"/>
      <c r="AS168" s="748"/>
      <c r="AT168" s="748"/>
      <c r="AU168" s="749"/>
      <c r="AW168" s="728"/>
      <c r="AX168" s="729"/>
      <c r="AY168" s="729"/>
      <c r="AZ168" s="729"/>
      <c r="BA168" s="729"/>
      <c r="BB168" s="729"/>
      <c r="BC168" s="729"/>
      <c r="BD168" s="729"/>
      <c r="BE168" s="729"/>
      <c r="BF168" s="730"/>
    </row>
    <row r="169" spans="38:58" x14ac:dyDescent="0.25">
      <c r="AL169" s="727"/>
      <c r="AM169" s="727"/>
      <c r="AN169" s="727"/>
      <c r="AO169" s="746"/>
      <c r="AP169" s="746"/>
      <c r="AQ169" s="746"/>
      <c r="AR169" s="747"/>
      <c r="AS169" s="748"/>
      <c r="AT169" s="748"/>
      <c r="AU169" s="749"/>
      <c r="AW169" s="731"/>
      <c r="AX169" s="732"/>
      <c r="AY169" s="732"/>
      <c r="AZ169" s="732"/>
      <c r="BA169" s="732"/>
      <c r="BB169" s="732"/>
      <c r="BC169" s="732"/>
      <c r="BD169" s="732"/>
      <c r="BE169" s="732"/>
      <c r="BF169" s="733"/>
    </row>
    <row r="170" spans="38:58" x14ac:dyDescent="0.25">
      <c r="AL170" s="727"/>
      <c r="AM170" s="727"/>
      <c r="AN170" s="727"/>
      <c r="AO170" s="746"/>
      <c r="AP170" s="746"/>
      <c r="AQ170" s="746"/>
      <c r="AR170" s="747"/>
      <c r="AS170" s="748"/>
      <c r="AT170" s="748"/>
      <c r="AU170" s="749"/>
      <c r="AW170" s="731"/>
      <c r="AX170" s="732"/>
      <c r="AY170" s="732"/>
      <c r="AZ170" s="732"/>
      <c r="BA170" s="732"/>
      <c r="BB170" s="732"/>
      <c r="BC170" s="732"/>
      <c r="BD170" s="732"/>
      <c r="BE170" s="732"/>
      <c r="BF170" s="733"/>
    </row>
    <row r="171" spans="38:58" x14ac:dyDescent="0.25">
      <c r="AL171" s="727"/>
      <c r="AM171" s="727"/>
      <c r="AN171" s="727"/>
      <c r="AO171" s="746"/>
      <c r="AP171" s="746"/>
      <c r="AQ171" s="746"/>
      <c r="AR171" s="747"/>
      <c r="AS171" s="748"/>
      <c r="AT171" s="748"/>
      <c r="AU171" s="749"/>
      <c r="AW171" s="731"/>
      <c r="AX171" s="732"/>
      <c r="AY171" s="732"/>
      <c r="AZ171" s="732"/>
      <c r="BA171" s="732"/>
      <c r="BB171" s="732"/>
      <c r="BC171" s="732"/>
      <c r="BD171" s="732"/>
      <c r="BE171" s="732"/>
      <c r="BF171" s="733"/>
    </row>
    <row r="172" spans="38:58" x14ac:dyDescent="0.25">
      <c r="AL172" s="727"/>
      <c r="AM172" s="727"/>
      <c r="AN172" s="727"/>
      <c r="AO172" s="746"/>
      <c r="AP172" s="746"/>
      <c r="AQ172" s="746"/>
      <c r="AR172" s="747"/>
      <c r="AS172" s="748"/>
      <c r="AT172" s="748"/>
      <c r="AU172" s="749"/>
      <c r="AW172" s="734"/>
      <c r="AX172" s="735"/>
      <c r="AY172" s="735"/>
      <c r="AZ172" s="735"/>
      <c r="BA172" s="735"/>
      <c r="BB172" s="735"/>
      <c r="BC172" s="735"/>
      <c r="BD172" s="735"/>
      <c r="BE172" s="735"/>
      <c r="BF172" s="736"/>
    </row>
    <row r="173" spans="38:58" x14ac:dyDescent="0.25">
      <c r="AO173" s="1254"/>
      <c r="AP173" s="1254"/>
      <c r="AQ173" s="1254"/>
      <c r="AR173" s="747"/>
      <c r="AS173" s="748"/>
      <c r="AT173" s="748"/>
      <c r="AU173" s="749"/>
    </row>
    <row r="174" spans="38:58" x14ac:dyDescent="0.25">
      <c r="AO174" s="1254"/>
      <c r="AP174" s="1254"/>
      <c r="AQ174" s="1254"/>
      <c r="AR174" s="747"/>
      <c r="AS174" s="748"/>
      <c r="AT174" s="748"/>
      <c r="AU174" s="749"/>
    </row>
    <row r="175" spans="38:58" x14ac:dyDescent="0.25">
      <c r="AO175" s="1254"/>
      <c r="AP175" s="1254"/>
      <c r="AQ175" s="1254"/>
      <c r="AR175" s="747"/>
      <c r="AS175" s="748"/>
      <c r="AT175" s="748"/>
      <c r="AU175" s="749"/>
    </row>
    <row r="189" spans="37:47" x14ac:dyDescent="0.25">
      <c r="AK189" s="727"/>
      <c r="AL189" s="727"/>
      <c r="AM189" s="727"/>
      <c r="AN189" s="727"/>
      <c r="AO189" s="727"/>
      <c r="AP189" s="727"/>
      <c r="AQ189" s="727"/>
      <c r="AR189" s="727"/>
      <c r="AS189" s="727"/>
      <c r="AT189" s="727"/>
    </row>
    <row r="190" spans="37:47" x14ac:dyDescent="0.25">
      <c r="AK190" s="727"/>
      <c r="AL190" s="727"/>
      <c r="AM190" s="727"/>
      <c r="AN190" s="727"/>
      <c r="AO190" s="727"/>
      <c r="AP190" s="727"/>
      <c r="AQ190" s="727"/>
      <c r="AR190" s="727"/>
      <c r="AS190" s="727"/>
      <c r="AT190" s="727"/>
    </row>
    <row r="191" spans="37:47" x14ac:dyDescent="0.25">
      <c r="AK191" s="727"/>
      <c r="AL191" s="727"/>
      <c r="AM191" s="727"/>
      <c r="AN191" s="727"/>
      <c r="AO191" s="727"/>
      <c r="AP191" s="727"/>
      <c r="AQ191" s="727"/>
      <c r="AR191" s="727"/>
      <c r="AS191" s="727"/>
      <c r="AT191" s="727"/>
    </row>
    <row r="192" spans="37:47" ht="15" customHeight="1" x14ac:dyDescent="0.25">
      <c r="AK192" s="774"/>
      <c r="AL192" s="774"/>
      <c r="AM192" s="774"/>
      <c r="AN192" s="774"/>
      <c r="AO192" s="774"/>
      <c r="AP192" s="774"/>
      <c r="AQ192" s="726"/>
      <c r="AR192" s="726"/>
      <c r="AS192" s="1777"/>
      <c r="AT192" s="1778"/>
      <c r="AU192" s="1778"/>
    </row>
    <row r="193" spans="37:47" ht="15" customHeight="1" x14ac:dyDescent="0.25">
      <c r="AK193" s="774"/>
      <c r="AL193" s="774"/>
      <c r="AM193" s="774"/>
      <c r="AN193" s="774"/>
      <c r="AO193" s="774"/>
      <c r="AP193" s="774"/>
      <c r="AQ193" s="726"/>
      <c r="AR193" s="726"/>
      <c r="AS193" s="1777"/>
      <c r="AT193" s="1778"/>
      <c r="AU193" s="1778"/>
    </row>
    <row r="194" spans="37:47" ht="15" customHeight="1" x14ac:dyDescent="0.25">
      <c r="AK194" s="774"/>
      <c r="AL194" s="774"/>
      <c r="AM194" s="774"/>
      <c r="AN194" s="774"/>
      <c r="AO194" s="774"/>
      <c r="AP194" s="774"/>
      <c r="AQ194" s="726"/>
      <c r="AR194" s="726"/>
      <c r="AS194" s="1777"/>
      <c r="AT194" s="1778"/>
      <c r="AU194" s="1778"/>
    </row>
    <row r="195" spans="37:47" ht="15" customHeight="1" x14ac:dyDescent="0.25">
      <c r="AK195" s="774"/>
      <c r="AL195" s="774"/>
      <c r="AM195" s="774"/>
      <c r="AN195" s="774"/>
      <c r="AO195" s="774"/>
      <c r="AP195" s="774"/>
      <c r="AQ195" s="726"/>
      <c r="AR195" s="726"/>
      <c r="AS195" s="1777"/>
      <c r="AT195" s="1778"/>
      <c r="AU195" s="1778"/>
    </row>
  </sheetData>
  <mergeCells count="1384">
    <mergeCell ref="AG2:AI3"/>
    <mergeCell ref="AJ2:AK3"/>
    <mergeCell ref="AL2:AN3"/>
    <mergeCell ref="AO2:AP3"/>
    <mergeCell ref="AQ2:AS3"/>
    <mergeCell ref="P2:Q3"/>
    <mergeCell ref="R2:T3"/>
    <mergeCell ref="U2:V3"/>
    <mergeCell ref="W2:Y3"/>
    <mergeCell ref="Z2:AA3"/>
    <mergeCell ref="AB2:AD3"/>
    <mergeCell ref="A2:B3"/>
    <mergeCell ref="C2:E3"/>
    <mergeCell ref="F2:G3"/>
    <mergeCell ref="H2:J3"/>
    <mergeCell ref="K2:L3"/>
    <mergeCell ref="M2:O3"/>
    <mergeCell ref="BI2:BJ3"/>
    <mergeCell ref="BK2:BM3"/>
    <mergeCell ref="BN2:BO3"/>
    <mergeCell ref="BI4:BM4"/>
    <mergeCell ref="BN4:BR4"/>
    <mergeCell ref="P5:Q5"/>
    <mergeCell ref="R5:T5"/>
    <mergeCell ref="U5:V5"/>
    <mergeCell ref="W5:Y5"/>
    <mergeCell ref="Z5:AA5"/>
    <mergeCell ref="AB5:AD5"/>
    <mergeCell ref="AE5:AF5"/>
    <mergeCell ref="AG5:AI5"/>
    <mergeCell ref="U4:Y4"/>
    <mergeCell ref="Z4:AD4"/>
    <mergeCell ref="AE4:AI4"/>
    <mergeCell ref="AJ4:AN4"/>
    <mergeCell ref="AO4:AS4"/>
    <mergeCell ref="BP2:BR3"/>
    <mergeCell ref="AT2:AU3"/>
    <mergeCell ref="AV2:AX3"/>
    <mergeCell ref="AY2:AZ3"/>
    <mergeCell ref="BA2:BC3"/>
    <mergeCell ref="BD2:BE3"/>
    <mergeCell ref="BF2:BH3"/>
    <mergeCell ref="AE2:AF3"/>
    <mergeCell ref="AT4:AX4"/>
    <mergeCell ref="BI5:BJ5"/>
    <mergeCell ref="BK5:BM5"/>
    <mergeCell ref="BN5:BO5"/>
    <mergeCell ref="BP5:BR5"/>
    <mergeCell ref="AQ5:AS5"/>
    <mergeCell ref="BI12:BI13"/>
    <mergeCell ref="BJ12:BM12"/>
    <mergeCell ref="AK6:AN6"/>
    <mergeCell ref="AO6:AO7"/>
    <mergeCell ref="AP6:AS6"/>
    <mergeCell ref="AT6:AT7"/>
    <mergeCell ref="AU6:AX6"/>
    <mergeCell ref="U6:U7"/>
    <mergeCell ref="V6:Y6"/>
    <mergeCell ref="Z6:Z7"/>
    <mergeCell ref="AA6:AD6"/>
    <mergeCell ref="AE6:AE7"/>
    <mergeCell ref="AF6:AI6"/>
    <mergeCell ref="BI10:BM10"/>
    <mergeCell ref="P11:Q11"/>
    <mergeCell ref="R11:T11"/>
    <mergeCell ref="U11:V11"/>
    <mergeCell ref="W11:Y11"/>
    <mergeCell ref="Z11:AA11"/>
    <mergeCell ref="AB11:AD11"/>
    <mergeCell ref="AE11:AF11"/>
    <mergeCell ref="AG11:AI11"/>
    <mergeCell ref="P6:P7"/>
    <mergeCell ref="Q6:T6"/>
    <mergeCell ref="BN10:BR10"/>
    <mergeCell ref="AT11:AU11"/>
    <mergeCell ref="AV11:AX11"/>
    <mergeCell ref="BN8:BO9"/>
    <mergeCell ref="BP8:BR9"/>
    <mergeCell ref="AY8:AZ9"/>
    <mergeCell ref="BA8:BC9"/>
    <mergeCell ref="BD8:BE9"/>
    <mergeCell ref="BF8:BH9"/>
    <mergeCell ref="BI8:BJ9"/>
    <mergeCell ref="BK8:BM9"/>
    <mergeCell ref="AJ8:AK9"/>
    <mergeCell ref="AL8:AN9"/>
    <mergeCell ref="AO8:AP9"/>
    <mergeCell ref="AQ8:AS9"/>
    <mergeCell ref="AT8:AU9"/>
    <mergeCell ref="AV8:AX9"/>
    <mergeCell ref="BA11:BC11"/>
    <mergeCell ref="BD11:BE11"/>
    <mergeCell ref="BF11:BH11"/>
    <mergeCell ref="BI11:BJ11"/>
    <mergeCell ref="BK11:BM11"/>
    <mergeCell ref="AJ11:AK11"/>
    <mergeCell ref="AL11:AN11"/>
    <mergeCell ref="AO11:AP11"/>
    <mergeCell ref="AQ11:AS11"/>
    <mergeCell ref="BN12:BN13"/>
    <mergeCell ref="BO12:BR12"/>
    <mergeCell ref="A14:B15"/>
    <mergeCell ref="C14:E15"/>
    <mergeCell ref="F14:G15"/>
    <mergeCell ref="H14:J15"/>
    <mergeCell ref="K14:L15"/>
    <mergeCell ref="M14:O15"/>
    <mergeCell ref="AT12:AT13"/>
    <mergeCell ref="AU12:AX12"/>
    <mergeCell ref="AY12:AY13"/>
    <mergeCell ref="AZ12:BC12"/>
    <mergeCell ref="BD12:BD13"/>
    <mergeCell ref="BE12:BH12"/>
    <mergeCell ref="AE12:AE13"/>
    <mergeCell ref="AF12:AI12"/>
    <mergeCell ref="AJ12:AJ13"/>
    <mergeCell ref="AK12:AN12"/>
    <mergeCell ref="AO12:AO13"/>
    <mergeCell ref="AP12:AS12"/>
    <mergeCell ref="P12:P13"/>
    <mergeCell ref="Q12:T12"/>
    <mergeCell ref="U12:U13"/>
    <mergeCell ref="V12:Y12"/>
    <mergeCell ref="Z12:Z13"/>
    <mergeCell ref="AA12:AD12"/>
    <mergeCell ref="A12:A13"/>
    <mergeCell ref="B12:E12"/>
    <mergeCell ref="F12:F13"/>
    <mergeCell ref="G12:J12"/>
    <mergeCell ref="K12:K13"/>
    <mergeCell ref="L12:O12"/>
    <mergeCell ref="K18:K19"/>
    <mergeCell ref="L18:O18"/>
    <mergeCell ref="P18:P19"/>
    <mergeCell ref="Q18:T18"/>
    <mergeCell ref="AO16:AS16"/>
    <mergeCell ref="AT16:AX16"/>
    <mergeCell ref="AY16:BC16"/>
    <mergeCell ref="BD16:BH16"/>
    <mergeCell ref="BI14:BJ15"/>
    <mergeCell ref="BK14:BM15"/>
    <mergeCell ref="BN14:BO15"/>
    <mergeCell ref="BP14:BR15"/>
    <mergeCell ref="AT14:AU15"/>
    <mergeCell ref="AV14:AX15"/>
    <mergeCell ref="AY14:AZ15"/>
    <mergeCell ref="BA14:BC15"/>
    <mergeCell ref="BD14:BE15"/>
    <mergeCell ref="BF14:BH15"/>
    <mergeCell ref="AE14:AF15"/>
    <mergeCell ref="AG14:AI15"/>
    <mergeCell ref="AJ14:AK15"/>
    <mergeCell ref="AL14:AN15"/>
    <mergeCell ref="AO14:AP15"/>
    <mergeCell ref="AQ14:AS15"/>
    <mergeCell ref="P14:Q15"/>
    <mergeCell ref="R14:T15"/>
    <mergeCell ref="U14:V15"/>
    <mergeCell ref="W14:Y15"/>
    <mergeCell ref="Z14:AA15"/>
    <mergeCell ref="AB14:AD15"/>
    <mergeCell ref="BN18:BN19"/>
    <mergeCell ref="BO18:BR18"/>
    <mergeCell ref="A20:B21"/>
    <mergeCell ref="C20:E21"/>
    <mergeCell ref="F20:G21"/>
    <mergeCell ref="H20:J21"/>
    <mergeCell ref="K20:L21"/>
    <mergeCell ref="M20:O21"/>
    <mergeCell ref="P20:Q21"/>
    <mergeCell ref="R20:T21"/>
    <mergeCell ref="AY18:AY19"/>
    <mergeCell ref="AZ18:BC18"/>
    <mergeCell ref="BD18:BD19"/>
    <mergeCell ref="BE18:BH18"/>
    <mergeCell ref="BI18:BI19"/>
    <mergeCell ref="BJ18:BM18"/>
    <mergeCell ref="AJ18:AJ19"/>
    <mergeCell ref="AK18:AN18"/>
    <mergeCell ref="AO18:AO19"/>
    <mergeCell ref="AP18:AS18"/>
    <mergeCell ref="AT18:AT19"/>
    <mergeCell ref="AU18:AX18"/>
    <mergeCell ref="U18:U19"/>
    <mergeCell ref="V18:Y18"/>
    <mergeCell ref="Z18:Z19"/>
    <mergeCell ref="AA18:AD18"/>
    <mergeCell ref="AE18:AE19"/>
    <mergeCell ref="AF18:AI18"/>
    <mergeCell ref="A18:A19"/>
    <mergeCell ref="B18:E18"/>
    <mergeCell ref="F18:F19"/>
    <mergeCell ref="G18:J18"/>
    <mergeCell ref="AY20:AZ21"/>
    <mergeCell ref="BA20:BC21"/>
    <mergeCell ref="BD20:BE21"/>
    <mergeCell ref="BF20:BH21"/>
    <mergeCell ref="BI20:BJ21"/>
    <mergeCell ref="BK20:BM21"/>
    <mergeCell ref="AJ20:AK21"/>
    <mergeCell ref="AL20:AN21"/>
    <mergeCell ref="AO20:AP21"/>
    <mergeCell ref="AQ20:AS21"/>
    <mergeCell ref="AT20:AU21"/>
    <mergeCell ref="AV20:AX21"/>
    <mergeCell ref="U20:V21"/>
    <mergeCell ref="W20:Y21"/>
    <mergeCell ref="Z20:AA21"/>
    <mergeCell ref="AB20:AD21"/>
    <mergeCell ref="AE20:AF21"/>
    <mergeCell ref="AG20:AI21"/>
    <mergeCell ref="A26:B27"/>
    <mergeCell ref="C26:E27"/>
    <mergeCell ref="F26:G27"/>
    <mergeCell ref="H26:J27"/>
    <mergeCell ref="K26:L27"/>
    <mergeCell ref="M26:O27"/>
    <mergeCell ref="AT24:AT25"/>
    <mergeCell ref="AU24:AX24"/>
    <mergeCell ref="AY24:AY25"/>
    <mergeCell ref="AZ24:BC24"/>
    <mergeCell ref="BD24:BD25"/>
    <mergeCell ref="BE24:BH24"/>
    <mergeCell ref="AE24:AE25"/>
    <mergeCell ref="AF24:AI24"/>
    <mergeCell ref="AJ24:AJ25"/>
    <mergeCell ref="AK24:AN24"/>
    <mergeCell ref="A24:A25"/>
    <mergeCell ref="B24:E24"/>
    <mergeCell ref="F24:F25"/>
    <mergeCell ref="G24:J24"/>
    <mergeCell ref="K24:K25"/>
    <mergeCell ref="L24:O24"/>
    <mergeCell ref="L30:O30"/>
    <mergeCell ref="P30:P31"/>
    <mergeCell ref="Q30:T30"/>
    <mergeCell ref="AO28:AS28"/>
    <mergeCell ref="P26:Q27"/>
    <mergeCell ref="R26:T27"/>
    <mergeCell ref="U26:V27"/>
    <mergeCell ref="W26:Y27"/>
    <mergeCell ref="Z26:AA27"/>
    <mergeCell ref="AB26:AD27"/>
    <mergeCell ref="A29:B29"/>
    <mergeCell ref="C29:E29"/>
    <mergeCell ref="F29:G29"/>
    <mergeCell ref="H29:J29"/>
    <mergeCell ref="K29:L29"/>
    <mergeCell ref="M29:O29"/>
    <mergeCell ref="P29:Q29"/>
    <mergeCell ref="R29:T29"/>
    <mergeCell ref="BA26:BC27"/>
    <mergeCell ref="BD26:BE27"/>
    <mergeCell ref="BF26:BH27"/>
    <mergeCell ref="AE26:AF27"/>
    <mergeCell ref="AG26:AI27"/>
    <mergeCell ref="AJ26:AK27"/>
    <mergeCell ref="AL26:AN27"/>
    <mergeCell ref="AO26:AP27"/>
    <mergeCell ref="AQ26:AS27"/>
    <mergeCell ref="BI28:BM28"/>
    <mergeCell ref="BN28:BR28"/>
    <mergeCell ref="AO24:AO25"/>
    <mergeCell ref="AP24:AS24"/>
    <mergeCell ref="P24:P25"/>
    <mergeCell ref="Q24:T24"/>
    <mergeCell ref="U24:U25"/>
    <mergeCell ref="V24:Y24"/>
    <mergeCell ref="Z24:Z25"/>
    <mergeCell ref="AA24:AD24"/>
    <mergeCell ref="BO30:BR30"/>
    <mergeCell ref="A32:B33"/>
    <mergeCell ref="C32:E33"/>
    <mergeCell ref="F32:G33"/>
    <mergeCell ref="H32:J33"/>
    <mergeCell ref="K32:L33"/>
    <mergeCell ref="M32:O33"/>
    <mergeCell ref="P32:Q33"/>
    <mergeCell ref="R32:T33"/>
    <mergeCell ref="AY30:AY31"/>
    <mergeCell ref="AZ30:BC30"/>
    <mergeCell ref="BD30:BD31"/>
    <mergeCell ref="BE30:BH30"/>
    <mergeCell ref="BI30:BI31"/>
    <mergeCell ref="BJ30:BM30"/>
    <mergeCell ref="AJ30:AJ31"/>
    <mergeCell ref="AK30:AN30"/>
    <mergeCell ref="AO30:AO31"/>
    <mergeCell ref="AP30:AS30"/>
    <mergeCell ref="AT30:AT31"/>
    <mergeCell ref="AU30:AX30"/>
    <mergeCell ref="U30:U31"/>
    <mergeCell ref="V30:Y30"/>
    <mergeCell ref="Z30:Z31"/>
    <mergeCell ref="AA30:AD30"/>
    <mergeCell ref="AE30:AE31"/>
    <mergeCell ref="AF30:AI30"/>
    <mergeCell ref="A30:A31"/>
    <mergeCell ref="B30:E30"/>
    <mergeCell ref="F30:F31"/>
    <mergeCell ref="G30:J30"/>
    <mergeCell ref="K30:K31"/>
    <mergeCell ref="BD32:BE33"/>
    <mergeCell ref="BF32:BH33"/>
    <mergeCell ref="BI32:BJ33"/>
    <mergeCell ref="BK32:BM33"/>
    <mergeCell ref="AJ32:AK33"/>
    <mergeCell ref="AL32:AN33"/>
    <mergeCell ref="AO32:AP33"/>
    <mergeCell ref="AQ32:AS33"/>
    <mergeCell ref="AT32:AU33"/>
    <mergeCell ref="AV32:AX33"/>
    <mergeCell ref="U32:V33"/>
    <mergeCell ref="W32:Y33"/>
    <mergeCell ref="Z32:AA33"/>
    <mergeCell ref="AB32:AD33"/>
    <mergeCell ref="AE32:AF33"/>
    <mergeCell ref="AG32:AI33"/>
    <mergeCell ref="BN30:BN31"/>
    <mergeCell ref="BN34:BR35"/>
    <mergeCell ref="A36:A37"/>
    <mergeCell ref="B36:E36"/>
    <mergeCell ref="F36:F37"/>
    <mergeCell ref="G36:J36"/>
    <mergeCell ref="K36:K37"/>
    <mergeCell ref="L36:O36"/>
    <mergeCell ref="P36:P37"/>
    <mergeCell ref="Q36:T36"/>
    <mergeCell ref="AY34:BC35"/>
    <mergeCell ref="BD34:BH35"/>
    <mergeCell ref="AO34:AS34"/>
    <mergeCell ref="AT34:AX34"/>
    <mergeCell ref="AT35:AU35"/>
    <mergeCell ref="AV35:AX35"/>
    <mergeCell ref="BI34:BM35"/>
    <mergeCell ref="AE35:AF35"/>
    <mergeCell ref="AG35:AI35"/>
    <mergeCell ref="AJ35:AK35"/>
    <mergeCell ref="AL35:AN35"/>
    <mergeCell ref="AO35:AP35"/>
    <mergeCell ref="AQ35:AS35"/>
    <mergeCell ref="P35:Q35"/>
    <mergeCell ref="R35:T35"/>
    <mergeCell ref="U35:V35"/>
    <mergeCell ref="W35:Y35"/>
    <mergeCell ref="Z35:AA35"/>
    <mergeCell ref="AB35:AD35"/>
    <mergeCell ref="A35:B35"/>
    <mergeCell ref="C35:E35"/>
    <mergeCell ref="BN36:BN37"/>
    <mergeCell ref="BO36:BR36"/>
    <mergeCell ref="AY36:AY37"/>
    <mergeCell ref="AZ36:BC36"/>
    <mergeCell ref="BD36:BD37"/>
    <mergeCell ref="BE36:BH36"/>
    <mergeCell ref="BI36:BI37"/>
    <mergeCell ref="BJ36:BM36"/>
    <mergeCell ref="AJ36:AJ37"/>
    <mergeCell ref="AK36:AN36"/>
    <mergeCell ref="AO36:AO37"/>
    <mergeCell ref="AP36:AS36"/>
    <mergeCell ref="AT36:AT37"/>
    <mergeCell ref="AU36:AX36"/>
    <mergeCell ref="U36:U37"/>
    <mergeCell ref="V36:Y36"/>
    <mergeCell ref="Z36:Z37"/>
    <mergeCell ref="AA36:AD36"/>
    <mergeCell ref="AE36:AE37"/>
    <mergeCell ref="AF36:AI36"/>
    <mergeCell ref="BN38:BO39"/>
    <mergeCell ref="BP38:BR39"/>
    <mergeCell ref="A40:E41"/>
    <mergeCell ref="F40:J41"/>
    <mergeCell ref="P40:T41"/>
    <mergeCell ref="Z40:AD41"/>
    <mergeCell ref="AY38:AZ39"/>
    <mergeCell ref="BA38:BC39"/>
    <mergeCell ref="BD38:BE39"/>
    <mergeCell ref="BF38:BH39"/>
    <mergeCell ref="BI38:BJ39"/>
    <mergeCell ref="BK38:BM39"/>
    <mergeCell ref="AJ38:AK39"/>
    <mergeCell ref="AL38:AN39"/>
    <mergeCell ref="AO38:AP39"/>
    <mergeCell ref="AQ38:AS39"/>
    <mergeCell ref="AT38:AU39"/>
    <mergeCell ref="U38:V39"/>
    <mergeCell ref="W38:Y39"/>
    <mergeCell ref="Z38:AA39"/>
    <mergeCell ref="AB38:AD39"/>
    <mergeCell ref="AE38:AF39"/>
    <mergeCell ref="AG38:AI39"/>
    <mergeCell ref="A38:B39"/>
    <mergeCell ref="C38:E39"/>
    <mergeCell ref="F38:G39"/>
    <mergeCell ref="H38:J39"/>
    <mergeCell ref="K38:L39"/>
    <mergeCell ref="M38:O39"/>
    <mergeCell ref="P38:Q39"/>
    <mergeCell ref="R38:T39"/>
    <mergeCell ref="Z42:Z43"/>
    <mergeCell ref="AA42:AD42"/>
    <mergeCell ref="AE42:AE43"/>
    <mergeCell ref="AF42:AI42"/>
    <mergeCell ref="BN40:BR41"/>
    <mergeCell ref="A42:A43"/>
    <mergeCell ref="B42:E42"/>
    <mergeCell ref="F42:F43"/>
    <mergeCell ref="G42:J42"/>
    <mergeCell ref="K42:K43"/>
    <mergeCell ref="L42:O42"/>
    <mergeCell ref="P42:P43"/>
    <mergeCell ref="Q42:T42"/>
    <mergeCell ref="AE40:AI41"/>
    <mergeCell ref="AJ40:AN41"/>
    <mergeCell ref="AO40:AS41"/>
    <mergeCell ref="AT40:AX41"/>
    <mergeCell ref="AY40:BC41"/>
    <mergeCell ref="BD40:BH41"/>
    <mergeCell ref="U44:V45"/>
    <mergeCell ref="W44:Y45"/>
    <mergeCell ref="Z44:AA45"/>
    <mergeCell ref="AB44:AD45"/>
    <mergeCell ref="AE44:AF45"/>
    <mergeCell ref="AG44:AI45"/>
    <mergeCell ref="AT46:AX47"/>
    <mergeCell ref="AY46:BC47"/>
    <mergeCell ref="BN42:BN43"/>
    <mergeCell ref="BO42:BR42"/>
    <mergeCell ref="A44:B45"/>
    <mergeCell ref="C44:E45"/>
    <mergeCell ref="F44:G45"/>
    <mergeCell ref="H44:J45"/>
    <mergeCell ref="K44:L45"/>
    <mergeCell ref="M44:O45"/>
    <mergeCell ref="P44:Q45"/>
    <mergeCell ref="R44:T45"/>
    <mergeCell ref="AY42:AY43"/>
    <mergeCell ref="AZ42:BC42"/>
    <mergeCell ref="BD42:BD43"/>
    <mergeCell ref="BE42:BH42"/>
    <mergeCell ref="BI42:BI43"/>
    <mergeCell ref="BJ42:BM42"/>
    <mergeCell ref="AJ42:AJ43"/>
    <mergeCell ref="AK42:AN42"/>
    <mergeCell ref="AO42:AO43"/>
    <mergeCell ref="AP42:AS42"/>
    <mergeCell ref="AT42:AT43"/>
    <mergeCell ref="AU42:AX42"/>
    <mergeCell ref="U42:U43"/>
    <mergeCell ref="V42:Y42"/>
    <mergeCell ref="AE50:AF51"/>
    <mergeCell ref="AG50:AI51"/>
    <mergeCell ref="AJ50:AK51"/>
    <mergeCell ref="AL50:AN51"/>
    <mergeCell ref="AO50:AP51"/>
    <mergeCell ref="M50:O51"/>
    <mergeCell ref="P50:Q51"/>
    <mergeCell ref="R50:T51"/>
    <mergeCell ref="BN46:BR47"/>
    <mergeCell ref="A48:A49"/>
    <mergeCell ref="B48:E48"/>
    <mergeCell ref="F48:F49"/>
    <mergeCell ref="G48:J48"/>
    <mergeCell ref="K48:K49"/>
    <mergeCell ref="BN44:BO45"/>
    <mergeCell ref="BP44:BR45"/>
    <mergeCell ref="F46:J47"/>
    <mergeCell ref="P46:T47"/>
    <mergeCell ref="U46:Y47"/>
    <mergeCell ref="Z46:AD47"/>
    <mergeCell ref="AY44:AZ45"/>
    <mergeCell ref="BA44:BC45"/>
    <mergeCell ref="BD44:BE45"/>
    <mergeCell ref="BF44:BH45"/>
    <mergeCell ref="BI44:BJ45"/>
    <mergeCell ref="BK44:BM45"/>
    <mergeCell ref="AJ44:AK45"/>
    <mergeCell ref="AL44:AN45"/>
    <mergeCell ref="AO44:AP45"/>
    <mergeCell ref="AQ44:AS45"/>
    <mergeCell ref="AT44:AU45"/>
    <mergeCell ref="AV44:AX45"/>
    <mergeCell ref="BN48:BN49"/>
    <mergeCell ref="BO48:BR48"/>
    <mergeCell ref="BD52:BH53"/>
    <mergeCell ref="BI52:BM53"/>
    <mergeCell ref="BN52:BR53"/>
    <mergeCell ref="A54:A55"/>
    <mergeCell ref="B54:E54"/>
    <mergeCell ref="F54:F55"/>
    <mergeCell ref="G54:J54"/>
    <mergeCell ref="K54:K55"/>
    <mergeCell ref="L54:O54"/>
    <mergeCell ref="P54:P55"/>
    <mergeCell ref="Z52:AD53"/>
    <mergeCell ref="AE52:AI53"/>
    <mergeCell ref="AJ52:AN53"/>
    <mergeCell ref="AO52:AS53"/>
    <mergeCell ref="AT52:AX53"/>
    <mergeCell ref="AY52:BC53"/>
    <mergeCell ref="BF50:BH51"/>
    <mergeCell ref="BI50:BJ51"/>
    <mergeCell ref="BK50:BM51"/>
    <mergeCell ref="BN50:BO51"/>
    <mergeCell ref="BP50:BR51"/>
    <mergeCell ref="A52:E53"/>
    <mergeCell ref="F52:J53"/>
    <mergeCell ref="K52:O53"/>
    <mergeCell ref="A50:B51"/>
    <mergeCell ref="C50:E51"/>
    <mergeCell ref="F50:G51"/>
    <mergeCell ref="H50:J51"/>
    <mergeCell ref="K50:L51"/>
    <mergeCell ref="AP48:AS48"/>
    <mergeCell ref="BN66:BN67"/>
    <mergeCell ref="BO66:BR66"/>
    <mergeCell ref="BE66:BH66"/>
    <mergeCell ref="P52:T53"/>
    <mergeCell ref="U52:Y53"/>
    <mergeCell ref="AQ50:AS51"/>
    <mergeCell ref="AT50:AU51"/>
    <mergeCell ref="AV50:AX51"/>
    <mergeCell ref="AY50:AZ51"/>
    <mergeCell ref="BA50:BC51"/>
    <mergeCell ref="BD50:BE51"/>
    <mergeCell ref="BJ54:BM54"/>
    <mergeCell ref="BN54:BN55"/>
    <mergeCell ref="BO54:BR54"/>
    <mergeCell ref="A62:B63"/>
    <mergeCell ref="C62:E63"/>
    <mergeCell ref="F62:G63"/>
    <mergeCell ref="H62:J63"/>
    <mergeCell ref="K62:L63"/>
    <mergeCell ref="M62:O63"/>
    <mergeCell ref="P62:Q63"/>
    <mergeCell ref="AU54:AX54"/>
    <mergeCell ref="AY54:AY55"/>
    <mergeCell ref="AZ54:BC54"/>
    <mergeCell ref="BD54:BD55"/>
    <mergeCell ref="BE54:BH54"/>
    <mergeCell ref="BI54:BI55"/>
    <mergeCell ref="AF54:AI54"/>
    <mergeCell ref="AJ54:AJ55"/>
    <mergeCell ref="AK54:AN54"/>
    <mergeCell ref="AO54:AO55"/>
    <mergeCell ref="AP54:AS54"/>
    <mergeCell ref="A66:A67"/>
    <mergeCell ref="B66:E66"/>
    <mergeCell ref="F66:F67"/>
    <mergeCell ref="G66:J66"/>
    <mergeCell ref="AE54:AE55"/>
    <mergeCell ref="K66:K67"/>
    <mergeCell ref="AJ64:AN65"/>
    <mergeCell ref="AO64:AS65"/>
    <mergeCell ref="AT64:AX65"/>
    <mergeCell ref="BK62:BM63"/>
    <mergeCell ref="BN62:BO63"/>
    <mergeCell ref="BP62:BR63"/>
    <mergeCell ref="A64:E65"/>
    <mergeCell ref="F64:J65"/>
    <mergeCell ref="P64:T65"/>
    <mergeCell ref="U64:Y65"/>
    <mergeCell ref="Z64:AD65"/>
    <mergeCell ref="AV62:AX63"/>
    <mergeCell ref="AY62:AZ63"/>
    <mergeCell ref="BA62:BC63"/>
    <mergeCell ref="BD62:BE63"/>
    <mergeCell ref="BF62:BH63"/>
    <mergeCell ref="BI62:BJ63"/>
    <mergeCell ref="AG62:AI63"/>
    <mergeCell ref="AJ62:AK63"/>
    <mergeCell ref="AL62:AN63"/>
    <mergeCell ref="AO62:AP63"/>
    <mergeCell ref="AQ62:AS63"/>
    <mergeCell ref="AT62:AU63"/>
    <mergeCell ref="R62:T63"/>
    <mergeCell ref="U62:V63"/>
    <mergeCell ref="W62:Y63"/>
    <mergeCell ref="AP66:AS66"/>
    <mergeCell ref="AT66:AT67"/>
    <mergeCell ref="AU66:AX66"/>
    <mergeCell ref="AY66:AY67"/>
    <mergeCell ref="AZ66:BC66"/>
    <mergeCell ref="BD66:BD67"/>
    <mergeCell ref="AA66:AD66"/>
    <mergeCell ref="AE66:AE67"/>
    <mergeCell ref="AF66:AI66"/>
    <mergeCell ref="AJ66:AJ67"/>
    <mergeCell ref="AK66:AN66"/>
    <mergeCell ref="AO66:AO67"/>
    <mergeCell ref="L66:O66"/>
    <mergeCell ref="P66:P67"/>
    <mergeCell ref="Q66:T66"/>
    <mergeCell ref="U66:U67"/>
    <mergeCell ref="V66:Y66"/>
    <mergeCell ref="Z66:Z67"/>
    <mergeCell ref="AV68:AX69"/>
    <mergeCell ref="AY68:AZ69"/>
    <mergeCell ref="BA68:BC69"/>
    <mergeCell ref="BD68:BE69"/>
    <mergeCell ref="AB68:AD69"/>
    <mergeCell ref="AE68:AF69"/>
    <mergeCell ref="AG68:AI69"/>
    <mergeCell ref="AJ68:AK69"/>
    <mergeCell ref="AL68:AN69"/>
    <mergeCell ref="AO68:AP69"/>
    <mergeCell ref="M68:O69"/>
    <mergeCell ref="P68:Q69"/>
    <mergeCell ref="R68:T69"/>
    <mergeCell ref="U68:V69"/>
    <mergeCell ref="W68:Y69"/>
    <mergeCell ref="Z68:AA69"/>
    <mergeCell ref="A68:B69"/>
    <mergeCell ref="C68:E69"/>
    <mergeCell ref="F68:G69"/>
    <mergeCell ref="H68:J69"/>
    <mergeCell ref="K68:L69"/>
    <mergeCell ref="BI66:BI67"/>
    <mergeCell ref="BJ66:BM66"/>
    <mergeCell ref="AF72:AI72"/>
    <mergeCell ref="BN70:BR71"/>
    <mergeCell ref="A72:A73"/>
    <mergeCell ref="B72:E72"/>
    <mergeCell ref="F72:F73"/>
    <mergeCell ref="G72:J72"/>
    <mergeCell ref="K72:K73"/>
    <mergeCell ref="L72:O72"/>
    <mergeCell ref="P72:P73"/>
    <mergeCell ref="Q72:T72"/>
    <mergeCell ref="AT70:AX71"/>
    <mergeCell ref="BD70:BH71"/>
    <mergeCell ref="AO70:AS71"/>
    <mergeCell ref="AY70:BC71"/>
    <mergeCell ref="BI70:BM71"/>
    <mergeCell ref="Z70:AD71"/>
    <mergeCell ref="AJ70:AN71"/>
    <mergeCell ref="U70:Y71"/>
    <mergeCell ref="AE70:AI71"/>
    <mergeCell ref="BF68:BH69"/>
    <mergeCell ref="BI68:BJ69"/>
    <mergeCell ref="BK68:BM69"/>
    <mergeCell ref="BN68:BO69"/>
    <mergeCell ref="BP68:BR69"/>
    <mergeCell ref="A70:E71"/>
    <mergeCell ref="F70:J71"/>
    <mergeCell ref="K70:O71"/>
    <mergeCell ref="P70:T71"/>
    <mergeCell ref="AQ68:AS69"/>
    <mergeCell ref="AT68:AU69"/>
    <mergeCell ref="W74:Y75"/>
    <mergeCell ref="Z74:AA75"/>
    <mergeCell ref="AB74:AD75"/>
    <mergeCell ref="AE74:AF75"/>
    <mergeCell ref="AG74:AI75"/>
    <mergeCell ref="BN72:BN73"/>
    <mergeCell ref="BO72:BR72"/>
    <mergeCell ref="A74:B75"/>
    <mergeCell ref="C74:E75"/>
    <mergeCell ref="F74:G75"/>
    <mergeCell ref="H74:J75"/>
    <mergeCell ref="K74:L75"/>
    <mergeCell ref="M74:O75"/>
    <mergeCell ref="P74:Q75"/>
    <mergeCell ref="R74:T75"/>
    <mergeCell ref="AY72:AY73"/>
    <mergeCell ref="AZ72:BC72"/>
    <mergeCell ref="BD72:BD73"/>
    <mergeCell ref="BE72:BH72"/>
    <mergeCell ref="BI72:BI73"/>
    <mergeCell ref="BJ72:BM72"/>
    <mergeCell ref="AJ72:AJ73"/>
    <mergeCell ref="AK72:AN72"/>
    <mergeCell ref="AO72:AO73"/>
    <mergeCell ref="AP72:AS72"/>
    <mergeCell ref="AT72:AT73"/>
    <mergeCell ref="AU72:AX72"/>
    <mergeCell ref="U72:U73"/>
    <mergeCell ref="V72:Y72"/>
    <mergeCell ref="Z72:Z73"/>
    <mergeCell ref="AA72:AD72"/>
    <mergeCell ref="AE72:AE73"/>
    <mergeCell ref="BN76:BR77"/>
    <mergeCell ref="A78:A79"/>
    <mergeCell ref="B78:E78"/>
    <mergeCell ref="F78:F79"/>
    <mergeCell ref="G78:J78"/>
    <mergeCell ref="K78:K79"/>
    <mergeCell ref="L78:O78"/>
    <mergeCell ref="P78:P79"/>
    <mergeCell ref="Q78:T78"/>
    <mergeCell ref="U78:U79"/>
    <mergeCell ref="AT76:AX77"/>
    <mergeCell ref="BD76:BH77"/>
    <mergeCell ref="BI76:BM77"/>
    <mergeCell ref="Z76:AD77"/>
    <mergeCell ref="AJ76:AN77"/>
    <mergeCell ref="BN74:BO75"/>
    <mergeCell ref="BP74:BR75"/>
    <mergeCell ref="F76:J77"/>
    <mergeCell ref="P76:T77"/>
    <mergeCell ref="AY74:AZ75"/>
    <mergeCell ref="BA74:BC75"/>
    <mergeCell ref="BD74:BE75"/>
    <mergeCell ref="BF74:BH75"/>
    <mergeCell ref="BI74:BJ75"/>
    <mergeCell ref="BK74:BM75"/>
    <mergeCell ref="AJ74:AK75"/>
    <mergeCell ref="AL74:AN75"/>
    <mergeCell ref="AO74:AP75"/>
    <mergeCell ref="AQ74:AS75"/>
    <mergeCell ref="AT74:AU75"/>
    <mergeCell ref="AV74:AX75"/>
    <mergeCell ref="U74:V75"/>
    <mergeCell ref="BO78:BR78"/>
    <mergeCell ref="A80:B81"/>
    <mergeCell ref="C80:E81"/>
    <mergeCell ref="F80:G81"/>
    <mergeCell ref="H80:J81"/>
    <mergeCell ref="K80:L81"/>
    <mergeCell ref="M80:O81"/>
    <mergeCell ref="P80:Q81"/>
    <mergeCell ref="R80:T81"/>
    <mergeCell ref="U80:V81"/>
    <mergeCell ref="AZ78:BC78"/>
    <mergeCell ref="BD78:BD79"/>
    <mergeCell ref="BE78:BH78"/>
    <mergeCell ref="BI78:BI79"/>
    <mergeCell ref="BJ78:BM78"/>
    <mergeCell ref="BN78:BN79"/>
    <mergeCell ref="AK78:AN78"/>
    <mergeCell ref="AO78:AO79"/>
    <mergeCell ref="AP78:AS78"/>
    <mergeCell ref="AT78:AT79"/>
    <mergeCell ref="AU78:AX78"/>
    <mergeCell ref="AY78:AY79"/>
    <mergeCell ref="V78:Y78"/>
    <mergeCell ref="Z78:Z79"/>
    <mergeCell ref="AA78:AD78"/>
    <mergeCell ref="AE78:AE79"/>
    <mergeCell ref="AF78:AI78"/>
    <mergeCell ref="AJ78:AJ79"/>
    <mergeCell ref="BD82:BH83"/>
    <mergeCell ref="BN82:BR83"/>
    <mergeCell ref="BI82:BM83"/>
    <mergeCell ref="AJ82:AN83"/>
    <mergeCell ref="AT82:AX83"/>
    <mergeCell ref="BP80:BR81"/>
    <mergeCell ref="F82:J83"/>
    <mergeCell ref="P82:T83"/>
    <mergeCell ref="Z82:AD83"/>
    <mergeCell ref="BA80:BC81"/>
    <mergeCell ref="BD80:BE81"/>
    <mergeCell ref="BF80:BH81"/>
    <mergeCell ref="BI80:BJ81"/>
    <mergeCell ref="BK80:BM81"/>
    <mergeCell ref="BN80:BO81"/>
    <mergeCell ref="AL80:AN81"/>
    <mergeCell ref="AO80:AP81"/>
    <mergeCell ref="AQ80:AS81"/>
    <mergeCell ref="AT80:AU81"/>
    <mergeCell ref="AV80:AX81"/>
    <mergeCell ref="AY80:AZ81"/>
    <mergeCell ref="W80:Y81"/>
    <mergeCell ref="Z80:AA81"/>
    <mergeCell ref="AB80:AD81"/>
    <mergeCell ref="AE80:AF81"/>
    <mergeCell ref="AG80:AI81"/>
    <mergeCell ref="AJ80:AK81"/>
    <mergeCell ref="BI84:BI85"/>
    <mergeCell ref="BJ84:BM84"/>
    <mergeCell ref="BN84:BN85"/>
    <mergeCell ref="BO84:BR84"/>
    <mergeCell ref="A86:B87"/>
    <mergeCell ref="C86:E87"/>
    <mergeCell ref="F86:G87"/>
    <mergeCell ref="H86:J87"/>
    <mergeCell ref="K86:L87"/>
    <mergeCell ref="M86:O87"/>
    <mergeCell ref="AT84:AT85"/>
    <mergeCell ref="AU84:AX84"/>
    <mergeCell ref="AY84:AY85"/>
    <mergeCell ref="AZ84:BC84"/>
    <mergeCell ref="BD84:BD85"/>
    <mergeCell ref="BE84:BH84"/>
    <mergeCell ref="AE84:AE85"/>
    <mergeCell ref="AF84:AI84"/>
    <mergeCell ref="AJ84:AJ85"/>
    <mergeCell ref="AK84:AN84"/>
    <mergeCell ref="AO84:AO85"/>
    <mergeCell ref="AP84:AS84"/>
    <mergeCell ref="P84:P85"/>
    <mergeCell ref="Q84:T84"/>
    <mergeCell ref="U84:U85"/>
    <mergeCell ref="V84:Y84"/>
    <mergeCell ref="Z84:Z85"/>
    <mergeCell ref="AA84:AD84"/>
    <mergeCell ref="A84:A85"/>
    <mergeCell ref="B84:E84"/>
    <mergeCell ref="F84:F85"/>
    <mergeCell ref="G84:J84"/>
    <mergeCell ref="K90:K91"/>
    <mergeCell ref="L90:O90"/>
    <mergeCell ref="P90:P91"/>
    <mergeCell ref="Q90:T90"/>
    <mergeCell ref="U90:U91"/>
    <mergeCell ref="AY88:BC89"/>
    <mergeCell ref="BD88:BH89"/>
    <mergeCell ref="BI88:BM89"/>
    <mergeCell ref="BN88:BR89"/>
    <mergeCell ref="AT88:AX89"/>
    <mergeCell ref="Z88:AD89"/>
    <mergeCell ref="BI86:BJ87"/>
    <mergeCell ref="BK86:BM87"/>
    <mergeCell ref="BN86:BO87"/>
    <mergeCell ref="BP86:BR87"/>
    <mergeCell ref="F88:J89"/>
    <mergeCell ref="P88:T89"/>
    <mergeCell ref="AT86:AU87"/>
    <mergeCell ref="AV86:AX87"/>
    <mergeCell ref="AY86:AZ87"/>
    <mergeCell ref="BA86:BC87"/>
    <mergeCell ref="BD86:BE87"/>
    <mergeCell ref="BF86:BH87"/>
    <mergeCell ref="AE86:AF87"/>
    <mergeCell ref="AG86:AI87"/>
    <mergeCell ref="AJ86:AK87"/>
    <mergeCell ref="AL86:AN87"/>
    <mergeCell ref="AO86:AP87"/>
    <mergeCell ref="AQ86:AS87"/>
    <mergeCell ref="P86:Q87"/>
    <mergeCell ref="R86:T87"/>
    <mergeCell ref="U86:V87"/>
    <mergeCell ref="BO90:BR90"/>
    <mergeCell ref="A92:B93"/>
    <mergeCell ref="C92:E93"/>
    <mergeCell ref="F92:G93"/>
    <mergeCell ref="H92:J93"/>
    <mergeCell ref="K92:L93"/>
    <mergeCell ref="M92:O93"/>
    <mergeCell ref="P92:Q93"/>
    <mergeCell ref="R92:T93"/>
    <mergeCell ref="U92:V93"/>
    <mergeCell ref="AZ90:BC90"/>
    <mergeCell ref="BD90:BD91"/>
    <mergeCell ref="BE90:BH90"/>
    <mergeCell ref="BI90:BI91"/>
    <mergeCell ref="BJ90:BM90"/>
    <mergeCell ref="BN90:BN91"/>
    <mergeCell ref="AK90:AN90"/>
    <mergeCell ref="AO90:AO91"/>
    <mergeCell ref="AP90:AS90"/>
    <mergeCell ref="AT90:AT91"/>
    <mergeCell ref="AU90:AX90"/>
    <mergeCell ref="AY90:AY91"/>
    <mergeCell ref="V90:Y90"/>
    <mergeCell ref="Z90:Z91"/>
    <mergeCell ref="AA90:AD90"/>
    <mergeCell ref="AE90:AE91"/>
    <mergeCell ref="AF90:AI90"/>
    <mergeCell ref="AJ90:AJ91"/>
    <mergeCell ref="A90:A91"/>
    <mergeCell ref="B90:E90"/>
    <mergeCell ref="F90:F91"/>
    <mergeCell ref="G90:J90"/>
    <mergeCell ref="BD94:BH95"/>
    <mergeCell ref="BI94:BM95"/>
    <mergeCell ref="AJ94:AN95"/>
    <mergeCell ref="AT94:AX95"/>
    <mergeCell ref="BA92:BC93"/>
    <mergeCell ref="BD92:BE93"/>
    <mergeCell ref="BF92:BH93"/>
    <mergeCell ref="BI92:BJ93"/>
    <mergeCell ref="BK92:BM93"/>
    <mergeCell ref="F94:J95"/>
    <mergeCell ref="AL92:AN93"/>
    <mergeCell ref="AO92:AP93"/>
    <mergeCell ref="AQ92:AS93"/>
    <mergeCell ref="AT92:AU93"/>
    <mergeCell ref="AV92:AX93"/>
    <mergeCell ref="AY92:AZ93"/>
    <mergeCell ref="W92:Y93"/>
    <mergeCell ref="Z92:AA93"/>
    <mergeCell ref="AB92:AD93"/>
    <mergeCell ref="AE92:AF93"/>
    <mergeCell ref="AG92:AI93"/>
    <mergeCell ref="AJ92:AK93"/>
    <mergeCell ref="AF96:AI96"/>
    <mergeCell ref="AJ96:AJ97"/>
    <mergeCell ref="AK96:AN96"/>
    <mergeCell ref="AO96:AO97"/>
    <mergeCell ref="AP96:AS96"/>
    <mergeCell ref="P96:P97"/>
    <mergeCell ref="Q96:T96"/>
    <mergeCell ref="U96:U97"/>
    <mergeCell ref="V96:Y96"/>
    <mergeCell ref="Z96:Z97"/>
    <mergeCell ref="AA96:AD96"/>
    <mergeCell ref="A96:A97"/>
    <mergeCell ref="B96:E96"/>
    <mergeCell ref="F96:F97"/>
    <mergeCell ref="G96:J96"/>
    <mergeCell ref="K96:K97"/>
    <mergeCell ref="L96:O96"/>
    <mergeCell ref="CB138:CC140"/>
    <mergeCell ref="CD138:CE140"/>
    <mergeCell ref="CI138:CR140"/>
    <mergeCell ref="AL140:AN142"/>
    <mergeCell ref="AO140:AQ142"/>
    <mergeCell ref="AR140:AU142"/>
    <mergeCell ref="AW141:BF145"/>
    <mergeCell ref="BV141:BX144"/>
    <mergeCell ref="BY141:CA144"/>
    <mergeCell ref="CB141:CC144"/>
    <mergeCell ref="BV133:BY134"/>
    <mergeCell ref="AW135:BF136"/>
    <mergeCell ref="AL137:AN139"/>
    <mergeCell ref="AO137:AQ139"/>
    <mergeCell ref="AR137:AU139"/>
    <mergeCell ref="AW137:BF140"/>
    <mergeCell ref="BV138:BX140"/>
    <mergeCell ref="BY138:CA140"/>
    <mergeCell ref="AJ130:AL133"/>
    <mergeCell ref="AM130:AO133"/>
    <mergeCell ref="AP130:AQ133"/>
    <mergeCell ref="AR130:AS133"/>
    <mergeCell ref="AW130:BF131"/>
    <mergeCell ref="AW132:BF134"/>
    <mergeCell ref="BX151:BZ153"/>
    <mergeCell ref="CA151:CC153"/>
    <mergeCell ref="CD151:CG153"/>
    <mergeCell ref="CI152:CR156"/>
    <mergeCell ref="AJ154:AL156"/>
    <mergeCell ref="AM154:AO156"/>
    <mergeCell ref="AP154:AQ156"/>
    <mergeCell ref="AR154:AS156"/>
    <mergeCell ref="AW154:BF156"/>
    <mergeCell ref="AO146:AQ148"/>
    <mergeCell ref="AR146:AU148"/>
    <mergeCell ref="CI146:CR147"/>
    <mergeCell ref="BX148:BZ150"/>
    <mergeCell ref="CA148:CC150"/>
    <mergeCell ref="CD148:CG150"/>
    <mergeCell ref="CI148:CR151"/>
    <mergeCell ref="CD141:CE144"/>
    <mergeCell ref="CI141:CR142"/>
    <mergeCell ref="CI143:CR145"/>
    <mergeCell ref="AL145:AN145"/>
    <mergeCell ref="AO145:AQ145"/>
    <mergeCell ref="AR145:AU145"/>
    <mergeCell ref="AW159:BF161"/>
    <mergeCell ref="AW162:BF163"/>
    <mergeCell ref="AL164:AN166"/>
    <mergeCell ref="AO164:AQ166"/>
    <mergeCell ref="AR164:AU166"/>
    <mergeCell ref="AW164:BF167"/>
    <mergeCell ref="AL167:AN169"/>
    <mergeCell ref="AO167:AQ169"/>
    <mergeCell ref="AR167:AU169"/>
    <mergeCell ref="AW168:BF172"/>
    <mergeCell ref="BX154:BZ156"/>
    <mergeCell ref="CA154:CC156"/>
    <mergeCell ref="CD154:CG156"/>
    <mergeCell ref="AJ157:AL160"/>
    <mergeCell ref="AM157:AO160"/>
    <mergeCell ref="AP157:AQ160"/>
    <mergeCell ref="AR157:AS160"/>
    <mergeCell ref="AW157:BF158"/>
    <mergeCell ref="CA157:CC159"/>
    <mergeCell ref="CD157:CG159"/>
    <mergeCell ref="AK192:AM195"/>
    <mergeCell ref="AN192:AP195"/>
    <mergeCell ref="AQ192:AR195"/>
    <mergeCell ref="AS192:AU195"/>
    <mergeCell ref="A4:E4"/>
    <mergeCell ref="A5:B5"/>
    <mergeCell ref="C5:E5"/>
    <mergeCell ref="F4:J4"/>
    <mergeCell ref="AL170:AN172"/>
    <mergeCell ref="AO170:AQ172"/>
    <mergeCell ref="AR170:AU172"/>
    <mergeCell ref="AO173:AQ175"/>
    <mergeCell ref="AR173:AU175"/>
    <mergeCell ref="AK189:AM191"/>
    <mergeCell ref="AN189:AP191"/>
    <mergeCell ref="AQ189:AR191"/>
    <mergeCell ref="AS189:AT191"/>
    <mergeCell ref="AI150:AL152"/>
    <mergeCell ref="M116:P120"/>
    <mergeCell ref="AB127:AF133"/>
    <mergeCell ref="AJ127:AL129"/>
    <mergeCell ref="AM127:AO129"/>
    <mergeCell ref="AP127:AQ129"/>
    <mergeCell ref="AR127:AS129"/>
    <mergeCell ref="H109:K111"/>
    <mergeCell ref="Y110:AJ115"/>
    <mergeCell ref="AK110:AU115"/>
    <mergeCell ref="B112:P115"/>
    <mergeCell ref="Y105:AJ109"/>
    <mergeCell ref="H106:K108"/>
    <mergeCell ref="AT96:AT97"/>
    <mergeCell ref="AU96:AX96"/>
    <mergeCell ref="K4:O4"/>
    <mergeCell ref="K5:L5"/>
    <mergeCell ref="M5:O5"/>
    <mergeCell ref="P4:T4"/>
    <mergeCell ref="AY4:BC4"/>
    <mergeCell ref="BD4:BH4"/>
    <mergeCell ref="AJ5:AK5"/>
    <mergeCell ref="AL5:AN5"/>
    <mergeCell ref="BD10:BH10"/>
    <mergeCell ref="A10:E10"/>
    <mergeCell ref="F10:J10"/>
    <mergeCell ref="K10:O10"/>
    <mergeCell ref="P10:T10"/>
    <mergeCell ref="U10:Y10"/>
    <mergeCell ref="Z10:AD10"/>
    <mergeCell ref="BD5:BE5"/>
    <mergeCell ref="BF5:BH5"/>
    <mergeCell ref="U8:V9"/>
    <mergeCell ref="W8:Y9"/>
    <mergeCell ref="Z8:AA9"/>
    <mergeCell ref="AB8:AD9"/>
    <mergeCell ref="AE8:AF9"/>
    <mergeCell ref="AG8:AI9"/>
    <mergeCell ref="K8:L9"/>
    <mergeCell ref="M8:O9"/>
    <mergeCell ref="P8:Q9"/>
    <mergeCell ref="R8:T9"/>
    <mergeCell ref="A6:A7"/>
    <mergeCell ref="B6:E6"/>
    <mergeCell ref="AO5:AP5"/>
    <mergeCell ref="AT5:AU5"/>
    <mergeCell ref="AV5:AX5"/>
    <mergeCell ref="AY5:AZ5"/>
    <mergeCell ref="BA5:BC5"/>
    <mergeCell ref="BN6:BN7"/>
    <mergeCell ref="BO6:BR6"/>
    <mergeCell ref="A8:B9"/>
    <mergeCell ref="C8:E9"/>
    <mergeCell ref="F8:G9"/>
    <mergeCell ref="H8:J9"/>
    <mergeCell ref="AY6:AY7"/>
    <mergeCell ref="AZ6:BC6"/>
    <mergeCell ref="BD6:BD7"/>
    <mergeCell ref="BE6:BH6"/>
    <mergeCell ref="BI6:BI7"/>
    <mergeCell ref="BJ6:BM6"/>
    <mergeCell ref="AJ6:AJ7"/>
    <mergeCell ref="F6:F7"/>
    <mergeCell ref="G6:J6"/>
    <mergeCell ref="K6:K7"/>
    <mergeCell ref="L6:O6"/>
    <mergeCell ref="F5:G5"/>
    <mergeCell ref="H5:J5"/>
    <mergeCell ref="A11:B11"/>
    <mergeCell ref="C11:E11"/>
    <mergeCell ref="F11:G11"/>
    <mergeCell ref="H11:J11"/>
    <mergeCell ref="K11:L11"/>
    <mergeCell ref="M11:O11"/>
    <mergeCell ref="AE10:AI10"/>
    <mergeCell ref="AJ10:AN10"/>
    <mergeCell ref="AO10:AS10"/>
    <mergeCell ref="AT10:AX10"/>
    <mergeCell ref="AY10:BC10"/>
    <mergeCell ref="BI16:BM16"/>
    <mergeCell ref="BN16:BR16"/>
    <mergeCell ref="A17:B17"/>
    <mergeCell ref="C17:E17"/>
    <mergeCell ref="F17:G17"/>
    <mergeCell ref="H17:J17"/>
    <mergeCell ref="K17:L17"/>
    <mergeCell ref="M17:O17"/>
    <mergeCell ref="P17:Q17"/>
    <mergeCell ref="R17:T17"/>
    <mergeCell ref="BN11:BO11"/>
    <mergeCell ref="BP11:BR11"/>
    <mergeCell ref="A16:E16"/>
    <mergeCell ref="F16:J16"/>
    <mergeCell ref="K16:O16"/>
    <mergeCell ref="P16:T16"/>
    <mergeCell ref="U16:Y16"/>
    <mergeCell ref="Z16:AD16"/>
    <mergeCell ref="AE16:AI16"/>
    <mergeCell ref="AJ16:AN16"/>
    <mergeCell ref="AY11:AZ11"/>
    <mergeCell ref="BN17:BO17"/>
    <mergeCell ref="BP17:BR17"/>
    <mergeCell ref="A22:E22"/>
    <mergeCell ref="F22:J22"/>
    <mergeCell ref="K22:O22"/>
    <mergeCell ref="P22:T22"/>
    <mergeCell ref="U22:Y22"/>
    <mergeCell ref="Z22:AD22"/>
    <mergeCell ref="AE22:AI22"/>
    <mergeCell ref="BD22:BH22"/>
    <mergeCell ref="AY17:AZ17"/>
    <mergeCell ref="BA17:BC17"/>
    <mergeCell ref="BD17:BE17"/>
    <mergeCell ref="BF17:BH17"/>
    <mergeCell ref="BI17:BJ17"/>
    <mergeCell ref="BK17:BM17"/>
    <mergeCell ref="AJ17:AK17"/>
    <mergeCell ref="AL17:AN17"/>
    <mergeCell ref="AO17:AP17"/>
    <mergeCell ref="AQ17:AS17"/>
    <mergeCell ref="AT17:AU17"/>
    <mergeCell ref="AV17:AX17"/>
    <mergeCell ref="U17:V17"/>
    <mergeCell ref="W17:Y17"/>
    <mergeCell ref="Z17:AA17"/>
    <mergeCell ref="AB17:AD17"/>
    <mergeCell ref="AE17:AF17"/>
    <mergeCell ref="AG17:AI17"/>
    <mergeCell ref="BI22:BM22"/>
    <mergeCell ref="BN22:BR22"/>
    <mergeCell ref="BN20:BO21"/>
    <mergeCell ref="BP20:BR21"/>
    <mergeCell ref="AJ22:AN22"/>
    <mergeCell ref="AO22:AS22"/>
    <mergeCell ref="AT22:AX22"/>
    <mergeCell ref="AY22:BC22"/>
    <mergeCell ref="AJ23:AK23"/>
    <mergeCell ref="AL23:AN23"/>
    <mergeCell ref="AO23:AP23"/>
    <mergeCell ref="AQ23:AS23"/>
    <mergeCell ref="P23:Q23"/>
    <mergeCell ref="R23:T23"/>
    <mergeCell ref="U23:V23"/>
    <mergeCell ref="W23:Y23"/>
    <mergeCell ref="Z23:AA23"/>
    <mergeCell ref="AB23:AD23"/>
    <mergeCell ref="A23:B23"/>
    <mergeCell ref="C23:E23"/>
    <mergeCell ref="F23:G23"/>
    <mergeCell ref="H23:J23"/>
    <mergeCell ref="K23:L23"/>
    <mergeCell ref="M23:O23"/>
    <mergeCell ref="AT23:AU23"/>
    <mergeCell ref="AV23:AX23"/>
    <mergeCell ref="BN23:BO23"/>
    <mergeCell ref="BP23:BR23"/>
    <mergeCell ref="A28:E28"/>
    <mergeCell ref="F28:J28"/>
    <mergeCell ref="K28:O28"/>
    <mergeCell ref="P28:T28"/>
    <mergeCell ref="U28:Y28"/>
    <mergeCell ref="Z28:AD28"/>
    <mergeCell ref="AE28:AI28"/>
    <mergeCell ref="AJ28:AN28"/>
    <mergeCell ref="AY23:AZ23"/>
    <mergeCell ref="BA23:BC23"/>
    <mergeCell ref="BD23:BE23"/>
    <mergeCell ref="BF23:BH23"/>
    <mergeCell ref="BI23:BJ23"/>
    <mergeCell ref="BK23:BM23"/>
    <mergeCell ref="AE23:AF23"/>
    <mergeCell ref="AG23:AI23"/>
    <mergeCell ref="BI24:BI25"/>
    <mergeCell ref="BJ24:BM24"/>
    <mergeCell ref="BN24:BN25"/>
    <mergeCell ref="BO24:BR24"/>
    <mergeCell ref="AT28:AX28"/>
    <mergeCell ref="AY28:BC28"/>
    <mergeCell ref="BD28:BH28"/>
    <mergeCell ref="BI26:BJ27"/>
    <mergeCell ref="BK26:BM27"/>
    <mergeCell ref="BN26:BO27"/>
    <mergeCell ref="BP26:BR27"/>
    <mergeCell ref="AT26:AU27"/>
    <mergeCell ref="AV26:AX27"/>
    <mergeCell ref="AY26:AZ27"/>
    <mergeCell ref="BN29:BO29"/>
    <mergeCell ref="BP29:BR29"/>
    <mergeCell ref="A34:E34"/>
    <mergeCell ref="F34:J34"/>
    <mergeCell ref="K34:O34"/>
    <mergeCell ref="P34:T34"/>
    <mergeCell ref="U34:Y34"/>
    <mergeCell ref="Z34:AD34"/>
    <mergeCell ref="AE34:AI34"/>
    <mergeCell ref="AJ34:AN34"/>
    <mergeCell ref="AY29:AZ29"/>
    <mergeCell ref="BA29:BC29"/>
    <mergeCell ref="BD29:BE29"/>
    <mergeCell ref="BF29:BH29"/>
    <mergeCell ref="BI29:BJ29"/>
    <mergeCell ref="BK29:BM29"/>
    <mergeCell ref="AJ29:AK29"/>
    <mergeCell ref="AL29:AN29"/>
    <mergeCell ref="AO29:AP29"/>
    <mergeCell ref="AQ29:AS29"/>
    <mergeCell ref="AT29:AU29"/>
    <mergeCell ref="AV29:AX29"/>
    <mergeCell ref="U29:V29"/>
    <mergeCell ref="W29:Y29"/>
    <mergeCell ref="Z29:AA29"/>
    <mergeCell ref="AB29:AD29"/>
    <mergeCell ref="AE29:AF29"/>
    <mergeCell ref="AG29:AI29"/>
    <mergeCell ref="BN32:BO33"/>
    <mergeCell ref="BP32:BR33"/>
    <mergeCell ref="AY32:AZ33"/>
    <mergeCell ref="BA32:BC33"/>
    <mergeCell ref="F35:G35"/>
    <mergeCell ref="H35:J35"/>
    <mergeCell ref="K35:L35"/>
    <mergeCell ref="M35:O35"/>
    <mergeCell ref="BD46:BH47"/>
    <mergeCell ref="BI46:BM47"/>
    <mergeCell ref="BI40:BM41"/>
    <mergeCell ref="AV38:AX39"/>
    <mergeCell ref="AE56:AF57"/>
    <mergeCell ref="AG56:AI57"/>
    <mergeCell ref="AJ56:AK57"/>
    <mergeCell ref="AL56:AN57"/>
    <mergeCell ref="AO56:AP57"/>
    <mergeCell ref="AQ56:AS57"/>
    <mergeCell ref="P56:Q57"/>
    <mergeCell ref="R56:T57"/>
    <mergeCell ref="U56:V57"/>
    <mergeCell ref="W56:Y57"/>
    <mergeCell ref="Z56:AA57"/>
    <mergeCell ref="AB56:AD57"/>
    <mergeCell ref="AT54:AT55"/>
    <mergeCell ref="Q54:T54"/>
    <mergeCell ref="U54:U55"/>
    <mergeCell ref="U50:V51"/>
    <mergeCell ref="W50:Y51"/>
    <mergeCell ref="Z50:AA51"/>
    <mergeCell ref="BE48:BH48"/>
    <mergeCell ref="BI48:BI49"/>
    <mergeCell ref="BJ48:BM48"/>
    <mergeCell ref="AT48:AT49"/>
    <mergeCell ref="AU48:AX48"/>
    <mergeCell ref="AY48:AY49"/>
    <mergeCell ref="A56:B57"/>
    <mergeCell ref="C56:E57"/>
    <mergeCell ref="F56:G57"/>
    <mergeCell ref="H56:J57"/>
    <mergeCell ref="K56:L57"/>
    <mergeCell ref="M56:O57"/>
    <mergeCell ref="K40:O41"/>
    <mergeCell ref="U40:Y41"/>
    <mergeCell ref="A46:E47"/>
    <mergeCell ref="K46:O47"/>
    <mergeCell ref="AE46:AI47"/>
    <mergeCell ref="AJ46:AN47"/>
    <mergeCell ref="AO46:AS47"/>
    <mergeCell ref="V54:Y54"/>
    <mergeCell ref="Z54:Z55"/>
    <mergeCell ref="AA54:AD54"/>
    <mergeCell ref="BI58:BM59"/>
    <mergeCell ref="AZ48:BC48"/>
    <mergeCell ref="BD48:BD49"/>
    <mergeCell ref="AA48:AD48"/>
    <mergeCell ref="AE48:AE49"/>
    <mergeCell ref="AF48:AI48"/>
    <mergeCell ref="AJ48:AJ49"/>
    <mergeCell ref="AK48:AN48"/>
    <mergeCell ref="AO48:AO49"/>
    <mergeCell ref="L48:O48"/>
    <mergeCell ref="P48:P49"/>
    <mergeCell ref="Q48:T48"/>
    <mergeCell ref="U48:U49"/>
    <mergeCell ref="V48:Y48"/>
    <mergeCell ref="Z48:Z49"/>
    <mergeCell ref="AB50:AD51"/>
    <mergeCell ref="BN58:BR59"/>
    <mergeCell ref="A60:A61"/>
    <mergeCell ref="B60:E60"/>
    <mergeCell ref="F60:F61"/>
    <mergeCell ref="G60:J60"/>
    <mergeCell ref="K60:K61"/>
    <mergeCell ref="L60:O60"/>
    <mergeCell ref="P60:P61"/>
    <mergeCell ref="Q60:T60"/>
    <mergeCell ref="AE58:AI59"/>
    <mergeCell ref="AJ58:AN59"/>
    <mergeCell ref="AO58:AS59"/>
    <mergeCell ref="AT58:AX59"/>
    <mergeCell ref="AY58:BC59"/>
    <mergeCell ref="BD58:BH59"/>
    <mergeCell ref="BI56:BJ57"/>
    <mergeCell ref="BK56:BM57"/>
    <mergeCell ref="BN56:BO57"/>
    <mergeCell ref="BP56:BR57"/>
    <mergeCell ref="A58:E59"/>
    <mergeCell ref="F58:J59"/>
    <mergeCell ref="K58:O59"/>
    <mergeCell ref="P58:T59"/>
    <mergeCell ref="U58:Y59"/>
    <mergeCell ref="Z58:AD59"/>
    <mergeCell ref="AT56:AU57"/>
    <mergeCell ref="AV56:AX57"/>
    <mergeCell ref="AY56:AZ57"/>
    <mergeCell ref="BA56:BC57"/>
    <mergeCell ref="BD56:BE57"/>
    <mergeCell ref="BF56:BH57"/>
    <mergeCell ref="BN60:BN61"/>
    <mergeCell ref="BO60:BR60"/>
    <mergeCell ref="K64:O65"/>
    <mergeCell ref="AE64:AI65"/>
    <mergeCell ref="AY64:BC65"/>
    <mergeCell ref="BI64:BM65"/>
    <mergeCell ref="AY60:AY61"/>
    <mergeCell ref="AZ60:BC60"/>
    <mergeCell ref="BD60:BD61"/>
    <mergeCell ref="BE60:BH60"/>
    <mergeCell ref="BI60:BI61"/>
    <mergeCell ref="BJ60:BM60"/>
    <mergeCell ref="AJ60:AJ61"/>
    <mergeCell ref="AK60:AN60"/>
    <mergeCell ref="AO60:AO61"/>
    <mergeCell ref="AP60:AS60"/>
    <mergeCell ref="AT60:AT61"/>
    <mergeCell ref="AU60:AX60"/>
    <mergeCell ref="U60:U61"/>
    <mergeCell ref="V60:Y60"/>
    <mergeCell ref="Z60:Z61"/>
    <mergeCell ref="AA60:AD60"/>
    <mergeCell ref="AE60:AE61"/>
    <mergeCell ref="AF60:AI60"/>
    <mergeCell ref="BD64:BH65"/>
    <mergeCell ref="BN64:BR65"/>
    <mergeCell ref="AB62:AD63"/>
    <mergeCell ref="AE62:AF63"/>
    <mergeCell ref="Z62:AA63"/>
    <mergeCell ref="A88:E89"/>
    <mergeCell ref="K88:O89"/>
    <mergeCell ref="U88:Y89"/>
    <mergeCell ref="AE88:AI89"/>
    <mergeCell ref="AJ88:AN89"/>
    <mergeCell ref="AO88:AS89"/>
    <mergeCell ref="A82:E83"/>
    <mergeCell ref="K82:O83"/>
    <mergeCell ref="U82:Y83"/>
    <mergeCell ref="AE82:AI83"/>
    <mergeCell ref="AO82:AS83"/>
    <mergeCell ref="AY82:BC83"/>
    <mergeCell ref="A76:E77"/>
    <mergeCell ref="K76:O77"/>
    <mergeCell ref="U76:Y77"/>
    <mergeCell ref="AE76:AI77"/>
    <mergeCell ref="AO76:AS77"/>
    <mergeCell ref="AY76:BC77"/>
    <mergeCell ref="W86:Y87"/>
    <mergeCell ref="Z86:AA87"/>
    <mergeCell ref="AB86:AD87"/>
    <mergeCell ref="K84:K85"/>
    <mergeCell ref="L84:O84"/>
    <mergeCell ref="BN94:BR95"/>
    <mergeCell ref="BN96:BN97"/>
    <mergeCell ref="BO96:BR96"/>
    <mergeCell ref="AK106:AU109"/>
    <mergeCell ref="AL143:AN144"/>
    <mergeCell ref="AO143:AQ144"/>
    <mergeCell ref="AR143:AU144"/>
    <mergeCell ref="BN92:BO93"/>
    <mergeCell ref="BP92:BR93"/>
    <mergeCell ref="A94:E95"/>
    <mergeCell ref="K94:O95"/>
    <mergeCell ref="P94:T95"/>
    <mergeCell ref="U94:Y95"/>
    <mergeCell ref="Z94:AD95"/>
    <mergeCell ref="AE94:AI95"/>
    <mergeCell ref="AO94:AS95"/>
    <mergeCell ref="AY94:BC95"/>
    <mergeCell ref="AW127:BF129"/>
    <mergeCell ref="BQ106:BS109"/>
    <mergeCell ref="AV110:BG115"/>
    <mergeCell ref="BM110:BS113"/>
    <mergeCell ref="BM114:BS115"/>
    <mergeCell ref="BI96:BI97"/>
    <mergeCell ref="BJ96:BM96"/>
    <mergeCell ref="AV106:BG109"/>
    <mergeCell ref="BH106:BL115"/>
    <mergeCell ref="BM106:BP109"/>
    <mergeCell ref="AY96:AY97"/>
    <mergeCell ref="AZ96:BC96"/>
    <mergeCell ref="BD96:BD97"/>
    <mergeCell ref="BE96:BH96"/>
    <mergeCell ref="AE96:AE97"/>
  </mergeCells>
  <pageMargins left="0.25" right="0" top="0.4" bottom="0" header="0.3" footer="0.3"/>
  <pageSetup scale="26" orientation="landscape" r:id="rId1"/>
  <rowBreaks count="1" manualBreakCount="1">
    <brk id="67" max="69" man="1"/>
  </rowBreaks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E2BA7-5DF5-4CAB-BCA5-7CA53A8820B7}">
  <sheetPr>
    <pageSetUpPr fitToPage="1"/>
  </sheetPr>
  <dimension ref="A1:CB77"/>
  <sheetViews>
    <sheetView view="pageBreakPreview" zoomScale="70" zoomScaleNormal="70" zoomScaleSheetLayoutView="70" zoomScalePageLayoutView="55" workbookViewId="0">
      <selection activeCell="O31" sqref="L30:T31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140625" customWidth="1"/>
    <col min="47" max="47" width="10.71093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1" customWidth="1"/>
    <col min="62" max="62" width="56.7109375" customWidth="1"/>
    <col min="63" max="63" width="13" customWidth="1"/>
    <col min="64" max="64" width="7" customWidth="1"/>
  </cols>
  <sheetData>
    <row r="1" spans="1:80" ht="184.5" customHeight="1" thickBot="1" x14ac:dyDescent="0.3"/>
    <row r="2" spans="1:80" ht="36" customHeight="1" thickTop="1" x14ac:dyDescent="0.25">
      <c r="A2" s="3457" t="s">
        <v>250</v>
      </c>
      <c r="B2" s="3458"/>
      <c r="C2" s="3458"/>
      <c r="D2" s="3459">
        <f>B7/((36*3.1415/59)*(148/3.281))</f>
        <v>7.3439664995251491E-3</v>
      </c>
      <c r="E2" s="3460"/>
      <c r="F2" s="3457" t="s">
        <v>250</v>
      </c>
      <c r="G2" s="3458"/>
      <c r="H2" s="3458"/>
      <c r="I2" s="3459">
        <f>G7/((36*3.1415/59)*(148/3.281))</f>
        <v>1.1565301574055353E-6</v>
      </c>
      <c r="J2" s="3460"/>
      <c r="K2" s="3453" t="s">
        <v>250</v>
      </c>
      <c r="L2" s="3454"/>
      <c r="M2" s="3454"/>
      <c r="N2" s="3455">
        <f>L7/((36*3.1415/59)*(156/3.281))</f>
        <v>1.5876786691624348E-2</v>
      </c>
      <c r="O2" s="3456"/>
      <c r="P2" s="3453" t="s">
        <v>250</v>
      </c>
      <c r="Q2" s="3454"/>
      <c r="R2" s="3454"/>
      <c r="S2" s="3455">
        <f>Q7/((36*3.1415/59)*(156/3.281))</f>
        <v>7.5159632921649481E-3</v>
      </c>
      <c r="T2" s="3456"/>
      <c r="U2" s="3453" t="s">
        <v>250</v>
      </c>
      <c r="V2" s="3454"/>
      <c r="W2" s="3454"/>
      <c r="X2" s="3455">
        <f>V7/((36*3.1415/59)*(156/3.281))</f>
        <v>4.9045775059820891E-2</v>
      </c>
      <c r="Y2" s="3456"/>
      <c r="Z2" s="3453" t="s">
        <v>250</v>
      </c>
      <c r="AA2" s="3454"/>
      <c r="AB2" s="3454"/>
      <c r="AC2" s="3455">
        <f>AA7/((36*3.1415/59)*(156/3.281))</f>
        <v>6.5207839190271941E-2</v>
      </c>
      <c r="AD2" s="3456"/>
      <c r="AE2" s="3461" t="s">
        <v>250</v>
      </c>
      <c r="AF2" s="3462"/>
      <c r="AG2" s="3462"/>
      <c r="AH2" s="3463">
        <f>AF7/((36*3.1415/59)*(162/3.281))</f>
        <v>9.0971805492513921E-2</v>
      </c>
      <c r="AI2" s="3464"/>
      <c r="AJ2" s="3461" t="s">
        <v>250</v>
      </c>
      <c r="AK2" s="3462"/>
      <c r="AL2" s="3462"/>
      <c r="AM2" s="3463">
        <f>AK7/((36*3.1415/59)*(162/3.281))</f>
        <v>0.12479303074007921</v>
      </c>
      <c r="AN2" s="3464"/>
      <c r="AO2" s="3461" t="s">
        <v>250</v>
      </c>
      <c r="AP2" s="3462"/>
      <c r="AQ2" s="3462"/>
      <c r="AR2" s="3463">
        <f>AP7/((36*3.1415/59)*(162/3.281))</f>
        <v>1.0565831067655508E-6</v>
      </c>
      <c r="AS2" s="3464"/>
      <c r="AT2" s="3461" t="s">
        <v>250</v>
      </c>
      <c r="AU2" s="3462"/>
      <c r="AV2" s="3462"/>
      <c r="AW2" s="3463">
        <f>AU7/((36*3.1415/59)*(162/3.281))</f>
        <v>1.3418605455922496E-2</v>
      </c>
      <c r="AX2" s="3464"/>
      <c r="AY2" s="674"/>
      <c r="AZ2" s="674"/>
      <c r="BA2" s="674"/>
      <c r="BB2" s="1300"/>
      <c r="BC2" s="1300"/>
      <c r="BD2" s="674"/>
      <c r="BE2" s="674"/>
      <c r="BF2" s="674"/>
      <c r="BG2" s="1300"/>
      <c r="BH2" s="1300"/>
      <c r="BM2" s="27"/>
      <c r="BN2" s="27"/>
      <c r="BO2" s="27"/>
      <c r="BP2" s="27"/>
      <c r="BQ2" s="27"/>
      <c r="BR2" s="27"/>
      <c r="BW2" s="27"/>
      <c r="BX2" s="27"/>
      <c r="BY2" s="27"/>
      <c r="BZ2" s="27"/>
      <c r="CA2" s="27"/>
      <c r="CB2" s="27"/>
    </row>
    <row r="3" spans="1:80" ht="9.9499999999999993" hidden="1" customHeight="1" x14ac:dyDescent="0.25">
      <c r="A3" s="1680" t="s">
        <v>111</v>
      </c>
      <c r="B3" s="1681"/>
      <c r="C3" s="1681"/>
      <c r="D3" s="1681"/>
      <c r="E3" s="1682"/>
      <c r="F3" s="1680" t="s">
        <v>111</v>
      </c>
      <c r="G3" s="1681"/>
      <c r="H3" s="1681"/>
      <c r="I3" s="1681"/>
      <c r="J3" s="1682"/>
      <c r="K3" s="1680" t="s">
        <v>111</v>
      </c>
      <c r="L3" s="1681"/>
      <c r="M3" s="1681"/>
      <c r="N3" s="1681"/>
      <c r="O3" s="1682"/>
      <c r="P3" s="1680" t="s">
        <v>111</v>
      </c>
      <c r="Q3" s="1681"/>
      <c r="R3" s="1681"/>
      <c r="S3" s="1681"/>
      <c r="T3" s="1682"/>
      <c r="U3" s="1680" t="s">
        <v>111</v>
      </c>
      <c r="V3" s="1681"/>
      <c r="W3" s="1681"/>
      <c r="X3" s="1681"/>
      <c r="Y3" s="1682"/>
      <c r="Z3" s="1680" t="s">
        <v>111</v>
      </c>
      <c r="AA3" s="1681"/>
      <c r="AB3" s="1681"/>
      <c r="AC3" s="1681"/>
      <c r="AD3" s="1682"/>
      <c r="AE3" s="1680" t="s">
        <v>111</v>
      </c>
      <c r="AF3" s="1681"/>
      <c r="AG3" s="1681"/>
      <c r="AH3" s="1681"/>
      <c r="AI3" s="1682"/>
      <c r="AJ3" s="1680" t="s">
        <v>111</v>
      </c>
      <c r="AK3" s="1681"/>
      <c r="AL3" s="1681"/>
      <c r="AM3" s="1681"/>
      <c r="AN3" s="1682"/>
      <c r="AO3" s="1680" t="s">
        <v>111</v>
      </c>
      <c r="AP3" s="1681"/>
      <c r="AQ3" s="1681"/>
      <c r="AR3" s="1681"/>
      <c r="AS3" s="1682"/>
      <c r="AT3" s="1680" t="s">
        <v>111</v>
      </c>
      <c r="AU3" s="1681"/>
      <c r="AV3" s="1681"/>
      <c r="AW3" s="1681"/>
      <c r="AX3" s="1682"/>
      <c r="AY3" s="676"/>
      <c r="AZ3" s="676"/>
      <c r="BA3" s="676"/>
      <c r="BB3" s="36"/>
      <c r="BC3" s="36"/>
      <c r="BD3" s="676"/>
      <c r="BE3" s="676"/>
      <c r="BF3" s="676"/>
      <c r="BG3" s="36"/>
      <c r="BH3" s="36"/>
    </row>
    <row r="4" spans="1:80" ht="24.95" hidden="1" customHeight="1" x14ac:dyDescent="0.25">
      <c r="A4" s="1683"/>
      <c r="B4" s="1684"/>
      <c r="C4" s="1684"/>
      <c r="D4" s="1684"/>
      <c r="E4" s="1685"/>
      <c r="F4" s="1683"/>
      <c r="G4" s="1684"/>
      <c r="H4" s="1684"/>
      <c r="I4" s="1684"/>
      <c r="J4" s="1685"/>
      <c r="K4" s="1683"/>
      <c r="L4" s="1684"/>
      <c r="M4" s="1684"/>
      <c r="N4" s="1684"/>
      <c r="O4" s="1685"/>
      <c r="P4" s="1683"/>
      <c r="Q4" s="1684"/>
      <c r="R4" s="1684"/>
      <c r="S4" s="1684"/>
      <c r="T4" s="1685"/>
      <c r="U4" s="1683"/>
      <c r="V4" s="1684"/>
      <c r="W4" s="1684"/>
      <c r="X4" s="1684"/>
      <c r="Y4" s="1685"/>
      <c r="Z4" s="1683"/>
      <c r="AA4" s="1684"/>
      <c r="AB4" s="1684"/>
      <c r="AC4" s="1684"/>
      <c r="AD4" s="1685"/>
      <c r="AE4" s="1683"/>
      <c r="AF4" s="1684"/>
      <c r="AG4" s="1684"/>
      <c r="AH4" s="1684"/>
      <c r="AI4" s="1685"/>
      <c r="AJ4" s="1683"/>
      <c r="AK4" s="1684"/>
      <c r="AL4" s="1684"/>
      <c r="AM4" s="1684"/>
      <c r="AN4" s="1685"/>
      <c r="AO4" s="1683"/>
      <c r="AP4" s="1684"/>
      <c r="AQ4" s="1684"/>
      <c r="AR4" s="1684"/>
      <c r="AS4" s="1685"/>
      <c r="AT4" s="1683"/>
      <c r="AU4" s="1684"/>
      <c r="AV4" s="1684"/>
      <c r="AW4" s="1684"/>
      <c r="AX4" s="1685"/>
      <c r="AY4" s="676"/>
      <c r="AZ4" s="676"/>
      <c r="BA4" s="676"/>
      <c r="BB4" s="36"/>
      <c r="BC4" s="36"/>
      <c r="BD4" s="676"/>
      <c r="BE4" s="676"/>
      <c r="BF4" s="676"/>
      <c r="BG4" s="36"/>
      <c r="BH4" s="36"/>
    </row>
    <row r="5" spans="1:80" ht="25.5" customHeight="1" x14ac:dyDescent="0.25">
      <c r="A5" s="1686"/>
      <c r="B5" s="1687"/>
      <c r="C5" s="1687"/>
      <c r="D5" s="1687"/>
      <c r="E5" s="1688"/>
      <c r="F5" s="1686"/>
      <c r="G5" s="1687"/>
      <c r="H5" s="1687"/>
      <c r="I5" s="1687"/>
      <c r="J5" s="1688"/>
      <c r="K5" s="1686"/>
      <c r="L5" s="1687"/>
      <c r="M5" s="1687"/>
      <c r="N5" s="1687"/>
      <c r="O5" s="1688"/>
      <c r="P5" s="1686"/>
      <c r="Q5" s="1687"/>
      <c r="R5" s="1687"/>
      <c r="S5" s="1687"/>
      <c r="T5" s="1688"/>
      <c r="U5" s="1686"/>
      <c r="V5" s="1687"/>
      <c r="W5" s="1687"/>
      <c r="X5" s="1687"/>
      <c r="Y5" s="1688"/>
      <c r="Z5" s="1686"/>
      <c r="AA5" s="1687"/>
      <c r="AB5" s="1687"/>
      <c r="AC5" s="1687"/>
      <c r="AD5" s="1688"/>
      <c r="AE5" s="1686"/>
      <c r="AF5" s="1687"/>
      <c r="AG5" s="1687"/>
      <c r="AH5" s="1687"/>
      <c r="AI5" s="1688"/>
      <c r="AJ5" s="1686"/>
      <c r="AK5" s="1687"/>
      <c r="AL5" s="1687"/>
      <c r="AM5" s="1687"/>
      <c r="AN5" s="1688"/>
      <c r="AO5" s="1686"/>
      <c r="AP5" s="1687"/>
      <c r="AQ5" s="1687"/>
      <c r="AR5" s="1687"/>
      <c r="AS5" s="1688"/>
      <c r="AT5" s="1686"/>
      <c r="AU5" s="1687"/>
      <c r="AV5" s="1687"/>
      <c r="AW5" s="1687"/>
      <c r="AX5" s="1688"/>
      <c r="AY5" s="676"/>
      <c r="AZ5" s="676"/>
      <c r="BA5" s="676"/>
      <c r="BB5" s="36"/>
      <c r="BC5" s="36"/>
      <c r="BD5" s="676"/>
      <c r="BE5" s="676"/>
      <c r="BF5" s="676"/>
      <c r="BG5" s="36"/>
      <c r="BH5" s="36"/>
    </row>
    <row r="6" spans="1:80" ht="72" customHeight="1" x14ac:dyDescent="0.25">
      <c r="A6" s="3465" t="s">
        <v>272</v>
      </c>
      <c r="B6" s="1718">
        <v>1</v>
      </c>
      <c r="C6" s="3150"/>
      <c r="D6" s="3150"/>
      <c r="E6" s="3151"/>
      <c r="F6" s="3465" t="s">
        <v>272</v>
      </c>
      <c r="G6" s="1714">
        <v>7</v>
      </c>
      <c r="H6" s="1715"/>
      <c r="I6" s="1715"/>
      <c r="J6" s="1716"/>
      <c r="K6" s="3467" t="s">
        <v>112</v>
      </c>
      <c r="L6" s="1714">
        <v>2</v>
      </c>
      <c r="M6" s="1715"/>
      <c r="N6" s="1715"/>
      <c r="O6" s="1716"/>
      <c r="P6" s="3467" t="s">
        <v>112</v>
      </c>
      <c r="Q6" s="1714">
        <v>3</v>
      </c>
      <c r="R6" s="1715"/>
      <c r="S6" s="1715"/>
      <c r="T6" s="1716"/>
      <c r="U6" s="3467" t="s">
        <v>112</v>
      </c>
      <c r="V6" s="1714">
        <v>4</v>
      </c>
      <c r="W6" s="1715"/>
      <c r="X6" s="1715"/>
      <c r="Y6" s="1716"/>
      <c r="Z6" s="3467" t="s">
        <v>112</v>
      </c>
      <c r="AA6" s="1714">
        <v>15</v>
      </c>
      <c r="AB6" s="1715"/>
      <c r="AC6" s="1715"/>
      <c r="AD6" s="1716"/>
      <c r="AE6" s="3469" t="s">
        <v>271</v>
      </c>
      <c r="AF6" s="1718">
        <v>5</v>
      </c>
      <c r="AG6" s="3150"/>
      <c r="AH6" s="3150"/>
      <c r="AI6" s="3151"/>
      <c r="AJ6" s="3469" t="s">
        <v>323</v>
      </c>
      <c r="AK6" s="252">
        <v>6</v>
      </c>
      <c r="AL6" s="246" t="s">
        <v>330</v>
      </c>
      <c r="AM6" s="3440">
        <v>6</v>
      </c>
      <c r="AN6" s="3439"/>
      <c r="AO6" s="3469" t="s">
        <v>323</v>
      </c>
      <c r="AP6" s="252">
        <v>8</v>
      </c>
      <c r="AQ6" s="246" t="s">
        <v>330</v>
      </c>
      <c r="AR6" s="3440">
        <v>8</v>
      </c>
      <c r="AS6" s="3439"/>
      <c r="AT6" s="3469" t="s">
        <v>271</v>
      </c>
      <c r="AU6" s="1718">
        <v>16</v>
      </c>
      <c r="AV6" s="3150"/>
      <c r="AW6" s="3150"/>
      <c r="AX6" s="3151"/>
      <c r="AY6" s="677"/>
      <c r="AZ6" s="1332"/>
      <c r="BA6" s="1332"/>
      <c r="BB6" s="1332"/>
      <c r="BC6" s="1332"/>
      <c r="BD6" s="677"/>
      <c r="BE6" s="1332"/>
      <c r="BF6" s="1332"/>
      <c r="BG6" s="1332"/>
      <c r="BH6" s="1332"/>
      <c r="BM6" s="27"/>
      <c r="BN6" s="27"/>
      <c r="BO6" s="27"/>
      <c r="BP6" s="27"/>
      <c r="BQ6" s="27"/>
      <c r="BR6" s="27"/>
      <c r="BW6" s="27"/>
      <c r="BX6" s="27"/>
      <c r="BY6" s="27"/>
      <c r="BZ6" s="27"/>
      <c r="CA6" s="27"/>
      <c r="CB6" s="27"/>
    </row>
    <row r="7" spans="1:80" ht="35.1" customHeight="1" thickBot="1" x14ac:dyDescent="0.3">
      <c r="A7" s="3466"/>
      <c r="B7" s="241">
        <v>0.63500000000000001</v>
      </c>
      <c r="C7" s="269" t="s">
        <v>113</v>
      </c>
      <c r="D7" s="243">
        <v>1</v>
      </c>
      <c r="E7" s="244" t="s">
        <v>114</v>
      </c>
      <c r="F7" s="3466"/>
      <c r="G7" s="241">
        <v>1E-4</v>
      </c>
      <c r="H7" s="242" t="s">
        <v>113</v>
      </c>
      <c r="I7" s="243"/>
      <c r="J7" s="244" t="s">
        <v>114</v>
      </c>
      <c r="K7" s="3468"/>
      <c r="L7" s="241">
        <v>1.4470000000000001</v>
      </c>
      <c r="M7" s="242" t="s">
        <v>113</v>
      </c>
      <c r="N7" s="243">
        <v>1</v>
      </c>
      <c r="O7" s="244" t="s">
        <v>114</v>
      </c>
      <c r="P7" s="3468"/>
      <c r="Q7" s="241">
        <v>0.68500000000000005</v>
      </c>
      <c r="R7" s="242" t="s">
        <v>113</v>
      </c>
      <c r="S7" s="243"/>
      <c r="T7" s="244" t="s">
        <v>114</v>
      </c>
      <c r="U7" s="3468"/>
      <c r="V7" s="241">
        <v>4.47</v>
      </c>
      <c r="W7" s="242" t="s">
        <v>113</v>
      </c>
      <c r="X7" s="243">
        <v>2</v>
      </c>
      <c r="Y7" s="244" t="s">
        <v>114</v>
      </c>
      <c r="Z7" s="3468"/>
      <c r="AA7" s="241">
        <v>5.9429999999999996</v>
      </c>
      <c r="AB7" s="242" t="s">
        <v>113</v>
      </c>
      <c r="AC7" s="243">
        <v>1</v>
      </c>
      <c r="AD7" s="244" t="s">
        <v>114</v>
      </c>
      <c r="AE7" s="3470"/>
      <c r="AF7" s="241">
        <v>8.61</v>
      </c>
      <c r="AG7" s="242" t="s">
        <v>113</v>
      </c>
      <c r="AH7" s="243">
        <v>1</v>
      </c>
      <c r="AI7" s="244" t="s">
        <v>114</v>
      </c>
      <c r="AJ7" s="3470"/>
      <c r="AK7" s="224">
        <v>11.811</v>
      </c>
      <c r="AL7" s="223" t="s">
        <v>113</v>
      </c>
      <c r="AM7" s="222">
        <v>1</v>
      </c>
      <c r="AN7" s="221" t="s">
        <v>114</v>
      </c>
      <c r="AO7" s="3470"/>
      <c r="AP7" s="224">
        <v>1E-4</v>
      </c>
      <c r="AQ7" s="223" t="s">
        <v>113</v>
      </c>
      <c r="AR7" s="222">
        <v>1</v>
      </c>
      <c r="AS7" s="221" t="s">
        <v>114</v>
      </c>
      <c r="AT7" s="3470"/>
      <c r="AU7" s="241">
        <v>1.27</v>
      </c>
      <c r="AV7" s="242" t="s">
        <v>113</v>
      </c>
      <c r="AW7" s="243">
        <v>1</v>
      </c>
      <c r="AX7" s="244" t="s">
        <v>114</v>
      </c>
      <c r="AY7" s="677"/>
      <c r="AZ7" s="137"/>
      <c r="BA7" s="33"/>
      <c r="BB7" s="138"/>
      <c r="BC7" s="35"/>
      <c r="BD7" s="677"/>
      <c r="BE7" s="137"/>
      <c r="BF7" s="33"/>
      <c r="BG7" s="138"/>
      <c r="BH7" s="35"/>
      <c r="BM7" s="27"/>
      <c r="BN7" s="27"/>
      <c r="BO7" s="27"/>
      <c r="BP7" s="27"/>
      <c r="BQ7" s="27"/>
      <c r="BR7" s="27"/>
      <c r="BW7" s="27"/>
      <c r="BX7" s="27"/>
      <c r="BY7" s="27"/>
      <c r="BZ7" s="27"/>
      <c r="CA7" s="27"/>
      <c r="CB7" s="27"/>
    </row>
    <row r="8" spans="1:80" ht="39" customHeight="1" thickTop="1" x14ac:dyDescent="0.25">
      <c r="A8" s="3445" t="s">
        <v>250</v>
      </c>
      <c r="B8" s="3446"/>
      <c r="C8" s="3446"/>
      <c r="D8" s="3447">
        <f>B13/((36*3.1415/59)*(164.5/3.281))</f>
        <v>9.1670306482548911E-2</v>
      </c>
      <c r="E8" s="3448"/>
      <c r="F8" s="3445" t="s">
        <v>250</v>
      </c>
      <c r="G8" s="3446"/>
      <c r="H8" s="3446"/>
      <c r="I8" s="3447">
        <f>G13/((36*3.1415/59)*(164.5/3.281))</f>
        <v>4.4846653909169781E-3</v>
      </c>
      <c r="J8" s="3448"/>
      <c r="K8" s="3445" t="s">
        <v>250</v>
      </c>
      <c r="L8" s="3446"/>
      <c r="M8" s="3446"/>
      <c r="N8" s="3447">
        <f>L13/((36*3.1415/59)*(164.5/3.281))</f>
        <v>1.4796274213187802E-2</v>
      </c>
      <c r="O8" s="3448"/>
      <c r="P8" s="3445" t="s">
        <v>250</v>
      </c>
      <c r="Q8" s="3446"/>
      <c r="R8" s="3446"/>
      <c r="S8" s="3447">
        <f>Q13/((36*3.1415/59)*(164.5/3.281))</f>
        <v>1.6377873144555275E-2</v>
      </c>
      <c r="T8" s="3448"/>
      <c r="U8" s="3451" t="s">
        <v>250</v>
      </c>
      <c r="V8" s="3452"/>
      <c r="W8" s="3452"/>
      <c r="X8" s="3449">
        <f>V13/((36*3.1415/59)*(166/3.281))</f>
        <v>4.3998030053259883E-2</v>
      </c>
      <c r="Y8" s="3450"/>
      <c r="Z8" s="3451" t="s">
        <v>250</v>
      </c>
      <c r="AA8" s="3452"/>
      <c r="AB8" s="3452"/>
      <c r="AC8" s="3449">
        <f>AA13/((36*3.1415/59)*(166/3.281))</f>
        <v>9.952401829717937E-2</v>
      </c>
      <c r="AD8" s="3450"/>
      <c r="AE8" s="3451" t="s">
        <v>250</v>
      </c>
      <c r="AF8" s="3452"/>
      <c r="AG8" s="3452"/>
      <c r="AH8" s="3449">
        <f>AF13/((36*3.1415/59)*(166/3.281))</f>
        <v>1.4136700071014601E-2</v>
      </c>
      <c r="AI8" s="3450"/>
      <c r="AJ8" s="3451" t="s">
        <v>250</v>
      </c>
      <c r="AK8" s="3452"/>
      <c r="AL8" s="3452"/>
      <c r="AM8" s="3449">
        <f>AK13/((36*3.1415/59)*(166/3.281))</f>
        <v>1.3878919252797705E-2</v>
      </c>
      <c r="AN8" s="3450"/>
      <c r="AO8" s="3451" t="s">
        <v>250</v>
      </c>
      <c r="AP8" s="3452"/>
      <c r="AQ8" s="3452"/>
      <c r="AR8" s="3449">
        <f>AP13/((36*3.1415/59)*(166/3.281))</f>
        <v>2.3045605148590539E-2</v>
      </c>
      <c r="AS8" s="3450"/>
      <c r="AY8" s="674"/>
      <c r="AZ8" s="674"/>
      <c r="BA8" s="674"/>
      <c r="BB8" s="1300"/>
      <c r="BC8" s="1300"/>
      <c r="BD8" s="674"/>
      <c r="BE8" s="674"/>
      <c r="BF8" s="674"/>
      <c r="BG8" s="1300"/>
      <c r="BH8" s="1300"/>
      <c r="BM8" s="27"/>
      <c r="BN8" s="27"/>
      <c r="BO8" s="27"/>
      <c r="BP8" s="27"/>
      <c r="BQ8" s="27"/>
      <c r="BR8" s="27"/>
      <c r="BW8" s="27"/>
      <c r="BX8" s="27"/>
      <c r="BY8" s="27"/>
      <c r="BZ8" s="27"/>
      <c r="CA8" s="27"/>
      <c r="CB8" s="27"/>
    </row>
    <row r="9" spans="1:80" ht="9.9499999999999993" hidden="1" customHeight="1" x14ac:dyDescent="0.25">
      <c r="A9" s="1680" t="s">
        <v>111</v>
      </c>
      <c r="B9" s="1681"/>
      <c r="C9" s="1681"/>
      <c r="D9" s="1681"/>
      <c r="E9" s="1682"/>
      <c r="F9" s="1680" t="s">
        <v>111</v>
      </c>
      <c r="G9" s="1681"/>
      <c r="H9" s="1681"/>
      <c r="I9" s="1681"/>
      <c r="J9" s="1682"/>
      <c r="K9" s="1680" t="s">
        <v>111</v>
      </c>
      <c r="L9" s="1681"/>
      <c r="M9" s="1681"/>
      <c r="N9" s="1681"/>
      <c r="O9" s="1682"/>
      <c r="P9" s="1680" t="s">
        <v>111</v>
      </c>
      <c r="Q9" s="1681"/>
      <c r="R9" s="1681"/>
      <c r="S9" s="1681"/>
      <c r="T9" s="1682"/>
      <c r="U9" s="1680" t="s">
        <v>111</v>
      </c>
      <c r="V9" s="1681"/>
      <c r="W9" s="1681"/>
      <c r="X9" s="1681"/>
      <c r="Y9" s="1682"/>
      <c r="Z9" s="1680" t="s">
        <v>111</v>
      </c>
      <c r="AA9" s="1681"/>
      <c r="AB9" s="1681"/>
      <c r="AC9" s="1681"/>
      <c r="AD9" s="1682"/>
      <c r="AE9" s="1680" t="s">
        <v>111</v>
      </c>
      <c r="AF9" s="1681"/>
      <c r="AG9" s="1681"/>
      <c r="AH9" s="1681"/>
      <c r="AI9" s="1682"/>
      <c r="AJ9" s="1680" t="s">
        <v>111</v>
      </c>
      <c r="AK9" s="1681"/>
      <c r="AL9" s="1681"/>
      <c r="AM9" s="1681"/>
      <c r="AN9" s="1682"/>
      <c r="AO9" s="1680" t="s">
        <v>111</v>
      </c>
      <c r="AP9" s="1681"/>
      <c r="AQ9" s="1681"/>
      <c r="AR9" s="1681"/>
      <c r="AS9" s="1682"/>
      <c r="AY9" s="676"/>
      <c r="AZ9" s="676"/>
      <c r="BA9" s="676"/>
      <c r="BB9" s="36"/>
      <c r="BC9" s="36"/>
      <c r="BD9" s="676"/>
      <c r="BE9" s="676"/>
      <c r="BF9" s="676"/>
      <c r="BG9" s="36"/>
      <c r="BH9" s="36"/>
    </row>
    <row r="10" spans="1:80" ht="24.95" hidden="1" customHeight="1" x14ac:dyDescent="0.25">
      <c r="A10" s="1683"/>
      <c r="B10" s="1684"/>
      <c r="C10" s="1684"/>
      <c r="D10" s="1684"/>
      <c r="E10" s="1685"/>
      <c r="F10" s="1683"/>
      <c r="G10" s="1684"/>
      <c r="H10" s="1684"/>
      <c r="I10" s="1684"/>
      <c r="J10" s="1685"/>
      <c r="K10" s="1683"/>
      <c r="L10" s="1684"/>
      <c r="M10" s="1684"/>
      <c r="N10" s="1684"/>
      <c r="O10" s="1685"/>
      <c r="P10" s="1683"/>
      <c r="Q10" s="1684"/>
      <c r="R10" s="1684"/>
      <c r="S10" s="1684"/>
      <c r="T10" s="1685"/>
      <c r="U10" s="1683"/>
      <c r="V10" s="1684"/>
      <c r="W10" s="1684"/>
      <c r="X10" s="1684"/>
      <c r="Y10" s="1685"/>
      <c r="Z10" s="1683"/>
      <c r="AA10" s="1684"/>
      <c r="AB10" s="1684"/>
      <c r="AC10" s="1684"/>
      <c r="AD10" s="1685"/>
      <c r="AE10" s="1683"/>
      <c r="AF10" s="1684"/>
      <c r="AG10" s="1684"/>
      <c r="AH10" s="1684"/>
      <c r="AI10" s="1685"/>
      <c r="AJ10" s="1683"/>
      <c r="AK10" s="1684"/>
      <c r="AL10" s="1684"/>
      <c r="AM10" s="1684"/>
      <c r="AN10" s="1685"/>
      <c r="AO10" s="1683"/>
      <c r="AP10" s="1684"/>
      <c r="AQ10" s="1684"/>
      <c r="AR10" s="1684"/>
      <c r="AS10" s="1685"/>
      <c r="AY10" s="676"/>
      <c r="AZ10" s="676"/>
      <c r="BA10" s="676"/>
      <c r="BB10" s="36"/>
      <c r="BC10" s="36"/>
      <c r="BD10" s="676"/>
      <c r="BE10" s="676"/>
      <c r="BF10" s="676"/>
      <c r="BG10" s="36"/>
      <c r="BH10" s="36"/>
    </row>
    <row r="11" spans="1:80" ht="25.5" customHeight="1" x14ac:dyDescent="0.25">
      <c r="A11" s="1686"/>
      <c r="B11" s="1687"/>
      <c r="C11" s="1687"/>
      <c r="D11" s="1687"/>
      <c r="E11" s="1688"/>
      <c r="F11" s="1686"/>
      <c r="G11" s="1687"/>
      <c r="H11" s="1687"/>
      <c r="I11" s="1687"/>
      <c r="J11" s="1688"/>
      <c r="K11" s="1686"/>
      <c r="L11" s="1687"/>
      <c r="M11" s="1687"/>
      <c r="N11" s="1687"/>
      <c r="O11" s="1688"/>
      <c r="P11" s="1686"/>
      <c r="Q11" s="1687"/>
      <c r="R11" s="1687"/>
      <c r="S11" s="1687"/>
      <c r="T11" s="1688"/>
      <c r="U11" s="1686"/>
      <c r="V11" s="1687"/>
      <c r="W11" s="1687"/>
      <c r="X11" s="1687"/>
      <c r="Y11" s="1688"/>
      <c r="Z11" s="1686"/>
      <c r="AA11" s="1687"/>
      <c r="AB11" s="1687"/>
      <c r="AC11" s="1687"/>
      <c r="AD11" s="1688"/>
      <c r="AE11" s="1686"/>
      <c r="AF11" s="1687"/>
      <c r="AG11" s="1687"/>
      <c r="AH11" s="1687"/>
      <c r="AI11" s="1688"/>
      <c r="AJ11" s="1686"/>
      <c r="AK11" s="1687"/>
      <c r="AL11" s="1687"/>
      <c r="AM11" s="1687"/>
      <c r="AN11" s="1688"/>
      <c r="AO11" s="1686"/>
      <c r="AP11" s="1687"/>
      <c r="AQ11" s="1687"/>
      <c r="AR11" s="1687"/>
      <c r="AS11" s="1688"/>
      <c r="AY11" s="676"/>
      <c r="AZ11" s="676"/>
      <c r="BA11" s="676"/>
      <c r="BB11" s="36"/>
      <c r="BC11" s="36"/>
      <c r="BD11" s="676"/>
      <c r="BE11" s="676"/>
      <c r="BF11" s="676"/>
      <c r="BG11" s="36"/>
      <c r="BH11" s="36"/>
    </row>
    <row r="12" spans="1:80" ht="72" customHeight="1" x14ac:dyDescent="0.25">
      <c r="A12" s="3441" t="s">
        <v>323</v>
      </c>
      <c r="B12" s="252">
        <v>9</v>
      </c>
      <c r="C12" s="246" t="s">
        <v>324</v>
      </c>
      <c r="D12" s="3438">
        <v>9</v>
      </c>
      <c r="E12" s="3439"/>
      <c r="F12" s="3441" t="s">
        <v>323</v>
      </c>
      <c r="G12" s="248">
        <v>13</v>
      </c>
      <c r="H12" s="246" t="s">
        <v>324</v>
      </c>
      <c r="I12" s="3440">
        <v>13</v>
      </c>
      <c r="J12" s="3439"/>
      <c r="K12" s="3441" t="s">
        <v>323</v>
      </c>
      <c r="L12" s="248">
        <v>17</v>
      </c>
      <c r="M12" s="246" t="s">
        <v>324</v>
      </c>
      <c r="N12" s="3438">
        <v>17</v>
      </c>
      <c r="O12" s="3439"/>
      <c r="P12" s="3441" t="s">
        <v>323</v>
      </c>
      <c r="Q12" s="248">
        <v>12</v>
      </c>
      <c r="R12" s="246" t="s">
        <v>324</v>
      </c>
      <c r="S12" s="3440">
        <v>12</v>
      </c>
      <c r="T12" s="3439"/>
      <c r="U12" s="3443" t="s">
        <v>323</v>
      </c>
      <c r="V12" s="248">
        <v>10</v>
      </c>
      <c r="W12" s="247" t="s">
        <v>325</v>
      </c>
      <c r="X12" s="3440">
        <v>10</v>
      </c>
      <c r="Y12" s="3439"/>
      <c r="Z12" s="3443" t="s">
        <v>323</v>
      </c>
      <c r="AA12" s="248">
        <v>11</v>
      </c>
      <c r="AB12" s="247" t="s">
        <v>325</v>
      </c>
      <c r="AC12" s="3440">
        <v>11</v>
      </c>
      <c r="AD12" s="3439"/>
      <c r="AE12" s="3443" t="s">
        <v>323</v>
      </c>
      <c r="AF12" s="248">
        <v>14</v>
      </c>
      <c r="AG12" s="247" t="s">
        <v>325</v>
      </c>
      <c r="AH12" s="3440">
        <v>14</v>
      </c>
      <c r="AI12" s="3439"/>
      <c r="AJ12" s="3443" t="s">
        <v>323</v>
      </c>
      <c r="AK12" s="248">
        <v>19</v>
      </c>
      <c r="AL12" s="247" t="s">
        <v>325</v>
      </c>
      <c r="AM12" s="3440">
        <v>19</v>
      </c>
      <c r="AN12" s="3439"/>
      <c r="AO12" s="3443" t="s">
        <v>323</v>
      </c>
      <c r="AP12" s="248">
        <v>18</v>
      </c>
      <c r="AQ12" s="247" t="s">
        <v>325</v>
      </c>
      <c r="AR12" s="3440">
        <v>18</v>
      </c>
      <c r="AS12" s="3439"/>
      <c r="AY12" s="677"/>
      <c r="AZ12" s="1332"/>
      <c r="BA12" s="1332"/>
      <c r="BB12" s="1332"/>
      <c r="BC12" s="1332"/>
      <c r="BD12" s="677"/>
      <c r="BE12" s="1332"/>
      <c r="BF12" s="1332"/>
      <c r="BG12" s="1332"/>
      <c r="BH12" s="1332"/>
      <c r="BM12" s="51"/>
      <c r="BN12" s="51"/>
      <c r="BO12" s="51"/>
      <c r="BP12" s="51"/>
      <c r="BQ12" s="51"/>
      <c r="BR12" s="51"/>
      <c r="BW12" s="27"/>
      <c r="BX12" s="27"/>
      <c r="BY12" s="27"/>
      <c r="BZ12" s="27"/>
      <c r="CA12" s="27"/>
      <c r="CB12" s="27"/>
    </row>
    <row r="13" spans="1:80" ht="35.1" customHeight="1" thickBot="1" x14ac:dyDescent="0.3">
      <c r="A13" s="3442"/>
      <c r="B13" s="224">
        <v>8.81</v>
      </c>
      <c r="C13" s="223" t="s">
        <v>113</v>
      </c>
      <c r="D13" s="222">
        <v>1</v>
      </c>
      <c r="E13" s="221" t="s">
        <v>114</v>
      </c>
      <c r="F13" s="3442"/>
      <c r="G13" s="224">
        <v>0.43099999999999999</v>
      </c>
      <c r="H13" s="223" t="s">
        <v>113</v>
      </c>
      <c r="I13" s="222">
        <v>1</v>
      </c>
      <c r="J13" s="221" t="s">
        <v>114</v>
      </c>
      <c r="K13" s="3442"/>
      <c r="L13" s="224">
        <v>1.4219999999999999</v>
      </c>
      <c r="M13" s="245" t="s">
        <v>113</v>
      </c>
      <c r="N13" s="222">
        <v>1</v>
      </c>
      <c r="O13" s="221" t="s">
        <v>114</v>
      </c>
      <c r="P13" s="3442"/>
      <c r="Q13" s="224">
        <v>1.5740000000000001</v>
      </c>
      <c r="R13" s="223" t="s">
        <v>113</v>
      </c>
      <c r="S13" s="222">
        <v>1</v>
      </c>
      <c r="T13" s="221" t="s">
        <v>114</v>
      </c>
      <c r="U13" s="3444"/>
      <c r="V13" s="224">
        <v>4.2670000000000003</v>
      </c>
      <c r="W13" s="223" t="s">
        <v>113</v>
      </c>
      <c r="X13" s="222">
        <v>1</v>
      </c>
      <c r="Y13" s="221" t="s">
        <v>114</v>
      </c>
      <c r="Z13" s="3444"/>
      <c r="AA13" s="224">
        <v>9.6519999999999992</v>
      </c>
      <c r="AB13" s="245" t="s">
        <v>113</v>
      </c>
      <c r="AC13" s="222"/>
      <c r="AD13" s="221" t="s">
        <v>114</v>
      </c>
      <c r="AE13" s="3444"/>
      <c r="AF13" s="224">
        <v>1.371</v>
      </c>
      <c r="AG13" s="223" t="s">
        <v>113</v>
      </c>
      <c r="AH13" s="222">
        <v>1</v>
      </c>
      <c r="AI13" s="221" t="s">
        <v>114</v>
      </c>
      <c r="AJ13" s="3444"/>
      <c r="AK13" s="224">
        <v>1.3460000000000001</v>
      </c>
      <c r="AL13" s="223" t="s">
        <v>113</v>
      </c>
      <c r="AM13" s="222">
        <v>1</v>
      </c>
      <c r="AN13" s="221" t="s">
        <v>114</v>
      </c>
      <c r="AO13" s="3444"/>
      <c r="AP13" s="224">
        <v>2.2349999999999999</v>
      </c>
      <c r="AQ13" s="223" t="s">
        <v>113</v>
      </c>
      <c r="AR13" s="222"/>
      <c r="AS13" s="221" t="s">
        <v>114</v>
      </c>
      <c r="AY13" s="677"/>
      <c r="AZ13" s="137"/>
      <c r="BA13" s="33"/>
      <c r="BB13" s="138"/>
      <c r="BC13" s="35"/>
      <c r="BD13" s="677"/>
      <c r="BE13" s="137"/>
      <c r="BF13" s="33"/>
      <c r="BG13" s="138"/>
      <c r="BH13" s="35"/>
      <c r="BM13" s="51"/>
      <c r="BN13" s="51"/>
      <c r="BO13" s="51"/>
      <c r="BP13" s="51"/>
      <c r="BQ13" s="51"/>
      <c r="BR13" s="51"/>
      <c r="BW13" s="27"/>
      <c r="BX13" s="27"/>
      <c r="BY13" s="27"/>
      <c r="BZ13" s="27"/>
      <c r="CA13" s="27"/>
      <c r="CB13" s="27"/>
    </row>
    <row r="14" spans="1:80" ht="39.950000000000003" hidden="1" customHeight="1" thickTop="1" x14ac:dyDescent="0.25">
      <c r="A14" s="1695" t="s">
        <v>250</v>
      </c>
      <c r="B14" s="1696"/>
      <c r="C14" s="1696"/>
      <c r="D14" s="1697">
        <f>B19/((42*3.1415/59)*(30/3.281))</f>
        <v>0</v>
      </c>
      <c r="E14" s="1698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Z14" s="44"/>
      <c r="AA14" s="44"/>
      <c r="AB14" s="44"/>
      <c r="AC14" s="44"/>
      <c r="AD14" s="44"/>
      <c r="AE14" s="44"/>
      <c r="AF14" s="44"/>
      <c r="AG14" s="44"/>
      <c r="AH14" s="1300"/>
      <c r="AI14" s="1300"/>
      <c r="AJ14" s="674"/>
      <c r="AK14" s="674"/>
      <c r="AL14" s="674"/>
      <c r="AM14" s="1300"/>
      <c r="AN14" s="1300"/>
      <c r="AO14" s="674"/>
      <c r="AP14" s="674"/>
      <c r="AQ14" s="674"/>
      <c r="AR14" s="1300"/>
      <c r="AS14" s="1300"/>
      <c r="AT14" s="1389"/>
      <c r="AU14" s="1389"/>
      <c r="AV14" s="1389"/>
      <c r="AW14" s="1390"/>
      <c r="AX14" s="1390"/>
      <c r="AY14" s="674"/>
      <c r="AZ14" s="674"/>
      <c r="BA14" s="674"/>
      <c r="BB14" s="1300"/>
      <c r="BC14" s="1300"/>
      <c r="BD14" s="674"/>
      <c r="BE14" s="674"/>
      <c r="BF14" s="674"/>
      <c r="BG14" s="1300"/>
      <c r="BH14" s="1300"/>
      <c r="BM14" s="51"/>
      <c r="BN14" s="51"/>
      <c r="BO14" s="51"/>
      <c r="BP14" s="51"/>
      <c r="BQ14" s="51"/>
      <c r="BR14" s="51"/>
      <c r="BW14" s="27"/>
      <c r="BX14" s="27"/>
      <c r="BY14" s="27"/>
      <c r="BZ14" s="27"/>
      <c r="CA14" s="27"/>
      <c r="CB14" s="27"/>
    </row>
    <row r="15" spans="1:80" ht="9.9499999999999993" hidden="1" customHeight="1" x14ac:dyDescent="0.25">
      <c r="A15" s="1379" t="s">
        <v>252</v>
      </c>
      <c r="B15" s="1380"/>
      <c r="C15" s="1380"/>
      <c r="D15" s="1380"/>
      <c r="E15" s="1381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Z15" s="47"/>
      <c r="AA15" s="47"/>
      <c r="AB15" s="47"/>
      <c r="AC15" s="47"/>
      <c r="AD15" s="47"/>
      <c r="AE15" s="47"/>
      <c r="AF15" s="47"/>
      <c r="AG15" s="47"/>
      <c r="AH15" s="36"/>
      <c r="AI15" s="36"/>
      <c r="AJ15" s="676"/>
      <c r="AK15" s="676"/>
      <c r="AL15" s="676"/>
      <c r="AM15" s="36"/>
      <c r="AN15" s="36"/>
      <c r="AO15" s="676"/>
      <c r="AP15" s="676"/>
      <c r="AQ15" s="676"/>
      <c r="AR15" s="36"/>
      <c r="AS15" s="36"/>
      <c r="AT15" s="1388"/>
      <c r="AU15" s="1388"/>
      <c r="AV15" s="1388"/>
      <c r="AW15" s="139"/>
      <c r="AX15" s="139"/>
      <c r="AY15" s="676"/>
      <c r="AZ15" s="676"/>
      <c r="BA15" s="676"/>
      <c r="BB15" s="36"/>
      <c r="BC15" s="36"/>
      <c r="BD15" s="676"/>
      <c r="BE15" s="676"/>
      <c r="BF15" s="676"/>
      <c r="BG15" s="36"/>
      <c r="BH15" s="36"/>
    </row>
    <row r="16" spans="1:80" ht="24.95" hidden="1" customHeight="1" x14ac:dyDescent="0.25">
      <c r="A16" s="1382"/>
      <c r="B16" s="1383"/>
      <c r="C16" s="1383"/>
      <c r="D16" s="1383"/>
      <c r="E16" s="1384"/>
      <c r="F16" s="47"/>
      <c r="G16" s="47"/>
      <c r="H16" s="47"/>
      <c r="I16" s="47"/>
      <c r="J16" s="47"/>
      <c r="K16" s="47"/>
      <c r="L16" s="47"/>
      <c r="M16" s="285"/>
      <c r="N16" s="285"/>
      <c r="O16" s="285"/>
      <c r="P16" s="285"/>
      <c r="Q16" s="285"/>
      <c r="R16" s="47"/>
      <c r="S16" s="47"/>
      <c r="T16" s="47"/>
      <c r="Z16" s="47"/>
      <c r="AA16" s="47"/>
      <c r="AB16" s="47"/>
      <c r="AC16" s="47"/>
      <c r="AD16" s="47"/>
      <c r="AE16" s="47"/>
      <c r="AF16" s="47"/>
      <c r="AG16" s="47"/>
      <c r="AH16" s="140"/>
      <c r="AI16" s="36"/>
      <c r="AJ16" s="676"/>
      <c r="AK16" s="676"/>
      <c r="AL16" s="676"/>
      <c r="AM16" s="140"/>
      <c r="AN16" s="36"/>
      <c r="AO16" s="676"/>
      <c r="AP16" s="676"/>
      <c r="AQ16" s="676"/>
      <c r="AR16" s="140"/>
      <c r="AS16" s="36"/>
      <c r="AT16" s="1388"/>
      <c r="AU16" s="1388"/>
      <c r="AV16" s="1388"/>
      <c r="AW16" s="141"/>
      <c r="AX16" s="139"/>
      <c r="AY16" s="676"/>
      <c r="AZ16" s="676"/>
      <c r="BA16" s="676"/>
      <c r="BB16" s="36"/>
      <c r="BC16" s="36"/>
      <c r="BD16" s="676"/>
      <c r="BE16" s="676"/>
      <c r="BF16" s="676"/>
      <c r="BG16" s="36"/>
      <c r="BH16" s="36"/>
    </row>
    <row r="17" spans="1:80" ht="9.9499999999999993" hidden="1" customHeight="1" x14ac:dyDescent="0.25">
      <c r="A17" s="1385"/>
      <c r="B17" s="1386"/>
      <c r="C17" s="1386"/>
      <c r="D17" s="1386"/>
      <c r="E17" s="138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Z17" s="47"/>
      <c r="AA17" s="47"/>
      <c r="AB17" s="47"/>
      <c r="AC17" s="47"/>
      <c r="AD17" s="47"/>
      <c r="AE17" s="47"/>
      <c r="AF17" s="47"/>
      <c r="AG17" s="47"/>
      <c r="AH17" s="36"/>
      <c r="AI17" s="36"/>
      <c r="AJ17" s="676"/>
      <c r="AK17" s="676"/>
      <c r="AL17" s="676"/>
      <c r="AM17" s="36"/>
      <c r="AN17" s="36"/>
      <c r="AO17" s="676"/>
      <c r="AP17" s="676"/>
      <c r="AQ17" s="676"/>
      <c r="AR17" s="36"/>
      <c r="AS17" s="36"/>
      <c r="AT17" s="1388"/>
      <c r="AU17" s="1388"/>
      <c r="AV17" s="1388"/>
      <c r="AW17" s="139"/>
      <c r="AX17" s="139"/>
      <c r="AY17" s="676"/>
      <c r="AZ17" s="676"/>
      <c r="BA17" s="676"/>
      <c r="BB17" s="36"/>
      <c r="BC17" s="36"/>
      <c r="BD17" s="676"/>
      <c r="BE17" s="676"/>
      <c r="BF17" s="676"/>
      <c r="BG17" s="36"/>
      <c r="BH17" s="36"/>
    </row>
    <row r="18" spans="1:80" ht="72" hidden="1" customHeight="1" x14ac:dyDescent="0.25">
      <c r="A18" s="1374" t="s">
        <v>253</v>
      </c>
      <c r="B18" s="1376"/>
      <c r="C18" s="1377"/>
      <c r="D18" s="1377"/>
      <c r="E18" s="1378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3"/>
      <c r="AU18" s="143"/>
      <c r="AV18" s="143"/>
      <c r="AW18" s="143"/>
      <c r="AX18" s="143"/>
      <c r="AY18" s="677"/>
      <c r="AZ18" s="1332"/>
      <c r="BA18" s="1332"/>
      <c r="BB18" s="1332"/>
      <c r="BC18" s="1332"/>
      <c r="BD18" s="677"/>
      <c r="BE18" s="1332" t="s">
        <v>16</v>
      </c>
      <c r="BF18" s="1332"/>
      <c r="BG18" s="1332"/>
      <c r="BH18" s="1332"/>
      <c r="BM18" s="51"/>
      <c r="BN18" s="51"/>
      <c r="BO18" s="51"/>
      <c r="BP18" s="51"/>
      <c r="BQ18" s="51"/>
      <c r="BR18" s="51"/>
      <c r="BW18" s="27"/>
      <c r="BX18" s="27"/>
      <c r="BY18" s="27"/>
      <c r="BZ18" s="27"/>
      <c r="CA18" s="27"/>
      <c r="CB18" s="27"/>
    </row>
    <row r="19" spans="1:80" ht="35.1" hidden="1" customHeight="1" thickBot="1" x14ac:dyDescent="0.3">
      <c r="A19" s="1375"/>
      <c r="B19" s="144"/>
      <c r="C19" s="145" t="s">
        <v>113</v>
      </c>
      <c r="D19" s="146"/>
      <c r="E19" s="147" t="s">
        <v>114</v>
      </c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148"/>
      <c r="AU19" s="148"/>
      <c r="AV19" s="148"/>
      <c r="AW19" s="148"/>
      <c r="AX19" s="148"/>
      <c r="AY19" s="677"/>
      <c r="AZ19" s="137"/>
      <c r="BA19" s="33"/>
      <c r="BB19" s="138"/>
      <c r="BC19" s="35"/>
      <c r="BD19" s="677"/>
      <c r="BE19" s="137"/>
      <c r="BF19" s="33"/>
      <c r="BG19" s="138"/>
      <c r="BH19" s="35"/>
      <c r="BM19" s="51"/>
      <c r="BN19" s="51"/>
      <c r="BO19" s="51"/>
      <c r="BP19" s="51"/>
      <c r="BQ19" s="51"/>
      <c r="BR19" s="51"/>
      <c r="BW19" s="27"/>
      <c r="BX19" s="27"/>
      <c r="BY19" s="27"/>
      <c r="BZ19" s="27"/>
      <c r="CA19" s="27"/>
      <c r="CB19" s="27"/>
    </row>
    <row r="20" spans="1:80" ht="27" hidden="1" thickTop="1" x14ac:dyDescent="0.25">
      <c r="A20" s="1396"/>
      <c r="B20" s="1396"/>
      <c r="C20" s="1396"/>
      <c r="D20" s="1397"/>
      <c r="E20" s="1397"/>
      <c r="F20" s="674"/>
      <c r="G20" s="674"/>
      <c r="H20" s="674"/>
      <c r="I20" s="1300"/>
      <c r="J20" s="1300"/>
      <c r="K20" s="674"/>
      <c r="L20" s="674"/>
      <c r="M20" s="674"/>
      <c r="N20" s="1300"/>
      <c r="O20" s="1300"/>
      <c r="P20" s="674"/>
      <c r="Q20" s="674"/>
      <c r="R20" s="674"/>
      <c r="S20" s="1300"/>
      <c r="T20" s="1300"/>
      <c r="U20" s="674"/>
      <c r="V20" s="674"/>
      <c r="W20" s="674"/>
      <c r="X20" s="1300"/>
      <c r="Y20" s="1300"/>
      <c r="Z20" s="674"/>
      <c r="AA20" s="674"/>
      <c r="AB20" s="674"/>
      <c r="AC20" s="1300"/>
      <c r="AD20" s="1300"/>
      <c r="AE20" s="674"/>
      <c r="AF20" s="674"/>
      <c r="AG20" s="674"/>
      <c r="AH20" s="1300"/>
      <c r="AI20" s="1300"/>
      <c r="AJ20" s="674"/>
      <c r="AK20" s="674"/>
      <c r="AL20" s="674"/>
      <c r="AM20" s="1300"/>
      <c r="AN20" s="1300"/>
      <c r="AO20" s="674"/>
      <c r="AP20" s="674"/>
      <c r="AQ20" s="674"/>
      <c r="AR20" s="1300"/>
      <c r="AS20" s="1300"/>
      <c r="AT20" s="1389"/>
      <c r="AU20" s="1389"/>
      <c r="AV20" s="1389"/>
      <c r="AW20" s="1390"/>
      <c r="AX20" s="1390"/>
      <c r="AY20" s="674"/>
      <c r="AZ20" s="674"/>
      <c r="BA20" s="674"/>
      <c r="BB20" s="1300"/>
      <c r="BC20" s="1300"/>
      <c r="BD20" s="674"/>
      <c r="BE20" s="674"/>
      <c r="BF20" s="674"/>
      <c r="BG20" s="1300"/>
      <c r="BH20" s="1300"/>
      <c r="BM20" s="51"/>
      <c r="BN20" s="51"/>
      <c r="BO20" s="51"/>
      <c r="BP20" s="51"/>
      <c r="BQ20" s="51"/>
      <c r="BR20" s="51"/>
      <c r="BW20" s="27"/>
      <c r="BX20" s="27"/>
      <c r="BY20" s="27"/>
      <c r="BZ20" s="27"/>
      <c r="CA20" s="27"/>
      <c r="CB20" s="27"/>
    </row>
    <row r="21" spans="1:80" ht="19.5" hidden="1" thickTop="1" x14ac:dyDescent="0.25">
      <c r="A21" s="1395"/>
      <c r="B21" s="1395"/>
      <c r="C21" s="1395"/>
      <c r="D21" s="149"/>
      <c r="E21" s="149"/>
      <c r="F21" s="676"/>
      <c r="G21" s="676"/>
      <c r="H21" s="676"/>
      <c r="I21" s="36"/>
      <c r="J21" s="36"/>
      <c r="K21" s="676"/>
      <c r="L21" s="676"/>
      <c r="M21" s="676"/>
      <c r="N21" s="36"/>
      <c r="O21" s="36"/>
      <c r="P21" s="676"/>
      <c r="Q21" s="676"/>
      <c r="R21" s="676"/>
      <c r="S21" s="36"/>
      <c r="T21" s="36"/>
      <c r="U21" s="676"/>
      <c r="V21" s="676"/>
      <c r="W21" s="676"/>
      <c r="X21" s="36"/>
      <c r="Y21" s="36"/>
      <c r="Z21" s="676"/>
      <c r="AA21" s="676"/>
      <c r="AB21" s="676"/>
      <c r="AC21" s="36"/>
      <c r="AD21" s="36"/>
      <c r="AE21" s="676"/>
      <c r="AF21" s="676"/>
      <c r="AG21" s="676"/>
      <c r="AH21" s="36"/>
      <c r="AI21" s="36"/>
      <c r="AJ21" s="676"/>
      <c r="AK21" s="676"/>
      <c r="AL21" s="676"/>
      <c r="AM21" s="36"/>
      <c r="AN21" s="36"/>
      <c r="AO21" s="676"/>
      <c r="AP21" s="676"/>
      <c r="AQ21" s="676"/>
      <c r="AR21" s="36"/>
      <c r="AS21" s="36"/>
      <c r="AT21" s="1388"/>
      <c r="AU21" s="1388"/>
      <c r="AV21" s="1388"/>
      <c r="AW21" s="139"/>
      <c r="AX21" s="139"/>
      <c r="AY21" s="676"/>
      <c r="AZ21" s="676"/>
      <c r="BA21" s="676"/>
      <c r="BB21" s="36"/>
      <c r="BC21" s="36"/>
      <c r="BD21" s="676"/>
      <c r="BE21" s="676"/>
      <c r="BF21" s="676"/>
      <c r="BG21" s="36"/>
      <c r="BH21" s="36"/>
    </row>
    <row r="22" spans="1:80" ht="36.75" hidden="1" thickTop="1" x14ac:dyDescent="0.25">
      <c r="A22" s="1395"/>
      <c r="B22" s="1395"/>
      <c r="C22" s="1395"/>
      <c r="D22" s="150"/>
      <c r="E22" s="149"/>
      <c r="F22" s="676"/>
      <c r="G22" s="676"/>
      <c r="H22" s="676"/>
      <c r="I22" s="140"/>
      <c r="J22" s="36"/>
      <c r="K22" s="676"/>
      <c r="L22" s="676"/>
      <c r="M22" s="676"/>
      <c r="N22" s="140"/>
      <c r="O22" s="36"/>
      <c r="P22" s="676"/>
      <c r="Q22" s="676"/>
      <c r="R22" s="676"/>
      <c r="S22" s="140"/>
      <c r="T22" s="36"/>
      <c r="U22" s="676"/>
      <c r="V22" s="676"/>
      <c r="W22" s="676"/>
      <c r="X22" s="140"/>
      <c r="Y22" s="36"/>
      <c r="Z22" s="676"/>
      <c r="AA22" s="676"/>
      <c r="AB22" s="676"/>
      <c r="AC22" s="140"/>
      <c r="AD22" s="36"/>
      <c r="AE22" s="676"/>
      <c r="AF22" s="676"/>
      <c r="AG22" s="676"/>
      <c r="AH22" s="140"/>
      <c r="AI22" s="36"/>
      <c r="AJ22" s="676"/>
      <c r="AK22" s="676"/>
      <c r="AL22" s="676"/>
      <c r="AM22" s="140"/>
      <c r="AN22" s="36"/>
      <c r="AO22" s="676"/>
      <c r="AP22" s="676"/>
      <c r="AQ22" s="676"/>
      <c r="AR22" s="140"/>
      <c r="AS22" s="36"/>
      <c r="AT22" s="1388"/>
      <c r="AU22" s="1388"/>
      <c r="AV22" s="1388"/>
      <c r="AW22" s="141"/>
      <c r="AX22" s="139"/>
      <c r="AY22" s="676"/>
      <c r="AZ22" s="676"/>
      <c r="BA22" s="676"/>
      <c r="BB22" s="36"/>
      <c r="BC22" s="36"/>
      <c r="BD22" s="676"/>
      <c r="BE22" s="676"/>
      <c r="BF22" s="676"/>
      <c r="BG22" s="36"/>
      <c r="BH22" s="36"/>
    </row>
    <row r="23" spans="1:80" ht="19.5" hidden="1" thickTop="1" x14ac:dyDescent="0.25">
      <c r="A23" s="1395"/>
      <c r="B23" s="1395"/>
      <c r="C23" s="1395"/>
      <c r="D23" s="149"/>
      <c r="E23" s="149"/>
      <c r="F23" s="676"/>
      <c r="G23" s="676"/>
      <c r="H23" s="676"/>
      <c r="I23" s="36"/>
      <c r="J23" s="36"/>
      <c r="K23" s="676"/>
      <c r="L23" s="676"/>
      <c r="M23" s="676"/>
      <c r="N23" s="36"/>
      <c r="O23" s="36"/>
      <c r="P23" s="676"/>
      <c r="Q23" s="676"/>
      <c r="R23" s="676"/>
      <c r="S23" s="36"/>
      <c r="T23" s="36"/>
      <c r="U23" s="676"/>
      <c r="V23" s="676"/>
      <c r="W23" s="676"/>
      <c r="X23" s="36"/>
      <c r="Y23" s="36"/>
      <c r="Z23" s="676"/>
      <c r="AA23" s="676"/>
      <c r="AB23" s="676"/>
      <c r="AC23" s="36"/>
      <c r="AD23" s="36"/>
      <c r="AE23" s="676"/>
      <c r="AF23" s="676"/>
      <c r="AG23" s="676"/>
      <c r="AH23" s="36"/>
      <c r="AI23" s="36"/>
      <c r="AJ23" s="676"/>
      <c r="AK23" s="676"/>
      <c r="AL23" s="676"/>
      <c r="AM23" s="36"/>
      <c r="AN23" s="36"/>
      <c r="AO23" s="676"/>
      <c r="AP23" s="676"/>
      <c r="AQ23" s="676"/>
      <c r="AR23" s="36"/>
      <c r="AS23" s="36"/>
      <c r="AT23" s="1388"/>
      <c r="AU23" s="1388"/>
      <c r="AV23" s="1388"/>
      <c r="AW23" s="139"/>
      <c r="AX23" s="139"/>
      <c r="AY23" s="676"/>
      <c r="AZ23" s="676"/>
      <c r="BA23" s="676"/>
      <c r="BB23" s="36"/>
      <c r="BC23" s="36"/>
      <c r="BD23" s="676"/>
      <c r="BE23" s="676"/>
      <c r="BF23" s="676"/>
      <c r="BG23" s="36"/>
      <c r="BH23" s="36"/>
    </row>
    <row r="24" spans="1:80" ht="78" hidden="1" thickTop="1" x14ac:dyDescent="0.25">
      <c r="A24" s="1398"/>
      <c r="B24" s="1399"/>
      <c r="C24" s="1399"/>
      <c r="D24" s="1399"/>
      <c r="E24" s="1399"/>
      <c r="F24" s="1370"/>
      <c r="G24" s="1371"/>
      <c r="H24" s="1371"/>
      <c r="I24" s="1371"/>
      <c r="J24" s="1371"/>
      <c r="K24" s="1370"/>
      <c r="L24" s="1371"/>
      <c r="M24" s="1371"/>
      <c r="N24" s="1371"/>
      <c r="O24" s="1371"/>
      <c r="P24" s="1370"/>
      <c r="Q24" s="1371"/>
      <c r="R24" s="1371"/>
      <c r="S24" s="1371"/>
      <c r="T24" s="1371"/>
      <c r="U24" s="1370"/>
      <c r="V24" s="1371"/>
      <c r="W24" s="1371"/>
      <c r="X24" s="1371"/>
      <c r="Y24" s="1371"/>
      <c r="Z24" s="1370"/>
      <c r="AA24" s="1371"/>
      <c r="AB24" s="1371"/>
      <c r="AC24" s="1371"/>
      <c r="AD24" s="1371"/>
      <c r="AE24" s="1370"/>
      <c r="AF24" s="1371"/>
      <c r="AG24" s="1371"/>
      <c r="AH24" s="1371"/>
      <c r="AI24" s="1371"/>
      <c r="AJ24" s="1370"/>
      <c r="AK24" s="1371"/>
      <c r="AL24" s="1371"/>
      <c r="AM24" s="1371"/>
      <c r="AN24" s="1371"/>
      <c r="AO24" s="1370"/>
      <c r="AP24" s="1371"/>
      <c r="AQ24" s="1371"/>
      <c r="AR24" s="1371"/>
      <c r="AS24" s="1371"/>
      <c r="AT24" s="1439"/>
      <c r="AU24" s="1440"/>
      <c r="AV24" s="1440"/>
      <c r="AW24" s="1440"/>
      <c r="AX24" s="1440"/>
      <c r="AY24" s="677"/>
      <c r="AZ24" s="1332"/>
      <c r="BA24" s="1332"/>
      <c r="BB24" s="1332"/>
      <c r="BC24" s="1332"/>
      <c r="BD24" s="677"/>
      <c r="BE24" s="1332"/>
      <c r="BF24" s="1332"/>
      <c r="BG24" s="1332"/>
      <c r="BH24" s="1332"/>
      <c r="BM24" s="51"/>
      <c r="BN24" s="51"/>
      <c r="BO24" s="51"/>
      <c r="BP24" s="51"/>
      <c r="BQ24" s="51"/>
      <c r="BR24" s="51"/>
      <c r="BW24" s="27"/>
      <c r="BX24" s="27"/>
      <c r="BY24" s="27"/>
      <c r="BZ24" s="27"/>
      <c r="CA24" s="27"/>
      <c r="CB24" s="27"/>
    </row>
    <row r="25" spans="1:80" ht="27" hidden="1" thickTop="1" x14ac:dyDescent="0.25">
      <c r="A25" s="1398"/>
      <c r="B25" s="151"/>
      <c r="C25" s="152"/>
      <c r="D25" s="153"/>
      <c r="E25" s="154"/>
      <c r="F25" s="1370"/>
      <c r="G25" s="32"/>
      <c r="H25" s="33"/>
      <c r="I25" s="34"/>
      <c r="J25" s="35"/>
      <c r="K25" s="1370"/>
      <c r="L25" s="32"/>
      <c r="M25" s="33"/>
      <c r="N25" s="34"/>
      <c r="O25" s="35"/>
      <c r="P25" s="1370"/>
      <c r="Q25" s="32"/>
      <c r="R25" s="33"/>
      <c r="S25" s="34"/>
      <c r="T25" s="35"/>
      <c r="U25" s="1370"/>
      <c r="V25" s="32"/>
      <c r="W25" s="33"/>
      <c r="X25" s="34"/>
      <c r="Y25" s="35"/>
      <c r="Z25" s="1370"/>
      <c r="AA25" s="32"/>
      <c r="AB25" s="33"/>
      <c r="AC25" s="34"/>
      <c r="AD25" s="35"/>
      <c r="AE25" s="1370"/>
      <c r="AF25" s="32"/>
      <c r="AG25" s="33"/>
      <c r="AH25" s="34"/>
      <c r="AI25" s="35"/>
      <c r="AJ25" s="1370"/>
      <c r="AK25" s="32"/>
      <c r="AL25" s="33"/>
      <c r="AM25" s="34"/>
      <c r="AN25" s="35"/>
      <c r="AO25" s="1370"/>
      <c r="AP25" s="32"/>
      <c r="AQ25" s="33"/>
      <c r="AR25" s="34"/>
      <c r="AS25" s="35"/>
      <c r="AT25" s="1439"/>
      <c r="AU25" s="155"/>
      <c r="AV25" s="148"/>
      <c r="AW25" s="156"/>
      <c r="AX25" s="157"/>
      <c r="AY25" s="677"/>
      <c r="AZ25" s="137"/>
      <c r="BA25" s="33"/>
      <c r="BB25" s="138"/>
      <c r="BC25" s="35"/>
      <c r="BD25" s="677"/>
      <c r="BE25" s="137"/>
      <c r="BF25" s="33"/>
      <c r="BG25" s="138"/>
      <c r="BH25" s="35"/>
      <c r="BM25" s="51"/>
      <c r="BN25" s="51"/>
      <c r="BO25" s="51"/>
      <c r="BP25" s="51"/>
      <c r="BQ25" s="51"/>
      <c r="BR25" s="51"/>
      <c r="BW25" s="27"/>
      <c r="BX25" s="27"/>
      <c r="BY25" s="27"/>
      <c r="BZ25" s="27"/>
      <c r="CA25" s="27"/>
      <c r="CB25" s="27"/>
    </row>
    <row r="26" spans="1:80" ht="27" hidden="1" thickTop="1" x14ac:dyDescent="0.25">
      <c r="A26" s="1396"/>
      <c r="B26" s="1396"/>
      <c r="C26" s="1396"/>
      <c r="D26" s="1397"/>
      <c r="E26" s="1397"/>
      <c r="F26" s="674"/>
      <c r="G26" s="674"/>
      <c r="H26" s="674"/>
      <c r="I26" s="1300"/>
      <c r="J26" s="1300"/>
      <c r="K26" s="674"/>
      <c r="L26" s="674"/>
      <c r="M26" s="674"/>
      <c r="N26" s="1300"/>
      <c r="O26" s="1300"/>
      <c r="P26" s="674"/>
      <c r="Q26" s="674"/>
      <c r="R26" s="674"/>
      <c r="S26" s="1300"/>
      <c r="T26" s="1300"/>
      <c r="U26" s="674"/>
      <c r="V26" s="674"/>
      <c r="W26" s="674"/>
      <c r="X26" s="1300"/>
      <c r="Y26" s="1300"/>
      <c r="Z26" s="674"/>
      <c r="AA26" s="674"/>
      <c r="AB26" s="674"/>
      <c r="AC26" s="1300"/>
      <c r="AD26" s="1300"/>
      <c r="AE26" s="674"/>
      <c r="AF26" s="674"/>
      <c r="AG26" s="674"/>
      <c r="AH26" s="1300"/>
      <c r="AI26" s="1300"/>
      <c r="AJ26" s="44"/>
      <c r="AK26" s="44"/>
      <c r="AP26" s="44"/>
      <c r="AQ26" s="44"/>
      <c r="AT26" s="1389"/>
      <c r="AU26" s="1389"/>
      <c r="AV26" s="1389"/>
      <c r="AW26" s="1390"/>
      <c r="AX26" s="1390"/>
      <c r="AY26" s="674"/>
      <c r="AZ26" s="674"/>
      <c r="BA26" s="674"/>
      <c r="BB26" s="1300"/>
      <c r="BC26" s="1300"/>
      <c r="BD26" s="674"/>
      <c r="BE26" s="674"/>
      <c r="BF26" s="674"/>
      <c r="BG26" s="1300"/>
      <c r="BH26" s="1300"/>
      <c r="BM26" s="51"/>
      <c r="BN26" s="51"/>
      <c r="BO26" s="51"/>
      <c r="BP26" s="51"/>
      <c r="BQ26" s="51"/>
      <c r="BR26" s="51"/>
      <c r="BW26" s="27"/>
      <c r="BX26" s="27"/>
      <c r="BY26" s="27"/>
      <c r="BZ26" s="27"/>
      <c r="CA26" s="27"/>
      <c r="CB26" s="27"/>
    </row>
    <row r="27" spans="1:80" ht="21.75" hidden="1" thickTop="1" x14ac:dyDescent="0.25">
      <c r="A27" s="1395"/>
      <c r="B27" s="1395"/>
      <c r="C27" s="1395"/>
      <c r="D27" s="149"/>
      <c r="E27" s="149"/>
      <c r="F27" s="676"/>
      <c r="G27" s="676"/>
      <c r="H27" s="676"/>
      <c r="I27" s="36"/>
      <c r="J27" s="36"/>
      <c r="K27" s="676"/>
      <c r="L27" s="676"/>
      <c r="M27" s="676"/>
      <c r="N27" s="36"/>
      <c r="O27" s="36"/>
      <c r="P27" s="676"/>
      <c r="Q27" s="676"/>
      <c r="R27" s="676"/>
      <c r="S27" s="36"/>
      <c r="T27" s="36"/>
      <c r="U27" s="676"/>
      <c r="V27" s="676"/>
      <c r="W27" s="676"/>
      <c r="X27" s="36"/>
      <c r="Y27" s="36"/>
      <c r="Z27" s="676"/>
      <c r="AA27" s="676"/>
      <c r="AB27" s="676"/>
      <c r="AC27" s="36"/>
      <c r="AD27" s="36"/>
      <c r="AE27" s="676"/>
      <c r="AF27" s="676"/>
      <c r="AG27" s="676"/>
      <c r="AH27" s="36"/>
      <c r="AI27" s="36"/>
      <c r="AJ27" s="47"/>
      <c r="AK27" s="47"/>
      <c r="AP27" s="47"/>
      <c r="AQ27" s="47"/>
      <c r="AT27" s="1388"/>
      <c r="AU27" s="1388"/>
      <c r="AV27" s="1388"/>
      <c r="AW27" s="139"/>
      <c r="AX27" s="139"/>
      <c r="AY27" s="676"/>
      <c r="AZ27" s="676"/>
      <c r="BA27" s="676"/>
      <c r="BB27" s="36"/>
      <c r="BC27" s="36"/>
      <c r="BD27" s="676"/>
      <c r="BE27" s="676"/>
      <c r="BF27" s="676"/>
      <c r="BG27" s="36"/>
      <c r="BH27" s="36"/>
    </row>
    <row r="28" spans="1:80" ht="36.75" hidden="1" thickTop="1" x14ac:dyDescent="0.25">
      <c r="A28" s="1395"/>
      <c r="B28" s="1395"/>
      <c r="C28" s="1395"/>
      <c r="D28" s="150"/>
      <c r="E28" s="149"/>
      <c r="F28" s="676"/>
      <c r="G28" s="676"/>
      <c r="H28" s="676"/>
      <c r="I28" s="140"/>
      <c r="J28" s="36"/>
      <c r="K28" s="676"/>
      <c r="L28" s="676"/>
      <c r="M28" s="676"/>
      <c r="N28" s="140"/>
      <c r="O28" s="36"/>
      <c r="P28" s="676"/>
      <c r="Q28" s="676"/>
      <c r="R28" s="676"/>
      <c r="S28" s="140"/>
      <c r="T28" s="36"/>
      <c r="U28" s="676"/>
      <c r="V28" s="676"/>
      <c r="W28" s="676"/>
      <c r="X28" s="140"/>
      <c r="Y28" s="36"/>
      <c r="Z28" s="676"/>
      <c r="AA28" s="676"/>
      <c r="AB28" s="676"/>
      <c r="AC28" s="140"/>
      <c r="AD28" s="36"/>
      <c r="AE28" s="676"/>
      <c r="AF28" s="676"/>
      <c r="AG28" s="676"/>
      <c r="AH28" s="36"/>
      <c r="AI28" s="36"/>
      <c r="AJ28" s="47"/>
      <c r="AK28" s="47"/>
      <c r="AP28" s="47"/>
      <c r="AQ28" s="47"/>
      <c r="AT28" s="1388"/>
      <c r="AU28" s="1388"/>
      <c r="AV28" s="1388"/>
      <c r="AW28" s="139"/>
      <c r="AX28" s="139"/>
      <c r="AY28" s="676"/>
      <c r="AZ28" s="676"/>
      <c r="BA28" s="676"/>
      <c r="BB28" s="36"/>
      <c r="BC28" s="36"/>
      <c r="BD28" s="676"/>
      <c r="BE28" s="676"/>
      <c r="BF28" s="676"/>
      <c r="BG28" s="36"/>
      <c r="BH28" s="36"/>
    </row>
    <row r="29" spans="1:80" ht="21.75" hidden="1" thickTop="1" x14ac:dyDescent="0.25">
      <c r="A29" s="1395"/>
      <c r="B29" s="1395"/>
      <c r="C29" s="1395"/>
      <c r="D29" s="149"/>
      <c r="E29" s="149"/>
      <c r="F29" s="676"/>
      <c r="G29" s="676"/>
      <c r="H29" s="676"/>
      <c r="I29" s="36"/>
      <c r="J29" s="36"/>
      <c r="K29" s="676"/>
      <c r="L29" s="676"/>
      <c r="M29" s="676"/>
      <c r="N29" s="36"/>
      <c r="O29" s="36"/>
      <c r="P29" s="676"/>
      <c r="Q29" s="676"/>
      <c r="R29" s="676"/>
      <c r="S29" s="36"/>
      <c r="T29" s="36"/>
      <c r="U29" s="676"/>
      <c r="V29" s="676"/>
      <c r="W29" s="676"/>
      <c r="X29" s="36"/>
      <c r="Y29" s="36"/>
      <c r="Z29" s="676"/>
      <c r="AA29" s="676"/>
      <c r="AB29" s="676"/>
      <c r="AC29" s="36"/>
      <c r="AD29" s="36"/>
      <c r="AE29" s="676"/>
      <c r="AF29" s="676"/>
      <c r="AG29" s="676"/>
      <c r="AH29" s="36"/>
      <c r="AI29" s="36"/>
      <c r="AJ29" s="47"/>
      <c r="AK29" s="47"/>
      <c r="AP29" s="47"/>
      <c r="AQ29" s="47"/>
      <c r="AR29" s="36"/>
      <c r="AS29" s="36"/>
      <c r="AT29" s="1388"/>
      <c r="AU29" s="1388"/>
      <c r="AV29" s="1388"/>
      <c r="AW29" s="139"/>
      <c r="AX29" s="139"/>
      <c r="AY29" s="676"/>
      <c r="AZ29" s="676"/>
      <c r="BA29" s="676"/>
      <c r="BB29" s="36"/>
      <c r="BC29" s="36"/>
      <c r="BD29" s="676"/>
      <c r="BE29" s="676"/>
      <c r="BF29" s="676"/>
      <c r="BG29" s="36"/>
      <c r="BH29" s="36"/>
    </row>
    <row r="30" spans="1:80" ht="60.75" customHeight="1" thickTop="1" x14ac:dyDescent="0.25">
      <c r="A30" s="1400"/>
      <c r="B30" s="1401"/>
      <c r="C30" s="1401"/>
      <c r="D30" s="1401"/>
      <c r="E30" s="1401"/>
      <c r="F30" s="1370"/>
      <c r="G30" s="1371"/>
      <c r="H30" s="1371"/>
      <c r="I30" s="1371"/>
      <c r="J30" s="1371"/>
      <c r="K30" s="1370"/>
      <c r="L30" s="1371"/>
      <c r="M30" s="1371"/>
      <c r="N30" s="1371"/>
      <c r="O30" s="1371"/>
      <c r="P30" s="1370"/>
      <c r="Q30" s="1371"/>
      <c r="R30" s="1371"/>
      <c r="S30" s="1371"/>
      <c r="T30" s="1371"/>
      <c r="U30" s="1370"/>
      <c r="V30" s="1371"/>
      <c r="W30" s="1371"/>
      <c r="X30" s="1371"/>
      <c r="Y30" s="1371"/>
      <c r="Z30" s="1370"/>
      <c r="AA30" s="1371"/>
      <c r="AB30" s="1371"/>
      <c r="AC30" s="1371"/>
      <c r="AD30" s="1371"/>
      <c r="AE30" s="677"/>
      <c r="AF30" s="1332"/>
      <c r="AG30" s="1332"/>
      <c r="AH30" s="1332"/>
      <c r="AI30" s="1332"/>
      <c r="AJ30" s="70"/>
      <c r="AR30" s="132"/>
      <c r="AS30" s="132"/>
      <c r="AT30" s="677"/>
      <c r="AU30" s="1332"/>
      <c r="AV30" s="1332"/>
      <c r="AW30" s="1332"/>
      <c r="AX30" s="1332"/>
      <c r="AY30" s="677"/>
      <c r="AZ30" s="1332"/>
      <c r="BA30" s="1332"/>
      <c r="BB30" s="1332"/>
      <c r="BC30" s="1332"/>
      <c r="BD30" s="677" t="s">
        <v>254</v>
      </c>
      <c r="BE30" s="1332"/>
      <c r="BF30" s="1332"/>
      <c r="BG30" s="1332"/>
      <c r="BH30" s="1332"/>
      <c r="BM30" s="51"/>
      <c r="BN30" s="51"/>
      <c r="BO30" s="51"/>
      <c r="BP30" s="51"/>
      <c r="BQ30" s="51"/>
      <c r="BR30" s="51"/>
      <c r="BW30" s="27"/>
      <c r="BX30" s="27"/>
      <c r="BY30" s="27"/>
      <c r="BZ30" s="27"/>
      <c r="CA30" s="27"/>
      <c r="CB30" s="27"/>
    </row>
    <row r="31" spans="1:80" ht="54.75" customHeight="1" x14ac:dyDescent="0.25">
      <c r="A31" s="1400"/>
      <c r="B31" s="158"/>
      <c r="C31" s="159"/>
      <c r="D31" s="160"/>
      <c r="E31" s="161"/>
      <c r="F31" s="1370"/>
      <c r="G31" s="32"/>
      <c r="H31" s="33"/>
      <c r="I31" s="34"/>
      <c r="J31" s="35"/>
      <c r="K31" s="1370"/>
      <c r="L31" s="32"/>
      <c r="M31" s="33"/>
      <c r="N31" s="34"/>
      <c r="O31" s="35"/>
      <c r="P31" s="1370"/>
      <c r="Q31" s="32"/>
      <c r="R31" s="33"/>
      <c r="S31" s="34"/>
      <c r="T31" s="35"/>
      <c r="U31" s="1370"/>
      <c r="V31" s="32"/>
      <c r="W31" s="33"/>
      <c r="X31" s="34"/>
      <c r="Y31" s="35"/>
      <c r="Z31" s="1370"/>
      <c r="AA31" s="32"/>
      <c r="AB31" s="33"/>
      <c r="AC31" s="34"/>
      <c r="AD31" s="35"/>
      <c r="AE31" s="677"/>
      <c r="AF31" s="137"/>
      <c r="AG31" s="33"/>
      <c r="AH31" s="138"/>
      <c r="AI31" s="35"/>
      <c r="AJ31" s="70"/>
      <c r="AK31" s="137"/>
      <c r="AL31" s="33"/>
      <c r="AM31" s="138"/>
      <c r="AN31" s="35"/>
      <c r="AO31" s="70"/>
      <c r="AP31" s="137"/>
      <c r="AQ31" s="33"/>
      <c r="AR31" s="138"/>
      <c r="AS31" s="35"/>
      <c r="AT31" s="677"/>
      <c r="AU31" s="137"/>
      <c r="AV31" s="33"/>
      <c r="AW31" s="138"/>
      <c r="AX31" s="35"/>
      <c r="AY31" s="677"/>
      <c r="AZ31" s="137" t="s">
        <v>16</v>
      </c>
      <c r="BA31" s="33"/>
      <c r="BB31" s="138"/>
      <c r="BC31" s="35"/>
      <c r="BD31" s="677"/>
      <c r="BE31" s="137" t="s">
        <v>15</v>
      </c>
      <c r="BF31" s="33"/>
      <c r="BG31" s="138"/>
      <c r="BH31" s="35"/>
      <c r="BM31" s="51"/>
      <c r="BN31" s="51"/>
      <c r="BO31" s="51"/>
      <c r="BP31" s="51"/>
      <c r="BQ31" s="51"/>
      <c r="BR31" s="51"/>
      <c r="BW31" s="27"/>
      <c r="BX31" s="27"/>
      <c r="BY31" s="27"/>
      <c r="BZ31" s="27"/>
      <c r="CA31" s="27"/>
      <c r="CB31" s="27"/>
    </row>
    <row r="32" spans="1:80" ht="59.25" customHeight="1" x14ac:dyDescent="0.25">
      <c r="A32" s="31"/>
      <c r="B32" s="162"/>
      <c r="C32" s="162"/>
      <c r="D32" s="162"/>
      <c r="F32" s="163"/>
      <c r="G32" s="163"/>
      <c r="H32" s="1413" cm="1">
        <f t="array" aca="1" ref="H32" ca="1">SUM(COUNTIF(INDIRECT({"B6","G6","L6","Q6","V6","AA6","AF6","AK6","AP6","AU6","B12","G12","L12","Q12","V12","AA12","AF12","AK12","AP12","AU12","B18","G18","L18","Q18","V18","AA18"}),"&gt;0"))</f>
        <v>19</v>
      </c>
      <c r="I32" s="1413"/>
      <c r="J32" s="1413"/>
      <c r="K32" s="164"/>
      <c r="L32" s="160"/>
      <c r="M32" s="160"/>
      <c r="N32" s="160"/>
      <c r="O32" s="160"/>
      <c r="P32" s="160"/>
      <c r="Q32" s="1414" t="s">
        <v>255</v>
      </c>
      <c r="R32" s="1414"/>
      <c r="S32" s="1414"/>
      <c r="T32" s="1414"/>
      <c r="U32" s="1414"/>
      <c r="V32" s="1414"/>
      <c r="W32" s="165"/>
      <c r="X32" s="1409" t="s">
        <v>256</v>
      </c>
      <c r="Y32" s="1409"/>
      <c r="Z32" s="1409"/>
      <c r="AA32" s="1409"/>
      <c r="AB32" s="1409"/>
      <c r="AC32" s="1410">
        <f>B7+G7+L7+Q7+V7+AA7+AF7+AK7+AP7+AU7+AU13+AP13+AK13+AF13+AA13+V13+Q13+L13+G13+B13+B19</f>
        <v>65.979200000000006</v>
      </c>
      <c r="AD32" s="1410"/>
      <c r="AE32" s="1410"/>
      <c r="AF32" s="1410"/>
      <c r="AG32" s="1410"/>
      <c r="AH32" s="1410"/>
      <c r="AI32" s="166"/>
      <c r="AJ32" s="1416" t="s">
        <v>119</v>
      </c>
      <c r="AK32" s="1416"/>
      <c r="AL32" s="1416"/>
      <c r="AM32" s="1416"/>
      <c r="AN32" s="1416"/>
      <c r="AO32" s="1417">
        <f>D7+I7+N7+S7+X7+AC7+AH7+AM7+AR7+AW7+AW13+AR13+AM13+AH13+AC13+X13+S13+N13+I13+D13+D19</f>
        <v>16</v>
      </c>
      <c r="AP32" s="1417"/>
      <c r="AQ32" s="1417"/>
      <c r="AR32" s="1417"/>
      <c r="AS32" s="1417"/>
      <c r="AT32" s="1402" t="s">
        <v>120</v>
      </c>
      <c r="AU32" s="1402"/>
      <c r="AV32" s="1402"/>
      <c r="AW32" s="1402"/>
      <c r="AX32" s="127"/>
      <c r="AY32" s="72"/>
      <c r="AZ32" s="72"/>
      <c r="BA32" s="72"/>
      <c r="BB32" s="72"/>
      <c r="BC32" s="72"/>
      <c r="BD32" s="72"/>
      <c r="BE32" t="s">
        <v>16</v>
      </c>
      <c r="BF32" s="167"/>
      <c r="BG32" s="167"/>
      <c r="BH32" s="167"/>
      <c r="BM32" s="51"/>
      <c r="BN32" s="51"/>
      <c r="BO32" s="51"/>
      <c r="BP32" s="51"/>
      <c r="BQ32" s="51"/>
      <c r="BR32" s="51"/>
      <c r="BW32" s="27"/>
      <c r="BX32" s="27"/>
      <c r="BY32" s="27"/>
      <c r="BZ32" s="27"/>
      <c r="CA32" s="27"/>
      <c r="CB32" s="27"/>
    </row>
    <row r="33" spans="1:80" ht="30" customHeight="1" x14ac:dyDescent="0.25">
      <c r="B33" s="162"/>
      <c r="C33" s="162"/>
      <c r="D33" s="162"/>
      <c r="E33" s="163"/>
      <c r="F33" s="163"/>
      <c r="G33" s="163"/>
      <c r="H33" s="1413"/>
      <c r="I33" s="1413"/>
      <c r="J33" s="1413"/>
      <c r="K33" s="168"/>
      <c r="L33" s="160"/>
      <c r="M33" s="160"/>
      <c r="N33" s="160"/>
      <c r="O33" s="160"/>
      <c r="P33" s="160"/>
      <c r="Q33" s="1414"/>
      <c r="R33" s="1414"/>
      <c r="S33" s="1414"/>
      <c r="T33" s="1414"/>
      <c r="U33" s="1414"/>
      <c r="V33" s="1414"/>
      <c r="W33" s="169"/>
      <c r="X33" s="1409"/>
      <c r="Y33" s="1409"/>
      <c r="Z33" s="1409"/>
      <c r="AA33" s="1409"/>
      <c r="AB33" s="1409"/>
      <c r="AC33" s="1410"/>
      <c r="AD33" s="1410"/>
      <c r="AE33" s="1410"/>
      <c r="AF33" s="1410"/>
      <c r="AG33" s="1410"/>
      <c r="AH33" s="1410"/>
      <c r="AI33" s="166"/>
      <c r="AJ33" s="1416"/>
      <c r="AK33" s="1416"/>
      <c r="AL33" s="1416"/>
      <c r="AM33" s="1416"/>
      <c r="AN33" s="1416"/>
      <c r="AO33" s="1417"/>
      <c r="AP33" s="1417"/>
      <c r="AQ33" s="1417"/>
      <c r="AR33" s="1417"/>
      <c r="AS33" s="1417"/>
      <c r="AT33" s="1402"/>
      <c r="AU33" s="1402"/>
      <c r="AV33" s="1402"/>
      <c r="AW33" s="1402"/>
      <c r="BI33" s="50"/>
      <c r="BJ33" s="50"/>
      <c r="BM33" s="51"/>
      <c r="BN33" s="51"/>
      <c r="BO33" s="51"/>
      <c r="BP33" s="51"/>
      <c r="BQ33" s="51"/>
      <c r="BR33" s="51"/>
      <c r="BS33" s="27"/>
      <c r="BT33" s="27"/>
      <c r="BU33" s="27"/>
      <c r="BW33" s="27"/>
      <c r="BX33" s="27"/>
      <c r="BY33" s="27"/>
      <c r="BZ33" s="27"/>
      <c r="CA33" s="27"/>
      <c r="CB33" s="27"/>
    </row>
    <row r="34" spans="1:80" ht="6" customHeight="1" x14ac:dyDescent="0.25">
      <c r="B34" s="162"/>
      <c r="C34" s="162"/>
      <c r="D34" s="162"/>
      <c r="E34" s="163"/>
      <c r="F34" s="163"/>
      <c r="G34" s="163"/>
      <c r="H34" s="168"/>
      <c r="I34" s="168"/>
      <c r="J34" s="168"/>
      <c r="K34" s="168"/>
      <c r="L34" s="160"/>
      <c r="M34" s="160"/>
      <c r="N34" s="160"/>
      <c r="O34" s="160"/>
      <c r="P34" s="160"/>
      <c r="Q34" s="1414"/>
      <c r="R34" s="1414"/>
      <c r="S34" s="1414"/>
      <c r="T34" s="1414"/>
      <c r="U34" s="1414"/>
      <c r="V34" s="1414"/>
      <c r="W34" s="169"/>
      <c r="X34" s="1409"/>
      <c r="Y34" s="1409"/>
      <c r="Z34" s="1409"/>
      <c r="AA34" s="1409"/>
      <c r="AB34" s="1409"/>
      <c r="AC34" s="1410"/>
      <c r="AD34" s="1410"/>
      <c r="AE34" s="1410"/>
      <c r="AF34" s="1410"/>
      <c r="AG34" s="1410"/>
      <c r="AH34" s="1410"/>
      <c r="AI34" s="166"/>
      <c r="AJ34" s="1416"/>
      <c r="AK34" s="1416"/>
      <c r="AL34" s="1416"/>
      <c r="AM34" s="1416"/>
      <c r="AN34" s="1416"/>
      <c r="AO34" s="1403">
        <f>AO32*1.5</f>
        <v>24</v>
      </c>
      <c r="AP34" s="1403"/>
      <c r="AQ34" s="1403"/>
      <c r="AR34" s="1403"/>
      <c r="AS34" s="1403"/>
      <c r="AT34" s="1403"/>
      <c r="AU34" s="1403"/>
      <c r="AV34" s="1404" t="s">
        <v>121</v>
      </c>
      <c r="AW34" s="1404"/>
      <c r="BI34" s="50"/>
      <c r="BJ34" s="50"/>
      <c r="BM34" s="27"/>
      <c r="BN34" s="27"/>
      <c r="BO34" s="27"/>
      <c r="BP34" s="27"/>
      <c r="BQ34" s="27"/>
      <c r="BR34" s="27"/>
      <c r="BS34" s="27"/>
      <c r="BT34" s="27"/>
      <c r="BU34" s="27"/>
      <c r="BW34" s="27"/>
      <c r="BX34" s="27"/>
      <c r="BY34" s="27"/>
      <c r="BZ34" s="27"/>
      <c r="CA34" s="27"/>
      <c r="CB34" s="27"/>
    </row>
    <row r="35" spans="1:80" ht="50.25" customHeight="1" x14ac:dyDescent="0.25">
      <c r="B35" s="162"/>
      <c r="C35" s="162"/>
      <c r="D35" s="162"/>
      <c r="E35" s="163"/>
      <c r="F35" s="163"/>
      <c r="G35" s="163"/>
      <c r="H35" s="1405" cm="1">
        <f t="array" aca="1" ref="H35" ca="1">SUM(COUNTIF(INDIRECT({"B7","G7","L7","Q7","V7","AA7","AF7","AK7","AP7","AU7","B13","G13","L13","Q13","V13","AA13","AF13","AK13","AP13","AU13","B19","G19","L19","Q19","V19","AA19"}),"&gt;0"))</f>
        <v>19</v>
      </c>
      <c r="I35" s="1405"/>
      <c r="J35" s="1405"/>
      <c r="K35" s="168"/>
      <c r="L35" s="160"/>
      <c r="M35" s="160"/>
      <c r="N35" s="160"/>
      <c r="O35" s="160"/>
      <c r="P35" s="160"/>
      <c r="Q35" s="3471" t="s">
        <v>13</v>
      </c>
      <c r="R35" s="3471"/>
      <c r="S35" s="3471"/>
      <c r="T35" s="3471"/>
      <c r="U35" s="3471"/>
      <c r="V35" s="3471"/>
      <c r="W35" s="169"/>
      <c r="X35" s="1409"/>
      <c r="Y35" s="1409"/>
      <c r="Z35" s="1409"/>
      <c r="AA35" s="1409"/>
      <c r="AB35" s="1409"/>
      <c r="AC35" s="1410"/>
      <c r="AD35" s="1410"/>
      <c r="AE35" s="1410"/>
      <c r="AF35" s="1410"/>
      <c r="AG35" s="1410"/>
      <c r="AH35" s="1410"/>
      <c r="AI35" s="166"/>
      <c r="AJ35" s="1416"/>
      <c r="AK35" s="1416"/>
      <c r="AL35" s="1416"/>
      <c r="AM35" s="1416"/>
      <c r="AN35" s="1416"/>
      <c r="AO35" s="1403"/>
      <c r="AP35" s="1403"/>
      <c r="AQ35" s="1403"/>
      <c r="AR35" s="1403"/>
      <c r="AS35" s="1403"/>
      <c r="AT35" s="1403"/>
      <c r="AU35" s="1403"/>
      <c r="AV35" s="1404"/>
      <c r="AW35" s="1404"/>
      <c r="BI35" s="50"/>
      <c r="BJ35" s="50"/>
      <c r="BM35" s="27"/>
      <c r="BN35" s="27"/>
      <c r="BO35" s="27"/>
      <c r="BP35" s="27"/>
      <c r="BQ35" s="27"/>
      <c r="BR35" s="27"/>
      <c r="BS35" s="27"/>
      <c r="BT35" s="27"/>
      <c r="BU35" s="27"/>
      <c r="BW35" s="27"/>
      <c r="BX35" s="27"/>
      <c r="BY35" s="27"/>
      <c r="BZ35" s="27"/>
      <c r="CA35" s="27"/>
      <c r="CB35" s="27"/>
    </row>
    <row r="36" spans="1:80" ht="30.75" customHeight="1" x14ac:dyDescent="0.25">
      <c r="B36" s="162"/>
      <c r="C36" s="162"/>
      <c r="D36" s="162"/>
      <c r="E36" s="162"/>
      <c r="F36" s="162"/>
      <c r="G36" s="164"/>
      <c r="H36" s="1408"/>
      <c r="I36" s="1408"/>
      <c r="J36" s="1408"/>
      <c r="K36" s="168"/>
      <c r="L36" s="160"/>
      <c r="M36" s="160"/>
      <c r="N36" s="160"/>
      <c r="O36" s="160"/>
      <c r="P36" s="160"/>
      <c r="Q36" s="3471"/>
      <c r="R36" s="3471"/>
      <c r="S36" s="3471"/>
      <c r="T36" s="3471"/>
      <c r="U36" s="3471"/>
      <c r="V36" s="3471"/>
      <c r="W36" s="169"/>
      <c r="X36" s="1409"/>
      <c r="Y36" s="1409"/>
      <c r="Z36" s="1409"/>
      <c r="AA36" s="1409"/>
      <c r="AB36" s="1409"/>
      <c r="AC36" s="1410"/>
      <c r="AD36" s="1410"/>
      <c r="AE36" s="1410"/>
      <c r="AF36" s="1410"/>
      <c r="AG36" s="1410"/>
      <c r="AH36" s="1410"/>
      <c r="AI36" s="166"/>
      <c r="AJ36" s="1416"/>
      <c r="AK36" s="1416"/>
      <c r="AL36" s="1416"/>
      <c r="AM36" s="1416"/>
      <c r="AN36" s="1416"/>
      <c r="AO36" s="1403"/>
      <c r="AP36" s="1403"/>
      <c r="AQ36" s="1403"/>
      <c r="AR36" s="1403"/>
      <c r="AS36" s="1403"/>
      <c r="AT36" s="1403"/>
      <c r="AU36" s="1403"/>
      <c r="AV36" s="1404"/>
      <c r="AW36" s="1404"/>
      <c r="BI36" s="50"/>
      <c r="BJ36" s="50"/>
      <c r="BM36" s="27"/>
      <c r="BN36" s="27"/>
      <c r="BO36" s="27"/>
      <c r="BP36" s="27"/>
      <c r="BQ36" s="27"/>
      <c r="BR36" s="27"/>
      <c r="BS36" s="27"/>
      <c r="BT36" s="27"/>
      <c r="BU36" s="27"/>
      <c r="BW36" s="27"/>
      <c r="BX36" s="27"/>
      <c r="BY36" s="27"/>
      <c r="BZ36" s="27"/>
      <c r="CA36" s="27"/>
      <c r="CB36" s="27"/>
    </row>
    <row r="37" spans="1:80" ht="15" customHeight="1" x14ac:dyDescent="0.25">
      <c r="B37" s="162"/>
      <c r="C37" s="162"/>
      <c r="D37" s="162"/>
      <c r="E37" s="162"/>
      <c r="F37" s="162"/>
      <c r="G37" s="164"/>
      <c r="H37" s="1408"/>
      <c r="I37" s="1408"/>
      <c r="J37" s="1408"/>
      <c r="K37" s="164"/>
      <c r="L37" s="165"/>
      <c r="M37" s="165"/>
      <c r="N37" s="165"/>
      <c r="O37" s="165"/>
      <c r="P37" s="165"/>
      <c r="Q37" s="3471"/>
      <c r="R37" s="3471"/>
      <c r="S37" s="3471"/>
      <c r="T37" s="3471"/>
      <c r="U37" s="3471"/>
      <c r="V37" s="3471"/>
      <c r="W37" s="165"/>
      <c r="X37" s="1409" t="s">
        <v>257</v>
      </c>
      <c r="Y37" s="1409"/>
      <c r="Z37" s="1409"/>
      <c r="AA37" s="1409"/>
      <c r="AB37" s="1409"/>
      <c r="AC37" s="1410">
        <f>AC32-AD45</f>
        <v>-7.9999999999813554E-4</v>
      </c>
      <c r="AD37" s="1410"/>
      <c r="AE37" s="1410"/>
      <c r="AF37" s="1410"/>
      <c r="AG37" s="1410"/>
      <c r="AH37" s="1410"/>
      <c r="AI37" s="166"/>
      <c r="AJ37" s="1416"/>
      <c r="AK37" s="1416"/>
      <c r="AL37" s="1416"/>
      <c r="AM37" s="1416"/>
      <c r="AN37" s="1416"/>
      <c r="AO37" s="1403"/>
      <c r="AP37" s="1403"/>
      <c r="AQ37" s="1403"/>
      <c r="AR37" s="1403"/>
      <c r="AS37" s="1403"/>
      <c r="AT37" s="1403"/>
      <c r="AU37" s="1403"/>
      <c r="AV37" s="1404"/>
      <c r="AW37" s="1404"/>
      <c r="BI37" s="53"/>
      <c r="BJ37" s="53"/>
    </row>
    <row r="38" spans="1:80" ht="28.5" customHeight="1" x14ac:dyDescent="0.25">
      <c r="B38" s="162"/>
      <c r="C38" s="162"/>
      <c r="D38" s="162"/>
      <c r="E38" s="162"/>
      <c r="F38" s="162"/>
      <c r="G38" s="164"/>
      <c r="H38" s="1411"/>
      <c r="I38" s="1411"/>
      <c r="J38" s="1411"/>
      <c r="K38" s="168"/>
      <c r="L38" s="165"/>
      <c r="M38" s="165"/>
      <c r="N38" s="165"/>
      <c r="O38" s="165"/>
      <c r="P38" s="165"/>
      <c r="Q38" s="3471"/>
      <c r="R38" s="3471"/>
      <c r="S38" s="3471"/>
      <c r="T38" s="3471"/>
      <c r="U38" s="3471"/>
      <c r="V38" s="3471"/>
      <c r="W38" s="165"/>
      <c r="X38" s="1409"/>
      <c r="Y38" s="1409"/>
      <c r="Z38" s="1409"/>
      <c r="AA38" s="1409"/>
      <c r="AB38" s="1409"/>
      <c r="AC38" s="1410"/>
      <c r="AD38" s="1410"/>
      <c r="AE38" s="1410"/>
      <c r="AF38" s="1410"/>
      <c r="AG38" s="1410"/>
      <c r="AH38" s="1410"/>
      <c r="AI38" s="166"/>
      <c r="AJ38" s="1416"/>
      <c r="AK38" s="1416"/>
      <c r="AL38" s="1416"/>
      <c r="AM38" s="1416"/>
      <c r="AN38" s="1416"/>
      <c r="AO38" s="1403"/>
      <c r="AP38" s="1403"/>
      <c r="AQ38" s="1403"/>
      <c r="AR38" s="1403"/>
      <c r="AS38" s="1403"/>
      <c r="AT38" s="1403"/>
      <c r="AU38" s="1403"/>
      <c r="AV38" s="1404"/>
      <c r="AW38" s="1404"/>
      <c r="BI38" s="53"/>
      <c r="BJ38" s="53"/>
    </row>
    <row r="39" spans="1:80" ht="15" customHeight="1" x14ac:dyDescent="0.25">
      <c r="B39" s="162"/>
      <c r="C39" s="162"/>
      <c r="D39" s="162"/>
      <c r="E39" s="162"/>
      <c r="F39" s="162"/>
      <c r="G39" s="164"/>
      <c r="H39" s="1411"/>
      <c r="I39" s="1411"/>
      <c r="J39" s="1411"/>
      <c r="K39" s="168"/>
      <c r="L39" s="165"/>
      <c r="M39" s="165"/>
      <c r="N39" s="165"/>
      <c r="O39" s="165"/>
      <c r="P39" s="165"/>
      <c r="Q39" s="3471"/>
      <c r="R39" s="3471"/>
      <c r="S39" s="3471"/>
      <c r="T39" s="3471"/>
      <c r="U39" s="3471"/>
      <c r="V39" s="3471"/>
      <c r="W39" s="165"/>
      <c r="X39" s="1409"/>
      <c r="Y39" s="1409"/>
      <c r="Z39" s="1409"/>
      <c r="AA39" s="1409"/>
      <c r="AB39" s="1409"/>
      <c r="AC39" s="1410"/>
      <c r="AD39" s="1410"/>
      <c r="AE39" s="1410"/>
      <c r="AF39" s="1410"/>
      <c r="AG39" s="1410"/>
      <c r="AH39" s="1410"/>
      <c r="AI39" s="166"/>
      <c r="AJ39" s="1416"/>
      <c r="AK39" s="1416"/>
      <c r="AL39" s="1416"/>
      <c r="AM39" s="1416"/>
      <c r="AN39" s="1416"/>
      <c r="AO39" s="1403"/>
      <c r="AP39" s="1403"/>
      <c r="AQ39" s="1403"/>
      <c r="AR39" s="1403"/>
      <c r="AS39" s="1403"/>
      <c r="AT39" s="1403"/>
      <c r="AU39" s="1403"/>
      <c r="AV39" s="1404"/>
      <c r="AW39" s="1404"/>
      <c r="BI39" s="53"/>
      <c r="BJ39" s="53"/>
    </row>
    <row r="40" spans="1:80" ht="42.75" customHeight="1" x14ac:dyDescent="0.35">
      <c r="A40" s="54"/>
      <c r="B40" s="162"/>
      <c r="C40" s="162"/>
      <c r="D40" s="162"/>
      <c r="E40" s="162"/>
      <c r="F40" s="162"/>
      <c r="G40" s="164"/>
      <c r="H40" s="1411"/>
      <c r="I40" s="1411"/>
      <c r="J40" s="1411"/>
      <c r="K40" s="168"/>
      <c r="L40" s="165"/>
      <c r="M40" s="165"/>
      <c r="N40" s="165"/>
      <c r="O40" s="165"/>
      <c r="P40" s="165"/>
      <c r="Q40" s="3471"/>
      <c r="R40" s="3471"/>
      <c r="S40" s="3471"/>
      <c r="T40" s="3471"/>
      <c r="U40" s="3471"/>
      <c r="V40" s="3471"/>
      <c r="W40" s="165"/>
      <c r="X40" s="1409"/>
      <c r="Y40" s="1409"/>
      <c r="Z40" s="1409"/>
      <c r="AA40" s="1409"/>
      <c r="AB40" s="1409"/>
      <c r="AC40" s="1410"/>
      <c r="AD40" s="1410"/>
      <c r="AE40" s="1410"/>
      <c r="AF40" s="1410"/>
      <c r="AG40" s="1410"/>
      <c r="AH40" s="1410"/>
      <c r="AI40" s="166"/>
      <c r="AJ40" s="1416"/>
      <c r="AK40" s="1416"/>
      <c r="AL40" s="1416"/>
      <c r="AM40" s="1416"/>
      <c r="AN40" s="1416"/>
      <c r="AO40" s="1403"/>
      <c r="AP40" s="1403"/>
      <c r="AQ40" s="1403"/>
      <c r="AR40" s="1403"/>
      <c r="AS40" s="1403"/>
      <c r="AT40" s="1403"/>
      <c r="AU40" s="1403"/>
      <c r="AV40" s="1404"/>
      <c r="AW40" s="1404"/>
      <c r="BI40" s="53"/>
      <c r="BJ40" s="53"/>
    </row>
    <row r="41" spans="1:80" ht="38.25" customHeight="1" x14ac:dyDescent="0.35">
      <c r="A41" s="54"/>
      <c r="B41" s="162"/>
      <c r="C41" s="162"/>
      <c r="D41" s="162"/>
      <c r="E41" s="162"/>
      <c r="F41" s="162"/>
      <c r="G41" s="164"/>
      <c r="H41" s="1412"/>
      <c r="I41" s="1412"/>
      <c r="J41" s="1412"/>
      <c r="K41" s="168"/>
      <c r="L41" s="175"/>
      <c r="M41" s="175"/>
      <c r="N41" s="175"/>
      <c r="O41" s="175"/>
      <c r="P41" s="175"/>
      <c r="Q41" s="3471"/>
      <c r="R41" s="3471"/>
      <c r="S41" s="3471"/>
      <c r="T41" s="3471"/>
      <c r="U41" s="3471"/>
      <c r="V41" s="3471"/>
      <c r="W41" s="176"/>
      <c r="X41" s="1409"/>
      <c r="Y41" s="1409"/>
      <c r="Z41" s="1409"/>
      <c r="AA41" s="1409"/>
      <c r="AB41" s="1409"/>
      <c r="AC41" s="1410"/>
      <c r="AD41" s="1410"/>
      <c r="AE41" s="1410"/>
      <c r="AF41" s="1410"/>
      <c r="AG41" s="1410"/>
      <c r="AH41" s="1410"/>
      <c r="AI41" s="166"/>
      <c r="AJ41" s="1416"/>
      <c r="AK41" s="1416"/>
      <c r="AL41" s="1416"/>
      <c r="AM41" s="1416"/>
      <c r="AN41" s="1416"/>
      <c r="AO41" s="1418"/>
      <c r="AP41" s="1418"/>
      <c r="AQ41" s="1418"/>
      <c r="AR41" s="1418"/>
      <c r="AS41" s="1418"/>
      <c r="AT41" s="1418"/>
      <c r="AU41" s="1418"/>
      <c r="AV41" s="1418"/>
      <c r="AW41" s="1418"/>
      <c r="AX41" s="54"/>
      <c r="AY41" s="54"/>
      <c r="BI41" s="170"/>
      <c r="BJ41" s="170"/>
    </row>
    <row r="42" spans="1:80" ht="60" customHeight="1" x14ac:dyDescent="0.35">
      <c r="H42" s="1412"/>
      <c r="I42" s="1412"/>
      <c r="J42" s="1412"/>
      <c r="L42" s="175"/>
      <c r="M42" s="175"/>
      <c r="N42" s="175"/>
      <c r="O42" s="175"/>
      <c r="P42" s="175"/>
      <c r="Q42" s="3471"/>
      <c r="R42" s="3471"/>
      <c r="S42" s="3471"/>
      <c r="T42" s="3471"/>
      <c r="U42" s="3471"/>
      <c r="V42" s="3471"/>
      <c r="W42" s="176"/>
      <c r="X42" s="1409"/>
      <c r="Y42" s="1409"/>
      <c r="Z42" s="1409"/>
      <c r="AA42" s="1409"/>
      <c r="AB42" s="1409"/>
      <c r="AC42" s="1410"/>
      <c r="AD42" s="1410"/>
      <c r="AE42" s="1410"/>
      <c r="AF42" s="1410"/>
      <c r="AG42" s="1410"/>
      <c r="AH42" s="1410"/>
      <c r="AI42" s="166"/>
      <c r="AJ42" s="1416"/>
      <c r="AK42" s="1416"/>
      <c r="AL42" s="1416"/>
      <c r="AM42" s="1416"/>
      <c r="AN42" s="1416"/>
      <c r="AO42" s="1418"/>
      <c r="AP42" s="1418"/>
      <c r="AQ42" s="1418"/>
      <c r="AR42" s="1418"/>
      <c r="AS42" s="1418"/>
      <c r="AT42" s="1418"/>
      <c r="AU42" s="1418"/>
      <c r="AV42" s="1418"/>
      <c r="AW42" s="1418"/>
      <c r="AX42" s="54"/>
      <c r="AY42" s="54"/>
      <c r="BI42" s="170"/>
      <c r="BJ42" s="170"/>
    </row>
    <row r="43" spans="1:80" ht="15" customHeight="1" x14ac:dyDescent="0.35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1"/>
      <c r="AI43" s="171"/>
      <c r="AJ43" s="171"/>
      <c r="AK43" s="171"/>
      <c r="AL43" s="171"/>
      <c r="AM43" s="171"/>
      <c r="AN43" s="171"/>
      <c r="AO43" s="172"/>
      <c r="AP43" s="172"/>
      <c r="AQ43" s="172"/>
      <c r="AR43" s="172"/>
      <c r="AS43" s="172"/>
      <c r="AT43" s="172"/>
      <c r="AU43" s="172"/>
      <c r="AV43" s="172"/>
      <c r="AW43" s="172"/>
    </row>
    <row r="44" spans="1:80" ht="15.75" customHeight="1" thickBot="1" x14ac:dyDescent="0.4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3"/>
      <c r="Y44" s="171"/>
      <c r="Z44" s="171"/>
      <c r="AA44" s="171"/>
      <c r="AB44" s="171"/>
      <c r="AC44" s="171"/>
      <c r="AD44" s="171"/>
      <c r="AE44" s="171"/>
      <c r="AF44" s="171"/>
      <c r="AG44" s="171"/>
      <c r="AH44" s="171"/>
      <c r="AI44" s="171"/>
      <c r="AJ44" s="171"/>
      <c r="AK44" s="171"/>
      <c r="AL44" s="171"/>
      <c r="AM44" s="171"/>
      <c r="AN44" s="171"/>
      <c r="AO44" s="172"/>
      <c r="AP44" s="172"/>
      <c r="AQ44" s="172"/>
      <c r="AR44" s="172"/>
      <c r="AS44" s="172"/>
      <c r="AT44" s="172"/>
      <c r="AU44" s="172"/>
      <c r="AV44" s="172"/>
      <c r="AW44" s="172"/>
    </row>
    <row r="45" spans="1:80" ht="15.75" thickTop="1" x14ac:dyDescent="0.25">
      <c r="J45" t="s">
        <v>16</v>
      </c>
      <c r="AD45" s="775">
        <v>65.98</v>
      </c>
      <c r="AE45" s="776"/>
      <c r="AF45" s="776"/>
      <c r="AG45" s="776"/>
      <c r="AH45" s="777"/>
      <c r="AL45" s="727" t="s">
        <v>122</v>
      </c>
      <c r="AM45" s="727"/>
      <c r="AN45" s="727"/>
      <c r="AO45" s="727" t="s">
        <v>123</v>
      </c>
      <c r="AP45" s="727"/>
      <c r="AQ45" s="727"/>
      <c r="AR45" s="727" t="s">
        <v>124</v>
      </c>
      <c r="AS45" s="727"/>
      <c r="AT45" s="727" t="s">
        <v>125</v>
      </c>
      <c r="AU45" s="727"/>
      <c r="AY45" s="739" t="s">
        <v>126</v>
      </c>
      <c r="AZ45" s="740"/>
      <c r="BA45" s="740"/>
      <c r="BB45" s="740"/>
      <c r="BC45" s="740"/>
      <c r="BD45" s="740"/>
      <c r="BE45" s="740"/>
      <c r="BF45" s="740"/>
      <c r="BG45" s="740"/>
      <c r="BH45" s="741"/>
    </row>
    <row r="46" spans="1:80" x14ac:dyDescent="0.25">
      <c r="AD46" s="778"/>
      <c r="AE46" s="779"/>
      <c r="AF46" s="779"/>
      <c r="AG46" s="779"/>
      <c r="AH46" s="780"/>
      <c r="AL46" s="727"/>
      <c r="AM46" s="727"/>
      <c r="AN46" s="727"/>
      <c r="AO46" s="727"/>
      <c r="AP46" s="727"/>
      <c r="AQ46" s="727"/>
      <c r="AR46" s="727"/>
      <c r="AS46" s="727"/>
      <c r="AT46" s="727"/>
      <c r="AU46" s="727"/>
      <c r="AY46" s="750"/>
      <c r="AZ46" s="751"/>
      <c r="BA46" s="751"/>
      <c r="BB46" s="751"/>
      <c r="BC46" s="751"/>
      <c r="BD46" s="751"/>
      <c r="BE46" s="751"/>
      <c r="BF46" s="751"/>
      <c r="BG46" s="751"/>
      <c r="BH46" s="752"/>
    </row>
    <row r="47" spans="1:80" x14ac:dyDescent="0.25">
      <c r="AA47" s="56"/>
      <c r="AD47" s="778"/>
      <c r="AE47" s="779"/>
      <c r="AF47" s="779"/>
      <c r="AG47" s="779"/>
      <c r="AH47" s="780"/>
      <c r="AL47" s="727"/>
      <c r="AM47" s="727"/>
      <c r="AN47" s="727"/>
      <c r="AO47" s="727"/>
      <c r="AP47" s="727"/>
      <c r="AQ47" s="727"/>
      <c r="AR47" s="727"/>
      <c r="AS47" s="727"/>
      <c r="AT47" s="727"/>
      <c r="AU47" s="727"/>
      <c r="AY47" s="742"/>
      <c r="AZ47" s="743"/>
      <c r="BA47" s="743"/>
      <c r="BB47" s="743"/>
      <c r="BC47" s="743"/>
      <c r="BD47" s="743"/>
      <c r="BE47" s="743"/>
      <c r="BF47" s="743"/>
      <c r="BG47" s="743"/>
      <c r="BH47" s="744"/>
    </row>
    <row r="48" spans="1:80" x14ac:dyDescent="0.25">
      <c r="K48" t="s">
        <v>258</v>
      </c>
      <c r="AD48" s="778"/>
      <c r="AE48" s="779"/>
      <c r="AF48" s="779"/>
      <c r="AG48" s="779"/>
      <c r="AH48" s="780"/>
      <c r="AL48" s="727">
        <v>3056</v>
      </c>
      <c r="AM48" s="727"/>
      <c r="AN48" s="727"/>
      <c r="AO48" s="727">
        <f ca="1">AT70</f>
        <v>3056</v>
      </c>
      <c r="AP48" s="727"/>
      <c r="AQ48" s="727"/>
      <c r="AR48" s="1689">
        <f>AC32</f>
        <v>65.979200000000006</v>
      </c>
      <c r="AS48" s="1689"/>
      <c r="AT48" s="1689">
        <f>AC32+AO34</f>
        <v>89.979200000000006</v>
      </c>
      <c r="AU48" s="1689"/>
      <c r="AY48" s="727" t="s">
        <v>128</v>
      </c>
      <c r="AZ48" s="727"/>
      <c r="BA48" s="727"/>
      <c r="BB48" s="727"/>
      <c r="BC48" s="727"/>
      <c r="BD48" s="727"/>
      <c r="BE48" s="727"/>
      <c r="BF48" s="727"/>
      <c r="BG48" s="727"/>
      <c r="BH48" s="727"/>
    </row>
    <row r="49" spans="7:60" x14ac:dyDescent="0.25">
      <c r="G49" t="s">
        <v>16</v>
      </c>
      <c r="AD49" s="778"/>
      <c r="AE49" s="779"/>
      <c r="AF49" s="779"/>
      <c r="AG49" s="779"/>
      <c r="AH49" s="780"/>
      <c r="AL49" s="727"/>
      <c r="AM49" s="727"/>
      <c r="AN49" s="727"/>
      <c r="AO49" s="727"/>
      <c r="AP49" s="727"/>
      <c r="AQ49" s="727"/>
      <c r="AR49" s="1689"/>
      <c r="AS49" s="1689"/>
      <c r="AT49" s="1689"/>
      <c r="AU49" s="1689"/>
      <c r="AY49" s="727"/>
      <c r="AZ49" s="727"/>
      <c r="BA49" s="727"/>
      <c r="BB49" s="727"/>
      <c r="BC49" s="727"/>
      <c r="BD49" s="727"/>
      <c r="BE49" s="727"/>
      <c r="BF49" s="727"/>
      <c r="BG49" s="727"/>
      <c r="BH49" s="727"/>
    </row>
    <row r="50" spans="7:60" ht="15" customHeight="1" x14ac:dyDescent="0.25">
      <c r="AD50" s="778"/>
      <c r="AE50" s="779"/>
      <c r="AF50" s="779"/>
      <c r="AG50" s="779"/>
      <c r="AH50" s="780"/>
      <c r="AL50" s="727"/>
      <c r="AM50" s="727"/>
      <c r="AN50" s="727"/>
      <c r="AO50" s="727"/>
      <c r="AP50" s="727"/>
      <c r="AQ50" s="727"/>
      <c r="AR50" s="1689"/>
      <c r="AS50" s="1689"/>
      <c r="AT50" s="1689"/>
      <c r="AU50" s="1689"/>
      <c r="AY50" s="728">
        <f ca="1">AR48/((36*3.1415/59)*(AO48/3.281))</f>
        <v>3.6954929041559927E-2</v>
      </c>
      <c r="AZ50" s="729"/>
      <c r="BA50" s="729"/>
      <c r="BB50" s="729"/>
      <c r="BC50" s="729"/>
      <c r="BD50" s="729"/>
      <c r="BE50" s="729"/>
      <c r="BF50" s="729"/>
      <c r="BG50" s="729"/>
      <c r="BH50" s="730"/>
    </row>
    <row r="51" spans="7:60" ht="15.75" customHeight="1" thickBot="1" x14ac:dyDescent="0.3">
      <c r="AD51" s="781"/>
      <c r="AE51" s="782"/>
      <c r="AF51" s="782"/>
      <c r="AG51" s="782"/>
      <c r="AH51" s="783"/>
      <c r="AL51" s="727"/>
      <c r="AM51" s="727"/>
      <c r="AN51" s="727"/>
      <c r="AO51" s="727"/>
      <c r="AP51" s="727"/>
      <c r="AQ51" s="727"/>
      <c r="AR51" s="1689"/>
      <c r="AS51" s="1689"/>
      <c r="AT51" s="1689"/>
      <c r="AU51" s="1689"/>
      <c r="AY51" s="731"/>
      <c r="AZ51" s="732"/>
      <c r="BA51" s="732"/>
      <c r="BB51" s="732"/>
      <c r="BC51" s="732"/>
      <c r="BD51" s="732"/>
      <c r="BE51" s="732"/>
      <c r="BF51" s="732"/>
      <c r="BG51" s="732"/>
      <c r="BH51" s="733"/>
    </row>
    <row r="52" spans="7:60" ht="15.75" customHeight="1" thickTop="1" x14ac:dyDescent="0.25">
      <c r="AY52" s="734"/>
      <c r="AZ52" s="735"/>
      <c r="BA52" s="735"/>
      <c r="BB52" s="735"/>
      <c r="BC52" s="735"/>
      <c r="BD52" s="735"/>
      <c r="BE52" s="735"/>
      <c r="BF52" s="735"/>
      <c r="BG52" s="735"/>
      <c r="BH52" s="736"/>
    </row>
    <row r="53" spans="7:60" x14ac:dyDescent="0.25">
      <c r="AY53" s="739" t="s">
        <v>129</v>
      </c>
      <c r="AZ53" s="740"/>
      <c r="BA53" s="740"/>
      <c r="BB53" s="740"/>
      <c r="BC53" s="740"/>
      <c r="BD53" s="740"/>
      <c r="BE53" s="740"/>
      <c r="BF53" s="740"/>
      <c r="BG53" s="740"/>
      <c r="BH53" s="741"/>
    </row>
    <row r="54" spans="7:60" x14ac:dyDescent="0.25">
      <c r="AY54" s="742"/>
      <c r="AZ54" s="743"/>
      <c r="BA54" s="743"/>
      <c r="BB54" s="743"/>
      <c r="BC54" s="743"/>
      <c r="BD54" s="743"/>
      <c r="BE54" s="743"/>
      <c r="BF54" s="743"/>
      <c r="BG54" s="743"/>
      <c r="BH54" s="744"/>
    </row>
    <row r="55" spans="7:60" x14ac:dyDescent="0.25">
      <c r="AN55" s="727">
        <v>148</v>
      </c>
      <c r="AO55" s="727"/>
      <c r="AP55" s="727"/>
      <c r="AQ55" s="746" cm="1">
        <f t="array" aca="1" ref="AQ55" ca="1">SUM(COUNTIF(INDIRECT({"B7","G7"}),"&gt;0"))</f>
        <v>2</v>
      </c>
      <c r="AR55" s="746"/>
      <c r="AS55" s="746"/>
      <c r="AT55" s="747">
        <f ca="1">AQ55*AN55</f>
        <v>296</v>
      </c>
      <c r="AU55" s="748"/>
      <c r="AV55" s="748"/>
      <c r="AW55" s="749"/>
      <c r="AY55" s="739" t="s">
        <v>130</v>
      </c>
      <c r="AZ55" s="740"/>
      <c r="BA55" s="740"/>
      <c r="BB55" s="740"/>
      <c r="BC55" s="740"/>
      <c r="BD55" s="740"/>
      <c r="BE55" s="740"/>
      <c r="BF55" s="740"/>
      <c r="BG55" s="740"/>
      <c r="BH55" s="741"/>
    </row>
    <row r="56" spans="7:60" x14ac:dyDescent="0.25">
      <c r="AN56" s="727"/>
      <c r="AO56" s="727"/>
      <c r="AP56" s="727"/>
      <c r="AQ56" s="746"/>
      <c r="AR56" s="746"/>
      <c r="AS56" s="746"/>
      <c r="AT56" s="747"/>
      <c r="AU56" s="748"/>
      <c r="AV56" s="748"/>
      <c r="AW56" s="749"/>
      <c r="AY56" s="750"/>
      <c r="AZ56" s="751"/>
      <c r="BA56" s="751"/>
      <c r="BB56" s="751"/>
      <c r="BC56" s="751"/>
      <c r="BD56" s="751"/>
      <c r="BE56" s="751"/>
      <c r="BF56" s="751"/>
      <c r="BG56" s="751"/>
      <c r="BH56" s="752"/>
    </row>
    <row r="57" spans="7:60" ht="15" customHeight="1" x14ac:dyDescent="0.25">
      <c r="AN57" s="727"/>
      <c r="AO57" s="727"/>
      <c r="AP57" s="727"/>
      <c r="AQ57" s="746"/>
      <c r="AR57" s="746"/>
      <c r="AS57" s="746"/>
      <c r="AT57" s="747"/>
      <c r="AU57" s="748"/>
      <c r="AV57" s="748"/>
      <c r="AW57" s="749"/>
      <c r="AY57" s="750"/>
      <c r="AZ57" s="751"/>
      <c r="BA57" s="751"/>
      <c r="BB57" s="751"/>
      <c r="BC57" s="751"/>
      <c r="BD57" s="751"/>
      <c r="BE57" s="751"/>
      <c r="BF57" s="751"/>
      <c r="BG57" s="751"/>
      <c r="BH57" s="752"/>
    </row>
    <row r="58" spans="7:60" x14ac:dyDescent="0.25">
      <c r="AN58" s="727">
        <v>156</v>
      </c>
      <c r="AO58" s="727"/>
      <c r="AP58" s="727"/>
      <c r="AQ58" s="746" cm="1">
        <f t="array" aca="1" ref="AQ58" ca="1">SUM(COUNTIF(INDIRECT({"L7","Q7","V7","AA7"}),"&gt;0"))</f>
        <v>4</v>
      </c>
      <c r="AR58" s="746"/>
      <c r="AS58" s="746"/>
      <c r="AT58" s="747">
        <f ca="1">AN58*AQ58</f>
        <v>624</v>
      </c>
      <c r="AU58" s="748"/>
      <c r="AV58" s="748"/>
      <c r="AW58" s="749"/>
      <c r="AY58" s="742"/>
      <c r="AZ58" s="743"/>
      <c r="BA58" s="743"/>
      <c r="BB58" s="743"/>
      <c r="BC58" s="743"/>
      <c r="BD58" s="743"/>
      <c r="BE58" s="743"/>
      <c r="BF58" s="743"/>
      <c r="BG58" s="743"/>
      <c r="BH58" s="744"/>
    </row>
    <row r="59" spans="7:60" x14ac:dyDescent="0.25">
      <c r="AN59" s="727"/>
      <c r="AO59" s="727"/>
      <c r="AP59" s="727"/>
      <c r="AQ59" s="746"/>
      <c r="AR59" s="746"/>
      <c r="AS59" s="746"/>
      <c r="AT59" s="747"/>
      <c r="AU59" s="748"/>
      <c r="AV59" s="748"/>
      <c r="AW59" s="749"/>
      <c r="AY59" s="728">
        <f ca="1">AT48/((36*3.1415/59)*(AO48/3.281))</f>
        <v>5.0397321447006461E-2</v>
      </c>
      <c r="AZ59" s="729"/>
      <c r="BA59" s="729"/>
      <c r="BB59" s="729"/>
      <c r="BC59" s="729"/>
      <c r="BD59" s="729"/>
      <c r="BE59" s="729"/>
      <c r="BF59" s="729"/>
      <c r="BG59" s="729"/>
      <c r="BH59" s="730"/>
    </row>
    <row r="60" spans="7:60" x14ac:dyDescent="0.25">
      <c r="AN60" s="727"/>
      <c r="AO60" s="727"/>
      <c r="AP60" s="727"/>
      <c r="AQ60" s="746"/>
      <c r="AR60" s="746"/>
      <c r="AS60" s="746"/>
      <c r="AT60" s="747"/>
      <c r="AU60" s="748"/>
      <c r="AV60" s="748"/>
      <c r="AW60" s="749"/>
      <c r="AY60" s="731"/>
      <c r="AZ60" s="732"/>
      <c r="BA60" s="732"/>
      <c r="BB60" s="732"/>
      <c r="BC60" s="732"/>
      <c r="BD60" s="732"/>
      <c r="BE60" s="732"/>
      <c r="BF60" s="732"/>
      <c r="BG60" s="732"/>
      <c r="BH60" s="733"/>
    </row>
    <row r="61" spans="7:60" ht="15" customHeight="1" x14ac:dyDescent="0.25">
      <c r="AN61" s="727">
        <v>162</v>
      </c>
      <c r="AO61" s="727"/>
      <c r="AP61" s="727"/>
      <c r="AQ61" s="746" cm="1">
        <f t="array" aca="1" ref="AQ61" ca="1">SUM(COUNTIF(INDIRECT({"AF7","AK7","AP7","AU7"}),"&gt;0"))</f>
        <v>4</v>
      </c>
      <c r="AR61" s="746"/>
      <c r="AS61" s="746"/>
      <c r="AT61" s="747">
        <f ca="1">AN61*AQ61</f>
        <v>648</v>
      </c>
      <c r="AU61" s="748"/>
      <c r="AV61" s="748"/>
      <c r="AW61" s="749"/>
      <c r="AY61" s="731"/>
      <c r="AZ61" s="732"/>
      <c r="BA61" s="732"/>
      <c r="BB61" s="732"/>
      <c r="BC61" s="732"/>
      <c r="BD61" s="732"/>
      <c r="BE61" s="732"/>
      <c r="BF61" s="732"/>
      <c r="BG61" s="732"/>
      <c r="BH61" s="733"/>
    </row>
    <row r="62" spans="7:60" ht="15" customHeight="1" x14ac:dyDescent="0.25">
      <c r="AN62" s="727"/>
      <c r="AO62" s="727"/>
      <c r="AP62" s="727"/>
      <c r="AQ62" s="746"/>
      <c r="AR62" s="746"/>
      <c r="AS62" s="746"/>
      <c r="AT62" s="747"/>
      <c r="AU62" s="748"/>
      <c r="AV62" s="748"/>
      <c r="AW62" s="749"/>
      <c r="AY62" s="731"/>
      <c r="AZ62" s="732"/>
      <c r="BA62" s="732"/>
      <c r="BB62" s="732"/>
      <c r="BC62" s="732"/>
      <c r="BD62" s="732"/>
      <c r="BE62" s="732"/>
      <c r="BF62" s="732"/>
      <c r="BG62" s="732"/>
      <c r="BH62" s="733"/>
    </row>
    <row r="63" spans="7:60" ht="15" customHeight="1" x14ac:dyDescent="0.25">
      <c r="AN63" s="727"/>
      <c r="AO63" s="727"/>
      <c r="AP63" s="727"/>
      <c r="AQ63" s="746"/>
      <c r="AR63" s="746"/>
      <c r="AS63" s="746"/>
      <c r="AT63" s="747"/>
      <c r="AU63" s="748"/>
      <c r="AV63" s="748"/>
      <c r="AW63" s="749"/>
      <c r="AY63" s="734"/>
      <c r="AZ63" s="735"/>
      <c r="BA63" s="735"/>
      <c r="BB63" s="735"/>
      <c r="BC63" s="735"/>
      <c r="BD63" s="735"/>
      <c r="BE63" s="735"/>
      <c r="BF63" s="735"/>
      <c r="BG63" s="735"/>
      <c r="BH63" s="736"/>
    </row>
    <row r="64" spans="7:60" ht="15" customHeight="1" x14ac:dyDescent="0.25">
      <c r="AN64" s="727">
        <v>164.5</v>
      </c>
      <c r="AO64" s="727"/>
      <c r="AP64" s="727"/>
      <c r="AQ64" s="746" cm="1">
        <f t="array" aca="1" ref="AQ64" ca="1">SUM(COUNTIF(INDIRECT({"B13","G13","L13","Q13"}),"&gt;0"))</f>
        <v>4</v>
      </c>
      <c r="AR64" s="746"/>
      <c r="AS64" s="746"/>
      <c r="AT64" s="747">
        <f ca="1">AN64*AQ64</f>
        <v>658</v>
      </c>
      <c r="AU64" s="748"/>
      <c r="AV64" s="748"/>
      <c r="AW64" s="749"/>
    </row>
    <row r="65" spans="40:49" ht="15" customHeight="1" x14ac:dyDescent="0.25">
      <c r="AN65" s="727"/>
      <c r="AO65" s="727"/>
      <c r="AP65" s="727"/>
      <c r="AQ65" s="746"/>
      <c r="AR65" s="746"/>
      <c r="AS65" s="746"/>
      <c r="AT65" s="747"/>
      <c r="AU65" s="748"/>
      <c r="AV65" s="748"/>
      <c r="AW65" s="749"/>
    </row>
    <row r="66" spans="40:49" ht="15" customHeight="1" x14ac:dyDescent="0.25">
      <c r="AN66" s="727"/>
      <c r="AO66" s="727"/>
      <c r="AP66" s="727"/>
      <c r="AQ66" s="746"/>
      <c r="AR66" s="746"/>
      <c r="AS66" s="746"/>
      <c r="AT66" s="747"/>
      <c r="AU66" s="748"/>
      <c r="AV66" s="748"/>
      <c r="AW66" s="749"/>
    </row>
    <row r="67" spans="40:49" ht="15" customHeight="1" x14ac:dyDescent="0.25">
      <c r="AN67" s="727">
        <v>166</v>
      </c>
      <c r="AO67" s="727"/>
      <c r="AP67" s="727"/>
      <c r="AQ67" s="746" cm="1">
        <f t="array" aca="1" ref="AQ67" ca="1">SUM(COUNTIF(INDIRECT({"V13","AA13","AF13","AK13","AP13"}),"&gt;0"))</f>
        <v>5</v>
      </c>
      <c r="AR67" s="746"/>
      <c r="AS67" s="746"/>
      <c r="AT67" s="747">
        <f ca="1">AN67*AQ67</f>
        <v>830</v>
      </c>
      <c r="AU67" s="748"/>
      <c r="AV67" s="748"/>
      <c r="AW67" s="749"/>
    </row>
    <row r="68" spans="40:49" ht="15" customHeight="1" x14ac:dyDescent="0.25">
      <c r="AN68" s="727"/>
      <c r="AO68" s="727"/>
      <c r="AP68" s="727"/>
      <c r="AQ68" s="746"/>
      <c r="AR68" s="746"/>
      <c r="AS68" s="746"/>
      <c r="AT68" s="747"/>
      <c r="AU68" s="748"/>
      <c r="AV68" s="748"/>
      <c r="AW68" s="749"/>
    </row>
    <row r="69" spans="40:49" ht="15" customHeight="1" x14ac:dyDescent="0.25">
      <c r="AN69" s="727"/>
      <c r="AO69" s="727"/>
      <c r="AP69" s="727"/>
      <c r="AQ69" s="746"/>
      <c r="AR69" s="746"/>
      <c r="AS69" s="746"/>
      <c r="AT69" s="747"/>
      <c r="AU69" s="748"/>
      <c r="AV69" s="748"/>
      <c r="AW69" s="749"/>
    </row>
    <row r="70" spans="40:49" ht="15" customHeight="1" x14ac:dyDescent="0.25">
      <c r="AQ70" s="1254">
        <f ca="1">AQ55+AQ58+AQ61+AQ64+AQ67</f>
        <v>19</v>
      </c>
      <c r="AR70" s="1254"/>
      <c r="AS70" s="1254"/>
      <c r="AT70" s="747">
        <f ca="1">AT55+AT58+AT61+AT64+AT67</f>
        <v>3056</v>
      </c>
      <c r="AU70" s="748"/>
      <c r="AV70" s="748"/>
      <c r="AW70" s="749"/>
    </row>
    <row r="71" spans="40:49" ht="15" customHeight="1" x14ac:dyDescent="0.25">
      <c r="AQ71" s="1254"/>
      <c r="AR71" s="1254"/>
      <c r="AS71" s="1254"/>
      <c r="AT71" s="747"/>
      <c r="AU71" s="748"/>
      <c r="AV71" s="748"/>
      <c r="AW71" s="749"/>
    </row>
    <row r="72" spans="40:49" ht="15" customHeight="1" x14ac:dyDescent="0.25">
      <c r="AQ72" s="1254"/>
      <c r="AR72" s="1254"/>
      <c r="AS72" s="1254"/>
      <c r="AT72" s="747"/>
      <c r="AU72" s="748"/>
      <c r="AV72" s="748"/>
      <c r="AW72" s="749"/>
    </row>
    <row r="73" spans="40:49" ht="15" customHeight="1" x14ac:dyDescent="0.25"/>
    <row r="74" spans="40:49" ht="15" customHeight="1" x14ac:dyDescent="0.25"/>
    <row r="75" spans="40:49" ht="15" customHeight="1" x14ac:dyDescent="0.25"/>
    <row r="76" spans="40:49" ht="15" customHeight="1" x14ac:dyDescent="0.25"/>
    <row r="77" spans="40:49" ht="15" customHeight="1" x14ac:dyDescent="0.25">
      <c r="AS77" s="27"/>
      <c r="AT77" s="27"/>
      <c r="AU77" s="27"/>
    </row>
  </sheetData>
  <mergeCells count="299">
    <mergeCell ref="Q35:V42"/>
    <mergeCell ref="AN67:AP69"/>
    <mergeCell ref="AQ67:AS69"/>
    <mergeCell ref="AT67:AW69"/>
    <mergeCell ref="AQ70:AS72"/>
    <mergeCell ref="AT70:AW72"/>
    <mergeCell ref="AY59:BH63"/>
    <mergeCell ref="AN61:AP63"/>
    <mergeCell ref="AQ61:AS63"/>
    <mergeCell ref="AT61:AW63"/>
    <mergeCell ref="AN64:AP66"/>
    <mergeCell ref="AD45:AH51"/>
    <mergeCell ref="AL45:AN47"/>
    <mergeCell ref="AO45:AQ47"/>
    <mergeCell ref="AR45:AS47"/>
    <mergeCell ref="AT45:AU47"/>
    <mergeCell ref="AQ64:AS66"/>
    <mergeCell ref="AT64:AW66"/>
    <mergeCell ref="AY48:BH49"/>
    <mergeCell ref="AY50:BH52"/>
    <mergeCell ref="AY53:BH54"/>
    <mergeCell ref="AN55:AP57"/>
    <mergeCell ref="AQ55:AS57"/>
    <mergeCell ref="AT55:AW57"/>
    <mergeCell ref="AY55:BH58"/>
    <mergeCell ref="AN58:AP60"/>
    <mergeCell ref="AY45:BH47"/>
    <mergeCell ref="AL48:AN51"/>
    <mergeCell ref="AO48:AQ51"/>
    <mergeCell ref="AR48:AS51"/>
    <mergeCell ref="AT48:AU51"/>
    <mergeCell ref="AT32:AW33"/>
    <mergeCell ref="AO34:AU40"/>
    <mergeCell ref="AV34:AW40"/>
    <mergeCell ref="AQ58:AS60"/>
    <mergeCell ref="AT58:AW60"/>
    <mergeCell ref="BD30:BD31"/>
    <mergeCell ref="BE30:BH30"/>
    <mergeCell ref="H32:J33"/>
    <mergeCell ref="Q32:V34"/>
    <mergeCell ref="X32:AB36"/>
    <mergeCell ref="AC32:AH36"/>
    <mergeCell ref="AJ32:AN42"/>
    <mergeCell ref="AO32:AS33"/>
    <mergeCell ref="AO41:AW42"/>
    <mergeCell ref="H35:J35"/>
    <mergeCell ref="H36:J37"/>
    <mergeCell ref="X37:AB42"/>
    <mergeCell ref="AC37:AH42"/>
    <mergeCell ref="H38:J40"/>
    <mergeCell ref="H41:J42"/>
    <mergeCell ref="V30:Y30"/>
    <mergeCell ref="Z30:Z31"/>
    <mergeCell ref="AA30:AD30"/>
    <mergeCell ref="AE30:AE31"/>
    <mergeCell ref="AF30:AI30"/>
    <mergeCell ref="AT30:AT31"/>
    <mergeCell ref="AU30:AX30"/>
    <mergeCell ref="AY30:AY31"/>
    <mergeCell ref="AZ30:BC30"/>
    <mergeCell ref="A30:A31"/>
    <mergeCell ref="B30:E30"/>
    <mergeCell ref="F30:F31"/>
    <mergeCell ref="G30:J30"/>
    <mergeCell ref="K30:K31"/>
    <mergeCell ref="L30:O30"/>
    <mergeCell ref="P30:P31"/>
    <mergeCell ref="Q30:T30"/>
    <mergeCell ref="U30:U31"/>
    <mergeCell ref="BD26:BF26"/>
    <mergeCell ref="BG26:BH26"/>
    <mergeCell ref="A27:C29"/>
    <mergeCell ref="F27:H29"/>
    <mergeCell ref="K27:M29"/>
    <mergeCell ref="P27:R29"/>
    <mergeCell ref="U27:W29"/>
    <mergeCell ref="Z27:AB29"/>
    <mergeCell ref="AE27:AG29"/>
    <mergeCell ref="AT27:AV29"/>
    <mergeCell ref="AY27:BA29"/>
    <mergeCell ref="BD27:BF29"/>
    <mergeCell ref="AT24:AT25"/>
    <mergeCell ref="AU24:AX24"/>
    <mergeCell ref="AY24:AY25"/>
    <mergeCell ref="AZ24:BC24"/>
    <mergeCell ref="BD24:BD25"/>
    <mergeCell ref="BE24:BH24"/>
    <mergeCell ref="A26:C26"/>
    <mergeCell ref="D26:E26"/>
    <mergeCell ref="F26:H26"/>
    <mergeCell ref="I26:J26"/>
    <mergeCell ref="K26:M26"/>
    <mergeCell ref="N26:O26"/>
    <mergeCell ref="P26:R26"/>
    <mergeCell ref="S26:T26"/>
    <mergeCell ref="U26:W26"/>
    <mergeCell ref="X26:Y26"/>
    <mergeCell ref="Z26:AB26"/>
    <mergeCell ref="AC26:AD26"/>
    <mergeCell ref="AE26:AG26"/>
    <mergeCell ref="AH26:AI26"/>
    <mergeCell ref="AT26:AV26"/>
    <mergeCell ref="AW26:AX26"/>
    <mergeCell ref="AY26:BA26"/>
    <mergeCell ref="BB26:BC26"/>
    <mergeCell ref="V24:Y24"/>
    <mergeCell ref="Z24:Z25"/>
    <mergeCell ref="AA24:AD24"/>
    <mergeCell ref="AE24:AE25"/>
    <mergeCell ref="AF24:AI24"/>
    <mergeCell ref="AJ24:AJ25"/>
    <mergeCell ref="AK24:AN24"/>
    <mergeCell ref="AO24:AO25"/>
    <mergeCell ref="AP24:AS24"/>
    <mergeCell ref="A24:A25"/>
    <mergeCell ref="B24:E24"/>
    <mergeCell ref="F24:F25"/>
    <mergeCell ref="G24:J24"/>
    <mergeCell ref="K24:K25"/>
    <mergeCell ref="L24:O24"/>
    <mergeCell ref="P24:P25"/>
    <mergeCell ref="Q24:T24"/>
    <mergeCell ref="U24:U25"/>
    <mergeCell ref="AT20:AV20"/>
    <mergeCell ref="AW20:AX20"/>
    <mergeCell ref="AY20:BA20"/>
    <mergeCell ref="BB20:BC20"/>
    <mergeCell ref="BD20:BF20"/>
    <mergeCell ref="BG20:BH20"/>
    <mergeCell ref="A21:C23"/>
    <mergeCell ref="F21:H23"/>
    <mergeCell ref="K21:M23"/>
    <mergeCell ref="P21:R23"/>
    <mergeCell ref="U21:W23"/>
    <mergeCell ref="Z21:AB23"/>
    <mergeCell ref="AE21:AG23"/>
    <mergeCell ref="AJ21:AL23"/>
    <mergeCell ref="AO21:AQ23"/>
    <mergeCell ref="AT21:AV23"/>
    <mergeCell ref="AY21:BA23"/>
    <mergeCell ref="BD21:BF23"/>
    <mergeCell ref="A18:A19"/>
    <mergeCell ref="B18:E18"/>
    <mergeCell ref="AY18:AY19"/>
    <mergeCell ref="AZ18:BC18"/>
    <mergeCell ref="BD18:BD19"/>
    <mergeCell ref="BE18:BH18"/>
    <mergeCell ref="A20:C20"/>
    <mergeCell ref="D20:E20"/>
    <mergeCell ref="F20:H20"/>
    <mergeCell ref="I20:J20"/>
    <mergeCell ref="K20:M20"/>
    <mergeCell ref="N20:O20"/>
    <mergeCell ref="P20:R20"/>
    <mergeCell ref="S20:T20"/>
    <mergeCell ref="U20:W20"/>
    <mergeCell ref="X20:Y20"/>
    <mergeCell ref="Z20:AB20"/>
    <mergeCell ref="AC20:AD20"/>
    <mergeCell ref="AE20:AG20"/>
    <mergeCell ref="AH20:AI20"/>
    <mergeCell ref="AJ20:AL20"/>
    <mergeCell ref="AM20:AN20"/>
    <mergeCell ref="AO20:AQ20"/>
    <mergeCell ref="AR20:AS20"/>
    <mergeCell ref="BG14:BH14"/>
    <mergeCell ref="A15:E17"/>
    <mergeCell ref="AJ15:AL17"/>
    <mergeCell ref="AO15:AQ17"/>
    <mergeCell ref="AT15:AV17"/>
    <mergeCell ref="AY15:BA17"/>
    <mergeCell ref="BD15:BF17"/>
    <mergeCell ref="AR14:AS14"/>
    <mergeCell ref="AT14:AV14"/>
    <mergeCell ref="AW14:AX14"/>
    <mergeCell ref="AY14:BA14"/>
    <mergeCell ref="BB14:BC14"/>
    <mergeCell ref="BD14:BF14"/>
    <mergeCell ref="A14:C14"/>
    <mergeCell ref="D14:E14"/>
    <mergeCell ref="AH14:AI14"/>
    <mergeCell ref="AJ14:AL14"/>
    <mergeCell ref="AM14:AN14"/>
    <mergeCell ref="AO14:AQ14"/>
    <mergeCell ref="AY9:BA11"/>
    <mergeCell ref="BD9:BF11"/>
    <mergeCell ref="AY12:AY13"/>
    <mergeCell ref="AZ12:BC12"/>
    <mergeCell ref="BD12:BD13"/>
    <mergeCell ref="BE12:BH12"/>
    <mergeCell ref="AE12:AE13"/>
    <mergeCell ref="AJ12:AJ13"/>
    <mergeCell ref="AO12:AO13"/>
    <mergeCell ref="Z8:AB8"/>
    <mergeCell ref="AC8:AD8"/>
    <mergeCell ref="BD8:BF8"/>
    <mergeCell ref="BG8:BH8"/>
    <mergeCell ref="AY6:AY7"/>
    <mergeCell ref="AZ6:BC6"/>
    <mergeCell ref="AY8:BA8"/>
    <mergeCell ref="BB8:BC8"/>
    <mergeCell ref="AE8:AG8"/>
    <mergeCell ref="AH8:AI8"/>
    <mergeCell ref="AY3:BA5"/>
    <mergeCell ref="BD3:BF5"/>
    <mergeCell ref="F3:J5"/>
    <mergeCell ref="A3:E5"/>
    <mergeCell ref="A6:A7"/>
    <mergeCell ref="B6:E6"/>
    <mergeCell ref="F6:F7"/>
    <mergeCell ref="G6:J6"/>
    <mergeCell ref="K6:K7"/>
    <mergeCell ref="L6:O6"/>
    <mergeCell ref="P6:P7"/>
    <mergeCell ref="Q6:T6"/>
    <mergeCell ref="U6:U7"/>
    <mergeCell ref="V6:Y6"/>
    <mergeCell ref="Z6:Z7"/>
    <mergeCell ref="AA6:AD6"/>
    <mergeCell ref="AE6:AE7"/>
    <mergeCell ref="AF6:AI6"/>
    <mergeCell ref="AJ6:AJ7"/>
    <mergeCell ref="AO6:AO7"/>
    <mergeCell ref="AT6:AT7"/>
    <mergeCell ref="AU6:AX6"/>
    <mergeCell ref="BD6:BD7"/>
    <mergeCell ref="BE6:BH6"/>
    <mergeCell ref="BG2:BH2"/>
    <mergeCell ref="AE2:AG2"/>
    <mergeCell ref="AH2:AI2"/>
    <mergeCell ref="AJ2:AL2"/>
    <mergeCell ref="AM2:AN2"/>
    <mergeCell ref="AO2:AQ2"/>
    <mergeCell ref="AR2:AS2"/>
    <mergeCell ref="AT2:AV2"/>
    <mergeCell ref="AW2:AX2"/>
    <mergeCell ref="AY2:BA2"/>
    <mergeCell ref="BB2:BC2"/>
    <mergeCell ref="Z2:AB2"/>
    <mergeCell ref="AC2:AD2"/>
    <mergeCell ref="A2:C2"/>
    <mergeCell ref="D2:E2"/>
    <mergeCell ref="F2:H2"/>
    <mergeCell ref="I2:J2"/>
    <mergeCell ref="K2:M2"/>
    <mergeCell ref="N2:O2"/>
    <mergeCell ref="BD2:BF2"/>
    <mergeCell ref="P2:R2"/>
    <mergeCell ref="S2:T2"/>
    <mergeCell ref="U2:W2"/>
    <mergeCell ref="X2:Y2"/>
    <mergeCell ref="AT3:AX5"/>
    <mergeCell ref="K9:O11"/>
    <mergeCell ref="P9:T11"/>
    <mergeCell ref="U9:Y11"/>
    <mergeCell ref="Z9:AD11"/>
    <mergeCell ref="AE9:AI11"/>
    <mergeCell ref="AJ9:AN11"/>
    <mergeCell ref="AO9:AS11"/>
    <mergeCell ref="AO3:AS5"/>
    <mergeCell ref="AJ3:AN5"/>
    <mergeCell ref="K3:O5"/>
    <mergeCell ref="P3:T5"/>
    <mergeCell ref="U3:Y5"/>
    <mergeCell ref="Z3:AD5"/>
    <mergeCell ref="AE3:AI5"/>
    <mergeCell ref="AJ8:AL8"/>
    <mergeCell ref="AM8:AN8"/>
    <mergeCell ref="K8:M8"/>
    <mergeCell ref="N8:O8"/>
    <mergeCell ref="AO8:AQ8"/>
    <mergeCell ref="AR8:AS8"/>
    <mergeCell ref="P8:R8"/>
    <mergeCell ref="S8:T8"/>
    <mergeCell ref="U8:W8"/>
    <mergeCell ref="N12:O12"/>
    <mergeCell ref="AC12:AD12"/>
    <mergeCell ref="I12:J12"/>
    <mergeCell ref="AM6:AN6"/>
    <mergeCell ref="AR6:AS6"/>
    <mergeCell ref="D12:E12"/>
    <mergeCell ref="S12:T12"/>
    <mergeCell ref="AM12:AN12"/>
    <mergeCell ref="AH12:AI12"/>
    <mergeCell ref="AR12:AS12"/>
    <mergeCell ref="X12:Y12"/>
    <mergeCell ref="A9:E11"/>
    <mergeCell ref="F9:J11"/>
    <mergeCell ref="A12:A13"/>
    <mergeCell ref="F12:F13"/>
    <mergeCell ref="K12:K13"/>
    <mergeCell ref="P12:P13"/>
    <mergeCell ref="U12:U13"/>
    <mergeCell ref="Z12:Z13"/>
    <mergeCell ref="A8:C8"/>
    <mergeCell ref="D8:E8"/>
    <mergeCell ref="F8:H8"/>
    <mergeCell ref="I8:J8"/>
    <mergeCell ref="X8:Y8"/>
  </mergeCells>
  <pageMargins left="0.21" right="0" top="0.5" bottom="0" header="0.3" footer="0.3"/>
  <pageSetup scale="44" orientation="landscape" r:id="rId1"/>
  <colBreaks count="1" manualBreakCount="1">
    <brk id="60" max="50" man="1"/>
  </colBreaks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11195-5D0A-4234-BD20-3313F22A8A5B}">
  <sheetPr>
    <pageSetUpPr fitToPage="1"/>
  </sheetPr>
  <dimension ref="A1:CB77"/>
  <sheetViews>
    <sheetView view="pageBreakPreview" topLeftCell="A30" zoomScale="55" zoomScaleNormal="70" zoomScaleSheetLayoutView="55" zoomScalePageLayoutView="55" workbookViewId="0">
      <selection activeCell="AA59" sqref="AA59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140625" customWidth="1"/>
    <col min="47" max="47" width="10.71093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1" customWidth="1"/>
    <col min="62" max="62" width="56.7109375" customWidth="1"/>
    <col min="63" max="63" width="13" customWidth="1"/>
    <col min="64" max="64" width="7" customWidth="1"/>
  </cols>
  <sheetData>
    <row r="1" spans="1:80" ht="249.75" customHeight="1" thickBot="1" x14ac:dyDescent="0.3"/>
    <row r="2" spans="1:80" ht="36" customHeight="1" thickTop="1" x14ac:dyDescent="0.25">
      <c r="A2" s="1371"/>
      <c r="B2" s="1371"/>
      <c r="C2" s="1371"/>
      <c r="D2" s="1371"/>
      <c r="E2" s="1370"/>
      <c r="F2" s="1371"/>
      <c r="G2" s="1371"/>
      <c r="H2" s="1371"/>
      <c r="I2" s="1371"/>
      <c r="J2" s="1370"/>
      <c r="K2" s="3124" t="s">
        <v>250</v>
      </c>
      <c r="L2" s="3125"/>
      <c r="M2" s="3125"/>
      <c r="N2" s="3126">
        <f>L7/((54*3.1415/59)*(149.5/3.281))</f>
        <v>9.6937082892282908E-2</v>
      </c>
      <c r="O2" s="3127"/>
      <c r="P2" s="3124" t="s">
        <v>250</v>
      </c>
      <c r="Q2" s="3125"/>
      <c r="R2" s="3125"/>
      <c r="S2" s="3126">
        <f>Q7/((54*3.1415/59)*(149.5/3.281))</f>
        <v>3.8385558257109507E-2</v>
      </c>
      <c r="T2" s="3127"/>
      <c r="U2" s="3124" t="s">
        <v>250</v>
      </c>
      <c r="V2" s="3125"/>
      <c r="W2" s="3125"/>
      <c r="X2" s="3126">
        <f>V7/((54*3.1415/59)*(149.5/3.281))</f>
        <v>1.4922204492473473E-2</v>
      </c>
      <c r="Y2" s="3127"/>
      <c r="Z2" s="3124" t="s">
        <v>250</v>
      </c>
      <c r="AA2" s="3125"/>
      <c r="AB2" s="3125"/>
      <c r="AC2" s="3126">
        <f>AA7/((54*3.1415/59)*(149.5/3.281))</f>
        <v>4.2064587702312688E-2</v>
      </c>
      <c r="AD2" s="3127"/>
      <c r="AE2" s="3124" t="s">
        <v>250</v>
      </c>
      <c r="AF2" s="3125"/>
      <c r="AG2" s="3125"/>
      <c r="AH2" s="3502">
        <f>AF7/((54*3.1415/59)*(149.5/3.281))</f>
        <v>0.17876114026277684</v>
      </c>
      <c r="AI2" s="3503"/>
      <c r="AJ2" s="3124" t="s">
        <v>250</v>
      </c>
      <c r="AK2" s="3125"/>
      <c r="AL2" s="3125"/>
      <c r="AM2" s="3502">
        <f>AK7/((54*3.1415/59)*(149.5/3.281))</f>
        <v>0.2297408864547105</v>
      </c>
      <c r="AN2" s="3503"/>
      <c r="AO2" s="1371"/>
      <c r="AP2" s="1371"/>
      <c r="AQ2" s="1371"/>
      <c r="AR2" s="1371"/>
      <c r="AS2" s="1370"/>
      <c r="AT2" s="1371"/>
      <c r="AU2" s="1371"/>
      <c r="AV2" s="1371"/>
      <c r="AW2" s="1371"/>
      <c r="AX2" s="1370"/>
      <c r="AY2" s="674"/>
      <c r="AZ2" s="674"/>
      <c r="BA2" s="674"/>
      <c r="BB2" s="1300"/>
      <c r="BC2" s="1300"/>
      <c r="BD2" s="674"/>
      <c r="BE2" s="674"/>
      <c r="BF2" s="674"/>
      <c r="BG2" s="1300"/>
      <c r="BH2" s="1300"/>
      <c r="BM2" s="27"/>
      <c r="BN2" s="27"/>
      <c r="BO2" s="27"/>
      <c r="BP2" s="27"/>
      <c r="BQ2" s="27"/>
      <c r="BR2" s="27"/>
      <c r="BW2" s="27"/>
      <c r="BX2" s="27"/>
      <c r="BY2" s="27"/>
      <c r="BZ2" s="27"/>
      <c r="CA2" s="27"/>
      <c r="CB2" s="27"/>
    </row>
    <row r="3" spans="1:80" ht="9.9499999999999993" hidden="1" customHeight="1" x14ac:dyDescent="0.25">
      <c r="A3" s="32"/>
      <c r="B3" s="33"/>
      <c r="C3" s="34"/>
      <c r="D3" s="35"/>
      <c r="E3" s="1370"/>
      <c r="F3" s="32"/>
      <c r="G3" s="33"/>
      <c r="H3" s="34"/>
      <c r="I3" s="35"/>
      <c r="J3" s="1370"/>
      <c r="K3" s="1680" t="s">
        <v>111</v>
      </c>
      <c r="L3" s="1681"/>
      <c r="M3" s="1681"/>
      <c r="N3" s="1681"/>
      <c r="O3" s="1682"/>
      <c r="P3" s="1680" t="s">
        <v>111</v>
      </c>
      <c r="Q3" s="1681"/>
      <c r="R3" s="1681"/>
      <c r="S3" s="1681"/>
      <c r="T3" s="1682"/>
      <c r="U3" s="3495" t="s">
        <v>273</v>
      </c>
      <c r="V3" s="3496"/>
      <c r="W3" s="236"/>
      <c r="X3" s="236"/>
      <c r="Y3" s="237"/>
      <c r="Z3" s="3495" t="s">
        <v>273</v>
      </c>
      <c r="AA3" s="3496"/>
      <c r="AB3" s="236"/>
      <c r="AC3" s="236"/>
      <c r="AD3" s="237"/>
      <c r="AE3" s="1680" t="s">
        <v>111</v>
      </c>
      <c r="AF3" s="1681"/>
      <c r="AG3" s="1681"/>
      <c r="AH3" s="1681"/>
      <c r="AI3" s="1682"/>
      <c r="AJ3" s="1680" t="s">
        <v>111</v>
      </c>
      <c r="AK3" s="1681"/>
      <c r="AL3" s="1681"/>
      <c r="AM3" s="1681"/>
      <c r="AN3" s="1682"/>
      <c r="AO3" s="32"/>
      <c r="AP3" s="33"/>
      <c r="AQ3" s="34"/>
      <c r="AR3" s="35"/>
      <c r="AS3" s="1370"/>
      <c r="AT3" s="32"/>
      <c r="AU3" s="33"/>
      <c r="AV3" s="34"/>
      <c r="AW3" s="35"/>
      <c r="AX3" s="1370"/>
      <c r="AY3" s="676"/>
      <c r="AZ3" s="676"/>
      <c r="BA3" s="676"/>
      <c r="BB3" s="36"/>
      <c r="BC3" s="36"/>
      <c r="BD3" s="676"/>
      <c r="BE3" s="676"/>
      <c r="BF3" s="676"/>
      <c r="BG3" s="36"/>
      <c r="BH3" s="36"/>
    </row>
    <row r="4" spans="1:80" ht="24.95" hidden="1" customHeight="1" x14ac:dyDescent="0.25">
      <c r="A4" s="1371"/>
      <c r="B4" s="1371"/>
      <c r="C4" s="1371"/>
      <c r="D4" s="1371"/>
      <c r="E4" s="1370"/>
      <c r="F4" s="1371"/>
      <c r="G4" s="1371"/>
      <c r="H4" s="1371"/>
      <c r="I4" s="1371"/>
      <c r="J4" s="1370"/>
      <c r="K4" s="1683"/>
      <c r="L4" s="1684"/>
      <c r="M4" s="1684"/>
      <c r="N4" s="1684"/>
      <c r="O4" s="1685"/>
      <c r="P4" s="1683"/>
      <c r="Q4" s="1684"/>
      <c r="R4" s="1684"/>
      <c r="S4" s="1684"/>
      <c r="T4" s="1685"/>
      <c r="U4" s="3497"/>
      <c r="V4" s="3498"/>
      <c r="W4" s="238"/>
      <c r="X4" s="238"/>
      <c r="Y4" s="239"/>
      <c r="Z4" s="3497"/>
      <c r="AA4" s="3498"/>
      <c r="AB4" s="238"/>
      <c r="AC4" s="238"/>
      <c r="AD4" s="239"/>
      <c r="AE4" s="1683"/>
      <c r="AF4" s="1684"/>
      <c r="AG4" s="1684"/>
      <c r="AH4" s="1684"/>
      <c r="AI4" s="1685"/>
      <c r="AJ4" s="1683"/>
      <c r="AK4" s="1684"/>
      <c r="AL4" s="1684"/>
      <c r="AM4" s="1684"/>
      <c r="AN4" s="1685"/>
      <c r="AO4" s="1371"/>
      <c r="AP4" s="1371"/>
      <c r="AQ4" s="1371"/>
      <c r="AR4" s="1371"/>
      <c r="AS4" s="1370"/>
      <c r="AT4" s="1371"/>
      <c r="AU4" s="1371"/>
      <c r="AV4" s="1371"/>
      <c r="AW4" s="1371"/>
      <c r="AX4" s="1370"/>
      <c r="AY4" s="676"/>
      <c r="AZ4" s="676"/>
      <c r="BA4" s="676"/>
      <c r="BB4" s="36"/>
      <c r="BC4" s="36"/>
      <c r="BD4" s="676"/>
      <c r="BE4" s="676"/>
      <c r="BF4" s="676"/>
      <c r="BG4" s="36"/>
      <c r="BH4" s="36"/>
    </row>
    <row r="5" spans="1:80" ht="25.5" customHeight="1" x14ac:dyDescent="0.25">
      <c r="A5" s="32"/>
      <c r="B5" s="33"/>
      <c r="C5" s="34"/>
      <c r="D5" s="35"/>
      <c r="E5" s="1370"/>
      <c r="F5" s="32"/>
      <c r="G5" s="33"/>
      <c r="H5" s="34"/>
      <c r="I5" s="35"/>
      <c r="J5" s="1370"/>
      <c r="K5" s="1686"/>
      <c r="L5" s="1687"/>
      <c r="M5" s="1687"/>
      <c r="N5" s="1687"/>
      <c r="O5" s="1688"/>
      <c r="P5" s="1686"/>
      <c r="Q5" s="1687"/>
      <c r="R5" s="1687"/>
      <c r="S5" s="1687"/>
      <c r="T5" s="1688"/>
      <c r="U5" s="3499"/>
      <c r="V5" s="3500"/>
      <c r="W5" s="3494" t="s">
        <v>277</v>
      </c>
      <c r="X5" s="1687"/>
      <c r="Y5" s="1688"/>
      <c r="Z5" s="3499"/>
      <c r="AA5" s="3500"/>
      <c r="AB5" s="3494" t="s">
        <v>277</v>
      </c>
      <c r="AC5" s="1687"/>
      <c r="AD5" s="1688"/>
      <c r="AE5" s="1686"/>
      <c r="AF5" s="1687"/>
      <c r="AG5" s="1687"/>
      <c r="AH5" s="1687"/>
      <c r="AI5" s="1688"/>
      <c r="AJ5" s="1686"/>
      <c r="AK5" s="1687"/>
      <c r="AL5" s="1687"/>
      <c r="AM5" s="1687"/>
      <c r="AN5" s="1688"/>
      <c r="AO5" s="32"/>
      <c r="AP5" s="33"/>
      <c r="AQ5" s="34"/>
      <c r="AR5" s="35"/>
      <c r="AS5" s="1370"/>
      <c r="AT5" s="32"/>
      <c r="AU5" s="33"/>
      <c r="AV5" s="34"/>
      <c r="AW5" s="35"/>
      <c r="AX5" s="1370"/>
      <c r="AY5" s="676"/>
      <c r="AZ5" s="676"/>
      <c r="BA5" s="676"/>
      <c r="BB5" s="36"/>
      <c r="BC5" s="36"/>
      <c r="BD5" s="676"/>
      <c r="BE5" s="676"/>
      <c r="BF5" s="676"/>
      <c r="BG5" s="36"/>
      <c r="BH5" s="36"/>
    </row>
    <row r="6" spans="1:80" ht="72" customHeight="1" x14ac:dyDescent="0.25">
      <c r="A6" s="1371"/>
      <c r="B6" s="1371"/>
      <c r="C6" s="1371"/>
      <c r="D6" s="1371"/>
      <c r="E6" s="1370"/>
      <c r="F6" s="1371"/>
      <c r="G6" s="1371"/>
      <c r="H6" s="1371"/>
      <c r="I6" s="1371"/>
      <c r="J6" s="1370"/>
      <c r="K6" s="3141" t="s">
        <v>267</v>
      </c>
      <c r="L6" s="3491">
        <v>1</v>
      </c>
      <c r="M6" s="3492"/>
      <c r="N6" s="3492"/>
      <c r="O6" s="3493"/>
      <c r="P6" s="3141" t="s">
        <v>267</v>
      </c>
      <c r="Q6" s="3491">
        <v>2</v>
      </c>
      <c r="R6" s="3492"/>
      <c r="S6" s="3492"/>
      <c r="T6" s="3493"/>
      <c r="U6" s="3141" t="s">
        <v>267</v>
      </c>
      <c r="V6" s="3491">
        <v>3</v>
      </c>
      <c r="W6" s="3492"/>
      <c r="X6" s="3492"/>
      <c r="Y6" s="3493"/>
      <c r="Z6" s="3141" t="s">
        <v>267</v>
      </c>
      <c r="AA6" s="3491">
        <v>4</v>
      </c>
      <c r="AB6" s="3492"/>
      <c r="AC6" s="3492"/>
      <c r="AD6" s="3493"/>
      <c r="AE6" s="3141" t="s">
        <v>267</v>
      </c>
      <c r="AF6" s="3491">
        <v>5</v>
      </c>
      <c r="AG6" s="3492"/>
      <c r="AH6" s="3492"/>
      <c r="AI6" s="3493"/>
      <c r="AJ6" s="3141" t="s">
        <v>267</v>
      </c>
      <c r="AK6" s="3491">
        <v>6</v>
      </c>
      <c r="AL6" s="3492"/>
      <c r="AM6" s="3492"/>
      <c r="AN6" s="3493"/>
      <c r="AO6" s="1371"/>
      <c r="AP6" s="1371"/>
      <c r="AQ6" s="1371"/>
      <c r="AR6" s="1371"/>
      <c r="AS6" s="1370"/>
      <c r="AT6" s="1371"/>
      <c r="AU6" s="1371"/>
      <c r="AV6" s="1371"/>
      <c r="AW6" s="1371"/>
      <c r="AX6" s="1370"/>
      <c r="AY6" s="677"/>
      <c r="AZ6" s="1332"/>
      <c r="BA6" s="1332"/>
      <c r="BB6" s="1332"/>
      <c r="BC6" s="1332"/>
      <c r="BD6" s="677"/>
      <c r="BE6" s="1332"/>
      <c r="BF6" s="1332"/>
      <c r="BG6" s="1332"/>
      <c r="BH6" s="1332"/>
      <c r="BM6" s="27"/>
      <c r="BN6" s="27"/>
      <c r="BO6" s="27"/>
      <c r="BP6" s="27"/>
      <c r="BQ6" s="27"/>
      <c r="BR6" s="27"/>
      <c r="BW6" s="27"/>
      <c r="BX6" s="27"/>
      <c r="BY6" s="27"/>
      <c r="BZ6" s="27"/>
      <c r="CA6" s="27"/>
      <c r="CB6" s="27"/>
    </row>
    <row r="7" spans="1:80" ht="35.1" customHeight="1" thickBot="1" x14ac:dyDescent="0.3">
      <c r="A7" s="32"/>
      <c r="B7" s="33"/>
      <c r="C7" s="34"/>
      <c r="D7" s="35"/>
      <c r="E7" s="1370"/>
      <c r="F7" s="32"/>
      <c r="G7" s="33"/>
      <c r="H7" s="34"/>
      <c r="I7" s="35"/>
      <c r="J7" s="1370"/>
      <c r="K7" s="3142"/>
      <c r="L7" s="133">
        <v>12.7</v>
      </c>
      <c r="M7" s="134" t="s">
        <v>113</v>
      </c>
      <c r="N7" s="135">
        <v>1</v>
      </c>
      <c r="O7" s="136" t="s">
        <v>114</v>
      </c>
      <c r="P7" s="3501"/>
      <c r="Q7" s="232">
        <v>5.0289999999999999</v>
      </c>
      <c r="R7" s="233" t="s">
        <v>113</v>
      </c>
      <c r="S7" s="234">
        <v>2</v>
      </c>
      <c r="T7" s="235" t="s">
        <v>114</v>
      </c>
      <c r="U7" s="3142"/>
      <c r="V7" s="133">
        <v>1.9550000000000001</v>
      </c>
      <c r="W7" s="134" t="s">
        <v>113</v>
      </c>
      <c r="X7" s="135">
        <v>1</v>
      </c>
      <c r="Y7" s="136" t="s">
        <v>114</v>
      </c>
      <c r="Z7" s="3142"/>
      <c r="AA7" s="133">
        <v>5.5110000000000001</v>
      </c>
      <c r="AB7" s="134" t="s">
        <v>113</v>
      </c>
      <c r="AC7" s="135">
        <v>2</v>
      </c>
      <c r="AD7" s="136" t="s">
        <v>114</v>
      </c>
      <c r="AE7" s="3142"/>
      <c r="AF7" s="133">
        <v>23.42</v>
      </c>
      <c r="AG7" s="134" t="s">
        <v>113</v>
      </c>
      <c r="AH7" s="135">
        <v>1</v>
      </c>
      <c r="AI7" s="136" t="s">
        <v>114</v>
      </c>
      <c r="AJ7" s="3142"/>
      <c r="AK7" s="133">
        <v>30.099</v>
      </c>
      <c r="AL7" s="134" t="s">
        <v>113</v>
      </c>
      <c r="AM7" s="135">
        <v>2</v>
      </c>
      <c r="AN7" s="136" t="s">
        <v>114</v>
      </c>
      <c r="AO7" s="32"/>
      <c r="AP7" s="33"/>
      <c r="AQ7" s="34"/>
      <c r="AR7" s="35"/>
      <c r="AS7" s="1370"/>
      <c r="AT7" s="32"/>
      <c r="AU7" s="33"/>
      <c r="AV7" s="34"/>
      <c r="AW7" s="35"/>
      <c r="AX7" s="1370"/>
      <c r="AY7" s="677"/>
      <c r="AZ7" s="137"/>
      <c r="BA7" s="33"/>
      <c r="BB7" s="138"/>
      <c r="BC7" s="35"/>
      <c r="BD7" s="677"/>
      <c r="BE7" s="137"/>
      <c r="BF7" s="33"/>
      <c r="BG7" s="138"/>
      <c r="BH7" s="35"/>
      <c r="BM7" s="27"/>
      <c r="BN7" s="27"/>
      <c r="BO7" s="27"/>
      <c r="BP7" s="27"/>
      <c r="BQ7" s="27"/>
      <c r="BR7" s="27"/>
      <c r="BW7" s="27"/>
      <c r="BX7" s="27"/>
      <c r="BY7" s="27"/>
      <c r="BZ7" s="27"/>
      <c r="CA7" s="27"/>
      <c r="CB7" s="27"/>
    </row>
    <row r="8" spans="1:80" ht="30" customHeight="1" thickTop="1" x14ac:dyDescent="0.25">
      <c r="A8" s="1371"/>
      <c r="B8" s="1371"/>
      <c r="C8" s="1371"/>
      <c r="D8" s="1371"/>
      <c r="E8" s="1370"/>
      <c r="F8" s="1371"/>
      <c r="G8" s="1371"/>
      <c r="H8" s="1371"/>
      <c r="I8" s="1371"/>
      <c r="J8" s="1370"/>
      <c r="K8" s="3485" t="s">
        <v>294</v>
      </c>
      <c r="L8" s="3476" t="s">
        <v>300</v>
      </c>
      <c r="M8" s="3477"/>
      <c r="N8" s="3478"/>
      <c r="O8" s="3473"/>
      <c r="P8" s="3485" t="s">
        <v>294</v>
      </c>
      <c r="Q8" s="3476" t="s">
        <v>296</v>
      </c>
      <c r="R8" s="3477"/>
      <c r="S8" s="3478"/>
      <c r="T8" s="3488"/>
      <c r="U8" s="3485" t="s">
        <v>294</v>
      </c>
      <c r="V8" s="3476" t="s">
        <v>302</v>
      </c>
      <c r="W8" s="3477"/>
      <c r="X8" s="3478"/>
      <c r="Y8" s="3473"/>
      <c r="Z8" s="3485" t="s">
        <v>294</v>
      </c>
      <c r="AA8" s="3476" t="s">
        <v>304</v>
      </c>
      <c r="AB8" s="3477"/>
      <c r="AC8" s="3478"/>
      <c r="AD8" s="3473"/>
      <c r="AE8" s="3485" t="s">
        <v>294</v>
      </c>
      <c r="AF8" s="3476" t="s">
        <v>306</v>
      </c>
      <c r="AG8" s="3477"/>
      <c r="AH8" s="3478"/>
      <c r="AI8" s="3473"/>
      <c r="AJ8" s="3485" t="s">
        <v>294</v>
      </c>
      <c r="AK8" s="3476" t="s">
        <v>308</v>
      </c>
      <c r="AL8" s="3477"/>
      <c r="AM8" s="3478"/>
      <c r="AN8" s="3473"/>
      <c r="AO8" s="165"/>
      <c r="AP8" s="1997"/>
      <c r="AQ8" s="1998"/>
      <c r="AR8" s="1998"/>
      <c r="AS8" s="1998"/>
      <c r="AT8" s="1998"/>
      <c r="AU8" s="1998"/>
      <c r="AV8" s="1998"/>
      <c r="AW8" s="1998"/>
      <c r="AX8" s="165"/>
      <c r="AY8" s="674"/>
      <c r="AZ8" s="674"/>
      <c r="BA8" s="674"/>
      <c r="BB8" s="1300"/>
      <c r="BC8" s="1300"/>
      <c r="BD8" s="674"/>
      <c r="BE8" s="674"/>
      <c r="BF8" s="674"/>
      <c r="BG8" s="1300"/>
      <c r="BH8" s="1300"/>
      <c r="BM8" s="27"/>
      <c r="BN8" s="27"/>
      <c r="BO8" s="27"/>
      <c r="BP8" s="27"/>
      <c r="BQ8" s="27"/>
      <c r="BR8" s="27"/>
      <c r="BW8" s="27"/>
      <c r="BX8" s="27"/>
      <c r="BY8" s="27"/>
      <c r="BZ8" s="27"/>
      <c r="CA8" s="27"/>
      <c r="CB8" s="27"/>
    </row>
    <row r="9" spans="1:80" ht="30" customHeight="1" x14ac:dyDescent="0.25">
      <c r="A9" s="32"/>
      <c r="B9" s="33"/>
      <c r="C9" s="34"/>
      <c r="D9" s="35"/>
      <c r="E9" s="1370"/>
      <c r="F9" s="32"/>
      <c r="G9" s="33"/>
      <c r="H9" s="34"/>
      <c r="I9" s="35"/>
      <c r="J9" s="1370"/>
      <c r="K9" s="3486"/>
      <c r="L9" s="3479"/>
      <c r="M9" s="3480"/>
      <c r="N9" s="3481"/>
      <c r="O9" s="3474"/>
      <c r="P9" s="3486"/>
      <c r="Q9" s="3479"/>
      <c r="R9" s="3480"/>
      <c r="S9" s="3481"/>
      <c r="T9" s="3489"/>
      <c r="U9" s="3486"/>
      <c r="V9" s="3479"/>
      <c r="W9" s="3480"/>
      <c r="X9" s="3481"/>
      <c r="Y9" s="3474"/>
      <c r="Z9" s="3486"/>
      <c r="AA9" s="3479"/>
      <c r="AB9" s="3480"/>
      <c r="AC9" s="3481"/>
      <c r="AD9" s="3474"/>
      <c r="AE9" s="3486"/>
      <c r="AF9" s="3479"/>
      <c r="AG9" s="3480"/>
      <c r="AH9" s="3481"/>
      <c r="AI9" s="3474"/>
      <c r="AJ9" s="3486"/>
      <c r="AK9" s="3479"/>
      <c r="AL9" s="3480"/>
      <c r="AM9" s="3481"/>
      <c r="AN9" s="3474"/>
      <c r="AO9" s="165"/>
      <c r="AP9" s="1998"/>
      <c r="AQ9" s="1998"/>
      <c r="AR9" s="1998"/>
      <c r="AS9" s="1998"/>
      <c r="AT9" s="1998"/>
      <c r="AU9" s="1998"/>
      <c r="AV9" s="1998"/>
      <c r="AW9" s="1998"/>
      <c r="AX9" s="165"/>
      <c r="AY9" s="676"/>
      <c r="AZ9" s="676"/>
      <c r="BA9" s="676"/>
      <c r="BB9" s="36"/>
      <c r="BC9" s="36"/>
      <c r="BD9" s="676"/>
      <c r="BE9" s="676"/>
      <c r="BF9" s="676"/>
      <c r="BG9" s="36"/>
      <c r="BH9" s="36"/>
    </row>
    <row r="10" spans="1:80" ht="30" customHeight="1" thickBot="1" x14ac:dyDescent="0.3">
      <c r="A10" s="1371"/>
      <c r="B10" s="1371"/>
      <c r="C10" s="1371"/>
      <c r="D10" s="1371"/>
      <c r="E10" s="1370"/>
      <c r="F10" s="1371"/>
      <c r="G10" s="1371"/>
      <c r="H10" s="1371"/>
      <c r="I10" s="1371"/>
      <c r="J10" s="1370"/>
      <c r="K10" s="3487"/>
      <c r="L10" s="3482"/>
      <c r="M10" s="3483"/>
      <c r="N10" s="3484"/>
      <c r="O10" s="3475"/>
      <c r="P10" s="3487"/>
      <c r="Q10" s="3482"/>
      <c r="R10" s="3483"/>
      <c r="S10" s="3484"/>
      <c r="T10" s="3490"/>
      <c r="U10" s="3487"/>
      <c r="V10" s="3482"/>
      <c r="W10" s="3483"/>
      <c r="X10" s="3484"/>
      <c r="Y10" s="3475"/>
      <c r="Z10" s="3487"/>
      <c r="AA10" s="3482"/>
      <c r="AB10" s="3483"/>
      <c r="AC10" s="3484"/>
      <c r="AD10" s="3475"/>
      <c r="AE10" s="3487"/>
      <c r="AF10" s="3482"/>
      <c r="AG10" s="3483"/>
      <c r="AH10" s="3484"/>
      <c r="AI10" s="3475"/>
      <c r="AJ10" s="3487"/>
      <c r="AK10" s="3482"/>
      <c r="AL10" s="3483"/>
      <c r="AM10" s="3484"/>
      <c r="AN10" s="3475"/>
      <c r="AO10" s="165"/>
      <c r="AP10" s="1998"/>
      <c r="AQ10" s="1998"/>
      <c r="AR10" s="1998"/>
      <c r="AS10" s="1998"/>
      <c r="AT10" s="1998"/>
      <c r="AU10" s="1998"/>
      <c r="AV10" s="1998"/>
      <c r="AW10" s="1998"/>
      <c r="AX10" s="165"/>
      <c r="AY10" s="676"/>
      <c r="AZ10" s="676"/>
      <c r="BA10" s="676"/>
      <c r="BB10" s="36"/>
      <c r="BC10" s="36"/>
      <c r="BD10" s="676"/>
      <c r="BE10" s="676"/>
      <c r="BF10" s="676"/>
      <c r="BG10" s="36"/>
      <c r="BH10" s="36"/>
    </row>
    <row r="11" spans="1:80" ht="30" customHeight="1" x14ac:dyDescent="0.25">
      <c r="A11" s="32"/>
      <c r="B11" s="33"/>
      <c r="C11" s="34"/>
      <c r="D11" s="35"/>
      <c r="E11" s="1370"/>
      <c r="F11" s="32"/>
      <c r="G11" s="33"/>
      <c r="H11" s="34"/>
      <c r="I11" s="35"/>
      <c r="J11" s="1370"/>
      <c r="K11" s="3485" t="s">
        <v>295</v>
      </c>
      <c r="L11" s="3476" t="s">
        <v>301</v>
      </c>
      <c r="M11" s="3477"/>
      <c r="N11" s="3478"/>
      <c r="O11" s="3473"/>
      <c r="P11" s="3485" t="s">
        <v>295</v>
      </c>
      <c r="Q11" s="3476" t="s">
        <v>297</v>
      </c>
      <c r="R11" s="3477"/>
      <c r="S11" s="3478"/>
      <c r="T11" s="3473"/>
      <c r="U11" s="3485" t="s">
        <v>295</v>
      </c>
      <c r="V11" s="3476" t="s">
        <v>303</v>
      </c>
      <c r="W11" s="3477"/>
      <c r="X11" s="3478"/>
      <c r="Y11" s="3473"/>
      <c r="Z11" s="3485" t="s">
        <v>295</v>
      </c>
      <c r="AA11" s="3476" t="s">
        <v>305</v>
      </c>
      <c r="AB11" s="3477"/>
      <c r="AC11" s="3478"/>
      <c r="AD11" s="3473"/>
      <c r="AE11" s="3485" t="s">
        <v>295</v>
      </c>
      <c r="AF11" s="3476" t="s">
        <v>307</v>
      </c>
      <c r="AG11" s="3477"/>
      <c r="AH11" s="3478"/>
      <c r="AI11" s="3473"/>
      <c r="AJ11" s="3485" t="s">
        <v>295</v>
      </c>
      <c r="AK11" s="3476" t="s">
        <v>309</v>
      </c>
      <c r="AL11" s="3477"/>
      <c r="AM11" s="3478"/>
      <c r="AN11" s="3473"/>
      <c r="AO11" s="165"/>
      <c r="AP11" s="1998"/>
      <c r="AQ11" s="1998"/>
      <c r="AR11" s="1998"/>
      <c r="AS11" s="1998"/>
      <c r="AT11" s="1998"/>
      <c r="AU11" s="1998"/>
      <c r="AV11" s="1998"/>
      <c r="AW11" s="1998"/>
      <c r="AX11" s="165"/>
      <c r="AY11" s="676"/>
      <c r="AZ11" s="676"/>
      <c r="BA11" s="676"/>
      <c r="BB11" s="36"/>
      <c r="BC11" s="36"/>
      <c r="BD11" s="676"/>
      <c r="BE11" s="676"/>
      <c r="BF11" s="676"/>
      <c r="BG11" s="36"/>
      <c r="BH11" s="36"/>
    </row>
    <row r="12" spans="1:80" ht="30" customHeight="1" x14ac:dyDescent="0.25">
      <c r="A12" s="1371"/>
      <c r="B12" s="1371"/>
      <c r="C12" s="1371"/>
      <c r="D12" s="1371"/>
      <c r="E12" s="1370"/>
      <c r="F12" s="1371"/>
      <c r="G12" s="1371"/>
      <c r="H12" s="1371"/>
      <c r="I12" s="1371"/>
      <c r="J12" s="1370"/>
      <c r="K12" s="3486"/>
      <c r="L12" s="3479"/>
      <c r="M12" s="3480"/>
      <c r="N12" s="3481"/>
      <c r="O12" s="3474"/>
      <c r="P12" s="3486"/>
      <c r="Q12" s="3479"/>
      <c r="R12" s="3480"/>
      <c r="S12" s="3481"/>
      <c r="T12" s="3474"/>
      <c r="U12" s="3486"/>
      <c r="V12" s="3479"/>
      <c r="W12" s="3480"/>
      <c r="X12" s="3481"/>
      <c r="Y12" s="3474"/>
      <c r="Z12" s="3486"/>
      <c r="AA12" s="3479"/>
      <c r="AB12" s="3480"/>
      <c r="AC12" s="3481"/>
      <c r="AD12" s="3474"/>
      <c r="AE12" s="3486"/>
      <c r="AF12" s="3479"/>
      <c r="AG12" s="3480"/>
      <c r="AH12" s="3481"/>
      <c r="AI12" s="3474"/>
      <c r="AJ12" s="3486"/>
      <c r="AK12" s="3479"/>
      <c r="AL12" s="3480"/>
      <c r="AM12" s="3481"/>
      <c r="AN12" s="3474"/>
      <c r="AO12" s="165"/>
      <c r="AP12" s="165"/>
      <c r="AQ12" s="165"/>
      <c r="AR12" s="165"/>
      <c r="AS12" s="165"/>
      <c r="AT12" s="165"/>
      <c r="AU12" s="165"/>
      <c r="AV12" s="165"/>
      <c r="AW12" s="165"/>
      <c r="AX12" s="165"/>
      <c r="AY12" s="677"/>
      <c r="AZ12" s="1332"/>
      <c r="BA12" s="1332"/>
      <c r="BB12" s="1332"/>
      <c r="BC12" s="1332"/>
      <c r="BD12" s="677"/>
      <c r="BE12" s="1332"/>
      <c r="BF12" s="1332"/>
      <c r="BG12" s="1332"/>
      <c r="BH12" s="1332"/>
      <c r="BM12" s="51"/>
      <c r="BN12" s="51"/>
      <c r="BO12" s="51"/>
      <c r="BP12" s="51"/>
      <c r="BQ12" s="51"/>
      <c r="BR12" s="51"/>
      <c r="BW12" s="27"/>
      <c r="BX12" s="27"/>
      <c r="BY12" s="27"/>
      <c r="BZ12" s="27"/>
      <c r="CA12" s="27"/>
      <c r="CB12" s="27"/>
    </row>
    <row r="13" spans="1:80" ht="30" customHeight="1" thickBot="1" x14ac:dyDescent="0.3">
      <c r="A13" s="32"/>
      <c r="B13" s="33"/>
      <c r="C13" s="34"/>
      <c r="D13" s="35"/>
      <c r="E13" s="1370"/>
      <c r="F13" s="32"/>
      <c r="G13" s="33"/>
      <c r="H13" s="34"/>
      <c r="I13" s="35"/>
      <c r="J13" s="1370"/>
      <c r="K13" s="3487"/>
      <c r="L13" s="3482"/>
      <c r="M13" s="3483"/>
      <c r="N13" s="3484"/>
      <c r="O13" s="3475"/>
      <c r="P13" s="3487"/>
      <c r="Q13" s="3482"/>
      <c r="R13" s="3483"/>
      <c r="S13" s="3484"/>
      <c r="T13" s="3475"/>
      <c r="U13" s="3487"/>
      <c r="V13" s="3482"/>
      <c r="W13" s="3483"/>
      <c r="X13" s="3484"/>
      <c r="Y13" s="3475"/>
      <c r="Z13" s="3487"/>
      <c r="AA13" s="3482"/>
      <c r="AB13" s="3483"/>
      <c r="AC13" s="3484"/>
      <c r="AD13" s="3475"/>
      <c r="AE13" s="3487"/>
      <c r="AF13" s="3482"/>
      <c r="AG13" s="3483"/>
      <c r="AH13" s="3484"/>
      <c r="AI13" s="3475"/>
      <c r="AJ13" s="3487"/>
      <c r="AK13" s="3482"/>
      <c r="AL13" s="3483"/>
      <c r="AM13" s="3484"/>
      <c r="AN13" s="3475"/>
      <c r="AO13" s="165"/>
      <c r="AP13" s="165"/>
      <c r="AQ13" s="165"/>
      <c r="AR13" s="165"/>
      <c r="AS13" s="165"/>
      <c r="AT13" s="165"/>
      <c r="AU13" s="165"/>
      <c r="AV13" s="165"/>
      <c r="AW13" s="165"/>
      <c r="AX13" s="165"/>
      <c r="AY13" s="677"/>
      <c r="AZ13" s="137"/>
      <c r="BA13" s="33"/>
      <c r="BB13" s="138"/>
      <c r="BC13" s="35"/>
      <c r="BD13" s="677"/>
      <c r="BE13" s="137"/>
      <c r="BF13" s="33"/>
      <c r="BG13" s="138"/>
      <c r="BH13" s="35"/>
      <c r="BM13" s="51"/>
      <c r="BN13" s="51"/>
      <c r="BO13" s="51"/>
      <c r="BP13" s="51"/>
      <c r="BQ13" s="51"/>
      <c r="BR13" s="51"/>
      <c r="BW13" s="27"/>
      <c r="BX13" s="27"/>
      <c r="BY13" s="27"/>
      <c r="BZ13" s="27"/>
      <c r="CA13" s="27"/>
      <c r="CB13" s="27"/>
    </row>
    <row r="14" spans="1:80" ht="39.950000000000003" hidden="1" customHeight="1" thickTop="1" x14ac:dyDescent="0.25">
      <c r="A14" s="1695" t="s">
        <v>250</v>
      </c>
      <c r="B14" s="1696"/>
      <c r="C14" s="1696"/>
      <c r="D14" s="1697">
        <f>B19/((42*3.1415/59)*(30/3.281))</f>
        <v>0</v>
      </c>
      <c r="E14" s="1698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Z14" s="44"/>
      <c r="AA14" s="44"/>
      <c r="AB14" s="44"/>
      <c r="AC14" s="44"/>
      <c r="AD14" s="44"/>
      <c r="AE14" s="44"/>
      <c r="AF14" s="44"/>
      <c r="AG14" s="44"/>
      <c r="AH14" s="69"/>
      <c r="AI14" s="69"/>
      <c r="AJ14" s="44"/>
      <c r="AK14" s="44"/>
      <c r="AL14" s="44"/>
      <c r="AM14" s="69"/>
      <c r="AN14" s="69"/>
      <c r="AO14" s="674"/>
      <c r="AP14" s="674"/>
      <c r="AQ14" s="674"/>
      <c r="AR14" s="1300"/>
      <c r="AS14" s="1300"/>
      <c r="AT14" s="1389"/>
      <c r="AU14" s="1389"/>
      <c r="AV14" s="1389"/>
      <c r="AW14" s="1390"/>
      <c r="AX14" s="1390"/>
      <c r="AY14" s="674"/>
      <c r="AZ14" s="674"/>
      <c r="BA14" s="674"/>
      <c r="BB14" s="1300"/>
      <c r="BC14" s="1300"/>
      <c r="BD14" s="674"/>
      <c r="BE14" s="674"/>
      <c r="BF14" s="674"/>
      <c r="BG14" s="1300"/>
      <c r="BH14" s="1300"/>
      <c r="BM14" s="51"/>
      <c r="BN14" s="51"/>
      <c r="BO14" s="51"/>
      <c r="BP14" s="51"/>
      <c r="BQ14" s="51"/>
      <c r="BR14" s="51"/>
      <c r="BW14" s="27"/>
      <c r="BX14" s="27"/>
      <c r="BY14" s="27"/>
      <c r="BZ14" s="27"/>
      <c r="CA14" s="27"/>
      <c r="CB14" s="27"/>
    </row>
    <row r="15" spans="1:80" ht="9.9499999999999993" hidden="1" customHeight="1" x14ac:dyDescent="0.25">
      <c r="A15" s="1379" t="s">
        <v>252</v>
      </c>
      <c r="B15" s="1380"/>
      <c r="C15" s="1380"/>
      <c r="D15" s="1380"/>
      <c r="E15" s="1381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Z15" s="47"/>
      <c r="AA15" s="47"/>
      <c r="AB15" s="47"/>
      <c r="AC15" s="47"/>
      <c r="AD15" s="47"/>
      <c r="AE15" s="47"/>
      <c r="AF15" s="47"/>
      <c r="AG15" s="47"/>
      <c r="AH15" s="36"/>
      <c r="AI15" s="36"/>
      <c r="AJ15" s="47"/>
      <c r="AK15" s="47"/>
      <c r="AL15" s="47"/>
      <c r="AM15" s="36"/>
      <c r="AN15" s="36"/>
      <c r="AO15" s="676"/>
      <c r="AP15" s="676"/>
      <c r="AQ15" s="676"/>
      <c r="AR15" s="36"/>
      <c r="AS15" s="36"/>
      <c r="AT15" s="1388"/>
      <c r="AU15" s="1388"/>
      <c r="AV15" s="1388"/>
      <c r="AW15" s="139"/>
      <c r="AX15" s="139"/>
      <c r="AY15" s="676"/>
      <c r="AZ15" s="676"/>
      <c r="BA15" s="676"/>
      <c r="BB15" s="36"/>
      <c r="BC15" s="36"/>
      <c r="BD15" s="676"/>
      <c r="BE15" s="676"/>
      <c r="BF15" s="676"/>
      <c r="BG15" s="36"/>
      <c r="BH15" s="36"/>
    </row>
    <row r="16" spans="1:80" ht="24.95" hidden="1" customHeight="1" x14ac:dyDescent="0.25">
      <c r="A16" s="1382"/>
      <c r="B16" s="1383"/>
      <c r="C16" s="1383"/>
      <c r="D16" s="1383"/>
      <c r="E16" s="1384"/>
      <c r="F16" s="47"/>
      <c r="G16" s="47"/>
      <c r="H16" s="47"/>
      <c r="I16" s="47"/>
      <c r="J16" s="47"/>
      <c r="K16" s="47"/>
      <c r="L16" s="47"/>
      <c r="M16" s="285"/>
      <c r="N16" s="285"/>
      <c r="O16" s="285"/>
      <c r="P16" s="285"/>
      <c r="Q16" s="285"/>
      <c r="R16" s="47"/>
      <c r="S16" s="47"/>
      <c r="T16" s="47"/>
      <c r="Z16" s="47"/>
      <c r="AA16" s="47"/>
      <c r="AB16" s="47"/>
      <c r="AC16" s="47"/>
      <c r="AD16" s="47"/>
      <c r="AE16" s="47"/>
      <c r="AF16" s="47"/>
      <c r="AG16" s="47"/>
      <c r="AH16" s="140"/>
      <c r="AI16" s="36"/>
      <c r="AJ16" s="47"/>
      <c r="AK16" s="47"/>
      <c r="AL16" s="47"/>
      <c r="AM16" s="140"/>
      <c r="AN16" s="36"/>
      <c r="AO16" s="676"/>
      <c r="AP16" s="676"/>
      <c r="AQ16" s="676"/>
      <c r="AR16" s="140"/>
      <c r="AS16" s="36"/>
      <c r="AT16" s="1388"/>
      <c r="AU16" s="1388"/>
      <c r="AV16" s="1388"/>
      <c r="AW16" s="141"/>
      <c r="AX16" s="139"/>
      <c r="AY16" s="676"/>
      <c r="AZ16" s="676"/>
      <c r="BA16" s="676"/>
      <c r="BB16" s="36"/>
      <c r="BC16" s="36"/>
      <c r="BD16" s="676"/>
      <c r="BE16" s="676"/>
      <c r="BF16" s="676"/>
      <c r="BG16" s="36"/>
      <c r="BH16" s="36"/>
    </row>
    <row r="17" spans="1:80" ht="9.9499999999999993" hidden="1" customHeight="1" x14ac:dyDescent="0.25">
      <c r="A17" s="1385"/>
      <c r="B17" s="1386"/>
      <c r="C17" s="1386"/>
      <c r="D17" s="1386"/>
      <c r="E17" s="138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Z17" s="47"/>
      <c r="AA17" s="47"/>
      <c r="AB17" s="47"/>
      <c r="AC17" s="47"/>
      <c r="AD17" s="47"/>
      <c r="AE17" s="47"/>
      <c r="AF17" s="47"/>
      <c r="AG17" s="47"/>
      <c r="AH17" s="36"/>
      <c r="AI17" s="36"/>
      <c r="AJ17" s="47"/>
      <c r="AK17" s="47"/>
      <c r="AL17" s="47"/>
      <c r="AM17" s="36"/>
      <c r="AN17" s="36"/>
      <c r="AO17" s="676"/>
      <c r="AP17" s="676"/>
      <c r="AQ17" s="676"/>
      <c r="AR17" s="36"/>
      <c r="AS17" s="36"/>
      <c r="AT17" s="1388"/>
      <c r="AU17" s="1388"/>
      <c r="AV17" s="1388"/>
      <c r="AW17" s="139"/>
      <c r="AX17" s="139"/>
      <c r="AY17" s="676"/>
      <c r="AZ17" s="676"/>
      <c r="BA17" s="676"/>
      <c r="BB17" s="36"/>
      <c r="BC17" s="36"/>
      <c r="BD17" s="676"/>
      <c r="BE17" s="676"/>
      <c r="BF17" s="676"/>
      <c r="BG17" s="36"/>
      <c r="BH17" s="36"/>
    </row>
    <row r="18" spans="1:80" ht="72" hidden="1" customHeight="1" x14ac:dyDescent="0.25">
      <c r="A18" s="1374" t="s">
        <v>253</v>
      </c>
      <c r="B18" s="1376"/>
      <c r="C18" s="1377"/>
      <c r="D18" s="1377"/>
      <c r="E18" s="1378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3"/>
      <c r="AU18" s="143"/>
      <c r="AV18" s="143"/>
      <c r="AW18" s="143"/>
      <c r="AX18" s="143"/>
      <c r="AY18" s="677"/>
      <c r="AZ18" s="1332"/>
      <c r="BA18" s="1332"/>
      <c r="BB18" s="1332"/>
      <c r="BC18" s="1332"/>
      <c r="BD18" s="677"/>
      <c r="BE18" s="1332" t="s">
        <v>16</v>
      </c>
      <c r="BF18" s="1332"/>
      <c r="BG18" s="1332"/>
      <c r="BH18" s="1332"/>
      <c r="BM18" s="51"/>
      <c r="BN18" s="51"/>
      <c r="BO18" s="51"/>
      <c r="BP18" s="51"/>
      <c r="BQ18" s="51"/>
      <c r="BR18" s="51"/>
      <c r="BW18" s="27"/>
      <c r="BX18" s="27"/>
      <c r="BY18" s="27"/>
      <c r="BZ18" s="27"/>
      <c r="CA18" s="27"/>
      <c r="CB18" s="27"/>
    </row>
    <row r="19" spans="1:80" ht="35.1" hidden="1" customHeight="1" thickBot="1" x14ac:dyDescent="0.3">
      <c r="A19" s="1375"/>
      <c r="B19" s="144"/>
      <c r="C19" s="145" t="s">
        <v>113</v>
      </c>
      <c r="D19" s="146"/>
      <c r="E19" s="147" t="s">
        <v>114</v>
      </c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148"/>
      <c r="AU19" s="148"/>
      <c r="AV19" s="148"/>
      <c r="AW19" s="148"/>
      <c r="AX19" s="148"/>
      <c r="AY19" s="677"/>
      <c r="AZ19" s="137"/>
      <c r="BA19" s="33"/>
      <c r="BB19" s="138"/>
      <c r="BC19" s="35"/>
      <c r="BD19" s="677"/>
      <c r="BE19" s="137"/>
      <c r="BF19" s="33"/>
      <c r="BG19" s="138"/>
      <c r="BH19" s="35"/>
      <c r="BM19" s="51"/>
      <c r="BN19" s="51"/>
      <c r="BO19" s="51"/>
      <c r="BP19" s="51"/>
      <c r="BQ19" s="51"/>
      <c r="BR19" s="51"/>
      <c r="BW19" s="27"/>
      <c r="BX19" s="27"/>
      <c r="BY19" s="27"/>
      <c r="BZ19" s="27"/>
      <c r="CA19" s="27"/>
      <c r="CB19" s="27"/>
    </row>
    <row r="20" spans="1:80" ht="26.25" hidden="1" customHeight="1" x14ac:dyDescent="0.25">
      <c r="A20" s="1396"/>
      <c r="B20" s="1396"/>
      <c r="C20" s="1396"/>
      <c r="D20" s="1397"/>
      <c r="E20" s="1397"/>
      <c r="F20" s="674"/>
      <c r="G20" s="674"/>
      <c r="H20" s="674"/>
      <c r="I20" s="1300"/>
      <c r="J20" s="1300"/>
      <c r="K20" s="44"/>
      <c r="L20" s="44"/>
      <c r="M20" s="44"/>
      <c r="N20" s="69"/>
      <c r="O20" s="69"/>
      <c r="P20" s="44"/>
      <c r="Q20" s="44"/>
      <c r="R20" s="44"/>
      <c r="S20" s="69"/>
      <c r="T20" s="69"/>
      <c r="U20" s="44"/>
      <c r="V20" s="44"/>
      <c r="W20" s="44"/>
      <c r="X20" s="69"/>
      <c r="Y20" s="69"/>
      <c r="Z20" s="44"/>
      <c r="AA20" s="44"/>
      <c r="AB20" s="44"/>
      <c r="AC20" s="69"/>
      <c r="AD20" s="69"/>
      <c r="AE20" s="44"/>
      <c r="AF20" s="44"/>
      <c r="AG20" s="44"/>
      <c r="AH20" s="69"/>
      <c r="AI20" s="69"/>
      <c r="AJ20" s="44"/>
      <c r="AK20" s="44"/>
      <c r="AL20" s="44"/>
      <c r="AM20" s="69"/>
      <c r="AN20" s="69"/>
      <c r="AO20" s="674"/>
      <c r="AP20" s="674"/>
      <c r="AQ20" s="674"/>
      <c r="AR20" s="1300"/>
      <c r="AS20" s="1300"/>
      <c r="AT20" s="1389"/>
      <c r="AU20" s="1389"/>
      <c r="AV20" s="1389"/>
      <c r="AW20" s="1390"/>
      <c r="AX20" s="1390"/>
      <c r="AY20" s="674"/>
      <c r="AZ20" s="674"/>
      <c r="BA20" s="674"/>
      <c r="BB20" s="1300"/>
      <c r="BC20" s="1300"/>
      <c r="BD20" s="674"/>
      <c r="BE20" s="674"/>
      <c r="BF20" s="674"/>
      <c r="BG20" s="1300"/>
      <c r="BH20" s="1300"/>
      <c r="BM20" s="51"/>
      <c r="BN20" s="51"/>
      <c r="BO20" s="51"/>
      <c r="BP20" s="51"/>
      <c r="BQ20" s="51"/>
      <c r="BR20" s="51"/>
      <c r="BW20" s="27"/>
      <c r="BX20" s="27"/>
      <c r="BY20" s="27"/>
      <c r="BZ20" s="27"/>
      <c r="CA20" s="27"/>
      <c r="CB20" s="27"/>
    </row>
    <row r="21" spans="1:80" ht="18.75" hidden="1" customHeight="1" x14ac:dyDescent="0.25">
      <c r="A21" s="1395"/>
      <c r="B21" s="1395"/>
      <c r="C21" s="1395"/>
      <c r="D21" s="149"/>
      <c r="E21" s="149"/>
      <c r="F21" s="676"/>
      <c r="G21" s="676"/>
      <c r="H21" s="676"/>
      <c r="I21" s="36"/>
      <c r="J21" s="36"/>
      <c r="K21" s="47"/>
      <c r="L21" s="47"/>
      <c r="M21" s="47"/>
      <c r="N21" s="36"/>
      <c r="O21" s="36"/>
      <c r="P21" s="47"/>
      <c r="Q21" s="47"/>
      <c r="R21" s="47"/>
      <c r="S21" s="36"/>
      <c r="T21" s="36"/>
      <c r="U21" s="47"/>
      <c r="V21" s="47"/>
      <c r="W21" s="47"/>
      <c r="X21" s="36"/>
      <c r="Y21" s="36"/>
      <c r="Z21" s="47"/>
      <c r="AA21" s="47"/>
      <c r="AB21" s="47"/>
      <c r="AC21" s="36"/>
      <c r="AD21" s="36"/>
      <c r="AE21" s="47"/>
      <c r="AF21" s="47"/>
      <c r="AG21" s="47"/>
      <c r="AH21" s="36"/>
      <c r="AI21" s="36"/>
      <c r="AJ21" s="47"/>
      <c r="AK21" s="47"/>
      <c r="AL21" s="47"/>
      <c r="AM21" s="36"/>
      <c r="AN21" s="36"/>
      <c r="AO21" s="676"/>
      <c r="AP21" s="676"/>
      <c r="AQ21" s="676"/>
      <c r="AR21" s="36"/>
      <c r="AS21" s="36"/>
      <c r="AT21" s="1388"/>
      <c r="AU21" s="1388"/>
      <c r="AV21" s="1388"/>
      <c r="AW21" s="139"/>
      <c r="AX21" s="139"/>
      <c r="AY21" s="676"/>
      <c r="AZ21" s="676"/>
      <c r="BA21" s="676"/>
      <c r="BB21" s="36"/>
      <c r="BC21" s="36"/>
      <c r="BD21" s="676"/>
      <c r="BE21" s="676"/>
      <c r="BF21" s="676"/>
      <c r="BG21" s="36"/>
      <c r="BH21" s="36"/>
    </row>
    <row r="22" spans="1:80" ht="36" hidden="1" customHeight="1" x14ac:dyDescent="0.25">
      <c r="A22" s="1395"/>
      <c r="B22" s="1395"/>
      <c r="C22" s="1395"/>
      <c r="D22" s="150"/>
      <c r="E22" s="149"/>
      <c r="F22" s="676"/>
      <c r="G22" s="676"/>
      <c r="H22" s="676"/>
      <c r="I22" s="140"/>
      <c r="J22" s="36"/>
      <c r="K22" s="47"/>
      <c r="L22" s="47"/>
      <c r="M22" s="47"/>
      <c r="N22" s="140"/>
      <c r="O22" s="36"/>
      <c r="P22" s="47"/>
      <c r="Q22" s="47"/>
      <c r="R22" s="47"/>
      <c r="S22" s="140"/>
      <c r="T22" s="36"/>
      <c r="U22" s="47"/>
      <c r="V22" s="47"/>
      <c r="W22" s="47"/>
      <c r="X22" s="140"/>
      <c r="Y22" s="36"/>
      <c r="Z22" s="47"/>
      <c r="AA22" s="47"/>
      <c r="AB22" s="47"/>
      <c r="AC22" s="140"/>
      <c r="AD22" s="36"/>
      <c r="AE22" s="47"/>
      <c r="AF22" s="47"/>
      <c r="AG22" s="47"/>
      <c r="AH22" s="140"/>
      <c r="AI22" s="36"/>
      <c r="AJ22" s="47"/>
      <c r="AK22" s="47"/>
      <c r="AL22" s="47"/>
      <c r="AM22" s="140"/>
      <c r="AN22" s="36"/>
      <c r="AO22" s="676"/>
      <c r="AP22" s="676"/>
      <c r="AQ22" s="676"/>
      <c r="AR22" s="140"/>
      <c r="AS22" s="36"/>
      <c r="AT22" s="1388"/>
      <c r="AU22" s="1388"/>
      <c r="AV22" s="1388"/>
      <c r="AW22" s="141"/>
      <c r="AX22" s="139"/>
      <c r="AY22" s="676"/>
      <c r="AZ22" s="676"/>
      <c r="BA22" s="676"/>
      <c r="BB22" s="36"/>
      <c r="BC22" s="36"/>
      <c r="BD22" s="676"/>
      <c r="BE22" s="676"/>
      <c r="BF22" s="676"/>
      <c r="BG22" s="36"/>
      <c r="BH22" s="36"/>
    </row>
    <row r="23" spans="1:80" ht="18.75" hidden="1" customHeight="1" x14ac:dyDescent="0.25">
      <c r="A23" s="1395"/>
      <c r="B23" s="1395"/>
      <c r="C23" s="1395"/>
      <c r="D23" s="149"/>
      <c r="E23" s="149"/>
      <c r="F23" s="676"/>
      <c r="G23" s="676"/>
      <c r="H23" s="676"/>
      <c r="I23" s="36"/>
      <c r="J23" s="36"/>
      <c r="K23" s="47"/>
      <c r="L23" s="47"/>
      <c r="M23" s="47"/>
      <c r="N23" s="36"/>
      <c r="O23" s="36"/>
      <c r="P23" s="47"/>
      <c r="Q23" s="47"/>
      <c r="R23" s="47"/>
      <c r="S23" s="36"/>
      <c r="T23" s="36"/>
      <c r="U23" s="47"/>
      <c r="V23" s="47"/>
      <c r="W23" s="47"/>
      <c r="X23" s="36"/>
      <c r="Y23" s="36"/>
      <c r="Z23" s="47"/>
      <c r="AA23" s="47"/>
      <c r="AB23" s="47"/>
      <c r="AC23" s="36"/>
      <c r="AD23" s="36"/>
      <c r="AE23" s="47"/>
      <c r="AF23" s="47"/>
      <c r="AG23" s="47"/>
      <c r="AH23" s="36"/>
      <c r="AI23" s="36"/>
      <c r="AJ23" s="47"/>
      <c r="AK23" s="47"/>
      <c r="AL23" s="47"/>
      <c r="AM23" s="36"/>
      <c r="AN23" s="36"/>
      <c r="AO23" s="676"/>
      <c r="AP23" s="676"/>
      <c r="AQ23" s="676"/>
      <c r="AR23" s="36"/>
      <c r="AS23" s="36"/>
      <c r="AT23" s="1388"/>
      <c r="AU23" s="1388"/>
      <c r="AV23" s="1388"/>
      <c r="AW23" s="139"/>
      <c r="AX23" s="139"/>
      <c r="AY23" s="676"/>
      <c r="AZ23" s="676"/>
      <c r="BA23" s="676"/>
      <c r="BB23" s="36"/>
      <c r="BC23" s="36"/>
      <c r="BD23" s="676"/>
      <c r="BE23" s="676"/>
      <c r="BF23" s="676"/>
      <c r="BG23" s="36"/>
      <c r="BH23" s="36"/>
    </row>
    <row r="24" spans="1:80" ht="77.25" hidden="1" customHeight="1" x14ac:dyDescent="0.25">
      <c r="A24" s="1398"/>
      <c r="B24" s="1399"/>
      <c r="C24" s="1399"/>
      <c r="D24" s="1399"/>
      <c r="E24" s="1399"/>
      <c r="F24" s="1370"/>
      <c r="G24" s="1371"/>
      <c r="H24" s="1371"/>
      <c r="I24" s="1371"/>
      <c r="J24" s="1371"/>
      <c r="K24" s="230"/>
      <c r="L24" s="142"/>
      <c r="M24" s="142"/>
      <c r="N24" s="142"/>
      <c r="O24" s="142"/>
      <c r="P24" s="230"/>
      <c r="Q24" s="142"/>
      <c r="R24" s="142"/>
      <c r="S24" s="142"/>
      <c r="T24" s="142"/>
      <c r="U24" s="230"/>
      <c r="V24" s="142"/>
      <c r="W24" s="142"/>
      <c r="X24" s="142"/>
      <c r="Y24" s="142"/>
      <c r="Z24" s="230"/>
      <c r="AA24" s="142"/>
      <c r="AB24" s="142"/>
      <c r="AC24" s="142"/>
      <c r="AD24" s="142"/>
      <c r="AE24" s="230"/>
      <c r="AF24" s="142"/>
      <c r="AG24" s="142"/>
      <c r="AH24" s="142"/>
      <c r="AI24" s="142"/>
      <c r="AJ24" s="230"/>
      <c r="AK24" s="142"/>
      <c r="AL24" s="142"/>
      <c r="AM24" s="142"/>
      <c r="AN24" s="142"/>
      <c r="AO24" s="1370"/>
      <c r="AP24" s="1371"/>
      <c r="AQ24" s="1371"/>
      <c r="AR24" s="1371"/>
      <c r="AS24" s="1371"/>
      <c r="AT24" s="1439"/>
      <c r="AU24" s="1440"/>
      <c r="AV24" s="1440"/>
      <c r="AW24" s="1440"/>
      <c r="AX24" s="1440"/>
      <c r="AY24" s="677"/>
      <c r="AZ24" s="1332"/>
      <c r="BA24" s="1332"/>
      <c r="BB24" s="1332"/>
      <c r="BC24" s="1332"/>
      <c r="BD24" s="677"/>
      <c r="BE24" s="1332"/>
      <c r="BF24" s="1332"/>
      <c r="BG24" s="1332"/>
      <c r="BH24" s="1332"/>
      <c r="BM24" s="51"/>
      <c r="BN24" s="51"/>
      <c r="BO24" s="51"/>
      <c r="BP24" s="51"/>
      <c r="BQ24" s="51"/>
      <c r="BR24" s="51"/>
      <c r="BW24" s="27"/>
      <c r="BX24" s="27"/>
      <c r="BY24" s="27"/>
      <c r="BZ24" s="27"/>
      <c r="CA24" s="27"/>
      <c r="CB24" s="27"/>
    </row>
    <row r="25" spans="1:80" ht="26.25" hidden="1" customHeight="1" x14ac:dyDescent="0.25">
      <c r="A25" s="1398"/>
      <c r="B25" s="151"/>
      <c r="C25" s="152"/>
      <c r="D25" s="153"/>
      <c r="E25" s="154"/>
      <c r="F25" s="1370"/>
      <c r="G25" s="32"/>
      <c r="H25" s="33"/>
      <c r="I25" s="34"/>
      <c r="J25" s="35"/>
      <c r="K25" s="230"/>
      <c r="L25" s="32"/>
      <c r="M25" s="33"/>
      <c r="N25" s="34"/>
      <c r="O25" s="35"/>
      <c r="P25" s="230"/>
      <c r="Q25" s="32"/>
      <c r="R25" s="33"/>
      <c r="S25" s="34"/>
      <c r="T25" s="35"/>
      <c r="U25" s="230"/>
      <c r="V25" s="32"/>
      <c r="W25" s="33"/>
      <c r="X25" s="34"/>
      <c r="Y25" s="35"/>
      <c r="Z25" s="230"/>
      <c r="AA25" s="32"/>
      <c r="AB25" s="33"/>
      <c r="AC25" s="34"/>
      <c r="AD25" s="35"/>
      <c r="AE25" s="230"/>
      <c r="AF25" s="32"/>
      <c r="AG25" s="33"/>
      <c r="AH25" s="34"/>
      <c r="AI25" s="35"/>
      <c r="AJ25" s="230"/>
      <c r="AK25" s="32"/>
      <c r="AL25" s="33"/>
      <c r="AM25" s="34"/>
      <c r="AN25" s="35"/>
      <c r="AO25" s="1370"/>
      <c r="AP25" s="32"/>
      <c r="AQ25" s="33"/>
      <c r="AR25" s="34"/>
      <c r="AS25" s="35"/>
      <c r="AT25" s="1439"/>
      <c r="AU25" s="155"/>
      <c r="AV25" s="148"/>
      <c r="AW25" s="156"/>
      <c r="AX25" s="157"/>
      <c r="AY25" s="677"/>
      <c r="AZ25" s="137"/>
      <c r="BA25" s="33"/>
      <c r="BB25" s="138"/>
      <c r="BC25" s="35"/>
      <c r="BD25" s="677"/>
      <c r="BE25" s="137"/>
      <c r="BF25" s="33"/>
      <c r="BG25" s="138"/>
      <c r="BH25" s="35"/>
      <c r="BM25" s="51"/>
      <c r="BN25" s="51"/>
      <c r="BO25" s="51"/>
      <c r="BP25" s="51"/>
      <c r="BQ25" s="51"/>
      <c r="BR25" s="51"/>
      <c r="BW25" s="27"/>
      <c r="BX25" s="27"/>
      <c r="BY25" s="27"/>
      <c r="BZ25" s="27"/>
      <c r="CA25" s="27"/>
      <c r="CB25" s="27"/>
    </row>
    <row r="26" spans="1:80" ht="26.25" hidden="1" customHeight="1" x14ac:dyDescent="0.25">
      <c r="A26" s="1396"/>
      <c r="B26" s="1396"/>
      <c r="C26" s="1396"/>
      <c r="D26" s="1397"/>
      <c r="E26" s="1397"/>
      <c r="F26" s="674"/>
      <c r="G26" s="674"/>
      <c r="H26" s="674"/>
      <c r="I26" s="1300"/>
      <c r="J26" s="1300"/>
      <c r="K26" s="44"/>
      <c r="L26" s="44"/>
      <c r="M26" s="44"/>
      <c r="N26" s="69"/>
      <c r="O26" s="69"/>
      <c r="P26" s="44"/>
      <c r="Q26" s="44"/>
      <c r="R26" s="44"/>
      <c r="S26" s="69"/>
      <c r="T26" s="69"/>
      <c r="U26" s="44"/>
      <c r="V26" s="44"/>
      <c r="W26" s="44"/>
      <c r="X26" s="69"/>
      <c r="Y26" s="69"/>
      <c r="Z26" s="44"/>
      <c r="AA26" s="44"/>
      <c r="AB26" s="44"/>
      <c r="AC26" s="69"/>
      <c r="AD26" s="69"/>
      <c r="AE26" s="44"/>
      <c r="AF26" s="44"/>
      <c r="AG26" s="44"/>
      <c r="AH26" s="69"/>
      <c r="AI26" s="69"/>
      <c r="AJ26" s="44"/>
      <c r="AK26" s="44"/>
      <c r="AP26" s="44"/>
      <c r="AQ26" s="44"/>
      <c r="AT26" s="1389"/>
      <c r="AU26" s="1389"/>
      <c r="AV26" s="1389"/>
      <c r="AW26" s="1390"/>
      <c r="AX26" s="1390"/>
      <c r="AY26" s="674"/>
      <c r="AZ26" s="674"/>
      <c r="BA26" s="674"/>
      <c r="BB26" s="1300"/>
      <c r="BC26" s="1300"/>
      <c r="BD26" s="674"/>
      <c r="BE26" s="674"/>
      <c r="BF26" s="674"/>
      <c r="BG26" s="1300"/>
      <c r="BH26" s="1300"/>
      <c r="BM26" s="51"/>
      <c r="BN26" s="51"/>
      <c r="BO26" s="51"/>
      <c r="BP26" s="51"/>
      <c r="BQ26" s="51"/>
      <c r="BR26" s="51"/>
      <c r="BW26" s="27"/>
      <c r="BX26" s="27"/>
      <c r="BY26" s="27"/>
      <c r="BZ26" s="27"/>
      <c r="CA26" s="27"/>
      <c r="CB26" s="27"/>
    </row>
    <row r="27" spans="1:80" ht="21" hidden="1" customHeight="1" x14ac:dyDescent="0.25">
      <c r="A27" s="1395"/>
      <c r="B27" s="1395"/>
      <c r="C27" s="1395"/>
      <c r="D27" s="149"/>
      <c r="E27" s="149"/>
      <c r="F27" s="676"/>
      <c r="G27" s="676"/>
      <c r="H27" s="676"/>
      <c r="I27" s="36"/>
      <c r="J27" s="36"/>
      <c r="K27" s="47"/>
      <c r="L27" s="47"/>
      <c r="M27" s="47"/>
      <c r="N27" s="36"/>
      <c r="O27" s="36"/>
      <c r="P27" s="47"/>
      <c r="Q27" s="47"/>
      <c r="R27" s="47"/>
      <c r="S27" s="36"/>
      <c r="T27" s="36"/>
      <c r="U27" s="47"/>
      <c r="V27" s="47"/>
      <c r="W27" s="47"/>
      <c r="X27" s="36"/>
      <c r="Y27" s="36"/>
      <c r="Z27" s="47"/>
      <c r="AA27" s="47"/>
      <c r="AB27" s="47"/>
      <c r="AC27" s="36"/>
      <c r="AD27" s="36"/>
      <c r="AE27" s="47"/>
      <c r="AF27" s="47"/>
      <c r="AG27" s="47"/>
      <c r="AH27" s="36"/>
      <c r="AI27" s="36"/>
      <c r="AJ27" s="47"/>
      <c r="AK27" s="47"/>
      <c r="AP27" s="47"/>
      <c r="AQ27" s="47"/>
      <c r="AT27" s="1388"/>
      <c r="AU27" s="1388"/>
      <c r="AV27" s="1388"/>
      <c r="AW27" s="139"/>
      <c r="AX27" s="139"/>
      <c r="AY27" s="676"/>
      <c r="AZ27" s="676"/>
      <c r="BA27" s="676"/>
      <c r="BB27" s="36"/>
      <c r="BC27" s="36"/>
      <c r="BD27" s="676"/>
      <c r="BE27" s="676"/>
      <c r="BF27" s="676"/>
      <c r="BG27" s="36"/>
      <c r="BH27" s="36"/>
    </row>
    <row r="28" spans="1:80" ht="36" hidden="1" customHeight="1" x14ac:dyDescent="0.25">
      <c r="A28" s="1395"/>
      <c r="B28" s="1395"/>
      <c r="C28" s="1395"/>
      <c r="D28" s="150"/>
      <c r="E28" s="149"/>
      <c r="F28" s="676"/>
      <c r="G28" s="676"/>
      <c r="H28" s="676"/>
      <c r="I28" s="140"/>
      <c r="J28" s="36"/>
      <c r="K28" s="47"/>
      <c r="L28" s="47"/>
      <c r="M28" s="47"/>
      <c r="N28" s="140"/>
      <c r="O28" s="36"/>
      <c r="P28" s="47"/>
      <c r="Q28" s="47"/>
      <c r="R28" s="47"/>
      <c r="S28" s="140"/>
      <c r="T28" s="36"/>
      <c r="U28" s="47"/>
      <c r="V28" s="47"/>
      <c r="W28" s="47"/>
      <c r="X28" s="140"/>
      <c r="Y28" s="36"/>
      <c r="Z28" s="47"/>
      <c r="AA28" s="47"/>
      <c r="AB28" s="47"/>
      <c r="AC28" s="140"/>
      <c r="AD28" s="36"/>
      <c r="AE28" s="47"/>
      <c r="AF28" s="47"/>
      <c r="AG28" s="47"/>
      <c r="AH28" s="36"/>
      <c r="AI28" s="36"/>
      <c r="AJ28" s="47"/>
      <c r="AK28" s="47"/>
      <c r="AP28" s="47"/>
      <c r="AQ28" s="47"/>
      <c r="AT28" s="1388"/>
      <c r="AU28" s="1388"/>
      <c r="AV28" s="1388"/>
      <c r="AW28" s="139"/>
      <c r="AX28" s="139"/>
      <c r="AY28" s="676"/>
      <c r="AZ28" s="676"/>
      <c r="BA28" s="676"/>
      <c r="BB28" s="36"/>
      <c r="BC28" s="36"/>
      <c r="BD28" s="676"/>
      <c r="BE28" s="676"/>
      <c r="BF28" s="676"/>
      <c r="BG28" s="36"/>
      <c r="BH28" s="36"/>
    </row>
    <row r="29" spans="1:80" ht="21" hidden="1" customHeight="1" x14ac:dyDescent="0.25">
      <c r="A29" s="1395"/>
      <c r="B29" s="1395"/>
      <c r="C29" s="1395"/>
      <c r="D29" s="149"/>
      <c r="E29" s="149"/>
      <c r="F29" s="676"/>
      <c r="G29" s="676"/>
      <c r="H29" s="676"/>
      <c r="I29" s="36"/>
      <c r="J29" s="36"/>
      <c r="K29" s="47"/>
      <c r="L29" s="47"/>
      <c r="M29" s="47"/>
      <c r="N29" s="36"/>
      <c r="O29" s="36"/>
      <c r="P29" s="47"/>
      <c r="Q29" s="47"/>
      <c r="R29" s="47"/>
      <c r="S29" s="36"/>
      <c r="T29" s="36"/>
      <c r="U29" s="47"/>
      <c r="V29" s="47"/>
      <c r="W29" s="47"/>
      <c r="X29" s="36"/>
      <c r="Y29" s="36"/>
      <c r="Z29" s="47"/>
      <c r="AA29" s="47"/>
      <c r="AB29" s="47"/>
      <c r="AC29" s="36"/>
      <c r="AD29" s="36"/>
      <c r="AE29" s="47"/>
      <c r="AF29" s="47"/>
      <c r="AG29" s="47"/>
      <c r="AH29" s="36"/>
      <c r="AI29" s="36"/>
      <c r="AJ29" s="47"/>
      <c r="AK29" s="47"/>
      <c r="AP29" s="47"/>
      <c r="AQ29" s="47"/>
      <c r="AR29" s="36"/>
      <c r="AS29" s="36"/>
      <c r="AT29" s="1388"/>
      <c r="AU29" s="1388"/>
      <c r="AV29" s="1388"/>
      <c r="AW29" s="139"/>
      <c r="AX29" s="139"/>
      <c r="AY29" s="676"/>
      <c r="AZ29" s="676"/>
      <c r="BA29" s="676"/>
      <c r="BB29" s="36"/>
      <c r="BC29" s="36"/>
      <c r="BD29" s="676"/>
      <c r="BE29" s="676"/>
      <c r="BF29" s="676"/>
      <c r="BG29" s="36"/>
      <c r="BH29" s="36"/>
    </row>
    <row r="30" spans="1:80" ht="60.75" customHeight="1" x14ac:dyDescent="0.25">
      <c r="A30" s="1400"/>
      <c r="B30" s="1401"/>
      <c r="C30" s="1401"/>
      <c r="D30" s="1401"/>
      <c r="E30" s="1401"/>
      <c r="F30" s="1370"/>
      <c r="G30" s="1371"/>
      <c r="H30" s="1371"/>
      <c r="I30" s="1371"/>
      <c r="J30" s="1371"/>
      <c r="K30" s="230"/>
      <c r="L30" s="142"/>
      <c r="M30" s="142"/>
      <c r="N30" s="142"/>
      <c r="O30" s="142"/>
      <c r="P30" s="230"/>
      <c r="Q30" s="142"/>
      <c r="R30" s="142"/>
      <c r="S30" s="142"/>
      <c r="T30" s="142"/>
      <c r="U30" s="230"/>
      <c r="V30" s="142"/>
      <c r="W30" s="142"/>
      <c r="X30" s="142"/>
      <c r="Y30" s="142"/>
      <c r="Z30" s="230"/>
      <c r="AA30" s="142"/>
      <c r="AB30" s="142"/>
      <c r="AC30" s="142"/>
      <c r="AD30" s="142"/>
      <c r="AE30" s="70"/>
      <c r="AF30" s="231"/>
      <c r="AG30" s="231"/>
      <c r="AH30" s="231"/>
      <c r="AI30" s="231"/>
      <c r="AJ30" s="70"/>
      <c r="AR30" s="132"/>
      <c r="AS30" s="132"/>
      <c r="AT30" s="677"/>
      <c r="AU30" s="1332"/>
      <c r="AV30" s="1332"/>
      <c r="AW30" s="1332"/>
      <c r="AX30" s="1332"/>
      <c r="AY30" s="677"/>
      <c r="AZ30" s="1332"/>
      <c r="BA30" s="1332"/>
      <c r="BB30" s="1332"/>
      <c r="BC30" s="1332"/>
      <c r="BD30" s="677" t="s">
        <v>254</v>
      </c>
      <c r="BE30" s="1332"/>
      <c r="BF30" s="1332"/>
      <c r="BG30" s="1332"/>
      <c r="BH30" s="1332"/>
      <c r="BM30" s="51"/>
      <c r="BN30" s="51"/>
      <c r="BO30" s="51"/>
      <c r="BP30" s="51"/>
      <c r="BQ30" s="51"/>
      <c r="BR30" s="51"/>
      <c r="BW30" s="27"/>
      <c r="BX30" s="27"/>
      <c r="BY30" s="27"/>
      <c r="BZ30" s="27"/>
      <c r="CA30" s="27"/>
      <c r="CB30" s="27"/>
    </row>
    <row r="31" spans="1:80" ht="54.75" customHeight="1" x14ac:dyDescent="0.25">
      <c r="A31" s="1400"/>
      <c r="B31" s="158"/>
      <c r="C31" s="159"/>
      <c r="D31" s="160"/>
      <c r="E31" s="161"/>
      <c r="F31" s="1370"/>
      <c r="G31" s="32"/>
      <c r="H31" s="33"/>
      <c r="I31" s="34"/>
      <c r="J31" s="35"/>
      <c r="K31" s="230"/>
      <c r="L31" s="32"/>
      <c r="M31" s="33"/>
      <c r="N31" s="34"/>
      <c r="O31" s="35"/>
      <c r="P31" s="230"/>
      <c r="Q31" s="32"/>
      <c r="R31" s="33"/>
      <c r="S31" s="34"/>
      <c r="T31" s="35"/>
      <c r="U31" s="230"/>
      <c r="V31" s="32"/>
      <c r="W31" s="33"/>
      <c r="X31" s="34"/>
      <c r="Y31" s="35"/>
      <c r="Z31" s="230"/>
      <c r="AA31" s="32"/>
      <c r="AB31" s="33"/>
      <c r="AC31" s="34"/>
      <c r="AD31" s="35"/>
      <c r="AE31" s="70"/>
      <c r="AF31" s="137"/>
      <c r="AG31" s="33"/>
      <c r="AH31" s="138"/>
      <c r="AI31" s="35"/>
      <c r="AJ31" s="70"/>
      <c r="AK31" s="137"/>
      <c r="AL31" s="33"/>
      <c r="AM31" s="138"/>
      <c r="AN31" s="35"/>
      <c r="AO31" s="70"/>
      <c r="AP31" s="137"/>
      <c r="AQ31" s="33"/>
      <c r="AR31" s="138"/>
      <c r="AS31" s="35"/>
      <c r="AT31" s="677"/>
      <c r="AU31" s="137"/>
      <c r="AV31" s="33"/>
      <c r="AW31" s="138"/>
      <c r="AX31" s="35"/>
      <c r="AY31" s="677"/>
      <c r="AZ31" s="137" t="s">
        <v>16</v>
      </c>
      <c r="BA31" s="33"/>
      <c r="BB31" s="138"/>
      <c r="BC31" s="35"/>
      <c r="BD31" s="677"/>
      <c r="BE31" s="137" t="s">
        <v>15</v>
      </c>
      <c r="BF31" s="33"/>
      <c r="BG31" s="138"/>
      <c r="BH31" s="35"/>
      <c r="BM31" s="51"/>
      <c r="BN31" s="51"/>
      <c r="BO31" s="51"/>
      <c r="BP31" s="51"/>
      <c r="BQ31" s="51"/>
      <c r="BR31" s="51"/>
      <c r="BW31" s="27"/>
      <c r="BX31" s="27"/>
      <c r="BY31" s="27"/>
      <c r="BZ31" s="27"/>
      <c r="CA31" s="27"/>
      <c r="CB31" s="27"/>
    </row>
    <row r="32" spans="1:80" ht="59.25" customHeight="1" x14ac:dyDescent="0.25">
      <c r="A32" s="31"/>
      <c r="B32" s="162"/>
      <c r="C32" s="162"/>
      <c r="D32" s="162"/>
      <c r="F32" s="163"/>
      <c r="G32" s="163"/>
      <c r="H32" s="1413" cm="1">
        <f t="array" aca="1" ref="H32" ca="1">SUM(COUNTIF(INDIRECT({"L6","Q6","V6","AA6","AF6","AK6"}),"&gt;0"))</f>
        <v>6</v>
      </c>
      <c r="I32" s="1413"/>
      <c r="J32" s="1413"/>
      <c r="K32" s="164"/>
      <c r="L32" s="160"/>
      <c r="M32" s="160"/>
      <c r="N32" s="160"/>
      <c r="O32" s="160"/>
      <c r="P32" s="160"/>
      <c r="Q32" s="1414" t="s">
        <v>255</v>
      </c>
      <c r="R32" s="1414"/>
      <c r="S32" s="1414"/>
      <c r="T32" s="1414"/>
      <c r="U32" s="1414"/>
      <c r="V32" s="1414"/>
      <c r="W32" s="165"/>
      <c r="X32" s="1409" t="s">
        <v>256</v>
      </c>
      <c r="Y32" s="1409"/>
      <c r="Z32" s="1409"/>
      <c r="AA32" s="1409"/>
      <c r="AB32" s="1409"/>
      <c r="AC32" s="1691">
        <f>L7+Q7+V7+AA7+AF7+AK7</f>
        <v>78.713999999999999</v>
      </c>
      <c r="AD32" s="1691"/>
      <c r="AE32" s="1691"/>
      <c r="AF32" s="1691"/>
      <c r="AG32" s="1691"/>
      <c r="AH32" s="1691"/>
      <c r="AI32" s="166"/>
      <c r="AJ32" s="1416" t="s">
        <v>119</v>
      </c>
      <c r="AK32" s="1416"/>
      <c r="AL32" s="1416"/>
      <c r="AM32" s="1416"/>
      <c r="AN32" s="1416"/>
      <c r="AO32" s="1417">
        <f>N7+S7+X7+AC7+AH7+AM7</f>
        <v>9</v>
      </c>
      <c r="AP32" s="1417"/>
      <c r="AQ32" s="1417"/>
      <c r="AR32" s="1417"/>
      <c r="AS32" s="1417"/>
      <c r="AT32" s="1402" t="s">
        <v>120</v>
      </c>
      <c r="AU32" s="1402"/>
      <c r="AV32" s="1402"/>
      <c r="AW32" s="1402"/>
      <c r="AX32" s="127"/>
      <c r="AY32" s="72"/>
      <c r="AZ32" s="72"/>
      <c r="BA32" s="72"/>
      <c r="BB32" s="72"/>
      <c r="BC32" s="72"/>
      <c r="BD32" s="72"/>
      <c r="BE32" t="s">
        <v>16</v>
      </c>
      <c r="BF32" s="167"/>
      <c r="BG32" s="167"/>
      <c r="BH32" s="167"/>
      <c r="BM32" s="51"/>
      <c r="BN32" s="51"/>
      <c r="BO32" s="51"/>
      <c r="BP32" s="51"/>
      <c r="BQ32" s="51"/>
      <c r="BR32" s="51"/>
      <c r="BW32" s="27"/>
      <c r="BX32" s="27"/>
      <c r="BY32" s="27"/>
      <c r="BZ32" s="27"/>
      <c r="CA32" s="27"/>
      <c r="CB32" s="27"/>
    </row>
    <row r="33" spans="1:80" ht="19.5" customHeight="1" x14ac:dyDescent="0.25">
      <c r="B33" s="162"/>
      <c r="C33" s="162"/>
      <c r="D33" s="162"/>
      <c r="E33" s="163"/>
      <c r="F33" s="163"/>
      <c r="G33" s="163"/>
      <c r="H33" s="1413"/>
      <c r="I33" s="1413"/>
      <c r="J33" s="1413"/>
      <c r="K33" s="168"/>
      <c r="L33" s="160"/>
      <c r="M33" s="160"/>
      <c r="N33" s="160"/>
      <c r="O33" s="160"/>
      <c r="P33" s="160"/>
      <c r="Q33" s="1414"/>
      <c r="R33" s="1414"/>
      <c r="S33" s="1414"/>
      <c r="T33" s="1414"/>
      <c r="U33" s="1414"/>
      <c r="V33" s="1414"/>
      <c r="W33" s="169"/>
      <c r="X33" s="1409"/>
      <c r="Y33" s="1409"/>
      <c r="Z33" s="1409"/>
      <c r="AA33" s="1409"/>
      <c r="AB33" s="1409"/>
      <c r="AC33" s="1691"/>
      <c r="AD33" s="1691"/>
      <c r="AE33" s="1691"/>
      <c r="AF33" s="1691"/>
      <c r="AG33" s="1691"/>
      <c r="AH33" s="1691"/>
      <c r="AI33" s="166"/>
      <c r="AJ33" s="1416"/>
      <c r="AK33" s="1416"/>
      <c r="AL33" s="1416"/>
      <c r="AM33" s="1416"/>
      <c r="AN33" s="1416"/>
      <c r="AO33" s="1417"/>
      <c r="AP33" s="1417"/>
      <c r="AQ33" s="1417"/>
      <c r="AR33" s="1417"/>
      <c r="AS33" s="1417"/>
      <c r="AT33" s="1402"/>
      <c r="AU33" s="1402"/>
      <c r="AV33" s="1402"/>
      <c r="AW33" s="1402"/>
      <c r="BI33" s="50"/>
      <c r="BJ33" s="50"/>
      <c r="BM33" s="51"/>
      <c r="BN33" s="51"/>
      <c r="BO33" s="51"/>
      <c r="BP33" s="51"/>
      <c r="BQ33" s="51"/>
      <c r="BR33" s="51"/>
      <c r="BS33" s="27"/>
      <c r="BT33" s="27"/>
      <c r="BU33" s="27"/>
      <c r="BW33" s="27"/>
      <c r="BX33" s="27"/>
      <c r="BY33" s="27"/>
      <c r="BZ33" s="27"/>
      <c r="CA33" s="27"/>
      <c r="CB33" s="27"/>
    </row>
    <row r="34" spans="1:80" ht="2.25" hidden="1" customHeight="1" x14ac:dyDescent="0.25">
      <c r="B34" s="162"/>
      <c r="C34" s="162"/>
      <c r="D34" s="162"/>
      <c r="E34" s="163"/>
      <c r="F34" s="163"/>
      <c r="G34" s="163"/>
      <c r="H34" s="168"/>
      <c r="I34" s="168"/>
      <c r="J34" s="168"/>
      <c r="K34" s="168"/>
      <c r="L34" s="160"/>
      <c r="M34" s="160"/>
      <c r="N34" s="160"/>
      <c r="O34" s="160"/>
      <c r="P34" s="160"/>
      <c r="Q34" s="1414"/>
      <c r="R34" s="1414"/>
      <c r="S34" s="1414"/>
      <c r="T34" s="1414"/>
      <c r="U34" s="1414"/>
      <c r="V34" s="1414"/>
      <c r="W34" s="169"/>
      <c r="X34" s="1409"/>
      <c r="Y34" s="1409"/>
      <c r="Z34" s="1409"/>
      <c r="AA34" s="1409"/>
      <c r="AB34" s="1409"/>
      <c r="AC34" s="1691"/>
      <c r="AD34" s="1691"/>
      <c r="AE34" s="1691"/>
      <c r="AF34" s="1691"/>
      <c r="AG34" s="1691"/>
      <c r="AH34" s="1691"/>
      <c r="AI34" s="166"/>
      <c r="AJ34" s="1416"/>
      <c r="AK34" s="1416"/>
      <c r="AL34" s="1416"/>
      <c r="AM34" s="1416"/>
      <c r="AN34" s="1416"/>
      <c r="AO34" s="1403">
        <f>AO32*1.5</f>
        <v>13.5</v>
      </c>
      <c r="AP34" s="1403"/>
      <c r="AQ34" s="1403"/>
      <c r="AR34" s="1403"/>
      <c r="AS34" s="1403"/>
      <c r="AT34" s="1403"/>
      <c r="AU34" s="1403"/>
      <c r="AV34" s="1404" t="s">
        <v>121</v>
      </c>
      <c r="AW34" s="1404"/>
      <c r="BI34" s="50"/>
      <c r="BJ34" s="50"/>
      <c r="BM34" s="27"/>
      <c r="BN34" s="27"/>
      <c r="BO34" s="27"/>
      <c r="BP34" s="27"/>
      <c r="BQ34" s="27"/>
      <c r="BR34" s="27"/>
      <c r="BS34" s="27"/>
      <c r="BT34" s="27"/>
      <c r="BU34" s="27"/>
      <c r="BW34" s="27"/>
      <c r="BX34" s="27"/>
      <c r="BY34" s="27"/>
      <c r="BZ34" s="27"/>
      <c r="CA34" s="27"/>
      <c r="CB34" s="27"/>
    </row>
    <row r="35" spans="1:80" ht="54.75" customHeight="1" x14ac:dyDescent="0.25">
      <c r="B35" s="162"/>
      <c r="C35" s="162"/>
      <c r="D35" s="162"/>
      <c r="E35" s="163"/>
      <c r="F35" s="163"/>
      <c r="G35" s="163"/>
      <c r="H35" s="1405" cm="1">
        <f t="array" aca="1" ref="H35" ca="1">SUM(COUNTIF(INDIRECT({"L7","Q7","V7","AA7","AF7","AK7"}),"&gt;0"))</f>
        <v>6</v>
      </c>
      <c r="I35" s="1405"/>
      <c r="J35" s="1405"/>
      <c r="K35" s="168"/>
      <c r="L35" s="160"/>
      <c r="M35" s="160"/>
      <c r="N35" s="160"/>
      <c r="O35" s="160"/>
      <c r="P35" s="160"/>
      <c r="Q35" s="3472" t="s">
        <v>13</v>
      </c>
      <c r="R35" s="3160"/>
      <c r="S35" s="3160"/>
      <c r="T35" s="3160"/>
      <c r="U35" s="3160"/>
      <c r="V35" s="3160"/>
      <c r="W35" s="169"/>
      <c r="X35" s="1409"/>
      <c r="Y35" s="1409"/>
      <c r="Z35" s="1409"/>
      <c r="AA35" s="1409"/>
      <c r="AB35" s="1409"/>
      <c r="AC35" s="1691"/>
      <c r="AD35" s="1691"/>
      <c r="AE35" s="1691"/>
      <c r="AF35" s="1691"/>
      <c r="AG35" s="1691"/>
      <c r="AH35" s="1691"/>
      <c r="AI35" s="166"/>
      <c r="AJ35" s="1416"/>
      <c r="AK35" s="1416"/>
      <c r="AL35" s="1416"/>
      <c r="AM35" s="1416"/>
      <c r="AN35" s="1416"/>
      <c r="AO35" s="1403"/>
      <c r="AP35" s="1403"/>
      <c r="AQ35" s="1403"/>
      <c r="AR35" s="1403"/>
      <c r="AS35" s="1403"/>
      <c r="AT35" s="1403"/>
      <c r="AU35" s="1403"/>
      <c r="AV35" s="1404"/>
      <c r="AW35" s="1404"/>
      <c r="BI35" s="50"/>
      <c r="BJ35" s="50"/>
      <c r="BM35" s="27"/>
      <c r="BN35" s="27"/>
      <c r="BO35" s="27"/>
      <c r="BP35" s="27"/>
      <c r="BQ35" s="27"/>
      <c r="BR35" s="27"/>
      <c r="BS35" s="27"/>
      <c r="BT35" s="27"/>
      <c r="BU35" s="27"/>
      <c r="BW35" s="27"/>
      <c r="BX35" s="27"/>
      <c r="BY35" s="27"/>
      <c r="BZ35" s="27"/>
      <c r="CA35" s="27"/>
      <c r="CB35" s="27"/>
    </row>
    <row r="36" spans="1:80" ht="30.75" customHeight="1" x14ac:dyDescent="0.25">
      <c r="B36" s="162"/>
      <c r="C36" s="162"/>
      <c r="D36" s="162"/>
      <c r="E36" s="162"/>
      <c r="F36" s="162"/>
      <c r="G36" s="164"/>
      <c r="H36" s="1408"/>
      <c r="I36" s="1408"/>
      <c r="J36" s="1408"/>
      <c r="K36" s="168"/>
      <c r="L36" s="160"/>
      <c r="M36" s="160"/>
      <c r="N36" s="160"/>
      <c r="O36" s="160"/>
      <c r="P36" s="160"/>
      <c r="Q36" s="3160"/>
      <c r="R36" s="3160"/>
      <c r="S36" s="3160"/>
      <c r="T36" s="3160"/>
      <c r="U36" s="3160"/>
      <c r="V36" s="3160"/>
      <c r="W36" s="169"/>
      <c r="X36" s="1409"/>
      <c r="Y36" s="1409"/>
      <c r="Z36" s="1409"/>
      <c r="AA36" s="1409"/>
      <c r="AB36" s="1409"/>
      <c r="AC36" s="1691"/>
      <c r="AD36" s="1691"/>
      <c r="AE36" s="1691"/>
      <c r="AF36" s="1691"/>
      <c r="AG36" s="1691"/>
      <c r="AH36" s="1691"/>
      <c r="AI36" s="166"/>
      <c r="AJ36" s="1416"/>
      <c r="AK36" s="1416"/>
      <c r="AL36" s="1416"/>
      <c r="AM36" s="1416"/>
      <c r="AN36" s="1416"/>
      <c r="AO36" s="1403"/>
      <c r="AP36" s="1403"/>
      <c r="AQ36" s="1403"/>
      <c r="AR36" s="1403"/>
      <c r="AS36" s="1403"/>
      <c r="AT36" s="1403"/>
      <c r="AU36" s="1403"/>
      <c r="AV36" s="1404"/>
      <c r="AW36" s="1404"/>
      <c r="BI36" s="50"/>
      <c r="BJ36" s="50"/>
      <c r="BM36" s="27"/>
      <c r="BN36" s="27"/>
      <c r="BO36" s="27"/>
      <c r="BP36" s="27"/>
      <c r="BQ36" s="27"/>
      <c r="BR36" s="27"/>
      <c r="BS36" s="27"/>
      <c r="BT36" s="27"/>
      <c r="BU36" s="27"/>
      <c r="BW36" s="27"/>
      <c r="BX36" s="27"/>
      <c r="BY36" s="27"/>
      <c r="BZ36" s="27"/>
      <c r="CA36" s="27"/>
      <c r="CB36" s="27"/>
    </row>
    <row r="37" spans="1:80" ht="15" customHeight="1" x14ac:dyDescent="0.25">
      <c r="B37" s="162"/>
      <c r="C37" s="162"/>
      <c r="D37" s="162"/>
      <c r="E37" s="162"/>
      <c r="F37" s="162"/>
      <c r="G37" s="164"/>
      <c r="H37" s="1408"/>
      <c r="I37" s="1408"/>
      <c r="J37" s="1408"/>
      <c r="K37" s="164"/>
      <c r="L37" s="165"/>
      <c r="M37" s="165"/>
      <c r="N37" s="165"/>
      <c r="O37" s="165"/>
      <c r="P37" s="165"/>
      <c r="Q37" s="3160"/>
      <c r="R37" s="3160"/>
      <c r="S37" s="3160"/>
      <c r="T37" s="3160"/>
      <c r="U37" s="3160"/>
      <c r="V37" s="3160"/>
      <c r="W37" s="165"/>
      <c r="X37" s="1409" t="s">
        <v>257</v>
      </c>
      <c r="Y37" s="1409"/>
      <c r="Z37" s="1409"/>
      <c r="AA37" s="1409"/>
      <c r="AB37" s="1409"/>
      <c r="AC37" s="1410">
        <f>AC32-AD45</f>
        <v>4.0000000000048885E-3</v>
      </c>
      <c r="AD37" s="1410"/>
      <c r="AE37" s="1410"/>
      <c r="AF37" s="1410"/>
      <c r="AG37" s="1410"/>
      <c r="AH37" s="1410"/>
      <c r="AI37" s="166"/>
      <c r="AJ37" s="1416"/>
      <c r="AK37" s="1416"/>
      <c r="AL37" s="1416"/>
      <c r="AM37" s="1416"/>
      <c r="AN37" s="1416"/>
      <c r="AO37" s="1403"/>
      <c r="AP37" s="1403"/>
      <c r="AQ37" s="1403"/>
      <c r="AR37" s="1403"/>
      <c r="AS37" s="1403"/>
      <c r="AT37" s="1403"/>
      <c r="AU37" s="1403"/>
      <c r="AV37" s="1404"/>
      <c r="AW37" s="1404"/>
      <c r="BI37" s="53"/>
      <c r="BJ37" s="53"/>
    </row>
    <row r="38" spans="1:80" ht="28.5" customHeight="1" x14ac:dyDescent="0.25">
      <c r="B38" s="162"/>
      <c r="C38" s="162"/>
      <c r="D38" s="162"/>
      <c r="E38" s="162"/>
      <c r="F38" s="162"/>
      <c r="G38" s="164"/>
      <c r="H38" s="1411"/>
      <c r="I38" s="1411"/>
      <c r="J38" s="1411"/>
      <c r="K38" s="168"/>
      <c r="L38" s="165"/>
      <c r="M38" s="165"/>
      <c r="N38" s="165"/>
      <c r="O38" s="165"/>
      <c r="P38" s="165"/>
      <c r="Q38" s="3160"/>
      <c r="R38" s="3160"/>
      <c r="S38" s="3160"/>
      <c r="T38" s="3160"/>
      <c r="U38" s="3160"/>
      <c r="V38" s="3160"/>
      <c r="W38" s="165"/>
      <c r="X38" s="1409"/>
      <c r="Y38" s="1409"/>
      <c r="Z38" s="1409"/>
      <c r="AA38" s="1409"/>
      <c r="AB38" s="1409"/>
      <c r="AC38" s="1410"/>
      <c r="AD38" s="1410"/>
      <c r="AE38" s="1410"/>
      <c r="AF38" s="1410"/>
      <c r="AG38" s="1410"/>
      <c r="AH38" s="1410"/>
      <c r="AI38" s="166"/>
      <c r="AJ38" s="1416"/>
      <c r="AK38" s="1416"/>
      <c r="AL38" s="1416"/>
      <c r="AM38" s="1416"/>
      <c r="AN38" s="1416"/>
      <c r="AO38" s="1403"/>
      <c r="AP38" s="1403"/>
      <c r="AQ38" s="1403"/>
      <c r="AR38" s="1403"/>
      <c r="AS38" s="1403"/>
      <c r="AT38" s="1403"/>
      <c r="AU38" s="1403"/>
      <c r="AV38" s="1404"/>
      <c r="AW38" s="1404"/>
      <c r="BI38" s="53"/>
      <c r="BJ38" s="53"/>
    </row>
    <row r="39" spans="1:80" ht="15" customHeight="1" x14ac:dyDescent="0.25">
      <c r="B39" s="162"/>
      <c r="C39" s="162"/>
      <c r="D39" s="162"/>
      <c r="E39" s="162"/>
      <c r="F39" s="162"/>
      <c r="G39" s="164"/>
      <c r="H39" s="1411"/>
      <c r="I39" s="1411"/>
      <c r="J39" s="1411"/>
      <c r="K39" s="168"/>
      <c r="L39" s="165"/>
      <c r="M39" s="165"/>
      <c r="N39" s="165"/>
      <c r="O39" s="165"/>
      <c r="P39" s="165"/>
      <c r="Q39" s="3160"/>
      <c r="R39" s="3160"/>
      <c r="S39" s="3160"/>
      <c r="T39" s="3160"/>
      <c r="U39" s="3160"/>
      <c r="V39" s="3160"/>
      <c r="W39" s="165"/>
      <c r="X39" s="1409"/>
      <c r="Y39" s="1409"/>
      <c r="Z39" s="1409"/>
      <c r="AA39" s="1409"/>
      <c r="AB39" s="1409"/>
      <c r="AC39" s="1410"/>
      <c r="AD39" s="1410"/>
      <c r="AE39" s="1410"/>
      <c r="AF39" s="1410"/>
      <c r="AG39" s="1410"/>
      <c r="AH39" s="1410"/>
      <c r="AI39" s="166"/>
      <c r="AJ39" s="1416"/>
      <c r="AK39" s="1416"/>
      <c r="AL39" s="1416"/>
      <c r="AM39" s="1416"/>
      <c r="AN39" s="1416"/>
      <c r="AO39" s="1403"/>
      <c r="AP39" s="1403"/>
      <c r="AQ39" s="1403"/>
      <c r="AR39" s="1403"/>
      <c r="AS39" s="1403"/>
      <c r="AT39" s="1403"/>
      <c r="AU39" s="1403"/>
      <c r="AV39" s="1404"/>
      <c r="AW39" s="1404"/>
      <c r="BI39" s="53"/>
      <c r="BJ39" s="53"/>
    </row>
    <row r="40" spans="1:80" ht="42.75" customHeight="1" x14ac:dyDescent="0.35">
      <c r="A40" s="54"/>
      <c r="B40" s="162"/>
      <c r="C40" s="162"/>
      <c r="D40" s="162"/>
      <c r="E40" s="162"/>
      <c r="F40" s="162"/>
      <c r="G40" s="164"/>
      <c r="H40" s="1411"/>
      <c r="I40" s="1411"/>
      <c r="J40" s="1411"/>
      <c r="K40" s="168"/>
      <c r="L40" s="165"/>
      <c r="M40" s="165"/>
      <c r="N40" s="165"/>
      <c r="O40" s="165"/>
      <c r="P40" s="165"/>
      <c r="Q40" s="3160"/>
      <c r="R40" s="3160"/>
      <c r="S40" s="3160"/>
      <c r="T40" s="3160"/>
      <c r="U40" s="3160"/>
      <c r="V40" s="3160"/>
      <c r="W40" s="165"/>
      <c r="X40" s="1409"/>
      <c r="Y40" s="1409"/>
      <c r="Z40" s="1409"/>
      <c r="AA40" s="1409"/>
      <c r="AB40" s="1409"/>
      <c r="AC40" s="1410"/>
      <c r="AD40" s="1410"/>
      <c r="AE40" s="1410"/>
      <c r="AF40" s="1410"/>
      <c r="AG40" s="1410"/>
      <c r="AH40" s="1410"/>
      <c r="AI40" s="166"/>
      <c r="AJ40" s="1416"/>
      <c r="AK40" s="1416"/>
      <c r="AL40" s="1416"/>
      <c r="AM40" s="1416"/>
      <c r="AN40" s="1416"/>
      <c r="AO40" s="1403"/>
      <c r="AP40" s="1403"/>
      <c r="AQ40" s="1403"/>
      <c r="AR40" s="1403"/>
      <c r="AS40" s="1403"/>
      <c r="AT40" s="1403"/>
      <c r="AU40" s="1403"/>
      <c r="AV40" s="1404"/>
      <c r="AW40" s="1404"/>
      <c r="BI40" s="53"/>
      <c r="BJ40" s="53"/>
    </row>
    <row r="41" spans="1:80" ht="38.25" customHeight="1" x14ac:dyDescent="0.35">
      <c r="A41" s="54"/>
      <c r="B41" s="162"/>
      <c r="C41" s="162"/>
      <c r="D41" s="162"/>
      <c r="E41" s="162"/>
      <c r="F41" s="162"/>
      <c r="G41" s="164"/>
      <c r="H41" s="1412"/>
      <c r="I41" s="1412"/>
      <c r="J41" s="1412"/>
      <c r="K41" s="168"/>
      <c r="L41" s="175"/>
      <c r="M41" s="175"/>
      <c r="N41" s="175"/>
      <c r="O41" s="175"/>
      <c r="P41" s="175"/>
      <c r="Q41" s="3160"/>
      <c r="R41" s="3160"/>
      <c r="S41" s="3160"/>
      <c r="T41" s="3160"/>
      <c r="U41" s="3160"/>
      <c r="V41" s="3160"/>
      <c r="W41" s="176"/>
      <c r="X41" s="1409"/>
      <c r="Y41" s="1409"/>
      <c r="Z41" s="1409"/>
      <c r="AA41" s="1409"/>
      <c r="AB41" s="1409"/>
      <c r="AC41" s="1410"/>
      <c r="AD41" s="1410"/>
      <c r="AE41" s="1410"/>
      <c r="AF41" s="1410"/>
      <c r="AG41" s="1410"/>
      <c r="AH41" s="1410"/>
      <c r="AI41" s="166"/>
      <c r="AJ41" s="1416"/>
      <c r="AK41" s="1416"/>
      <c r="AL41" s="1416"/>
      <c r="AM41" s="1416"/>
      <c r="AN41" s="1416"/>
      <c r="AO41" s="1418"/>
      <c r="AP41" s="1418"/>
      <c r="AQ41" s="1418"/>
      <c r="AR41" s="1418"/>
      <c r="AS41" s="1418"/>
      <c r="AT41" s="1418"/>
      <c r="AU41" s="1418"/>
      <c r="AV41" s="1418"/>
      <c r="AW41" s="1418"/>
      <c r="AX41" s="54"/>
      <c r="AY41" s="54"/>
      <c r="BI41" s="170"/>
      <c r="BJ41" s="170"/>
    </row>
    <row r="42" spans="1:80" ht="60" customHeight="1" x14ac:dyDescent="0.35">
      <c r="H42" s="1412"/>
      <c r="I42" s="1412"/>
      <c r="J42" s="1412"/>
      <c r="L42" s="175"/>
      <c r="M42" s="175"/>
      <c r="N42" s="175"/>
      <c r="O42" s="175"/>
      <c r="P42" s="175"/>
      <c r="Q42" s="3160"/>
      <c r="R42" s="3160"/>
      <c r="S42" s="3160"/>
      <c r="T42" s="3160"/>
      <c r="U42" s="3160"/>
      <c r="V42" s="3160"/>
      <c r="W42" s="176"/>
      <c r="X42" s="1409"/>
      <c r="Y42" s="1409"/>
      <c r="Z42" s="1409"/>
      <c r="AA42" s="1409"/>
      <c r="AB42" s="1409"/>
      <c r="AC42" s="1410"/>
      <c r="AD42" s="1410"/>
      <c r="AE42" s="1410"/>
      <c r="AF42" s="1410"/>
      <c r="AG42" s="1410"/>
      <c r="AH42" s="1410"/>
      <c r="AI42" s="166"/>
      <c r="AJ42" s="1416"/>
      <c r="AK42" s="1416"/>
      <c r="AL42" s="1416"/>
      <c r="AM42" s="1416"/>
      <c r="AN42" s="1416"/>
      <c r="AO42" s="1418"/>
      <c r="AP42" s="1418"/>
      <c r="AQ42" s="1418"/>
      <c r="AR42" s="1418"/>
      <c r="AS42" s="1418"/>
      <c r="AT42" s="1418"/>
      <c r="AU42" s="1418"/>
      <c r="AV42" s="1418"/>
      <c r="AW42" s="1418"/>
      <c r="AX42" s="54"/>
      <c r="AY42" s="54"/>
      <c r="BI42" s="170"/>
      <c r="BJ42" s="170"/>
    </row>
    <row r="43" spans="1:80" ht="15" customHeight="1" x14ac:dyDescent="0.35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1"/>
      <c r="AI43" s="171"/>
      <c r="AJ43" s="171"/>
      <c r="AK43" s="171"/>
      <c r="AL43" s="171"/>
      <c r="AM43" s="171"/>
      <c r="AN43" s="171"/>
      <c r="AO43" s="172"/>
      <c r="AP43" s="172"/>
      <c r="AQ43" s="172"/>
      <c r="AR43" s="172"/>
      <c r="AS43" s="172"/>
      <c r="AT43" s="172"/>
      <c r="AU43" s="172"/>
      <c r="AV43" s="172"/>
      <c r="AW43" s="172"/>
    </row>
    <row r="44" spans="1:80" ht="15.75" customHeight="1" thickBot="1" x14ac:dyDescent="0.4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3"/>
      <c r="Y44" s="171"/>
      <c r="Z44" s="171"/>
      <c r="AA44" s="171"/>
      <c r="AB44" s="171"/>
      <c r="AC44" s="171"/>
      <c r="AD44" s="171"/>
      <c r="AE44" s="171"/>
      <c r="AF44" s="171"/>
      <c r="AG44" s="171"/>
      <c r="AH44" s="171"/>
      <c r="AI44" s="171"/>
      <c r="AJ44" s="171"/>
      <c r="AK44" s="171"/>
      <c r="AL44" s="171"/>
      <c r="AM44" s="171"/>
      <c r="AN44" s="171"/>
      <c r="AO44" s="172"/>
      <c r="AP44" s="172"/>
      <c r="AQ44" s="172"/>
      <c r="AR44" s="172"/>
      <c r="AS44" s="172"/>
      <c r="AT44" s="172"/>
      <c r="AU44" s="172"/>
      <c r="AV44" s="172"/>
      <c r="AW44" s="172"/>
    </row>
    <row r="45" spans="1:80" ht="15.75" thickTop="1" x14ac:dyDescent="0.25">
      <c r="J45" t="s">
        <v>16</v>
      </c>
      <c r="AD45" s="775">
        <v>78.709999999999994</v>
      </c>
      <c r="AE45" s="776"/>
      <c r="AF45" s="776"/>
      <c r="AG45" s="776"/>
      <c r="AH45" s="777"/>
      <c r="AL45" s="727" t="s">
        <v>122</v>
      </c>
      <c r="AM45" s="727"/>
      <c r="AN45" s="727"/>
      <c r="AO45" s="727" t="s">
        <v>123</v>
      </c>
      <c r="AP45" s="727"/>
      <c r="AQ45" s="727"/>
      <c r="AR45" s="727" t="s">
        <v>124</v>
      </c>
      <c r="AS45" s="727"/>
      <c r="AT45" s="727" t="s">
        <v>125</v>
      </c>
      <c r="AU45" s="727"/>
      <c r="AY45" s="739" t="s">
        <v>126</v>
      </c>
      <c r="AZ45" s="740"/>
      <c r="BA45" s="740"/>
      <c r="BB45" s="740"/>
      <c r="BC45" s="740"/>
      <c r="BD45" s="740"/>
      <c r="BE45" s="740"/>
      <c r="BF45" s="740"/>
      <c r="BG45" s="740"/>
      <c r="BH45" s="741"/>
    </row>
    <row r="46" spans="1:80" x14ac:dyDescent="0.25">
      <c r="AD46" s="778"/>
      <c r="AE46" s="779"/>
      <c r="AF46" s="779"/>
      <c r="AG46" s="779"/>
      <c r="AH46" s="780"/>
      <c r="AL46" s="727"/>
      <c r="AM46" s="727"/>
      <c r="AN46" s="727"/>
      <c r="AO46" s="727"/>
      <c r="AP46" s="727"/>
      <c r="AQ46" s="727"/>
      <c r="AR46" s="727"/>
      <c r="AS46" s="727"/>
      <c r="AT46" s="727"/>
      <c r="AU46" s="727"/>
      <c r="AY46" s="750"/>
      <c r="AZ46" s="751"/>
      <c r="BA46" s="751"/>
      <c r="BB46" s="751"/>
      <c r="BC46" s="751"/>
      <c r="BD46" s="751"/>
      <c r="BE46" s="751"/>
      <c r="BF46" s="751"/>
      <c r="BG46" s="751"/>
      <c r="BH46" s="752"/>
    </row>
    <row r="47" spans="1:80" x14ac:dyDescent="0.25">
      <c r="AA47" s="56"/>
      <c r="AD47" s="778"/>
      <c r="AE47" s="779"/>
      <c r="AF47" s="779"/>
      <c r="AG47" s="779"/>
      <c r="AH47" s="780"/>
      <c r="AL47" s="727"/>
      <c r="AM47" s="727"/>
      <c r="AN47" s="727"/>
      <c r="AO47" s="727"/>
      <c r="AP47" s="727"/>
      <c r="AQ47" s="727"/>
      <c r="AR47" s="727"/>
      <c r="AS47" s="727"/>
      <c r="AT47" s="727"/>
      <c r="AU47" s="727"/>
      <c r="AY47" s="742"/>
      <c r="AZ47" s="743"/>
      <c r="BA47" s="743"/>
      <c r="BB47" s="743"/>
      <c r="BC47" s="743"/>
      <c r="BD47" s="743"/>
      <c r="BE47" s="743"/>
      <c r="BF47" s="743"/>
      <c r="BG47" s="743"/>
      <c r="BH47" s="744"/>
    </row>
    <row r="48" spans="1:80" x14ac:dyDescent="0.25">
      <c r="K48" t="s">
        <v>258</v>
      </c>
      <c r="AD48" s="778"/>
      <c r="AE48" s="779"/>
      <c r="AF48" s="779"/>
      <c r="AG48" s="779"/>
      <c r="AH48" s="780"/>
      <c r="AL48" s="727">
        <v>897</v>
      </c>
      <c r="AM48" s="727"/>
      <c r="AN48" s="727"/>
      <c r="AO48" s="727">
        <f ca="1">AT70</f>
        <v>897</v>
      </c>
      <c r="AP48" s="727"/>
      <c r="AQ48" s="727"/>
      <c r="AR48" s="1689">
        <f>AC32</f>
        <v>78.713999999999999</v>
      </c>
      <c r="AS48" s="1689"/>
      <c r="AT48" s="1689">
        <f>AC32+AO34</f>
        <v>92.213999999999999</v>
      </c>
      <c r="AU48" s="1689"/>
      <c r="AY48" s="727" t="s">
        <v>128</v>
      </c>
      <c r="AZ48" s="727"/>
      <c r="BA48" s="727"/>
      <c r="BB48" s="727"/>
      <c r="BC48" s="727"/>
      <c r="BD48" s="727"/>
      <c r="BE48" s="727"/>
      <c r="BF48" s="727"/>
      <c r="BG48" s="727"/>
      <c r="BH48" s="727"/>
    </row>
    <row r="49" spans="7:60" x14ac:dyDescent="0.25">
      <c r="G49" t="s">
        <v>16</v>
      </c>
      <c r="AD49" s="778"/>
      <c r="AE49" s="779"/>
      <c r="AF49" s="779"/>
      <c r="AG49" s="779"/>
      <c r="AH49" s="780"/>
      <c r="AL49" s="727"/>
      <c r="AM49" s="727"/>
      <c r="AN49" s="727"/>
      <c r="AO49" s="727"/>
      <c r="AP49" s="727"/>
      <c r="AQ49" s="727"/>
      <c r="AR49" s="1689"/>
      <c r="AS49" s="1689"/>
      <c r="AT49" s="1689"/>
      <c r="AU49" s="1689"/>
      <c r="AY49" s="727"/>
      <c r="AZ49" s="727"/>
      <c r="BA49" s="727"/>
      <c r="BB49" s="727"/>
      <c r="BC49" s="727"/>
      <c r="BD49" s="727"/>
      <c r="BE49" s="727"/>
      <c r="BF49" s="727"/>
      <c r="BG49" s="727"/>
      <c r="BH49" s="727"/>
    </row>
    <row r="50" spans="7:60" ht="15" customHeight="1" x14ac:dyDescent="0.25">
      <c r="AD50" s="778"/>
      <c r="AE50" s="779"/>
      <c r="AF50" s="779"/>
      <c r="AG50" s="779"/>
      <c r="AH50" s="780"/>
      <c r="AL50" s="727"/>
      <c r="AM50" s="727"/>
      <c r="AN50" s="727"/>
      <c r="AO50" s="727"/>
      <c r="AP50" s="727"/>
      <c r="AQ50" s="727"/>
      <c r="AR50" s="1689"/>
      <c r="AS50" s="1689"/>
      <c r="AT50" s="1689"/>
      <c r="AU50" s="1689"/>
      <c r="AY50" s="728">
        <f ca="1">AR48/((54*3.1415/59)*(AO48/3.281))</f>
        <v>0.10013524334361099</v>
      </c>
      <c r="AZ50" s="729"/>
      <c r="BA50" s="729"/>
      <c r="BB50" s="729"/>
      <c r="BC50" s="729"/>
      <c r="BD50" s="729"/>
      <c r="BE50" s="729"/>
      <c r="BF50" s="729"/>
      <c r="BG50" s="729"/>
      <c r="BH50" s="730"/>
    </row>
    <row r="51" spans="7:60" ht="15.75" customHeight="1" thickBot="1" x14ac:dyDescent="0.3">
      <c r="AD51" s="781"/>
      <c r="AE51" s="782"/>
      <c r="AF51" s="782"/>
      <c r="AG51" s="782"/>
      <c r="AH51" s="783"/>
      <c r="AL51" s="727"/>
      <c r="AM51" s="727"/>
      <c r="AN51" s="727"/>
      <c r="AO51" s="727"/>
      <c r="AP51" s="727"/>
      <c r="AQ51" s="727"/>
      <c r="AR51" s="1689"/>
      <c r="AS51" s="1689"/>
      <c r="AT51" s="1689"/>
      <c r="AU51" s="1689"/>
      <c r="AY51" s="731"/>
      <c r="AZ51" s="732"/>
      <c r="BA51" s="732"/>
      <c r="BB51" s="732"/>
      <c r="BC51" s="732"/>
      <c r="BD51" s="732"/>
      <c r="BE51" s="732"/>
      <c r="BF51" s="732"/>
      <c r="BG51" s="732"/>
      <c r="BH51" s="733"/>
    </row>
    <row r="52" spans="7:60" ht="15.75" customHeight="1" thickTop="1" x14ac:dyDescent="0.25">
      <c r="AY52" s="734"/>
      <c r="AZ52" s="735"/>
      <c r="BA52" s="735"/>
      <c r="BB52" s="735"/>
      <c r="BC52" s="735"/>
      <c r="BD52" s="735"/>
      <c r="BE52" s="735"/>
      <c r="BF52" s="735"/>
      <c r="BG52" s="735"/>
      <c r="BH52" s="736"/>
    </row>
    <row r="53" spans="7:60" x14ac:dyDescent="0.25">
      <c r="AY53" s="739" t="s">
        <v>129</v>
      </c>
      <c r="AZ53" s="740"/>
      <c r="BA53" s="740"/>
      <c r="BB53" s="740"/>
      <c r="BC53" s="740"/>
      <c r="BD53" s="740"/>
      <c r="BE53" s="740"/>
      <c r="BF53" s="740"/>
      <c r="BG53" s="740"/>
      <c r="BH53" s="741"/>
    </row>
    <row r="54" spans="7:60" x14ac:dyDescent="0.25">
      <c r="AY54" s="742"/>
      <c r="AZ54" s="743"/>
      <c r="BA54" s="743"/>
      <c r="BB54" s="743"/>
      <c r="BC54" s="743"/>
      <c r="BD54" s="743"/>
      <c r="BE54" s="743"/>
      <c r="BF54" s="743"/>
      <c r="BG54" s="743"/>
      <c r="BH54" s="744"/>
    </row>
    <row r="55" spans="7:60" x14ac:dyDescent="0.25">
      <c r="AN55" s="727">
        <v>149.5</v>
      </c>
      <c r="AO55" s="727"/>
      <c r="AP55" s="727"/>
      <c r="AQ55" s="746" cm="1">
        <f t="array" aca="1" ref="AQ55" ca="1">SUM(COUNTIF(INDIRECT({"L7","Q7","V7","AA7","AF7","AK7"}),"&gt;0"))</f>
        <v>6</v>
      </c>
      <c r="AR55" s="746"/>
      <c r="AS55" s="746"/>
      <c r="AT55" s="747">
        <f ca="1">AQ55*AN55</f>
        <v>897</v>
      </c>
      <c r="AU55" s="748"/>
      <c r="AV55" s="748"/>
      <c r="AW55" s="749"/>
      <c r="AY55" s="739" t="s">
        <v>130</v>
      </c>
      <c r="AZ55" s="740"/>
      <c r="BA55" s="740"/>
      <c r="BB55" s="740"/>
      <c r="BC55" s="740"/>
      <c r="BD55" s="740"/>
      <c r="BE55" s="740"/>
      <c r="BF55" s="740"/>
      <c r="BG55" s="740"/>
      <c r="BH55" s="741"/>
    </row>
    <row r="56" spans="7:60" x14ac:dyDescent="0.25">
      <c r="AN56" s="727"/>
      <c r="AO56" s="727"/>
      <c r="AP56" s="727"/>
      <c r="AQ56" s="746"/>
      <c r="AR56" s="746"/>
      <c r="AS56" s="746"/>
      <c r="AT56" s="747"/>
      <c r="AU56" s="748"/>
      <c r="AV56" s="748"/>
      <c r="AW56" s="749"/>
      <c r="AY56" s="750"/>
      <c r="AZ56" s="751"/>
      <c r="BA56" s="751"/>
      <c r="BB56" s="751"/>
      <c r="BC56" s="751"/>
      <c r="BD56" s="751"/>
      <c r="BE56" s="751"/>
      <c r="BF56" s="751"/>
      <c r="BG56" s="751"/>
      <c r="BH56" s="752"/>
    </row>
    <row r="57" spans="7:60" ht="15" customHeight="1" x14ac:dyDescent="0.25">
      <c r="AN57" s="727"/>
      <c r="AO57" s="727"/>
      <c r="AP57" s="727"/>
      <c r="AQ57" s="746"/>
      <c r="AR57" s="746"/>
      <c r="AS57" s="746"/>
      <c r="AT57" s="747"/>
      <c r="AU57" s="748"/>
      <c r="AV57" s="748"/>
      <c r="AW57" s="749"/>
      <c r="AY57" s="750"/>
      <c r="AZ57" s="751"/>
      <c r="BA57" s="751"/>
      <c r="BB57" s="751"/>
      <c r="BC57" s="751"/>
      <c r="BD57" s="751"/>
      <c r="BE57" s="751"/>
      <c r="BF57" s="751"/>
      <c r="BG57" s="751"/>
      <c r="BH57" s="752"/>
    </row>
    <row r="58" spans="7:60" x14ac:dyDescent="0.25">
      <c r="AN58" s="727"/>
      <c r="AO58" s="727"/>
      <c r="AP58" s="727"/>
      <c r="AQ58" s="746"/>
      <c r="AR58" s="746"/>
      <c r="AS58" s="746"/>
      <c r="AT58" s="747"/>
      <c r="AU58" s="748"/>
      <c r="AV58" s="748"/>
      <c r="AW58" s="749"/>
      <c r="AY58" s="742"/>
      <c r="AZ58" s="743"/>
      <c r="BA58" s="743"/>
      <c r="BB58" s="743"/>
      <c r="BC58" s="743"/>
      <c r="BD58" s="743"/>
      <c r="BE58" s="743"/>
      <c r="BF58" s="743"/>
      <c r="BG58" s="743"/>
      <c r="BH58" s="744"/>
    </row>
    <row r="59" spans="7:60" x14ac:dyDescent="0.25">
      <c r="AN59" s="727"/>
      <c r="AO59" s="727"/>
      <c r="AP59" s="727"/>
      <c r="AQ59" s="746"/>
      <c r="AR59" s="746"/>
      <c r="AS59" s="746"/>
      <c r="AT59" s="747"/>
      <c r="AU59" s="748"/>
      <c r="AV59" s="748"/>
      <c r="AW59" s="749"/>
      <c r="AY59" s="728">
        <f ca="1">AT48/((54*3.1415/59)*(AO48/3.281))</f>
        <v>0.11730913598200757</v>
      </c>
      <c r="AZ59" s="729"/>
      <c r="BA59" s="729"/>
      <c r="BB59" s="729"/>
      <c r="BC59" s="729"/>
      <c r="BD59" s="729"/>
      <c r="BE59" s="729"/>
      <c r="BF59" s="729"/>
      <c r="BG59" s="729"/>
      <c r="BH59" s="730"/>
    </row>
    <row r="60" spans="7:60" x14ac:dyDescent="0.25">
      <c r="AN60" s="727"/>
      <c r="AO60" s="727"/>
      <c r="AP60" s="727"/>
      <c r="AQ60" s="746"/>
      <c r="AR60" s="746"/>
      <c r="AS60" s="746"/>
      <c r="AT60" s="747"/>
      <c r="AU60" s="748"/>
      <c r="AV60" s="748"/>
      <c r="AW60" s="749"/>
      <c r="AY60" s="731"/>
      <c r="AZ60" s="732"/>
      <c r="BA60" s="732"/>
      <c r="BB60" s="732"/>
      <c r="BC60" s="732"/>
      <c r="BD60" s="732"/>
      <c r="BE60" s="732"/>
      <c r="BF60" s="732"/>
      <c r="BG60" s="732"/>
      <c r="BH60" s="733"/>
    </row>
    <row r="61" spans="7:60" ht="15" customHeight="1" x14ac:dyDescent="0.25">
      <c r="AN61" s="727"/>
      <c r="AO61" s="727"/>
      <c r="AP61" s="727"/>
      <c r="AQ61" s="746"/>
      <c r="AR61" s="746"/>
      <c r="AS61" s="746"/>
      <c r="AT61" s="747"/>
      <c r="AU61" s="748"/>
      <c r="AV61" s="748"/>
      <c r="AW61" s="749"/>
      <c r="AY61" s="731"/>
      <c r="AZ61" s="732"/>
      <c r="BA61" s="732"/>
      <c r="BB61" s="732"/>
      <c r="BC61" s="732"/>
      <c r="BD61" s="732"/>
      <c r="BE61" s="732"/>
      <c r="BF61" s="732"/>
      <c r="BG61" s="732"/>
      <c r="BH61" s="733"/>
    </row>
    <row r="62" spans="7:60" ht="15" customHeight="1" x14ac:dyDescent="0.25">
      <c r="AN62" s="727"/>
      <c r="AO62" s="727"/>
      <c r="AP62" s="727"/>
      <c r="AQ62" s="746"/>
      <c r="AR62" s="746"/>
      <c r="AS62" s="746"/>
      <c r="AT62" s="747"/>
      <c r="AU62" s="748"/>
      <c r="AV62" s="748"/>
      <c r="AW62" s="749"/>
      <c r="AY62" s="731"/>
      <c r="AZ62" s="732"/>
      <c r="BA62" s="732"/>
      <c r="BB62" s="732"/>
      <c r="BC62" s="732"/>
      <c r="BD62" s="732"/>
      <c r="BE62" s="732"/>
      <c r="BF62" s="732"/>
      <c r="BG62" s="732"/>
      <c r="BH62" s="733"/>
    </row>
    <row r="63" spans="7:60" ht="15" customHeight="1" x14ac:dyDescent="0.25">
      <c r="AN63" s="727"/>
      <c r="AO63" s="727"/>
      <c r="AP63" s="727"/>
      <c r="AQ63" s="746"/>
      <c r="AR63" s="746"/>
      <c r="AS63" s="746"/>
      <c r="AT63" s="747"/>
      <c r="AU63" s="748"/>
      <c r="AV63" s="748"/>
      <c r="AW63" s="749"/>
      <c r="AY63" s="734"/>
      <c r="AZ63" s="735"/>
      <c r="BA63" s="735"/>
      <c r="BB63" s="735"/>
      <c r="BC63" s="735"/>
      <c r="BD63" s="735"/>
      <c r="BE63" s="735"/>
      <c r="BF63" s="735"/>
      <c r="BG63" s="735"/>
      <c r="BH63" s="736"/>
    </row>
    <row r="64" spans="7:60" ht="15" customHeight="1" x14ac:dyDescent="0.25">
      <c r="AN64" s="727"/>
      <c r="AO64" s="727"/>
      <c r="AP64" s="727"/>
      <c r="AQ64" s="746"/>
      <c r="AR64" s="746"/>
      <c r="AS64" s="746"/>
      <c r="AT64" s="747"/>
      <c r="AU64" s="748"/>
      <c r="AV64" s="748"/>
      <c r="AW64" s="749"/>
    </row>
    <row r="65" spans="40:49" ht="15" customHeight="1" x14ac:dyDescent="0.25">
      <c r="AN65" s="727"/>
      <c r="AO65" s="727"/>
      <c r="AP65" s="727"/>
      <c r="AQ65" s="746"/>
      <c r="AR65" s="746"/>
      <c r="AS65" s="746"/>
      <c r="AT65" s="747"/>
      <c r="AU65" s="748"/>
      <c r="AV65" s="748"/>
      <c r="AW65" s="749"/>
    </row>
    <row r="66" spans="40:49" ht="15" customHeight="1" x14ac:dyDescent="0.25">
      <c r="AN66" s="727"/>
      <c r="AO66" s="727"/>
      <c r="AP66" s="727"/>
      <c r="AQ66" s="746"/>
      <c r="AR66" s="746"/>
      <c r="AS66" s="746"/>
      <c r="AT66" s="747"/>
      <c r="AU66" s="748"/>
      <c r="AV66" s="748"/>
      <c r="AW66" s="749"/>
    </row>
    <row r="67" spans="40:49" ht="15" customHeight="1" x14ac:dyDescent="0.25">
      <c r="AN67" s="727"/>
      <c r="AO67" s="727"/>
      <c r="AP67" s="727"/>
      <c r="AQ67" s="746"/>
      <c r="AR67" s="746"/>
      <c r="AS67" s="746"/>
      <c r="AT67" s="747"/>
      <c r="AU67" s="748"/>
      <c r="AV67" s="748"/>
      <c r="AW67" s="749"/>
    </row>
    <row r="68" spans="40:49" ht="15" customHeight="1" x14ac:dyDescent="0.25">
      <c r="AN68" s="727"/>
      <c r="AO68" s="727"/>
      <c r="AP68" s="727"/>
      <c r="AQ68" s="746"/>
      <c r="AR68" s="746"/>
      <c r="AS68" s="746"/>
      <c r="AT68" s="747"/>
      <c r="AU68" s="748"/>
      <c r="AV68" s="748"/>
      <c r="AW68" s="749"/>
    </row>
    <row r="69" spans="40:49" ht="15" customHeight="1" x14ac:dyDescent="0.25">
      <c r="AN69" s="727"/>
      <c r="AO69" s="727"/>
      <c r="AP69" s="727"/>
      <c r="AQ69" s="746"/>
      <c r="AR69" s="746"/>
      <c r="AS69" s="746"/>
      <c r="AT69" s="747"/>
      <c r="AU69" s="748"/>
      <c r="AV69" s="748"/>
      <c r="AW69" s="749"/>
    </row>
    <row r="70" spans="40:49" ht="15" customHeight="1" x14ac:dyDescent="0.25">
      <c r="AQ70" s="1254">
        <f ca="1">AQ55+AQ58+AQ61+AQ64+AQ67</f>
        <v>6</v>
      </c>
      <c r="AR70" s="1254"/>
      <c r="AS70" s="1254"/>
      <c r="AT70" s="747">
        <f ca="1">AT55+AT58+AT61</f>
        <v>897</v>
      </c>
      <c r="AU70" s="748"/>
      <c r="AV70" s="748"/>
      <c r="AW70" s="749"/>
    </row>
    <row r="71" spans="40:49" ht="15" customHeight="1" x14ac:dyDescent="0.25">
      <c r="AQ71" s="1254"/>
      <c r="AR71" s="1254"/>
      <c r="AS71" s="1254"/>
      <c r="AT71" s="747"/>
      <c r="AU71" s="748"/>
      <c r="AV71" s="748"/>
      <c r="AW71" s="749"/>
    </row>
    <row r="72" spans="40:49" ht="15" customHeight="1" x14ac:dyDescent="0.25">
      <c r="AQ72" s="1254"/>
      <c r="AR72" s="1254"/>
      <c r="AS72" s="1254"/>
      <c r="AT72" s="747"/>
      <c r="AU72" s="748"/>
      <c r="AV72" s="748"/>
      <c r="AW72" s="749"/>
    </row>
    <row r="73" spans="40:49" ht="15" customHeight="1" x14ac:dyDescent="0.25"/>
    <row r="74" spans="40:49" ht="15" customHeight="1" x14ac:dyDescent="0.25"/>
    <row r="75" spans="40:49" ht="15" customHeight="1" x14ac:dyDescent="0.25"/>
    <row r="76" spans="40:49" ht="15" customHeight="1" x14ac:dyDescent="0.25"/>
    <row r="77" spans="40:49" ht="15" customHeight="1" x14ac:dyDescent="0.25">
      <c r="AS77" s="27"/>
      <c r="AT77" s="27"/>
      <c r="AU77" s="27"/>
    </row>
  </sheetData>
  <mergeCells count="250">
    <mergeCell ref="A2:D2"/>
    <mergeCell ref="E2:E3"/>
    <mergeCell ref="F2:I2"/>
    <mergeCell ref="J2:J3"/>
    <mergeCell ref="K2:M2"/>
    <mergeCell ref="N2:O2"/>
    <mergeCell ref="A4:D4"/>
    <mergeCell ref="E4:E5"/>
    <mergeCell ref="F4:I4"/>
    <mergeCell ref="K3:O5"/>
    <mergeCell ref="AE2:AG2"/>
    <mergeCell ref="AH2:AI2"/>
    <mergeCell ref="AJ2:AL2"/>
    <mergeCell ref="AM2:AN2"/>
    <mergeCell ref="AO2:AR2"/>
    <mergeCell ref="AS2:AS3"/>
    <mergeCell ref="P2:R2"/>
    <mergeCell ref="S2:T2"/>
    <mergeCell ref="U2:W2"/>
    <mergeCell ref="X2:Y2"/>
    <mergeCell ref="Z2:AB2"/>
    <mergeCell ref="AC2:AD2"/>
    <mergeCell ref="AJ3:AN5"/>
    <mergeCell ref="AE3:AI5"/>
    <mergeCell ref="P3:T5"/>
    <mergeCell ref="AY3:BA5"/>
    <mergeCell ref="AT2:AW2"/>
    <mergeCell ref="AX2:AX3"/>
    <mergeCell ref="AY2:BA2"/>
    <mergeCell ref="BB2:BC2"/>
    <mergeCell ref="BD2:BF2"/>
    <mergeCell ref="BG2:BH2"/>
    <mergeCell ref="BD3:BF5"/>
    <mergeCell ref="AT4:AW4"/>
    <mergeCell ref="AX4:AX5"/>
    <mergeCell ref="A6:D6"/>
    <mergeCell ref="E6:E7"/>
    <mergeCell ref="F6:I6"/>
    <mergeCell ref="J6:J7"/>
    <mergeCell ref="K6:K7"/>
    <mergeCell ref="L6:O6"/>
    <mergeCell ref="J4:J5"/>
    <mergeCell ref="AO4:AR4"/>
    <mergeCell ref="AS4:AS5"/>
    <mergeCell ref="W5:Y5"/>
    <mergeCell ref="AB5:AD5"/>
    <mergeCell ref="U3:V5"/>
    <mergeCell ref="Z3:AA5"/>
    <mergeCell ref="P6:P7"/>
    <mergeCell ref="Q6:T6"/>
    <mergeCell ref="U6:U7"/>
    <mergeCell ref="V6:Y6"/>
    <mergeCell ref="Z6:Z7"/>
    <mergeCell ref="AA6:AD6"/>
    <mergeCell ref="AT6:AW6"/>
    <mergeCell ref="AX6:AX7"/>
    <mergeCell ref="AY6:AY7"/>
    <mergeCell ref="Y8:Y10"/>
    <mergeCell ref="AA8:AC10"/>
    <mergeCell ref="AD8:AD10"/>
    <mergeCell ref="AF8:AH10"/>
    <mergeCell ref="AI8:AI10"/>
    <mergeCell ref="BE6:BH6"/>
    <mergeCell ref="AE6:AE7"/>
    <mergeCell ref="AF6:AI6"/>
    <mergeCell ref="AJ6:AJ7"/>
    <mergeCell ref="AK6:AN6"/>
    <mergeCell ref="AO6:AR6"/>
    <mergeCell ref="AS6:AS7"/>
    <mergeCell ref="AZ6:BC6"/>
    <mergeCell ref="BD6:BD7"/>
    <mergeCell ref="AY8:BA8"/>
    <mergeCell ref="BB8:BC8"/>
    <mergeCell ref="BD8:BF8"/>
    <mergeCell ref="A8:D8"/>
    <mergeCell ref="E8:E9"/>
    <mergeCell ref="F8:I8"/>
    <mergeCell ref="J8:J9"/>
    <mergeCell ref="L11:N13"/>
    <mergeCell ref="O11:O13"/>
    <mergeCell ref="V11:X13"/>
    <mergeCell ref="Y11:Y13"/>
    <mergeCell ref="AA11:AC13"/>
    <mergeCell ref="K8:K10"/>
    <mergeCell ref="A12:D12"/>
    <mergeCell ref="E12:E13"/>
    <mergeCell ref="F12:I12"/>
    <mergeCell ref="J12:J13"/>
    <mergeCell ref="K11:K13"/>
    <mergeCell ref="F10:I10"/>
    <mergeCell ref="J10:J11"/>
    <mergeCell ref="T8:T10"/>
    <mergeCell ref="L8:N10"/>
    <mergeCell ref="O8:O10"/>
    <mergeCell ref="V8:X10"/>
    <mergeCell ref="AD11:AD13"/>
    <mergeCell ref="AF11:AH13"/>
    <mergeCell ref="AI11:AI13"/>
    <mergeCell ref="AK11:AM13"/>
    <mergeCell ref="AN11:AN13"/>
    <mergeCell ref="AZ12:BC12"/>
    <mergeCell ref="BD12:BD13"/>
    <mergeCell ref="BE12:BH12"/>
    <mergeCell ref="P8:P10"/>
    <mergeCell ref="U8:U10"/>
    <mergeCell ref="Z8:Z10"/>
    <mergeCell ref="AE11:AE13"/>
    <mergeCell ref="AJ11:AJ13"/>
    <mergeCell ref="Q11:S13"/>
    <mergeCell ref="T11:T13"/>
    <mergeCell ref="AP8:AW11"/>
    <mergeCell ref="P11:P13"/>
    <mergeCell ref="U11:U13"/>
    <mergeCell ref="Z11:Z13"/>
    <mergeCell ref="AK8:AM10"/>
    <mergeCell ref="AN8:AN10"/>
    <mergeCell ref="AE8:AE10"/>
    <mergeCell ref="AJ8:AJ10"/>
    <mergeCell ref="Q8:S10"/>
    <mergeCell ref="AY12:AY13"/>
    <mergeCell ref="BG8:BH8"/>
    <mergeCell ref="AY9:BA11"/>
    <mergeCell ref="BD9:BF11"/>
    <mergeCell ref="A10:D10"/>
    <mergeCell ref="E10:E11"/>
    <mergeCell ref="A18:A19"/>
    <mergeCell ref="B18:E18"/>
    <mergeCell ref="AY18:AY19"/>
    <mergeCell ref="AZ18:BC18"/>
    <mergeCell ref="BD18:BD19"/>
    <mergeCell ref="BE18:BH18"/>
    <mergeCell ref="BD14:BF14"/>
    <mergeCell ref="BG14:BH14"/>
    <mergeCell ref="A15:E17"/>
    <mergeCell ref="AO15:AQ17"/>
    <mergeCell ref="AT15:AV17"/>
    <mergeCell ref="AY15:BA17"/>
    <mergeCell ref="BD15:BF17"/>
    <mergeCell ref="AO14:AQ14"/>
    <mergeCell ref="AR14:AS14"/>
    <mergeCell ref="AT14:AV14"/>
    <mergeCell ref="AW14:AX14"/>
    <mergeCell ref="AY14:BA14"/>
    <mergeCell ref="BB14:BC14"/>
    <mergeCell ref="BG20:BH20"/>
    <mergeCell ref="AO20:AQ20"/>
    <mergeCell ref="AR20:AS20"/>
    <mergeCell ref="AO21:AQ23"/>
    <mergeCell ref="AT21:AV23"/>
    <mergeCell ref="AY21:BA23"/>
    <mergeCell ref="BD21:BF23"/>
    <mergeCell ref="A21:C23"/>
    <mergeCell ref="F21:H23"/>
    <mergeCell ref="A20:C20"/>
    <mergeCell ref="D20:E20"/>
    <mergeCell ref="F20:H20"/>
    <mergeCell ref="I20:J20"/>
    <mergeCell ref="AT20:AV20"/>
    <mergeCell ref="AW20:AX20"/>
    <mergeCell ref="AY20:BA20"/>
    <mergeCell ref="BB20:BC20"/>
    <mergeCell ref="BD20:BF20"/>
    <mergeCell ref="A14:C14"/>
    <mergeCell ref="D14:E14"/>
    <mergeCell ref="BD24:BD25"/>
    <mergeCell ref="BD26:BF26"/>
    <mergeCell ref="BE24:BH24"/>
    <mergeCell ref="AO24:AO25"/>
    <mergeCell ref="AP24:AS24"/>
    <mergeCell ref="BG26:BH26"/>
    <mergeCell ref="BB26:BC26"/>
    <mergeCell ref="A26:C26"/>
    <mergeCell ref="D26:E26"/>
    <mergeCell ref="F26:H26"/>
    <mergeCell ref="I26:J26"/>
    <mergeCell ref="AT24:AT25"/>
    <mergeCell ref="AU24:AX24"/>
    <mergeCell ref="AY24:AY25"/>
    <mergeCell ref="A24:A25"/>
    <mergeCell ref="B24:E24"/>
    <mergeCell ref="F24:F25"/>
    <mergeCell ref="G24:J24"/>
    <mergeCell ref="AW26:AX26"/>
    <mergeCell ref="AY26:BA26"/>
    <mergeCell ref="AZ24:BC24"/>
    <mergeCell ref="AT27:AV29"/>
    <mergeCell ref="AT26:AV26"/>
    <mergeCell ref="AY27:BA29"/>
    <mergeCell ref="BD27:BF29"/>
    <mergeCell ref="A30:A31"/>
    <mergeCell ref="B30:E30"/>
    <mergeCell ref="F30:F31"/>
    <mergeCell ref="G30:J30"/>
    <mergeCell ref="AT30:AT31"/>
    <mergeCell ref="AU30:AX30"/>
    <mergeCell ref="AY30:AY31"/>
    <mergeCell ref="AZ30:BC30"/>
    <mergeCell ref="BD30:BD31"/>
    <mergeCell ref="BE30:BH30"/>
    <mergeCell ref="A27:C29"/>
    <mergeCell ref="F27:H29"/>
    <mergeCell ref="AT32:AW33"/>
    <mergeCell ref="AO34:AU40"/>
    <mergeCell ref="AV34:AW40"/>
    <mergeCell ref="H35:J35"/>
    <mergeCell ref="Q35:V42"/>
    <mergeCell ref="H36:J37"/>
    <mergeCell ref="X37:AB42"/>
    <mergeCell ref="AC37:AH42"/>
    <mergeCell ref="H38:J40"/>
    <mergeCell ref="H41:J42"/>
    <mergeCell ref="H32:J33"/>
    <mergeCell ref="Q32:V34"/>
    <mergeCell ref="X32:AB36"/>
    <mergeCell ref="AC32:AH36"/>
    <mergeCell ref="AJ32:AN42"/>
    <mergeCell ref="AO32:AS33"/>
    <mergeCell ref="AO41:AW42"/>
    <mergeCell ref="AD45:AH51"/>
    <mergeCell ref="AL45:AN47"/>
    <mergeCell ref="AO45:AQ47"/>
    <mergeCell ref="AR45:AS47"/>
    <mergeCell ref="AT45:AU47"/>
    <mergeCell ref="AY45:BH47"/>
    <mergeCell ref="AL48:AN51"/>
    <mergeCell ref="AO48:AQ51"/>
    <mergeCell ref="AR48:AS51"/>
    <mergeCell ref="AT48:AU51"/>
    <mergeCell ref="AY48:BH49"/>
    <mergeCell ref="AY50:BH52"/>
    <mergeCell ref="AY53:BH54"/>
    <mergeCell ref="AN55:AP57"/>
    <mergeCell ref="AQ55:AS57"/>
    <mergeCell ref="AT55:AW57"/>
    <mergeCell ref="AY55:BH58"/>
    <mergeCell ref="AN58:AP60"/>
    <mergeCell ref="AQ58:AS60"/>
    <mergeCell ref="AT58:AW60"/>
    <mergeCell ref="AN67:AP69"/>
    <mergeCell ref="AQ67:AS69"/>
    <mergeCell ref="AT67:AW69"/>
    <mergeCell ref="AQ70:AS72"/>
    <mergeCell ref="AT70:AW72"/>
    <mergeCell ref="AY59:BH63"/>
    <mergeCell ref="AN61:AP63"/>
    <mergeCell ref="AQ61:AS63"/>
    <mergeCell ref="AT61:AW63"/>
    <mergeCell ref="AN64:AP66"/>
    <mergeCell ref="AQ64:AS66"/>
    <mergeCell ref="AT64:AW66"/>
  </mergeCells>
  <pageMargins left="0.21" right="0" top="0.5" bottom="0" header="0.3" footer="0.3"/>
  <pageSetup scale="44" orientation="landscape" r:id="rId1"/>
  <colBreaks count="1" manualBreakCount="1">
    <brk id="60" max="50" man="1"/>
  </colBreaks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B740E-74D5-4C95-8A28-89D029FA101A}">
  <sheetPr codeName="Sheet6">
    <tabColor rgb="FFFFC000"/>
    <pageSetUpPr fitToPage="1"/>
  </sheetPr>
  <dimension ref="A1:CL107"/>
  <sheetViews>
    <sheetView view="pageBreakPreview" zoomScale="55" zoomScaleNormal="115" zoomScaleSheetLayoutView="55" workbookViewId="0">
      <selection activeCell="O31" sqref="O31:R31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140625" customWidth="1"/>
    <col min="47" max="47" width="10.71093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4.140625" customWidth="1"/>
    <col min="62" max="62" width="10.7109375" customWidth="1"/>
    <col min="63" max="63" width="4.28515625" customWidth="1"/>
    <col min="64" max="65" width="5.5703125" customWidth="1"/>
    <col min="66" max="66" width="4.140625" customWidth="1"/>
    <col min="67" max="67" width="10.7109375" customWidth="1"/>
    <col min="68" max="68" width="4.28515625" customWidth="1"/>
    <col min="69" max="70" width="5.5703125" customWidth="1"/>
    <col min="71" max="71" width="1" customWidth="1"/>
    <col min="72" max="72" width="56.7109375" customWidth="1"/>
    <col min="73" max="73" width="13" customWidth="1"/>
    <col min="74" max="74" width="7" customWidth="1"/>
  </cols>
  <sheetData>
    <row r="1" spans="1:83" ht="210.75" customHeight="1" thickBot="1" x14ac:dyDescent="0.3"/>
    <row r="2" spans="1:83" ht="36" customHeight="1" thickTop="1" x14ac:dyDescent="0.25">
      <c r="A2" s="1900" t="s">
        <v>110</v>
      </c>
      <c r="B2" s="1901"/>
      <c r="C2" s="1904">
        <f>B7/((36*3.1415/59)*(156/3.281))</f>
        <v>0.10646334572828683</v>
      </c>
      <c r="D2" s="1904"/>
      <c r="E2" s="1905"/>
      <c r="F2" s="1900" t="s">
        <v>110</v>
      </c>
      <c r="G2" s="1901"/>
      <c r="H2" s="1904">
        <f>G7/((36*3.1415/59)*(156/3.281))</f>
        <v>3.2883710929369848E-2</v>
      </c>
      <c r="I2" s="1904"/>
      <c r="J2" s="1905"/>
      <c r="K2" s="1900" t="s">
        <v>110</v>
      </c>
      <c r="L2" s="1901"/>
      <c r="M2" s="1904">
        <f>L7/((36*3.1415/59)*(156/3.281))</f>
        <v>3.0612463627941906E-3</v>
      </c>
      <c r="N2" s="1904"/>
      <c r="O2" s="1905"/>
      <c r="P2" s="1900" t="s">
        <v>110</v>
      </c>
      <c r="Q2" s="1901"/>
      <c r="R2" s="1904">
        <f>Q7/((36*3.1415/59)*(156/3.281))</f>
        <v>1.3934705665765669E-2</v>
      </c>
      <c r="S2" s="1904"/>
      <c r="T2" s="1905"/>
      <c r="U2" s="1900" t="s">
        <v>110</v>
      </c>
      <c r="V2" s="1901"/>
      <c r="W2" s="1904">
        <f>V7/((36*3.1415/59)*(156/3.281))</f>
        <v>6.9673528328828343E-3</v>
      </c>
      <c r="X2" s="1904"/>
      <c r="Y2" s="1905"/>
      <c r="Z2" s="1900" t="s">
        <v>110</v>
      </c>
      <c r="AA2" s="1901"/>
      <c r="AB2" s="1904">
        <f>AA7/((36*3.1415/59)*(156/3.281))</f>
        <v>1.3375122997297914E-2</v>
      </c>
      <c r="AC2" s="1904"/>
      <c r="AD2" s="1905"/>
      <c r="AE2" s="1900" t="s">
        <v>110</v>
      </c>
      <c r="AF2" s="1901"/>
      <c r="AG2" s="1904">
        <f>AF7/((36*3.1415/59)*(156/3.281))</f>
        <v>1.8949005263604182E-2</v>
      </c>
      <c r="AH2" s="1904"/>
      <c r="AI2" s="1905"/>
      <c r="AJ2" s="1900" t="s">
        <v>110</v>
      </c>
      <c r="AK2" s="1901"/>
      <c r="AL2" s="1904">
        <f>AK7/((36*3.1415/59)*(156/3.281))</f>
        <v>6.8247141134694846E-3</v>
      </c>
      <c r="AM2" s="1904"/>
      <c r="AN2" s="1905"/>
      <c r="AO2" s="1900" t="s">
        <v>110</v>
      </c>
      <c r="AP2" s="1901"/>
      <c r="AQ2" s="1904">
        <f>AP7/((36*3.1415/59)*(156/3.281))</f>
        <v>4.7290221590118135E-3</v>
      </c>
      <c r="AR2" s="1904"/>
      <c r="AS2" s="1905"/>
      <c r="AT2" s="1900" t="s">
        <v>110</v>
      </c>
      <c r="AU2" s="1901"/>
      <c r="AV2" s="1904">
        <f>AU7/((36*3.1415/59)*(156/3.281))</f>
        <v>1.9223310493245237E-2</v>
      </c>
      <c r="AW2" s="1904"/>
      <c r="AX2" s="1905"/>
      <c r="AY2" s="1900" t="s">
        <v>110</v>
      </c>
      <c r="AZ2" s="1901"/>
      <c r="BA2" s="1904">
        <f>AZ7/((36*3.1415/59)*(156/3.281))</f>
        <v>4.7290221590118135E-3</v>
      </c>
      <c r="BB2" s="1904"/>
      <c r="BC2" s="1905"/>
      <c r="BD2" s="1900" t="s">
        <v>110</v>
      </c>
      <c r="BE2" s="1901"/>
      <c r="BF2" s="1904">
        <f>BE7/((36*3.1415/59)*(156/3.281))</f>
        <v>2.0902058498648502E-2</v>
      </c>
      <c r="BG2" s="1904"/>
      <c r="BH2" s="1905"/>
      <c r="BI2" s="1900" t="s">
        <v>110</v>
      </c>
      <c r="BJ2" s="1901"/>
      <c r="BK2" s="1904">
        <f>BJ7/((36*3.1415/59)*(156/3.281))</f>
        <v>3.2324128260902099E-2</v>
      </c>
      <c r="BL2" s="1904"/>
      <c r="BM2" s="1905"/>
      <c r="BN2" s="1900" t="s">
        <v>110</v>
      </c>
      <c r="BO2" s="1901"/>
      <c r="BP2" s="1904">
        <f>BO7/((36*3.1415/59)*(156/3.281))</f>
        <v>1.7555534697027614E-2</v>
      </c>
      <c r="BQ2" s="1904"/>
      <c r="BR2" s="1905"/>
    </row>
    <row r="3" spans="1:83" ht="5.25" customHeight="1" x14ac:dyDescent="0.25">
      <c r="A3" s="1902"/>
      <c r="B3" s="1903"/>
      <c r="C3" s="1906"/>
      <c r="D3" s="1906"/>
      <c r="E3" s="1907"/>
      <c r="F3" s="1902"/>
      <c r="G3" s="1903"/>
      <c r="H3" s="1906"/>
      <c r="I3" s="1906"/>
      <c r="J3" s="1907"/>
      <c r="K3" s="1902"/>
      <c r="L3" s="1903"/>
      <c r="M3" s="1906"/>
      <c r="N3" s="1906"/>
      <c r="O3" s="1907"/>
      <c r="P3" s="1902"/>
      <c r="Q3" s="1903"/>
      <c r="R3" s="1906"/>
      <c r="S3" s="1906"/>
      <c r="T3" s="1907"/>
      <c r="U3" s="1902"/>
      <c r="V3" s="1903"/>
      <c r="W3" s="1906"/>
      <c r="X3" s="1906"/>
      <c r="Y3" s="1907"/>
      <c r="Z3" s="1902"/>
      <c r="AA3" s="1903"/>
      <c r="AB3" s="1906"/>
      <c r="AC3" s="1906"/>
      <c r="AD3" s="1907"/>
      <c r="AE3" s="1902"/>
      <c r="AF3" s="1903"/>
      <c r="AG3" s="1906"/>
      <c r="AH3" s="1906"/>
      <c r="AI3" s="1907"/>
      <c r="AJ3" s="1902"/>
      <c r="AK3" s="1903"/>
      <c r="AL3" s="1906"/>
      <c r="AM3" s="1906"/>
      <c r="AN3" s="1907"/>
      <c r="AO3" s="1902"/>
      <c r="AP3" s="1903"/>
      <c r="AQ3" s="1906"/>
      <c r="AR3" s="1906"/>
      <c r="AS3" s="1907"/>
      <c r="AT3" s="1902"/>
      <c r="AU3" s="1903"/>
      <c r="AV3" s="1906"/>
      <c r="AW3" s="1906"/>
      <c r="AX3" s="1907"/>
      <c r="AY3" s="1902"/>
      <c r="AZ3" s="1903"/>
      <c r="BA3" s="1906"/>
      <c r="BB3" s="1906"/>
      <c r="BC3" s="1907"/>
      <c r="BD3" s="1902"/>
      <c r="BE3" s="1903"/>
      <c r="BF3" s="1906"/>
      <c r="BG3" s="1906"/>
      <c r="BH3" s="1907"/>
      <c r="BI3" s="1902"/>
      <c r="BJ3" s="1903"/>
      <c r="BK3" s="1906"/>
      <c r="BL3" s="1906"/>
      <c r="BM3" s="1907"/>
      <c r="BN3" s="1902"/>
      <c r="BO3" s="1903"/>
      <c r="BP3" s="1906"/>
      <c r="BQ3" s="1906"/>
      <c r="BR3" s="1907"/>
    </row>
    <row r="4" spans="1:83" ht="14.25" customHeight="1" x14ac:dyDescent="0.25">
      <c r="A4" s="3504" t="s">
        <v>111</v>
      </c>
      <c r="B4" s="3196"/>
      <c r="C4" s="3196"/>
      <c r="D4" s="3196"/>
      <c r="E4" s="3505"/>
      <c r="F4" s="3504" t="s">
        <v>111</v>
      </c>
      <c r="G4" s="3196"/>
      <c r="H4" s="3196"/>
      <c r="I4" s="3196"/>
      <c r="J4" s="3505"/>
      <c r="K4" s="3504" t="s">
        <v>111</v>
      </c>
      <c r="L4" s="3196"/>
      <c r="M4" s="3196"/>
      <c r="N4" s="3196"/>
      <c r="O4" s="3505"/>
      <c r="P4" s="3504" t="s">
        <v>111</v>
      </c>
      <c r="Q4" s="3196"/>
      <c r="R4" s="3196"/>
      <c r="S4" s="3196"/>
      <c r="T4" s="3505"/>
      <c r="U4" s="3504" t="s">
        <v>111</v>
      </c>
      <c r="V4" s="3196"/>
      <c r="W4" s="3196"/>
      <c r="X4" s="3196"/>
      <c r="Y4" s="3505"/>
      <c r="Z4" s="3504" t="s">
        <v>111</v>
      </c>
      <c r="AA4" s="3196"/>
      <c r="AB4" s="3196"/>
      <c r="AC4" s="3196"/>
      <c r="AD4" s="3505"/>
      <c r="AE4" s="3504" t="s">
        <v>111</v>
      </c>
      <c r="AF4" s="3196"/>
      <c r="AG4" s="3196"/>
      <c r="AH4" s="3196"/>
      <c r="AI4" s="3505"/>
      <c r="AJ4" s="3504" t="s">
        <v>111</v>
      </c>
      <c r="AK4" s="3196"/>
      <c r="AL4" s="3196"/>
      <c r="AM4" s="3196"/>
      <c r="AN4" s="3505"/>
      <c r="AO4" s="3504" t="s">
        <v>111</v>
      </c>
      <c r="AP4" s="3196"/>
      <c r="AQ4" s="3196"/>
      <c r="AR4" s="3196"/>
      <c r="AS4" s="3505"/>
      <c r="AT4" s="3504" t="s">
        <v>111</v>
      </c>
      <c r="AU4" s="3196"/>
      <c r="AV4" s="3196"/>
      <c r="AW4" s="3196"/>
      <c r="AX4" s="3505"/>
      <c r="AY4" s="3504" t="s">
        <v>111</v>
      </c>
      <c r="AZ4" s="3196"/>
      <c r="BA4" s="3196"/>
      <c r="BB4" s="3196"/>
      <c r="BC4" s="3505"/>
      <c r="BD4" s="3504" t="s">
        <v>111</v>
      </c>
      <c r="BE4" s="3196"/>
      <c r="BF4" s="3196"/>
      <c r="BG4" s="3196"/>
      <c r="BH4" s="3505"/>
      <c r="BI4" s="3504" t="s">
        <v>111</v>
      </c>
      <c r="BJ4" s="3196"/>
      <c r="BK4" s="3196"/>
      <c r="BL4" s="3196"/>
      <c r="BM4" s="3505"/>
      <c r="BN4" s="3504" t="s">
        <v>111</v>
      </c>
      <c r="BO4" s="3196"/>
      <c r="BP4" s="3196"/>
      <c r="BQ4" s="3196"/>
      <c r="BR4" s="3505"/>
    </row>
    <row r="5" spans="1:83" ht="9" customHeight="1" x14ac:dyDescent="0.25">
      <c r="A5" s="3506"/>
      <c r="B5" s="3197"/>
      <c r="C5" s="3197"/>
      <c r="D5" s="3197"/>
      <c r="E5" s="3507"/>
      <c r="F5" s="3506"/>
      <c r="G5" s="3197"/>
      <c r="H5" s="3197"/>
      <c r="I5" s="3197"/>
      <c r="J5" s="3507"/>
      <c r="K5" s="3506"/>
      <c r="L5" s="3197"/>
      <c r="M5" s="3197"/>
      <c r="N5" s="3197"/>
      <c r="O5" s="3507"/>
      <c r="P5" s="3506"/>
      <c r="Q5" s="3197"/>
      <c r="R5" s="3197"/>
      <c r="S5" s="3197"/>
      <c r="T5" s="3507"/>
      <c r="U5" s="3506"/>
      <c r="V5" s="3197"/>
      <c r="W5" s="3197"/>
      <c r="X5" s="3197"/>
      <c r="Y5" s="3507"/>
      <c r="Z5" s="3506"/>
      <c r="AA5" s="3197"/>
      <c r="AB5" s="3197"/>
      <c r="AC5" s="3197"/>
      <c r="AD5" s="3507"/>
      <c r="AE5" s="3506"/>
      <c r="AF5" s="3197"/>
      <c r="AG5" s="3197"/>
      <c r="AH5" s="3197"/>
      <c r="AI5" s="3507"/>
      <c r="AJ5" s="3506"/>
      <c r="AK5" s="3197"/>
      <c r="AL5" s="3197"/>
      <c r="AM5" s="3197"/>
      <c r="AN5" s="3507"/>
      <c r="AO5" s="3506"/>
      <c r="AP5" s="3197"/>
      <c r="AQ5" s="3197"/>
      <c r="AR5" s="3197"/>
      <c r="AS5" s="3507"/>
      <c r="AT5" s="3506"/>
      <c r="AU5" s="3197"/>
      <c r="AV5" s="3197"/>
      <c r="AW5" s="3197"/>
      <c r="AX5" s="3507"/>
      <c r="AY5" s="3506"/>
      <c r="AZ5" s="3197"/>
      <c r="BA5" s="3197"/>
      <c r="BB5" s="3197"/>
      <c r="BC5" s="3507"/>
      <c r="BD5" s="3506"/>
      <c r="BE5" s="3197"/>
      <c r="BF5" s="3197"/>
      <c r="BG5" s="3197"/>
      <c r="BH5" s="3507"/>
      <c r="BI5" s="3506"/>
      <c r="BJ5" s="3197"/>
      <c r="BK5" s="3197"/>
      <c r="BL5" s="3197"/>
      <c r="BM5" s="3507"/>
      <c r="BN5" s="3506"/>
      <c r="BO5" s="3197"/>
      <c r="BP5" s="3197"/>
      <c r="BQ5" s="3197"/>
      <c r="BR5" s="3507"/>
    </row>
    <row r="6" spans="1:83" s="22" customFormat="1" ht="80.099999999999994" customHeight="1" x14ac:dyDescent="1.35">
      <c r="A6" s="1898" t="s">
        <v>112</v>
      </c>
      <c r="B6" s="588">
        <v>1</v>
      </c>
      <c r="C6" s="589"/>
      <c r="D6" s="589"/>
      <c r="E6" s="590"/>
      <c r="F6" s="1898" t="s">
        <v>112</v>
      </c>
      <c r="G6" s="588">
        <v>2</v>
      </c>
      <c r="H6" s="589"/>
      <c r="I6" s="589"/>
      <c r="J6" s="590"/>
      <c r="K6" s="1898" t="s">
        <v>112</v>
      </c>
      <c r="L6" s="588">
        <v>3</v>
      </c>
      <c r="M6" s="589"/>
      <c r="N6" s="589"/>
      <c r="O6" s="590"/>
      <c r="P6" s="1898" t="s">
        <v>112</v>
      </c>
      <c r="Q6" s="588">
        <v>4</v>
      </c>
      <c r="R6" s="589"/>
      <c r="S6" s="589"/>
      <c r="T6" s="590"/>
      <c r="U6" s="1898" t="s">
        <v>112</v>
      </c>
      <c r="V6" s="588">
        <v>5</v>
      </c>
      <c r="W6" s="589"/>
      <c r="X6" s="589"/>
      <c r="Y6" s="590"/>
      <c r="Z6" s="1898" t="s">
        <v>112</v>
      </c>
      <c r="AA6" s="588">
        <v>6</v>
      </c>
      <c r="AB6" s="589"/>
      <c r="AC6" s="589"/>
      <c r="AD6" s="590"/>
      <c r="AE6" s="1898" t="s">
        <v>112</v>
      </c>
      <c r="AF6" s="588">
        <v>7</v>
      </c>
      <c r="AG6" s="589"/>
      <c r="AH6" s="589"/>
      <c r="AI6" s="590"/>
      <c r="AJ6" s="1898" t="s">
        <v>112</v>
      </c>
      <c r="AK6" s="588">
        <v>8</v>
      </c>
      <c r="AL6" s="589"/>
      <c r="AM6" s="589"/>
      <c r="AN6" s="590"/>
      <c r="AO6" s="1898" t="s">
        <v>112</v>
      </c>
      <c r="AP6" s="588">
        <v>10</v>
      </c>
      <c r="AQ6" s="589"/>
      <c r="AR6" s="589"/>
      <c r="AS6" s="590"/>
      <c r="AT6" s="1898" t="s">
        <v>112</v>
      </c>
      <c r="AU6" s="588">
        <v>11</v>
      </c>
      <c r="AV6" s="589"/>
      <c r="AW6" s="589"/>
      <c r="AX6" s="590"/>
      <c r="AY6" s="1898" t="s">
        <v>112</v>
      </c>
      <c r="AZ6" s="588">
        <v>12</v>
      </c>
      <c r="BA6" s="589"/>
      <c r="BB6" s="589"/>
      <c r="BC6" s="590"/>
      <c r="BD6" s="1898" t="s">
        <v>112</v>
      </c>
      <c r="BE6" s="588">
        <v>13</v>
      </c>
      <c r="BF6" s="589"/>
      <c r="BG6" s="589"/>
      <c r="BH6" s="590"/>
      <c r="BI6" s="1898" t="s">
        <v>112</v>
      </c>
      <c r="BJ6" s="588">
        <v>14</v>
      </c>
      <c r="BK6" s="589"/>
      <c r="BL6" s="589"/>
      <c r="BM6" s="590"/>
      <c r="BN6" s="1898" t="s">
        <v>112</v>
      </c>
      <c r="BO6" s="588">
        <v>15</v>
      </c>
      <c r="BP6" s="589"/>
      <c r="BQ6" s="589"/>
      <c r="BR6" s="590"/>
    </row>
    <row r="7" spans="1:83" ht="27" customHeight="1" thickBot="1" x14ac:dyDescent="0.3">
      <c r="A7" s="1899"/>
      <c r="B7" s="61">
        <v>9.7029999999999994</v>
      </c>
      <c r="C7" s="62" t="s">
        <v>113</v>
      </c>
      <c r="D7" s="63"/>
      <c r="E7" s="64" t="s">
        <v>114</v>
      </c>
      <c r="F7" s="1899"/>
      <c r="G7" s="61">
        <v>2.9969999999999999</v>
      </c>
      <c r="H7" s="62" t="s">
        <v>113</v>
      </c>
      <c r="I7" s="63">
        <v>1</v>
      </c>
      <c r="J7" s="64" t="s">
        <v>114</v>
      </c>
      <c r="K7" s="1899"/>
      <c r="L7" s="61">
        <v>0.27900000000000003</v>
      </c>
      <c r="M7" s="62" t="s">
        <v>113</v>
      </c>
      <c r="N7" s="63">
        <v>1</v>
      </c>
      <c r="O7" s="64" t="s">
        <v>114</v>
      </c>
      <c r="P7" s="1899"/>
      <c r="Q7" s="61">
        <v>1.27</v>
      </c>
      <c r="R7" s="62" t="s">
        <v>113</v>
      </c>
      <c r="S7" s="63"/>
      <c r="T7" s="64" t="s">
        <v>114</v>
      </c>
      <c r="U7" s="1899"/>
      <c r="V7" s="61">
        <v>0.63500000000000001</v>
      </c>
      <c r="W7" s="62" t="s">
        <v>113</v>
      </c>
      <c r="X7" s="63"/>
      <c r="Y7" s="64" t="s">
        <v>114</v>
      </c>
      <c r="Z7" s="1899"/>
      <c r="AA7" s="61">
        <v>1.2190000000000001</v>
      </c>
      <c r="AB7" s="62" t="s">
        <v>113</v>
      </c>
      <c r="AC7" s="63">
        <v>1</v>
      </c>
      <c r="AD7" s="64" t="s">
        <v>114</v>
      </c>
      <c r="AE7" s="1899"/>
      <c r="AF7" s="61">
        <v>1.7270000000000001</v>
      </c>
      <c r="AG7" s="62" t="s">
        <v>113</v>
      </c>
      <c r="AH7" s="63"/>
      <c r="AI7" s="64" t="s">
        <v>114</v>
      </c>
      <c r="AJ7" s="1899"/>
      <c r="AK7" s="61">
        <v>0.622</v>
      </c>
      <c r="AL7" s="62" t="s">
        <v>113</v>
      </c>
      <c r="AM7" s="63"/>
      <c r="AN7" s="64" t="s">
        <v>114</v>
      </c>
      <c r="AO7" s="1899"/>
      <c r="AP7" s="61">
        <v>0.43099999999999999</v>
      </c>
      <c r="AQ7" s="62" t="s">
        <v>113</v>
      </c>
      <c r="AR7" s="63">
        <v>1</v>
      </c>
      <c r="AS7" s="64" t="s">
        <v>114</v>
      </c>
      <c r="AT7" s="1899"/>
      <c r="AU7" s="61">
        <v>1.752</v>
      </c>
      <c r="AV7" s="62" t="s">
        <v>113</v>
      </c>
      <c r="AW7" s="63">
        <v>1</v>
      </c>
      <c r="AX7" s="64" t="s">
        <v>114</v>
      </c>
      <c r="AY7" s="1899"/>
      <c r="AZ7" s="61">
        <v>0.43099999999999999</v>
      </c>
      <c r="BA7" s="62" t="s">
        <v>113</v>
      </c>
      <c r="BB7" s="63"/>
      <c r="BC7" s="64" t="s">
        <v>114</v>
      </c>
      <c r="BD7" s="1899"/>
      <c r="BE7" s="61">
        <v>1.905</v>
      </c>
      <c r="BF7" s="62" t="s">
        <v>113</v>
      </c>
      <c r="BG7" s="63">
        <v>1</v>
      </c>
      <c r="BH7" s="64" t="s">
        <v>114</v>
      </c>
      <c r="BI7" s="1899"/>
      <c r="BJ7" s="61">
        <v>2.9460000000000002</v>
      </c>
      <c r="BK7" s="62" t="s">
        <v>113</v>
      </c>
      <c r="BL7" s="63">
        <v>1</v>
      </c>
      <c r="BM7" s="64" t="s">
        <v>114</v>
      </c>
      <c r="BN7" s="1899"/>
      <c r="BO7" s="61">
        <v>1.6</v>
      </c>
      <c r="BP7" s="62" t="s">
        <v>113</v>
      </c>
      <c r="BQ7" s="63"/>
      <c r="BR7" s="64" t="s">
        <v>114</v>
      </c>
      <c r="BW7" s="27"/>
      <c r="BX7" s="27"/>
      <c r="BY7" s="27"/>
      <c r="BZ7" s="27"/>
      <c r="CA7" s="27"/>
      <c r="CB7" s="27"/>
      <c r="CC7" s="27"/>
      <c r="CD7" s="27"/>
      <c r="CE7" s="27"/>
    </row>
    <row r="8" spans="1:83" ht="26.1" customHeight="1" thickTop="1" x14ac:dyDescent="0.25">
      <c r="A8" s="1900" t="s">
        <v>110</v>
      </c>
      <c r="B8" s="1901"/>
      <c r="C8" s="1904">
        <f>B13/((36*3.1415/59)*(156/3.281))</f>
        <v>1.811511736549537E-2</v>
      </c>
      <c r="D8" s="1904"/>
      <c r="E8" s="1905"/>
      <c r="F8" s="1900" t="s">
        <v>110</v>
      </c>
      <c r="G8" s="1901"/>
      <c r="H8" s="1904">
        <f>G13/((36*3.1415/59)*(156/3.281))</f>
        <v>1.5053871002701179E-2</v>
      </c>
      <c r="I8" s="1904"/>
      <c r="J8" s="1905"/>
      <c r="K8" s="1900" t="s">
        <v>110</v>
      </c>
      <c r="L8" s="1901"/>
      <c r="M8" s="1904">
        <f>L13/((36*3.1415/59)*(156/3.281))</f>
        <v>4.7926609722885392E-2</v>
      </c>
      <c r="N8" s="1904"/>
      <c r="O8" s="1905"/>
      <c r="P8" s="1900" t="s">
        <v>110</v>
      </c>
      <c r="Q8" s="1901"/>
      <c r="R8" s="1904">
        <f>Q13/((36*3.1415/59)*(156/3.281))</f>
        <v>8.6351286291004581E-3</v>
      </c>
      <c r="S8" s="1904"/>
      <c r="T8" s="1905"/>
      <c r="U8" s="1900" t="s">
        <v>110</v>
      </c>
      <c r="V8" s="1901"/>
      <c r="W8" s="1904">
        <f>V13/((36*3.1415/59)*(156/3.281))</f>
        <v>1.0588181864144779E-2</v>
      </c>
      <c r="X8" s="1904"/>
      <c r="Y8" s="1905"/>
      <c r="Z8" s="3508" t="s">
        <v>110</v>
      </c>
      <c r="AA8" s="3509"/>
      <c r="AB8" s="3512">
        <f>AA13/((36*3.1415/59)*(136/3.281))</f>
        <v>0.13106820211505471</v>
      </c>
      <c r="AC8" s="3512"/>
      <c r="AD8" s="3513"/>
      <c r="AE8" s="3508" t="s">
        <v>110</v>
      </c>
      <c r="AF8" s="3509"/>
      <c r="AG8" s="3512">
        <f>AF13/((36*3.1415/59)*(136/3.281))</f>
        <v>9.7967628698251E-2</v>
      </c>
      <c r="AH8" s="3512"/>
      <c r="AI8" s="3513"/>
      <c r="AJ8" s="3508" t="s">
        <v>110</v>
      </c>
      <c r="AK8" s="3509"/>
      <c r="AL8" s="3512">
        <f>AK13/((36*3.1415/59)*(136/3.281))</f>
        <v>7.3375035368808239E-2</v>
      </c>
      <c r="AM8" s="3512"/>
      <c r="AN8" s="3513"/>
      <c r="AO8" s="3508" t="s">
        <v>110</v>
      </c>
      <c r="AP8" s="3509"/>
      <c r="AQ8" s="3512">
        <f>AP13/((36*3.1415/59)*(136/3.281))</f>
        <v>3.5063953436963939E-2</v>
      </c>
      <c r="AR8" s="3512"/>
      <c r="AS8" s="3513"/>
      <c r="AT8" s="3508" t="s">
        <v>110</v>
      </c>
      <c r="AU8" s="3509"/>
      <c r="AV8" s="3512">
        <f>AU13/((36*3.1415/59)*(136/3.281))</f>
        <v>1.2585769360001413E-6</v>
      </c>
      <c r="AW8" s="3512"/>
      <c r="AX8" s="3513"/>
      <c r="AY8" s="3508" t="s">
        <v>110</v>
      </c>
      <c r="AZ8" s="3509"/>
      <c r="BA8" s="3512">
        <f>AZ13/((36*3.1415/59)*(136/3.281))</f>
        <v>2.7172676048243048E-2</v>
      </c>
      <c r="BB8" s="3512"/>
      <c r="BC8" s="3513"/>
      <c r="BD8" s="3508" t="s">
        <v>110</v>
      </c>
      <c r="BE8" s="3509"/>
      <c r="BF8" s="3512">
        <f>BE13/((36*3.1415/59)*(136/3.281))</f>
        <v>2.2050267918722478E-2</v>
      </c>
      <c r="BG8" s="3512"/>
      <c r="BH8" s="3513"/>
      <c r="BI8" s="3508" t="s">
        <v>110</v>
      </c>
      <c r="BJ8" s="3509"/>
      <c r="BK8" s="3512">
        <f>BJ13/((36*3.1415/59)*(136/3.281))</f>
        <v>1.2585769360001413E-6</v>
      </c>
      <c r="BL8" s="3512"/>
      <c r="BM8" s="3513"/>
      <c r="BN8" s="3508" t="s">
        <v>110</v>
      </c>
      <c r="BO8" s="3509"/>
      <c r="BP8" s="3512">
        <f>BO13/((36*3.1415/59)*(136/3.281))</f>
        <v>9.2064902868410348E-2</v>
      </c>
      <c r="BQ8" s="3512"/>
      <c r="BR8" s="3513"/>
    </row>
    <row r="9" spans="1:83" ht="11.25" customHeight="1" x14ac:dyDescent="0.25">
      <c r="A9" s="1902"/>
      <c r="B9" s="1903"/>
      <c r="C9" s="1906"/>
      <c r="D9" s="1906"/>
      <c r="E9" s="1907"/>
      <c r="F9" s="1902"/>
      <c r="G9" s="1903"/>
      <c r="H9" s="1906"/>
      <c r="I9" s="1906"/>
      <c r="J9" s="1907"/>
      <c r="K9" s="1902"/>
      <c r="L9" s="1903"/>
      <c r="M9" s="1906"/>
      <c r="N9" s="1906"/>
      <c r="O9" s="1907"/>
      <c r="P9" s="1902"/>
      <c r="Q9" s="1903"/>
      <c r="R9" s="1906"/>
      <c r="S9" s="1906"/>
      <c r="T9" s="1907"/>
      <c r="U9" s="1902"/>
      <c r="V9" s="1903"/>
      <c r="W9" s="1906"/>
      <c r="X9" s="1906"/>
      <c r="Y9" s="1907"/>
      <c r="Z9" s="3510"/>
      <c r="AA9" s="3511"/>
      <c r="AB9" s="3514"/>
      <c r="AC9" s="3514"/>
      <c r="AD9" s="3515"/>
      <c r="AE9" s="3510"/>
      <c r="AF9" s="3511"/>
      <c r="AG9" s="3514"/>
      <c r="AH9" s="3514"/>
      <c r="AI9" s="3515"/>
      <c r="AJ9" s="3510"/>
      <c r="AK9" s="3511"/>
      <c r="AL9" s="3514"/>
      <c r="AM9" s="3514"/>
      <c r="AN9" s="3515"/>
      <c r="AO9" s="3510"/>
      <c r="AP9" s="3511"/>
      <c r="AQ9" s="3514"/>
      <c r="AR9" s="3514"/>
      <c r="AS9" s="3515"/>
      <c r="AT9" s="3510"/>
      <c r="AU9" s="3511"/>
      <c r="AV9" s="3514"/>
      <c r="AW9" s="3514"/>
      <c r="AX9" s="3515"/>
      <c r="AY9" s="3510"/>
      <c r="AZ9" s="3511"/>
      <c r="BA9" s="3514"/>
      <c r="BB9" s="3514"/>
      <c r="BC9" s="3515"/>
      <c r="BD9" s="3510"/>
      <c r="BE9" s="3511"/>
      <c r="BF9" s="3514"/>
      <c r="BG9" s="3514"/>
      <c r="BH9" s="3515"/>
      <c r="BI9" s="3510"/>
      <c r="BJ9" s="3511"/>
      <c r="BK9" s="3514"/>
      <c r="BL9" s="3514"/>
      <c r="BM9" s="3515"/>
      <c r="BN9" s="3510"/>
      <c r="BO9" s="3511"/>
      <c r="BP9" s="3514"/>
      <c r="BQ9" s="3514"/>
      <c r="BR9" s="3515"/>
    </row>
    <row r="10" spans="1:83" ht="21.95" customHeight="1" x14ac:dyDescent="0.25">
      <c r="A10" s="3504" t="s">
        <v>111</v>
      </c>
      <c r="B10" s="3196"/>
      <c r="C10" s="3196"/>
      <c r="D10" s="3196"/>
      <c r="E10" s="3505"/>
      <c r="F10" s="3504" t="s">
        <v>111</v>
      </c>
      <c r="G10" s="3196"/>
      <c r="H10" s="3196"/>
      <c r="I10" s="3196"/>
      <c r="J10" s="3505"/>
      <c r="K10" s="3504" t="s">
        <v>111</v>
      </c>
      <c r="L10" s="3196"/>
      <c r="M10" s="3196"/>
      <c r="N10" s="3196"/>
      <c r="O10" s="3505"/>
      <c r="P10" s="3504" t="s">
        <v>111</v>
      </c>
      <c r="Q10" s="3196"/>
      <c r="R10" s="3196"/>
      <c r="S10" s="3196"/>
      <c r="T10" s="3505"/>
      <c r="U10" s="3504" t="s">
        <v>111</v>
      </c>
      <c r="V10" s="3196"/>
      <c r="W10" s="3196"/>
      <c r="X10" s="3196"/>
      <c r="Y10" s="3505"/>
      <c r="Z10" s="3504" t="s">
        <v>111</v>
      </c>
      <c r="AA10" s="3196"/>
      <c r="AB10" s="3196"/>
      <c r="AC10" s="3196"/>
      <c r="AD10" s="3505"/>
      <c r="AE10" s="3504" t="s">
        <v>111</v>
      </c>
      <c r="AF10" s="3196"/>
      <c r="AG10" s="3196"/>
      <c r="AH10" s="3196"/>
      <c r="AI10" s="3505"/>
      <c r="AJ10" s="3504" t="s">
        <v>111</v>
      </c>
      <c r="AK10" s="3196"/>
      <c r="AL10" s="3196"/>
      <c r="AM10" s="3196"/>
      <c r="AN10" s="3505"/>
      <c r="AO10" s="3504" t="s">
        <v>111</v>
      </c>
      <c r="AP10" s="3196"/>
      <c r="AQ10" s="3196"/>
      <c r="AR10" s="3196"/>
      <c r="AS10" s="3505"/>
      <c r="AT10" s="3504" t="s">
        <v>111</v>
      </c>
      <c r="AU10" s="3196"/>
      <c r="AV10" s="3196"/>
      <c r="AW10" s="3196"/>
      <c r="AX10" s="3505"/>
      <c r="AY10" s="3504" t="s">
        <v>111</v>
      </c>
      <c r="AZ10" s="3196"/>
      <c r="BA10" s="3196"/>
      <c r="BB10" s="3196"/>
      <c r="BC10" s="3505"/>
      <c r="BD10" s="3504" t="s">
        <v>111</v>
      </c>
      <c r="BE10" s="3196"/>
      <c r="BF10" s="3196"/>
      <c r="BG10" s="3196"/>
      <c r="BH10" s="3505"/>
      <c r="BI10" s="3504" t="s">
        <v>111</v>
      </c>
      <c r="BJ10" s="3196"/>
      <c r="BK10" s="3196"/>
      <c r="BL10" s="3196"/>
      <c r="BM10" s="3505"/>
      <c r="BN10" s="3504" t="s">
        <v>111</v>
      </c>
      <c r="BO10" s="3196"/>
      <c r="BP10" s="3196"/>
      <c r="BQ10" s="3196"/>
      <c r="BR10" s="3505"/>
    </row>
    <row r="11" spans="1:83" ht="6" customHeight="1" x14ac:dyDescent="0.25">
      <c r="A11" s="3506"/>
      <c r="B11" s="3197"/>
      <c r="C11" s="3197"/>
      <c r="D11" s="3197"/>
      <c r="E11" s="3507"/>
      <c r="F11" s="3506"/>
      <c r="G11" s="3197"/>
      <c r="H11" s="3197"/>
      <c r="I11" s="3197"/>
      <c r="J11" s="3507"/>
      <c r="K11" s="3506"/>
      <c r="L11" s="3197"/>
      <c r="M11" s="3197"/>
      <c r="N11" s="3197"/>
      <c r="O11" s="3507"/>
      <c r="P11" s="3506"/>
      <c r="Q11" s="3197"/>
      <c r="R11" s="3197"/>
      <c r="S11" s="3197"/>
      <c r="T11" s="3507"/>
      <c r="U11" s="3506"/>
      <c r="V11" s="3197"/>
      <c r="W11" s="3197"/>
      <c r="X11" s="3197"/>
      <c r="Y11" s="3507"/>
      <c r="Z11" s="3506"/>
      <c r="AA11" s="3197"/>
      <c r="AB11" s="3197"/>
      <c r="AC11" s="3197"/>
      <c r="AD11" s="3507"/>
      <c r="AE11" s="3506"/>
      <c r="AF11" s="3197"/>
      <c r="AG11" s="3197"/>
      <c r="AH11" s="3197"/>
      <c r="AI11" s="3507"/>
      <c r="AJ11" s="3506"/>
      <c r="AK11" s="3197"/>
      <c r="AL11" s="3197"/>
      <c r="AM11" s="3197"/>
      <c r="AN11" s="3507"/>
      <c r="AO11" s="3506"/>
      <c r="AP11" s="3197"/>
      <c r="AQ11" s="3197"/>
      <c r="AR11" s="3197"/>
      <c r="AS11" s="3507"/>
      <c r="AT11" s="3506"/>
      <c r="AU11" s="3197"/>
      <c r="AV11" s="3197"/>
      <c r="AW11" s="3197"/>
      <c r="AX11" s="3507"/>
      <c r="AY11" s="3506"/>
      <c r="AZ11" s="3197"/>
      <c r="BA11" s="3197"/>
      <c r="BB11" s="3197"/>
      <c r="BC11" s="3507"/>
      <c r="BD11" s="3506"/>
      <c r="BE11" s="3197"/>
      <c r="BF11" s="3197"/>
      <c r="BG11" s="3197"/>
      <c r="BH11" s="3507"/>
      <c r="BI11" s="3506"/>
      <c r="BJ11" s="3197"/>
      <c r="BK11" s="3197"/>
      <c r="BL11" s="3197"/>
      <c r="BM11" s="3507"/>
      <c r="BN11" s="3506"/>
      <c r="BO11" s="3197"/>
      <c r="BP11" s="3197"/>
      <c r="BQ11" s="3197"/>
      <c r="BR11" s="3507"/>
    </row>
    <row r="12" spans="1:83" s="22" customFormat="1" ht="80.099999999999994" customHeight="1" x14ac:dyDescent="1.35">
      <c r="A12" s="1898" t="s">
        <v>112</v>
      </c>
      <c r="B12" s="588">
        <v>16</v>
      </c>
      <c r="C12" s="589"/>
      <c r="D12" s="589"/>
      <c r="E12" s="590"/>
      <c r="F12" s="1898" t="s">
        <v>112</v>
      </c>
      <c r="G12" s="588">
        <v>17</v>
      </c>
      <c r="H12" s="589"/>
      <c r="I12" s="589"/>
      <c r="J12" s="590"/>
      <c r="K12" s="1898" t="s">
        <v>112</v>
      </c>
      <c r="L12" s="588">
        <v>18</v>
      </c>
      <c r="M12" s="589"/>
      <c r="N12" s="589"/>
      <c r="O12" s="590"/>
      <c r="P12" s="1898" t="s">
        <v>112</v>
      </c>
      <c r="Q12" s="588">
        <v>19</v>
      </c>
      <c r="R12" s="589"/>
      <c r="S12" s="589"/>
      <c r="T12" s="590"/>
      <c r="U12" s="1898" t="s">
        <v>112</v>
      </c>
      <c r="V12" s="588">
        <v>21</v>
      </c>
      <c r="W12" s="589"/>
      <c r="X12" s="589"/>
      <c r="Y12" s="590"/>
      <c r="Z12" s="2642" t="s">
        <v>115</v>
      </c>
      <c r="AA12" s="588">
        <v>61</v>
      </c>
      <c r="AB12" s="589"/>
      <c r="AC12" s="589"/>
      <c r="AD12" s="590"/>
      <c r="AE12" s="2642" t="s">
        <v>115</v>
      </c>
      <c r="AF12" s="588">
        <v>62</v>
      </c>
      <c r="AG12" s="589"/>
      <c r="AH12" s="589"/>
      <c r="AI12" s="590"/>
      <c r="AJ12" s="2642" t="s">
        <v>115</v>
      </c>
      <c r="AK12" s="588">
        <v>63</v>
      </c>
      <c r="AL12" s="589"/>
      <c r="AM12" s="589"/>
      <c r="AN12" s="590"/>
      <c r="AO12" s="2642" t="s">
        <v>115</v>
      </c>
      <c r="AP12" s="588">
        <v>64</v>
      </c>
      <c r="AQ12" s="589"/>
      <c r="AR12" s="589"/>
      <c r="AS12" s="590"/>
      <c r="AT12" s="2642" t="s">
        <v>115</v>
      </c>
      <c r="AU12" s="588">
        <v>65</v>
      </c>
      <c r="AV12" s="589"/>
      <c r="AW12" s="589"/>
      <c r="AX12" s="590"/>
      <c r="AY12" s="2642" t="s">
        <v>115</v>
      </c>
      <c r="AZ12" s="588">
        <v>66</v>
      </c>
      <c r="BA12" s="589"/>
      <c r="BB12" s="589"/>
      <c r="BC12" s="590"/>
      <c r="BD12" s="2642" t="s">
        <v>115</v>
      </c>
      <c r="BE12" s="588">
        <v>67</v>
      </c>
      <c r="BF12" s="589"/>
      <c r="BG12" s="589"/>
      <c r="BH12" s="590"/>
      <c r="BI12" s="2642" t="s">
        <v>115</v>
      </c>
      <c r="BJ12" s="588">
        <v>68</v>
      </c>
      <c r="BK12" s="589"/>
      <c r="BL12" s="589"/>
      <c r="BM12" s="590"/>
      <c r="BN12" s="2642" t="s">
        <v>115</v>
      </c>
      <c r="BO12" s="588">
        <v>69</v>
      </c>
      <c r="BP12" s="589"/>
      <c r="BQ12" s="589"/>
      <c r="BR12" s="590"/>
    </row>
    <row r="13" spans="1:83" ht="27" thickBot="1" x14ac:dyDescent="0.3">
      <c r="A13" s="1899"/>
      <c r="B13" s="61">
        <v>1.651</v>
      </c>
      <c r="C13" s="62" t="s">
        <v>113</v>
      </c>
      <c r="D13" s="63">
        <v>1</v>
      </c>
      <c r="E13" s="64" t="s">
        <v>114</v>
      </c>
      <c r="F13" s="1899"/>
      <c r="G13" s="61">
        <v>1.3720000000000001</v>
      </c>
      <c r="H13" s="62" t="s">
        <v>113</v>
      </c>
      <c r="I13" s="63">
        <v>1</v>
      </c>
      <c r="J13" s="64" t="s">
        <v>114</v>
      </c>
      <c r="K13" s="1899"/>
      <c r="L13" s="61">
        <v>4.3680000000000003</v>
      </c>
      <c r="M13" s="62" t="s">
        <v>113</v>
      </c>
      <c r="N13" s="63">
        <v>1</v>
      </c>
      <c r="O13" s="64" t="s">
        <v>114</v>
      </c>
      <c r="P13" s="1899"/>
      <c r="Q13" s="61">
        <v>0.78700000000000003</v>
      </c>
      <c r="R13" s="62" t="s">
        <v>113</v>
      </c>
      <c r="S13" s="63"/>
      <c r="T13" s="64" t="s">
        <v>114</v>
      </c>
      <c r="U13" s="1899"/>
      <c r="V13" s="61">
        <v>0.96499999999999997</v>
      </c>
      <c r="W13" s="62" t="s">
        <v>113</v>
      </c>
      <c r="X13" s="63">
        <v>1</v>
      </c>
      <c r="Y13" s="64" t="s">
        <v>114</v>
      </c>
      <c r="Z13" s="2643"/>
      <c r="AA13" s="61">
        <v>10.414</v>
      </c>
      <c r="AB13" s="62" t="s">
        <v>113</v>
      </c>
      <c r="AC13" s="63">
        <v>1</v>
      </c>
      <c r="AD13" s="64" t="s">
        <v>114</v>
      </c>
      <c r="AE13" s="2643"/>
      <c r="AF13" s="61">
        <v>7.7839999999999998</v>
      </c>
      <c r="AG13" s="62" t="s">
        <v>113</v>
      </c>
      <c r="AH13" s="63"/>
      <c r="AI13" s="64" t="s">
        <v>114</v>
      </c>
      <c r="AJ13" s="2643"/>
      <c r="AK13" s="61">
        <v>5.83</v>
      </c>
      <c r="AL13" s="62" t="s">
        <v>113</v>
      </c>
      <c r="AM13" s="63">
        <v>1</v>
      </c>
      <c r="AN13" s="64" t="s">
        <v>114</v>
      </c>
      <c r="AO13" s="2643"/>
      <c r="AP13" s="61">
        <v>2.786</v>
      </c>
      <c r="AQ13" s="62" t="s">
        <v>113</v>
      </c>
      <c r="AR13" s="63">
        <v>1</v>
      </c>
      <c r="AS13" s="64" t="s">
        <v>114</v>
      </c>
      <c r="AT13" s="2643"/>
      <c r="AU13" s="61">
        <v>1E-4</v>
      </c>
      <c r="AV13" s="62" t="s">
        <v>113</v>
      </c>
      <c r="AW13" s="63"/>
      <c r="AX13" s="64" t="s">
        <v>114</v>
      </c>
      <c r="AY13" s="2643"/>
      <c r="AZ13" s="61">
        <v>2.1589999999999998</v>
      </c>
      <c r="BA13" s="62" t="s">
        <v>113</v>
      </c>
      <c r="BB13" s="63">
        <v>1</v>
      </c>
      <c r="BC13" s="64" t="s">
        <v>114</v>
      </c>
      <c r="BD13" s="2643"/>
      <c r="BE13" s="61">
        <v>1.752</v>
      </c>
      <c r="BF13" s="62" t="s">
        <v>113</v>
      </c>
      <c r="BG13" s="63"/>
      <c r="BH13" s="64" t="s">
        <v>114</v>
      </c>
      <c r="BI13" s="2643"/>
      <c r="BJ13" s="61">
        <v>1E-4</v>
      </c>
      <c r="BK13" s="62" t="s">
        <v>113</v>
      </c>
      <c r="BL13" s="63"/>
      <c r="BM13" s="64" t="s">
        <v>114</v>
      </c>
      <c r="BN13" s="2643"/>
      <c r="BO13" s="61">
        <v>7.3150000000000004</v>
      </c>
      <c r="BP13" s="62" t="s">
        <v>113</v>
      </c>
      <c r="BQ13" s="63">
        <v>1</v>
      </c>
      <c r="BR13" s="64" t="s">
        <v>114</v>
      </c>
      <c r="BW13" s="27"/>
      <c r="BX13" s="27"/>
      <c r="BY13" s="27"/>
      <c r="BZ13" s="27"/>
      <c r="CA13" s="27"/>
      <c r="CB13" s="27"/>
      <c r="CC13" s="27"/>
      <c r="CD13" s="27"/>
      <c r="CE13" s="27"/>
    </row>
    <row r="14" spans="1:83" ht="29.25" customHeight="1" thickTop="1" x14ac:dyDescent="0.25">
      <c r="A14" s="3508" t="s">
        <v>110</v>
      </c>
      <c r="B14" s="3509"/>
      <c r="C14" s="3512">
        <f>B19/((36*3.1415/59)*(136/3.281))</f>
        <v>4.1558210426724668E-2</v>
      </c>
      <c r="D14" s="3512"/>
      <c r="E14" s="3513"/>
      <c r="F14" s="3508" t="s">
        <v>110</v>
      </c>
      <c r="G14" s="3509"/>
      <c r="H14" s="3512">
        <f>G19/((36*3.1415/59)*(136/3.281))</f>
        <v>1.2623526668081416E-2</v>
      </c>
      <c r="I14" s="3512"/>
      <c r="J14" s="3513"/>
      <c r="K14" s="3508" t="s">
        <v>110</v>
      </c>
      <c r="L14" s="3509"/>
      <c r="M14" s="3512">
        <f>L19/((36*3.1415/59)*(136/3.281))</f>
        <v>3.9959817718004484E-2</v>
      </c>
      <c r="N14" s="3512"/>
      <c r="O14" s="3513"/>
      <c r="P14" s="3508" t="s">
        <v>110</v>
      </c>
      <c r="Q14" s="3509"/>
      <c r="R14" s="3512">
        <f>Q19/((36*3.1415/59)*(136/3.281))</f>
        <v>3.29243726457637E-2</v>
      </c>
      <c r="S14" s="3512"/>
      <c r="T14" s="3513"/>
      <c r="U14" s="3508" t="s">
        <v>110</v>
      </c>
      <c r="V14" s="3509"/>
      <c r="W14" s="3512">
        <f>V19/((36*3.1415/59)*(136/3.281))</f>
        <v>0.10101338488337135</v>
      </c>
      <c r="X14" s="3512"/>
      <c r="Y14" s="3513"/>
      <c r="Z14" s="3508" t="s">
        <v>110</v>
      </c>
      <c r="AA14" s="3509"/>
      <c r="AB14" s="3512">
        <f>AA19/((36*3.1415/59)*(136/3.281))</f>
        <v>2.3006786390082586E-2</v>
      </c>
      <c r="AC14" s="3512"/>
      <c r="AD14" s="3513"/>
      <c r="AE14" s="3508" t="s">
        <v>110</v>
      </c>
      <c r="AF14" s="3509"/>
      <c r="AG14" s="3512">
        <f>AF19/((36*3.1415/59)*(136/3.281))</f>
        <v>5.1463210913045787E-2</v>
      </c>
      <c r="AH14" s="3512"/>
      <c r="AI14" s="3513"/>
      <c r="AJ14" s="3508" t="s">
        <v>110</v>
      </c>
      <c r="AK14" s="3509"/>
      <c r="AL14" s="3512">
        <f>AK19/((36*3.1415/59)*(136/3.281))</f>
        <v>2.554911180080287E-3</v>
      </c>
      <c r="AM14" s="3512"/>
      <c r="AN14" s="3513"/>
      <c r="AO14" s="3508" t="s">
        <v>110</v>
      </c>
      <c r="AP14" s="3509"/>
      <c r="AQ14" s="3512">
        <f>AP19/((36*3.1415/59)*(136/3.281))</f>
        <v>5.4345352096486096E-2</v>
      </c>
      <c r="AR14" s="3512"/>
      <c r="AS14" s="3513"/>
      <c r="AT14" s="3508" t="s">
        <v>110</v>
      </c>
      <c r="AU14" s="3509"/>
      <c r="AV14" s="3512">
        <f>AU19/((36*3.1415/59)*(136/3.281))</f>
        <v>1.470017861248165E-2</v>
      </c>
      <c r="AW14" s="3512"/>
      <c r="AX14" s="3513"/>
      <c r="AY14" s="3508" t="s">
        <v>110</v>
      </c>
      <c r="AZ14" s="3509"/>
      <c r="BA14" s="3512">
        <f>AZ19/((36*3.1415/59)*(136/3.281))</f>
        <v>5.210508515040585E-2</v>
      </c>
      <c r="BB14" s="3512"/>
      <c r="BC14" s="3513"/>
      <c r="BD14" s="3508" t="s">
        <v>110</v>
      </c>
      <c r="BE14" s="3509"/>
      <c r="BF14" s="3512">
        <f>BE19/((36*3.1415/59)*(136/3.281))</f>
        <v>4.36474481404849E-2</v>
      </c>
      <c r="BG14" s="3512"/>
      <c r="BH14" s="3513"/>
      <c r="BI14" s="3508" t="s">
        <v>110</v>
      </c>
      <c r="BJ14" s="3509"/>
      <c r="BK14" s="3512">
        <f>BJ19/((36*3.1415/59)*(136/3.281))</f>
        <v>5.7516965975206464E-3</v>
      </c>
      <c r="BL14" s="3512"/>
      <c r="BM14" s="3513"/>
      <c r="BN14" s="3508" t="s">
        <v>110</v>
      </c>
      <c r="BO14" s="3509"/>
      <c r="BP14" s="3512">
        <f>BO19/((36*3.1415/59)*(136/3.281))</f>
        <v>1.5279124003041716E-2</v>
      </c>
      <c r="BQ14" s="3512"/>
      <c r="BR14" s="3513"/>
    </row>
    <row r="15" spans="1:83" ht="6.75" customHeight="1" x14ac:dyDescent="0.25">
      <c r="A15" s="3510"/>
      <c r="B15" s="3511"/>
      <c r="C15" s="3514"/>
      <c r="D15" s="3514"/>
      <c r="E15" s="3515"/>
      <c r="F15" s="3510"/>
      <c r="G15" s="3511"/>
      <c r="H15" s="3514"/>
      <c r="I15" s="3514"/>
      <c r="J15" s="3515"/>
      <c r="K15" s="3510"/>
      <c r="L15" s="3511"/>
      <c r="M15" s="3514"/>
      <c r="N15" s="3514"/>
      <c r="O15" s="3515"/>
      <c r="P15" s="3510"/>
      <c r="Q15" s="3511"/>
      <c r="R15" s="3514"/>
      <c r="S15" s="3514"/>
      <c r="T15" s="3515"/>
      <c r="U15" s="3510"/>
      <c r="V15" s="3511"/>
      <c r="W15" s="3514"/>
      <c r="X15" s="3514"/>
      <c r="Y15" s="3515"/>
      <c r="Z15" s="3510"/>
      <c r="AA15" s="3511"/>
      <c r="AB15" s="3514"/>
      <c r="AC15" s="3514"/>
      <c r="AD15" s="3515"/>
      <c r="AE15" s="3510"/>
      <c r="AF15" s="3511"/>
      <c r="AG15" s="3514"/>
      <c r="AH15" s="3514"/>
      <c r="AI15" s="3515"/>
      <c r="AJ15" s="3510"/>
      <c r="AK15" s="3511"/>
      <c r="AL15" s="3514"/>
      <c r="AM15" s="3514"/>
      <c r="AN15" s="3515"/>
      <c r="AO15" s="3510"/>
      <c r="AP15" s="3511"/>
      <c r="AQ15" s="3514"/>
      <c r="AR15" s="3514"/>
      <c r="AS15" s="3515"/>
      <c r="AT15" s="3510"/>
      <c r="AU15" s="3511"/>
      <c r="AV15" s="3514"/>
      <c r="AW15" s="3514"/>
      <c r="AX15" s="3515"/>
      <c r="AY15" s="3510"/>
      <c r="AZ15" s="3511"/>
      <c r="BA15" s="3514"/>
      <c r="BB15" s="3514"/>
      <c r="BC15" s="3515"/>
      <c r="BD15" s="3510"/>
      <c r="BE15" s="3511"/>
      <c r="BF15" s="3514"/>
      <c r="BG15" s="3514"/>
      <c r="BH15" s="3515"/>
      <c r="BI15" s="3510"/>
      <c r="BJ15" s="3511"/>
      <c r="BK15" s="3514"/>
      <c r="BL15" s="3514"/>
      <c r="BM15" s="3515"/>
      <c r="BN15" s="3510"/>
      <c r="BO15" s="3511"/>
      <c r="BP15" s="3514"/>
      <c r="BQ15" s="3514"/>
      <c r="BR15" s="3515"/>
    </row>
    <row r="16" spans="1:83" ht="21.95" customHeight="1" thickBot="1" x14ac:dyDescent="0.3">
      <c r="A16" s="3504" t="s">
        <v>111</v>
      </c>
      <c r="B16" s="3196"/>
      <c r="C16" s="3196"/>
      <c r="D16" s="3196"/>
      <c r="E16" s="3505"/>
      <c r="F16" s="3504" t="s">
        <v>111</v>
      </c>
      <c r="G16" s="3196"/>
      <c r="H16" s="3196"/>
      <c r="I16" s="3196"/>
      <c r="J16" s="3505"/>
      <c r="K16" s="3504" t="s">
        <v>111</v>
      </c>
      <c r="L16" s="3196"/>
      <c r="M16" s="3199"/>
      <c r="N16" s="3199"/>
      <c r="O16" s="3516"/>
      <c r="P16" s="3517" t="s">
        <v>111</v>
      </c>
      <c r="Q16" s="3199"/>
      <c r="R16" s="3196"/>
      <c r="S16" s="3196"/>
      <c r="T16" s="3505"/>
      <c r="U16" s="3504" t="s">
        <v>111</v>
      </c>
      <c r="V16" s="3196"/>
      <c r="W16" s="3196"/>
      <c r="X16" s="3196"/>
      <c r="Y16" s="3505"/>
      <c r="Z16" s="3504" t="s">
        <v>111</v>
      </c>
      <c r="AA16" s="3196"/>
      <c r="AB16" s="3196"/>
      <c r="AC16" s="3196"/>
      <c r="AD16" s="3505"/>
      <c r="AE16" s="3504" t="s">
        <v>111</v>
      </c>
      <c r="AF16" s="3196"/>
      <c r="AG16" s="3196"/>
      <c r="AH16" s="3196"/>
      <c r="AI16" s="3505"/>
      <c r="AJ16" s="3504" t="s">
        <v>111</v>
      </c>
      <c r="AK16" s="3196"/>
      <c r="AL16" s="3196"/>
      <c r="AM16" s="3196"/>
      <c r="AN16" s="3505"/>
      <c r="AO16" s="3504" t="s">
        <v>111</v>
      </c>
      <c r="AP16" s="3196"/>
      <c r="AQ16" s="3196"/>
      <c r="AR16" s="3196"/>
      <c r="AS16" s="3505"/>
      <c r="AT16" s="3504" t="s">
        <v>111</v>
      </c>
      <c r="AU16" s="3196"/>
      <c r="AV16" s="3196"/>
      <c r="AW16" s="3196"/>
      <c r="AX16" s="3505"/>
      <c r="AY16" s="3504" t="s">
        <v>111</v>
      </c>
      <c r="AZ16" s="3196"/>
      <c r="BA16" s="3196"/>
      <c r="BB16" s="3196"/>
      <c r="BC16" s="3505"/>
      <c r="BD16" s="3504" t="s">
        <v>111</v>
      </c>
      <c r="BE16" s="3196"/>
      <c r="BF16" s="3196"/>
      <c r="BG16" s="3196"/>
      <c r="BH16" s="3505"/>
      <c r="BI16" s="3504" t="s">
        <v>111</v>
      </c>
      <c r="BJ16" s="3196"/>
      <c r="BK16" s="3196"/>
      <c r="BL16" s="3196"/>
      <c r="BM16" s="3505"/>
      <c r="BN16" s="3504" t="s">
        <v>111</v>
      </c>
      <c r="BO16" s="3196"/>
      <c r="BP16" s="3196"/>
      <c r="BQ16" s="3196"/>
      <c r="BR16" s="3505"/>
    </row>
    <row r="17" spans="1:83" ht="6" customHeight="1" x14ac:dyDescent="0.25">
      <c r="A17" s="3506"/>
      <c r="B17" s="3197"/>
      <c r="C17" s="3197"/>
      <c r="D17" s="3197"/>
      <c r="E17" s="3507"/>
      <c r="F17" s="3506"/>
      <c r="G17" s="3197"/>
      <c r="H17" s="3197"/>
      <c r="I17" s="3197"/>
      <c r="J17" s="3507"/>
      <c r="K17" s="3506"/>
      <c r="L17" s="3197"/>
      <c r="M17" s="3197"/>
      <c r="N17" s="3197"/>
      <c r="O17" s="3507"/>
      <c r="P17" s="3506"/>
      <c r="Q17" s="3197"/>
      <c r="R17" s="3197"/>
      <c r="S17" s="3197"/>
      <c r="T17" s="3507"/>
      <c r="U17" s="3506"/>
      <c r="V17" s="3197"/>
      <c r="W17" s="3197"/>
      <c r="X17" s="3197"/>
      <c r="Y17" s="3507"/>
      <c r="Z17" s="3506"/>
      <c r="AA17" s="3197"/>
      <c r="AB17" s="3197"/>
      <c r="AC17" s="3197"/>
      <c r="AD17" s="3507"/>
      <c r="AE17" s="3506"/>
      <c r="AF17" s="3197"/>
      <c r="AG17" s="3197"/>
      <c r="AH17" s="3197"/>
      <c r="AI17" s="3507"/>
      <c r="AJ17" s="3506"/>
      <c r="AK17" s="3197"/>
      <c r="AL17" s="3197"/>
      <c r="AM17" s="3197"/>
      <c r="AN17" s="3507"/>
      <c r="AO17" s="3506"/>
      <c r="AP17" s="3197"/>
      <c r="AQ17" s="3197"/>
      <c r="AR17" s="3197"/>
      <c r="AS17" s="3507"/>
      <c r="AT17" s="3506"/>
      <c r="AU17" s="3197"/>
      <c r="AV17" s="3197"/>
      <c r="AW17" s="3197"/>
      <c r="AX17" s="3507"/>
      <c r="AY17" s="3506"/>
      <c r="AZ17" s="3197"/>
      <c r="BA17" s="3197"/>
      <c r="BB17" s="3197"/>
      <c r="BC17" s="3507"/>
      <c r="BD17" s="3506"/>
      <c r="BE17" s="3197"/>
      <c r="BF17" s="3197"/>
      <c r="BG17" s="3197"/>
      <c r="BH17" s="3507"/>
      <c r="BI17" s="3506"/>
      <c r="BJ17" s="3197"/>
      <c r="BK17" s="3197"/>
      <c r="BL17" s="3197"/>
      <c r="BM17" s="3507"/>
      <c r="BN17" s="3506"/>
      <c r="BO17" s="3197"/>
      <c r="BP17" s="3197"/>
      <c r="BQ17" s="3197"/>
      <c r="BR17" s="3507"/>
    </row>
    <row r="18" spans="1:83" s="22" customFormat="1" ht="80.099999999999994" customHeight="1" x14ac:dyDescent="1.35">
      <c r="A18" s="2642" t="s">
        <v>115</v>
      </c>
      <c r="B18" s="588">
        <v>70</v>
      </c>
      <c r="C18" s="589"/>
      <c r="D18" s="589"/>
      <c r="E18" s="590"/>
      <c r="F18" s="2642" t="s">
        <v>115</v>
      </c>
      <c r="G18" s="588">
        <v>9</v>
      </c>
      <c r="H18" s="589"/>
      <c r="I18" s="589"/>
      <c r="J18" s="590"/>
      <c r="K18" s="2642" t="s">
        <v>115</v>
      </c>
      <c r="L18" s="588">
        <v>20</v>
      </c>
      <c r="M18" s="589"/>
      <c r="N18" s="589"/>
      <c r="O18" s="590"/>
      <c r="P18" s="2642" t="s">
        <v>115</v>
      </c>
      <c r="Q18" s="588">
        <v>22</v>
      </c>
      <c r="R18" s="589"/>
      <c r="S18" s="589"/>
      <c r="T18" s="590"/>
      <c r="U18" s="2642" t="s">
        <v>115</v>
      </c>
      <c r="V18" s="588">
        <v>23</v>
      </c>
      <c r="W18" s="589"/>
      <c r="X18" s="589"/>
      <c r="Y18" s="590"/>
      <c r="Z18" s="2642" t="s">
        <v>115</v>
      </c>
      <c r="AA18" s="588">
        <v>31</v>
      </c>
      <c r="AB18" s="589"/>
      <c r="AC18" s="589"/>
      <c r="AD18" s="590"/>
      <c r="AE18" s="2642" t="s">
        <v>115</v>
      </c>
      <c r="AF18" s="588">
        <v>24</v>
      </c>
      <c r="AG18" s="589"/>
      <c r="AH18" s="589"/>
      <c r="AI18" s="590"/>
      <c r="AJ18" s="2642" t="s">
        <v>115</v>
      </c>
      <c r="AK18" s="588">
        <v>25</v>
      </c>
      <c r="AL18" s="589"/>
      <c r="AM18" s="589"/>
      <c r="AN18" s="590"/>
      <c r="AO18" s="2642" t="s">
        <v>115</v>
      </c>
      <c r="AP18" s="588">
        <v>26</v>
      </c>
      <c r="AQ18" s="589"/>
      <c r="AR18" s="589"/>
      <c r="AS18" s="590"/>
      <c r="AT18" s="2642" t="s">
        <v>115</v>
      </c>
      <c r="AU18" s="588">
        <v>27</v>
      </c>
      <c r="AV18" s="589"/>
      <c r="AW18" s="589"/>
      <c r="AX18" s="590"/>
      <c r="AY18" s="2642" t="s">
        <v>115</v>
      </c>
      <c r="AZ18" s="588">
        <v>28</v>
      </c>
      <c r="BA18" s="589"/>
      <c r="BB18" s="589"/>
      <c r="BC18" s="590"/>
      <c r="BD18" s="2642" t="s">
        <v>115</v>
      </c>
      <c r="BE18" s="588">
        <v>29</v>
      </c>
      <c r="BF18" s="589"/>
      <c r="BG18" s="589"/>
      <c r="BH18" s="590"/>
      <c r="BI18" s="2642" t="s">
        <v>115</v>
      </c>
      <c r="BJ18" s="588">
        <v>30</v>
      </c>
      <c r="BK18" s="589"/>
      <c r="BL18" s="589"/>
      <c r="BM18" s="590"/>
      <c r="BN18" s="2642" t="s">
        <v>115</v>
      </c>
      <c r="BO18" s="588">
        <v>32</v>
      </c>
      <c r="BP18" s="589"/>
      <c r="BQ18" s="589"/>
      <c r="BR18" s="590"/>
    </row>
    <row r="19" spans="1:83" ht="27" thickBot="1" x14ac:dyDescent="0.3">
      <c r="A19" s="2643"/>
      <c r="B19" s="61">
        <v>3.302</v>
      </c>
      <c r="C19" s="62" t="s">
        <v>113</v>
      </c>
      <c r="D19" s="63"/>
      <c r="E19" s="64" t="s">
        <v>114</v>
      </c>
      <c r="F19" s="2643"/>
      <c r="G19" s="61">
        <v>1.0029999999999999</v>
      </c>
      <c r="H19" s="62" t="s">
        <v>113</v>
      </c>
      <c r="I19" s="63">
        <v>1</v>
      </c>
      <c r="J19" s="64" t="s">
        <v>114</v>
      </c>
      <c r="K19" s="2643"/>
      <c r="L19" s="61">
        <v>3.1749999999999998</v>
      </c>
      <c r="M19" s="62" t="s">
        <v>113</v>
      </c>
      <c r="N19" s="63">
        <v>1</v>
      </c>
      <c r="O19" s="64" t="s">
        <v>114</v>
      </c>
      <c r="P19" s="2643"/>
      <c r="Q19" s="61">
        <v>2.6160000000000001</v>
      </c>
      <c r="R19" s="62" t="s">
        <v>113</v>
      </c>
      <c r="S19" s="63"/>
      <c r="T19" s="64" t="s">
        <v>114</v>
      </c>
      <c r="U19" s="2643"/>
      <c r="V19" s="61">
        <v>8.0259999999999998</v>
      </c>
      <c r="W19" s="62" t="s">
        <v>113</v>
      </c>
      <c r="X19" s="63">
        <v>1</v>
      </c>
      <c r="Y19" s="64" t="s">
        <v>114</v>
      </c>
      <c r="Z19" s="2643"/>
      <c r="AA19" s="61">
        <v>1.8280000000000001</v>
      </c>
      <c r="AB19" s="62" t="s">
        <v>113</v>
      </c>
      <c r="AC19" s="63">
        <v>1</v>
      </c>
      <c r="AD19" s="64" t="s">
        <v>114</v>
      </c>
      <c r="AE19" s="2643"/>
      <c r="AF19" s="61">
        <v>4.0890000000000004</v>
      </c>
      <c r="AG19" s="62" t="s">
        <v>113</v>
      </c>
      <c r="AH19" s="63">
        <v>1</v>
      </c>
      <c r="AI19" s="64" t="s">
        <v>114</v>
      </c>
      <c r="AJ19" s="2643"/>
      <c r="AK19" s="61">
        <v>0.20300000000000001</v>
      </c>
      <c r="AL19" s="62" t="s">
        <v>113</v>
      </c>
      <c r="AM19" s="63"/>
      <c r="AN19" s="64" t="s">
        <v>114</v>
      </c>
      <c r="AO19" s="2643"/>
      <c r="AP19" s="61">
        <v>4.3179999999999996</v>
      </c>
      <c r="AQ19" s="62" t="s">
        <v>113</v>
      </c>
      <c r="AR19" s="63">
        <v>1</v>
      </c>
      <c r="AS19" s="64" t="s">
        <v>114</v>
      </c>
      <c r="AT19" s="2643"/>
      <c r="AU19" s="61">
        <v>1.1679999999999999</v>
      </c>
      <c r="AV19" s="62" t="s">
        <v>113</v>
      </c>
      <c r="AW19" s="63"/>
      <c r="AX19" s="64" t="s">
        <v>114</v>
      </c>
      <c r="AY19" s="2643"/>
      <c r="AZ19" s="61">
        <v>4.1399999999999997</v>
      </c>
      <c r="BA19" s="62" t="s">
        <v>113</v>
      </c>
      <c r="BB19" s="63">
        <v>1</v>
      </c>
      <c r="BC19" s="64" t="s">
        <v>114</v>
      </c>
      <c r="BD19" s="2643"/>
      <c r="BE19" s="61">
        <v>3.468</v>
      </c>
      <c r="BF19" s="62" t="s">
        <v>113</v>
      </c>
      <c r="BG19" s="63">
        <v>1</v>
      </c>
      <c r="BH19" s="64" t="s">
        <v>114</v>
      </c>
      <c r="BI19" s="2643"/>
      <c r="BJ19" s="61">
        <v>0.45700000000000002</v>
      </c>
      <c r="BK19" s="62" t="s">
        <v>113</v>
      </c>
      <c r="BL19" s="63"/>
      <c r="BM19" s="64" t="s">
        <v>114</v>
      </c>
      <c r="BN19" s="2643"/>
      <c r="BO19" s="61">
        <v>1.214</v>
      </c>
      <c r="BP19" s="62" t="s">
        <v>113</v>
      </c>
      <c r="BQ19" s="63">
        <v>1</v>
      </c>
      <c r="BR19" s="64" t="s">
        <v>114</v>
      </c>
      <c r="BW19" s="27"/>
      <c r="BX19" s="27"/>
      <c r="BY19" s="27"/>
      <c r="BZ19" s="27"/>
      <c r="CA19" s="27"/>
      <c r="CB19" s="27"/>
      <c r="CC19" s="27"/>
      <c r="CD19" s="27"/>
      <c r="CE19" s="27"/>
    </row>
    <row r="20" spans="1:83" ht="26.1" customHeight="1" thickTop="1" x14ac:dyDescent="0.25">
      <c r="A20" s="3508" t="s">
        <v>110</v>
      </c>
      <c r="B20" s="3509"/>
      <c r="C20" s="3512">
        <f>B25/((36*3.1415/59)*(136/3.281))</f>
        <v>9.5903562523210768E-3</v>
      </c>
      <c r="D20" s="3512"/>
      <c r="E20" s="3513"/>
      <c r="F20" s="3508" t="s">
        <v>110</v>
      </c>
      <c r="G20" s="3509"/>
      <c r="H20" s="3512">
        <f>G25/((36*3.1415/59)*(136/3.281))</f>
        <v>2.6845446044883016E-2</v>
      </c>
      <c r="I20" s="3512"/>
      <c r="J20" s="3513"/>
      <c r="K20" s="3508" t="s">
        <v>110</v>
      </c>
      <c r="L20" s="3509"/>
      <c r="M20" s="3512">
        <f>L25/((36*3.1415/59)*(136/3.281))</f>
        <v>2.0137230976002264E-2</v>
      </c>
      <c r="N20" s="3512"/>
      <c r="O20" s="3513"/>
      <c r="P20" s="3508" t="s">
        <v>110</v>
      </c>
      <c r="Q20" s="3509"/>
      <c r="R20" s="3512">
        <f>Q25/((36*3.1415/59)*(136/3.281))</f>
        <v>3.7392320768564198E-2</v>
      </c>
      <c r="S20" s="3512"/>
      <c r="T20" s="3513"/>
      <c r="U20" s="3508" t="s">
        <v>110</v>
      </c>
      <c r="V20" s="3509"/>
      <c r="W20" s="3512">
        <f>V25/((36*3.1415/59)*(136/3.281))</f>
        <v>1.2585769360001413E-6</v>
      </c>
      <c r="X20" s="3512"/>
      <c r="Y20" s="3513"/>
      <c r="Z20" s="3508" t="s">
        <v>110</v>
      </c>
      <c r="AA20" s="3509"/>
      <c r="AB20" s="3512">
        <f>AA25/((36*3.1415/59)*(136/3.281))</f>
        <v>1.3416430137761507E-2</v>
      </c>
      <c r="AC20" s="3512"/>
      <c r="AD20" s="3513"/>
      <c r="AE20" s="3508" t="s">
        <v>110</v>
      </c>
      <c r="AF20" s="3509"/>
      <c r="AG20" s="3512">
        <f>AF25/((36*3.1415/59)*(136/3.281))</f>
        <v>2.1408393681362405E-2</v>
      </c>
      <c r="AH20" s="3512"/>
      <c r="AI20" s="3513"/>
      <c r="AJ20" s="3508" t="s">
        <v>110</v>
      </c>
      <c r="AK20" s="3509"/>
      <c r="AL20" s="3512">
        <f>AK25/((36*3.1415/59)*(136/3.281))</f>
        <v>4.4440351610164991E-2</v>
      </c>
      <c r="AM20" s="3512"/>
      <c r="AN20" s="3513"/>
      <c r="AO20" s="3508" t="s">
        <v>110</v>
      </c>
      <c r="AP20" s="3509"/>
      <c r="AQ20" s="3512">
        <f>AP25/((36*3.1415/59)*(136/3.281))</f>
        <v>4.2514728898084775E-2</v>
      </c>
      <c r="AR20" s="3512"/>
      <c r="AS20" s="3513"/>
      <c r="AT20" s="3508" t="s">
        <v>110</v>
      </c>
      <c r="AU20" s="3509"/>
      <c r="AV20" s="3512">
        <f>AU25/((36*3.1415/59)*(136/3.281))</f>
        <v>2.8771068756963232E-2</v>
      </c>
      <c r="AW20" s="3512"/>
      <c r="AX20" s="3513"/>
      <c r="AY20" s="3508" t="s">
        <v>110</v>
      </c>
      <c r="AZ20" s="3509"/>
      <c r="BA20" s="3512">
        <f>AZ25/((36*3.1415/59)*(136/3.281))</f>
        <v>5.4244665941606089E-3</v>
      </c>
      <c r="BB20" s="3512"/>
      <c r="BC20" s="3513"/>
      <c r="BD20" s="3508" t="s">
        <v>110</v>
      </c>
      <c r="BE20" s="3509"/>
      <c r="BF20" s="3512">
        <f>BE25/((36*3.1415/59)*(136/3.281))</f>
        <v>1.6613215555201868E-2</v>
      </c>
      <c r="BG20" s="3512"/>
      <c r="BH20" s="3513"/>
      <c r="BI20" s="3508" t="s">
        <v>110</v>
      </c>
      <c r="BJ20" s="3509"/>
      <c r="BK20" s="3512">
        <f>BJ25/((36*3.1415/59)*(136/3.281))</f>
        <v>1.7896964029922011E-2</v>
      </c>
      <c r="BL20" s="3512"/>
      <c r="BM20" s="3513"/>
      <c r="BN20" s="3508" t="s">
        <v>110</v>
      </c>
      <c r="BO20" s="3509"/>
      <c r="BP20" s="3512">
        <f>BO25/((36*3.1415/59)*(136/3.281))</f>
        <v>2.554911180080287E-3</v>
      </c>
      <c r="BQ20" s="3512"/>
      <c r="BR20" s="3513"/>
    </row>
    <row r="21" spans="1:83" ht="9" customHeight="1" x14ac:dyDescent="0.25">
      <c r="A21" s="3510"/>
      <c r="B21" s="3511"/>
      <c r="C21" s="3514"/>
      <c r="D21" s="3514"/>
      <c r="E21" s="3515"/>
      <c r="F21" s="3510"/>
      <c r="G21" s="3511"/>
      <c r="H21" s="3514"/>
      <c r="I21" s="3514"/>
      <c r="J21" s="3515"/>
      <c r="K21" s="3510"/>
      <c r="L21" s="3511"/>
      <c r="M21" s="3514"/>
      <c r="N21" s="3514"/>
      <c r="O21" s="3515"/>
      <c r="P21" s="3510"/>
      <c r="Q21" s="3511"/>
      <c r="R21" s="3514"/>
      <c r="S21" s="3514"/>
      <c r="T21" s="3515"/>
      <c r="U21" s="3510"/>
      <c r="V21" s="3511"/>
      <c r="W21" s="3514"/>
      <c r="X21" s="3514"/>
      <c r="Y21" s="3515"/>
      <c r="Z21" s="3510"/>
      <c r="AA21" s="3511"/>
      <c r="AB21" s="3514"/>
      <c r="AC21" s="3514"/>
      <c r="AD21" s="3515"/>
      <c r="AE21" s="3510"/>
      <c r="AF21" s="3511"/>
      <c r="AG21" s="3514"/>
      <c r="AH21" s="3514"/>
      <c r="AI21" s="3515"/>
      <c r="AJ21" s="3510"/>
      <c r="AK21" s="3511"/>
      <c r="AL21" s="3514"/>
      <c r="AM21" s="3514"/>
      <c r="AN21" s="3515"/>
      <c r="AO21" s="3510"/>
      <c r="AP21" s="3511"/>
      <c r="AQ21" s="3514"/>
      <c r="AR21" s="3514"/>
      <c r="AS21" s="3515"/>
      <c r="AT21" s="3510"/>
      <c r="AU21" s="3511"/>
      <c r="AV21" s="3514"/>
      <c r="AW21" s="3514"/>
      <c r="AX21" s="3515"/>
      <c r="AY21" s="3510"/>
      <c r="AZ21" s="3511"/>
      <c r="BA21" s="3514"/>
      <c r="BB21" s="3514"/>
      <c r="BC21" s="3515"/>
      <c r="BD21" s="3510"/>
      <c r="BE21" s="3511"/>
      <c r="BF21" s="3514"/>
      <c r="BG21" s="3514"/>
      <c r="BH21" s="3515"/>
      <c r="BI21" s="3510"/>
      <c r="BJ21" s="3511"/>
      <c r="BK21" s="3514"/>
      <c r="BL21" s="3514"/>
      <c r="BM21" s="3515"/>
      <c r="BN21" s="3510"/>
      <c r="BO21" s="3511"/>
      <c r="BP21" s="3514"/>
      <c r="BQ21" s="3514"/>
      <c r="BR21" s="3515"/>
    </row>
    <row r="22" spans="1:83" ht="21.95" customHeight="1" x14ac:dyDescent="0.25">
      <c r="A22" s="3504" t="s">
        <v>111</v>
      </c>
      <c r="B22" s="3196"/>
      <c r="C22" s="3196"/>
      <c r="D22" s="3196"/>
      <c r="E22" s="3505"/>
      <c r="F22" s="3504" t="s">
        <v>111</v>
      </c>
      <c r="G22" s="3196"/>
      <c r="H22" s="3196"/>
      <c r="I22" s="3196"/>
      <c r="J22" s="3505"/>
      <c r="K22" s="3504" t="s">
        <v>111</v>
      </c>
      <c r="L22" s="3196"/>
      <c r="M22" s="3196"/>
      <c r="N22" s="3196"/>
      <c r="O22" s="3505"/>
      <c r="P22" s="3504" t="s">
        <v>111</v>
      </c>
      <c r="Q22" s="3196"/>
      <c r="R22" s="3196"/>
      <c r="S22" s="3196"/>
      <c r="T22" s="3505"/>
      <c r="U22" s="3504" t="s">
        <v>111</v>
      </c>
      <c r="V22" s="3196"/>
      <c r="W22" s="3196"/>
      <c r="X22" s="3196"/>
      <c r="Y22" s="3505"/>
      <c r="Z22" s="3504" t="s">
        <v>111</v>
      </c>
      <c r="AA22" s="3196"/>
      <c r="AB22" s="3196"/>
      <c r="AC22" s="3196"/>
      <c r="AD22" s="3505"/>
      <c r="AE22" s="3504" t="s">
        <v>111</v>
      </c>
      <c r="AF22" s="3196"/>
      <c r="AG22" s="3196"/>
      <c r="AH22" s="3196"/>
      <c r="AI22" s="3505"/>
      <c r="AJ22" s="3504" t="s">
        <v>111</v>
      </c>
      <c r="AK22" s="3196"/>
      <c r="AL22" s="3196"/>
      <c r="AM22" s="3196"/>
      <c r="AN22" s="3505"/>
      <c r="AO22" s="3504" t="s">
        <v>111</v>
      </c>
      <c r="AP22" s="3196"/>
      <c r="AQ22" s="3196"/>
      <c r="AR22" s="3196"/>
      <c r="AS22" s="3505"/>
      <c r="AT22" s="3504" t="s">
        <v>111</v>
      </c>
      <c r="AU22" s="3196"/>
      <c r="AV22" s="3196"/>
      <c r="AW22" s="3196"/>
      <c r="AX22" s="3505"/>
      <c r="AY22" s="3504" t="s">
        <v>111</v>
      </c>
      <c r="AZ22" s="3196"/>
      <c r="BA22" s="3196"/>
      <c r="BB22" s="3196"/>
      <c r="BC22" s="3505"/>
      <c r="BD22" s="3504" t="s">
        <v>111</v>
      </c>
      <c r="BE22" s="3196"/>
      <c r="BF22" s="3196"/>
      <c r="BG22" s="3196"/>
      <c r="BH22" s="3505"/>
      <c r="BI22" s="3504" t="s">
        <v>111</v>
      </c>
      <c r="BJ22" s="3196"/>
      <c r="BK22" s="3196"/>
      <c r="BL22" s="3196"/>
      <c r="BM22" s="3505"/>
      <c r="BN22" s="3504" t="s">
        <v>111</v>
      </c>
      <c r="BO22" s="3196"/>
      <c r="BP22" s="3196"/>
      <c r="BQ22" s="3196"/>
      <c r="BR22" s="3505"/>
    </row>
    <row r="23" spans="1:83" ht="6" customHeight="1" x14ac:dyDescent="0.25">
      <c r="A23" s="3506"/>
      <c r="B23" s="3197"/>
      <c r="C23" s="3197"/>
      <c r="D23" s="3197"/>
      <c r="E23" s="3507"/>
      <c r="F23" s="3506"/>
      <c r="G23" s="3197"/>
      <c r="H23" s="3197"/>
      <c r="I23" s="3197"/>
      <c r="J23" s="3507"/>
      <c r="K23" s="3506"/>
      <c r="L23" s="3197"/>
      <c r="M23" s="3197"/>
      <c r="N23" s="3197"/>
      <c r="O23" s="3507"/>
      <c r="P23" s="3506"/>
      <c r="Q23" s="3197"/>
      <c r="R23" s="3197"/>
      <c r="S23" s="3197"/>
      <c r="T23" s="3507"/>
      <c r="U23" s="3506"/>
      <c r="V23" s="3197"/>
      <c r="W23" s="3197"/>
      <c r="X23" s="3197"/>
      <c r="Y23" s="3507"/>
      <c r="Z23" s="3506"/>
      <c r="AA23" s="3197"/>
      <c r="AB23" s="3197"/>
      <c r="AC23" s="3197"/>
      <c r="AD23" s="3507"/>
      <c r="AE23" s="3506"/>
      <c r="AF23" s="3197"/>
      <c r="AG23" s="3197"/>
      <c r="AH23" s="3197"/>
      <c r="AI23" s="3507"/>
      <c r="AJ23" s="3506"/>
      <c r="AK23" s="3197"/>
      <c r="AL23" s="3197"/>
      <c r="AM23" s="3197"/>
      <c r="AN23" s="3507"/>
      <c r="AO23" s="3506"/>
      <c r="AP23" s="3197"/>
      <c r="AQ23" s="3197"/>
      <c r="AR23" s="3197"/>
      <c r="AS23" s="3507"/>
      <c r="AT23" s="3506"/>
      <c r="AU23" s="3197"/>
      <c r="AV23" s="3197"/>
      <c r="AW23" s="3197"/>
      <c r="AX23" s="3507"/>
      <c r="AY23" s="3506"/>
      <c r="AZ23" s="3197"/>
      <c r="BA23" s="3197"/>
      <c r="BB23" s="3197"/>
      <c r="BC23" s="3507"/>
      <c r="BD23" s="3506"/>
      <c r="BE23" s="3197"/>
      <c r="BF23" s="3197"/>
      <c r="BG23" s="3197"/>
      <c r="BH23" s="3507"/>
      <c r="BI23" s="3506"/>
      <c r="BJ23" s="3197"/>
      <c r="BK23" s="3197"/>
      <c r="BL23" s="3197"/>
      <c r="BM23" s="3507"/>
      <c r="BN23" s="3506"/>
      <c r="BO23" s="3197"/>
      <c r="BP23" s="3197"/>
      <c r="BQ23" s="3197"/>
      <c r="BR23" s="3507"/>
    </row>
    <row r="24" spans="1:83" s="22" customFormat="1" ht="80.099999999999994" customHeight="1" x14ac:dyDescent="1.35">
      <c r="A24" s="2642" t="s">
        <v>115</v>
      </c>
      <c r="B24" s="588">
        <v>33</v>
      </c>
      <c r="C24" s="589"/>
      <c r="D24" s="589"/>
      <c r="E24" s="590"/>
      <c r="F24" s="2642" t="s">
        <v>115</v>
      </c>
      <c r="G24" s="588">
        <v>34</v>
      </c>
      <c r="H24" s="589"/>
      <c r="I24" s="589"/>
      <c r="J24" s="590"/>
      <c r="K24" s="2642" t="s">
        <v>115</v>
      </c>
      <c r="L24" s="588">
        <v>35</v>
      </c>
      <c r="M24" s="589"/>
      <c r="N24" s="589"/>
      <c r="O24" s="590"/>
      <c r="P24" s="2642" t="s">
        <v>115</v>
      </c>
      <c r="Q24" s="588">
        <v>36</v>
      </c>
      <c r="R24" s="589"/>
      <c r="S24" s="589"/>
      <c r="T24" s="590"/>
      <c r="U24" s="2642" t="s">
        <v>115</v>
      </c>
      <c r="V24" s="588">
        <v>37</v>
      </c>
      <c r="W24" s="589"/>
      <c r="X24" s="589"/>
      <c r="Y24" s="590"/>
      <c r="Z24" s="2642" t="s">
        <v>115</v>
      </c>
      <c r="AA24" s="588">
        <v>38</v>
      </c>
      <c r="AB24" s="589"/>
      <c r="AC24" s="589"/>
      <c r="AD24" s="590"/>
      <c r="AE24" s="2642" t="s">
        <v>115</v>
      </c>
      <c r="AF24" s="588">
        <v>39</v>
      </c>
      <c r="AG24" s="589"/>
      <c r="AH24" s="589"/>
      <c r="AI24" s="590"/>
      <c r="AJ24" s="2642" t="s">
        <v>115</v>
      </c>
      <c r="AK24" s="588">
        <v>40</v>
      </c>
      <c r="AL24" s="589"/>
      <c r="AM24" s="589"/>
      <c r="AN24" s="590"/>
      <c r="AO24" s="2642" t="s">
        <v>115</v>
      </c>
      <c r="AP24" s="588">
        <v>41</v>
      </c>
      <c r="AQ24" s="589"/>
      <c r="AR24" s="589"/>
      <c r="AS24" s="590"/>
      <c r="AT24" s="2642" t="s">
        <v>115</v>
      </c>
      <c r="AU24" s="588">
        <v>42</v>
      </c>
      <c r="AV24" s="589"/>
      <c r="AW24" s="589"/>
      <c r="AX24" s="590"/>
      <c r="AY24" s="2642" t="s">
        <v>115</v>
      </c>
      <c r="AZ24" s="588">
        <v>43</v>
      </c>
      <c r="BA24" s="589"/>
      <c r="BB24" s="589"/>
      <c r="BC24" s="590"/>
      <c r="BD24" s="2642" t="s">
        <v>115</v>
      </c>
      <c r="BE24" s="588">
        <v>44</v>
      </c>
      <c r="BF24" s="589"/>
      <c r="BG24" s="589"/>
      <c r="BH24" s="590"/>
      <c r="BI24" s="2642" t="s">
        <v>115</v>
      </c>
      <c r="BJ24" s="588">
        <v>45</v>
      </c>
      <c r="BK24" s="589"/>
      <c r="BL24" s="589"/>
      <c r="BM24" s="590"/>
      <c r="BN24" s="2642" t="s">
        <v>115</v>
      </c>
      <c r="BO24" s="588">
        <v>46</v>
      </c>
      <c r="BP24" s="589"/>
      <c r="BQ24" s="589"/>
      <c r="BR24" s="590"/>
    </row>
    <row r="25" spans="1:83" ht="27" customHeight="1" thickBot="1" x14ac:dyDescent="0.3">
      <c r="A25" s="2643"/>
      <c r="B25" s="61">
        <v>0.76200000000000001</v>
      </c>
      <c r="C25" s="62" t="s">
        <v>113</v>
      </c>
      <c r="D25" s="63"/>
      <c r="E25" s="64" t="s">
        <v>114</v>
      </c>
      <c r="F25" s="2643"/>
      <c r="G25" s="61">
        <v>2.133</v>
      </c>
      <c r="H25" s="62" t="s">
        <v>113</v>
      </c>
      <c r="I25" s="63">
        <v>1</v>
      </c>
      <c r="J25" s="64" t="s">
        <v>114</v>
      </c>
      <c r="K25" s="2643"/>
      <c r="L25" s="61">
        <v>1.6</v>
      </c>
      <c r="M25" s="62" t="s">
        <v>113</v>
      </c>
      <c r="N25" s="63"/>
      <c r="O25" s="64" t="s">
        <v>114</v>
      </c>
      <c r="P25" s="2643"/>
      <c r="Q25" s="61">
        <v>2.9710000000000001</v>
      </c>
      <c r="R25" s="62" t="s">
        <v>113</v>
      </c>
      <c r="S25" s="63">
        <v>1</v>
      </c>
      <c r="T25" s="64" t="s">
        <v>114</v>
      </c>
      <c r="U25" s="2643"/>
      <c r="V25" s="61">
        <v>1E-4</v>
      </c>
      <c r="W25" s="62" t="s">
        <v>113</v>
      </c>
      <c r="X25" s="63"/>
      <c r="Y25" s="64" t="s">
        <v>114</v>
      </c>
      <c r="Z25" s="2643"/>
      <c r="AA25" s="61">
        <v>1.0660000000000001</v>
      </c>
      <c r="AB25" s="62" t="s">
        <v>113</v>
      </c>
      <c r="AC25" s="63"/>
      <c r="AD25" s="64" t="s">
        <v>114</v>
      </c>
      <c r="AE25" s="2643"/>
      <c r="AF25" s="61">
        <v>1.7010000000000001</v>
      </c>
      <c r="AG25" s="62" t="s">
        <v>113</v>
      </c>
      <c r="AH25" s="63">
        <v>1</v>
      </c>
      <c r="AI25" s="64" t="s">
        <v>114</v>
      </c>
      <c r="AJ25" s="2643"/>
      <c r="AK25" s="61">
        <v>3.5310000000000001</v>
      </c>
      <c r="AL25" s="62" t="s">
        <v>113</v>
      </c>
      <c r="AM25" s="63">
        <v>1</v>
      </c>
      <c r="AN25" s="64" t="s">
        <v>114</v>
      </c>
      <c r="AO25" s="2643"/>
      <c r="AP25" s="61">
        <v>3.3780000000000001</v>
      </c>
      <c r="AQ25" s="62" t="s">
        <v>113</v>
      </c>
      <c r="AR25" s="63"/>
      <c r="AS25" s="64" t="s">
        <v>114</v>
      </c>
      <c r="AT25" s="2643"/>
      <c r="AU25" s="61">
        <v>2.286</v>
      </c>
      <c r="AV25" s="62" t="s">
        <v>113</v>
      </c>
      <c r="AW25" s="63"/>
      <c r="AX25" s="64" t="s">
        <v>114</v>
      </c>
      <c r="AY25" s="2643"/>
      <c r="AZ25" s="61">
        <v>0.43099999999999999</v>
      </c>
      <c r="BA25" s="62" t="s">
        <v>113</v>
      </c>
      <c r="BB25" s="63"/>
      <c r="BC25" s="64" t="s">
        <v>114</v>
      </c>
      <c r="BD25" s="2643"/>
      <c r="BE25" s="61">
        <v>1.32</v>
      </c>
      <c r="BF25" s="62" t="s">
        <v>113</v>
      </c>
      <c r="BG25" s="63">
        <v>1</v>
      </c>
      <c r="BH25" s="64" t="s">
        <v>114</v>
      </c>
      <c r="BI25" s="2643"/>
      <c r="BJ25" s="61">
        <v>1.4219999999999999</v>
      </c>
      <c r="BK25" s="62" t="s">
        <v>113</v>
      </c>
      <c r="BL25" s="63">
        <v>1</v>
      </c>
      <c r="BM25" s="64" t="s">
        <v>114</v>
      </c>
      <c r="BN25" s="2643"/>
      <c r="BO25" s="61">
        <v>0.20300000000000001</v>
      </c>
      <c r="BP25" s="62" t="s">
        <v>113</v>
      </c>
      <c r="BQ25" s="63"/>
      <c r="BR25" s="64" t="s">
        <v>114</v>
      </c>
      <c r="BW25" s="27"/>
      <c r="BX25" s="27"/>
      <c r="BY25" s="27"/>
      <c r="BZ25" s="27"/>
      <c r="CA25" s="27"/>
      <c r="CB25" s="27"/>
      <c r="CC25" s="27"/>
      <c r="CD25" s="27"/>
      <c r="CE25" s="27"/>
    </row>
    <row r="26" spans="1:83" ht="26.1" customHeight="1" thickTop="1" x14ac:dyDescent="0.25">
      <c r="A26" s="3508" t="s">
        <v>110</v>
      </c>
      <c r="B26" s="3509"/>
      <c r="C26" s="3512">
        <f>B31/((36*3.1415/59)*(136/3.281))</f>
        <v>7.4872741922648409E-2</v>
      </c>
      <c r="D26" s="3512"/>
      <c r="E26" s="3513"/>
      <c r="F26" s="3508" t="s">
        <v>110</v>
      </c>
      <c r="G26" s="3509"/>
      <c r="H26" s="3512">
        <f>G31/((36*3.1415/59)*(136/3.281))</f>
        <v>1.3101785903761471E-2</v>
      </c>
      <c r="I26" s="3512"/>
      <c r="J26" s="3513"/>
      <c r="K26" s="3508" t="s">
        <v>110</v>
      </c>
      <c r="L26" s="3509"/>
      <c r="M26" s="3512">
        <f>L31/((36*3.1415/59)*(136/3.281))</f>
        <v>1.2145267432401364E-2</v>
      </c>
      <c r="N26" s="3512"/>
      <c r="O26" s="3513"/>
      <c r="P26" s="3508" t="s">
        <v>110</v>
      </c>
      <c r="Q26" s="3509"/>
      <c r="R26" s="3512">
        <f>Q31/((36*3.1415/59)*(136/3.281))</f>
        <v>8.3066077776009339E-3</v>
      </c>
      <c r="S26" s="3512"/>
      <c r="T26" s="3513"/>
      <c r="U26" s="3508" t="s">
        <v>110</v>
      </c>
      <c r="V26" s="3509"/>
      <c r="W26" s="3512">
        <f>V31/((36*3.1415/59)*(136/3.281))</f>
        <v>1.5656697083841757E-2</v>
      </c>
      <c r="X26" s="3512"/>
      <c r="Y26" s="3513"/>
      <c r="Z26" s="3508" t="s">
        <v>110</v>
      </c>
      <c r="AA26" s="3509"/>
      <c r="AB26" s="3512">
        <f>AA31/((36*3.1415/59)*(136/3.281))</f>
        <v>2.22768117672025E-3</v>
      </c>
      <c r="AC26" s="3512"/>
      <c r="AD26" s="3513"/>
      <c r="AE26" s="3508" t="s">
        <v>110</v>
      </c>
      <c r="AF26" s="3509"/>
      <c r="AG26" s="3512">
        <f>AF31/((36*3.1415/59)*(136/3.281))</f>
        <v>4.4679481228005018E-3</v>
      </c>
      <c r="AH26" s="3512"/>
      <c r="AI26" s="3513"/>
      <c r="AJ26" s="3508" t="s">
        <v>110</v>
      </c>
      <c r="AK26" s="3509"/>
      <c r="AL26" s="3512">
        <f>AK31/((36*3.1415/59)*(136/3.281))</f>
        <v>1.2585769360001413E-6</v>
      </c>
      <c r="AM26" s="3512"/>
      <c r="AN26" s="3513"/>
      <c r="AO26" s="3508" t="s">
        <v>110</v>
      </c>
      <c r="AP26" s="3509"/>
      <c r="AQ26" s="3512">
        <f>AP31/((36*3.1415/59)*(136/3.281))</f>
        <v>7.6647335402408607E-3</v>
      </c>
      <c r="AR26" s="3512"/>
      <c r="AS26" s="3513"/>
      <c r="AT26" s="3508" t="s">
        <v>110</v>
      </c>
      <c r="AU26" s="3509"/>
      <c r="AV26" s="3512">
        <f>AU31/((36*3.1415/59)*(136/3.281))</f>
        <v>1.4070890144481582E-2</v>
      </c>
      <c r="AW26" s="3512"/>
      <c r="AX26" s="3513"/>
      <c r="AY26" s="3508" t="s">
        <v>110</v>
      </c>
      <c r="AZ26" s="3509"/>
      <c r="BA26" s="3512">
        <f>AZ31/((36*3.1415/59)*(136/3.281))</f>
        <v>1.2585769360001413E-6</v>
      </c>
      <c r="BB26" s="3512"/>
      <c r="BC26" s="3513"/>
      <c r="BD26" s="3508" t="s">
        <v>110</v>
      </c>
      <c r="BE26" s="3509"/>
      <c r="BF26" s="3512">
        <f>BE31/((36*3.1415/59)*(136/3.281))</f>
        <v>2.8695554140803223E-3</v>
      </c>
      <c r="BG26" s="3512"/>
      <c r="BH26" s="3513"/>
      <c r="BI26" s="3508" t="s">
        <v>110</v>
      </c>
      <c r="BJ26" s="3509"/>
      <c r="BK26" s="3512">
        <f>BJ31/((36*3.1415/59)*(136/3.281))</f>
        <v>7.0228593028807892E-3</v>
      </c>
      <c r="BL26" s="3512"/>
      <c r="BM26" s="3513"/>
      <c r="BN26" s="3508" t="s">
        <v>110</v>
      </c>
      <c r="BO26" s="3509"/>
      <c r="BP26" s="3512">
        <f>BO31/((36*3.1415/59)*(136/3.281))</f>
        <v>1.9810000972642225E-2</v>
      </c>
      <c r="BQ26" s="3512"/>
      <c r="BR26" s="3513"/>
    </row>
    <row r="27" spans="1:83" ht="6.75" customHeight="1" x14ac:dyDescent="0.25">
      <c r="A27" s="3510"/>
      <c r="B27" s="3511"/>
      <c r="C27" s="3514"/>
      <c r="D27" s="3514"/>
      <c r="E27" s="3515"/>
      <c r="F27" s="3510"/>
      <c r="G27" s="3511"/>
      <c r="H27" s="3514"/>
      <c r="I27" s="3514"/>
      <c r="J27" s="3515"/>
      <c r="K27" s="3510"/>
      <c r="L27" s="3511"/>
      <c r="M27" s="3514"/>
      <c r="N27" s="3514"/>
      <c r="O27" s="3515"/>
      <c r="P27" s="3510"/>
      <c r="Q27" s="3511"/>
      <c r="R27" s="3514"/>
      <c r="S27" s="3514"/>
      <c r="T27" s="3515"/>
      <c r="U27" s="3510"/>
      <c r="V27" s="3511"/>
      <c r="W27" s="3514"/>
      <c r="X27" s="3514"/>
      <c r="Y27" s="3515"/>
      <c r="Z27" s="3510"/>
      <c r="AA27" s="3511"/>
      <c r="AB27" s="3514"/>
      <c r="AC27" s="3514"/>
      <c r="AD27" s="3515"/>
      <c r="AE27" s="3510"/>
      <c r="AF27" s="3511"/>
      <c r="AG27" s="3514"/>
      <c r="AH27" s="3514"/>
      <c r="AI27" s="3515"/>
      <c r="AJ27" s="3510"/>
      <c r="AK27" s="3511"/>
      <c r="AL27" s="3514"/>
      <c r="AM27" s="3514"/>
      <c r="AN27" s="3515"/>
      <c r="AO27" s="3510"/>
      <c r="AP27" s="3511"/>
      <c r="AQ27" s="3514"/>
      <c r="AR27" s="3514"/>
      <c r="AS27" s="3515"/>
      <c r="AT27" s="3510"/>
      <c r="AU27" s="3511"/>
      <c r="AV27" s="3514"/>
      <c r="AW27" s="3514"/>
      <c r="AX27" s="3515"/>
      <c r="AY27" s="3510"/>
      <c r="AZ27" s="3511"/>
      <c r="BA27" s="3514"/>
      <c r="BB27" s="3514"/>
      <c r="BC27" s="3515"/>
      <c r="BD27" s="3510"/>
      <c r="BE27" s="3511"/>
      <c r="BF27" s="3514"/>
      <c r="BG27" s="3514"/>
      <c r="BH27" s="3515"/>
      <c r="BI27" s="3510"/>
      <c r="BJ27" s="3511"/>
      <c r="BK27" s="3514"/>
      <c r="BL27" s="3514"/>
      <c r="BM27" s="3515"/>
      <c r="BN27" s="3510"/>
      <c r="BO27" s="3511"/>
      <c r="BP27" s="3514"/>
      <c r="BQ27" s="3514"/>
      <c r="BR27" s="3515"/>
    </row>
    <row r="28" spans="1:83" ht="21.95" customHeight="1" x14ac:dyDescent="0.25">
      <c r="A28" s="3504" t="s">
        <v>111</v>
      </c>
      <c r="B28" s="3196"/>
      <c r="C28" s="3196"/>
      <c r="D28" s="3196"/>
      <c r="E28" s="3505"/>
      <c r="F28" s="3504" t="s">
        <v>111</v>
      </c>
      <c r="G28" s="3196"/>
      <c r="H28" s="3196"/>
      <c r="I28" s="3196"/>
      <c r="J28" s="3505"/>
      <c r="K28" s="3504" t="s">
        <v>111</v>
      </c>
      <c r="L28" s="3196"/>
      <c r="M28" s="3196"/>
      <c r="N28" s="3196"/>
      <c r="O28" s="3505"/>
      <c r="P28" s="3504" t="s">
        <v>111</v>
      </c>
      <c r="Q28" s="3196"/>
      <c r="R28" s="3196"/>
      <c r="S28" s="3196"/>
      <c r="T28" s="3505"/>
      <c r="U28" s="3504" t="s">
        <v>111</v>
      </c>
      <c r="V28" s="3196"/>
      <c r="W28" s="3196"/>
      <c r="X28" s="3196"/>
      <c r="Y28" s="3505"/>
      <c r="Z28" s="3504" t="s">
        <v>111</v>
      </c>
      <c r="AA28" s="3196"/>
      <c r="AB28" s="3196"/>
      <c r="AC28" s="3196"/>
      <c r="AD28" s="3505"/>
      <c r="AE28" s="3504" t="s">
        <v>111</v>
      </c>
      <c r="AF28" s="3196"/>
      <c r="AG28" s="3196"/>
      <c r="AH28" s="3196"/>
      <c r="AI28" s="3505"/>
      <c r="AJ28" s="3504" t="s">
        <v>111</v>
      </c>
      <c r="AK28" s="3196"/>
      <c r="AL28" s="3196"/>
      <c r="AM28" s="3196"/>
      <c r="AN28" s="3505"/>
      <c r="AO28" s="3504" t="s">
        <v>111</v>
      </c>
      <c r="AP28" s="3196"/>
      <c r="AQ28" s="3196"/>
      <c r="AR28" s="3196"/>
      <c r="AS28" s="3505"/>
      <c r="AT28" s="3504" t="s">
        <v>111</v>
      </c>
      <c r="AU28" s="3196"/>
      <c r="AV28" s="3196"/>
      <c r="AW28" s="3196"/>
      <c r="AX28" s="3505"/>
      <c r="AY28" s="3504" t="s">
        <v>111</v>
      </c>
      <c r="AZ28" s="3196"/>
      <c r="BA28" s="3196"/>
      <c r="BB28" s="3196"/>
      <c r="BC28" s="3505"/>
      <c r="BD28" s="3504" t="s">
        <v>111</v>
      </c>
      <c r="BE28" s="3196"/>
      <c r="BF28" s="3196"/>
      <c r="BG28" s="3196"/>
      <c r="BH28" s="3505"/>
      <c r="BI28" s="3504" t="s">
        <v>111</v>
      </c>
      <c r="BJ28" s="3196"/>
      <c r="BK28" s="3196"/>
      <c r="BL28" s="3196"/>
      <c r="BM28" s="3505"/>
      <c r="BN28" s="3504" t="s">
        <v>111</v>
      </c>
      <c r="BO28" s="3196"/>
      <c r="BP28" s="3196"/>
      <c r="BQ28" s="3196"/>
      <c r="BR28" s="3505"/>
    </row>
    <row r="29" spans="1:83" ht="6" customHeight="1" x14ac:dyDescent="0.25">
      <c r="A29" s="3506"/>
      <c r="B29" s="3197"/>
      <c r="C29" s="3197"/>
      <c r="D29" s="3197"/>
      <c r="E29" s="3507"/>
      <c r="F29" s="3506"/>
      <c r="G29" s="3197"/>
      <c r="H29" s="3197"/>
      <c r="I29" s="3197"/>
      <c r="J29" s="3507"/>
      <c r="K29" s="3506"/>
      <c r="L29" s="3197"/>
      <c r="M29" s="3197"/>
      <c r="N29" s="3197"/>
      <c r="O29" s="3507"/>
      <c r="P29" s="3506"/>
      <c r="Q29" s="3197"/>
      <c r="R29" s="3197"/>
      <c r="S29" s="3197"/>
      <c r="T29" s="3507"/>
      <c r="U29" s="3506"/>
      <c r="V29" s="3197"/>
      <c r="W29" s="3197"/>
      <c r="X29" s="3197"/>
      <c r="Y29" s="3507"/>
      <c r="Z29" s="3506"/>
      <c r="AA29" s="3197"/>
      <c r="AB29" s="3197"/>
      <c r="AC29" s="3197"/>
      <c r="AD29" s="3507"/>
      <c r="AE29" s="3506"/>
      <c r="AF29" s="3197"/>
      <c r="AG29" s="3197"/>
      <c r="AH29" s="3197"/>
      <c r="AI29" s="3507"/>
      <c r="AJ29" s="3506"/>
      <c r="AK29" s="3197"/>
      <c r="AL29" s="3197"/>
      <c r="AM29" s="3197"/>
      <c r="AN29" s="3507"/>
      <c r="AO29" s="3506"/>
      <c r="AP29" s="3197"/>
      <c r="AQ29" s="3197"/>
      <c r="AR29" s="3197"/>
      <c r="AS29" s="3507"/>
      <c r="AT29" s="3506"/>
      <c r="AU29" s="3197"/>
      <c r="AV29" s="3197"/>
      <c r="AW29" s="3197"/>
      <c r="AX29" s="3507"/>
      <c r="AY29" s="3506"/>
      <c r="AZ29" s="3197"/>
      <c r="BA29" s="3197"/>
      <c r="BB29" s="3197"/>
      <c r="BC29" s="3507"/>
      <c r="BD29" s="3506"/>
      <c r="BE29" s="3197"/>
      <c r="BF29" s="3197"/>
      <c r="BG29" s="3197"/>
      <c r="BH29" s="3507"/>
      <c r="BI29" s="3506"/>
      <c r="BJ29" s="3197"/>
      <c r="BK29" s="3197"/>
      <c r="BL29" s="3197"/>
      <c r="BM29" s="3507"/>
      <c r="BN29" s="3506"/>
      <c r="BO29" s="3197"/>
      <c r="BP29" s="3197"/>
      <c r="BQ29" s="3197"/>
      <c r="BR29" s="3507"/>
    </row>
    <row r="30" spans="1:83" s="22" customFormat="1" ht="60.75" customHeight="1" x14ac:dyDescent="1.35">
      <c r="A30" s="2642" t="s">
        <v>115</v>
      </c>
      <c r="B30" s="588">
        <v>47</v>
      </c>
      <c r="C30" s="589"/>
      <c r="D30" s="589"/>
      <c r="E30" s="590"/>
      <c r="F30" s="2642" t="s">
        <v>115</v>
      </c>
      <c r="G30" s="588">
        <v>48</v>
      </c>
      <c r="H30" s="589"/>
      <c r="I30" s="589"/>
      <c r="J30" s="590"/>
      <c r="K30" s="2642" t="s">
        <v>115</v>
      </c>
      <c r="L30" s="588">
        <v>49</v>
      </c>
      <c r="M30" s="589"/>
      <c r="N30" s="589"/>
      <c r="O30" s="590"/>
      <c r="P30" s="2642" t="s">
        <v>115</v>
      </c>
      <c r="Q30" s="588">
        <v>50</v>
      </c>
      <c r="R30" s="589"/>
      <c r="S30" s="589"/>
      <c r="T30" s="590"/>
      <c r="U30" s="2642" t="s">
        <v>115</v>
      </c>
      <c r="V30" s="588">
        <v>51</v>
      </c>
      <c r="W30" s="589"/>
      <c r="X30" s="589"/>
      <c r="Y30" s="590"/>
      <c r="Z30" s="2642" t="s">
        <v>115</v>
      </c>
      <c r="AA30" s="588">
        <v>52</v>
      </c>
      <c r="AB30" s="589"/>
      <c r="AC30" s="589"/>
      <c r="AD30" s="590"/>
      <c r="AE30" s="2642" t="s">
        <v>115</v>
      </c>
      <c r="AF30" s="588">
        <v>53</v>
      </c>
      <c r="AG30" s="589"/>
      <c r="AH30" s="589"/>
      <c r="AI30" s="590"/>
      <c r="AJ30" s="2642" t="s">
        <v>115</v>
      </c>
      <c r="AK30" s="588">
        <v>54</v>
      </c>
      <c r="AL30" s="589"/>
      <c r="AM30" s="589"/>
      <c r="AN30" s="590"/>
      <c r="AO30" s="2642" t="s">
        <v>115</v>
      </c>
      <c r="AP30" s="588">
        <v>55</v>
      </c>
      <c r="AQ30" s="589"/>
      <c r="AR30" s="589"/>
      <c r="AS30" s="590"/>
      <c r="AT30" s="2642" t="s">
        <v>115</v>
      </c>
      <c r="AU30" s="588">
        <v>56</v>
      </c>
      <c r="AV30" s="589"/>
      <c r="AW30" s="589"/>
      <c r="AX30" s="590"/>
      <c r="AY30" s="2642" t="s">
        <v>115</v>
      </c>
      <c r="AZ30" s="588">
        <v>57</v>
      </c>
      <c r="BA30" s="589"/>
      <c r="BB30" s="589"/>
      <c r="BC30" s="590"/>
      <c r="BD30" s="2642" t="s">
        <v>115</v>
      </c>
      <c r="BE30" s="588">
        <v>58</v>
      </c>
      <c r="BF30" s="589"/>
      <c r="BG30" s="589"/>
      <c r="BH30" s="590"/>
      <c r="BI30" s="2642" t="s">
        <v>115</v>
      </c>
      <c r="BJ30" s="588">
        <v>59</v>
      </c>
      <c r="BK30" s="589"/>
      <c r="BL30" s="589"/>
      <c r="BM30" s="590"/>
      <c r="BN30" s="2642" t="s">
        <v>115</v>
      </c>
      <c r="BO30" s="588">
        <v>60</v>
      </c>
      <c r="BP30" s="589"/>
      <c r="BQ30" s="589"/>
      <c r="BR30" s="590"/>
    </row>
    <row r="31" spans="1:83" ht="39.75" customHeight="1" thickBot="1" x14ac:dyDescent="0.3">
      <c r="A31" s="2643"/>
      <c r="B31" s="61">
        <v>5.9489999999999998</v>
      </c>
      <c r="C31" s="62" t="s">
        <v>113</v>
      </c>
      <c r="D31" s="63">
        <v>1</v>
      </c>
      <c r="E31" s="64" t="s">
        <v>114</v>
      </c>
      <c r="F31" s="2643"/>
      <c r="G31" s="61">
        <v>1.0409999999999999</v>
      </c>
      <c r="H31" s="62" t="s">
        <v>113</v>
      </c>
      <c r="I31" s="63">
        <v>1</v>
      </c>
      <c r="J31" s="64" t="s">
        <v>114</v>
      </c>
      <c r="K31" s="2643"/>
      <c r="L31" s="61">
        <v>0.96499999999999997</v>
      </c>
      <c r="M31" s="62" t="s">
        <v>113</v>
      </c>
      <c r="N31" s="63"/>
      <c r="O31" s="64" t="s">
        <v>114</v>
      </c>
      <c r="P31" s="2643"/>
      <c r="Q31" s="61">
        <v>0.66</v>
      </c>
      <c r="R31" s="62" t="s">
        <v>113</v>
      </c>
      <c r="S31" s="63">
        <v>1</v>
      </c>
      <c r="T31" s="64" t="s">
        <v>114</v>
      </c>
      <c r="U31" s="2643"/>
      <c r="V31" s="61">
        <v>1.244</v>
      </c>
      <c r="W31" s="62" t="s">
        <v>113</v>
      </c>
      <c r="X31" s="63"/>
      <c r="Y31" s="64" t="s">
        <v>114</v>
      </c>
      <c r="Z31" s="2643"/>
      <c r="AA31" s="61">
        <v>0.17699999999999999</v>
      </c>
      <c r="AB31" s="62" t="s">
        <v>113</v>
      </c>
      <c r="AC31" s="63">
        <v>1</v>
      </c>
      <c r="AD31" s="64" t="s">
        <v>114</v>
      </c>
      <c r="AE31" s="2643"/>
      <c r="AF31" s="61">
        <v>0.35499999999999998</v>
      </c>
      <c r="AG31" s="62" t="s">
        <v>113</v>
      </c>
      <c r="AH31" s="63">
        <v>1</v>
      </c>
      <c r="AI31" s="64" t="s">
        <v>114</v>
      </c>
      <c r="AJ31" s="2643"/>
      <c r="AK31" s="61">
        <v>1E-4</v>
      </c>
      <c r="AL31" s="62" t="s">
        <v>113</v>
      </c>
      <c r="AM31" s="63"/>
      <c r="AN31" s="64" t="s">
        <v>114</v>
      </c>
      <c r="AO31" s="2643"/>
      <c r="AP31" s="61">
        <v>0.60899999999999999</v>
      </c>
      <c r="AQ31" s="62" t="s">
        <v>113</v>
      </c>
      <c r="AR31" s="63">
        <v>1</v>
      </c>
      <c r="AS31" s="64" t="s">
        <v>114</v>
      </c>
      <c r="AT31" s="2643"/>
      <c r="AU31" s="61">
        <v>1.1180000000000001</v>
      </c>
      <c r="AV31" s="62" t="s">
        <v>113</v>
      </c>
      <c r="AW31" s="63">
        <v>1</v>
      </c>
      <c r="AX31" s="64" t="s">
        <v>114</v>
      </c>
      <c r="AY31" s="2643"/>
      <c r="AZ31" s="61">
        <v>1E-4</v>
      </c>
      <c r="BA31" s="62" t="s">
        <v>113</v>
      </c>
      <c r="BB31" s="63"/>
      <c r="BC31" s="64" t="s">
        <v>114</v>
      </c>
      <c r="BD31" s="2643"/>
      <c r="BE31" s="61">
        <v>0.22800000000000001</v>
      </c>
      <c r="BF31" s="62" t="s">
        <v>113</v>
      </c>
      <c r="BG31" s="63">
        <v>1</v>
      </c>
      <c r="BH31" s="64" t="s">
        <v>114</v>
      </c>
      <c r="BI31" s="2643"/>
      <c r="BJ31" s="61">
        <v>0.55800000000000005</v>
      </c>
      <c r="BK31" s="62" t="s">
        <v>113</v>
      </c>
      <c r="BL31" s="63">
        <v>1</v>
      </c>
      <c r="BM31" s="64" t="s">
        <v>114</v>
      </c>
      <c r="BN31" s="2643"/>
      <c r="BO31" s="61">
        <v>1.5740000000000001</v>
      </c>
      <c r="BP31" s="62" t="s">
        <v>113</v>
      </c>
      <c r="BQ31" s="63"/>
      <c r="BR31" s="64" t="s">
        <v>114</v>
      </c>
      <c r="BW31" s="27"/>
      <c r="BX31" s="27"/>
      <c r="BY31" s="27"/>
      <c r="BZ31" s="27"/>
      <c r="CA31" s="27"/>
      <c r="CB31" s="27"/>
      <c r="CC31" s="27"/>
      <c r="CD31" s="27"/>
      <c r="CE31" s="27"/>
    </row>
    <row r="32" spans="1:83" ht="59.25" customHeight="1" thickTop="1" x14ac:dyDescent="0.25">
      <c r="A32" s="118"/>
      <c r="B32" s="118"/>
      <c r="C32" s="118"/>
      <c r="D32" s="117"/>
      <c r="E32" s="117"/>
      <c r="F32" s="118"/>
      <c r="G32" s="118"/>
      <c r="H32" s="118"/>
      <c r="I32" s="117"/>
      <c r="J32" s="117"/>
      <c r="K32" s="118"/>
      <c r="L32" s="118"/>
      <c r="M32" s="118"/>
      <c r="N32" s="117"/>
      <c r="O32" s="117"/>
      <c r="P32" s="118"/>
      <c r="Q32" s="118"/>
      <c r="R32" s="118"/>
      <c r="S32" s="117"/>
      <c r="T32" s="117"/>
      <c r="U32" s="118"/>
      <c r="V32" s="118"/>
      <c r="W32" s="118"/>
      <c r="X32" s="117"/>
      <c r="Y32" s="117"/>
      <c r="Z32" s="118"/>
      <c r="AA32" s="118"/>
      <c r="AB32" s="118"/>
      <c r="AC32" s="117"/>
      <c r="AD32" s="117"/>
      <c r="AE32" s="118"/>
      <c r="AF32" s="118"/>
      <c r="AG32" s="118"/>
      <c r="AH32" s="117"/>
      <c r="AI32" s="117"/>
      <c r="AJ32" s="118"/>
      <c r="AK32" s="118"/>
      <c r="AL32" s="118"/>
      <c r="AM32" s="117"/>
      <c r="AN32" s="117"/>
      <c r="AO32" s="118"/>
      <c r="AP32" s="118"/>
      <c r="AQ32" s="118"/>
      <c r="AR32" s="117"/>
      <c r="AS32" s="117"/>
      <c r="AT32" s="118"/>
      <c r="AU32" s="118"/>
      <c r="AV32" s="118"/>
      <c r="AW32" s="117"/>
      <c r="AX32" s="117"/>
      <c r="AY32" s="118"/>
      <c r="AZ32" s="118"/>
      <c r="BA32" s="118"/>
      <c r="BB32" s="117"/>
      <c r="BC32" s="117"/>
      <c r="BD32" s="118"/>
      <c r="BE32" s="118"/>
      <c r="BF32" s="118"/>
      <c r="BG32" s="117"/>
      <c r="BH32" s="117"/>
      <c r="BI32" s="118"/>
      <c r="BJ32" s="118"/>
      <c r="BK32" s="118"/>
      <c r="BL32" s="117"/>
      <c r="BM32" s="117"/>
      <c r="BN32" s="118"/>
      <c r="BO32" s="118"/>
      <c r="BP32" s="118"/>
      <c r="BQ32" s="117"/>
      <c r="BR32" s="117"/>
    </row>
    <row r="33" spans="1:83" ht="6.75" customHeight="1" x14ac:dyDescent="0.25">
      <c r="A33" s="47"/>
      <c r="B33" s="47"/>
      <c r="C33" s="47"/>
      <c r="D33" s="69"/>
      <c r="E33" s="69"/>
      <c r="F33" s="47"/>
      <c r="G33" s="47"/>
      <c r="H33" s="47"/>
      <c r="I33" s="69"/>
      <c r="J33" s="69"/>
      <c r="K33" s="47"/>
      <c r="L33" s="47"/>
      <c r="M33" s="47"/>
      <c r="N33" s="69"/>
      <c r="O33" s="69"/>
      <c r="P33" s="47"/>
      <c r="Q33" s="47"/>
      <c r="R33" s="47"/>
      <c r="S33" s="69"/>
      <c r="T33" s="69"/>
      <c r="U33" s="47"/>
      <c r="V33" s="47"/>
      <c r="W33" s="47"/>
      <c r="X33" s="69"/>
      <c r="Y33" s="69"/>
      <c r="Z33" s="47"/>
      <c r="AA33" s="47"/>
      <c r="AB33" s="47"/>
      <c r="AC33" s="69"/>
      <c r="AD33" s="69"/>
      <c r="AE33" s="47"/>
      <c r="AF33" s="47"/>
      <c r="AG33" s="47"/>
      <c r="AH33" s="69"/>
      <c r="AI33" s="69"/>
      <c r="AJ33" s="47"/>
      <c r="AK33" s="47"/>
      <c r="AL33" s="47"/>
      <c r="AM33" s="69"/>
      <c r="AN33" s="69"/>
      <c r="AO33" s="47"/>
      <c r="AP33" s="47"/>
      <c r="AQ33" s="47"/>
      <c r="AR33" s="69"/>
      <c r="AS33" s="69"/>
      <c r="AT33" s="47"/>
      <c r="AU33" s="47"/>
      <c r="AV33" s="47"/>
      <c r="AW33" s="69"/>
      <c r="AX33" s="69"/>
      <c r="AY33" s="47"/>
      <c r="AZ33" s="47"/>
      <c r="BA33" s="47"/>
      <c r="BB33" s="69"/>
      <c r="BC33" s="69"/>
      <c r="BD33" s="47"/>
      <c r="BE33" s="47"/>
      <c r="BF33" s="47"/>
      <c r="BG33" s="69"/>
      <c r="BH33" s="69"/>
      <c r="BI33" s="47"/>
      <c r="BJ33" s="47"/>
      <c r="BK33" s="47"/>
      <c r="BL33" s="69"/>
      <c r="BM33" s="69"/>
      <c r="BN33" s="47"/>
      <c r="BO33" s="47"/>
      <c r="BP33" s="47"/>
      <c r="BQ33" s="69"/>
      <c r="BR33" s="69"/>
    </row>
    <row r="34" spans="1:83" ht="24.75" customHeight="1" x14ac:dyDescent="0.25">
      <c r="A34" s="47"/>
      <c r="B34" s="47"/>
      <c r="C34" s="47"/>
      <c r="D34" s="101"/>
      <c r="E34" s="69"/>
      <c r="F34" s="47"/>
      <c r="G34" s="47"/>
      <c r="H34" s="47"/>
      <c r="I34" s="101"/>
      <c r="J34" s="69"/>
      <c r="K34" s="47"/>
      <c r="L34" s="47"/>
      <c r="M34" s="47"/>
      <c r="N34" s="101"/>
      <c r="O34" s="69"/>
      <c r="P34" s="47"/>
      <c r="Q34" s="47"/>
      <c r="R34" s="47"/>
      <c r="S34" s="101"/>
      <c r="T34" s="69"/>
      <c r="U34" s="47"/>
      <c r="V34" s="47"/>
      <c r="W34" s="47"/>
      <c r="X34" s="101"/>
      <c r="Y34" s="69"/>
      <c r="Z34" s="47"/>
      <c r="AA34" s="47"/>
      <c r="AB34" s="47"/>
      <c r="AC34" s="101"/>
      <c r="AD34" s="69"/>
      <c r="AE34" s="47"/>
      <c r="AF34" s="47"/>
      <c r="AG34" s="47"/>
      <c r="AH34" s="101"/>
      <c r="AI34" s="69"/>
      <c r="AJ34" s="47"/>
      <c r="AK34" s="47"/>
      <c r="AL34" s="47"/>
      <c r="AM34" s="101"/>
      <c r="AN34" s="69"/>
      <c r="AO34" s="47"/>
      <c r="AP34" s="47"/>
      <c r="AQ34" s="47"/>
      <c r="AR34" s="101"/>
      <c r="AS34" s="69"/>
      <c r="AT34" s="47"/>
      <c r="AU34" s="47"/>
      <c r="AV34" s="47"/>
      <c r="AW34" s="101"/>
      <c r="AX34" s="69"/>
      <c r="AY34" s="47"/>
      <c r="AZ34" s="47"/>
      <c r="BA34" s="47"/>
      <c r="BB34" s="101"/>
      <c r="BC34" s="69"/>
      <c r="BD34" s="47"/>
      <c r="BE34" s="47"/>
      <c r="BF34" s="47"/>
      <c r="BG34" s="101"/>
      <c r="BH34" s="69"/>
      <c r="BI34" s="47"/>
      <c r="BJ34" s="47"/>
      <c r="BK34" s="47"/>
      <c r="BL34" s="101"/>
      <c r="BM34" s="69"/>
      <c r="BN34" s="47"/>
      <c r="BO34" s="47"/>
      <c r="BP34" s="47"/>
      <c r="BQ34" s="101"/>
      <c r="BR34" s="69"/>
    </row>
    <row r="35" spans="1:83" ht="6" customHeight="1" x14ac:dyDescent="0.25">
      <c r="A35" s="47"/>
      <c r="B35" s="47"/>
      <c r="C35" s="47"/>
      <c r="D35" s="69"/>
      <c r="E35" s="69"/>
      <c r="F35" s="47"/>
      <c r="G35" s="47"/>
      <c r="H35" s="47"/>
      <c r="I35" s="69"/>
      <c r="J35" s="69"/>
      <c r="K35" s="47"/>
      <c r="L35" s="47"/>
      <c r="M35" s="47"/>
      <c r="N35" s="69"/>
      <c r="O35" s="69"/>
      <c r="P35" s="47"/>
      <c r="Q35" s="47"/>
      <c r="R35" s="47"/>
      <c r="S35" s="69"/>
      <c r="T35" s="69"/>
      <c r="U35" s="47"/>
      <c r="V35" s="47"/>
      <c r="W35" s="47"/>
      <c r="X35" s="69"/>
      <c r="Y35" s="69"/>
      <c r="Z35" s="47"/>
      <c r="AA35" s="47"/>
      <c r="AB35" s="47"/>
      <c r="AC35" s="69"/>
      <c r="AD35" s="69"/>
      <c r="AE35" s="47"/>
      <c r="AF35" s="47"/>
      <c r="AG35" s="47"/>
      <c r="AH35" s="69"/>
      <c r="AI35" s="69"/>
      <c r="AJ35" s="47"/>
      <c r="AK35" s="47"/>
      <c r="AL35" s="47"/>
      <c r="AM35" s="69"/>
      <c r="AN35" s="69"/>
      <c r="AO35" s="47"/>
      <c r="AP35" s="47"/>
      <c r="AQ35" s="47"/>
      <c r="AR35" s="69"/>
      <c r="AS35" s="69"/>
      <c r="AT35" s="47"/>
      <c r="AU35" s="47"/>
      <c r="AV35" s="47"/>
      <c r="AW35" s="69"/>
      <c r="AX35" s="69"/>
      <c r="AY35" s="47"/>
      <c r="AZ35" s="47"/>
      <c r="BA35" s="47"/>
      <c r="BB35" s="69"/>
      <c r="BC35" s="69"/>
      <c r="BD35" s="47"/>
      <c r="BE35" s="47"/>
      <c r="BF35" s="47"/>
      <c r="BG35" s="69"/>
      <c r="BH35" s="69"/>
      <c r="BI35" s="47"/>
      <c r="BJ35" s="47"/>
      <c r="BK35" s="47"/>
      <c r="BL35" s="69"/>
      <c r="BM35" s="69"/>
      <c r="BN35" s="47"/>
      <c r="BO35" s="47"/>
      <c r="BP35" s="47"/>
      <c r="BQ35" s="69"/>
      <c r="BR35" s="69"/>
    </row>
    <row r="36" spans="1:83" s="22" customFormat="1" ht="30.75" customHeight="1" x14ac:dyDescent="1.35">
      <c r="A36" s="70"/>
      <c r="B36" s="72"/>
      <c r="C36" s="72"/>
      <c r="D36" s="72"/>
      <c r="E36" s="72"/>
      <c r="F36" s="70"/>
      <c r="G36" s="72"/>
      <c r="H36" s="72"/>
      <c r="I36" s="72"/>
      <c r="J36" s="72"/>
      <c r="K36" s="70"/>
      <c r="L36" s="72"/>
      <c r="M36" s="72"/>
      <c r="N36" s="72"/>
      <c r="O36" s="72"/>
      <c r="P36" s="70"/>
      <c r="Q36" s="72"/>
      <c r="R36" s="72"/>
      <c r="S36" s="72"/>
      <c r="T36" s="72"/>
      <c r="U36" s="70"/>
      <c r="V36" s="72"/>
      <c r="W36" s="72"/>
      <c r="X36" s="119"/>
      <c r="Y36" s="119"/>
      <c r="Z36" s="119"/>
      <c r="AA36" s="119"/>
      <c r="AB36" s="119"/>
      <c r="AC36" s="119"/>
      <c r="AD36" s="119"/>
      <c r="AE36" s="119"/>
      <c r="AF36" s="119"/>
      <c r="AG36" s="119"/>
      <c r="AH36" s="119"/>
      <c r="AI36" s="119"/>
      <c r="AJ36" s="37"/>
      <c r="AK36" s="38"/>
      <c r="AL36" s="39"/>
      <c r="AM36" s="40"/>
      <c r="AN36" s="41"/>
      <c r="AO36" s="37"/>
      <c r="AP36" s="38"/>
      <c r="AQ36" s="39"/>
      <c r="AR36" s="40"/>
      <c r="AS36" s="41"/>
      <c r="AT36" s="37"/>
      <c r="AU36" s="38"/>
      <c r="AV36" s="39"/>
      <c r="AW36" s="40"/>
      <c r="AX36" s="41"/>
      <c r="AY36" s="37"/>
      <c r="AZ36" s="38"/>
      <c r="BA36" s="39"/>
      <c r="BB36" s="40"/>
      <c r="BC36" s="41"/>
      <c r="BD36" s="37"/>
      <c r="BE36" s="38"/>
      <c r="BF36" s="39"/>
      <c r="BG36" s="40"/>
      <c r="BH36" s="41"/>
      <c r="BI36" s="37"/>
      <c r="BJ36" s="38"/>
      <c r="BK36" s="39"/>
      <c r="BL36" s="40"/>
      <c r="BM36" s="41"/>
      <c r="BN36" s="37"/>
      <c r="BO36" s="38"/>
      <c r="BP36" s="39"/>
      <c r="BQ36" s="40"/>
      <c r="BR36" s="41"/>
    </row>
    <row r="37" spans="1:83" ht="28.5" customHeight="1" x14ac:dyDescent="0.25">
      <c r="A37" s="70"/>
      <c r="B37" s="32"/>
      <c r="C37" s="33"/>
      <c r="D37" s="34"/>
      <c r="E37" s="35"/>
      <c r="F37" s="70"/>
      <c r="G37" s="702" cm="1">
        <f t="array" aca="1" ref="G37" ca="1">SUM(COUNTIF(INDIRECT({"B6","G6","L6","Q6","V6","AA6","AF6","AK6","AP6","AU6","AZ6","BE6","BJ6","BO6","B12","G12","L12","Q12","V12","AA12","AF12","AK12","AP12","AU12","AZ12","BE12","BJ12","BO12","B18","G18","L18","Q18","V18","AA18","AF18","AK18","AP18","AU18","AZ18","BE18","BJ18","BO18","B24","G24","L24","Q24","V24","AA24","AF24","AK24","AP24","AU24","AZ24","BE24","BJ24","BO24","B30","G30","L30","Q30","V30","AA30","AF30","AK30","AP30","AU30","AZ30","BE30","BJ30","BO30"}),"&gt;0"))</f>
        <v>70</v>
      </c>
      <c r="H37" s="702"/>
      <c r="I37" s="702"/>
      <c r="J37" s="35"/>
      <c r="K37" s="70"/>
      <c r="L37" s="698" t="s">
        <v>118</v>
      </c>
      <c r="M37" s="698"/>
      <c r="N37" s="698"/>
      <c r="O37" s="698"/>
      <c r="P37" s="698"/>
      <c r="Q37" s="698"/>
      <c r="R37" s="698"/>
      <c r="S37" s="698"/>
      <c r="T37" s="698"/>
      <c r="U37" s="698"/>
      <c r="V37" s="698"/>
      <c r="W37" s="698"/>
      <c r="X37" s="699" t="s">
        <v>119</v>
      </c>
      <c r="Y37" s="699"/>
      <c r="Z37" s="699"/>
      <c r="AA37" s="699"/>
      <c r="AB37" s="699"/>
      <c r="AC37" s="700">
        <f>+I7+N7+X7+AC7+AM7+BB7+BG7+BQ7+D13+I13+N13+S13+S7+AH7+AR7+AW7+X13+AC13+AH13+AM13+AR13+AW13+BB13+BG13+BL13+BQ13+D19+I19+N19+S19+X19+D7+AC19+AH19+AM19+AR19+AW19+BB19+BG19+BL19+BQ19+D25+I25+N25+S25+X25+AC25+AH25+AM25+AR25+AW25+BB25+BG25+BL25+BQ25+D31+I31+N31+S31+X31+AC31+AH31+AM31+AR31+AW31+BB31+BG31+BL31+BQ31</f>
        <v>39</v>
      </c>
      <c r="AD37" s="700"/>
      <c r="AE37" s="700"/>
      <c r="AF37" s="700"/>
      <c r="AG37" s="701" t="s">
        <v>120</v>
      </c>
      <c r="AH37" s="701"/>
      <c r="AI37" s="701"/>
      <c r="AJ37" s="697"/>
      <c r="AK37" s="697"/>
      <c r="AL37" s="697"/>
      <c r="AM37" s="697"/>
      <c r="AN37" s="697"/>
      <c r="AO37" s="697"/>
      <c r="AP37" s="697"/>
      <c r="AQ37" s="697"/>
      <c r="AR37" s="697"/>
      <c r="AS37" s="697"/>
      <c r="AT37" s="46"/>
      <c r="BW37" s="27"/>
      <c r="BX37" s="27"/>
      <c r="BY37" s="27"/>
      <c r="BZ37" s="27"/>
      <c r="CA37" s="27"/>
      <c r="CB37" s="27"/>
      <c r="CC37" s="27"/>
      <c r="CD37" s="27"/>
      <c r="CE37" s="27"/>
    </row>
    <row r="38" spans="1:83" ht="26.1" customHeight="1" x14ac:dyDescent="0.25">
      <c r="A38" s="44"/>
      <c r="B38" s="44"/>
      <c r="C38" s="44"/>
      <c r="D38" s="69"/>
      <c r="E38" s="69"/>
      <c r="F38" s="44"/>
      <c r="G38" s="702"/>
      <c r="H38" s="702"/>
      <c r="I38" s="702"/>
      <c r="J38" s="69"/>
      <c r="K38" s="44"/>
      <c r="L38" s="698"/>
      <c r="M38" s="698"/>
      <c r="N38" s="698"/>
      <c r="O38" s="698"/>
      <c r="P38" s="698"/>
      <c r="Q38" s="698"/>
      <c r="R38" s="698"/>
      <c r="S38" s="698"/>
      <c r="T38" s="698"/>
      <c r="U38" s="698"/>
      <c r="V38" s="698"/>
      <c r="W38" s="698"/>
      <c r="X38" s="699"/>
      <c r="Y38" s="699"/>
      <c r="Z38" s="699"/>
      <c r="AA38" s="699"/>
      <c r="AB38" s="699"/>
      <c r="AC38" s="700"/>
      <c r="AD38" s="700"/>
      <c r="AE38" s="700"/>
      <c r="AF38" s="700"/>
      <c r="AG38" s="701"/>
      <c r="AH38" s="701"/>
      <c r="AI38" s="701"/>
      <c r="AJ38" s="697"/>
      <c r="AK38" s="697"/>
      <c r="AL38" s="697"/>
      <c r="AM38" s="697"/>
      <c r="AN38" s="697"/>
      <c r="AO38" s="697"/>
      <c r="AP38" s="697"/>
      <c r="AQ38" s="697"/>
      <c r="AR38" s="697"/>
      <c r="AS38" s="697"/>
      <c r="AT38" s="46"/>
    </row>
    <row r="39" spans="1:83" ht="6.75" customHeight="1" x14ac:dyDescent="0.25">
      <c r="A39" s="47"/>
      <c r="B39" s="47"/>
      <c r="C39" s="47"/>
      <c r="D39" s="69"/>
      <c r="E39" s="69"/>
      <c r="F39" s="47"/>
      <c r="G39" s="702"/>
      <c r="H39" s="702"/>
      <c r="I39" s="702"/>
      <c r="J39" s="69"/>
      <c r="K39" s="47"/>
      <c r="L39" s="698"/>
      <c r="M39" s="698"/>
      <c r="N39" s="698"/>
      <c r="O39" s="698"/>
      <c r="P39" s="698"/>
      <c r="Q39" s="698"/>
      <c r="R39" s="698"/>
      <c r="S39" s="698"/>
      <c r="T39" s="698"/>
      <c r="U39" s="698"/>
      <c r="V39" s="698"/>
      <c r="W39" s="698"/>
      <c r="X39" s="699"/>
      <c r="Y39" s="699"/>
      <c r="Z39" s="699"/>
      <c r="AA39" s="699"/>
      <c r="AB39" s="699"/>
      <c r="AC39" s="700"/>
      <c r="AD39" s="700"/>
      <c r="AE39" s="700"/>
      <c r="AF39" s="700"/>
      <c r="AG39" s="701"/>
      <c r="AH39" s="701"/>
      <c r="AI39" s="701"/>
      <c r="AJ39" s="697"/>
      <c r="AK39" s="697"/>
      <c r="AL39" s="697"/>
      <c r="AM39" s="697"/>
      <c r="AN39" s="697"/>
      <c r="AO39" s="697"/>
      <c r="AP39" s="697"/>
      <c r="AQ39" s="697"/>
      <c r="AR39" s="697"/>
      <c r="AS39" s="697"/>
      <c r="AT39" s="46"/>
    </row>
    <row r="40" spans="1:83" ht="21.95" customHeight="1" x14ac:dyDescent="0.25">
      <c r="A40" s="47"/>
      <c r="B40" s="47"/>
      <c r="C40" s="47"/>
      <c r="D40" s="101"/>
      <c r="E40" s="69"/>
      <c r="F40" s="47"/>
      <c r="G40" s="703" cm="1">
        <f t="array" aca="1" ref="G40" ca="1">SUM(COUNTIF(INDIRECT({"B7","G7","L7","Q7","V7","AA7","AF7","AK7","AP7","AU7","AZ7","BE7","BJ7","BO7","B13","G13","L13","Q13","V13","AA13","AF13","AK13","AP13","AU13","AZ13","BE13","BJ13","BO13","B19","G19","L19","Q19","V19","AA19","AF19","AK19","AP19","AU19","AZ19","BE19","BJ19","BO19","B25","G25","L25","Q25","V25","AA25","AF25","AK25","AP25","AU25","AZ25","BE25","BJ25","BO25","B31","G31","L31","Q31","V31","AA31","AF31","AK31","AP31","AU31","AZ31","BE31","BJ31","BO31"}),"&gt;0"))</f>
        <v>70</v>
      </c>
      <c r="H40" s="703"/>
      <c r="I40" s="703"/>
      <c r="J40" s="69"/>
      <c r="K40" s="47"/>
      <c r="L40" s="698"/>
      <c r="M40" s="698"/>
      <c r="N40" s="698"/>
      <c r="O40" s="698"/>
      <c r="P40" s="698"/>
      <c r="Q40" s="698"/>
      <c r="R40" s="698"/>
      <c r="S40" s="698"/>
      <c r="T40" s="698"/>
      <c r="U40" s="698"/>
      <c r="V40" s="698"/>
      <c r="W40" s="698"/>
      <c r="X40" s="699"/>
      <c r="Y40" s="699"/>
      <c r="Z40" s="699"/>
      <c r="AA40" s="699"/>
      <c r="AB40" s="699"/>
      <c r="AC40" s="700"/>
      <c r="AD40" s="700"/>
      <c r="AE40" s="700"/>
      <c r="AF40" s="700"/>
      <c r="AG40" s="701"/>
      <c r="AH40" s="701"/>
      <c r="AI40" s="701"/>
      <c r="AJ40" s="697"/>
      <c r="AK40" s="697"/>
      <c r="AL40" s="697"/>
      <c r="AM40" s="697"/>
      <c r="AN40" s="697"/>
      <c r="AO40" s="697"/>
      <c r="AP40" s="697"/>
      <c r="AQ40" s="697"/>
      <c r="AR40" s="697"/>
      <c r="AS40" s="697"/>
      <c r="AT40" s="46"/>
    </row>
    <row r="41" spans="1:83" ht="6" customHeight="1" x14ac:dyDescent="0.25">
      <c r="A41" s="47"/>
      <c r="B41" s="47"/>
      <c r="C41" s="47"/>
      <c r="D41" s="69"/>
      <c r="E41" s="69"/>
      <c r="F41" s="47"/>
      <c r="G41" s="703"/>
      <c r="H41" s="703"/>
      <c r="I41" s="703"/>
      <c r="J41" s="69"/>
      <c r="K41" s="47"/>
      <c r="L41" s="707">
        <f>G7+L7+V7+AA7+AK7+AZ7+Q7+B7+AF7+AP7+AU7+BE7+BJ7+BO7+B13+G13+L13+Q13+V13+AA13+AF13+AK13+AP13+AU13+AZ13+BE13+BJ13+BO13+B19+G19+L19+Q19+V19+AA19+AF19+AK19+AP19+AU19+AZ19+BE19+BJ19+BO19+B25+G25+L25+Q25+V25+AA25+AF25+AK25+AP25+AU25+AZ25+BE25+BJ25+BO25+B31+G31+L31+Q31+V31+AA31+AF31+AK31+AP31+AU31+AZ31+BE31+BJ31+BO31</f>
        <v>150.98950000000005</v>
      </c>
      <c r="M41" s="707"/>
      <c r="N41" s="707"/>
      <c r="O41" s="707"/>
      <c r="P41" s="707"/>
      <c r="Q41" s="707"/>
      <c r="R41" s="707"/>
      <c r="S41" s="707"/>
      <c r="T41" s="707"/>
      <c r="U41" s="707"/>
      <c r="V41" s="707"/>
      <c r="W41" s="707"/>
      <c r="X41" s="699"/>
      <c r="Y41" s="699"/>
      <c r="Z41" s="699"/>
      <c r="AA41" s="699"/>
      <c r="AB41" s="699"/>
      <c r="AC41" s="708">
        <f>AC37*1.5</f>
        <v>58.5</v>
      </c>
      <c r="AD41" s="708"/>
      <c r="AE41" s="708"/>
      <c r="AF41" s="708"/>
      <c r="AG41" s="708"/>
      <c r="AH41" s="708"/>
      <c r="AI41" s="708"/>
      <c r="AJ41" s="706"/>
      <c r="AK41" s="706"/>
      <c r="AL41" s="706"/>
      <c r="AM41" s="706"/>
      <c r="AN41" s="706"/>
      <c r="AO41" s="706"/>
      <c r="AP41" s="706"/>
      <c r="AQ41" s="706"/>
      <c r="AR41" s="706"/>
      <c r="AS41" s="706"/>
      <c r="AT41" s="706"/>
    </row>
    <row r="42" spans="1:83" s="22" customFormat="1" ht="80.099999999999994" customHeight="1" x14ac:dyDescent="1.35">
      <c r="A42" s="70"/>
      <c r="B42" s="72"/>
      <c r="C42" s="72"/>
      <c r="D42" s="72"/>
      <c r="E42" s="72"/>
      <c r="F42" s="70"/>
      <c r="G42" s="703"/>
      <c r="H42" s="703"/>
      <c r="I42" s="703"/>
      <c r="J42" s="72"/>
      <c r="K42" s="70"/>
      <c r="L42" s="707"/>
      <c r="M42" s="707"/>
      <c r="N42" s="707"/>
      <c r="O42" s="707"/>
      <c r="P42" s="707"/>
      <c r="Q42" s="707"/>
      <c r="R42" s="707"/>
      <c r="S42" s="707"/>
      <c r="T42" s="707"/>
      <c r="U42" s="707"/>
      <c r="V42" s="707"/>
      <c r="W42" s="707"/>
      <c r="X42" s="699"/>
      <c r="Y42" s="699"/>
      <c r="Z42" s="699"/>
      <c r="AA42" s="699"/>
      <c r="AB42" s="699"/>
      <c r="AC42" s="708"/>
      <c r="AD42" s="708"/>
      <c r="AE42" s="708"/>
      <c r="AF42" s="708"/>
      <c r="AG42" s="708"/>
      <c r="AH42" s="708"/>
      <c r="AI42" s="708"/>
      <c r="AJ42" s="706"/>
      <c r="AK42" s="706"/>
      <c r="AL42" s="706"/>
      <c r="AM42" s="706"/>
      <c r="AN42" s="706"/>
      <c r="AO42" s="706"/>
      <c r="AP42" s="706"/>
      <c r="AQ42" s="706"/>
      <c r="AR42" s="706"/>
      <c r="AS42" s="706"/>
      <c r="AT42" s="706"/>
    </row>
    <row r="43" spans="1:83" ht="26.25" customHeight="1" x14ac:dyDescent="0.25">
      <c r="A43" s="70"/>
      <c r="B43" s="32"/>
      <c r="C43" s="33"/>
      <c r="D43" s="34"/>
      <c r="E43" s="35"/>
      <c r="F43" s="70"/>
      <c r="G43" s="32"/>
      <c r="H43" s="33"/>
      <c r="I43" s="34"/>
      <c r="J43" s="35"/>
      <c r="K43" s="70"/>
      <c r="L43" s="707"/>
      <c r="M43" s="707"/>
      <c r="N43" s="707"/>
      <c r="O43" s="707"/>
      <c r="P43" s="707"/>
      <c r="Q43" s="707"/>
      <c r="R43" s="707"/>
      <c r="S43" s="707"/>
      <c r="T43" s="707"/>
      <c r="U43" s="707"/>
      <c r="V43" s="707"/>
      <c r="W43" s="707"/>
      <c r="X43" s="699"/>
      <c r="Y43" s="699"/>
      <c r="Z43" s="699"/>
      <c r="AA43" s="699"/>
      <c r="AB43" s="699"/>
      <c r="AC43" s="708"/>
      <c r="AD43" s="708"/>
      <c r="AE43" s="708"/>
      <c r="AF43" s="708"/>
      <c r="AG43" s="708"/>
      <c r="AH43" s="708"/>
      <c r="AI43" s="708"/>
      <c r="AJ43" s="706"/>
      <c r="AK43" s="706"/>
      <c r="AL43" s="706"/>
      <c r="AM43" s="706"/>
      <c r="AN43" s="706"/>
      <c r="AO43" s="706"/>
      <c r="AP43" s="706"/>
      <c r="AQ43" s="706"/>
      <c r="AR43" s="706"/>
      <c r="AS43" s="706"/>
      <c r="AT43" s="706"/>
      <c r="BW43" s="27"/>
      <c r="BX43" s="27"/>
      <c r="BY43" s="27"/>
      <c r="BZ43" s="27"/>
      <c r="CA43" s="27"/>
      <c r="CB43" s="27"/>
      <c r="CC43" s="27"/>
      <c r="CD43" s="27"/>
      <c r="CE43" s="27"/>
    </row>
    <row r="44" spans="1:83" ht="26.1" customHeight="1" x14ac:dyDescent="0.25">
      <c r="A44" s="44"/>
      <c r="B44" s="44"/>
      <c r="C44" s="44"/>
      <c r="D44" s="69"/>
      <c r="E44" s="69"/>
      <c r="F44" s="44"/>
      <c r="G44" s="44"/>
      <c r="H44" s="44"/>
      <c r="I44" s="69"/>
      <c r="J44" s="69"/>
      <c r="K44" s="44"/>
      <c r="L44" s="707"/>
      <c r="M44" s="707"/>
      <c r="N44" s="707"/>
      <c r="O44" s="707"/>
      <c r="P44" s="707"/>
      <c r="Q44" s="707"/>
      <c r="R44" s="707"/>
      <c r="S44" s="707"/>
      <c r="T44" s="707"/>
      <c r="U44" s="707"/>
      <c r="V44" s="707"/>
      <c r="W44" s="707"/>
      <c r="X44" s="699"/>
      <c r="Y44" s="699"/>
      <c r="Z44" s="699"/>
      <c r="AA44" s="699"/>
      <c r="AB44" s="699"/>
      <c r="AC44" s="708"/>
      <c r="AD44" s="708"/>
      <c r="AE44" s="708"/>
      <c r="AF44" s="708"/>
      <c r="AG44" s="708"/>
      <c r="AH44" s="708"/>
      <c r="AI44" s="708"/>
      <c r="AJ44" s="706"/>
      <c r="AK44" s="706"/>
      <c r="AL44" s="706"/>
      <c r="AM44" s="706"/>
      <c r="AN44" s="706"/>
      <c r="AO44" s="706"/>
      <c r="AP44" s="706"/>
      <c r="AQ44" s="706"/>
      <c r="AR44" s="706"/>
      <c r="AS44" s="706"/>
      <c r="AT44" s="706"/>
    </row>
    <row r="45" spans="1:83" ht="6.75" customHeight="1" x14ac:dyDescent="0.25">
      <c r="A45" s="47"/>
      <c r="B45" s="47"/>
      <c r="C45" s="47"/>
      <c r="D45" s="69"/>
      <c r="E45" s="69"/>
      <c r="F45" s="47"/>
      <c r="G45" s="47"/>
      <c r="H45" s="47"/>
      <c r="I45" s="69"/>
      <c r="J45" s="69"/>
      <c r="K45" s="47"/>
      <c r="L45" s="707"/>
      <c r="M45" s="707"/>
      <c r="N45" s="707"/>
      <c r="O45" s="707"/>
      <c r="P45" s="707"/>
      <c r="Q45" s="707"/>
      <c r="R45" s="707"/>
      <c r="S45" s="707"/>
      <c r="T45" s="707"/>
      <c r="U45" s="707"/>
      <c r="V45" s="707"/>
      <c r="W45" s="707"/>
      <c r="X45" s="699"/>
      <c r="Y45" s="699"/>
      <c r="Z45" s="699"/>
      <c r="AA45" s="699"/>
      <c r="AB45" s="699"/>
      <c r="AC45" s="699" t="s">
        <v>121</v>
      </c>
      <c r="AD45" s="699"/>
      <c r="AE45" s="699"/>
      <c r="AF45" s="699"/>
      <c r="AG45" s="699"/>
      <c r="AH45" s="699"/>
      <c r="AI45" s="699"/>
      <c r="AJ45" s="706"/>
      <c r="AK45" s="706"/>
      <c r="AL45" s="706"/>
      <c r="AM45" s="706"/>
      <c r="AN45" s="706"/>
      <c r="AO45" s="706"/>
      <c r="AP45" s="706"/>
      <c r="AQ45" s="706"/>
      <c r="AR45" s="706"/>
      <c r="AS45" s="706"/>
      <c r="AT45" s="706"/>
    </row>
    <row r="46" spans="1:83" ht="21.95" customHeight="1" x14ac:dyDescent="0.25">
      <c r="A46" s="47"/>
      <c r="B46" s="47"/>
      <c r="C46" s="47"/>
      <c r="D46" s="101"/>
      <c r="E46" s="69"/>
      <c r="F46" s="47"/>
      <c r="G46" s="47"/>
      <c r="H46" s="47"/>
      <c r="I46" s="101"/>
      <c r="J46" s="69"/>
      <c r="K46" s="47"/>
      <c r="L46" s="707"/>
      <c r="M46" s="707"/>
      <c r="N46" s="707"/>
      <c r="O46" s="707"/>
      <c r="P46" s="707"/>
      <c r="Q46" s="707"/>
      <c r="R46" s="707"/>
      <c r="S46" s="707"/>
      <c r="T46" s="707"/>
      <c r="U46" s="707"/>
      <c r="V46" s="707"/>
      <c r="W46" s="707"/>
      <c r="X46" s="699"/>
      <c r="Y46" s="699"/>
      <c r="Z46" s="699"/>
      <c r="AA46" s="699"/>
      <c r="AB46" s="699"/>
      <c r="AC46" s="699"/>
      <c r="AD46" s="699"/>
      <c r="AE46" s="699"/>
      <c r="AF46" s="699"/>
      <c r="AG46" s="699"/>
      <c r="AH46" s="699"/>
      <c r="AI46" s="699"/>
      <c r="AJ46" s="706"/>
      <c r="AK46" s="706"/>
      <c r="AL46" s="706"/>
      <c r="AM46" s="706"/>
      <c r="AN46" s="706"/>
      <c r="AO46" s="706"/>
      <c r="AP46" s="706"/>
      <c r="AQ46" s="706"/>
      <c r="AR46" s="706"/>
      <c r="AS46" s="706"/>
      <c r="AT46" s="706"/>
    </row>
    <row r="47" spans="1:83" ht="6" customHeight="1" x14ac:dyDescent="0.25">
      <c r="A47" s="47"/>
      <c r="B47" s="47"/>
      <c r="C47" s="47"/>
      <c r="D47" s="69"/>
      <c r="E47" s="69"/>
      <c r="F47" s="47"/>
      <c r="G47" s="47"/>
      <c r="H47" s="47"/>
      <c r="I47" s="69"/>
      <c r="J47" s="69"/>
      <c r="K47" s="47"/>
      <c r="L47" s="47"/>
      <c r="M47" s="47"/>
      <c r="N47" s="69"/>
      <c r="O47" s="69"/>
      <c r="P47" s="47"/>
      <c r="Q47" s="47"/>
      <c r="R47" s="47"/>
      <c r="S47" s="69"/>
      <c r="T47" s="69"/>
      <c r="U47" s="47"/>
      <c r="V47" s="47"/>
      <c r="W47" s="47"/>
      <c r="X47" s="69"/>
      <c r="Y47" s="69"/>
      <c r="Z47" s="47"/>
      <c r="AA47" s="47"/>
      <c r="AB47" s="47"/>
      <c r="AC47" s="69"/>
      <c r="AD47" s="69"/>
      <c r="AE47" s="47"/>
      <c r="AF47" s="47"/>
      <c r="AG47" s="47"/>
      <c r="AH47" s="69"/>
      <c r="AI47" s="69"/>
      <c r="AJ47" s="47"/>
      <c r="AK47" s="47"/>
      <c r="AL47" s="47"/>
      <c r="AM47" s="69"/>
      <c r="AN47" s="69"/>
      <c r="AO47" s="47"/>
      <c r="AP47" s="47"/>
      <c r="AQ47" s="47"/>
      <c r="AR47" s="69"/>
      <c r="AS47" s="69"/>
      <c r="AT47" s="47"/>
      <c r="AU47" s="47"/>
      <c r="AV47" s="47"/>
      <c r="AW47" s="69"/>
      <c r="AX47" s="69"/>
      <c r="AY47" s="47"/>
      <c r="AZ47" s="47"/>
      <c r="BA47" s="47"/>
      <c r="BB47" s="69"/>
      <c r="BC47" s="69"/>
      <c r="BD47" s="47"/>
      <c r="BE47" s="47"/>
      <c r="BF47" s="47"/>
      <c r="BG47" s="69"/>
      <c r="BH47" s="69"/>
      <c r="BI47" s="47"/>
      <c r="BJ47" s="47"/>
      <c r="BK47" s="47"/>
      <c r="BL47" s="69"/>
      <c r="BM47" s="69"/>
      <c r="BN47" s="47"/>
      <c r="BO47" s="47"/>
      <c r="BP47" s="47"/>
      <c r="BQ47" s="69"/>
      <c r="BR47" s="69"/>
    </row>
    <row r="48" spans="1:83" s="22" customFormat="1" ht="80.099999999999994" customHeight="1" x14ac:dyDescent="1.35">
      <c r="A48" s="70"/>
      <c r="B48" s="717"/>
      <c r="C48" s="717"/>
      <c r="D48" s="717"/>
      <c r="E48" s="717"/>
      <c r="F48" s="717"/>
      <c r="G48" s="717"/>
      <c r="H48" s="717"/>
      <c r="I48" s="717"/>
      <c r="J48" s="717"/>
      <c r="K48" s="717"/>
      <c r="L48" s="72"/>
      <c r="M48" s="1797"/>
      <c r="N48" s="1797"/>
      <c r="O48" s="1797"/>
      <c r="P48" s="1797"/>
      <c r="Q48" s="72"/>
      <c r="R48" s="72"/>
      <c r="S48" s="72"/>
      <c r="T48" s="72"/>
      <c r="U48" s="70"/>
      <c r="V48" s="72"/>
      <c r="W48" s="72"/>
      <c r="X48" s="72"/>
      <c r="Y48" s="72"/>
      <c r="Z48" s="70"/>
      <c r="AA48" s="72"/>
      <c r="AB48" s="72"/>
      <c r="AC48" s="72"/>
      <c r="AD48" s="72"/>
      <c r="AE48" s="70"/>
      <c r="AF48" s="72"/>
      <c r="AG48" s="72"/>
      <c r="AH48" s="72"/>
      <c r="AI48" s="72"/>
      <c r="AJ48" s="70"/>
      <c r="AK48" s="72"/>
      <c r="AL48" s="72"/>
      <c r="AM48" s="72"/>
      <c r="AN48" s="72"/>
      <c r="AO48" s="70"/>
      <c r="AP48" s="72"/>
      <c r="AQ48" s="72"/>
      <c r="AR48" s="72"/>
      <c r="AS48" s="72"/>
      <c r="AT48" s="70"/>
      <c r="AU48" s="72"/>
      <c r="AV48" s="72"/>
      <c r="AW48" s="72"/>
      <c r="AX48" s="72"/>
      <c r="AY48" s="70"/>
      <c r="AZ48" s="72"/>
      <c r="BA48" s="72"/>
      <c r="BB48" s="72"/>
      <c r="BC48" s="72"/>
      <c r="BD48" s="70"/>
      <c r="BE48" s="72"/>
      <c r="BF48" s="72"/>
      <c r="BG48" s="72"/>
      <c r="BH48" s="72"/>
      <c r="BI48" s="70"/>
      <c r="BJ48" s="72"/>
      <c r="BK48" s="72"/>
      <c r="BL48" s="72"/>
      <c r="BM48" s="72"/>
      <c r="BN48" s="70"/>
      <c r="BO48" s="72"/>
      <c r="BP48" s="72"/>
      <c r="BQ48" s="72"/>
      <c r="BR48" s="72"/>
    </row>
    <row r="49" spans="1:83" ht="27" thickBot="1" x14ac:dyDescent="0.3">
      <c r="A49" s="70"/>
      <c r="B49" s="32"/>
      <c r="C49" s="33"/>
      <c r="D49" s="34"/>
      <c r="E49" s="35"/>
      <c r="F49" s="70"/>
      <c r="G49" s="32"/>
      <c r="H49" s="33"/>
      <c r="I49" s="34"/>
      <c r="J49" s="35"/>
      <c r="K49" s="70"/>
      <c r="L49" s="32"/>
      <c r="M49" s="33"/>
      <c r="N49" s="34"/>
      <c r="O49" s="35"/>
      <c r="P49" s="70"/>
      <c r="Q49" s="32"/>
      <c r="R49" s="33"/>
      <c r="S49" s="34"/>
      <c r="T49" s="35"/>
      <c r="U49" s="70"/>
      <c r="V49" s="32"/>
      <c r="W49" s="33"/>
      <c r="X49" s="34"/>
      <c r="Y49" s="35"/>
      <c r="Z49" s="70"/>
      <c r="AA49" s="32"/>
      <c r="AB49" s="33"/>
      <c r="AC49" s="34"/>
      <c r="AD49" s="35"/>
      <c r="AE49" s="70"/>
      <c r="AF49" s="32"/>
      <c r="AG49" s="33"/>
      <c r="AH49" s="34"/>
      <c r="AI49" s="35"/>
      <c r="AJ49" s="70"/>
      <c r="AK49" s="32"/>
      <c r="AL49" s="33"/>
      <c r="AM49" s="34"/>
      <c r="AN49" s="35"/>
      <c r="AO49" s="70"/>
      <c r="AP49" s="32"/>
      <c r="AQ49" s="33"/>
      <c r="AR49" s="34"/>
      <c r="AS49" s="35"/>
      <c r="AT49" s="70"/>
      <c r="AU49" s="32"/>
      <c r="AV49" s="33"/>
      <c r="AW49" s="34"/>
      <c r="AX49" s="35"/>
      <c r="AY49" s="70"/>
      <c r="AZ49" s="32"/>
      <c r="BA49" s="33"/>
      <c r="BB49" s="34"/>
      <c r="BC49" s="35"/>
      <c r="BD49" s="70"/>
      <c r="BE49" s="32"/>
      <c r="BF49" s="33"/>
      <c r="BG49" s="34"/>
      <c r="BH49" s="35"/>
      <c r="BI49" s="70"/>
      <c r="BJ49" s="32"/>
      <c r="BK49" s="33"/>
      <c r="BL49" s="34"/>
      <c r="BM49" s="35"/>
      <c r="BN49" s="70"/>
      <c r="BO49" s="32"/>
      <c r="BP49" s="33"/>
      <c r="BQ49" s="34"/>
      <c r="BR49" s="35"/>
      <c r="BW49" s="27"/>
      <c r="BX49" s="27"/>
      <c r="BY49" s="27"/>
      <c r="BZ49" s="27"/>
      <c r="CA49" s="27"/>
      <c r="CB49" s="27"/>
      <c r="CC49" s="27"/>
      <c r="CD49" s="27"/>
      <c r="CE49" s="27"/>
    </row>
    <row r="50" spans="1:83" ht="26.1" hidden="1" customHeight="1" thickTop="1" x14ac:dyDescent="0.25">
      <c r="A50" s="118"/>
      <c r="B50" s="118"/>
      <c r="C50" s="118"/>
      <c r="D50" s="117"/>
      <c r="E50" s="117"/>
      <c r="F50" s="118"/>
      <c r="G50" s="118"/>
      <c r="H50" s="118"/>
      <c r="I50" s="117"/>
      <c r="J50" s="117"/>
      <c r="K50" s="118"/>
      <c r="L50" s="118"/>
      <c r="M50" s="118"/>
      <c r="N50" s="117"/>
      <c r="O50" s="117"/>
      <c r="P50" s="44"/>
      <c r="Q50" s="44"/>
      <c r="R50" s="44"/>
      <c r="S50" s="69"/>
      <c r="T50" s="69"/>
      <c r="U50" s="44"/>
      <c r="V50" s="44"/>
      <c r="W50" s="44"/>
      <c r="X50" s="69"/>
      <c r="Y50" s="69"/>
      <c r="Z50" s="44"/>
      <c r="AA50" s="44"/>
      <c r="AB50" s="44"/>
      <c r="AC50" s="69"/>
      <c r="AD50" s="69"/>
      <c r="AE50" s="44"/>
      <c r="AF50" s="44"/>
      <c r="AG50" s="44"/>
      <c r="AH50" s="69"/>
      <c r="AI50" s="69"/>
      <c r="AJ50" s="44"/>
      <c r="AK50" s="44"/>
      <c r="AL50" s="44"/>
      <c r="AM50" s="69"/>
      <c r="AN50" s="69"/>
      <c r="AO50" s="44"/>
      <c r="AP50" s="44"/>
      <c r="AQ50" s="44"/>
      <c r="AR50" s="69"/>
      <c r="AS50" s="69"/>
      <c r="AT50" s="44"/>
      <c r="AU50" s="44"/>
      <c r="AV50" s="44"/>
      <c r="AW50" s="69"/>
      <c r="AX50" s="69"/>
      <c r="AY50" s="44"/>
      <c r="AZ50" s="44"/>
      <c r="BA50" s="44"/>
      <c r="BB50" s="69"/>
      <c r="BC50" s="69"/>
      <c r="BD50" s="44"/>
      <c r="BE50" s="44"/>
      <c r="BF50" s="44"/>
      <c r="BG50" s="69"/>
      <c r="BH50" s="69"/>
      <c r="BI50" s="44"/>
      <c r="BJ50" s="44"/>
      <c r="BK50" s="44"/>
      <c r="BL50" s="69"/>
      <c r="BM50" s="69"/>
      <c r="BN50" s="44"/>
      <c r="BO50" s="44"/>
      <c r="BP50" s="44"/>
      <c r="BQ50" s="69"/>
      <c r="BR50" s="69"/>
    </row>
    <row r="51" spans="1:83" ht="6.75" hidden="1" customHeight="1" x14ac:dyDescent="0.25">
      <c r="A51" s="47"/>
      <c r="B51" s="47"/>
      <c r="C51" s="47"/>
      <c r="D51" s="29"/>
      <c r="E51" s="29"/>
      <c r="F51" s="47"/>
      <c r="G51" s="47"/>
      <c r="H51" s="47"/>
      <c r="I51" s="29"/>
      <c r="J51" s="29"/>
      <c r="K51" s="47"/>
      <c r="L51" s="47"/>
      <c r="M51" s="47"/>
      <c r="N51" s="29"/>
      <c r="O51" s="29"/>
      <c r="P51" s="47"/>
      <c r="Q51" s="47"/>
      <c r="R51" s="47"/>
      <c r="S51" s="29"/>
      <c r="T51" s="29"/>
      <c r="U51" s="47"/>
      <c r="V51" s="47"/>
      <c r="W51" s="47"/>
      <c r="X51" s="29"/>
      <c r="Y51" s="29"/>
      <c r="Z51" s="47"/>
      <c r="AA51" s="47"/>
      <c r="AB51" s="47"/>
      <c r="AC51" s="29"/>
      <c r="AD51" s="29"/>
      <c r="AE51" s="47"/>
      <c r="AF51" s="47"/>
      <c r="AG51" s="47"/>
      <c r="AH51" s="29"/>
      <c r="AI51" s="29"/>
      <c r="AJ51" s="47"/>
      <c r="AK51" s="47"/>
      <c r="AL51" s="47"/>
      <c r="AM51" s="29"/>
      <c r="AN51" s="29"/>
      <c r="AO51" s="47"/>
      <c r="AP51" s="47"/>
      <c r="AQ51" s="47"/>
      <c r="AR51" s="29"/>
      <c r="AS51" s="29"/>
      <c r="AT51" s="47"/>
      <c r="AU51" s="47"/>
      <c r="AV51" s="47"/>
      <c r="AW51" s="29"/>
      <c r="AX51" s="29"/>
      <c r="AY51" s="47"/>
      <c r="AZ51" s="47"/>
      <c r="BA51" s="47"/>
      <c r="BB51" s="29"/>
      <c r="BC51" s="29"/>
      <c r="BD51" s="47"/>
      <c r="BE51" s="47"/>
      <c r="BF51" s="47"/>
      <c r="BG51" s="29"/>
      <c r="BH51" s="29"/>
      <c r="BI51" s="47"/>
      <c r="BJ51" s="47"/>
      <c r="BK51" s="47"/>
      <c r="BL51" s="29"/>
      <c r="BM51" s="29"/>
      <c r="BN51" s="47"/>
      <c r="BO51" s="47"/>
      <c r="BP51" s="47"/>
      <c r="BQ51" s="29"/>
      <c r="BR51" s="29"/>
    </row>
    <row r="52" spans="1:83" ht="21.95" hidden="1" customHeight="1" x14ac:dyDescent="0.25">
      <c r="A52" s="47"/>
      <c r="B52" s="47"/>
      <c r="C52" s="47"/>
      <c r="D52" s="30"/>
      <c r="E52" s="29"/>
      <c r="F52" s="47"/>
      <c r="G52" s="47"/>
      <c r="H52" s="47"/>
      <c r="I52" s="30"/>
      <c r="J52" s="29"/>
      <c r="K52" s="47"/>
      <c r="L52" s="47"/>
      <c r="M52" s="47"/>
      <c r="N52" s="30"/>
      <c r="O52" s="29"/>
      <c r="P52" s="47"/>
      <c r="Q52" s="47"/>
      <c r="R52" s="47"/>
      <c r="S52" s="30"/>
      <c r="T52" s="29"/>
      <c r="U52" s="47"/>
      <c r="V52" s="47"/>
      <c r="W52" s="47"/>
      <c r="X52" s="30"/>
      <c r="Y52" s="29"/>
      <c r="Z52" s="47"/>
      <c r="AA52" s="47"/>
      <c r="AB52" s="47"/>
      <c r="AC52" s="30"/>
      <c r="AD52" s="29"/>
      <c r="AE52" s="47"/>
      <c r="AF52" s="47"/>
      <c r="AG52" s="47"/>
      <c r="AH52" s="30"/>
      <c r="AI52" s="29"/>
      <c r="AJ52" s="47"/>
      <c r="AK52" s="47"/>
      <c r="AL52" s="47"/>
      <c r="AM52" s="30"/>
      <c r="AN52" s="29"/>
      <c r="AO52" s="47"/>
      <c r="AP52" s="47"/>
      <c r="AQ52" s="47"/>
      <c r="AR52" s="30"/>
      <c r="AS52" s="29"/>
      <c r="AT52" s="47"/>
      <c r="AU52" s="47"/>
      <c r="AV52" s="47"/>
      <c r="AW52" s="30"/>
      <c r="AX52" s="29"/>
      <c r="AY52" s="47"/>
      <c r="AZ52" s="47"/>
      <c r="BA52" s="47"/>
      <c r="BB52" s="30"/>
      <c r="BC52" s="29"/>
      <c r="BD52" s="47"/>
      <c r="BE52" s="47"/>
      <c r="BF52" s="47"/>
      <c r="BG52" s="30"/>
      <c r="BH52" s="29"/>
      <c r="BI52" s="47"/>
      <c r="BJ52" s="47"/>
      <c r="BK52" s="47"/>
      <c r="BL52" s="30"/>
      <c r="BM52" s="29"/>
      <c r="BN52" s="47"/>
      <c r="BO52" s="47"/>
      <c r="BP52" s="47"/>
      <c r="BQ52" s="30"/>
      <c r="BR52" s="29"/>
    </row>
    <row r="53" spans="1:83" ht="6" hidden="1" customHeight="1" x14ac:dyDescent="0.25">
      <c r="A53" s="47"/>
      <c r="B53" s="47"/>
      <c r="C53" s="47"/>
      <c r="D53" s="69"/>
      <c r="E53" s="69"/>
      <c r="F53" s="47"/>
      <c r="G53" s="47"/>
      <c r="H53" s="47"/>
      <c r="I53" s="69"/>
      <c r="J53" s="69"/>
      <c r="K53" s="47"/>
      <c r="L53" s="47"/>
      <c r="M53" s="47"/>
      <c r="N53" s="69"/>
      <c r="O53" s="69"/>
      <c r="P53" s="47"/>
      <c r="Q53" s="47"/>
      <c r="R53" s="47"/>
      <c r="S53" s="69"/>
      <c r="T53" s="69"/>
      <c r="U53" s="47"/>
      <c r="V53" s="47"/>
      <c r="W53" s="47"/>
      <c r="X53" s="69"/>
      <c r="Y53" s="69"/>
      <c r="Z53" s="47"/>
      <c r="AA53" s="47"/>
      <c r="AB53" s="47"/>
      <c r="AC53" s="69"/>
      <c r="AD53" s="69"/>
      <c r="AE53" s="47"/>
      <c r="AF53" s="47"/>
      <c r="AG53" s="47"/>
      <c r="AH53" s="69"/>
      <c r="AI53" s="69"/>
      <c r="AJ53" s="47"/>
      <c r="AK53" s="47"/>
      <c r="AL53" s="47"/>
      <c r="AM53" s="69"/>
      <c r="AN53" s="69"/>
      <c r="AO53" s="47"/>
      <c r="AP53" s="47"/>
      <c r="AQ53" s="47"/>
      <c r="AR53" s="69"/>
      <c r="AS53" s="69"/>
      <c r="AT53" s="47"/>
      <c r="AU53" s="47"/>
      <c r="AV53" s="47"/>
      <c r="AW53" s="69"/>
      <c r="AX53" s="69"/>
      <c r="AY53" s="47"/>
      <c r="AZ53" s="47"/>
      <c r="BA53" s="47"/>
      <c r="BB53" s="69"/>
      <c r="BC53" s="69"/>
      <c r="BD53" s="47"/>
      <c r="BE53" s="47"/>
      <c r="BF53" s="47"/>
      <c r="BG53" s="69"/>
      <c r="BH53" s="69"/>
      <c r="BI53" s="47"/>
      <c r="BJ53" s="47"/>
      <c r="BK53" s="47"/>
      <c r="BL53" s="69"/>
      <c r="BM53" s="69"/>
      <c r="BN53" s="47"/>
      <c r="BO53" s="47"/>
      <c r="BP53" s="47"/>
      <c r="BQ53" s="69"/>
      <c r="BR53" s="69"/>
    </row>
    <row r="54" spans="1:83" ht="60" hidden="1" customHeight="1" thickTop="1" thickBot="1" x14ac:dyDescent="0.3">
      <c r="A54" s="70"/>
      <c r="B54" s="71"/>
      <c r="C54" s="71"/>
      <c r="D54" s="71"/>
      <c r="E54" s="71"/>
      <c r="F54" s="70"/>
      <c r="G54" s="71"/>
      <c r="H54" s="71"/>
      <c r="I54" s="71"/>
      <c r="J54" s="71"/>
      <c r="K54" s="70"/>
      <c r="L54" s="71"/>
      <c r="M54" s="71"/>
      <c r="N54" s="71"/>
      <c r="O54" s="71"/>
      <c r="P54" s="70"/>
      <c r="Q54" s="71"/>
      <c r="R54" s="71"/>
      <c r="S54" s="71"/>
      <c r="T54" s="71"/>
      <c r="U54" s="70"/>
      <c r="V54" s="71"/>
      <c r="W54" s="71"/>
      <c r="X54" s="71"/>
      <c r="Y54" s="71"/>
      <c r="Z54" s="70"/>
      <c r="AA54" s="71"/>
      <c r="AB54" s="71"/>
      <c r="AC54" s="71"/>
      <c r="AD54" s="71"/>
      <c r="AE54" s="70"/>
      <c r="AF54" s="71"/>
      <c r="AG54" s="71"/>
      <c r="AH54" s="71"/>
      <c r="AI54" s="71"/>
      <c r="AJ54" s="70"/>
      <c r="AK54" s="71"/>
      <c r="AL54" s="71"/>
      <c r="AM54" s="71"/>
      <c r="AN54" s="71"/>
      <c r="AO54" s="70"/>
      <c r="AP54" s="71"/>
      <c r="AQ54" s="71"/>
      <c r="AR54" s="71"/>
      <c r="AS54" s="71"/>
      <c r="AT54" s="70"/>
      <c r="AU54" s="71"/>
      <c r="AV54" s="71"/>
      <c r="AW54" s="71"/>
      <c r="AX54" s="71"/>
      <c r="AY54" s="70"/>
      <c r="AZ54" s="71"/>
      <c r="BA54" s="71"/>
      <c r="BB54" s="71"/>
      <c r="BC54" s="71"/>
      <c r="BD54" s="70"/>
      <c r="BE54" s="71"/>
      <c r="BF54" s="71"/>
      <c r="BG54" s="71"/>
      <c r="BH54" s="71"/>
      <c r="BI54" s="70"/>
      <c r="BJ54" s="71"/>
      <c r="BK54" s="71"/>
      <c r="BL54" s="71"/>
      <c r="BM54" s="71"/>
      <c r="BN54" s="70"/>
      <c r="BO54" s="71"/>
      <c r="BP54" s="71"/>
      <c r="BQ54" s="71"/>
      <c r="BR54" s="71"/>
    </row>
    <row r="55" spans="1:83" ht="27.75" hidden="1" customHeight="1" thickTop="1" thickBot="1" x14ac:dyDescent="0.3">
      <c r="A55" s="70"/>
      <c r="B55" s="32"/>
      <c r="C55" s="33"/>
      <c r="D55" s="34"/>
      <c r="E55" s="35"/>
      <c r="F55" s="70"/>
      <c r="G55" s="32"/>
      <c r="H55" s="33"/>
      <c r="I55" s="34"/>
      <c r="J55" s="35"/>
      <c r="K55" s="70"/>
      <c r="L55" s="32"/>
      <c r="M55" s="33"/>
      <c r="N55" s="34"/>
      <c r="O55" s="35"/>
      <c r="P55" s="70"/>
      <c r="Q55" s="32"/>
      <c r="R55" s="33"/>
      <c r="S55" s="34"/>
      <c r="T55" s="35"/>
      <c r="U55" s="70"/>
      <c r="V55" s="32"/>
      <c r="W55" s="33"/>
      <c r="X55" s="34"/>
      <c r="Y55" s="35"/>
      <c r="Z55" s="70"/>
      <c r="AA55" s="32"/>
      <c r="AB55" s="33"/>
      <c r="AC55" s="34"/>
      <c r="AD55" s="35"/>
      <c r="AE55" s="70"/>
      <c r="AF55" s="32"/>
      <c r="AG55" s="33"/>
      <c r="AH55" s="34"/>
      <c r="AI55" s="35"/>
      <c r="AJ55" s="70"/>
      <c r="AK55" s="32"/>
      <c r="AL55" s="33"/>
      <c r="AM55" s="34"/>
      <c r="AN55" s="35"/>
      <c r="AO55" s="70"/>
      <c r="AP55" s="32"/>
      <c r="AQ55" s="33"/>
      <c r="AR55" s="34"/>
      <c r="AS55" s="35"/>
      <c r="AT55" s="70"/>
      <c r="AU55" s="32"/>
      <c r="AV55" s="33"/>
      <c r="AW55" s="34"/>
      <c r="AX55" s="35"/>
      <c r="AY55" s="70"/>
      <c r="AZ55" s="32"/>
      <c r="BA55" s="33"/>
      <c r="BB55" s="34"/>
      <c r="BC55" s="35"/>
      <c r="BD55" s="70"/>
      <c r="BE55" s="32"/>
      <c r="BF55" s="33"/>
      <c r="BG55" s="34"/>
      <c r="BH55" s="35"/>
      <c r="BI55" s="70"/>
      <c r="BJ55" s="32"/>
      <c r="BK55" s="33"/>
      <c r="BL55" s="34"/>
      <c r="BM55" s="35"/>
      <c r="BN55" s="70"/>
      <c r="BO55" s="32"/>
      <c r="BP55" s="33"/>
      <c r="BQ55" s="34"/>
      <c r="BR55" s="35"/>
      <c r="BW55" s="27"/>
      <c r="BX55" s="27"/>
      <c r="BY55" s="27"/>
      <c r="BZ55" s="27"/>
      <c r="CA55" s="27"/>
      <c r="CB55" s="27"/>
      <c r="CC55" s="27"/>
      <c r="CD55" s="27"/>
      <c r="CE55" s="27"/>
    </row>
    <row r="56" spans="1:83" ht="26.1" hidden="1" customHeight="1" x14ac:dyDescent="0.25">
      <c r="A56" s="44"/>
      <c r="B56" s="44"/>
      <c r="C56" s="44"/>
      <c r="D56" s="69"/>
      <c r="E56" s="69"/>
      <c r="F56" s="44"/>
      <c r="G56" s="44"/>
      <c r="H56" s="44"/>
      <c r="I56" s="69"/>
      <c r="J56" s="69"/>
      <c r="K56" s="44"/>
      <c r="L56" s="44"/>
      <c r="M56" s="44"/>
      <c r="N56" s="69"/>
      <c r="O56" s="69"/>
      <c r="P56" s="44"/>
      <c r="Q56" s="44"/>
      <c r="R56" s="44"/>
      <c r="S56" s="69"/>
      <c r="T56" s="69"/>
      <c r="U56" s="44"/>
      <c r="V56" s="44"/>
      <c r="W56" s="44"/>
      <c r="X56" s="69"/>
      <c r="Y56" s="69"/>
      <c r="Z56" s="44"/>
      <c r="AA56" s="44"/>
      <c r="AB56" s="44"/>
      <c r="AC56" s="69"/>
      <c r="AD56" s="69"/>
      <c r="AE56" s="44"/>
      <c r="AF56" s="44"/>
      <c r="AG56" s="44"/>
      <c r="AH56" s="69"/>
      <c r="AI56" s="69"/>
      <c r="AJ56" s="44"/>
      <c r="AK56" s="44"/>
      <c r="AL56" s="44"/>
      <c r="AM56" s="69"/>
      <c r="AN56" s="69"/>
      <c r="AO56" s="44"/>
      <c r="AP56" s="44"/>
      <c r="AQ56" s="44"/>
      <c r="AR56" s="69"/>
      <c r="AS56" s="69"/>
      <c r="AT56" s="44"/>
      <c r="AU56" s="44"/>
      <c r="AV56" s="44"/>
      <c r="AW56" s="69"/>
      <c r="AX56" s="69"/>
      <c r="AY56" s="44"/>
      <c r="AZ56" s="44"/>
      <c r="BA56" s="44"/>
      <c r="BB56" s="69"/>
      <c r="BC56" s="69"/>
      <c r="BD56" s="44"/>
      <c r="BE56" s="44"/>
      <c r="BF56" s="44"/>
      <c r="BG56" s="69"/>
      <c r="BH56" s="69"/>
      <c r="BI56" s="44"/>
      <c r="BJ56" s="44"/>
      <c r="BK56" s="44"/>
      <c r="BL56" s="69"/>
      <c r="BM56" s="69"/>
      <c r="BN56" s="44"/>
      <c r="BO56" s="44"/>
      <c r="BP56" s="44"/>
      <c r="BQ56" s="69"/>
      <c r="BR56" s="69"/>
    </row>
    <row r="57" spans="1:83" ht="6.75" hidden="1" customHeight="1" x14ac:dyDescent="0.25">
      <c r="A57" s="47"/>
      <c r="B57" s="47"/>
      <c r="C57" s="47"/>
      <c r="D57" s="29"/>
      <c r="E57" s="29"/>
      <c r="F57" s="47"/>
      <c r="G57" s="47"/>
      <c r="H57" s="47"/>
      <c r="I57" s="29"/>
      <c r="J57" s="29"/>
      <c r="K57" s="47"/>
      <c r="L57" s="47"/>
      <c r="M57" s="47"/>
      <c r="N57" s="29"/>
      <c r="O57" s="29"/>
      <c r="P57" s="47"/>
      <c r="Q57" s="47"/>
      <c r="R57" s="47"/>
      <c r="S57" s="29"/>
      <c r="T57" s="29"/>
      <c r="U57" s="47"/>
      <c r="V57" s="47"/>
      <c r="W57" s="47"/>
      <c r="X57" s="29"/>
      <c r="Y57" s="29"/>
      <c r="Z57" s="47"/>
      <c r="AA57" s="47"/>
      <c r="AB57" s="47"/>
      <c r="AC57" s="29"/>
      <c r="AD57" s="29"/>
      <c r="AE57" s="47"/>
      <c r="AF57" s="47"/>
      <c r="AG57" s="47"/>
      <c r="AH57" s="29"/>
      <c r="AI57" s="29"/>
      <c r="AJ57" s="47"/>
      <c r="AK57" s="47"/>
      <c r="AL57" s="47"/>
      <c r="AM57" s="29"/>
      <c r="AN57" s="29"/>
      <c r="AO57" s="47"/>
      <c r="AP57" s="47"/>
      <c r="AQ57" s="47"/>
      <c r="AR57" s="29"/>
      <c r="AS57" s="29"/>
      <c r="AT57" s="47"/>
      <c r="AU57" s="47"/>
      <c r="AV57" s="47"/>
      <c r="AW57" s="29"/>
      <c r="AX57" s="29"/>
      <c r="AY57" s="47"/>
      <c r="AZ57" s="47"/>
      <c r="BA57" s="47"/>
      <c r="BB57" s="29"/>
      <c r="BC57" s="29"/>
      <c r="BD57" s="47"/>
      <c r="BE57" s="47"/>
      <c r="BF57" s="47"/>
      <c r="BG57" s="29"/>
      <c r="BH57" s="29"/>
      <c r="BI57" s="47"/>
      <c r="BJ57" s="47"/>
      <c r="BK57" s="47"/>
      <c r="BL57" s="29"/>
      <c r="BM57" s="29"/>
      <c r="BN57" s="47"/>
      <c r="BO57" s="47"/>
      <c r="BP57" s="47"/>
      <c r="BQ57" s="29"/>
      <c r="BR57" s="29"/>
    </row>
    <row r="58" spans="1:83" ht="21.95" hidden="1" customHeight="1" x14ac:dyDescent="0.25">
      <c r="A58" s="47"/>
      <c r="B58" s="47"/>
      <c r="C58" s="47"/>
      <c r="D58" s="30"/>
      <c r="E58" s="29"/>
      <c r="F58" s="47"/>
      <c r="G58" s="47"/>
      <c r="H58" s="47"/>
      <c r="I58" s="30"/>
      <c r="J58" s="29"/>
      <c r="K58" s="47"/>
      <c r="L58" s="47"/>
      <c r="M58" s="47"/>
      <c r="N58" s="30"/>
      <c r="O58" s="29"/>
      <c r="P58" s="47"/>
      <c r="Q58" s="47"/>
      <c r="R58" s="47"/>
      <c r="S58" s="30"/>
      <c r="T58" s="29"/>
      <c r="U58" s="47"/>
      <c r="V58" s="47"/>
      <c r="W58" s="47"/>
      <c r="X58" s="30"/>
      <c r="Y58" s="29"/>
      <c r="Z58" s="47"/>
      <c r="AA58" s="47"/>
      <c r="AB58" s="47"/>
      <c r="AC58" s="30"/>
      <c r="AD58" s="29"/>
      <c r="AE58" s="47"/>
      <c r="AF58" s="47"/>
      <c r="AG58" s="47"/>
      <c r="AH58" s="30"/>
      <c r="AI58" s="29"/>
      <c r="AJ58" s="47"/>
      <c r="AK58" s="47"/>
      <c r="AL58" s="47"/>
      <c r="AM58" s="30"/>
      <c r="AN58" s="29"/>
      <c r="AO58" s="47"/>
      <c r="AP58" s="47"/>
      <c r="AQ58" s="47"/>
      <c r="AR58" s="30"/>
      <c r="AS58" s="29"/>
      <c r="AT58" s="47"/>
      <c r="AU58" s="47"/>
      <c r="AV58" s="47"/>
      <c r="AW58" s="30"/>
      <c r="AX58" s="29"/>
      <c r="AY58" s="47"/>
      <c r="AZ58" s="47"/>
      <c r="BA58" s="47"/>
      <c r="BB58" s="30"/>
      <c r="BC58" s="29"/>
      <c r="BD58" s="47"/>
      <c r="BE58" s="47"/>
      <c r="BF58" s="47"/>
      <c r="BG58" s="30"/>
      <c r="BH58" s="29"/>
      <c r="BI58" s="47"/>
      <c r="BJ58" s="47"/>
      <c r="BK58" s="47"/>
      <c r="BL58" s="30"/>
      <c r="BM58" s="29"/>
      <c r="BN58" s="47"/>
      <c r="BO58" s="47"/>
      <c r="BP58" s="47"/>
      <c r="BQ58" s="30"/>
      <c r="BR58" s="29"/>
    </row>
    <row r="59" spans="1:83" ht="6" hidden="1" customHeight="1" x14ac:dyDescent="0.25">
      <c r="A59" s="47"/>
      <c r="B59" s="47"/>
      <c r="C59" s="47"/>
      <c r="D59" s="69"/>
      <c r="E59" s="69"/>
      <c r="F59" s="47"/>
      <c r="G59" s="47"/>
      <c r="H59" s="47"/>
      <c r="I59" s="69"/>
      <c r="J59" s="69"/>
      <c r="K59" s="47"/>
      <c r="L59" s="47"/>
      <c r="M59" s="47"/>
      <c r="N59" s="69"/>
      <c r="O59" s="69"/>
      <c r="P59" s="47"/>
      <c r="Q59" s="47"/>
      <c r="R59" s="47"/>
      <c r="S59" s="69"/>
      <c r="T59" s="69"/>
      <c r="U59" s="47"/>
      <c r="V59" s="47"/>
      <c r="W59" s="47"/>
      <c r="X59" s="69"/>
      <c r="Y59" s="69"/>
      <c r="Z59" s="47"/>
      <c r="AA59" s="47"/>
      <c r="AB59" s="47"/>
      <c r="AC59" s="69"/>
      <c r="AD59" s="69"/>
      <c r="AE59" s="47"/>
      <c r="AF59" s="47"/>
      <c r="AG59" s="47"/>
      <c r="AH59" s="69"/>
      <c r="AI59" s="69"/>
      <c r="AJ59" s="47"/>
      <c r="AK59" s="47"/>
      <c r="AL59" s="47"/>
      <c r="AM59" s="69"/>
      <c r="AN59" s="69"/>
      <c r="AO59" s="47"/>
      <c r="AP59" s="47"/>
      <c r="AQ59" s="47"/>
      <c r="AR59" s="69"/>
      <c r="AS59" s="69"/>
      <c r="AT59" s="47"/>
      <c r="AU59" s="47"/>
      <c r="AV59" s="47"/>
      <c r="AW59" s="69"/>
      <c r="AX59" s="69"/>
      <c r="AY59" s="47"/>
      <c r="AZ59" s="47"/>
      <c r="BA59" s="47"/>
      <c r="BB59" s="69"/>
      <c r="BC59" s="69"/>
      <c r="BD59" s="47"/>
      <c r="BE59" s="47"/>
      <c r="BF59" s="47"/>
      <c r="BG59" s="69"/>
      <c r="BH59" s="69"/>
      <c r="BI59" s="47"/>
      <c r="BJ59" s="47"/>
      <c r="BK59" s="47"/>
      <c r="BL59" s="69"/>
      <c r="BM59" s="69"/>
      <c r="BN59" s="47"/>
      <c r="BO59" s="47"/>
      <c r="BP59" s="47"/>
      <c r="BQ59" s="69"/>
      <c r="BR59" s="69"/>
    </row>
    <row r="60" spans="1:83" ht="60" hidden="1" customHeight="1" thickTop="1" thickBot="1" x14ac:dyDescent="0.3">
      <c r="A60" s="70"/>
      <c r="B60" s="71"/>
      <c r="C60" s="71"/>
      <c r="D60" s="71"/>
      <c r="E60" s="71"/>
      <c r="F60" s="70"/>
      <c r="G60" s="71"/>
      <c r="H60" s="71"/>
      <c r="I60" s="71"/>
      <c r="J60" s="71"/>
      <c r="K60" s="70"/>
      <c r="L60" s="71"/>
      <c r="M60" s="71"/>
      <c r="N60" s="71"/>
      <c r="O60" s="71"/>
      <c r="P60" s="70"/>
      <c r="Q60" s="71"/>
      <c r="R60" s="71"/>
      <c r="S60" s="71"/>
      <c r="T60" s="71"/>
      <c r="U60" s="70"/>
      <c r="V60" s="71"/>
      <c r="W60" s="71"/>
      <c r="X60" s="71"/>
      <c r="Y60" s="71"/>
      <c r="Z60" s="70"/>
      <c r="AA60" s="71"/>
      <c r="AB60" s="71"/>
      <c r="AC60" s="71"/>
      <c r="AD60" s="71"/>
      <c r="AE60" s="70"/>
      <c r="AF60" s="71"/>
      <c r="AG60" s="71"/>
      <c r="AH60" s="71"/>
      <c r="AI60" s="71"/>
      <c r="AJ60" s="70"/>
      <c r="AK60" s="71"/>
      <c r="AL60" s="71"/>
      <c r="AM60" s="71"/>
      <c r="AN60" s="71"/>
      <c r="AO60" s="70"/>
      <c r="AP60" s="71"/>
      <c r="AQ60" s="71"/>
      <c r="AR60" s="71"/>
      <c r="AS60" s="71"/>
      <c r="AT60" s="70"/>
      <c r="AU60" s="71"/>
      <c r="AV60" s="71"/>
      <c r="AW60" s="71"/>
      <c r="AX60" s="71"/>
      <c r="AY60" s="70"/>
      <c r="AZ60" s="71"/>
      <c r="BA60" s="71"/>
      <c r="BB60" s="71"/>
      <c r="BC60" s="71"/>
      <c r="BD60" s="70"/>
      <c r="BE60" s="71"/>
      <c r="BF60" s="71"/>
      <c r="BG60" s="71"/>
      <c r="BH60" s="71"/>
      <c r="BI60" s="70"/>
      <c r="BJ60" s="71"/>
      <c r="BK60" s="71"/>
      <c r="BL60" s="71"/>
      <c r="BM60" s="71"/>
      <c r="BN60" s="70"/>
      <c r="BO60" s="71"/>
      <c r="BP60" s="71"/>
      <c r="BQ60" s="71"/>
      <c r="BR60" s="71"/>
    </row>
    <row r="61" spans="1:83" ht="27.75" hidden="1" customHeight="1" thickTop="1" thickBot="1" x14ac:dyDescent="0.3">
      <c r="A61" s="70"/>
      <c r="B61" s="32"/>
      <c r="C61" s="33"/>
      <c r="D61" s="34"/>
      <c r="E61" s="35"/>
      <c r="F61" s="70"/>
      <c r="G61" s="32"/>
      <c r="H61" s="33"/>
      <c r="I61" s="34"/>
      <c r="J61" s="35"/>
      <c r="K61" s="70"/>
      <c r="L61" s="32"/>
      <c r="M61" s="33"/>
      <c r="N61" s="34"/>
      <c r="O61" s="35"/>
      <c r="P61" s="70"/>
      <c r="Q61" s="32"/>
      <c r="R61" s="33"/>
      <c r="S61" s="34"/>
      <c r="T61" s="35"/>
      <c r="U61" s="70"/>
      <c r="V61" s="32"/>
      <c r="W61" s="33"/>
      <c r="X61" s="34"/>
      <c r="Y61" s="35"/>
      <c r="Z61" s="70"/>
      <c r="AA61" s="32"/>
      <c r="AB61" s="33"/>
      <c r="AC61" s="34"/>
      <c r="AD61" s="35"/>
      <c r="AE61" s="70"/>
      <c r="AF61" s="32"/>
      <c r="AG61" s="33"/>
      <c r="AH61" s="34"/>
      <c r="AI61" s="35"/>
      <c r="AJ61" s="70"/>
      <c r="AK61" s="32"/>
      <c r="AL61" s="33"/>
      <c r="AM61" s="34"/>
      <c r="AN61" s="35"/>
      <c r="AO61" s="70"/>
      <c r="AP61" s="32"/>
      <c r="AQ61" s="33"/>
      <c r="AR61" s="34"/>
      <c r="AS61" s="35"/>
      <c r="AT61" s="70"/>
      <c r="AU61" s="32"/>
      <c r="AV61" s="33"/>
      <c r="AW61" s="34"/>
      <c r="AX61" s="35"/>
      <c r="AY61" s="70"/>
      <c r="AZ61" s="32"/>
      <c r="BA61" s="33"/>
      <c r="BB61" s="34"/>
      <c r="BC61" s="35"/>
      <c r="BD61" s="70"/>
      <c r="BE61" s="32"/>
      <c r="BF61" s="33"/>
      <c r="BG61" s="34"/>
      <c r="BH61" s="35"/>
      <c r="BI61" s="70"/>
      <c r="BJ61" s="32"/>
      <c r="BK61" s="33"/>
      <c r="BL61" s="34"/>
      <c r="BM61" s="35"/>
      <c r="BN61" s="70"/>
      <c r="BO61" s="32"/>
      <c r="BP61" s="33"/>
      <c r="BQ61" s="34"/>
      <c r="BR61" s="35"/>
      <c r="BW61" s="27"/>
      <c r="BX61" s="27"/>
      <c r="BY61" s="27"/>
      <c r="BZ61" s="27"/>
      <c r="CA61" s="27"/>
      <c r="CB61" s="27"/>
      <c r="CC61" s="27"/>
      <c r="CD61" s="27"/>
      <c r="CE61" s="27"/>
    </row>
    <row r="62" spans="1:83" s="42" customFormat="1" ht="30" customHeight="1" thickTop="1" x14ac:dyDescent="0.25">
      <c r="A62" s="37"/>
      <c r="B62" s="45"/>
      <c r="C62" s="45"/>
      <c r="D62" s="45"/>
      <c r="E62" s="45"/>
      <c r="F62" s="45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38"/>
      <c r="R62" s="39"/>
      <c r="S62" s="40"/>
      <c r="T62" s="41"/>
      <c r="U62" s="37"/>
      <c r="V62" s="38"/>
      <c r="W62" s="39"/>
      <c r="X62" s="90"/>
      <c r="Y62" s="90"/>
      <c r="Z62" s="90"/>
      <c r="AA62" s="90"/>
      <c r="AB62" s="90"/>
      <c r="AC62" s="90"/>
      <c r="AD62" s="90"/>
      <c r="AE62" s="90"/>
      <c r="AF62" s="90"/>
      <c r="AG62" s="90"/>
      <c r="AH62" s="90"/>
      <c r="AI62" s="90"/>
      <c r="AJ62" s="37"/>
      <c r="AK62" s="38"/>
      <c r="AL62" s="39"/>
      <c r="AM62" s="40"/>
      <c r="AN62" s="41"/>
      <c r="AO62" s="37"/>
      <c r="AP62" s="38"/>
      <c r="AQ62" s="39"/>
      <c r="AR62" s="40"/>
      <c r="AS62" s="41"/>
      <c r="AT62" s="37"/>
      <c r="AU62" s="38"/>
      <c r="AV62" s="39"/>
      <c r="AW62" s="40"/>
      <c r="AX62" s="41"/>
      <c r="AY62" s="37"/>
      <c r="AZ62" s="38"/>
      <c r="BA62" s="39"/>
      <c r="BB62" s="40"/>
      <c r="BC62" s="41"/>
      <c r="BD62" s="37"/>
      <c r="BE62" s="38"/>
      <c r="BF62" s="39"/>
      <c r="BG62" s="40"/>
      <c r="BH62" s="41"/>
      <c r="BI62" s="37"/>
      <c r="BJ62" s="38"/>
      <c r="BK62" s="39"/>
      <c r="BL62" s="40"/>
      <c r="BM62" s="41"/>
      <c r="BN62" s="37"/>
      <c r="BO62" s="38"/>
      <c r="BP62" s="39"/>
      <c r="BQ62" s="40"/>
      <c r="BR62" s="41"/>
      <c r="BW62" s="43"/>
      <c r="BX62" s="43"/>
      <c r="BY62" s="43"/>
      <c r="BZ62" s="43"/>
      <c r="CA62" s="43"/>
      <c r="CB62" s="43"/>
      <c r="CC62" s="43"/>
      <c r="CD62" s="43"/>
      <c r="CE62" s="43"/>
    </row>
    <row r="63" spans="1:83" ht="21.95" customHeight="1" x14ac:dyDescent="0.25">
      <c r="A63" s="44"/>
      <c r="B63" s="45"/>
      <c r="C63" s="45"/>
      <c r="D63" s="45"/>
      <c r="E63" s="45"/>
      <c r="F63" s="45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45"/>
      <c r="R63" s="45"/>
      <c r="S63" s="45"/>
      <c r="T63" s="45"/>
      <c r="U63" s="45"/>
      <c r="V63" s="45"/>
      <c r="W63" s="45"/>
      <c r="X63" s="90"/>
      <c r="Y63" s="90"/>
      <c r="Z63" s="90"/>
      <c r="AA63" s="90"/>
      <c r="AB63" s="90"/>
      <c r="AC63" s="90"/>
      <c r="AD63" s="90"/>
      <c r="AE63" s="90"/>
      <c r="AF63" s="90"/>
      <c r="AG63" s="90"/>
      <c r="AH63" s="90"/>
      <c r="AI63" s="90"/>
      <c r="AJ63" s="90"/>
      <c r="AK63" s="90"/>
      <c r="AL63" s="90"/>
      <c r="AM63" s="90"/>
      <c r="AN63" s="90"/>
      <c r="AO63" s="90"/>
      <c r="AP63" s="90"/>
      <c r="AQ63" s="90"/>
      <c r="AR63" s="90"/>
      <c r="AS63" s="90"/>
      <c r="AT63" s="46"/>
      <c r="AU63" s="91"/>
      <c r="AV63" s="91"/>
      <c r="AW63" s="91"/>
      <c r="AX63" s="91"/>
      <c r="AY63" s="91"/>
      <c r="AZ63" s="91"/>
      <c r="BA63" s="91"/>
      <c r="BB63" s="91"/>
      <c r="BC63" s="91"/>
      <c r="BD63" s="91"/>
      <c r="BE63" s="91"/>
      <c r="BF63" s="91"/>
      <c r="BG63" s="45"/>
      <c r="BH63" s="45"/>
      <c r="BI63" s="45"/>
      <c r="BJ63" s="45"/>
      <c r="BK63" s="45"/>
      <c r="BL63" s="92"/>
      <c r="BM63" s="92"/>
      <c r="BN63" s="92"/>
      <c r="BO63" s="92"/>
      <c r="BP63" s="93"/>
      <c r="BQ63" s="93"/>
      <c r="BR63" s="93"/>
    </row>
    <row r="64" spans="1:83" ht="6.75" customHeight="1" x14ac:dyDescent="0.25">
      <c r="A64" s="47"/>
      <c r="B64" s="45"/>
      <c r="C64" s="45"/>
      <c r="D64" s="45"/>
      <c r="E64" s="45"/>
      <c r="F64" s="45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45"/>
      <c r="R64" s="45"/>
      <c r="S64" s="45"/>
      <c r="T64" s="45"/>
      <c r="U64" s="45"/>
      <c r="V64" s="45"/>
      <c r="W64" s="45"/>
      <c r="X64" s="90"/>
      <c r="Y64" s="90"/>
      <c r="Z64" s="90"/>
      <c r="AA64" s="90"/>
      <c r="AB64" s="90"/>
      <c r="AC64" s="90"/>
      <c r="AD64" s="90"/>
      <c r="AE64" s="90"/>
      <c r="AF64" s="90"/>
      <c r="AG64" s="90"/>
      <c r="AH64" s="90"/>
      <c r="AI64" s="90"/>
      <c r="AJ64" s="90"/>
      <c r="AK64" s="90"/>
      <c r="AL64" s="90"/>
      <c r="AM64" s="90"/>
      <c r="AN64" s="90"/>
      <c r="AO64" s="90"/>
      <c r="AP64" s="90"/>
      <c r="AQ64" s="90"/>
      <c r="AR64" s="90"/>
      <c r="AS64" s="90"/>
      <c r="AT64" s="46"/>
      <c r="AU64" s="91"/>
      <c r="AV64" s="91"/>
      <c r="AW64" s="91"/>
      <c r="AX64" s="91"/>
      <c r="AY64" s="91"/>
      <c r="AZ64" s="91"/>
      <c r="BA64" s="91"/>
      <c r="BB64" s="91"/>
      <c r="BC64" s="91"/>
      <c r="BD64" s="91"/>
      <c r="BE64" s="91"/>
      <c r="BF64" s="91"/>
      <c r="BG64" s="45"/>
      <c r="BH64" s="45"/>
      <c r="BI64" s="45"/>
      <c r="BJ64" s="45"/>
      <c r="BK64" s="45"/>
      <c r="BL64" s="92"/>
      <c r="BM64" s="92"/>
      <c r="BN64" s="92"/>
      <c r="BO64" s="92"/>
      <c r="BP64" s="93"/>
      <c r="BQ64" s="93"/>
      <c r="BR64" s="93"/>
    </row>
    <row r="65" spans="1:90" ht="37.5" customHeight="1" x14ac:dyDescent="0.25">
      <c r="A65" s="47"/>
      <c r="B65" s="45"/>
      <c r="C65" s="45"/>
      <c r="D65" s="45"/>
      <c r="E65" s="45"/>
      <c r="F65" s="45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45"/>
      <c r="R65" s="45"/>
      <c r="S65" s="45"/>
      <c r="T65" s="45"/>
      <c r="U65" s="45"/>
      <c r="V65" s="45"/>
      <c r="W65" s="45"/>
      <c r="X65" s="90"/>
      <c r="Y65" s="90"/>
      <c r="Z65" s="90"/>
      <c r="AA65" s="90"/>
      <c r="AB65" s="90"/>
      <c r="AC65" s="90"/>
      <c r="AD65" s="90"/>
      <c r="AE65" s="90"/>
      <c r="AF65" s="90"/>
      <c r="AG65" s="90"/>
      <c r="AH65" s="90"/>
      <c r="AI65" s="90"/>
      <c r="AJ65" s="90"/>
      <c r="AK65" s="90"/>
      <c r="AL65" s="90"/>
      <c r="AM65" s="90"/>
      <c r="AN65" s="90"/>
      <c r="AO65" s="90"/>
      <c r="AP65" s="90"/>
      <c r="AQ65" s="90"/>
      <c r="AR65" s="90"/>
      <c r="AS65" s="90"/>
      <c r="AT65" s="46"/>
      <c r="AU65" s="91"/>
      <c r="AV65" s="91"/>
      <c r="AW65" s="91"/>
      <c r="AX65" s="91"/>
      <c r="AY65" s="91"/>
      <c r="AZ65" s="91"/>
      <c r="BA65" s="91"/>
      <c r="BB65" s="91"/>
      <c r="BC65" s="91"/>
      <c r="BD65" s="91"/>
      <c r="BE65" s="91"/>
      <c r="BF65" s="91"/>
      <c r="BG65" s="45"/>
      <c r="BH65" s="45"/>
      <c r="BI65" s="45"/>
      <c r="BJ65" s="45"/>
      <c r="BK65" s="45"/>
      <c r="BL65" s="92"/>
      <c r="BM65" s="92"/>
      <c r="BN65" s="92"/>
      <c r="BO65" s="92"/>
      <c r="BP65" s="93"/>
      <c r="BQ65" s="93"/>
      <c r="BR65" s="93"/>
    </row>
    <row r="66" spans="1:90" ht="6" customHeight="1" x14ac:dyDescent="0.25">
      <c r="A66" s="47"/>
      <c r="B66" s="47"/>
      <c r="C66" s="47"/>
      <c r="D66" s="69"/>
      <c r="E66" s="69"/>
      <c r="F66" s="47"/>
      <c r="J66" s="48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90"/>
      <c r="Y66" s="90"/>
      <c r="Z66" s="90"/>
      <c r="AA66" s="90"/>
      <c r="AB66" s="90"/>
      <c r="AC66" s="90"/>
      <c r="AD66" s="90"/>
      <c r="AE66" s="90"/>
      <c r="AF66" s="90"/>
      <c r="AG66" s="90"/>
      <c r="AH66" s="90"/>
      <c r="AI66" s="90"/>
      <c r="AJ66" s="90"/>
      <c r="AK66" s="90"/>
      <c r="AL66" s="90"/>
      <c r="AM66" s="90"/>
      <c r="AN66" s="90"/>
      <c r="AO66" s="90"/>
      <c r="AP66" s="90"/>
      <c r="AQ66" s="90"/>
      <c r="AR66" s="90"/>
      <c r="AS66" s="90"/>
      <c r="AT66" s="46"/>
      <c r="AU66" s="91"/>
      <c r="AV66" s="91"/>
      <c r="AW66" s="91"/>
      <c r="AX66" s="91"/>
      <c r="AY66" s="91"/>
      <c r="AZ66" s="91"/>
      <c r="BA66" s="91"/>
      <c r="BB66" s="91"/>
      <c r="BC66" s="91"/>
      <c r="BD66" s="91"/>
      <c r="BE66" s="91"/>
      <c r="BF66" s="91"/>
      <c r="BG66" s="45"/>
      <c r="BH66" s="45"/>
      <c r="BI66" s="45"/>
      <c r="BJ66" s="45"/>
      <c r="BK66" s="45"/>
      <c r="BL66" s="92"/>
      <c r="BM66" s="92"/>
      <c r="BN66" s="92"/>
      <c r="BO66" s="92"/>
      <c r="BP66" s="93"/>
      <c r="BQ66" s="93"/>
      <c r="BR66" s="93"/>
    </row>
    <row r="67" spans="1:90" ht="30" customHeight="1" x14ac:dyDescent="0.25">
      <c r="B67" s="17"/>
      <c r="J67" s="48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116"/>
      <c r="Y67" s="116"/>
      <c r="Z67" s="116"/>
      <c r="AA67" s="116"/>
      <c r="AB67" s="116"/>
      <c r="AC67" s="116"/>
      <c r="AD67" s="116"/>
      <c r="AE67" s="116"/>
      <c r="AF67" s="116"/>
      <c r="AG67" s="116"/>
      <c r="AH67" s="116"/>
      <c r="AI67" s="116"/>
      <c r="AJ67" s="115"/>
      <c r="AK67" s="115"/>
      <c r="AL67" s="115"/>
      <c r="AM67" s="115"/>
      <c r="AN67" s="115"/>
      <c r="AO67" s="115"/>
      <c r="AP67" s="115"/>
      <c r="AQ67" s="115"/>
      <c r="AR67" s="115"/>
      <c r="AS67" s="115"/>
      <c r="AT67" s="115"/>
      <c r="AU67" s="94"/>
      <c r="AV67" s="94"/>
      <c r="AW67" s="94"/>
      <c r="AX67" s="94"/>
      <c r="AY67" s="94"/>
      <c r="AZ67" s="94"/>
      <c r="BA67" s="94"/>
      <c r="BB67" s="94"/>
      <c r="BC67" s="94"/>
      <c r="BD67" s="94"/>
      <c r="BE67" s="94"/>
      <c r="BF67" s="94"/>
      <c r="BG67" s="45"/>
      <c r="BH67" s="45"/>
      <c r="BI67" s="45"/>
      <c r="BJ67" s="45"/>
      <c r="BK67" s="45"/>
      <c r="BL67" s="95"/>
      <c r="BM67" s="95"/>
      <c r="BN67" s="95"/>
      <c r="BO67" s="95"/>
      <c r="BP67" s="95"/>
      <c r="BQ67" s="95"/>
      <c r="BR67" s="95"/>
      <c r="BS67" s="50"/>
      <c r="BT67" s="50"/>
      <c r="BW67" s="51"/>
      <c r="BX67" s="51"/>
      <c r="BY67" s="51"/>
      <c r="BZ67" s="51"/>
      <c r="CA67" s="51"/>
      <c r="CB67" s="51"/>
      <c r="CC67" s="27"/>
      <c r="CD67" s="27"/>
      <c r="CE67" s="27"/>
      <c r="CG67" s="27"/>
      <c r="CH67" s="27"/>
      <c r="CI67" s="27"/>
      <c r="CJ67" s="27"/>
      <c r="CK67" s="27"/>
      <c r="CL67" s="27"/>
    </row>
    <row r="68" spans="1:90" ht="34.5" customHeight="1" x14ac:dyDescent="0.25">
      <c r="J68" s="52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116"/>
      <c r="Y68" s="116"/>
      <c r="Z68" s="116"/>
      <c r="AA68" s="116"/>
      <c r="AB68" s="116"/>
      <c r="AC68" s="116"/>
      <c r="AD68" s="116"/>
      <c r="AE68" s="116"/>
      <c r="AF68" s="116"/>
      <c r="AG68" s="116"/>
      <c r="AH68" s="116"/>
      <c r="AI68" s="116"/>
      <c r="AJ68" s="115"/>
      <c r="AK68" s="115"/>
      <c r="AL68" s="115"/>
      <c r="AM68" s="115"/>
      <c r="AN68" s="115"/>
      <c r="AO68" s="115"/>
      <c r="AP68" s="115"/>
      <c r="AQ68" s="115"/>
      <c r="AR68" s="115"/>
      <c r="AS68" s="115"/>
      <c r="AT68" s="115"/>
      <c r="AU68" s="94"/>
      <c r="AV68" s="94"/>
      <c r="AW68" s="94"/>
      <c r="AX68" s="94"/>
      <c r="AY68" s="94"/>
      <c r="AZ68" s="94"/>
      <c r="BA68" s="94"/>
      <c r="BB68" s="94"/>
      <c r="BC68" s="94"/>
      <c r="BD68" s="94"/>
      <c r="BE68" s="94"/>
      <c r="BF68" s="94"/>
      <c r="BG68" s="45"/>
      <c r="BH68" s="45"/>
      <c r="BI68" s="45"/>
      <c r="BJ68" s="45"/>
      <c r="BK68" s="45"/>
      <c r="BL68" s="95"/>
      <c r="BM68" s="95"/>
      <c r="BN68" s="95"/>
      <c r="BO68" s="95"/>
      <c r="BP68" s="95"/>
      <c r="BQ68" s="95"/>
      <c r="BR68" s="95"/>
      <c r="BS68" s="50"/>
      <c r="BT68" s="50"/>
      <c r="BW68" s="27"/>
      <c r="BX68" s="27"/>
      <c r="BY68" s="27"/>
      <c r="BZ68" s="27"/>
      <c r="CA68" s="27"/>
      <c r="CB68" s="27"/>
      <c r="CC68" s="27"/>
      <c r="CD68" s="27"/>
      <c r="CE68" s="27"/>
      <c r="CG68" s="27"/>
      <c r="CH68" s="27"/>
      <c r="CI68" s="27"/>
      <c r="CJ68" s="27"/>
      <c r="CK68" s="27"/>
      <c r="CL68" s="27"/>
    </row>
    <row r="69" spans="1:90" ht="15" customHeight="1" x14ac:dyDescent="0.25">
      <c r="G69" s="59"/>
      <c r="H69" s="59"/>
      <c r="I69" s="59"/>
      <c r="J69" s="52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116"/>
      <c r="Y69" s="116"/>
      <c r="Z69" s="116"/>
      <c r="AA69" s="116"/>
      <c r="AB69" s="116"/>
      <c r="AC69" s="116"/>
      <c r="AD69" s="116"/>
      <c r="AE69" s="116"/>
      <c r="AF69" s="116"/>
      <c r="AG69" s="116"/>
      <c r="AH69" s="116"/>
      <c r="AI69" s="116"/>
      <c r="AJ69" s="115"/>
      <c r="AK69" s="115"/>
      <c r="AL69" s="115"/>
      <c r="AM69" s="115"/>
      <c r="AN69" s="115"/>
      <c r="AO69" s="115"/>
      <c r="AP69" s="115"/>
      <c r="AQ69" s="115"/>
      <c r="AR69" s="115"/>
      <c r="AS69" s="115"/>
      <c r="AT69" s="115"/>
      <c r="AU69" s="94"/>
      <c r="AV69" s="94"/>
      <c r="AW69" s="94"/>
      <c r="AX69" s="94"/>
      <c r="AY69" s="94"/>
      <c r="AZ69" s="94"/>
      <c r="BA69" s="94"/>
      <c r="BB69" s="94"/>
      <c r="BC69" s="94"/>
      <c r="BD69" s="94"/>
      <c r="BE69" s="94"/>
      <c r="BF69" s="94"/>
      <c r="BG69" s="45"/>
      <c r="BH69" s="45"/>
      <c r="BI69" s="45"/>
      <c r="BJ69" s="45"/>
      <c r="BK69" s="45"/>
      <c r="BL69" s="95"/>
      <c r="BM69" s="95"/>
      <c r="BN69" s="95"/>
      <c r="BO69" s="95"/>
      <c r="BP69" s="95"/>
      <c r="BQ69" s="95"/>
      <c r="BR69" s="95"/>
      <c r="BS69" s="50"/>
      <c r="BT69" s="50"/>
      <c r="BW69" s="27"/>
      <c r="BX69" s="27"/>
      <c r="BY69" s="27"/>
      <c r="BZ69" s="27"/>
      <c r="CA69" s="27"/>
      <c r="CB69" s="27"/>
      <c r="CC69" s="27"/>
      <c r="CD69" s="27"/>
      <c r="CE69" s="27"/>
      <c r="CG69" s="27"/>
      <c r="CH69" s="27"/>
      <c r="CI69" s="27"/>
      <c r="CJ69" s="27"/>
      <c r="CK69" s="27"/>
      <c r="CL69" s="27"/>
    </row>
    <row r="70" spans="1:90" ht="15" customHeight="1" x14ac:dyDescent="0.25">
      <c r="G70" s="59"/>
      <c r="H70" s="59"/>
      <c r="I70" s="59"/>
      <c r="J70" s="52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116"/>
      <c r="Y70" s="116"/>
      <c r="Z70" s="116"/>
      <c r="AA70" s="116"/>
      <c r="AB70" s="116"/>
      <c r="AC70" s="116"/>
      <c r="AD70" s="116"/>
      <c r="AE70" s="116"/>
      <c r="AF70" s="116"/>
      <c r="AG70" s="116"/>
      <c r="AH70" s="116"/>
      <c r="AI70" s="116"/>
      <c r="AJ70" s="115"/>
      <c r="AK70" s="115"/>
      <c r="AL70" s="115"/>
      <c r="AM70" s="115"/>
      <c r="AN70" s="115"/>
      <c r="AO70" s="115"/>
      <c r="AP70" s="115"/>
      <c r="AQ70" s="115"/>
      <c r="AR70" s="115"/>
      <c r="AS70" s="115"/>
      <c r="AT70" s="115"/>
      <c r="AU70" s="94"/>
      <c r="AV70" s="94"/>
      <c r="AW70" s="94"/>
      <c r="AX70" s="94"/>
      <c r="AY70" s="94"/>
      <c r="AZ70" s="94"/>
      <c r="BA70" s="94"/>
      <c r="BB70" s="94"/>
      <c r="BC70" s="94"/>
      <c r="BD70" s="94"/>
      <c r="BE70" s="94"/>
      <c r="BF70" s="94"/>
      <c r="BG70" s="45"/>
      <c r="BH70" s="45"/>
      <c r="BI70" s="45"/>
      <c r="BJ70" s="45"/>
      <c r="BK70" s="45"/>
      <c r="BL70" s="95"/>
      <c r="BM70" s="95"/>
      <c r="BN70" s="95"/>
      <c r="BO70" s="95"/>
      <c r="BP70" s="95"/>
      <c r="BQ70" s="95"/>
      <c r="BR70" s="95"/>
      <c r="BS70" s="50"/>
      <c r="BT70" s="50"/>
      <c r="BW70" s="27"/>
      <c r="BX70" s="27"/>
      <c r="BY70" s="27"/>
      <c r="BZ70" s="27"/>
      <c r="CA70" s="27"/>
      <c r="CB70" s="27"/>
      <c r="CC70" s="27"/>
      <c r="CD70" s="27"/>
      <c r="CE70" s="27"/>
      <c r="CG70" s="27"/>
      <c r="CH70" s="27"/>
      <c r="CI70" s="27"/>
      <c r="CJ70" s="27"/>
      <c r="CK70" s="27"/>
      <c r="CL70" s="27"/>
    </row>
    <row r="71" spans="1:90" ht="15" customHeight="1" x14ac:dyDescent="0.25">
      <c r="G71" s="59"/>
      <c r="H71" s="59"/>
      <c r="I71" s="59"/>
      <c r="J71" s="52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116"/>
      <c r="Y71" s="116"/>
      <c r="Z71" s="116"/>
      <c r="AA71" s="116"/>
      <c r="AB71" s="116"/>
      <c r="AC71" s="116"/>
      <c r="AD71" s="116"/>
      <c r="AE71" s="116"/>
      <c r="AF71" s="116"/>
      <c r="AG71" s="116"/>
      <c r="AH71" s="116"/>
      <c r="AI71" s="116"/>
      <c r="AJ71" s="115"/>
      <c r="AK71" s="115"/>
      <c r="AL71" s="115"/>
      <c r="AM71" s="115"/>
      <c r="AN71" s="115"/>
      <c r="AO71" s="115"/>
      <c r="AP71" s="115"/>
      <c r="AQ71" s="115"/>
      <c r="AR71" s="115"/>
      <c r="AS71" s="115"/>
      <c r="AT71" s="115"/>
      <c r="AU71" s="94"/>
      <c r="AV71" s="94"/>
      <c r="AW71" s="94"/>
      <c r="AX71" s="94"/>
      <c r="AY71" s="94"/>
      <c r="AZ71" s="94"/>
      <c r="BA71" s="94"/>
      <c r="BB71" s="94"/>
      <c r="BC71" s="94"/>
      <c r="BD71" s="94"/>
      <c r="BE71" s="94"/>
      <c r="BF71" s="94"/>
      <c r="BG71" s="45"/>
      <c r="BH71" s="45"/>
      <c r="BI71" s="45"/>
      <c r="BJ71" s="45"/>
      <c r="BK71" s="45"/>
      <c r="BL71" s="45"/>
      <c r="BM71" s="45"/>
      <c r="BN71" s="45"/>
      <c r="BO71" s="45"/>
      <c r="BP71" s="45"/>
      <c r="BQ71" s="45"/>
      <c r="BR71" s="45"/>
      <c r="BS71" s="53"/>
      <c r="BT71" s="53"/>
    </row>
    <row r="72" spans="1:90" ht="22.5" customHeight="1" x14ac:dyDescent="0.25">
      <c r="G72" s="59"/>
      <c r="H72" s="59"/>
      <c r="I72" s="59"/>
      <c r="J72" s="52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116"/>
      <c r="Y72" s="116"/>
      <c r="Z72" s="116"/>
      <c r="AA72" s="116"/>
      <c r="AB72" s="116"/>
      <c r="AC72" s="116"/>
      <c r="AD72" s="116"/>
      <c r="AE72" s="116"/>
      <c r="AG72" s="116"/>
      <c r="AH72" s="116"/>
      <c r="AI72" s="116"/>
      <c r="AJ72" s="115"/>
      <c r="AK72" s="115"/>
      <c r="AL72" s="115"/>
      <c r="AM72" s="115"/>
      <c r="AN72" s="115"/>
      <c r="AO72" s="115"/>
      <c r="AP72" s="115"/>
      <c r="AQ72" s="115"/>
      <c r="AR72" s="115"/>
      <c r="AS72" s="115"/>
      <c r="AT72" s="115"/>
      <c r="AU72" s="94"/>
      <c r="AV72" s="94"/>
      <c r="AW72" s="94"/>
      <c r="AX72" s="94"/>
      <c r="AY72" s="94"/>
      <c r="AZ72" s="94"/>
      <c r="BA72" s="94"/>
      <c r="BB72" s="94"/>
      <c r="BC72" s="94"/>
      <c r="BD72" s="94"/>
      <c r="BE72" s="94"/>
      <c r="BF72" s="94"/>
      <c r="BG72" s="45"/>
      <c r="BH72" s="45"/>
      <c r="BI72" s="45"/>
      <c r="BJ72" s="45"/>
      <c r="BK72" s="45"/>
      <c r="BL72" s="45"/>
      <c r="BM72" s="45"/>
      <c r="BN72" s="45"/>
      <c r="BO72" s="45"/>
      <c r="BP72" s="45"/>
      <c r="BQ72" s="45"/>
      <c r="BR72" s="45"/>
      <c r="BS72" s="53"/>
      <c r="BT72" s="53"/>
    </row>
    <row r="73" spans="1:90" ht="23.25" x14ac:dyDescent="0.35">
      <c r="A73" s="54"/>
      <c r="E73" s="54"/>
      <c r="F73" s="54"/>
      <c r="G73" s="54"/>
      <c r="H73" s="54"/>
      <c r="I73" s="54"/>
      <c r="J73" s="54"/>
      <c r="K73" s="54"/>
    </row>
    <row r="74" spans="1:90" ht="24" thickBot="1" x14ac:dyDescent="0.4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X74" s="55"/>
    </row>
    <row r="75" spans="1:90" ht="15.75" thickTop="1" x14ac:dyDescent="0.25">
      <c r="AD75" s="775">
        <v>150.99</v>
      </c>
      <c r="AE75" s="776"/>
      <c r="AF75" s="776"/>
      <c r="AG75" s="776"/>
      <c r="AH75" s="777"/>
      <c r="AL75" s="727" t="s">
        <v>122</v>
      </c>
      <c r="AM75" s="727"/>
      <c r="AN75" s="727"/>
      <c r="AO75" s="727" t="s">
        <v>123</v>
      </c>
      <c r="AP75" s="727"/>
      <c r="AQ75" s="727"/>
      <c r="AR75" s="727" t="s">
        <v>124</v>
      </c>
      <c r="AS75" s="727"/>
      <c r="AT75" s="727" t="s">
        <v>125</v>
      </c>
      <c r="AU75" s="727"/>
      <c r="AY75" s="739" t="s">
        <v>126</v>
      </c>
      <c r="AZ75" s="740"/>
      <c r="BA75" s="740"/>
      <c r="BB75" s="740"/>
      <c r="BC75" s="740"/>
      <c r="BD75" s="740"/>
      <c r="BE75" s="740"/>
      <c r="BF75" s="740"/>
      <c r="BG75" s="740"/>
      <c r="BH75" s="741"/>
      <c r="BI75" s="13"/>
      <c r="BJ75" s="13"/>
      <c r="BK75" s="13"/>
      <c r="BL75" s="13"/>
      <c r="BM75" s="13"/>
      <c r="BN75" s="13"/>
      <c r="BO75" s="13"/>
      <c r="BP75" s="13"/>
      <c r="BQ75" s="13"/>
      <c r="BR75" s="13"/>
    </row>
    <row r="76" spans="1:90" ht="15" customHeight="1" x14ac:dyDescent="0.25">
      <c r="O76" s="114" t="s">
        <v>127</v>
      </c>
      <c r="P76" s="114"/>
      <c r="Q76" s="114"/>
      <c r="R76" s="114"/>
      <c r="S76" s="114"/>
      <c r="T76" s="114"/>
      <c r="U76" s="114"/>
      <c r="V76" s="114"/>
      <c r="AD76" s="778"/>
      <c r="AE76" s="779"/>
      <c r="AF76" s="779"/>
      <c r="AG76" s="779"/>
      <c r="AH76" s="780"/>
      <c r="AL76" s="727"/>
      <c r="AM76" s="727"/>
      <c r="AN76" s="727"/>
      <c r="AO76" s="727"/>
      <c r="AP76" s="727"/>
      <c r="AQ76" s="727"/>
      <c r="AR76" s="727"/>
      <c r="AS76" s="727"/>
      <c r="AT76" s="727"/>
      <c r="AU76" s="727"/>
      <c r="AY76" s="750"/>
      <c r="AZ76" s="751"/>
      <c r="BA76" s="751"/>
      <c r="BB76" s="751"/>
      <c r="BC76" s="751"/>
      <c r="BD76" s="751"/>
      <c r="BE76" s="751"/>
      <c r="BF76" s="751"/>
      <c r="BG76" s="751"/>
      <c r="BH76" s="752"/>
      <c r="BI76" s="13"/>
      <c r="BJ76" s="13"/>
      <c r="BK76" s="13"/>
      <c r="BL76" s="13"/>
      <c r="BM76" s="13"/>
      <c r="BN76" s="13"/>
      <c r="BO76" s="13"/>
      <c r="BP76" s="13"/>
      <c r="BQ76" s="13"/>
      <c r="BR76" s="13"/>
    </row>
    <row r="77" spans="1:90" ht="15" customHeight="1" x14ac:dyDescent="0.25">
      <c r="O77" s="114"/>
      <c r="P77" s="114"/>
      <c r="Q77" s="114"/>
      <c r="R77" s="114"/>
      <c r="S77" s="114"/>
      <c r="T77" s="114"/>
      <c r="U77" s="114"/>
      <c r="V77" s="114"/>
      <c r="AA77" s="56"/>
      <c r="AD77" s="778"/>
      <c r="AE77" s="779"/>
      <c r="AF77" s="779"/>
      <c r="AG77" s="779"/>
      <c r="AH77" s="780"/>
      <c r="AL77" s="727"/>
      <c r="AM77" s="727"/>
      <c r="AN77" s="727"/>
      <c r="AO77" s="727"/>
      <c r="AP77" s="727"/>
      <c r="AQ77" s="727"/>
      <c r="AR77" s="727"/>
      <c r="AS77" s="727"/>
      <c r="AT77" s="727"/>
      <c r="AU77" s="727"/>
      <c r="AY77" s="742"/>
      <c r="AZ77" s="743"/>
      <c r="BA77" s="743"/>
      <c r="BB77" s="743"/>
      <c r="BC77" s="743"/>
      <c r="BD77" s="743"/>
      <c r="BE77" s="743"/>
      <c r="BF77" s="743"/>
      <c r="BG77" s="743"/>
      <c r="BH77" s="744"/>
      <c r="BI77" s="13"/>
      <c r="BJ77" s="13"/>
      <c r="BK77" s="13"/>
      <c r="BL77" s="13"/>
      <c r="BM77" s="13"/>
      <c r="BN77" s="13"/>
      <c r="BO77" s="13"/>
      <c r="BP77" s="13"/>
      <c r="BQ77" s="13"/>
      <c r="BR77" s="13"/>
    </row>
    <row r="78" spans="1:90" ht="15" customHeight="1" x14ac:dyDescent="0.25">
      <c r="O78" s="114"/>
      <c r="P78" s="114"/>
      <c r="Q78" s="114"/>
      <c r="R78" s="114"/>
      <c r="S78" s="114"/>
      <c r="T78" s="114"/>
      <c r="U78" s="114"/>
      <c r="V78" s="114"/>
      <c r="AD78" s="778"/>
      <c r="AE78" s="779"/>
      <c r="AF78" s="779"/>
      <c r="AG78" s="779"/>
      <c r="AH78" s="780"/>
      <c r="AL78" s="774">
        <v>10100</v>
      </c>
      <c r="AM78" s="774"/>
      <c r="AN78" s="774"/>
      <c r="AO78" s="774">
        <f ca="1">AT94</f>
        <v>9900</v>
      </c>
      <c r="AP78" s="774"/>
      <c r="AQ78" s="774"/>
      <c r="AR78" s="726">
        <f>L41</f>
        <v>150.98950000000005</v>
      </c>
      <c r="AS78" s="726"/>
      <c r="AT78" s="726">
        <f>L41+AC41</f>
        <v>209.48950000000005</v>
      </c>
      <c r="AU78" s="726"/>
      <c r="AY78" s="727" t="s">
        <v>128</v>
      </c>
      <c r="AZ78" s="727"/>
      <c r="BA78" s="727"/>
      <c r="BB78" s="727"/>
      <c r="BC78" s="727"/>
      <c r="BD78" s="727"/>
      <c r="BE78" s="727"/>
      <c r="BF78" s="727"/>
      <c r="BG78" s="727"/>
      <c r="BH78" s="727"/>
      <c r="BI78" s="13"/>
      <c r="BJ78" s="13"/>
      <c r="BK78" s="13"/>
      <c r="BL78" s="13"/>
      <c r="BM78" s="13"/>
      <c r="BN78" s="13"/>
      <c r="BO78" s="13"/>
      <c r="BP78" s="13"/>
      <c r="BQ78" s="13"/>
      <c r="BR78" s="13"/>
    </row>
    <row r="79" spans="1:90" ht="15" customHeight="1" x14ac:dyDescent="0.25">
      <c r="O79" s="114"/>
      <c r="P79" s="114"/>
      <c r="Q79" s="114"/>
      <c r="R79" s="114"/>
      <c r="S79" s="114"/>
      <c r="T79" s="114"/>
      <c r="U79" s="114"/>
      <c r="V79" s="114"/>
      <c r="AD79" s="778"/>
      <c r="AE79" s="779"/>
      <c r="AF79" s="779"/>
      <c r="AG79" s="779"/>
      <c r="AH79" s="780"/>
      <c r="AL79" s="774"/>
      <c r="AM79" s="774"/>
      <c r="AN79" s="774"/>
      <c r="AO79" s="774"/>
      <c r="AP79" s="774"/>
      <c r="AQ79" s="774"/>
      <c r="AR79" s="726"/>
      <c r="AS79" s="726"/>
      <c r="AT79" s="726"/>
      <c r="AU79" s="726"/>
      <c r="AY79" s="727"/>
      <c r="AZ79" s="727"/>
      <c r="BA79" s="727"/>
      <c r="BB79" s="727"/>
      <c r="BC79" s="727"/>
      <c r="BD79" s="727"/>
      <c r="BE79" s="727"/>
      <c r="BF79" s="727"/>
      <c r="BG79" s="727"/>
      <c r="BH79" s="727"/>
      <c r="BI79" s="13"/>
      <c r="BJ79" s="13"/>
      <c r="BK79" s="13"/>
      <c r="BL79" s="13"/>
      <c r="BM79" s="13"/>
      <c r="BN79" s="13"/>
      <c r="BO79" s="13"/>
      <c r="BP79" s="13"/>
      <c r="BQ79" s="13"/>
      <c r="BR79" s="13"/>
    </row>
    <row r="80" spans="1:90" ht="15" customHeight="1" x14ac:dyDescent="0.25">
      <c r="O80" s="114"/>
      <c r="P80" s="114"/>
      <c r="Q80" s="114"/>
      <c r="R80" s="114"/>
      <c r="S80" s="114"/>
      <c r="T80" s="114"/>
      <c r="U80" s="114"/>
      <c r="V80" s="114"/>
      <c r="AD80" s="778"/>
      <c r="AE80" s="779"/>
      <c r="AF80" s="779"/>
      <c r="AG80" s="779"/>
      <c r="AH80" s="780"/>
      <c r="AL80" s="774"/>
      <c r="AM80" s="774"/>
      <c r="AN80" s="774"/>
      <c r="AO80" s="774"/>
      <c r="AP80" s="774"/>
      <c r="AQ80" s="774"/>
      <c r="AR80" s="726"/>
      <c r="AS80" s="726"/>
      <c r="AT80" s="726"/>
      <c r="AU80" s="726"/>
      <c r="AY80" s="728">
        <f ca="1">AR78/((36*3.1415/59)*(AO78/3.281))</f>
        <v>2.6105392636196267E-2</v>
      </c>
      <c r="AZ80" s="729"/>
      <c r="BA80" s="729"/>
      <c r="BB80" s="729"/>
      <c r="BC80" s="729"/>
      <c r="BD80" s="729"/>
      <c r="BE80" s="729"/>
      <c r="BF80" s="729"/>
      <c r="BG80" s="729"/>
      <c r="BH80" s="730"/>
      <c r="BI80" s="57"/>
      <c r="BJ80" s="57"/>
      <c r="BK80" s="57"/>
      <c r="BL80" s="57"/>
      <c r="BM80" s="57"/>
      <c r="BN80" s="57"/>
      <c r="BO80" s="57"/>
      <c r="BP80" s="57"/>
      <c r="BQ80" s="57"/>
      <c r="BR80" s="57"/>
    </row>
    <row r="81" spans="30:70" ht="15.75" customHeight="1" thickBot="1" x14ac:dyDescent="0.3">
      <c r="AD81" s="781"/>
      <c r="AE81" s="782"/>
      <c r="AF81" s="782"/>
      <c r="AG81" s="782"/>
      <c r="AH81" s="783"/>
      <c r="AL81" s="774"/>
      <c r="AM81" s="774"/>
      <c r="AN81" s="774"/>
      <c r="AO81" s="774"/>
      <c r="AP81" s="774"/>
      <c r="AQ81" s="774"/>
      <c r="AR81" s="726"/>
      <c r="AS81" s="726"/>
      <c r="AT81" s="726"/>
      <c r="AU81" s="726"/>
      <c r="AY81" s="731"/>
      <c r="AZ81" s="732"/>
      <c r="BA81" s="732"/>
      <c r="BB81" s="732"/>
      <c r="BC81" s="732"/>
      <c r="BD81" s="732"/>
      <c r="BE81" s="732"/>
      <c r="BF81" s="732"/>
      <c r="BG81" s="732"/>
      <c r="BH81" s="733"/>
      <c r="BI81" s="57"/>
      <c r="BJ81" s="57"/>
      <c r="BK81" s="57"/>
      <c r="BL81" s="57"/>
      <c r="BM81" s="57"/>
      <c r="BN81" s="57"/>
      <c r="BO81" s="57"/>
      <c r="BP81" s="57"/>
      <c r="BQ81" s="57"/>
      <c r="BR81" s="57"/>
    </row>
    <row r="82" spans="30:70" ht="15.75" customHeight="1" thickTop="1" x14ac:dyDescent="0.25">
      <c r="AY82" s="734"/>
      <c r="AZ82" s="735"/>
      <c r="BA82" s="735"/>
      <c r="BB82" s="735"/>
      <c r="BC82" s="735"/>
      <c r="BD82" s="735"/>
      <c r="BE82" s="735"/>
      <c r="BF82" s="735"/>
      <c r="BG82" s="735"/>
      <c r="BH82" s="736"/>
      <c r="BI82" s="57"/>
      <c r="BJ82" s="57"/>
      <c r="BK82" s="57"/>
      <c r="BL82" s="57"/>
      <c r="BM82" s="57"/>
      <c r="BN82" s="57"/>
      <c r="BO82" s="57"/>
      <c r="BP82" s="57"/>
      <c r="BQ82" s="57"/>
      <c r="BR82" s="57"/>
    </row>
    <row r="83" spans="30:70" x14ac:dyDescent="0.25">
      <c r="AY83" s="739" t="s">
        <v>129</v>
      </c>
      <c r="AZ83" s="740"/>
      <c r="BA83" s="740"/>
      <c r="BB83" s="740"/>
      <c r="BC83" s="740"/>
      <c r="BD83" s="740"/>
      <c r="BE83" s="740"/>
      <c r="BF83" s="740"/>
      <c r="BG83" s="740"/>
      <c r="BH83" s="741"/>
      <c r="BI83" s="13"/>
      <c r="BJ83" s="13"/>
      <c r="BK83" s="13"/>
      <c r="BL83" s="13"/>
      <c r="BM83" s="13"/>
      <c r="BN83" s="13"/>
      <c r="BO83" s="13"/>
      <c r="BP83" s="13"/>
      <c r="BQ83" s="13"/>
      <c r="BR83" s="13"/>
    </row>
    <row r="84" spans="30:70" x14ac:dyDescent="0.25">
      <c r="AY84" s="742"/>
      <c r="AZ84" s="743"/>
      <c r="BA84" s="743"/>
      <c r="BB84" s="743"/>
      <c r="BC84" s="743"/>
      <c r="BD84" s="743"/>
      <c r="BE84" s="743"/>
      <c r="BF84" s="743"/>
      <c r="BG84" s="743"/>
      <c r="BH84" s="744"/>
      <c r="BI84" s="13"/>
      <c r="BJ84" s="13"/>
      <c r="BK84" s="13"/>
      <c r="BL84" s="13"/>
      <c r="BM84" s="13"/>
      <c r="BN84" s="13"/>
      <c r="BO84" s="13"/>
      <c r="BP84" s="13"/>
      <c r="BQ84" s="13"/>
      <c r="BR84" s="13"/>
    </row>
    <row r="85" spans="30:70" x14ac:dyDescent="0.25">
      <c r="AN85" s="1255">
        <v>156</v>
      </c>
      <c r="AO85" s="1255"/>
      <c r="AP85" s="1255"/>
      <c r="AQ85" s="746" cm="1">
        <f t="array" aca="1" ref="AQ85" ca="1">SUM(COUNTIF(INDIRECT({"B7","G7","L7","Q7","V7","AA7","AF7","AK7","AP7","AU7","AZ7","BE7","BJ7","BO7","B13","G13","L13","Q13","V13"}),"&gt;0"))</f>
        <v>19</v>
      </c>
      <c r="AR85" s="746"/>
      <c r="AS85" s="746"/>
      <c r="AT85" s="747">
        <f ca="1">AQ85*AN85</f>
        <v>2964</v>
      </c>
      <c r="AU85" s="748"/>
      <c r="AV85" s="748"/>
      <c r="AW85" s="749"/>
      <c r="AY85" s="739" t="s">
        <v>130</v>
      </c>
      <c r="AZ85" s="740"/>
      <c r="BA85" s="740"/>
      <c r="BB85" s="740"/>
      <c r="BC85" s="740"/>
      <c r="BD85" s="740"/>
      <c r="BE85" s="740"/>
      <c r="BF85" s="740"/>
      <c r="BG85" s="740"/>
      <c r="BH85" s="741"/>
      <c r="BI85" s="13"/>
      <c r="BJ85" s="13"/>
      <c r="BK85" s="13"/>
      <c r="BL85" s="13"/>
      <c r="BM85" s="13"/>
      <c r="BN85" s="13"/>
      <c r="BO85" s="13"/>
      <c r="BP85" s="13"/>
      <c r="BQ85" s="13"/>
      <c r="BR85" s="13"/>
    </row>
    <row r="86" spans="30:70" x14ac:dyDescent="0.25">
      <c r="AN86" s="1255"/>
      <c r="AO86" s="1255"/>
      <c r="AP86" s="1255"/>
      <c r="AQ86" s="746"/>
      <c r="AR86" s="746"/>
      <c r="AS86" s="746"/>
      <c r="AT86" s="747"/>
      <c r="AU86" s="748"/>
      <c r="AV86" s="748"/>
      <c r="AW86" s="749"/>
      <c r="AY86" s="750"/>
      <c r="AZ86" s="751"/>
      <c r="BA86" s="751"/>
      <c r="BB86" s="751"/>
      <c r="BC86" s="751"/>
      <c r="BD86" s="751"/>
      <c r="BE86" s="751"/>
      <c r="BF86" s="751"/>
      <c r="BG86" s="751"/>
      <c r="BH86" s="752"/>
      <c r="BI86" s="13"/>
      <c r="BJ86" s="13"/>
      <c r="BK86" s="13"/>
      <c r="BL86" s="13"/>
      <c r="BM86" s="13"/>
      <c r="BN86" s="13"/>
      <c r="BO86" s="13"/>
      <c r="BP86" s="13"/>
      <c r="BQ86" s="13"/>
      <c r="BR86" s="13"/>
    </row>
    <row r="87" spans="30:70" ht="15" customHeight="1" x14ac:dyDescent="0.25">
      <c r="AN87" s="1255"/>
      <c r="AO87" s="1255"/>
      <c r="AP87" s="1255"/>
      <c r="AQ87" s="746"/>
      <c r="AR87" s="746"/>
      <c r="AS87" s="746"/>
      <c r="AT87" s="747"/>
      <c r="AU87" s="748"/>
      <c r="AV87" s="748"/>
      <c r="AW87" s="749"/>
      <c r="AY87" s="750"/>
      <c r="AZ87" s="751"/>
      <c r="BA87" s="751"/>
      <c r="BB87" s="751"/>
      <c r="BC87" s="751"/>
      <c r="BD87" s="751"/>
      <c r="BE87" s="751"/>
      <c r="BF87" s="751"/>
      <c r="BG87" s="751"/>
      <c r="BH87" s="752"/>
      <c r="BI87" s="13"/>
      <c r="BJ87" s="13"/>
      <c r="BK87" s="13"/>
      <c r="BL87" s="13"/>
      <c r="BM87" s="13"/>
      <c r="BN87" s="13"/>
      <c r="BO87" s="13"/>
      <c r="BP87" s="13"/>
      <c r="BQ87" s="13"/>
      <c r="BR87" s="13"/>
    </row>
    <row r="88" spans="30:70" ht="15" customHeight="1" x14ac:dyDescent="0.25">
      <c r="AN88" s="727">
        <v>136</v>
      </c>
      <c r="AO88" s="727"/>
      <c r="AP88" s="727"/>
      <c r="AQ88" s="746" cm="1">
        <f t="array" aca="1" ref="AQ88" ca="1">SUM(COUNTIF(INDIRECT({"AA13","AF13","AK13","AP13","AU13","AZ13","BE13","BJ13","BO13","B19","G19","L19","Q19","V19","AA19","AF19","AK19","AP19","AU19","AZ19","BE19","BJ19","BO19","B25","G25","L25","Q25","V25","AA25","AF25","AK25","AP25","AU25","AZ25","BE25","BJ25","BO25","B31","G31","L31","Q31","V31","AA31","AF31","AK31","AP31","AU31","AZ31","BE31","BJ31","BO31"}),"&gt;0"))</f>
        <v>51</v>
      </c>
      <c r="AR88" s="746"/>
      <c r="AS88" s="746"/>
      <c r="AT88" s="747">
        <f ca="1">AQ88*AN88</f>
        <v>6936</v>
      </c>
      <c r="AU88" s="748"/>
      <c r="AV88" s="748"/>
      <c r="AW88" s="749"/>
      <c r="AY88" s="742"/>
      <c r="AZ88" s="743"/>
      <c r="BA88" s="743"/>
      <c r="BB88" s="743"/>
      <c r="BC88" s="743"/>
      <c r="BD88" s="743"/>
      <c r="BE88" s="743"/>
      <c r="BF88" s="743"/>
      <c r="BG88" s="743"/>
      <c r="BH88" s="744"/>
      <c r="BI88" s="13"/>
      <c r="BJ88" s="13"/>
      <c r="BK88" s="13"/>
      <c r="BL88" s="13"/>
      <c r="BM88" s="13"/>
      <c r="BN88" s="13"/>
      <c r="BO88" s="13"/>
      <c r="BP88" s="13"/>
      <c r="BQ88" s="13"/>
      <c r="BR88" s="13"/>
    </row>
    <row r="89" spans="30:70" ht="26.25" x14ac:dyDescent="0.25">
      <c r="AN89" s="727"/>
      <c r="AO89" s="727"/>
      <c r="AP89" s="727"/>
      <c r="AQ89" s="746"/>
      <c r="AR89" s="746"/>
      <c r="AS89" s="746"/>
      <c r="AT89" s="747"/>
      <c r="AU89" s="748"/>
      <c r="AV89" s="748"/>
      <c r="AW89" s="749"/>
      <c r="AY89" s="728">
        <f ca="1">AT78/((36*3.1415/59)*(AO78/3.281))</f>
        <v>3.6219774558233768E-2</v>
      </c>
      <c r="AZ89" s="729"/>
      <c r="BA89" s="729"/>
      <c r="BB89" s="729"/>
      <c r="BC89" s="729"/>
      <c r="BD89" s="729"/>
      <c r="BE89" s="729"/>
      <c r="BF89" s="729"/>
      <c r="BG89" s="729"/>
      <c r="BH89" s="730"/>
      <c r="BI89" s="57"/>
      <c r="BJ89" s="57"/>
      <c r="BK89" s="57"/>
      <c r="BL89" s="57"/>
      <c r="BM89" s="57"/>
      <c r="BN89" s="57"/>
      <c r="BO89" s="57"/>
      <c r="BP89" s="57"/>
      <c r="BQ89" s="57"/>
      <c r="BR89" s="57"/>
    </row>
    <row r="90" spans="30:70" ht="26.25" x14ac:dyDescent="0.25">
      <c r="AN90" s="727"/>
      <c r="AO90" s="727"/>
      <c r="AP90" s="727"/>
      <c r="AQ90" s="746"/>
      <c r="AR90" s="746"/>
      <c r="AS90" s="746"/>
      <c r="AT90" s="747"/>
      <c r="AU90" s="748"/>
      <c r="AV90" s="748"/>
      <c r="AW90" s="749"/>
      <c r="AY90" s="731"/>
      <c r="AZ90" s="732"/>
      <c r="BA90" s="732"/>
      <c r="BB90" s="732"/>
      <c r="BC90" s="732"/>
      <c r="BD90" s="732"/>
      <c r="BE90" s="732"/>
      <c r="BF90" s="732"/>
      <c r="BG90" s="732"/>
      <c r="BH90" s="733"/>
      <c r="BI90" s="57"/>
      <c r="BJ90" s="57"/>
      <c r="BK90" s="57"/>
      <c r="BL90" s="57"/>
      <c r="BM90" s="57"/>
      <c r="BN90" s="57"/>
      <c r="BO90" s="57"/>
      <c r="BP90" s="57"/>
      <c r="BQ90" s="57"/>
      <c r="BR90" s="57"/>
    </row>
    <row r="91" spans="30:70" ht="15" customHeight="1" x14ac:dyDescent="0.25">
      <c r="AN91" s="727"/>
      <c r="AO91" s="727"/>
      <c r="AP91" s="727"/>
      <c r="AQ91" s="746"/>
      <c r="AR91" s="746"/>
      <c r="AS91" s="746"/>
      <c r="AT91" s="747"/>
      <c r="AU91" s="748"/>
      <c r="AV91" s="748"/>
      <c r="AW91" s="749"/>
      <c r="AY91" s="731"/>
      <c r="AZ91" s="732"/>
      <c r="BA91" s="732"/>
      <c r="BB91" s="732"/>
      <c r="BC91" s="732"/>
      <c r="BD91" s="732"/>
      <c r="BE91" s="732"/>
      <c r="BF91" s="732"/>
      <c r="BG91" s="732"/>
      <c r="BH91" s="733"/>
      <c r="BI91" s="57"/>
      <c r="BJ91" s="57"/>
      <c r="BK91" s="57"/>
      <c r="BL91" s="57"/>
      <c r="BM91" s="57"/>
      <c r="BN91" s="57"/>
      <c r="BO91" s="57"/>
      <c r="BP91" s="57"/>
      <c r="BQ91" s="57"/>
      <c r="BR91" s="57"/>
    </row>
    <row r="92" spans="30:70" ht="15" customHeight="1" x14ac:dyDescent="0.25">
      <c r="AN92" s="727"/>
      <c r="AO92" s="727"/>
      <c r="AP92" s="727"/>
      <c r="AQ92" s="746"/>
      <c r="AR92" s="746"/>
      <c r="AS92" s="746"/>
      <c r="AT92" s="747"/>
      <c r="AU92" s="748"/>
      <c r="AV92" s="748"/>
      <c r="AW92" s="749"/>
      <c r="AY92" s="731"/>
      <c r="AZ92" s="732"/>
      <c r="BA92" s="732"/>
      <c r="BB92" s="732"/>
      <c r="BC92" s="732"/>
      <c r="BD92" s="732"/>
      <c r="BE92" s="732"/>
      <c r="BF92" s="732"/>
      <c r="BG92" s="732"/>
      <c r="BH92" s="733"/>
      <c r="BI92" s="57"/>
      <c r="BJ92" s="57"/>
      <c r="BK92" s="57"/>
      <c r="BL92" s="57"/>
      <c r="BM92" s="57"/>
      <c r="BN92" s="57"/>
      <c r="BO92" s="57"/>
      <c r="BP92" s="57"/>
      <c r="BQ92" s="57"/>
      <c r="BR92" s="57"/>
    </row>
    <row r="93" spans="30:70" ht="15" customHeight="1" x14ac:dyDescent="0.25">
      <c r="AN93" s="727"/>
      <c r="AO93" s="727"/>
      <c r="AP93" s="727"/>
      <c r="AQ93" s="746"/>
      <c r="AR93" s="746"/>
      <c r="AS93" s="746"/>
      <c r="AT93" s="747"/>
      <c r="AU93" s="748"/>
      <c r="AV93" s="748"/>
      <c r="AW93" s="749"/>
      <c r="AY93" s="734"/>
      <c r="AZ93" s="735"/>
      <c r="BA93" s="735"/>
      <c r="BB93" s="735"/>
      <c r="BC93" s="735"/>
      <c r="BD93" s="735"/>
      <c r="BE93" s="735"/>
      <c r="BF93" s="735"/>
      <c r="BG93" s="735"/>
      <c r="BH93" s="736"/>
      <c r="BI93" s="57"/>
      <c r="BJ93" s="57"/>
      <c r="BK93" s="57"/>
      <c r="BL93" s="57"/>
      <c r="BM93" s="57"/>
      <c r="BN93" s="57"/>
      <c r="BO93" s="57"/>
      <c r="BP93" s="57"/>
      <c r="BQ93" s="57"/>
      <c r="BR93" s="57"/>
    </row>
    <row r="94" spans="30:70" x14ac:dyDescent="0.25">
      <c r="AQ94" s="1254">
        <f ca="1">AQ91+AQ88+AQ85</f>
        <v>70</v>
      </c>
      <c r="AR94" s="1254"/>
      <c r="AS94" s="1254"/>
      <c r="AT94" s="747">
        <f ca="1">AT88+AT85</f>
        <v>9900</v>
      </c>
      <c r="AU94" s="748"/>
      <c r="AV94" s="748"/>
      <c r="AW94" s="749"/>
    </row>
    <row r="95" spans="30:70" x14ac:dyDescent="0.25">
      <c r="AF95">
        <f ca="1">AQ85</f>
        <v>19</v>
      </c>
      <c r="AQ95" s="1254"/>
      <c r="AR95" s="1254"/>
      <c r="AS95" s="1254"/>
      <c r="AT95" s="747"/>
      <c r="AU95" s="748"/>
      <c r="AV95" s="748"/>
      <c r="AW95" s="749"/>
    </row>
    <row r="96" spans="30:70" ht="15" customHeight="1" x14ac:dyDescent="0.25">
      <c r="AQ96" s="1254"/>
      <c r="AR96" s="1254"/>
      <c r="AS96" s="1254"/>
      <c r="AT96" s="747"/>
      <c r="AU96" s="748"/>
      <c r="AV96" s="748"/>
      <c r="AW96" s="749"/>
    </row>
    <row r="97" spans="32:47" ht="15" customHeight="1" x14ac:dyDescent="0.25">
      <c r="AF97">
        <f ca="1">AQ88</f>
        <v>51</v>
      </c>
    </row>
    <row r="98" spans="32:47" ht="15" customHeight="1" x14ac:dyDescent="0.25"/>
    <row r="99" spans="32:47" ht="15" customHeight="1" x14ac:dyDescent="0.25"/>
    <row r="100" spans="32:47" ht="15" customHeight="1" x14ac:dyDescent="0.25"/>
    <row r="101" spans="32:47" ht="15" customHeight="1" x14ac:dyDescent="0.25"/>
    <row r="102" spans="32:47" ht="15" customHeight="1" x14ac:dyDescent="0.25"/>
    <row r="103" spans="32:47" ht="15" customHeight="1" x14ac:dyDescent="0.25"/>
    <row r="104" spans="32:47" ht="15" customHeight="1" x14ac:dyDescent="0.25"/>
    <row r="105" spans="32:47" ht="15" customHeight="1" x14ac:dyDescent="0.25"/>
    <row r="106" spans="32:47" ht="15" customHeight="1" x14ac:dyDescent="0.25"/>
    <row r="107" spans="32:47" ht="15" customHeight="1" x14ac:dyDescent="0.25">
      <c r="AS107" s="27"/>
      <c r="AT107" s="27"/>
      <c r="AU107" s="27"/>
    </row>
  </sheetData>
  <mergeCells count="389">
    <mergeCell ref="AY28:BC29"/>
    <mergeCell ref="AJ28:AN29"/>
    <mergeCell ref="AO28:AS29"/>
    <mergeCell ref="AT28:AX29"/>
    <mergeCell ref="AT26:AU27"/>
    <mergeCell ref="B48:K48"/>
    <mergeCell ref="M48:P48"/>
    <mergeCell ref="L41:W46"/>
    <mergeCell ref="AC41:AI44"/>
    <mergeCell ref="AC45:AI46"/>
    <mergeCell ref="AB26:AD27"/>
    <mergeCell ref="AE26:AF27"/>
    <mergeCell ref="AG26:AI27"/>
    <mergeCell ref="AJ26:AK27"/>
    <mergeCell ref="AL26:AN27"/>
    <mergeCell ref="BP26:BR27"/>
    <mergeCell ref="AV26:AX27"/>
    <mergeCell ref="AY26:AZ27"/>
    <mergeCell ref="BA26:BC27"/>
    <mergeCell ref="BI28:BM29"/>
    <mergeCell ref="BN28:BR29"/>
    <mergeCell ref="X37:AB46"/>
    <mergeCell ref="G40:I42"/>
    <mergeCell ref="G37:I39"/>
    <mergeCell ref="P30:P31"/>
    <mergeCell ref="Q30:T30"/>
    <mergeCell ref="U30:U31"/>
    <mergeCell ref="L37:W40"/>
    <mergeCell ref="F28:J29"/>
    <mergeCell ref="K28:O29"/>
    <mergeCell ref="P28:T29"/>
    <mergeCell ref="U28:Y29"/>
    <mergeCell ref="AO26:AP27"/>
    <mergeCell ref="AQ26:AS27"/>
    <mergeCell ref="W26:Y27"/>
    <mergeCell ref="Z26:AA27"/>
    <mergeCell ref="BD28:BH29"/>
    <mergeCell ref="Z28:AD29"/>
    <mergeCell ref="AE28:AI29"/>
    <mergeCell ref="BN22:BR23"/>
    <mergeCell ref="A26:B27"/>
    <mergeCell ref="C26:E27"/>
    <mergeCell ref="F26:G27"/>
    <mergeCell ref="H26:J27"/>
    <mergeCell ref="K26:L27"/>
    <mergeCell ref="M26:O27"/>
    <mergeCell ref="BI20:BJ21"/>
    <mergeCell ref="BK20:BM21"/>
    <mergeCell ref="BN20:BO21"/>
    <mergeCell ref="BP20:BR21"/>
    <mergeCell ref="A22:E23"/>
    <mergeCell ref="F22:J23"/>
    <mergeCell ref="K22:O23"/>
    <mergeCell ref="P22:T23"/>
    <mergeCell ref="U22:Y23"/>
    <mergeCell ref="Z22:AD23"/>
    <mergeCell ref="BE24:BH24"/>
    <mergeCell ref="BI26:BJ27"/>
    <mergeCell ref="BK26:BM27"/>
    <mergeCell ref="BN26:BO27"/>
    <mergeCell ref="P26:Q27"/>
    <mergeCell ref="R26:T27"/>
    <mergeCell ref="U26:V27"/>
    <mergeCell ref="BD18:BD19"/>
    <mergeCell ref="BE18:BH18"/>
    <mergeCell ref="AE18:AE19"/>
    <mergeCell ref="AF18:AI18"/>
    <mergeCell ref="AJ18:AJ19"/>
    <mergeCell ref="AK18:AN18"/>
    <mergeCell ref="BI18:BI19"/>
    <mergeCell ref="BJ18:BM18"/>
    <mergeCell ref="BI22:BM23"/>
    <mergeCell ref="AO18:AO19"/>
    <mergeCell ref="AP18:AS18"/>
    <mergeCell ref="AY22:BC23"/>
    <mergeCell ref="BD22:BH23"/>
    <mergeCell ref="AE22:AI23"/>
    <mergeCell ref="AJ22:AN23"/>
    <mergeCell ref="AO22:AS23"/>
    <mergeCell ref="AT22:AX23"/>
    <mergeCell ref="BP14:BR15"/>
    <mergeCell ref="A16:E17"/>
    <mergeCell ref="F16:J17"/>
    <mergeCell ref="K16:O17"/>
    <mergeCell ref="P16:T17"/>
    <mergeCell ref="U16:Y17"/>
    <mergeCell ref="Z16:AD17"/>
    <mergeCell ref="AO14:AP15"/>
    <mergeCell ref="AQ14:AS15"/>
    <mergeCell ref="BK14:BM15"/>
    <mergeCell ref="AT14:AU15"/>
    <mergeCell ref="AV14:AX15"/>
    <mergeCell ref="AY14:AZ15"/>
    <mergeCell ref="BA14:BC15"/>
    <mergeCell ref="BI14:BJ15"/>
    <mergeCell ref="A14:B15"/>
    <mergeCell ref="C14:E15"/>
    <mergeCell ref="F14:G15"/>
    <mergeCell ref="H14:J15"/>
    <mergeCell ref="AE16:AI17"/>
    <mergeCell ref="AJ16:AN17"/>
    <mergeCell ref="AO16:AS17"/>
    <mergeCell ref="AT16:AX17"/>
    <mergeCell ref="AY16:BC17"/>
    <mergeCell ref="A10:E11"/>
    <mergeCell ref="BE12:BH12"/>
    <mergeCell ref="K20:L21"/>
    <mergeCell ref="M20:O21"/>
    <mergeCell ref="P20:Q21"/>
    <mergeCell ref="R20:T21"/>
    <mergeCell ref="U20:V21"/>
    <mergeCell ref="W20:Y21"/>
    <mergeCell ref="Z20:AA21"/>
    <mergeCell ref="AB20:AD21"/>
    <mergeCell ref="BD20:BE21"/>
    <mergeCell ref="BF20:BH21"/>
    <mergeCell ref="AE20:AF21"/>
    <mergeCell ref="AG20:AI21"/>
    <mergeCell ref="AJ20:AK21"/>
    <mergeCell ref="AL20:AN21"/>
    <mergeCell ref="AY20:AZ21"/>
    <mergeCell ref="BA20:BC21"/>
    <mergeCell ref="AO20:AP21"/>
    <mergeCell ref="AQ20:AS21"/>
    <mergeCell ref="AT20:AU21"/>
    <mergeCell ref="AV20:AX21"/>
    <mergeCell ref="AP12:AS12"/>
    <mergeCell ref="K18:K19"/>
    <mergeCell ref="F10:J11"/>
    <mergeCell ref="K10:O11"/>
    <mergeCell ref="P10:T11"/>
    <mergeCell ref="U10:Y11"/>
    <mergeCell ref="BN6:BN7"/>
    <mergeCell ref="BO6:BR6"/>
    <mergeCell ref="AT6:AT7"/>
    <mergeCell ref="AU6:AX6"/>
    <mergeCell ref="AY6:AY7"/>
    <mergeCell ref="AZ6:BC6"/>
    <mergeCell ref="BD6:BD7"/>
    <mergeCell ref="BE6:BH6"/>
    <mergeCell ref="P6:P7"/>
    <mergeCell ref="Q6:T6"/>
    <mergeCell ref="U6:U7"/>
    <mergeCell ref="V6:Y6"/>
    <mergeCell ref="Z6:Z7"/>
    <mergeCell ref="AA6:AD6"/>
    <mergeCell ref="AO8:AP9"/>
    <mergeCell ref="AQ8:AS9"/>
    <mergeCell ref="AT8:AU9"/>
    <mergeCell ref="AV8:AX9"/>
    <mergeCell ref="AE10:AI11"/>
    <mergeCell ref="U8:V9"/>
    <mergeCell ref="A8:B9"/>
    <mergeCell ref="C8:E9"/>
    <mergeCell ref="F8:G9"/>
    <mergeCell ref="H8:J9"/>
    <mergeCell ref="K8:L9"/>
    <mergeCell ref="M8:O9"/>
    <mergeCell ref="P8:Q9"/>
    <mergeCell ref="R8:T9"/>
    <mergeCell ref="K4:O5"/>
    <mergeCell ref="A6:A7"/>
    <mergeCell ref="B6:E6"/>
    <mergeCell ref="F6:F7"/>
    <mergeCell ref="G6:J6"/>
    <mergeCell ref="K6:K7"/>
    <mergeCell ref="L6:O6"/>
    <mergeCell ref="AO2:AP3"/>
    <mergeCell ref="AQ2:AS3"/>
    <mergeCell ref="BN4:BR5"/>
    <mergeCell ref="BI4:BM5"/>
    <mergeCell ref="BD2:BE3"/>
    <mergeCell ref="BF2:BH3"/>
    <mergeCell ref="AY4:BC5"/>
    <mergeCell ref="BD4:BH5"/>
    <mergeCell ref="AJ2:AK3"/>
    <mergeCell ref="AL2:AN3"/>
    <mergeCell ref="BI2:BJ3"/>
    <mergeCell ref="BK2:BM3"/>
    <mergeCell ref="AT2:AU3"/>
    <mergeCell ref="AV2:AX3"/>
    <mergeCell ref="AY2:AZ3"/>
    <mergeCell ref="BA2:BC3"/>
    <mergeCell ref="BN2:BO3"/>
    <mergeCell ref="BP2:BR3"/>
    <mergeCell ref="AO10:AS11"/>
    <mergeCell ref="AT10:AX11"/>
    <mergeCell ref="AY10:BC11"/>
    <mergeCell ref="BD10:BH11"/>
    <mergeCell ref="BI12:BI13"/>
    <mergeCell ref="BJ12:BM12"/>
    <mergeCell ref="BN12:BN13"/>
    <mergeCell ref="AJ4:AN5"/>
    <mergeCell ref="AO4:AS5"/>
    <mergeCell ref="AT4:AX5"/>
    <mergeCell ref="BD8:BE9"/>
    <mergeCell ref="BF8:BH9"/>
    <mergeCell ref="AJ8:AK9"/>
    <mergeCell ref="AL8:AN9"/>
    <mergeCell ref="BA8:BC9"/>
    <mergeCell ref="AY8:AZ9"/>
    <mergeCell ref="BI10:BM11"/>
    <mergeCell ref="BN10:BR11"/>
    <mergeCell ref="BD12:BD13"/>
    <mergeCell ref="AT12:AT13"/>
    <mergeCell ref="AU12:AX12"/>
    <mergeCell ref="AY12:AY13"/>
    <mergeCell ref="AZ12:BC12"/>
    <mergeCell ref="BP8:BR9"/>
    <mergeCell ref="BK8:BM9"/>
    <mergeCell ref="BO30:BR30"/>
    <mergeCell ref="AT30:AT31"/>
    <mergeCell ref="AU30:AX30"/>
    <mergeCell ref="AY30:AY31"/>
    <mergeCell ref="AZ30:BC30"/>
    <mergeCell ref="BD30:BD31"/>
    <mergeCell ref="BE30:BH30"/>
    <mergeCell ref="AK6:AN6"/>
    <mergeCell ref="AO12:AO13"/>
    <mergeCell ref="AO6:AO7"/>
    <mergeCell ref="AP6:AS6"/>
    <mergeCell ref="BI8:BJ9"/>
    <mergeCell ref="BD26:BE27"/>
    <mergeCell ref="BF26:BH27"/>
    <mergeCell ref="BN8:BO9"/>
    <mergeCell ref="BO12:BR12"/>
    <mergeCell ref="BD14:BE15"/>
    <mergeCell ref="BF14:BH15"/>
    <mergeCell ref="AT24:AT25"/>
    <mergeCell ref="AU24:AX24"/>
    <mergeCell ref="BI24:BI25"/>
    <mergeCell ref="BJ24:BM24"/>
    <mergeCell ref="BN24:BN25"/>
    <mergeCell ref="BO24:BR24"/>
    <mergeCell ref="BI6:BI7"/>
    <mergeCell ref="BJ6:BM6"/>
    <mergeCell ref="AE6:AE7"/>
    <mergeCell ref="AC37:AF40"/>
    <mergeCell ref="Z30:Z31"/>
    <mergeCell ref="AA30:AD30"/>
    <mergeCell ref="BI30:BI31"/>
    <mergeCell ref="BJ30:BM30"/>
    <mergeCell ref="BN30:BN31"/>
    <mergeCell ref="AJ6:AJ7"/>
    <mergeCell ref="AG37:AI40"/>
    <mergeCell ref="AY24:AY25"/>
    <mergeCell ref="AZ24:BC24"/>
    <mergeCell ref="BD24:BD25"/>
    <mergeCell ref="BN14:BO15"/>
    <mergeCell ref="BN18:BN19"/>
    <mergeCell ref="BO18:BR18"/>
    <mergeCell ref="AT18:AT19"/>
    <mergeCell ref="AU18:AX18"/>
    <mergeCell ref="AY18:AY19"/>
    <mergeCell ref="AZ18:BC18"/>
    <mergeCell ref="BD16:BH17"/>
    <mergeCell ref="BI16:BM17"/>
    <mergeCell ref="BN16:BR17"/>
    <mergeCell ref="AQ94:AS96"/>
    <mergeCell ref="AT94:AW96"/>
    <mergeCell ref="AT75:AU77"/>
    <mergeCell ref="AY75:BH77"/>
    <mergeCell ref="AL78:AN81"/>
    <mergeCell ref="AO78:AQ81"/>
    <mergeCell ref="AR78:AS81"/>
    <mergeCell ref="AT78:AU81"/>
    <mergeCell ref="AY78:BH79"/>
    <mergeCell ref="AY80:BH82"/>
    <mergeCell ref="AY83:BH84"/>
    <mergeCell ref="AN85:AP87"/>
    <mergeCell ref="AQ85:AS87"/>
    <mergeCell ref="AT85:AW87"/>
    <mergeCell ref="AY85:BH88"/>
    <mergeCell ref="AN88:AP90"/>
    <mergeCell ref="AQ88:AS90"/>
    <mergeCell ref="AT88:AW90"/>
    <mergeCell ref="AY89:BH93"/>
    <mergeCell ref="AN91:AP93"/>
    <mergeCell ref="AQ91:AS93"/>
    <mergeCell ref="AT91:AW93"/>
    <mergeCell ref="AO24:AO25"/>
    <mergeCell ref="AD75:AH81"/>
    <mergeCell ref="AL75:AN77"/>
    <mergeCell ref="AO75:AQ77"/>
    <mergeCell ref="AR75:AS77"/>
    <mergeCell ref="AE30:AE31"/>
    <mergeCell ref="AF30:AI30"/>
    <mergeCell ref="AJ30:AJ31"/>
    <mergeCell ref="AK30:AN30"/>
    <mergeCell ref="AO30:AO31"/>
    <mergeCell ref="AP30:AS30"/>
    <mergeCell ref="AJ41:AT46"/>
    <mergeCell ref="AJ37:AS40"/>
    <mergeCell ref="A30:A31"/>
    <mergeCell ref="B30:E30"/>
    <mergeCell ref="F30:F31"/>
    <mergeCell ref="G30:J30"/>
    <mergeCell ref="K30:K31"/>
    <mergeCell ref="L30:O30"/>
    <mergeCell ref="A28:E29"/>
    <mergeCell ref="V30:Y30"/>
    <mergeCell ref="G18:J18"/>
    <mergeCell ref="K24:K25"/>
    <mergeCell ref="L24:O24"/>
    <mergeCell ref="L18:O18"/>
    <mergeCell ref="A24:A25"/>
    <mergeCell ref="B24:E24"/>
    <mergeCell ref="F24:F25"/>
    <mergeCell ref="G24:J24"/>
    <mergeCell ref="A20:B21"/>
    <mergeCell ref="C20:E21"/>
    <mergeCell ref="F20:G21"/>
    <mergeCell ref="H20:J21"/>
    <mergeCell ref="AP24:AS24"/>
    <mergeCell ref="P24:P25"/>
    <mergeCell ref="Q24:T24"/>
    <mergeCell ref="U24:U25"/>
    <mergeCell ref="V24:Y24"/>
    <mergeCell ref="Z24:Z25"/>
    <mergeCell ref="AA24:AD24"/>
    <mergeCell ref="AE24:AE25"/>
    <mergeCell ref="AF24:AI24"/>
    <mergeCell ref="AJ24:AJ25"/>
    <mergeCell ref="AK24:AN24"/>
    <mergeCell ref="Z18:Z19"/>
    <mergeCell ref="V18:Y18"/>
    <mergeCell ref="U14:V15"/>
    <mergeCell ref="W14:Y15"/>
    <mergeCell ref="Z14:AA15"/>
    <mergeCell ref="AB14:AD15"/>
    <mergeCell ref="A18:A19"/>
    <mergeCell ref="AJ12:AJ13"/>
    <mergeCell ref="B18:E18"/>
    <mergeCell ref="F18:F19"/>
    <mergeCell ref="A12:A13"/>
    <mergeCell ref="B12:E12"/>
    <mergeCell ref="F12:F13"/>
    <mergeCell ref="G12:J12"/>
    <mergeCell ref="K12:K13"/>
    <mergeCell ref="L12:O12"/>
    <mergeCell ref="P18:P19"/>
    <mergeCell ref="U18:U19"/>
    <mergeCell ref="Q18:T18"/>
    <mergeCell ref="AJ10:AN11"/>
    <mergeCell ref="W8:Y9"/>
    <mergeCell ref="Z8:AA9"/>
    <mergeCell ref="AB8:AD9"/>
    <mergeCell ref="AE8:AF9"/>
    <mergeCell ref="AG8:AI9"/>
    <mergeCell ref="K14:L15"/>
    <mergeCell ref="M14:O15"/>
    <mergeCell ref="P14:Q15"/>
    <mergeCell ref="R14:T15"/>
    <mergeCell ref="Z10:AD11"/>
    <mergeCell ref="AE14:AF15"/>
    <mergeCell ref="AG14:AI15"/>
    <mergeCell ref="AJ14:AK15"/>
    <mergeCell ref="AL14:AN15"/>
    <mergeCell ref="V12:Y12"/>
    <mergeCell ref="Z12:Z13"/>
    <mergeCell ref="AA12:AD12"/>
    <mergeCell ref="AE12:AE13"/>
    <mergeCell ref="AF12:AI12"/>
    <mergeCell ref="U12:U13"/>
    <mergeCell ref="AK12:AN12"/>
    <mergeCell ref="AE4:AI5"/>
    <mergeCell ref="AE2:AF3"/>
    <mergeCell ref="AG2:AI3"/>
    <mergeCell ref="AA18:AD18"/>
    <mergeCell ref="A2:B3"/>
    <mergeCell ref="C2:E3"/>
    <mergeCell ref="A4:E5"/>
    <mergeCell ref="F2:G3"/>
    <mergeCell ref="Z2:AA3"/>
    <mergeCell ref="AB2:AD3"/>
    <mergeCell ref="H2:J3"/>
    <mergeCell ref="F4:J5"/>
    <mergeCell ref="K2:L3"/>
    <mergeCell ref="M2:O3"/>
    <mergeCell ref="P2:Q3"/>
    <mergeCell ref="R2:T3"/>
    <mergeCell ref="P4:T5"/>
    <mergeCell ref="U2:V3"/>
    <mergeCell ref="W2:Y3"/>
    <mergeCell ref="U4:Y5"/>
    <mergeCell ref="Z4:AD5"/>
    <mergeCell ref="P12:P13"/>
    <mergeCell ref="Q12:T12"/>
    <mergeCell ref="AF6:AI6"/>
  </mergeCells>
  <pageMargins left="0.25" right="0" top="0.65" bottom="0" header="0.3" footer="0.3"/>
  <pageSetup scale="31" orientation="landscape" r:id="rId1"/>
  <colBreaks count="1" manualBreakCount="1">
    <brk id="70" max="50" man="1"/>
  </colBreaks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5BA6E-94CB-46B1-A976-793AA4DE1BC2}">
  <sheetPr codeName="Sheet7">
    <tabColor rgb="FFFFC000"/>
    <pageSetUpPr fitToPage="1"/>
  </sheetPr>
  <dimension ref="A1:DH195"/>
  <sheetViews>
    <sheetView view="pageBreakPreview" topLeftCell="A84" zoomScale="55" zoomScaleNormal="115" zoomScaleSheetLayoutView="55" workbookViewId="0">
      <selection activeCell="O31" sqref="O31:R31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140625" customWidth="1"/>
    <col min="47" max="47" width="10.71093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4.140625" customWidth="1"/>
    <col min="62" max="62" width="10.7109375" customWidth="1"/>
    <col min="63" max="63" width="4.28515625" customWidth="1"/>
    <col min="64" max="65" width="5.5703125" customWidth="1"/>
    <col min="66" max="66" width="4.140625" customWidth="1"/>
    <col min="67" max="67" width="10.7109375" customWidth="1"/>
    <col min="68" max="68" width="4.28515625" customWidth="1"/>
    <col min="69" max="70" width="5.5703125" customWidth="1"/>
    <col min="71" max="71" width="1" customWidth="1"/>
    <col min="72" max="72" width="56.7109375" customWidth="1"/>
    <col min="73" max="73" width="13" customWidth="1"/>
    <col min="74" max="74" width="7" customWidth="1"/>
  </cols>
  <sheetData>
    <row r="1" spans="1:83" ht="142.5" customHeight="1" thickBot="1" x14ac:dyDescent="0.3"/>
    <row r="2" spans="1:83" ht="29.25" customHeight="1" thickTop="1" x14ac:dyDescent="0.25">
      <c r="A2" s="1900" t="s">
        <v>110</v>
      </c>
      <c r="B2" s="1901"/>
      <c r="C2" s="1904">
        <f>B7/((36*3.1415/59)*(156/3.281))</f>
        <v>2.284413952450718E-2</v>
      </c>
      <c r="D2" s="1904"/>
      <c r="E2" s="1905"/>
      <c r="F2" s="1900" t="s">
        <v>110</v>
      </c>
      <c r="G2" s="1901"/>
      <c r="H2" s="1904">
        <f>G7/((36*3.1415/59)*(156/3.281))</f>
        <v>1.7270257258200916E-2</v>
      </c>
      <c r="I2" s="1904"/>
      <c r="J2" s="1905"/>
      <c r="K2" s="1900" t="s">
        <v>110</v>
      </c>
      <c r="L2" s="1901"/>
      <c r="M2" s="1904">
        <f>L7/((36*3.1415/59)*(156/3.281))</f>
        <v>2.2569834294866125E-2</v>
      </c>
      <c r="N2" s="1904"/>
      <c r="O2" s="1905"/>
      <c r="P2" s="1900" t="s">
        <v>110</v>
      </c>
      <c r="Q2" s="1901"/>
      <c r="R2" s="1904">
        <f>Q7/((36*3.1415/59)*(156/3.281))</f>
        <v>1.4768593563874482E-2</v>
      </c>
      <c r="S2" s="1904"/>
      <c r="T2" s="1905"/>
      <c r="U2" s="1900" t="s">
        <v>110</v>
      </c>
      <c r="V2" s="1901"/>
      <c r="W2" s="1904">
        <f>V7/((36*3.1415/59)*(156/3.281))</f>
        <v>7.5159632921649481E-3</v>
      </c>
      <c r="X2" s="1904"/>
      <c r="Y2" s="1905"/>
      <c r="Z2" s="1900" t="s">
        <v>110</v>
      </c>
      <c r="AA2" s="1901"/>
      <c r="AB2" s="1904">
        <f>AA7/((36*3.1415/59)*(156/3.281))</f>
        <v>1.6677757962176233E-3</v>
      </c>
      <c r="AC2" s="1904"/>
      <c r="AD2" s="1905"/>
      <c r="AE2" s="1900" t="s">
        <v>110</v>
      </c>
      <c r="AF2" s="1901"/>
      <c r="AG2" s="1904">
        <f>AF7/((36*3.1415/59)*(156/3.281))</f>
        <v>2.284413952450718E-2</v>
      </c>
      <c r="AH2" s="1904"/>
      <c r="AI2" s="1905"/>
      <c r="AJ2" s="1900" t="s">
        <v>110</v>
      </c>
      <c r="AK2" s="1901"/>
      <c r="AL2" s="1904">
        <f>AK7/((36*3.1415/59)*(156/3.281))</f>
        <v>8.909433858741515E-3</v>
      </c>
      <c r="AM2" s="1904"/>
      <c r="AN2" s="1905"/>
      <c r="AO2" s="1900" t="s">
        <v>110</v>
      </c>
      <c r="AP2" s="1901"/>
      <c r="AQ2" s="1904">
        <f>AP7/((36*3.1415/59)*(156/3.281))</f>
        <v>1.4483316125047782E-2</v>
      </c>
      <c r="AR2" s="1904"/>
      <c r="AS2" s="1905"/>
      <c r="AT2" s="1900" t="s">
        <v>110</v>
      </c>
      <c r="AU2" s="1901"/>
      <c r="AV2" s="1904">
        <f>AU7/((36*3.1415/59)*(156/3.281))</f>
        <v>4.1804116997297004E-2</v>
      </c>
      <c r="AW2" s="1904"/>
      <c r="AX2" s="1905"/>
      <c r="AY2" s="3508" t="s">
        <v>110</v>
      </c>
      <c r="AZ2" s="3509"/>
      <c r="BA2" s="3512">
        <f>AZ7/((36*3.1415/59)*(136/3.281))</f>
        <v>1.5342052849841725E-2</v>
      </c>
      <c r="BB2" s="3512"/>
      <c r="BC2" s="3513"/>
      <c r="BD2" s="3508" t="s">
        <v>110</v>
      </c>
      <c r="BE2" s="3509"/>
      <c r="BF2" s="3512">
        <f>BE7/((36*3.1415/59)*(136/3.281))</f>
        <v>2.2377497922082514E-2</v>
      </c>
      <c r="BG2" s="3512"/>
      <c r="BH2" s="3513"/>
      <c r="BI2" s="3508" t="s">
        <v>110</v>
      </c>
      <c r="BJ2" s="3509"/>
      <c r="BK2" s="3512">
        <f>BJ7/((36*3.1415/59)*(136/3.281))</f>
        <v>2.5247053336162832E-2</v>
      </c>
      <c r="BL2" s="3512"/>
      <c r="BM2" s="3513"/>
      <c r="BN2" s="3508" t="s">
        <v>110</v>
      </c>
      <c r="BO2" s="3509"/>
      <c r="BP2" s="3512">
        <f>BO7/((36*3.1415/59)*(136/3.281))</f>
        <v>1.9180712504642154E-2</v>
      </c>
      <c r="BQ2" s="3512"/>
      <c r="BR2" s="3513"/>
    </row>
    <row r="3" spans="1:83" ht="18.600000000000001" customHeight="1" x14ac:dyDescent="0.25">
      <c r="A3" s="1902"/>
      <c r="B3" s="1903"/>
      <c r="C3" s="1906"/>
      <c r="D3" s="1906"/>
      <c r="E3" s="1907"/>
      <c r="F3" s="1902"/>
      <c r="G3" s="1903"/>
      <c r="H3" s="1906"/>
      <c r="I3" s="1906"/>
      <c r="J3" s="1907"/>
      <c r="K3" s="1902"/>
      <c r="L3" s="1903"/>
      <c r="M3" s="1906"/>
      <c r="N3" s="1906"/>
      <c r="O3" s="1907"/>
      <c r="P3" s="1902"/>
      <c r="Q3" s="1903"/>
      <c r="R3" s="1906"/>
      <c r="S3" s="1906"/>
      <c r="T3" s="1907"/>
      <c r="U3" s="1902"/>
      <c r="V3" s="1903"/>
      <c r="W3" s="1906"/>
      <c r="X3" s="1906"/>
      <c r="Y3" s="1907"/>
      <c r="Z3" s="1902"/>
      <c r="AA3" s="1903"/>
      <c r="AB3" s="1906"/>
      <c r="AC3" s="1906"/>
      <c r="AD3" s="1907"/>
      <c r="AE3" s="1902"/>
      <c r="AF3" s="1903"/>
      <c r="AG3" s="1906"/>
      <c r="AH3" s="1906"/>
      <c r="AI3" s="1907"/>
      <c r="AJ3" s="1902"/>
      <c r="AK3" s="1903"/>
      <c r="AL3" s="1906"/>
      <c r="AM3" s="1906"/>
      <c r="AN3" s="1907"/>
      <c r="AO3" s="1902"/>
      <c r="AP3" s="1903"/>
      <c r="AQ3" s="1906"/>
      <c r="AR3" s="1906"/>
      <c r="AS3" s="1907"/>
      <c r="AT3" s="1902"/>
      <c r="AU3" s="1903"/>
      <c r="AV3" s="1906"/>
      <c r="AW3" s="1906"/>
      <c r="AX3" s="1907"/>
      <c r="AY3" s="3510"/>
      <c r="AZ3" s="3511"/>
      <c r="BA3" s="3514"/>
      <c r="BB3" s="3514"/>
      <c r="BC3" s="3515"/>
      <c r="BD3" s="3510"/>
      <c r="BE3" s="3511"/>
      <c r="BF3" s="3514"/>
      <c r="BG3" s="3514"/>
      <c r="BH3" s="3515"/>
      <c r="BI3" s="3510"/>
      <c r="BJ3" s="3511"/>
      <c r="BK3" s="3514"/>
      <c r="BL3" s="3514"/>
      <c r="BM3" s="3515"/>
      <c r="BN3" s="3510"/>
      <c r="BO3" s="3511"/>
      <c r="BP3" s="3514"/>
      <c r="BQ3" s="3514"/>
      <c r="BR3" s="3515"/>
    </row>
    <row r="4" spans="1:83" ht="9.9499999999999993" customHeight="1" x14ac:dyDescent="0.25">
      <c r="A4" s="3504" t="s">
        <v>111</v>
      </c>
      <c r="B4" s="3196"/>
      <c r="C4" s="3196"/>
      <c r="D4" s="3196"/>
      <c r="E4" s="3505"/>
      <c r="F4" s="3504" t="s">
        <v>111</v>
      </c>
      <c r="G4" s="3196"/>
      <c r="H4" s="3196"/>
      <c r="I4" s="3196"/>
      <c r="J4" s="3505"/>
      <c r="K4" s="3504" t="s">
        <v>111</v>
      </c>
      <c r="L4" s="3196"/>
      <c r="M4" s="3196"/>
      <c r="N4" s="3196"/>
      <c r="O4" s="3505"/>
      <c r="P4" s="3504" t="s">
        <v>111</v>
      </c>
      <c r="Q4" s="3196"/>
      <c r="R4" s="3196"/>
      <c r="S4" s="3196"/>
      <c r="T4" s="3505"/>
      <c r="U4" s="3504" t="s">
        <v>111</v>
      </c>
      <c r="V4" s="3196"/>
      <c r="W4" s="3196"/>
      <c r="X4" s="3196"/>
      <c r="Y4" s="3505"/>
      <c r="Z4" s="3504" t="s">
        <v>111</v>
      </c>
      <c r="AA4" s="3196"/>
      <c r="AB4" s="3196"/>
      <c r="AC4" s="3196"/>
      <c r="AD4" s="3505"/>
      <c r="AE4" s="3504" t="s">
        <v>111</v>
      </c>
      <c r="AF4" s="3196"/>
      <c r="AG4" s="3196"/>
      <c r="AH4" s="3196"/>
      <c r="AI4" s="3505"/>
      <c r="AJ4" s="3504" t="s">
        <v>111</v>
      </c>
      <c r="AK4" s="3196"/>
      <c r="AL4" s="3196"/>
      <c r="AM4" s="3196"/>
      <c r="AN4" s="3505"/>
      <c r="AO4" s="3504" t="s">
        <v>111</v>
      </c>
      <c r="AP4" s="3196"/>
      <c r="AQ4" s="3196"/>
      <c r="AR4" s="3196"/>
      <c r="AS4" s="3505"/>
      <c r="AT4" s="3504" t="s">
        <v>111</v>
      </c>
      <c r="AU4" s="3196"/>
      <c r="AV4" s="3196"/>
      <c r="AW4" s="3196"/>
      <c r="AX4" s="3505"/>
      <c r="AY4" s="3504" t="s">
        <v>111</v>
      </c>
      <c r="AZ4" s="3196"/>
      <c r="BA4" s="3196"/>
      <c r="BB4" s="3196"/>
      <c r="BC4" s="3505"/>
      <c r="BD4" s="3504" t="s">
        <v>111</v>
      </c>
      <c r="BE4" s="3196"/>
      <c r="BF4" s="3196"/>
      <c r="BG4" s="3196"/>
      <c r="BH4" s="3505"/>
      <c r="BI4" s="3504" t="s">
        <v>111</v>
      </c>
      <c r="BJ4" s="3196"/>
      <c r="BK4" s="3196"/>
      <c r="BL4" s="3196"/>
      <c r="BM4" s="3505"/>
      <c r="BN4" s="3504" t="s">
        <v>111</v>
      </c>
      <c r="BO4" s="3196"/>
      <c r="BP4" s="3196"/>
      <c r="BQ4" s="3196"/>
      <c r="BR4" s="3505"/>
    </row>
    <row r="5" spans="1:83" ht="9.9499999999999993" customHeight="1" x14ac:dyDescent="0.25">
      <c r="A5" s="3506"/>
      <c r="B5" s="3197"/>
      <c r="C5" s="3197"/>
      <c r="D5" s="3197"/>
      <c r="E5" s="3507"/>
      <c r="F5" s="3506"/>
      <c r="G5" s="3197"/>
      <c r="H5" s="3197"/>
      <c r="I5" s="3197"/>
      <c r="J5" s="3507"/>
      <c r="K5" s="3506"/>
      <c r="L5" s="3197"/>
      <c r="M5" s="3197"/>
      <c r="N5" s="3197"/>
      <c r="O5" s="3507"/>
      <c r="P5" s="3506"/>
      <c r="Q5" s="3197"/>
      <c r="R5" s="3197"/>
      <c r="S5" s="3197"/>
      <c r="T5" s="3507"/>
      <c r="U5" s="3506"/>
      <c r="V5" s="3197"/>
      <c r="W5" s="3197"/>
      <c r="X5" s="3197"/>
      <c r="Y5" s="3507"/>
      <c r="Z5" s="3506"/>
      <c r="AA5" s="3197"/>
      <c r="AB5" s="3197"/>
      <c r="AC5" s="3197"/>
      <c r="AD5" s="3507"/>
      <c r="AE5" s="3506"/>
      <c r="AF5" s="3197"/>
      <c r="AG5" s="3197"/>
      <c r="AH5" s="3197"/>
      <c r="AI5" s="3507"/>
      <c r="AJ5" s="3506"/>
      <c r="AK5" s="3197"/>
      <c r="AL5" s="3197"/>
      <c r="AM5" s="3197"/>
      <c r="AN5" s="3507"/>
      <c r="AO5" s="3506"/>
      <c r="AP5" s="3197"/>
      <c r="AQ5" s="3197"/>
      <c r="AR5" s="3197"/>
      <c r="AS5" s="3507"/>
      <c r="AT5" s="3506"/>
      <c r="AU5" s="3197"/>
      <c r="AV5" s="3197"/>
      <c r="AW5" s="3197"/>
      <c r="AX5" s="3507"/>
      <c r="AY5" s="3506"/>
      <c r="AZ5" s="3197"/>
      <c r="BA5" s="3197"/>
      <c r="BB5" s="3197"/>
      <c r="BC5" s="3507"/>
      <c r="BD5" s="3506"/>
      <c r="BE5" s="3197"/>
      <c r="BF5" s="3197"/>
      <c r="BG5" s="3197"/>
      <c r="BH5" s="3507"/>
      <c r="BI5" s="3506"/>
      <c r="BJ5" s="3197"/>
      <c r="BK5" s="3197"/>
      <c r="BL5" s="3197"/>
      <c r="BM5" s="3507"/>
      <c r="BN5" s="3506"/>
      <c r="BO5" s="3197"/>
      <c r="BP5" s="3197"/>
      <c r="BQ5" s="3197"/>
      <c r="BR5" s="3507"/>
    </row>
    <row r="6" spans="1:83" s="22" customFormat="1" ht="84.95" customHeight="1" x14ac:dyDescent="1.35">
      <c r="A6" s="1898" t="s">
        <v>112</v>
      </c>
      <c r="B6" s="1266">
        <v>198</v>
      </c>
      <c r="C6" s="1267"/>
      <c r="D6" s="1267"/>
      <c r="E6" s="1268"/>
      <c r="F6" s="1898" t="s">
        <v>112</v>
      </c>
      <c r="G6" s="1266">
        <v>204</v>
      </c>
      <c r="H6" s="1267"/>
      <c r="I6" s="1267"/>
      <c r="J6" s="1268"/>
      <c r="K6" s="1898" t="s">
        <v>112</v>
      </c>
      <c r="L6" s="1296">
        <v>212</v>
      </c>
      <c r="M6" s="1297"/>
      <c r="N6" s="1297"/>
      <c r="O6" s="1298"/>
      <c r="P6" s="1898" t="s">
        <v>112</v>
      </c>
      <c r="Q6" s="1266">
        <v>236</v>
      </c>
      <c r="R6" s="1267"/>
      <c r="S6" s="1267"/>
      <c r="T6" s="1268"/>
      <c r="U6" s="1898" t="s">
        <v>112</v>
      </c>
      <c r="V6" s="1266">
        <v>244</v>
      </c>
      <c r="W6" s="1267"/>
      <c r="X6" s="1267"/>
      <c r="Y6" s="1268"/>
      <c r="Z6" s="1898" t="s">
        <v>112</v>
      </c>
      <c r="AA6" s="1266">
        <v>264</v>
      </c>
      <c r="AB6" s="1267"/>
      <c r="AC6" s="1267"/>
      <c r="AD6" s="1268"/>
      <c r="AE6" s="1898" t="s">
        <v>112</v>
      </c>
      <c r="AF6" s="1296">
        <v>133</v>
      </c>
      <c r="AG6" s="1297"/>
      <c r="AH6" s="1297"/>
      <c r="AI6" s="1298"/>
      <c r="AJ6" s="1898" t="s">
        <v>112</v>
      </c>
      <c r="AK6" s="1266">
        <v>173</v>
      </c>
      <c r="AL6" s="1267"/>
      <c r="AM6" s="1267"/>
      <c r="AN6" s="1268"/>
      <c r="AO6" s="1898" t="s">
        <v>112</v>
      </c>
      <c r="AP6" s="1266">
        <v>179</v>
      </c>
      <c r="AQ6" s="1267"/>
      <c r="AR6" s="1267"/>
      <c r="AS6" s="1268"/>
      <c r="AT6" s="1898" t="s">
        <v>112</v>
      </c>
      <c r="AU6" s="1266">
        <v>265</v>
      </c>
      <c r="AV6" s="1267"/>
      <c r="AW6" s="1267"/>
      <c r="AX6" s="1268"/>
      <c r="AY6" s="2642" t="s">
        <v>115</v>
      </c>
      <c r="AZ6" s="588">
        <v>71</v>
      </c>
      <c r="BA6" s="589"/>
      <c r="BB6" s="589"/>
      <c r="BC6" s="590"/>
      <c r="BD6" s="2642" t="s">
        <v>115</v>
      </c>
      <c r="BE6" s="588">
        <v>72</v>
      </c>
      <c r="BF6" s="589"/>
      <c r="BG6" s="589"/>
      <c r="BH6" s="590"/>
      <c r="BI6" s="2642" t="s">
        <v>115</v>
      </c>
      <c r="BJ6" s="588">
        <v>73</v>
      </c>
      <c r="BK6" s="589"/>
      <c r="BL6" s="589"/>
      <c r="BM6" s="590"/>
      <c r="BN6" s="2642" t="s">
        <v>115</v>
      </c>
      <c r="BO6" s="588">
        <v>74</v>
      </c>
      <c r="BP6" s="589"/>
      <c r="BQ6" s="589"/>
      <c r="BR6" s="590"/>
    </row>
    <row r="7" spans="1:83" ht="23.1" customHeight="1" thickBot="1" x14ac:dyDescent="0.3">
      <c r="A7" s="1899"/>
      <c r="B7" s="61">
        <v>2.0819999999999999</v>
      </c>
      <c r="C7" s="62" t="s">
        <v>113</v>
      </c>
      <c r="D7" s="63">
        <v>1</v>
      </c>
      <c r="E7" s="64" t="s">
        <v>114</v>
      </c>
      <c r="F7" s="1899"/>
      <c r="G7" s="61">
        <v>1.5740000000000001</v>
      </c>
      <c r="H7" s="62" t="s">
        <v>113</v>
      </c>
      <c r="I7" s="63">
        <v>1</v>
      </c>
      <c r="J7" s="64" t="s">
        <v>114</v>
      </c>
      <c r="K7" s="1899"/>
      <c r="L7" s="61">
        <v>2.0569999999999999</v>
      </c>
      <c r="M7" s="62" t="s">
        <v>113</v>
      </c>
      <c r="N7" s="63">
        <v>1</v>
      </c>
      <c r="O7" s="64" t="s">
        <v>114</v>
      </c>
      <c r="P7" s="1899"/>
      <c r="Q7" s="61">
        <v>1.3460000000000001</v>
      </c>
      <c r="R7" s="62" t="s">
        <v>113</v>
      </c>
      <c r="S7" s="63">
        <v>1</v>
      </c>
      <c r="T7" s="64" t="s">
        <v>114</v>
      </c>
      <c r="U7" s="1899"/>
      <c r="V7" s="61">
        <v>0.68500000000000005</v>
      </c>
      <c r="W7" s="62" t="s">
        <v>113</v>
      </c>
      <c r="X7" s="63">
        <v>1</v>
      </c>
      <c r="Y7" s="64" t="s">
        <v>114</v>
      </c>
      <c r="Z7" s="1899"/>
      <c r="AA7" s="61">
        <v>0.152</v>
      </c>
      <c r="AB7" s="62" t="s">
        <v>113</v>
      </c>
      <c r="AC7" s="63">
        <v>1</v>
      </c>
      <c r="AD7" s="64" t="s">
        <v>114</v>
      </c>
      <c r="AE7" s="1899"/>
      <c r="AF7" s="61">
        <v>2.0819999999999999</v>
      </c>
      <c r="AG7" s="62" t="s">
        <v>113</v>
      </c>
      <c r="AH7" s="63">
        <v>1</v>
      </c>
      <c r="AI7" s="64" t="s">
        <v>114</v>
      </c>
      <c r="AJ7" s="1899"/>
      <c r="AK7" s="61">
        <v>0.81200000000000006</v>
      </c>
      <c r="AL7" s="62" t="s">
        <v>113</v>
      </c>
      <c r="AM7" s="63">
        <v>1</v>
      </c>
      <c r="AN7" s="64" t="s">
        <v>114</v>
      </c>
      <c r="AO7" s="1899"/>
      <c r="AP7" s="61">
        <v>1.32</v>
      </c>
      <c r="AQ7" s="62" t="s">
        <v>113</v>
      </c>
      <c r="AR7" s="63">
        <v>1</v>
      </c>
      <c r="AS7" s="64" t="s">
        <v>114</v>
      </c>
      <c r="AT7" s="1899"/>
      <c r="AU7" s="61">
        <v>3.81</v>
      </c>
      <c r="AV7" s="62" t="s">
        <v>113</v>
      </c>
      <c r="AW7" s="63"/>
      <c r="AX7" s="64" t="s">
        <v>114</v>
      </c>
      <c r="AY7" s="2643"/>
      <c r="AZ7" s="61">
        <v>1.2190000000000001</v>
      </c>
      <c r="BA7" s="62" t="s">
        <v>113</v>
      </c>
      <c r="BB7" s="63">
        <v>1</v>
      </c>
      <c r="BC7" s="64" t="s">
        <v>114</v>
      </c>
      <c r="BD7" s="2643"/>
      <c r="BE7" s="61">
        <v>1.778</v>
      </c>
      <c r="BF7" s="62" t="s">
        <v>113</v>
      </c>
      <c r="BG7" s="63">
        <v>1</v>
      </c>
      <c r="BH7" s="64" t="s">
        <v>114</v>
      </c>
      <c r="BI7" s="2643"/>
      <c r="BJ7" s="61">
        <v>2.0059999999999998</v>
      </c>
      <c r="BK7" s="62" t="s">
        <v>113</v>
      </c>
      <c r="BL7" s="63"/>
      <c r="BM7" s="64" t="s">
        <v>114</v>
      </c>
      <c r="BN7" s="2643"/>
      <c r="BO7" s="61">
        <v>1.524</v>
      </c>
      <c r="BP7" s="62" t="s">
        <v>113</v>
      </c>
      <c r="BQ7" s="63">
        <v>1</v>
      </c>
      <c r="BR7" s="64" t="s">
        <v>114</v>
      </c>
      <c r="BW7" s="27"/>
      <c r="BX7" s="27"/>
      <c r="BY7" s="27"/>
      <c r="BZ7" s="27"/>
      <c r="CA7" s="27"/>
      <c r="CB7" s="27"/>
      <c r="CC7" s="27"/>
      <c r="CD7" s="27"/>
      <c r="CE7" s="27"/>
    </row>
    <row r="8" spans="1:83" ht="18.600000000000001" customHeight="1" thickTop="1" x14ac:dyDescent="0.25">
      <c r="A8" s="3508" t="s">
        <v>110</v>
      </c>
      <c r="B8" s="3509"/>
      <c r="C8" s="3512">
        <f>B13/((36*3.1415/59)*(136/3.281))</f>
        <v>5.4244665941606089E-3</v>
      </c>
      <c r="D8" s="3512"/>
      <c r="E8" s="3513"/>
      <c r="F8" s="3508" t="s">
        <v>110</v>
      </c>
      <c r="G8" s="3509"/>
      <c r="H8" s="3512">
        <f>G13/((36*3.1415/59)*(136/3.281))</f>
        <v>1.2585769360001414E-5</v>
      </c>
      <c r="I8" s="3512"/>
      <c r="J8" s="3513"/>
      <c r="K8" s="3508" t="s">
        <v>110</v>
      </c>
      <c r="L8" s="3509"/>
      <c r="M8" s="3512">
        <f>L13/((36*3.1415/59)*(136/3.281))</f>
        <v>3.8260738854404295E-3</v>
      </c>
      <c r="N8" s="3512"/>
      <c r="O8" s="3513"/>
      <c r="P8" s="3508" t="s">
        <v>110</v>
      </c>
      <c r="Q8" s="3509"/>
      <c r="R8" s="3512">
        <f>Q13/((36*3.1415/59)*(136/3.281))</f>
        <v>2.8695554140803223E-3</v>
      </c>
      <c r="S8" s="3512"/>
      <c r="T8" s="3513"/>
      <c r="U8" s="3508" t="s">
        <v>110</v>
      </c>
      <c r="V8" s="3509"/>
      <c r="W8" s="3512">
        <f>V13/((36*3.1415/59)*(136/3.281))</f>
        <v>1.7582319795921977E-2</v>
      </c>
      <c r="X8" s="3512"/>
      <c r="Y8" s="3513"/>
      <c r="Z8" s="3508" t="s">
        <v>110</v>
      </c>
      <c r="AA8" s="3509"/>
      <c r="AB8" s="3512">
        <f>AA13/((36*3.1415/59)*(136/3.281))</f>
        <v>4.7951781261605384E-3</v>
      </c>
      <c r="AC8" s="3512"/>
      <c r="AD8" s="3513"/>
      <c r="AE8" s="3508" t="s">
        <v>110</v>
      </c>
      <c r="AF8" s="3509"/>
      <c r="AG8" s="3512">
        <f>AF13/((36*3.1415/59)*(136/3.281))</f>
        <v>1.2585769360001414E-5</v>
      </c>
      <c r="AH8" s="3512"/>
      <c r="AI8" s="3513"/>
      <c r="AJ8" s="3508" t="s">
        <v>110</v>
      </c>
      <c r="AK8" s="3509"/>
      <c r="AL8" s="3512">
        <f>AK13/((36*3.1415/59)*(136/3.281))</f>
        <v>2.2050267918722478E-2</v>
      </c>
      <c r="AM8" s="3512"/>
      <c r="AN8" s="3513"/>
      <c r="AO8" s="3508" t="s">
        <v>110</v>
      </c>
      <c r="AP8" s="3509"/>
      <c r="AQ8" s="3512">
        <f>AP13/((36*3.1415/59)*(136/3.281))</f>
        <v>8.3066077776009339E-3</v>
      </c>
      <c r="AR8" s="3512"/>
      <c r="AS8" s="3513"/>
      <c r="AT8" s="3508" t="s">
        <v>110</v>
      </c>
      <c r="AU8" s="3509"/>
      <c r="AV8" s="3512">
        <f>AU13/((36*3.1415/59)*(136/3.281))</f>
        <v>1.2585769360001413E-6</v>
      </c>
      <c r="AW8" s="3512"/>
      <c r="AX8" s="3513"/>
      <c r="AY8" s="3508" t="s">
        <v>110</v>
      </c>
      <c r="AZ8" s="3509"/>
      <c r="BA8" s="3512">
        <f>AZ13/((36*3.1415/59)*(136/3.281))</f>
        <v>2.8695554140803223E-3</v>
      </c>
      <c r="BB8" s="3512"/>
      <c r="BC8" s="3513"/>
      <c r="BD8" s="3508" t="s">
        <v>110</v>
      </c>
      <c r="BE8" s="3509"/>
      <c r="BF8" s="3512">
        <f>BE13/((36*3.1415/59)*(136/3.281))</f>
        <v>1.24599116664014E-2</v>
      </c>
      <c r="BG8" s="3512"/>
      <c r="BH8" s="3513"/>
      <c r="BI8" s="3508" t="s">
        <v>110</v>
      </c>
      <c r="BJ8" s="3509"/>
      <c r="BK8" s="3512">
        <f>BJ13/((36*3.1415/59)*(136/3.281))</f>
        <v>7.6722850018568614E-2</v>
      </c>
      <c r="BL8" s="3512"/>
      <c r="BM8" s="3513"/>
      <c r="BN8" s="3508" t="s">
        <v>110</v>
      </c>
      <c r="BO8" s="3509"/>
      <c r="BP8" s="3512">
        <f>BO13/((36*3.1415/59)*(136/3.281))</f>
        <v>4.9864818204325603E-2</v>
      </c>
      <c r="BQ8" s="3512"/>
      <c r="BR8" s="3513"/>
    </row>
    <row r="9" spans="1:83" ht="18.600000000000001" customHeight="1" x14ac:dyDescent="0.25">
      <c r="A9" s="3510"/>
      <c r="B9" s="3511"/>
      <c r="C9" s="3514"/>
      <c r="D9" s="3514"/>
      <c r="E9" s="3515"/>
      <c r="F9" s="3510"/>
      <c r="G9" s="3511"/>
      <c r="H9" s="3514"/>
      <c r="I9" s="3514"/>
      <c r="J9" s="3515"/>
      <c r="K9" s="3510"/>
      <c r="L9" s="3511"/>
      <c r="M9" s="3514"/>
      <c r="N9" s="3514"/>
      <c r="O9" s="3515"/>
      <c r="P9" s="3510"/>
      <c r="Q9" s="3511"/>
      <c r="R9" s="3514"/>
      <c r="S9" s="3514"/>
      <c r="T9" s="3515"/>
      <c r="U9" s="3510"/>
      <c r="V9" s="3511"/>
      <c r="W9" s="3514"/>
      <c r="X9" s="3514"/>
      <c r="Y9" s="3515"/>
      <c r="Z9" s="3510"/>
      <c r="AA9" s="3511"/>
      <c r="AB9" s="3514"/>
      <c r="AC9" s="3514"/>
      <c r="AD9" s="3515"/>
      <c r="AE9" s="3510"/>
      <c r="AF9" s="3511"/>
      <c r="AG9" s="3514"/>
      <c r="AH9" s="3514"/>
      <c r="AI9" s="3515"/>
      <c r="AJ9" s="3510"/>
      <c r="AK9" s="3511"/>
      <c r="AL9" s="3514"/>
      <c r="AM9" s="3514"/>
      <c r="AN9" s="3515"/>
      <c r="AO9" s="3510"/>
      <c r="AP9" s="3511"/>
      <c r="AQ9" s="3514"/>
      <c r="AR9" s="3514"/>
      <c r="AS9" s="3515"/>
      <c r="AT9" s="3510"/>
      <c r="AU9" s="3511"/>
      <c r="AV9" s="3514"/>
      <c r="AW9" s="3514"/>
      <c r="AX9" s="3515"/>
      <c r="AY9" s="3510"/>
      <c r="AZ9" s="3511"/>
      <c r="BA9" s="3514"/>
      <c r="BB9" s="3514"/>
      <c r="BC9" s="3515"/>
      <c r="BD9" s="3510"/>
      <c r="BE9" s="3511"/>
      <c r="BF9" s="3514"/>
      <c r="BG9" s="3514"/>
      <c r="BH9" s="3515"/>
      <c r="BI9" s="3510"/>
      <c r="BJ9" s="3511"/>
      <c r="BK9" s="3514"/>
      <c r="BL9" s="3514"/>
      <c r="BM9" s="3515"/>
      <c r="BN9" s="3510"/>
      <c r="BO9" s="3511"/>
      <c r="BP9" s="3514"/>
      <c r="BQ9" s="3514"/>
      <c r="BR9" s="3515"/>
    </row>
    <row r="10" spans="1:83" ht="9.9499999999999993" customHeight="1" x14ac:dyDescent="0.25">
      <c r="A10" s="3504" t="s">
        <v>111</v>
      </c>
      <c r="B10" s="3196"/>
      <c r="C10" s="3196"/>
      <c r="D10" s="3196"/>
      <c r="E10" s="3505"/>
      <c r="F10" s="3504" t="s">
        <v>111</v>
      </c>
      <c r="G10" s="3196"/>
      <c r="H10" s="3196"/>
      <c r="I10" s="3196"/>
      <c r="J10" s="3505"/>
      <c r="K10" s="3504" t="s">
        <v>111</v>
      </c>
      <c r="L10" s="3196"/>
      <c r="M10" s="3196"/>
      <c r="N10" s="3196"/>
      <c r="O10" s="3505"/>
      <c r="P10" s="3504" t="s">
        <v>111</v>
      </c>
      <c r="Q10" s="3196"/>
      <c r="R10" s="3196"/>
      <c r="S10" s="3196"/>
      <c r="T10" s="3505"/>
      <c r="U10" s="3504" t="s">
        <v>111</v>
      </c>
      <c r="V10" s="3196"/>
      <c r="W10" s="3196"/>
      <c r="X10" s="3196"/>
      <c r="Y10" s="3505"/>
      <c r="Z10" s="3504" t="s">
        <v>111</v>
      </c>
      <c r="AA10" s="3196"/>
      <c r="AB10" s="3196"/>
      <c r="AC10" s="3196"/>
      <c r="AD10" s="3505"/>
      <c r="AE10" s="3504" t="s">
        <v>111</v>
      </c>
      <c r="AF10" s="3196"/>
      <c r="AG10" s="3196"/>
      <c r="AH10" s="3196"/>
      <c r="AI10" s="3505"/>
      <c r="AJ10" s="3504" t="s">
        <v>111</v>
      </c>
      <c r="AK10" s="3196"/>
      <c r="AL10" s="3196"/>
      <c r="AM10" s="3196"/>
      <c r="AN10" s="3505"/>
      <c r="AO10" s="3504" t="s">
        <v>111</v>
      </c>
      <c r="AP10" s="3196"/>
      <c r="AQ10" s="3196"/>
      <c r="AR10" s="3196"/>
      <c r="AS10" s="3505"/>
      <c r="AT10" s="3504" t="s">
        <v>111</v>
      </c>
      <c r="AU10" s="3196"/>
      <c r="AV10" s="3196"/>
      <c r="AW10" s="3196"/>
      <c r="AX10" s="3505"/>
      <c r="AY10" s="3504" t="s">
        <v>111</v>
      </c>
      <c r="AZ10" s="3196"/>
      <c r="BA10" s="3196"/>
      <c r="BB10" s="3196"/>
      <c r="BC10" s="3505"/>
      <c r="BD10" s="3504" t="s">
        <v>111</v>
      </c>
      <c r="BE10" s="3196"/>
      <c r="BF10" s="3196"/>
      <c r="BG10" s="3196"/>
      <c r="BH10" s="3505"/>
      <c r="BI10" s="3504" t="s">
        <v>111</v>
      </c>
      <c r="BJ10" s="3196"/>
      <c r="BK10" s="3196"/>
      <c r="BL10" s="3196"/>
      <c r="BM10" s="3505"/>
      <c r="BN10" s="3504" t="s">
        <v>111</v>
      </c>
      <c r="BO10" s="3196"/>
      <c r="BP10" s="3196"/>
      <c r="BQ10" s="3196"/>
      <c r="BR10" s="3505"/>
    </row>
    <row r="11" spans="1:83" ht="9.9499999999999993" customHeight="1" x14ac:dyDescent="0.25">
      <c r="A11" s="3506"/>
      <c r="B11" s="3197"/>
      <c r="C11" s="3197"/>
      <c r="D11" s="3197"/>
      <c r="E11" s="3507"/>
      <c r="F11" s="3506"/>
      <c r="G11" s="3197"/>
      <c r="H11" s="3197"/>
      <c r="I11" s="3197"/>
      <c r="J11" s="3507"/>
      <c r="K11" s="3506"/>
      <c r="L11" s="3197"/>
      <c r="M11" s="3197"/>
      <c r="N11" s="3197"/>
      <c r="O11" s="3507"/>
      <c r="P11" s="3506"/>
      <c r="Q11" s="3197"/>
      <c r="R11" s="3197"/>
      <c r="S11" s="3197"/>
      <c r="T11" s="3507"/>
      <c r="U11" s="3506"/>
      <c r="V11" s="3197"/>
      <c r="W11" s="3197"/>
      <c r="X11" s="3197"/>
      <c r="Y11" s="3507"/>
      <c r="Z11" s="3506"/>
      <c r="AA11" s="3197"/>
      <c r="AB11" s="3197"/>
      <c r="AC11" s="3197"/>
      <c r="AD11" s="3507"/>
      <c r="AE11" s="3506"/>
      <c r="AF11" s="3197"/>
      <c r="AG11" s="3197"/>
      <c r="AH11" s="3197"/>
      <c r="AI11" s="3507"/>
      <c r="AJ11" s="3506"/>
      <c r="AK11" s="3197"/>
      <c r="AL11" s="3197"/>
      <c r="AM11" s="3197"/>
      <c r="AN11" s="3507"/>
      <c r="AO11" s="3506"/>
      <c r="AP11" s="3197"/>
      <c r="AQ11" s="3197"/>
      <c r="AR11" s="3197"/>
      <c r="AS11" s="3507"/>
      <c r="AT11" s="3506"/>
      <c r="AU11" s="3197"/>
      <c r="AV11" s="3197"/>
      <c r="AW11" s="3197"/>
      <c r="AX11" s="3507"/>
      <c r="AY11" s="3506"/>
      <c r="AZ11" s="3197"/>
      <c r="BA11" s="3197"/>
      <c r="BB11" s="3197"/>
      <c r="BC11" s="3507"/>
      <c r="BD11" s="3506"/>
      <c r="BE11" s="3197"/>
      <c r="BF11" s="3197"/>
      <c r="BG11" s="3197"/>
      <c r="BH11" s="3507"/>
      <c r="BI11" s="3506"/>
      <c r="BJ11" s="3197"/>
      <c r="BK11" s="3197"/>
      <c r="BL11" s="3197"/>
      <c r="BM11" s="3507"/>
      <c r="BN11" s="3506"/>
      <c r="BO11" s="3197"/>
      <c r="BP11" s="3197"/>
      <c r="BQ11" s="3197"/>
      <c r="BR11" s="3507"/>
    </row>
    <row r="12" spans="1:83" s="22" customFormat="1" ht="84.95" customHeight="1" x14ac:dyDescent="1.35">
      <c r="A12" s="2642" t="s">
        <v>115</v>
      </c>
      <c r="B12" s="588">
        <v>75</v>
      </c>
      <c r="C12" s="589"/>
      <c r="D12" s="589"/>
      <c r="E12" s="590"/>
      <c r="F12" s="2642" t="s">
        <v>115</v>
      </c>
      <c r="G12" s="588">
        <v>76</v>
      </c>
      <c r="H12" s="589"/>
      <c r="I12" s="589"/>
      <c r="J12" s="590"/>
      <c r="K12" s="2642" t="s">
        <v>115</v>
      </c>
      <c r="L12" s="588">
        <v>77</v>
      </c>
      <c r="M12" s="589"/>
      <c r="N12" s="589"/>
      <c r="O12" s="590"/>
      <c r="P12" s="2642" t="s">
        <v>115</v>
      </c>
      <c r="Q12" s="588">
        <v>78</v>
      </c>
      <c r="R12" s="589"/>
      <c r="S12" s="589"/>
      <c r="T12" s="590"/>
      <c r="U12" s="2642" t="s">
        <v>115</v>
      </c>
      <c r="V12" s="588">
        <v>79</v>
      </c>
      <c r="W12" s="589"/>
      <c r="X12" s="589"/>
      <c r="Y12" s="590"/>
      <c r="Z12" s="2642" t="s">
        <v>115</v>
      </c>
      <c r="AA12" s="588">
        <v>80</v>
      </c>
      <c r="AB12" s="589"/>
      <c r="AC12" s="589"/>
      <c r="AD12" s="590"/>
      <c r="AE12" s="2642" t="s">
        <v>115</v>
      </c>
      <c r="AF12" s="588">
        <v>81</v>
      </c>
      <c r="AG12" s="589"/>
      <c r="AH12" s="589"/>
      <c r="AI12" s="590"/>
      <c r="AJ12" s="2642" t="s">
        <v>115</v>
      </c>
      <c r="AK12" s="588">
        <v>82</v>
      </c>
      <c r="AL12" s="589"/>
      <c r="AM12" s="589"/>
      <c r="AN12" s="590"/>
      <c r="AO12" s="2642" t="s">
        <v>115</v>
      </c>
      <c r="AP12" s="588">
        <v>83</v>
      </c>
      <c r="AQ12" s="589"/>
      <c r="AR12" s="589"/>
      <c r="AS12" s="590"/>
      <c r="AT12" s="2642" t="s">
        <v>115</v>
      </c>
      <c r="AU12" s="588">
        <v>84</v>
      </c>
      <c r="AV12" s="589"/>
      <c r="AW12" s="589"/>
      <c r="AX12" s="590"/>
      <c r="AY12" s="2642" t="s">
        <v>115</v>
      </c>
      <c r="AZ12" s="588">
        <v>85</v>
      </c>
      <c r="BA12" s="589"/>
      <c r="BB12" s="589"/>
      <c r="BC12" s="590"/>
      <c r="BD12" s="2642" t="s">
        <v>115</v>
      </c>
      <c r="BE12" s="588">
        <v>86</v>
      </c>
      <c r="BF12" s="589"/>
      <c r="BG12" s="589"/>
      <c r="BH12" s="590"/>
      <c r="BI12" s="2642" t="s">
        <v>115</v>
      </c>
      <c r="BJ12" s="588">
        <v>87</v>
      </c>
      <c r="BK12" s="589"/>
      <c r="BL12" s="589"/>
      <c r="BM12" s="590"/>
      <c r="BN12" s="2642" t="s">
        <v>115</v>
      </c>
      <c r="BO12" s="588">
        <v>88</v>
      </c>
      <c r="BP12" s="589"/>
      <c r="BQ12" s="589"/>
      <c r="BR12" s="590"/>
    </row>
    <row r="13" spans="1:83" ht="23.1" customHeight="1" thickBot="1" x14ac:dyDescent="0.3">
      <c r="A13" s="2643"/>
      <c r="B13" s="61">
        <v>0.43099999999999999</v>
      </c>
      <c r="C13" s="62" t="s">
        <v>113</v>
      </c>
      <c r="D13" s="63">
        <v>1</v>
      </c>
      <c r="E13" s="64" t="s">
        <v>114</v>
      </c>
      <c r="F13" s="2643"/>
      <c r="G13" s="61">
        <v>1E-3</v>
      </c>
      <c r="H13" s="62" t="s">
        <v>113</v>
      </c>
      <c r="I13" s="63"/>
      <c r="J13" s="64" t="s">
        <v>114</v>
      </c>
      <c r="K13" s="2643"/>
      <c r="L13" s="61">
        <v>0.30399999999999999</v>
      </c>
      <c r="M13" s="62" t="s">
        <v>113</v>
      </c>
      <c r="N13" s="63">
        <v>1</v>
      </c>
      <c r="O13" s="64" t="s">
        <v>114</v>
      </c>
      <c r="P13" s="2643"/>
      <c r="Q13" s="61">
        <v>0.22800000000000001</v>
      </c>
      <c r="R13" s="62" t="s">
        <v>113</v>
      </c>
      <c r="S13" s="63"/>
      <c r="T13" s="64" t="s">
        <v>114</v>
      </c>
      <c r="U13" s="2643"/>
      <c r="V13" s="61">
        <v>1.397</v>
      </c>
      <c r="W13" s="62" t="s">
        <v>113</v>
      </c>
      <c r="X13" s="63">
        <v>1</v>
      </c>
      <c r="Y13" s="64" t="s">
        <v>114</v>
      </c>
      <c r="Z13" s="2643"/>
      <c r="AA13" s="61">
        <v>0.38100000000000001</v>
      </c>
      <c r="AB13" s="62" t="s">
        <v>113</v>
      </c>
      <c r="AC13" s="63">
        <v>1</v>
      </c>
      <c r="AD13" s="64" t="s">
        <v>114</v>
      </c>
      <c r="AE13" s="2643"/>
      <c r="AF13" s="61">
        <v>1E-3</v>
      </c>
      <c r="AG13" s="62" t="s">
        <v>113</v>
      </c>
      <c r="AH13" s="63"/>
      <c r="AI13" s="64" t="s">
        <v>114</v>
      </c>
      <c r="AJ13" s="2643"/>
      <c r="AK13" s="61">
        <v>1.752</v>
      </c>
      <c r="AL13" s="62" t="s">
        <v>113</v>
      </c>
      <c r="AM13" s="63">
        <v>1</v>
      </c>
      <c r="AN13" s="64" t="s">
        <v>114</v>
      </c>
      <c r="AO13" s="2643"/>
      <c r="AP13" s="61">
        <v>0.66</v>
      </c>
      <c r="AQ13" s="62" t="s">
        <v>113</v>
      </c>
      <c r="AR13" s="63"/>
      <c r="AS13" s="64" t="s">
        <v>114</v>
      </c>
      <c r="AT13" s="2643"/>
      <c r="AU13" s="61">
        <v>1E-4</v>
      </c>
      <c r="AV13" s="62" t="s">
        <v>113</v>
      </c>
      <c r="AW13" s="63"/>
      <c r="AX13" s="64" t="s">
        <v>114</v>
      </c>
      <c r="AY13" s="2643"/>
      <c r="AZ13" s="61">
        <v>0.22800000000000001</v>
      </c>
      <c r="BA13" s="62" t="s">
        <v>113</v>
      </c>
      <c r="BB13" s="63">
        <v>1</v>
      </c>
      <c r="BC13" s="64" t="s">
        <v>114</v>
      </c>
      <c r="BD13" s="2643"/>
      <c r="BE13" s="61">
        <v>0.99</v>
      </c>
      <c r="BF13" s="62" t="s">
        <v>113</v>
      </c>
      <c r="BG13" s="63"/>
      <c r="BH13" s="64" t="s">
        <v>114</v>
      </c>
      <c r="BI13" s="2643"/>
      <c r="BJ13" s="61">
        <v>6.0960000000000001</v>
      </c>
      <c r="BK13" s="62" t="s">
        <v>113</v>
      </c>
      <c r="BL13" s="63">
        <v>1</v>
      </c>
      <c r="BM13" s="64" t="s">
        <v>114</v>
      </c>
      <c r="BN13" s="2643"/>
      <c r="BO13" s="61">
        <v>3.9620000000000002</v>
      </c>
      <c r="BP13" s="62" t="s">
        <v>113</v>
      </c>
      <c r="BQ13" s="63">
        <v>1</v>
      </c>
      <c r="BR13" s="64" t="s">
        <v>114</v>
      </c>
      <c r="BW13" s="27"/>
      <c r="BX13" s="27"/>
      <c r="BY13" s="27"/>
      <c r="BZ13" s="27"/>
      <c r="CA13" s="27"/>
      <c r="CB13" s="27"/>
      <c r="CC13" s="27"/>
      <c r="CD13" s="27"/>
      <c r="CE13" s="27"/>
    </row>
    <row r="14" spans="1:83" ht="18.600000000000001" customHeight="1" thickTop="1" x14ac:dyDescent="0.25">
      <c r="A14" s="3508" t="s">
        <v>110</v>
      </c>
      <c r="B14" s="3509"/>
      <c r="C14" s="3512">
        <f>B19/((36*3.1415/59)*(136/3.281))</f>
        <v>1.24724974357614E-2</v>
      </c>
      <c r="D14" s="3512"/>
      <c r="E14" s="3513"/>
      <c r="F14" s="3508" t="s">
        <v>110</v>
      </c>
      <c r="G14" s="3509"/>
      <c r="H14" s="3512">
        <f>G19/((36*3.1415/59)*(136/3.281))</f>
        <v>5.4974640564486178E-2</v>
      </c>
      <c r="I14" s="3512"/>
      <c r="J14" s="3513"/>
      <c r="K14" s="3508" t="s">
        <v>110</v>
      </c>
      <c r="L14" s="3509"/>
      <c r="M14" s="3512">
        <f>L19/((36*3.1415/59)*(136/3.281))</f>
        <v>3.8260738854404295E-3</v>
      </c>
      <c r="N14" s="3512"/>
      <c r="O14" s="3513"/>
      <c r="P14" s="3508" t="s">
        <v>110</v>
      </c>
      <c r="Q14" s="3509"/>
      <c r="R14" s="3512">
        <f>Q19/((36*3.1415/59)*(136/3.281))</f>
        <v>8.3066077776009339E-3</v>
      </c>
      <c r="S14" s="3512"/>
      <c r="T14" s="3513"/>
      <c r="U14" s="3508" t="s">
        <v>110</v>
      </c>
      <c r="V14" s="3509"/>
      <c r="W14" s="3512">
        <f>V19/((36*3.1415/59)*(136/3.281))</f>
        <v>2.8821411834403237E-3</v>
      </c>
      <c r="X14" s="3512"/>
      <c r="Y14" s="3513"/>
      <c r="Z14" s="3508" t="s">
        <v>110</v>
      </c>
      <c r="AA14" s="3509"/>
      <c r="AB14" s="3512">
        <f>AA19/((36*3.1415/59)*(136/3.281))</f>
        <v>2.0779105213362334E-2</v>
      </c>
      <c r="AC14" s="3512"/>
      <c r="AD14" s="3513"/>
      <c r="AE14" s="3508" t="s">
        <v>110</v>
      </c>
      <c r="AF14" s="3509"/>
      <c r="AG14" s="3512">
        <f>AF19/((36*3.1415/59)*(136/3.281))</f>
        <v>3.1325979937043516E-2</v>
      </c>
      <c r="AH14" s="3512"/>
      <c r="AI14" s="3513"/>
      <c r="AJ14" s="3508" t="s">
        <v>110</v>
      </c>
      <c r="AK14" s="3509"/>
      <c r="AL14" s="3512">
        <f>AK19/((36*3.1415/59)*(136/3.281))</f>
        <v>3.8260738854404295E-3</v>
      </c>
      <c r="AM14" s="3512"/>
      <c r="AN14" s="3513"/>
      <c r="AO14" s="3508" t="s">
        <v>110</v>
      </c>
      <c r="AP14" s="3509"/>
      <c r="AQ14" s="3512">
        <f>AP19/((36*3.1415/59)*(136/3.281))</f>
        <v>1.2585769360001413E-6</v>
      </c>
      <c r="AR14" s="3512"/>
      <c r="AS14" s="3513"/>
      <c r="AT14" s="3508" t="s">
        <v>110</v>
      </c>
      <c r="AU14" s="3509"/>
      <c r="AV14" s="3512">
        <f>AU19/((36*3.1415/59)*(136/3.281))</f>
        <v>5.4244665941606089E-3</v>
      </c>
      <c r="AW14" s="3512"/>
      <c r="AX14" s="3513"/>
      <c r="AY14" s="3508" t="s">
        <v>110</v>
      </c>
      <c r="AZ14" s="3509"/>
      <c r="BA14" s="3512">
        <f>AZ19/((36*3.1415/59)*(136/3.281))</f>
        <v>2.554911180080287E-3</v>
      </c>
      <c r="BB14" s="3512"/>
      <c r="BC14" s="3513"/>
      <c r="BD14" s="3508" t="s">
        <v>110</v>
      </c>
      <c r="BE14" s="3509"/>
      <c r="BF14" s="3512">
        <f>BE19/((36*3.1415/59)*(136/3.281))</f>
        <v>8.5671332033529626E-2</v>
      </c>
      <c r="BG14" s="3512"/>
      <c r="BH14" s="3513"/>
      <c r="BI14" s="3508" t="s">
        <v>110</v>
      </c>
      <c r="BJ14" s="3509"/>
      <c r="BK14" s="3512">
        <f>BJ19/((36*3.1415/59)*(136/3.281))</f>
        <v>5.8498655985286564E-2</v>
      </c>
      <c r="BL14" s="3512"/>
      <c r="BM14" s="3513"/>
      <c r="BN14" s="3508" t="s">
        <v>110</v>
      </c>
      <c r="BO14" s="3509"/>
      <c r="BP14" s="3512">
        <f>BO19/((36*3.1415/59)*(136/3.281))</f>
        <v>1.2585769360001414E-5</v>
      </c>
      <c r="BQ14" s="3512"/>
      <c r="BR14" s="3513"/>
    </row>
    <row r="15" spans="1:83" ht="18.600000000000001" customHeight="1" x14ac:dyDescent="0.25">
      <c r="A15" s="3510"/>
      <c r="B15" s="3511"/>
      <c r="C15" s="3514"/>
      <c r="D15" s="3514"/>
      <c r="E15" s="3515"/>
      <c r="F15" s="3510"/>
      <c r="G15" s="3511"/>
      <c r="H15" s="3514"/>
      <c r="I15" s="3514"/>
      <c r="J15" s="3515"/>
      <c r="K15" s="3510"/>
      <c r="L15" s="3511"/>
      <c r="M15" s="3514"/>
      <c r="N15" s="3514"/>
      <c r="O15" s="3515"/>
      <c r="P15" s="3510"/>
      <c r="Q15" s="3511"/>
      <c r="R15" s="3514"/>
      <c r="S15" s="3514"/>
      <c r="T15" s="3515"/>
      <c r="U15" s="3510"/>
      <c r="V15" s="3511"/>
      <c r="W15" s="3514"/>
      <c r="X15" s="3514"/>
      <c r="Y15" s="3515"/>
      <c r="Z15" s="3510"/>
      <c r="AA15" s="3511"/>
      <c r="AB15" s="3514"/>
      <c r="AC15" s="3514"/>
      <c r="AD15" s="3515"/>
      <c r="AE15" s="3510"/>
      <c r="AF15" s="3511"/>
      <c r="AG15" s="3514"/>
      <c r="AH15" s="3514"/>
      <c r="AI15" s="3515"/>
      <c r="AJ15" s="3510"/>
      <c r="AK15" s="3511"/>
      <c r="AL15" s="3514"/>
      <c r="AM15" s="3514"/>
      <c r="AN15" s="3515"/>
      <c r="AO15" s="3510"/>
      <c r="AP15" s="3511"/>
      <c r="AQ15" s="3514"/>
      <c r="AR15" s="3514"/>
      <c r="AS15" s="3515"/>
      <c r="AT15" s="3510"/>
      <c r="AU15" s="3511"/>
      <c r="AV15" s="3514"/>
      <c r="AW15" s="3514"/>
      <c r="AX15" s="3515"/>
      <c r="AY15" s="3510"/>
      <c r="AZ15" s="3511"/>
      <c r="BA15" s="3514"/>
      <c r="BB15" s="3514"/>
      <c r="BC15" s="3515"/>
      <c r="BD15" s="3510"/>
      <c r="BE15" s="3511"/>
      <c r="BF15" s="3514"/>
      <c r="BG15" s="3514"/>
      <c r="BH15" s="3515"/>
      <c r="BI15" s="3510"/>
      <c r="BJ15" s="3511"/>
      <c r="BK15" s="3514"/>
      <c r="BL15" s="3514"/>
      <c r="BM15" s="3515"/>
      <c r="BN15" s="3510"/>
      <c r="BO15" s="3511"/>
      <c r="BP15" s="3514"/>
      <c r="BQ15" s="3514"/>
      <c r="BR15" s="3515"/>
    </row>
    <row r="16" spans="1:83" ht="9.9499999999999993" customHeight="1" thickBot="1" x14ac:dyDescent="0.3">
      <c r="A16" s="3504" t="s">
        <v>111</v>
      </c>
      <c r="B16" s="3196"/>
      <c r="C16" s="3196"/>
      <c r="D16" s="3196"/>
      <c r="E16" s="3505"/>
      <c r="F16" s="3504" t="s">
        <v>111</v>
      </c>
      <c r="G16" s="3196"/>
      <c r="H16" s="3196"/>
      <c r="I16" s="3196"/>
      <c r="J16" s="3505"/>
      <c r="K16" s="3504" t="s">
        <v>111</v>
      </c>
      <c r="L16" s="3196"/>
      <c r="M16" s="3199"/>
      <c r="N16" s="3199"/>
      <c r="O16" s="3516"/>
      <c r="P16" s="3517" t="s">
        <v>111</v>
      </c>
      <c r="Q16" s="3199"/>
      <c r="R16" s="3196"/>
      <c r="S16" s="3196"/>
      <c r="T16" s="3505"/>
      <c r="U16" s="3504" t="s">
        <v>111</v>
      </c>
      <c r="V16" s="3196"/>
      <c r="W16" s="3196"/>
      <c r="X16" s="3196"/>
      <c r="Y16" s="3505"/>
      <c r="Z16" s="3504" t="s">
        <v>111</v>
      </c>
      <c r="AA16" s="3196"/>
      <c r="AB16" s="3196"/>
      <c r="AC16" s="3196"/>
      <c r="AD16" s="3505"/>
      <c r="AE16" s="3504" t="s">
        <v>111</v>
      </c>
      <c r="AF16" s="3196"/>
      <c r="AG16" s="3196"/>
      <c r="AH16" s="3196"/>
      <c r="AI16" s="3505"/>
      <c r="AJ16" s="3504" t="s">
        <v>111</v>
      </c>
      <c r="AK16" s="3196"/>
      <c r="AL16" s="3196"/>
      <c r="AM16" s="3196"/>
      <c r="AN16" s="3505"/>
      <c r="AO16" s="3504" t="s">
        <v>111</v>
      </c>
      <c r="AP16" s="3196"/>
      <c r="AQ16" s="3196"/>
      <c r="AR16" s="3196"/>
      <c r="AS16" s="3505"/>
      <c r="AT16" s="3504" t="s">
        <v>111</v>
      </c>
      <c r="AU16" s="3196"/>
      <c r="AV16" s="3196"/>
      <c r="AW16" s="3196"/>
      <c r="AX16" s="3505"/>
      <c r="AY16" s="3504" t="s">
        <v>111</v>
      </c>
      <c r="AZ16" s="3196"/>
      <c r="BA16" s="3196"/>
      <c r="BB16" s="3196"/>
      <c r="BC16" s="3505"/>
      <c r="BD16" s="3504" t="s">
        <v>111</v>
      </c>
      <c r="BE16" s="3196"/>
      <c r="BF16" s="3196"/>
      <c r="BG16" s="3196"/>
      <c r="BH16" s="3505"/>
      <c r="BI16" s="3504" t="s">
        <v>111</v>
      </c>
      <c r="BJ16" s="3196"/>
      <c r="BK16" s="3196"/>
      <c r="BL16" s="3196"/>
      <c r="BM16" s="3505"/>
      <c r="BN16" s="3504" t="s">
        <v>111</v>
      </c>
      <c r="BO16" s="3196"/>
      <c r="BP16" s="3196"/>
      <c r="BQ16" s="3196"/>
      <c r="BR16" s="3505"/>
    </row>
    <row r="17" spans="1:112" ht="9.9499999999999993" customHeight="1" x14ac:dyDescent="0.25">
      <c r="A17" s="3506"/>
      <c r="B17" s="3197"/>
      <c r="C17" s="3197"/>
      <c r="D17" s="3197"/>
      <c r="E17" s="3507"/>
      <c r="F17" s="3506"/>
      <c r="G17" s="3197"/>
      <c r="H17" s="3197"/>
      <c r="I17" s="3197"/>
      <c r="J17" s="3507"/>
      <c r="K17" s="3506"/>
      <c r="L17" s="3197"/>
      <c r="M17" s="3197"/>
      <c r="N17" s="3197"/>
      <c r="O17" s="3507"/>
      <c r="P17" s="3506"/>
      <c r="Q17" s="3197"/>
      <c r="R17" s="3197"/>
      <c r="S17" s="3197"/>
      <c r="T17" s="3507"/>
      <c r="U17" s="3506"/>
      <c r="V17" s="3197"/>
      <c r="W17" s="3197"/>
      <c r="X17" s="3197"/>
      <c r="Y17" s="3507"/>
      <c r="Z17" s="3506"/>
      <c r="AA17" s="3197"/>
      <c r="AB17" s="3197"/>
      <c r="AC17" s="3197"/>
      <c r="AD17" s="3507"/>
      <c r="AE17" s="3506"/>
      <c r="AF17" s="3197"/>
      <c r="AG17" s="3197"/>
      <c r="AH17" s="3197"/>
      <c r="AI17" s="3507"/>
      <c r="AJ17" s="3506"/>
      <c r="AK17" s="3197"/>
      <c r="AL17" s="3197"/>
      <c r="AM17" s="3197"/>
      <c r="AN17" s="3507"/>
      <c r="AO17" s="3506"/>
      <c r="AP17" s="3197"/>
      <c r="AQ17" s="3197"/>
      <c r="AR17" s="3197"/>
      <c r="AS17" s="3507"/>
      <c r="AT17" s="3506"/>
      <c r="AU17" s="3197"/>
      <c r="AV17" s="3197"/>
      <c r="AW17" s="3197"/>
      <c r="AX17" s="3507"/>
      <c r="AY17" s="3506"/>
      <c r="AZ17" s="3197"/>
      <c r="BA17" s="3197"/>
      <c r="BB17" s="3197"/>
      <c r="BC17" s="3507"/>
      <c r="BD17" s="3506"/>
      <c r="BE17" s="3197"/>
      <c r="BF17" s="3197"/>
      <c r="BG17" s="3197"/>
      <c r="BH17" s="3507"/>
      <c r="BI17" s="3506"/>
      <c r="BJ17" s="3197"/>
      <c r="BK17" s="3197"/>
      <c r="BL17" s="3197"/>
      <c r="BM17" s="3507"/>
      <c r="BN17" s="3506"/>
      <c r="BO17" s="3197"/>
      <c r="BP17" s="3197"/>
      <c r="BQ17" s="3197"/>
      <c r="BR17" s="3507"/>
    </row>
    <row r="18" spans="1:112" s="22" customFormat="1" ht="84.95" customHeight="1" x14ac:dyDescent="1.35">
      <c r="A18" s="2642" t="s">
        <v>115</v>
      </c>
      <c r="B18" s="588">
        <v>89</v>
      </c>
      <c r="C18" s="589"/>
      <c r="D18" s="589"/>
      <c r="E18" s="590"/>
      <c r="F18" s="2642" t="s">
        <v>115</v>
      </c>
      <c r="G18" s="588">
        <v>90</v>
      </c>
      <c r="H18" s="589"/>
      <c r="I18" s="589"/>
      <c r="J18" s="590"/>
      <c r="K18" s="2642" t="s">
        <v>115</v>
      </c>
      <c r="L18" s="588">
        <v>91</v>
      </c>
      <c r="M18" s="589"/>
      <c r="N18" s="589"/>
      <c r="O18" s="590"/>
      <c r="P18" s="2642" t="s">
        <v>115</v>
      </c>
      <c r="Q18" s="588">
        <v>92</v>
      </c>
      <c r="R18" s="589"/>
      <c r="S18" s="589"/>
      <c r="T18" s="590"/>
      <c r="U18" s="2642" t="s">
        <v>115</v>
      </c>
      <c r="V18" s="588">
        <v>93</v>
      </c>
      <c r="W18" s="589"/>
      <c r="X18" s="589"/>
      <c r="Y18" s="590"/>
      <c r="Z18" s="2642" t="s">
        <v>115</v>
      </c>
      <c r="AA18" s="588">
        <v>94</v>
      </c>
      <c r="AB18" s="589"/>
      <c r="AC18" s="589"/>
      <c r="AD18" s="590"/>
      <c r="AE18" s="2642" t="s">
        <v>115</v>
      </c>
      <c r="AF18" s="588">
        <v>95</v>
      </c>
      <c r="AG18" s="589"/>
      <c r="AH18" s="589"/>
      <c r="AI18" s="590"/>
      <c r="AJ18" s="2642" t="s">
        <v>115</v>
      </c>
      <c r="AK18" s="588">
        <v>96</v>
      </c>
      <c r="AL18" s="589"/>
      <c r="AM18" s="589"/>
      <c r="AN18" s="590"/>
      <c r="AO18" s="2642" t="s">
        <v>115</v>
      </c>
      <c r="AP18" s="588">
        <v>97</v>
      </c>
      <c r="AQ18" s="589"/>
      <c r="AR18" s="589"/>
      <c r="AS18" s="590"/>
      <c r="AT18" s="2642" t="s">
        <v>115</v>
      </c>
      <c r="AU18" s="588">
        <v>98</v>
      </c>
      <c r="AV18" s="589"/>
      <c r="AW18" s="589"/>
      <c r="AX18" s="590"/>
      <c r="AY18" s="2642" t="s">
        <v>115</v>
      </c>
      <c r="AZ18" s="588">
        <v>99</v>
      </c>
      <c r="BA18" s="589"/>
      <c r="BB18" s="589"/>
      <c r="BC18" s="590"/>
      <c r="BD18" s="2642" t="s">
        <v>115</v>
      </c>
      <c r="BE18" s="1266">
        <v>100</v>
      </c>
      <c r="BF18" s="1267"/>
      <c r="BG18" s="1267"/>
      <c r="BH18" s="1268"/>
      <c r="BI18" s="2642" t="s">
        <v>115</v>
      </c>
      <c r="BJ18" s="1266">
        <v>101</v>
      </c>
      <c r="BK18" s="1267"/>
      <c r="BL18" s="1267"/>
      <c r="BM18" s="1268"/>
      <c r="BN18" s="2642" t="s">
        <v>115</v>
      </c>
      <c r="BO18" s="1266">
        <v>102</v>
      </c>
      <c r="BP18" s="1267"/>
      <c r="BQ18" s="1267"/>
      <c r="BR18" s="1268"/>
    </row>
    <row r="19" spans="1:112" ht="23.1" customHeight="1" thickBot="1" x14ac:dyDescent="0.3">
      <c r="A19" s="2643"/>
      <c r="B19" s="61">
        <v>0.99099999999999999</v>
      </c>
      <c r="C19" s="62" t="s">
        <v>113</v>
      </c>
      <c r="D19" s="63"/>
      <c r="E19" s="64" t="s">
        <v>114</v>
      </c>
      <c r="F19" s="2643"/>
      <c r="G19" s="61">
        <v>4.3680000000000003</v>
      </c>
      <c r="H19" s="62" t="s">
        <v>113</v>
      </c>
      <c r="I19" s="63">
        <v>1</v>
      </c>
      <c r="J19" s="64" t="s">
        <v>114</v>
      </c>
      <c r="K19" s="2643"/>
      <c r="L19" s="61">
        <v>0.30399999999999999</v>
      </c>
      <c r="M19" s="62" t="s">
        <v>113</v>
      </c>
      <c r="N19" s="63">
        <v>1</v>
      </c>
      <c r="O19" s="64" t="s">
        <v>114</v>
      </c>
      <c r="P19" s="2643"/>
      <c r="Q19" s="61">
        <v>0.66</v>
      </c>
      <c r="R19" s="62" t="s">
        <v>113</v>
      </c>
      <c r="S19" s="63"/>
      <c r="T19" s="64" t="s">
        <v>114</v>
      </c>
      <c r="U19" s="2643"/>
      <c r="V19" s="61">
        <v>0.22900000000000001</v>
      </c>
      <c r="W19" s="62" t="s">
        <v>113</v>
      </c>
      <c r="X19" s="63">
        <v>1</v>
      </c>
      <c r="Y19" s="64" t="s">
        <v>114</v>
      </c>
      <c r="Z19" s="2643"/>
      <c r="AA19" s="61">
        <v>1.651</v>
      </c>
      <c r="AB19" s="62" t="s">
        <v>113</v>
      </c>
      <c r="AC19" s="63"/>
      <c r="AD19" s="64" t="s">
        <v>114</v>
      </c>
      <c r="AE19" s="2643"/>
      <c r="AF19" s="61">
        <v>2.4889999999999999</v>
      </c>
      <c r="AG19" s="62" t="s">
        <v>113</v>
      </c>
      <c r="AH19" s="63">
        <v>1</v>
      </c>
      <c r="AI19" s="64" t="s">
        <v>114</v>
      </c>
      <c r="AJ19" s="2643"/>
      <c r="AK19" s="61">
        <v>0.30399999999999999</v>
      </c>
      <c r="AL19" s="62" t="s">
        <v>113</v>
      </c>
      <c r="AM19" s="63">
        <v>1</v>
      </c>
      <c r="AN19" s="64" t="s">
        <v>114</v>
      </c>
      <c r="AO19" s="2643"/>
      <c r="AP19" s="61">
        <v>1E-4</v>
      </c>
      <c r="AQ19" s="62" t="s">
        <v>113</v>
      </c>
      <c r="AR19" s="63"/>
      <c r="AS19" s="64" t="s">
        <v>114</v>
      </c>
      <c r="AT19" s="2643"/>
      <c r="AU19" s="61">
        <v>0.43099999999999999</v>
      </c>
      <c r="AV19" s="62" t="s">
        <v>113</v>
      </c>
      <c r="AW19" s="63">
        <v>1</v>
      </c>
      <c r="AX19" s="64" t="s">
        <v>114</v>
      </c>
      <c r="AY19" s="2643"/>
      <c r="AZ19" s="61">
        <v>0.20300000000000001</v>
      </c>
      <c r="BA19" s="62" t="s">
        <v>113</v>
      </c>
      <c r="BB19" s="63">
        <v>1</v>
      </c>
      <c r="BC19" s="64" t="s">
        <v>114</v>
      </c>
      <c r="BD19" s="2643"/>
      <c r="BE19" s="61">
        <v>6.8070000000000004</v>
      </c>
      <c r="BF19" s="62" t="s">
        <v>113</v>
      </c>
      <c r="BG19" s="63"/>
      <c r="BH19" s="64" t="s">
        <v>114</v>
      </c>
      <c r="BI19" s="2643"/>
      <c r="BJ19" s="61">
        <v>4.6479999999999997</v>
      </c>
      <c r="BK19" s="62" t="s">
        <v>113</v>
      </c>
      <c r="BL19" s="63">
        <v>1</v>
      </c>
      <c r="BM19" s="64" t="s">
        <v>114</v>
      </c>
      <c r="BN19" s="2643"/>
      <c r="BO19" s="61">
        <v>1E-3</v>
      </c>
      <c r="BP19" s="62" t="s">
        <v>113</v>
      </c>
      <c r="BQ19" s="63"/>
      <c r="BR19" s="64" t="s">
        <v>114</v>
      </c>
      <c r="BW19" s="27"/>
      <c r="BX19" s="27"/>
      <c r="BY19" s="27"/>
      <c r="BZ19" s="27"/>
      <c r="CA19" s="27"/>
      <c r="CB19" s="27"/>
      <c r="CC19" s="27"/>
      <c r="CD19" s="27"/>
      <c r="CE19" s="27"/>
    </row>
    <row r="20" spans="1:112" ht="18.600000000000001" customHeight="1" thickTop="1" x14ac:dyDescent="0.25">
      <c r="A20" s="3508" t="s">
        <v>110</v>
      </c>
      <c r="B20" s="3509"/>
      <c r="C20" s="3512">
        <f>B25/((36*3.1415/59)*(136/3.281))</f>
        <v>0.1451139207208163</v>
      </c>
      <c r="D20" s="3512"/>
      <c r="E20" s="3513"/>
      <c r="F20" s="3508" t="s">
        <v>110</v>
      </c>
      <c r="G20" s="3509"/>
      <c r="H20" s="3512">
        <f>G25/((36*3.1415/59)*(136/3.281))</f>
        <v>6.2966604108087076E-2</v>
      </c>
      <c r="I20" s="3512"/>
      <c r="J20" s="3513"/>
      <c r="K20" s="3508" t="s">
        <v>110</v>
      </c>
      <c r="L20" s="3509"/>
      <c r="M20" s="3512">
        <f>L25/((36*3.1415/59)*(136/3.281))</f>
        <v>0.1112456153730525</v>
      </c>
      <c r="N20" s="3512"/>
      <c r="O20" s="3513"/>
      <c r="P20" s="3508" t="s">
        <v>110</v>
      </c>
      <c r="Q20" s="3509"/>
      <c r="R20" s="3512">
        <f>Q25/((36*3.1415/59)*(136/3.281))</f>
        <v>4.2187498894724736E-2</v>
      </c>
      <c r="S20" s="3512"/>
      <c r="T20" s="3513"/>
      <c r="U20" s="3508" t="s">
        <v>110</v>
      </c>
      <c r="V20" s="3509"/>
      <c r="W20" s="3512">
        <f>V25/((36*3.1415/59)*(136/3.281))</f>
        <v>1.470017861248165E-2</v>
      </c>
      <c r="X20" s="3512"/>
      <c r="Y20" s="3513"/>
      <c r="Z20" s="3508" t="s">
        <v>110</v>
      </c>
      <c r="AA20" s="3509"/>
      <c r="AB20" s="3512">
        <f>AA25/((36*3.1415/59)*(136/3.281))</f>
        <v>1.2787141669761436E-2</v>
      </c>
      <c r="AC20" s="3512"/>
      <c r="AD20" s="3513"/>
      <c r="AE20" s="3508" t="s">
        <v>110</v>
      </c>
      <c r="AF20" s="3509"/>
      <c r="AG20" s="3512">
        <f>AF25/((36*3.1415/59)*(136/3.281))</f>
        <v>2.2050267918722478E-2</v>
      </c>
      <c r="AH20" s="3512"/>
      <c r="AI20" s="3513"/>
      <c r="AJ20" s="3508" t="s">
        <v>110</v>
      </c>
      <c r="AK20" s="3509"/>
      <c r="AL20" s="3512">
        <f>AK25/((36*3.1415/59)*(136/3.281))</f>
        <v>7.350089306240825E-3</v>
      </c>
      <c r="AM20" s="3512"/>
      <c r="AN20" s="3513"/>
      <c r="AO20" s="3508" t="s">
        <v>110</v>
      </c>
      <c r="AP20" s="3509"/>
      <c r="AQ20" s="3512">
        <f>AP25/((36*3.1415/59)*(136/3.281))</f>
        <v>6.8089012237607646E-2</v>
      </c>
      <c r="AR20" s="3512"/>
      <c r="AS20" s="3513"/>
      <c r="AT20" s="3508" t="s">
        <v>110</v>
      </c>
      <c r="AU20" s="3509"/>
      <c r="AV20" s="3512">
        <f>AU25/((36*3.1415/59)*(136/3.281))</f>
        <v>5.4244665941606089E-3</v>
      </c>
      <c r="AW20" s="3512"/>
      <c r="AX20" s="3513"/>
      <c r="AY20" s="3508" t="s">
        <v>110</v>
      </c>
      <c r="AZ20" s="3509"/>
      <c r="BA20" s="3512">
        <f>AZ25/((36*3.1415/59)*(136/3.281))</f>
        <v>1.5014822846481687E-2</v>
      </c>
      <c r="BB20" s="3512"/>
      <c r="BC20" s="3513"/>
      <c r="BD20" s="3508" t="s">
        <v>110</v>
      </c>
      <c r="BE20" s="3509"/>
      <c r="BF20" s="3512">
        <f>BE25/((36*3.1415/59)*(136/3.281))</f>
        <v>1.2585769360001414E-5</v>
      </c>
      <c r="BG20" s="3512"/>
      <c r="BH20" s="3513"/>
      <c r="BI20" s="3508" t="s">
        <v>110</v>
      </c>
      <c r="BJ20" s="3509"/>
      <c r="BK20" s="3512">
        <f>BJ25/((36*3.1415/59)*(136/3.281))</f>
        <v>2.5574283339522871E-2</v>
      </c>
      <c r="BL20" s="3512"/>
      <c r="BM20" s="3513"/>
      <c r="BN20" s="3508" t="s">
        <v>110</v>
      </c>
      <c r="BO20" s="3509"/>
      <c r="BP20" s="3512">
        <f>BO25/((36*3.1415/59)*(136/3.281))</f>
        <v>7.6647335402408607E-3</v>
      </c>
      <c r="BQ20" s="3512"/>
      <c r="BR20" s="3513"/>
    </row>
    <row r="21" spans="1:112" ht="18.600000000000001" customHeight="1" x14ac:dyDescent="0.25">
      <c r="A21" s="3510"/>
      <c r="B21" s="3511"/>
      <c r="C21" s="3514"/>
      <c r="D21" s="3514"/>
      <c r="E21" s="3515"/>
      <c r="F21" s="3510"/>
      <c r="G21" s="3511"/>
      <c r="H21" s="3514"/>
      <c r="I21" s="3514"/>
      <c r="J21" s="3515"/>
      <c r="K21" s="3510"/>
      <c r="L21" s="3511"/>
      <c r="M21" s="3514"/>
      <c r="N21" s="3514"/>
      <c r="O21" s="3515"/>
      <c r="P21" s="3510"/>
      <c r="Q21" s="3511"/>
      <c r="R21" s="3514"/>
      <c r="S21" s="3514"/>
      <c r="T21" s="3515"/>
      <c r="U21" s="3510"/>
      <c r="V21" s="3511"/>
      <c r="W21" s="3514"/>
      <c r="X21" s="3514"/>
      <c r="Y21" s="3515"/>
      <c r="Z21" s="3510"/>
      <c r="AA21" s="3511"/>
      <c r="AB21" s="3514"/>
      <c r="AC21" s="3514"/>
      <c r="AD21" s="3515"/>
      <c r="AE21" s="3510"/>
      <c r="AF21" s="3511"/>
      <c r="AG21" s="3514"/>
      <c r="AH21" s="3514"/>
      <c r="AI21" s="3515"/>
      <c r="AJ21" s="3510"/>
      <c r="AK21" s="3511"/>
      <c r="AL21" s="3514"/>
      <c r="AM21" s="3514"/>
      <c r="AN21" s="3515"/>
      <c r="AO21" s="3510"/>
      <c r="AP21" s="3511"/>
      <c r="AQ21" s="3514"/>
      <c r="AR21" s="3514"/>
      <c r="AS21" s="3515"/>
      <c r="AT21" s="3510"/>
      <c r="AU21" s="3511"/>
      <c r="AV21" s="3514"/>
      <c r="AW21" s="3514"/>
      <c r="AX21" s="3515"/>
      <c r="AY21" s="3510"/>
      <c r="AZ21" s="3511"/>
      <c r="BA21" s="3514"/>
      <c r="BB21" s="3514"/>
      <c r="BC21" s="3515"/>
      <c r="BD21" s="3510"/>
      <c r="BE21" s="3511"/>
      <c r="BF21" s="3514"/>
      <c r="BG21" s="3514"/>
      <c r="BH21" s="3515"/>
      <c r="BI21" s="3510"/>
      <c r="BJ21" s="3511"/>
      <c r="BK21" s="3514"/>
      <c r="BL21" s="3514"/>
      <c r="BM21" s="3515"/>
      <c r="BN21" s="3510"/>
      <c r="BO21" s="3511"/>
      <c r="BP21" s="3514"/>
      <c r="BQ21" s="3514"/>
      <c r="BR21" s="3515"/>
    </row>
    <row r="22" spans="1:112" ht="9.9499999999999993" customHeight="1" x14ac:dyDescent="0.25">
      <c r="A22" s="3504" t="s">
        <v>111</v>
      </c>
      <c r="B22" s="3196"/>
      <c r="C22" s="3196"/>
      <c r="D22" s="3196"/>
      <c r="E22" s="3505"/>
      <c r="F22" s="3504" t="s">
        <v>111</v>
      </c>
      <c r="G22" s="3196"/>
      <c r="H22" s="3196"/>
      <c r="I22" s="3196"/>
      <c r="J22" s="3505"/>
      <c r="K22" s="3504" t="s">
        <v>111</v>
      </c>
      <c r="L22" s="3196"/>
      <c r="M22" s="3196"/>
      <c r="N22" s="3196"/>
      <c r="O22" s="3505"/>
      <c r="P22" s="3504" t="s">
        <v>111</v>
      </c>
      <c r="Q22" s="3196"/>
      <c r="R22" s="3196"/>
      <c r="S22" s="3196"/>
      <c r="T22" s="3505"/>
      <c r="U22" s="3504" t="s">
        <v>111</v>
      </c>
      <c r="V22" s="3196"/>
      <c r="W22" s="3196"/>
      <c r="X22" s="3196"/>
      <c r="Y22" s="3505"/>
      <c r="Z22" s="3504" t="s">
        <v>111</v>
      </c>
      <c r="AA22" s="3196"/>
      <c r="AB22" s="3196"/>
      <c r="AC22" s="3196"/>
      <c r="AD22" s="3505"/>
      <c r="AE22" s="3504" t="s">
        <v>111</v>
      </c>
      <c r="AF22" s="3196"/>
      <c r="AG22" s="3196"/>
      <c r="AH22" s="3196"/>
      <c r="AI22" s="3505"/>
      <c r="AJ22" s="3504" t="s">
        <v>111</v>
      </c>
      <c r="AK22" s="3196"/>
      <c r="AL22" s="3196"/>
      <c r="AM22" s="3196"/>
      <c r="AN22" s="3505"/>
      <c r="AO22" s="3504" t="s">
        <v>111</v>
      </c>
      <c r="AP22" s="3196"/>
      <c r="AQ22" s="3196"/>
      <c r="AR22" s="3196"/>
      <c r="AS22" s="3505"/>
      <c r="AT22" s="3504" t="s">
        <v>111</v>
      </c>
      <c r="AU22" s="3196"/>
      <c r="AV22" s="3196"/>
      <c r="AW22" s="3196"/>
      <c r="AX22" s="3505"/>
      <c r="AY22" s="3504" t="s">
        <v>111</v>
      </c>
      <c r="AZ22" s="3196"/>
      <c r="BA22" s="3196"/>
      <c r="BB22" s="3196"/>
      <c r="BC22" s="3505"/>
      <c r="BD22" s="3504" t="s">
        <v>111</v>
      </c>
      <c r="BE22" s="3196"/>
      <c r="BF22" s="3196"/>
      <c r="BG22" s="3196"/>
      <c r="BH22" s="3505"/>
      <c r="BI22" s="3504" t="s">
        <v>111</v>
      </c>
      <c r="BJ22" s="3196"/>
      <c r="BK22" s="3196"/>
      <c r="BL22" s="3196"/>
      <c r="BM22" s="3505"/>
      <c r="BN22" s="3504" t="s">
        <v>111</v>
      </c>
      <c r="BO22" s="3196"/>
      <c r="BP22" s="3196"/>
      <c r="BQ22" s="3196"/>
      <c r="BR22" s="3505"/>
    </row>
    <row r="23" spans="1:112" ht="9.9499999999999993" customHeight="1" x14ac:dyDescent="0.25">
      <c r="A23" s="3506"/>
      <c r="B23" s="3197"/>
      <c r="C23" s="3197"/>
      <c r="D23" s="3197"/>
      <c r="E23" s="3507"/>
      <c r="F23" s="3506"/>
      <c r="G23" s="3197"/>
      <c r="H23" s="3197"/>
      <c r="I23" s="3197"/>
      <c r="J23" s="3507"/>
      <c r="K23" s="3506"/>
      <c r="L23" s="3197"/>
      <c r="M23" s="3197"/>
      <c r="N23" s="3197"/>
      <c r="O23" s="3507"/>
      <c r="P23" s="3506"/>
      <c r="Q23" s="3197"/>
      <c r="R23" s="3197"/>
      <c r="S23" s="3197"/>
      <c r="T23" s="3507"/>
      <c r="U23" s="3506"/>
      <c r="V23" s="3197"/>
      <c r="W23" s="3197"/>
      <c r="X23" s="3197"/>
      <c r="Y23" s="3507"/>
      <c r="Z23" s="3506"/>
      <c r="AA23" s="3197"/>
      <c r="AB23" s="3197"/>
      <c r="AC23" s="3197"/>
      <c r="AD23" s="3507"/>
      <c r="AE23" s="3506"/>
      <c r="AF23" s="3197"/>
      <c r="AG23" s="3197"/>
      <c r="AH23" s="3197"/>
      <c r="AI23" s="3507"/>
      <c r="AJ23" s="3506"/>
      <c r="AK23" s="3197"/>
      <c r="AL23" s="3197"/>
      <c r="AM23" s="3197"/>
      <c r="AN23" s="3507"/>
      <c r="AO23" s="3506"/>
      <c r="AP23" s="3197"/>
      <c r="AQ23" s="3197"/>
      <c r="AR23" s="3197"/>
      <c r="AS23" s="3507"/>
      <c r="AT23" s="3506"/>
      <c r="AU23" s="3197"/>
      <c r="AV23" s="3197"/>
      <c r="AW23" s="3197"/>
      <c r="AX23" s="3507"/>
      <c r="AY23" s="3506"/>
      <c r="AZ23" s="3197"/>
      <c r="BA23" s="3197"/>
      <c r="BB23" s="3197"/>
      <c r="BC23" s="3507"/>
      <c r="BD23" s="3506"/>
      <c r="BE23" s="3197"/>
      <c r="BF23" s="3197"/>
      <c r="BG23" s="3197"/>
      <c r="BH23" s="3507"/>
      <c r="BI23" s="3506"/>
      <c r="BJ23" s="3197"/>
      <c r="BK23" s="3197"/>
      <c r="BL23" s="3197"/>
      <c r="BM23" s="3507"/>
      <c r="BN23" s="3506"/>
      <c r="BO23" s="3197"/>
      <c r="BP23" s="3197"/>
      <c r="BQ23" s="3197"/>
      <c r="BR23" s="3507"/>
    </row>
    <row r="24" spans="1:112" s="22" customFormat="1" ht="84.95" customHeight="1" x14ac:dyDescent="1.35">
      <c r="A24" s="2642" t="s">
        <v>115</v>
      </c>
      <c r="B24" s="1266">
        <v>103</v>
      </c>
      <c r="C24" s="1267"/>
      <c r="D24" s="1267"/>
      <c r="E24" s="1268"/>
      <c r="F24" s="2642" t="s">
        <v>115</v>
      </c>
      <c r="G24" s="1266">
        <v>104</v>
      </c>
      <c r="H24" s="1267"/>
      <c r="I24" s="1267"/>
      <c r="J24" s="1268"/>
      <c r="K24" s="2642" t="s">
        <v>115</v>
      </c>
      <c r="L24" s="1266">
        <v>105</v>
      </c>
      <c r="M24" s="1267"/>
      <c r="N24" s="1267"/>
      <c r="O24" s="1268"/>
      <c r="P24" s="2642" t="s">
        <v>115</v>
      </c>
      <c r="Q24" s="1266">
        <v>106</v>
      </c>
      <c r="R24" s="1267"/>
      <c r="S24" s="1267"/>
      <c r="T24" s="1268"/>
      <c r="U24" s="2642" t="s">
        <v>115</v>
      </c>
      <c r="V24" s="1266">
        <v>107</v>
      </c>
      <c r="W24" s="1267"/>
      <c r="X24" s="1267"/>
      <c r="Y24" s="1268"/>
      <c r="Z24" s="2642" t="s">
        <v>115</v>
      </c>
      <c r="AA24" s="1266">
        <v>108</v>
      </c>
      <c r="AB24" s="1267"/>
      <c r="AC24" s="1267"/>
      <c r="AD24" s="1268"/>
      <c r="AE24" s="2642" t="s">
        <v>115</v>
      </c>
      <c r="AF24" s="1266">
        <v>109</v>
      </c>
      <c r="AG24" s="1267"/>
      <c r="AH24" s="1267"/>
      <c r="AI24" s="1268"/>
      <c r="AJ24" s="2642" t="s">
        <v>115</v>
      </c>
      <c r="AK24" s="1266">
        <v>110</v>
      </c>
      <c r="AL24" s="1267"/>
      <c r="AM24" s="1267"/>
      <c r="AN24" s="1268"/>
      <c r="AO24" s="2642" t="s">
        <v>115</v>
      </c>
      <c r="AP24" s="1266">
        <v>111</v>
      </c>
      <c r="AQ24" s="1267"/>
      <c r="AR24" s="1267"/>
      <c r="AS24" s="1268"/>
      <c r="AT24" s="2642" t="s">
        <v>115</v>
      </c>
      <c r="AU24" s="1266">
        <v>112</v>
      </c>
      <c r="AV24" s="1267"/>
      <c r="AW24" s="1267"/>
      <c r="AX24" s="1268"/>
      <c r="AY24" s="2642" t="s">
        <v>115</v>
      </c>
      <c r="AZ24" s="1266">
        <v>113</v>
      </c>
      <c r="BA24" s="1267"/>
      <c r="BB24" s="1267"/>
      <c r="BC24" s="1268"/>
      <c r="BD24" s="2642" t="s">
        <v>115</v>
      </c>
      <c r="BE24" s="1266">
        <v>114</v>
      </c>
      <c r="BF24" s="1267"/>
      <c r="BG24" s="1267"/>
      <c r="BH24" s="1268"/>
      <c r="BI24" s="2642" t="s">
        <v>115</v>
      </c>
      <c r="BJ24" s="1266">
        <v>115</v>
      </c>
      <c r="BK24" s="1267"/>
      <c r="BL24" s="1267"/>
      <c r="BM24" s="1268"/>
      <c r="BN24" s="2642" t="s">
        <v>115</v>
      </c>
      <c r="BO24" s="1266">
        <v>116</v>
      </c>
      <c r="BP24" s="1267"/>
      <c r="BQ24" s="1267"/>
      <c r="BR24" s="1268"/>
    </row>
    <row r="25" spans="1:112" ht="23.1" customHeight="1" thickBot="1" x14ac:dyDescent="0.3">
      <c r="A25" s="2643"/>
      <c r="B25" s="61">
        <v>11.53</v>
      </c>
      <c r="C25" s="62" t="s">
        <v>113</v>
      </c>
      <c r="D25" s="63"/>
      <c r="E25" s="64" t="s">
        <v>114</v>
      </c>
      <c r="F25" s="2643"/>
      <c r="G25" s="61">
        <v>5.0030000000000001</v>
      </c>
      <c r="H25" s="62" t="s">
        <v>113</v>
      </c>
      <c r="I25" s="63">
        <v>1</v>
      </c>
      <c r="J25" s="64" t="s">
        <v>114</v>
      </c>
      <c r="K25" s="2643"/>
      <c r="L25" s="61">
        <v>8.8390000000000004</v>
      </c>
      <c r="M25" s="62" t="s">
        <v>113</v>
      </c>
      <c r="N25" s="63">
        <v>1</v>
      </c>
      <c r="O25" s="64" t="s">
        <v>114</v>
      </c>
      <c r="P25" s="2643"/>
      <c r="Q25" s="61">
        <v>3.3519999999999999</v>
      </c>
      <c r="R25" s="62" t="s">
        <v>113</v>
      </c>
      <c r="S25" s="63"/>
      <c r="T25" s="64" t="s">
        <v>114</v>
      </c>
      <c r="U25" s="2643"/>
      <c r="V25" s="61">
        <v>1.1679999999999999</v>
      </c>
      <c r="W25" s="62" t="s">
        <v>113</v>
      </c>
      <c r="X25" s="63">
        <v>1</v>
      </c>
      <c r="Y25" s="64" t="s">
        <v>114</v>
      </c>
      <c r="Z25" s="2643"/>
      <c r="AA25" s="61">
        <v>1.016</v>
      </c>
      <c r="AB25" s="62" t="s">
        <v>113</v>
      </c>
      <c r="AC25" s="63"/>
      <c r="AD25" s="64" t="s">
        <v>114</v>
      </c>
      <c r="AE25" s="2643"/>
      <c r="AF25" s="61">
        <v>1.752</v>
      </c>
      <c r="AG25" s="62" t="s">
        <v>113</v>
      </c>
      <c r="AH25" s="63"/>
      <c r="AI25" s="64" t="s">
        <v>114</v>
      </c>
      <c r="AJ25" s="2643"/>
      <c r="AK25" s="61">
        <v>0.58399999999999996</v>
      </c>
      <c r="AL25" s="62" t="s">
        <v>113</v>
      </c>
      <c r="AM25" s="63">
        <v>1</v>
      </c>
      <c r="AN25" s="64" t="s">
        <v>114</v>
      </c>
      <c r="AO25" s="2643"/>
      <c r="AP25" s="61">
        <v>5.41</v>
      </c>
      <c r="AQ25" s="62" t="s">
        <v>113</v>
      </c>
      <c r="AR25" s="63">
        <v>1</v>
      </c>
      <c r="AS25" s="64" t="s">
        <v>114</v>
      </c>
      <c r="AT25" s="2643"/>
      <c r="AU25" s="61">
        <v>0.43099999999999999</v>
      </c>
      <c r="AV25" s="62" t="s">
        <v>113</v>
      </c>
      <c r="AW25" s="63"/>
      <c r="AX25" s="64" t="s">
        <v>114</v>
      </c>
      <c r="AY25" s="2643"/>
      <c r="AZ25" s="61">
        <v>1.1930000000000001</v>
      </c>
      <c r="BA25" s="62" t="s">
        <v>113</v>
      </c>
      <c r="BB25" s="63">
        <v>1</v>
      </c>
      <c r="BC25" s="64" t="s">
        <v>114</v>
      </c>
      <c r="BD25" s="2643"/>
      <c r="BE25" s="61">
        <v>1E-3</v>
      </c>
      <c r="BF25" s="62" t="s">
        <v>113</v>
      </c>
      <c r="BG25" s="63">
        <v>1</v>
      </c>
      <c r="BH25" s="64" t="s">
        <v>114</v>
      </c>
      <c r="BI25" s="2643"/>
      <c r="BJ25" s="61">
        <v>2.032</v>
      </c>
      <c r="BK25" s="62" t="s">
        <v>113</v>
      </c>
      <c r="BL25" s="63"/>
      <c r="BM25" s="64" t="s">
        <v>114</v>
      </c>
      <c r="BN25" s="2643"/>
      <c r="BO25" s="61">
        <v>0.60899999999999999</v>
      </c>
      <c r="BP25" s="62" t="s">
        <v>113</v>
      </c>
      <c r="BQ25" s="63">
        <v>1</v>
      </c>
      <c r="BR25" s="64" t="s">
        <v>114</v>
      </c>
      <c r="BW25" s="27"/>
    </row>
    <row r="26" spans="1:112" ht="18.600000000000001" customHeight="1" thickTop="1" x14ac:dyDescent="0.25">
      <c r="A26" s="3508" t="s">
        <v>110</v>
      </c>
      <c r="B26" s="3509"/>
      <c r="C26" s="3512">
        <f>B31/((36*3.1415/59)*(136/3.281))</f>
        <v>7.6647335402408607E-3</v>
      </c>
      <c r="D26" s="3512"/>
      <c r="E26" s="3513"/>
      <c r="F26" s="3508" t="s">
        <v>110</v>
      </c>
      <c r="G26" s="3509"/>
      <c r="H26" s="3512">
        <f>G31/((36*3.1415/59)*(136/3.281))</f>
        <v>1.2585769360001413E-6</v>
      </c>
      <c r="I26" s="3512"/>
      <c r="J26" s="3513"/>
      <c r="K26" s="3508" t="s">
        <v>110</v>
      </c>
      <c r="L26" s="3509"/>
      <c r="M26" s="3512">
        <f>L31/((36*3.1415/59)*(136/3.281))</f>
        <v>6.9360174942967798E-2</v>
      </c>
      <c r="N26" s="3512"/>
      <c r="O26" s="3513"/>
      <c r="P26" s="3508" t="s">
        <v>110</v>
      </c>
      <c r="Q26" s="3509"/>
      <c r="R26" s="3512">
        <f>Q31/((36*3.1415/59)*(136/3.281))</f>
        <v>1.2585769360001414E-5</v>
      </c>
      <c r="S26" s="3512"/>
      <c r="T26" s="3513"/>
      <c r="U26" s="3508" t="s">
        <v>110</v>
      </c>
      <c r="V26" s="3509"/>
      <c r="W26" s="3512">
        <f>V31/((36*3.1415/59)*(136/3.281))</f>
        <v>8.9484820149610053E-3</v>
      </c>
      <c r="X26" s="3512"/>
      <c r="Y26" s="3513"/>
      <c r="Z26" s="3508" t="s">
        <v>110</v>
      </c>
      <c r="AA26" s="3509"/>
      <c r="AB26" s="3512">
        <f>AA31/((36*3.1415/59)*(136/3.281))</f>
        <v>5.5301870567846211E-2</v>
      </c>
      <c r="AC26" s="3512"/>
      <c r="AD26" s="3513"/>
      <c r="AE26" s="3508" t="s">
        <v>110</v>
      </c>
      <c r="AF26" s="3509"/>
      <c r="AG26" s="3512">
        <f>AF31/((36*3.1415/59)*(136/3.281))</f>
        <v>0.12882793516897448</v>
      </c>
      <c r="AH26" s="3512"/>
      <c r="AI26" s="3513"/>
      <c r="AJ26" s="3508" t="s">
        <v>110</v>
      </c>
      <c r="AK26" s="3509"/>
      <c r="AL26" s="3512">
        <f>AK31/((36*3.1415/59)*(136/3.281))</f>
        <v>1.2585769360001413E-6</v>
      </c>
      <c r="AM26" s="3512"/>
      <c r="AN26" s="3513"/>
      <c r="AO26" s="3508" t="s">
        <v>110</v>
      </c>
      <c r="AP26" s="3509"/>
      <c r="AQ26" s="3512">
        <f>AP31/((36*3.1415/59)*(136/3.281))</f>
        <v>1.2585769360001413E-6</v>
      </c>
      <c r="AR26" s="3512"/>
      <c r="AS26" s="3513"/>
      <c r="AT26" s="3508" t="s">
        <v>110</v>
      </c>
      <c r="AU26" s="3509"/>
      <c r="AV26" s="3512">
        <f>AU31/((36*3.1415/59)*(136/3.281))</f>
        <v>9.5903562523210768E-3</v>
      </c>
      <c r="AW26" s="3512"/>
      <c r="AX26" s="3513"/>
      <c r="AY26" s="3508" t="s">
        <v>110</v>
      </c>
      <c r="AZ26" s="3509"/>
      <c r="BA26" s="3512">
        <f>AZ31/((36*3.1415/59)*(136/3.281))</f>
        <v>4.2829373132084812E-2</v>
      </c>
      <c r="BB26" s="3512"/>
      <c r="BC26" s="3513"/>
      <c r="BD26" s="3508" t="s">
        <v>110</v>
      </c>
      <c r="BE26" s="3509"/>
      <c r="BF26" s="3512">
        <f>BE31/((36*3.1415/59)*(136/3.281))</f>
        <v>4.4679481228005018E-3</v>
      </c>
      <c r="BG26" s="3512"/>
      <c r="BH26" s="3513"/>
      <c r="BI26" s="3508" t="s">
        <v>110</v>
      </c>
      <c r="BJ26" s="3509"/>
      <c r="BK26" s="3512">
        <f>BJ31/((36*3.1415/59)*(136/3.281))</f>
        <v>1.2585769360001413E-6</v>
      </c>
      <c r="BL26" s="3512"/>
      <c r="BM26" s="3513"/>
      <c r="BN26" s="3508" t="s">
        <v>110</v>
      </c>
      <c r="BO26" s="3509"/>
      <c r="BP26" s="3512">
        <f>BO31/((36*3.1415/59)*(136/3.281))</f>
        <v>1.2585769360001413E-6</v>
      </c>
      <c r="BQ26" s="3512"/>
      <c r="BR26" s="3513"/>
    </row>
    <row r="27" spans="1:112" ht="18.600000000000001" customHeight="1" x14ac:dyDescent="0.25">
      <c r="A27" s="3510"/>
      <c r="B27" s="3511"/>
      <c r="C27" s="3514"/>
      <c r="D27" s="3514"/>
      <c r="E27" s="3515"/>
      <c r="F27" s="3510"/>
      <c r="G27" s="3511"/>
      <c r="H27" s="3514"/>
      <c r="I27" s="3514"/>
      <c r="J27" s="3515"/>
      <c r="K27" s="3510"/>
      <c r="L27" s="3511"/>
      <c r="M27" s="3514"/>
      <c r="N27" s="3514"/>
      <c r="O27" s="3515"/>
      <c r="P27" s="3510"/>
      <c r="Q27" s="3511"/>
      <c r="R27" s="3514"/>
      <c r="S27" s="3514"/>
      <c r="T27" s="3515"/>
      <c r="U27" s="3510"/>
      <c r="V27" s="3511"/>
      <c r="W27" s="3514"/>
      <c r="X27" s="3514"/>
      <c r="Y27" s="3515"/>
      <c r="Z27" s="3510"/>
      <c r="AA27" s="3511"/>
      <c r="AB27" s="3514"/>
      <c r="AC27" s="3514"/>
      <c r="AD27" s="3515"/>
      <c r="AE27" s="3510"/>
      <c r="AF27" s="3511"/>
      <c r="AG27" s="3514"/>
      <c r="AH27" s="3514"/>
      <c r="AI27" s="3515"/>
      <c r="AJ27" s="3510"/>
      <c r="AK27" s="3511"/>
      <c r="AL27" s="3514"/>
      <c r="AM27" s="3514"/>
      <c r="AN27" s="3515"/>
      <c r="AO27" s="3510"/>
      <c r="AP27" s="3511"/>
      <c r="AQ27" s="3514"/>
      <c r="AR27" s="3514"/>
      <c r="AS27" s="3515"/>
      <c r="AT27" s="3510"/>
      <c r="AU27" s="3511"/>
      <c r="AV27" s="3514"/>
      <c r="AW27" s="3514"/>
      <c r="AX27" s="3515"/>
      <c r="AY27" s="3510"/>
      <c r="AZ27" s="3511"/>
      <c r="BA27" s="3514"/>
      <c r="BB27" s="3514"/>
      <c r="BC27" s="3515"/>
      <c r="BD27" s="3510"/>
      <c r="BE27" s="3511"/>
      <c r="BF27" s="3514"/>
      <c r="BG27" s="3514"/>
      <c r="BH27" s="3515"/>
      <c r="BI27" s="3510"/>
      <c r="BJ27" s="3511"/>
      <c r="BK27" s="3514"/>
      <c r="BL27" s="3514"/>
      <c r="BM27" s="3515"/>
      <c r="BN27" s="3510"/>
      <c r="BO27" s="3511"/>
      <c r="BP27" s="3514"/>
      <c r="BQ27" s="3514"/>
      <c r="BR27" s="3515"/>
      <c r="DG27" s="13"/>
      <c r="DH27" s="13"/>
    </row>
    <row r="28" spans="1:112" ht="9.9499999999999993" customHeight="1" x14ac:dyDescent="0.25">
      <c r="A28" s="3504" t="s">
        <v>111</v>
      </c>
      <c r="B28" s="3196"/>
      <c r="C28" s="3196"/>
      <c r="D28" s="3196"/>
      <c r="E28" s="3505"/>
      <c r="F28" s="3504" t="s">
        <v>111</v>
      </c>
      <c r="G28" s="3196"/>
      <c r="H28" s="3196"/>
      <c r="I28" s="3196"/>
      <c r="J28" s="3505"/>
      <c r="K28" s="3504" t="s">
        <v>111</v>
      </c>
      <c r="L28" s="3196"/>
      <c r="M28" s="3196"/>
      <c r="N28" s="3196"/>
      <c r="O28" s="3505"/>
      <c r="P28" s="3504" t="s">
        <v>111</v>
      </c>
      <c r="Q28" s="3196"/>
      <c r="R28" s="3196"/>
      <c r="S28" s="3196"/>
      <c r="T28" s="3505"/>
      <c r="U28" s="3504" t="s">
        <v>111</v>
      </c>
      <c r="V28" s="3196"/>
      <c r="W28" s="3196"/>
      <c r="X28" s="3196"/>
      <c r="Y28" s="3505"/>
      <c r="Z28" s="3504" t="s">
        <v>111</v>
      </c>
      <c r="AA28" s="3196"/>
      <c r="AB28" s="3196"/>
      <c r="AC28" s="3196"/>
      <c r="AD28" s="3505"/>
      <c r="AE28" s="3504" t="s">
        <v>111</v>
      </c>
      <c r="AF28" s="3196"/>
      <c r="AG28" s="3196"/>
      <c r="AH28" s="3196"/>
      <c r="AI28" s="3505"/>
      <c r="AJ28" s="3504" t="s">
        <v>111</v>
      </c>
      <c r="AK28" s="3196"/>
      <c r="AL28" s="3196"/>
      <c r="AM28" s="3196"/>
      <c r="AN28" s="3505"/>
      <c r="AO28" s="3504" t="s">
        <v>111</v>
      </c>
      <c r="AP28" s="3196"/>
      <c r="AQ28" s="3196"/>
      <c r="AR28" s="3196"/>
      <c r="AS28" s="3505"/>
      <c r="AT28" s="3504" t="s">
        <v>111</v>
      </c>
      <c r="AU28" s="3196"/>
      <c r="AV28" s="3196"/>
      <c r="AW28" s="3196"/>
      <c r="AX28" s="3505"/>
      <c r="AY28" s="3504" t="s">
        <v>111</v>
      </c>
      <c r="AZ28" s="3196"/>
      <c r="BA28" s="3196"/>
      <c r="BB28" s="3196"/>
      <c r="BC28" s="3505"/>
      <c r="BD28" s="3504" t="s">
        <v>111</v>
      </c>
      <c r="BE28" s="3196"/>
      <c r="BF28" s="3196"/>
      <c r="BG28" s="3196"/>
      <c r="BH28" s="3505"/>
      <c r="BI28" s="3504" t="s">
        <v>111</v>
      </c>
      <c r="BJ28" s="3196"/>
      <c r="BK28" s="3196"/>
      <c r="BL28" s="3196"/>
      <c r="BM28" s="3505"/>
      <c r="BN28" s="3504" t="s">
        <v>111</v>
      </c>
      <c r="BO28" s="3196"/>
      <c r="BP28" s="3196"/>
      <c r="BQ28" s="3196"/>
      <c r="BR28" s="3505"/>
      <c r="DG28" s="13"/>
      <c r="DH28" s="13"/>
    </row>
    <row r="29" spans="1:112" ht="9.9499999999999993" customHeight="1" x14ac:dyDescent="0.25">
      <c r="A29" s="3506"/>
      <c r="B29" s="3197"/>
      <c r="C29" s="3197"/>
      <c r="D29" s="3197"/>
      <c r="E29" s="3507"/>
      <c r="F29" s="3506"/>
      <c r="G29" s="3197"/>
      <c r="H29" s="3197"/>
      <c r="I29" s="3197"/>
      <c r="J29" s="3507"/>
      <c r="K29" s="3506"/>
      <c r="L29" s="3197"/>
      <c r="M29" s="3197"/>
      <c r="N29" s="3197"/>
      <c r="O29" s="3507"/>
      <c r="P29" s="3506"/>
      <c r="Q29" s="3197"/>
      <c r="R29" s="3197"/>
      <c r="S29" s="3197"/>
      <c r="T29" s="3507"/>
      <c r="U29" s="3506"/>
      <c r="V29" s="3197"/>
      <c r="W29" s="3197"/>
      <c r="X29" s="3197"/>
      <c r="Y29" s="3507"/>
      <c r="Z29" s="3506"/>
      <c r="AA29" s="3197"/>
      <c r="AB29" s="3197"/>
      <c r="AC29" s="3197"/>
      <c r="AD29" s="3507"/>
      <c r="AE29" s="3506"/>
      <c r="AF29" s="3197"/>
      <c r="AG29" s="3197"/>
      <c r="AH29" s="3197"/>
      <c r="AI29" s="3507"/>
      <c r="AJ29" s="3506"/>
      <c r="AK29" s="3197"/>
      <c r="AL29" s="3197"/>
      <c r="AM29" s="3197"/>
      <c r="AN29" s="3507"/>
      <c r="AO29" s="3506"/>
      <c r="AP29" s="3197"/>
      <c r="AQ29" s="3197"/>
      <c r="AR29" s="3197"/>
      <c r="AS29" s="3507"/>
      <c r="AT29" s="3506"/>
      <c r="AU29" s="3197"/>
      <c r="AV29" s="3197"/>
      <c r="AW29" s="3197"/>
      <c r="AX29" s="3507"/>
      <c r="AY29" s="3506"/>
      <c r="AZ29" s="3197"/>
      <c r="BA29" s="3197"/>
      <c r="BB29" s="3197"/>
      <c r="BC29" s="3507"/>
      <c r="BD29" s="3506"/>
      <c r="BE29" s="3197"/>
      <c r="BF29" s="3197"/>
      <c r="BG29" s="3197"/>
      <c r="BH29" s="3507"/>
      <c r="BI29" s="3506"/>
      <c r="BJ29" s="3197"/>
      <c r="BK29" s="3197"/>
      <c r="BL29" s="3197"/>
      <c r="BM29" s="3507"/>
      <c r="BN29" s="3506"/>
      <c r="BO29" s="3197"/>
      <c r="BP29" s="3197"/>
      <c r="BQ29" s="3197"/>
      <c r="BR29" s="3507"/>
      <c r="DG29" s="13"/>
      <c r="DH29" s="13"/>
    </row>
    <row r="30" spans="1:112" s="22" customFormat="1" ht="85.5" customHeight="1" x14ac:dyDescent="1.35">
      <c r="A30" s="2642" t="s">
        <v>115</v>
      </c>
      <c r="B30" s="1266">
        <v>117</v>
      </c>
      <c r="C30" s="1267"/>
      <c r="D30" s="1267"/>
      <c r="E30" s="1268"/>
      <c r="F30" s="2642" t="s">
        <v>115</v>
      </c>
      <c r="G30" s="1266">
        <v>118</v>
      </c>
      <c r="H30" s="1267"/>
      <c r="I30" s="1267"/>
      <c r="J30" s="1268"/>
      <c r="K30" s="2642" t="s">
        <v>115</v>
      </c>
      <c r="L30" s="1266">
        <v>119</v>
      </c>
      <c r="M30" s="1267"/>
      <c r="N30" s="1267"/>
      <c r="O30" s="1268"/>
      <c r="P30" s="2642" t="s">
        <v>115</v>
      </c>
      <c r="Q30" s="1266">
        <v>120</v>
      </c>
      <c r="R30" s="1267"/>
      <c r="S30" s="1267"/>
      <c r="T30" s="1268"/>
      <c r="U30" s="2642" t="s">
        <v>115</v>
      </c>
      <c r="V30" s="1266">
        <v>121</v>
      </c>
      <c r="W30" s="1267"/>
      <c r="X30" s="1267"/>
      <c r="Y30" s="1268"/>
      <c r="Z30" s="2642" t="s">
        <v>115</v>
      </c>
      <c r="AA30" s="1266">
        <v>122</v>
      </c>
      <c r="AB30" s="1267"/>
      <c r="AC30" s="1267"/>
      <c r="AD30" s="1268"/>
      <c r="AE30" s="2642" t="s">
        <v>115</v>
      </c>
      <c r="AF30" s="1266">
        <v>123</v>
      </c>
      <c r="AG30" s="1267"/>
      <c r="AH30" s="1267"/>
      <c r="AI30" s="1268"/>
      <c r="AJ30" s="2642" t="s">
        <v>115</v>
      </c>
      <c r="AK30" s="1266">
        <v>124</v>
      </c>
      <c r="AL30" s="1267"/>
      <c r="AM30" s="1267"/>
      <c r="AN30" s="1268"/>
      <c r="AO30" s="2642" t="s">
        <v>115</v>
      </c>
      <c r="AP30" s="1266">
        <v>125</v>
      </c>
      <c r="AQ30" s="1267"/>
      <c r="AR30" s="1267"/>
      <c r="AS30" s="1268"/>
      <c r="AT30" s="2642" t="s">
        <v>115</v>
      </c>
      <c r="AU30" s="1266">
        <v>126</v>
      </c>
      <c r="AV30" s="1267"/>
      <c r="AW30" s="1267"/>
      <c r="AX30" s="1268"/>
      <c r="AY30" s="2642" t="s">
        <v>115</v>
      </c>
      <c r="AZ30" s="1266">
        <v>127</v>
      </c>
      <c r="BA30" s="1267"/>
      <c r="BB30" s="1267"/>
      <c r="BC30" s="1268"/>
      <c r="BD30" s="2642" t="s">
        <v>115</v>
      </c>
      <c r="BE30" s="1266">
        <v>128</v>
      </c>
      <c r="BF30" s="1267"/>
      <c r="BG30" s="1267"/>
      <c r="BH30" s="1268"/>
      <c r="BI30" s="2642" t="s">
        <v>115</v>
      </c>
      <c r="BJ30" s="1266">
        <v>129</v>
      </c>
      <c r="BK30" s="1267"/>
      <c r="BL30" s="1267"/>
      <c r="BM30" s="1268"/>
      <c r="BN30" s="2642" t="s">
        <v>115</v>
      </c>
      <c r="BO30" s="1266">
        <v>130</v>
      </c>
      <c r="BP30" s="1267"/>
      <c r="BQ30" s="1267"/>
      <c r="BR30" s="1268"/>
      <c r="DG30" s="13"/>
      <c r="DH30" s="13"/>
    </row>
    <row r="31" spans="1:112" ht="33" customHeight="1" thickBot="1" x14ac:dyDescent="0.3">
      <c r="A31" s="2643"/>
      <c r="B31" s="61">
        <v>0.60899999999999999</v>
      </c>
      <c r="C31" s="62" t="s">
        <v>113</v>
      </c>
      <c r="D31" s="63">
        <v>1</v>
      </c>
      <c r="E31" s="64" t="s">
        <v>114</v>
      </c>
      <c r="F31" s="2643"/>
      <c r="G31" s="61">
        <v>1E-4</v>
      </c>
      <c r="H31" s="62" t="s">
        <v>113</v>
      </c>
      <c r="I31" s="63"/>
      <c r="J31" s="64" t="s">
        <v>114</v>
      </c>
      <c r="K31" s="2643"/>
      <c r="L31" s="61">
        <v>5.5110000000000001</v>
      </c>
      <c r="M31" s="62" t="s">
        <v>113</v>
      </c>
      <c r="N31" s="63">
        <v>1</v>
      </c>
      <c r="O31" s="64" t="s">
        <v>114</v>
      </c>
      <c r="P31" s="2643"/>
      <c r="Q31" s="61">
        <v>1E-3</v>
      </c>
      <c r="R31" s="62" t="s">
        <v>113</v>
      </c>
      <c r="S31" s="63">
        <v>1</v>
      </c>
      <c r="T31" s="64" t="s">
        <v>114</v>
      </c>
      <c r="U31" s="2643"/>
      <c r="V31" s="61">
        <v>0.71099999999999997</v>
      </c>
      <c r="W31" s="62" t="s">
        <v>113</v>
      </c>
      <c r="X31" s="63"/>
      <c r="Y31" s="64" t="s">
        <v>114</v>
      </c>
      <c r="Z31" s="2643"/>
      <c r="AA31" s="61">
        <v>4.3940000000000001</v>
      </c>
      <c r="AB31" s="62" t="s">
        <v>113</v>
      </c>
      <c r="AC31" s="63">
        <v>1</v>
      </c>
      <c r="AD31" s="64" t="s">
        <v>114</v>
      </c>
      <c r="AE31" s="2643"/>
      <c r="AF31" s="61">
        <v>10.236000000000001</v>
      </c>
      <c r="AG31" s="62" t="s">
        <v>113</v>
      </c>
      <c r="AH31" s="63">
        <v>1</v>
      </c>
      <c r="AI31" s="64" t="s">
        <v>114</v>
      </c>
      <c r="AJ31" s="2643"/>
      <c r="AK31" s="61">
        <v>1E-4</v>
      </c>
      <c r="AL31" s="62" t="s">
        <v>113</v>
      </c>
      <c r="AM31" s="63"/>
      <c r="AN31" s="64" t="s">
        <v>114</v>
      </c>
      <c r="AO31" s="2643"/>
      <c r="AP31" s="61">
        <v>1E-4</v>
      </c>
      <c r="AQ31" s="62" t="s">
        <v>113</v>
      </c>
      <c r="AR31" s="63"/>
      <c r="AS31" s="64" t="s">
        <v>114</v>
      </c>
      <c r="AT31" s="2643"/>
      <c r="AU31" s="61">
        <v>0.76200000000000001</v>
      </c>
      <c r="AV31" s="62" t="s">
        <v>113</v>
      </c>
      <c r="AW31" s="63">
        <v>1</v>
      </c>
      <c r="AX31" s="64" t="s">
        <v>114</v>
      </c>
      <c r="AY31" s="2643"/>
      <c r="AZ31" s="61">
        <v>3.403</v>
      </c>
      <c r="BA31" s="62" t="s">
        <v>113</v>
      </c>
      <c r="BB31" s="63">
        <v>1</v>
      </c>
      <c r="BC31" s="64" t="s">
        <v>114</v>
      </c>
      <c r="BD31" s="2643"/>
      <c r="BE31" s="61">
        <v>0.35499999999999998</v>
      </c>
      <c r="BF31" s="62" t="s">
        <v>113</v>
      </c>
      <c r="BG31" s="63"/>
      <c r="BH31" s="64" t="s">
        <v>114</v>
      </c>
      <c r="BI31" s="2643"/>
      <c r="BJ31" s="61">
        <v>1E-4</v>
      </c>
      <c r="BK31" s="62" t="s">
        <v>113</v>
      </c>
      <c r="BL31" s="63"/>
      <c r="BM31" s="64" t="s">
        <v>114</v>
      </c>
      <c r="BN31" s="2643"/>
      <c r="BO31" s="61">
        <v>1E-4</v>
      </c>
      <c r="BP31" s="62" t="s">
        <v>113</v>
      </c>
      <c r="BQ31" s="63">
        <v>1</v>
      </c>
      <c r="BR31" s="64" t="s">
        <v>114</v>
      </c>
      <c r="BW31" s="27"/>
      <c r="DG31" s="13"/>
      <c r="DH31" s="13"/>
    </row>
    <row r="32" spans="1:112" ht="18.75" customHeight="1" thickTop="1" x14ac:dyDescent="0.25">
      <c r="A32" s="3508" t="s">
        <v>110</v>
      </c>
      <c r="B32" s="3509"/>
      <c r="C32" s="3512">
        <f>B37/((36*3.1415/59)*(136/3.281))</f>
        <v>5.4244665941606089E-3</v>
      </c>
      <c r="D32" s="3512"/>
      <c r="E32" s="3513"/>
      <c r="F32" s="3508" t="s">
        <v>110</v>
      </c>
      <c r="G32" s="3509"/>
      <c r="H32" s="3512">
        <f>G37/((36*3.1415/59)*(136/3.281))</f>
        <v>3.5114296514403946E-3</v>
      </c>
      <c r="I32" s="3512"/>
      <c r="J32" s="3513"/>
      <c r="K32" s="3508" t="s">
        <v>110</v>
      </c>
      <c r="L32" s="3509"/>
      <c r="M32" s="3512">
        <f>L37/((36*3.1415/59)*(136/3.281))</f>
        <v>1.2585769360001414E-5</v>
      </c>
      <c r="N32" s="3512"/>
      <c r="O32" s="3513"/>
      <c r="P32" s="3508" t="s">
        <v>110</v>
      </c>
      <c r="Q32" s="3509"/>
      <c r="R32" s="3512">
        <f>Q37/((36*3.1415/59)*(136/3.281))</f>
        <v>1.2585769360001413E-6</v>
      </c>
      <c r="S32" s="3512"/>
      <c r="T32" s="3513"/>
      <c r="U32" s="3508" t="s">
        <v>110</v>
      </c>
      <c r="V32" s="3509"/>
      <c r="W32" s="3512">
        <f>V37/((36*3.1415/59)*(136/3.281))</f>
        <v>6.3935708348807178E-3</v>
      </c>
      <c r="X32" s="3512"/>
      <c r="Y32" s="3513"/>
      <c r="Z32" s="3508" t="s">
        <v>110</v>
      </c>
      <c r="AA32" s="3509"/>
      <c r="AB32" s="3512">
        <f>AA37/((36*3.1415/59)*(136/3.281))</f>
        <v>1.5983927087201796E-2</v>
      </c>
      <c r="AC32" s="3512"/>
      <c r="AD32" s="3513"/>
      <c r="AE32" s="3508" t="s">
        <v>110</v>
      </c>
      <c r="AF32" s="3509"/>
      <c r="AG32" s="3512">
        <f>AF37/((36*3.1415/59)*(136/3.281))</f>
        <v>6.0663408315206812E-3</v>
      </c>
      <c r="AH32" s="3512"/>
      <c r="AI32" s="3513"/>
      <c r="AJ32" s="3508" t="s">
        <v>110</v>
      </c>
      <c r="AK32" s="3509"/>
      <c r="AL32" s="3512">
        <f>AK37/((36*3.1415/59)*(136/3.281))</f>
        <v>1.6940445558561903E-2</v>
      </c>
      <c r="AM32" s="3512"/>
      <c r="AN32" s="3513"/>
      <c r="AO32" s="3508" t="s">
        <v>110</v>
      </c>
      <c r="AP32" s="3509"/>
      <c r="AQ32" s="3512">
        <f>AP37/((36*3.1415/59)*(136/3.281))</f>
        <v>6.0663408315206812E-3</v>
      </c>
      <c r="AR32" s="3512"/>
      <c r="AS32" s="3513"/>
      <c r="AT32" s="3508" t="s">
        <v>110</v>
      </c>
      <c r="AU32" s="3509"/>
      <c r="AV32" s="3512">
        <f>AU37/((36*3.1415/59)*(136/3.281))</f>
        <v>1.2585769360001413E-6</v>
      </c>
      <c r="AW32" s="3512"/>
      <c r="AX32" s="3513"/>
      <c r="AY32" s="3508" t="s">
        <v>110</v>
      </c>
      <c r="AZ32" s="3509"/>
      <c r="BA32" s="3512">
        <f>AZ37/((36*3.1415/59)*(136/3.281))</f>
        <v>9.263126248961041E-3</v>
      </c>
      <c r="BB32" s="3512"/>
      <c r="BC32" s="3513"/>
      <c r="BD32" s="3508" t="s">
        <v>110</v>
      </c>
      <c r="BE32" s="3509"/>
      <c r="BF32" s="3512">
        <f>BE37/((36*3.1415/59)*(136/3.281))</f>
        <v>1.2585769360001413E-6</v>
      </c>
      <c r="BG32" s="3512"/>
      <c r="BH32" s="3513"/>
      <c r="BI32" s="3508" t="s">
        <v>110</v>
      </c>
      <c r="BJ32" s="3509"/>
      <c r="BK32" s="3512">
        <f>BJ37/((36*3.1415/59)*(136/3.281))</f>
        <v>1.2585769360001413E-6</v>
      </c>
      <c r="BL32" s="3512"/>
      <c r="BM32" s="3513"/>
      <c r="BN32" s="3508" t="s">
        <v>110</v>
      </c>
      <c r="BO32" s="3509"/>
      <c r="BP32" s="3512">
        <f>BO37/((36*3.1415/59)*(136/3.281))</f>
        <v>2.554911180080287E-3</v>
      </c>
      <c r="BQ32" s="3512"/>
      <c r="BR32" s="3513"/>
      <c r="DG32" s="57"/>
      <c r="DH32" s="57"/>
    </row>
    <row r="33" spans="1:112" ht="18.600000000000001" customHeight="1" x14ac:dyDescent="0.25">
      <c r="A33" s="3510"/>
      <c r="B33" s="3511"/>
      <c r="C33" s="3514"/>
      <c r="D33" s="3514"/>
      <c r="E33" s="3515"/>
      <c r="F33" s="3510"/>
      <c r="G33" s="3511"/>
      <c r="H33" s="3514"/>
      <c r="I33" s="3514"/>
      <c r="J33" s="3515"/>
      <c r="K33" s="3510"/>
      <c r="L33" s="3511"/>
      <c r="M33" s="3514"/>
      <c r="N33" s="3514"/>
      <c r="O33" s="3515"/>
      <c r="P33" s="3510"/>
      <c r="Q33" s="3511"/>
      <c r="R33" s="3514"/>
      <c r="S33" s="3514"/>
      <c r="T33" s="3515"/>
      <c r="U33" s="3510"/>
      <c r="V33" s="3511"/>
      <c r="W33" s="3514"/>
      <c r="X33" s="3514"/>
      <c r="Y33" s="3515"/>
      <c r="Z33" s="3510"/>
      <c r="AA33" s="3511"/>
      <c r="AB33" s="3514"/>
      <c r="AC33" s="3514"/>
      <c r="AD33" s="3515"/>
      <c r="AE33" s="3510"/>
      <c r="AF33" s="3511"/>
      <c r="AG33" s="3514"/>
      <c r="AH33" s="3514"/>
      <c r="AI33" s="3515"/>
      <c r="AJ33" s="3510"/>
      <c r="AK33" s="3511"/>
      <c r="AL33" s="3514"/>
      <c r="AM33" s="3514"/>
      <c r="AN33" s="3515"/>
      <c r="AO33" s="3510"/>
      <c r="AP33" s="3511"/>
      <c r="AQ33" s="3514"/>
      <c r="AR33" s="3514"/>
      <c r="AS33" s="3515"/>
      <c r="AT33" s="3510"/>
      <c r="AU33" s="3511"/>
      <c r="AV33" s="3514"/>
      <c r="AW33" s="3514"/>
      <c r="AX33" s="3515"/>
      <c r="AY33" s="3510"/>
      <c r="AZ33" s="3511"/>
      <c r="BA33" s="3514"/>
      <c r="BB33" s="3514"/>
      <c r="BC33" s="3515"/>
      <c r="BD33" s="3510"/>
      <c r="BE33" s="3511"/>
      <c r="BF33" s="3514"/>
      <c r="BG33" s="3514"/>
      <c r="BH33" s="3515"/>
      <c r="BI33" s="3510"/>
      <c r="BJ33" s="3511"/>
      <c r="BK33" s="3514"/>
      <c r="BL33" s="3514"/>
      <c r="BM33" s="3515"/>
      <c r="BN33" s="3510"/>
      <c r="BO33" s="3511"/>
      <c r="BP33" s="3514"/>
      <c r="BQ33" s="3514"/>
      <c r="BR33" s="3515"/>
      <c r="DG33" s="57"/>
      <c r="DH33" s="57"/>
    </row>
    <row r="34" spans="1:112" ht="18" customHeight="1" x14ac:dyDescent="0.25">
      <c r="A34" s="3495" t="s">
        <v>277</v>
      </c>
      <c r="B34" s="3527"/>
      <c r="C34" s="3529" t="s">
        <v>273</v>
      </c>
      <c r="D34" s="3529"/>
      <c r="E34" s="3530"/>
      <c r="F34" s="3504" t="s">
        <v>111</v>
      </c>
      <c r="G34" s="3196"/>
      <c r="H34" s="3196"/>
      <c r="I34" s="3196"/>
      <c r="J34" s="3505"/>
      <c r="K34" s="3504" t="s">
        <v>111</v>
      </c>
      <c r="L34" s="3196"/>
      <c r="M34" s="3196"/>
      <c r="N34" s="3196"/>
      <c r="O34" s="3505"/>
      <c r="P34" s="3504" t="s">
        <v>111</v>
      </c>
      <c r="Q34" s="3196"/>
      <c r="R34" s="3196"/>
      <c r="S34" s="3196"/>
      <c r="T34" s="3505"/>
      <c r="U34" s="3504" t="s">
        <v>111</v>
      </c>
      <c r="V34" s="3196"/>
      <c r="W34" s="3196"/>
      <c r="X34" s="3196"/>
      <c r="Y34" s="3505"/>
      <c r="Z34" s="3504" t="s">
        <v>111</v>
      </c>
      <c r="AA34" s="3196"/>
      <c r="AB34" s="3196"/>
      <c r="AC34" s="3196"/>
      <c r="AD34" s="3505"/>
      <c r="AE34" s="3504" t="s">
        <v>111</v>
      </c>
      <c r="AF34" s="3196"/>
      <c r="AG34" s="3196"/>
      <c r="AH34" s="3196"/>
      <c r="AI34" s="3505"/>
      <c r="AJ34" s="3504" t="s">
        <v>111</v>
      </c>
      <c r="AK34" s="3196"/>
      <c r="AL34" s="3196"/>
      <c r="AM34" s="3196"/>
      <c r="AN34" s="3505"/>
      <c r="AO34" s="3504" t="s">
        <v>111</v>
      </c>
      <c r="AP34" s="3196"/>
      <c r="AQ34" s="3196"/>
      <c r="AR34" s="3196"/>
      <c r="AS34" s="3505"/>
      <c r="AT34" s="3504" t="s">
        <v>111</v>
      </c>
      <c r="AU34" s="3196"/>
      <c r="AV34" s="3196"/>
      <c r="AW34" s="3196"/>
      <c r="AX34" s="3505"/>
      <c r="AY34" s="3504" t="s">
        <v>111</v>
      </c>
      <c r="AZ34" s="3196"/>
      <c r="BA34" s="3196"/>
      <c r="BB34" s="3196"/>
      <c r="BC34" s="3505"/>
      <c r="BD34" s="3504" t="s">
        <v>111</v>
      </c>
      <c r="BE34" s="3196"/>
      <c r="BF34" s="3196"/>
      <c r="BG34" s="3196"/>
      <c r="BH34" s="3505"/>
      <c r="BI34" s="3495" t="s">
        <v>277</v>
      </c>
      <c r="BJ34" s="3527"/>
      <c r="BK34" s="3529" t="s">
        <v>273</v>
      </c>
      <c r="BL34" s="3529"/>
      <c r="BM34" s="3530"/>
      <c r="BN34" s="3504" t="s">
        <v>111</v>
      </c>
      <c r="BO34" s="3196"/>
      <c r="BP34" s="3196"/>
      <c r="BQ34" s="3196"/>
      <c r="BR34" s="3505"/>
      <c r="DG34" s="57"/>
      <c r="DH34" s="57"/>
    </row>
    <row r="35" spans="1:112" ht="9.9499999999999993" customHeight="1" x14ac:dyDescent="0.25">
      <c r="A35" s="3499"/>
      <c r="B35" s="3528"/>
      <c r="C35" s="3531"/>
      <c r="D35" s="3531"/>
      <c r="E35" s="3532"/>
      <c r="F35" s="3506"/>
      <c r="G35" s="3197"/>
      <c r="H35" s="3197"/>
      <c r="I35" s="3197"/>
      <c r="J35" s="3507"/>
      <c r="K35" s="3506"/>
      <c r="L35" s="3197"/>
      <c r="M35" s="3197"/>
      <c r="N35" s="3197"/>
      <c r="O35" s="3507"/>
      <c r="P35" s="3506"/>
      <c r="Q35" s="3197"/>
      <c r="R35" s="3197"/>
      <c r="S35" s="3197"/>
      <c r="T35" s="3507"/>
      <c r="U35" s="3506"/>
      <c r="V35" s="3197"/>
      <c r="W35" s="3197"/>
      <c r="X35" s="3197"/>
      <c r="Y35" s="3507"/>
      <c r="Z35" s="3506"/>
      <c r="AA35" s="3197"/>
      <c r="AB35" s="3197"/>
      <c r="AC35" s="3197"/>
      <c r="AD35" s="3507"/>
      <c r="AE35" s="3506"/>
      <c r="AF35" s="3197"/>
      <c r="AG35" s="3197"/>
      <c r="AH35" s="3197"/>
      <c r="AI35" s="3507"/>
      <c r="AJ35" s="3506"/>
      <c r="AK35" s="3197"/>
      <c r="AL35" s="3197"/>
      <c r="AM35" s="3197"/>
      <c r="AN35" s="3507"/>
      <c r="AO35" s="3506"/>
      <c r="AP35" s="3197"/>
      <c r="AQ35" s="3197"/>
      <c r="AR35" s="3197"/>
      <c r="AS35" s="3507"/>
      <c r="AT35" s="3506"/>
      <c r="AU35" s="3197"/>
      <c r="AV35" s="3197"/>
      <c r="AW35" s="3197"/>
      <c r="AX35" s="3507"/>
      <c r="AY35" s="3506"/>
      <c r="AZ35" s="3197"/>
      <c r="BA35" s="3197"/>
      <c r="BB35" s="3197"/>
      <c r="BC35" s="3507"/>
      <c r="BD35" s="3506"/>
      <c r="BE35" s="3197"/>
      <c r="BF35" s="3197"/>
      <c r="BG35" s="3197"/>
      <c r="BH35" s="3507"/>
      <c r="BI35" s="3499"/>
      <c r="BJ35" s="3528"/>
      <c r="BK35" s="3531"/>
      <c r="BL35" s="3531"/>
      <c r="BM35" s="3532"/>
      <c r="BN35" s="3506"/>
      <c r="BO35" s="3197"/>
      <c r="BP35" s="3197"/>
      <c r="BQ35" s="3197"/>
      <c r="BR35" s="3507"/>
      <c r="DG35" s="13"/>
      <c r="DH35" s="13"/>
    </row>
    <row r="36" spans="1:112" s="22" customFormat="1" ht="74.25" customHeight="1" x14ac:dyDescent="1.35">
      <c r="A36" s="2642" t="s">
        <v>115</v>
      </c>
      <c r="B36" s="1266">
        <v>131</v>
      </c>
      <c r="C36" s="1267"/>
      <c r="D36" s="1267"/>
      <c r="E36" s="1268"/>
      <c r="F36" s="2642" t="s">
        <v>115</v>
      </c>
      <c r="G36" s="1266">
        <v>132</v>
      </c>
      <c r="H36" s="1267"/>
      <c r="I36" s="1267"/>
      <c r="J36" s="1268"/>
      <c r="K36" s="2642" t="s">
        <v>115</v>
      </c>
      <c r="L36" s="1266">
        <v>135</v>
      </c>
      <c r="M36" s="1267"/>
      <c r="N36" s="1267"/>
      <c r="O36" s="1268"/>
      <c r="P36" s="2642" t="s">
        <v>115</v>
      </c>
      <c r="Q36" s="1266">
        <v>134</v>
      </c>
      <c r="R36" s="1267"/>
      <c r="S36" s="1267"/>
      <c r="T36" s="1268"/>
      <c r="U36" s="2642" t="s">
        <v>115</v>
      </c>
      <c r="V36" s="1266">
        <v>137</v>
      </c>
      <c r="W36" s="1267"/>
      <c r="X36" s="1267"/>
      <c r="Y36" s="1268"/>
      <c r="Z36" s="2642" t="s">
        <v>115</v>
      </c>
      <c r="AA36" s="1266">
        <v>136</v>
      </c>
      <c r="AB36" s="1267"/>
      <c r="AC36" s="1267"/>
      <c r="AD36" s="1268"/>
      <c r="AE36" s="2642" t="s">
        <v>115</v>
      </c>
      <c r="AF36" s="1266">
        <v>139</v>
      </c>
      <c r="AG36" s="1267"/>
      <c r="AH36" s="1267"/>
      <c r="AI36" s="1268"/>
      <c r="AJ36" s="2642" t="s">
        <v>115</v>
      </c>
      <c r="AK36" s="1266">
        <v>138</v>
      </c>
      <c r="AL36" s="1267"/>
      <c r="AM36" s="1267"/>
      <c r="AN36" s="1268"/>
      <c r="AO36" s="2642" t="s">
        <v>115</v>
      </c>
      <c r="AP36" s="1266">
        <v>141</v>
      </c>
      <c r="AQ36" s="1267"/>
      <c r="AR36" s="1267"/>
      <c r="AS36" s="1268"/>
      <c r="AT36" s="2642" t="s">
        <v>115</v>
      </c>
      <c r="AU36" s="1266">
        <v>140</v>
      </c>
      <c r="AV36" s="1267"/>
      <c r="AW36" s="1267"/>
      <c r="AX36" s="1268"/>
      <c r="AY36" s="2642" t="s">
        <v>115</v>
      </c>
      <c r="AZ36" s="1266">
        <v>143</v>
      </c>
      <c r="BA36" s="1267"/>
      <c r="BB36" s="1267"/>
      <c r="BC36" s="1268"/>
      <c r="BD36" s="2642" t="s">
        <v>115</v>
      </c>
      <c r="BE36" s="1266">
        <v>142</v>
      </c>
      <c r="BF36" s="1267"/>
      <c r="BG36" s="1267"/>
      <c r="BH36" s="1268"/>
      <c r="BI36" s="2642" t="s">
        <v>115</v>
      </c>
      <c r="BJ36" s="1266">
        <v>145</v>
      </c>
      <c r="BK36" s="1267"/>
      <c r="BL36" s="1267"/>
      <c r="BM36" s="1268"/>
      <c r="BN36" s="2642" t="s">
        <v>115</v>
      </c>
      <c r="BO36" s="1266">
        <v>144</v>
      </c>
      <c r="BP36" s="1267"/>
      <c r="BQ36" s="1267"/>
      <c r="BR36" s="1268"/>
      <c r="DG36" s="13"/>
      <c r="DH36" s="13"/>
    </row>
    <row r="37" spans="1:112" ht="23.1" customHeight="1" thickBot="1" x14ac:dyDescent="0.3">
      <c r="A37" s="2643"/>
      <c r="B37" s="61">
        <v>0.43099999999999999</v>
      </c>
      <c r="C37" s="62" t="s">
        <v>113</v>
      </c>
      <c r="D37" s="63">
        <v>1</v>
      </c>
      <c r="E37" s="64" t="s">
        <v>114</v>
      </c>
      <c r="F37" s="2643"/>
      <c r="G37" s="61">
        <v>0.27900000000000003</v>
      </c>
      <c r="H37" s="62" t="s">
        <v>113</v>
      </c>
      <c r="I37" s="63">
        <v>1</v>
      </c>
      <c r="J37" s="64" t="s">
        <v>114</v>
      </c>
      <c r="K37" s="2643"/>
      <c r="L37" s="61">
        <v>1E-3</v>
      </c>
      <c r="M37" s="62" t="s">
        <v>113</v>
      </c>
      <c r="N37" s="63"/>
      <c r="O37" s="64" t="s">
        <v>114</v>
      </c>
      <c r="P37" s="2643"/>
      <c r="Q37" s="61">
        <v>1E-4</v>
      </c>
      <c r="R37" s="62" t="s">
        <v>113</v>
      </c>
      <c r="S37" s="63"/>
      <c r="T37" s="64" t="s">
        <v>114</v>
      </c>
      <c r="U37" s="2643"/>
      <c r="V37" s="61">
        <v>0.50800000000000001</v>
      </c>
      <c r="W37" s="62" t="s">
        <v>113</v>
      </c>
      <c r="X37" s="63"/>
      <c r="Y37" s="64" t="s">
        <v>114</v>
      </c>
      <c r="Z37" s="2643"/>
      <c r="AA37" s="61">
        <v>1.27</v>
      </c>
      <c r="AB37" s="62" t="s">
        <v>113</v>
      </c>
      <c r="AC37" s="63">
        <v>1</v>
      </c>
      <c r="AD37" s="64" t="s">
        <v>114</v>
      </c>
      <c r="AE37" s="2643"/>
      <c r="AF37" s="61">
        <v>0.48199999999999998</v>
      </c>
      <c r="AG37" s="62" t="s">
        <v>113</v>
      </c>
      <c r="AH37" s="63"/>
      <c r="AI37" s="64" t="s">
        <v>114</v>
      </c>
      <c r="AJ37" s="2643"/>
      <c r="AK37" s="61">
        <v>1.3460000000000001</v>
      </c>
      <c r="AL37" s="62" t="s">
        <v>113</v>
      </c>
      <c r="AM37" s="63">
        <v>1</v>
      </c>
      <c r="AN37" s="64" t="s">
        <v>114</v>
      </c>
      <c r="AO37" s="2643"/>
      <c r="AP37" s="61">
        <v>0.48199999999999998</v>
      </c>
      <c r="AQ37" s="62" t="s">
        <v>113</v>
      </c>
      <c r="AR37" s="63">
        <v>1</v>
      </c>
      <c r="AS37" s="64" t="s">
        <v>114</v>
      </c>
      <c r="AT37" s="2643"/>
      <c r="AU37" s="61">
        <v>1E-4</v>
      </c>
      <c r="AV37" s="62" t="s">
        <v>113</v>
      </c>
      <c r="AW37" s="63"/>
      <c r="AX37" s="64" t="s">
        <v>114</v>
      </c>
      <c r="AY37" s="2643"/>
      <c r="AZ37" s="61">
        <v>0.73599999999999999</v>
      </c>
      <c r="BA37" s="62" t="s">
        <v>113</v>
      </c>
      <c r="BB37" s="63">
        <v>1</v>
      </c>
      <c r="BC37" s="64" t="s">
        <v>114</v>
      </c>
      <c r="BD37" s="2643"/>
      <c r="BE37" s="61">
        <v>1E-4</v>
      </c>
      <c r="BF37" s="62" t="s">
        <v>113</v>
      </c>
      <c r="BG37" s="63">
        <v>1</v>
      </c>
      <c r="BH37" s="64" t="s">
        <v>114</v>
      </c>
      <c r="BI37" s="2643"/>
      <c r="BJ37" s="61">
        <v>1E-4</v>
      </c>
      <c r="BK37" s="62" t="s">
        <v>113</v>
      </c>
      <c r="BL37" s="63"/>
      <c r="BM37" s="64" t="s">
        <v>114</v>
      </c>
      <c r="BN37" s="2643"/>
      <c r="BO37" s="61">
        <v>0.20300000000000001</v>
      </c>
      <c r="BP37" s="62" t="s">
        <v>113</v>
      </c>
      <c r="BQ37" s="63">
        <v>1</v>
      </c>
      <c r="BR37" s="64" t="s">
        <v>114</v>
      </c>
      <c r="BW37" s="27"/>
      <c r="DG37" s="13"/>
      <c r="DH37" s="13"/>
    </row>
    <row r="38" spans="1:112" ht="18.600000000000001" customHeight="1" thickTop="1" x14ac:dyDescent="0.25">
      <c r="A38" s="3508" t="s">
        <v>110</v>
      </c>
      <c r="B38" s="3509"/>
      <c r="C38" s="3512">
        <f>B43/((36*3.1415/59)*(136/3.281))</f>
        <v>2.554911180080287E-3</v>
      </c>
      <c r="D38" s="3512"/>
      <c r="E38" s="3513"/>
      <c r="F38" s="3508" t="s">
        <v>110</v>
      </c>
      <c r="G38" s="3509"/>
      <c r="H38" s="3512">
        <f>G43/((36*3.1415/59)*(136/3.281))</f>
        <v>1.2585769360001414E-5</v>
      </c>
      <c r="I38" s="3512"/>
      <c r="J38" s="3513"/>
      <c r="K38" s="3508" t="s">
        <v>110</v>
      </c>
      <c r="L38" s="3509"/>
      <c r="M38" s="3512">
        <f>L43/((36*3.1415/59)*(136/3.281))</f>
        <v>2.554911180080287E-3</v>
      </c>
      <c r="N38" s="3512"/>
      <c r="O38" s="3513"/>
      <c r="P38" s="3508" t="s">
        <v>110</v>
      </c>
      <c r="Q38" s="3509"/>
      <c r="R38" s="3512">
        <f>Q43/((36*3.1415/59)*(136/3.281))</f>
        <v>1.1818037429041327E-2</v>
      </c>
      <c r="S38" s="3512"/>
      <c r="T38" s="3513"/>
      <c r="U38" s="3508" t="s">
        <v>110</v>
      </c>
      <c r="V38" s="3509"/>
      <c r="W38" s="3512">
        <f>V43/((36*3.1415/59)*(136/3.281))</f>
        <v>1.9130369427202147E-3</v>
      </c>
      <c r="X38" s="3512"/>
      <c r="Y38" s="3513"/>
      <c r="Z38" s="3508" t="s">
        <v>110</v>
      </c>
      <c r="AA38" s="3509"/>
      <c r="AB38" s="3512">
        <f>AA43/((36*3.1415/59)*(136/3.281))</f>
        <v>2.22768117672025E-3</v>
      </c>
      <c r="AC38" s="3512"/>
      <c r="AD38" s="3513"/>
      <c r="AE38" s="3508" t="s">
        <v>110</v>
      </c>
      <c r="AF38" s="3509"/>
      <c r="AG38" s="3512">
        <f>AF43/((36*3.1415/59)*(136/3.281))</f>
        <v>1.2787141669761436E-2</v>
      </c>
      <c r="AH38" s="3512"/>
      <c r="AI38" s="3513"/>
      <c r="AJ38" s="3508" t="s">
        <v>110</v>
      </c>
      <c r="AK38" s="3509"/>
      <c r="AL38" s="3512">
        <f>AK43/((36*3.1415/59)*(136/3.281))</f>
        <v>1.2585769360001413E-6</v>
      </c>
      <c r="AM38" s="3512"/>
      <c r="AN38" s="3513"/>
      <c r="AO38" s="3508" t="s">
        <v>110</v>
      </c>
      <c r="AP38" s="3509"/>
      <c r="AQ38" s="3512">
        <f>AP43/((36*3.1415/59)*(136/3.281))</f>
        <v>1.0546874723681184E-2</v>
      </c>
      <c r="AR38" s="3512"/>
      <c r="AS38" s="3513"/>
      <c r="AT38" s="3508" t="s">
        <v>110</v>
      </c>
      <c r="AU38" s="3509"/>
      <c r="AV38" s="3512">
        <f>AU43/((36*3.1415/59)*(136/3.281))</f>
        <v>5.4244665941606089E-3</v>
      </c>
      <c r="AW38" s="3512"/>
      <c r="AX38" s="3513"/>
      <c r="AY38" s="3508" t="s">
        <v>110</v>
      </c>
      <c r="AZ38" s="3509"/>
      <c r="BA38" s="3512">
        <f>AZ43/((36*3.1415/59)*(136/3.281))</f>
        <v>1.2585769360001413E-6</v>
      </c>
      <c r="BB38" s="3512"/>
      <c r="BC38" s="3513"/>
      <c r="BD38" s="3508" t="s">
        <v>110</v>
      </c>
      <c r="BE38" s="3509"/>
      <c r="BF38" s="3512">
        <f>BE43/((36*3.1415/59)*(136/3.281))</f>
        <v>8.3066077776009339E-3</v>
      </c>
      <c r="BG38" s="3512"/>
      <c r="BH38" s="3513"/>
      <c r="BI38" s="3508" t="s">
        <v>110</v>
      </c>
      <c r="BJ38" s="3509"/>
      <c r="BK38" s="3512">
        <f>BJ43/((36*3.1415/59)*(136/3.281))</f>
        <v>1.9130369427202147E-3</v>
      </c>
      <c r="BL38" s="3512"/>
      <c r="BM38" s="3513"/>
      <c r="BN38" s="3508" t="s">
        <v>110</v>
      </c>
      <c r="BO38" s="3509"/>
      <c r="BP38" s="3512">
        <f>BO43/((36*3.1415/59)*(136/3.281))</f>
        <v>2.3006786390082586E-2</v>
      </c>
      <c r="BQ38" s="3512"/>
      <c r="BR38" s="3513"/>
      <c r="DG38" s="13"/>
      <c r="DH38" s="13"/>
    </row>
    <row r="39" spans="1:112" ht="18.600000000000001" customHeight="1" x14ac:dyDescent="0.25">
      <c r="A39" s="3510"/>
      <c r="B39" s="3511"/>
      <c r="C39" s="3514"/>
      <c r="D39" s="3514"/>
      <c r="E39" s="3515"/>
      <c r="F39" s="3510"/>
      <c r="G39" s="3511"/>
      <c r="H39" s="3514"/>
      <c r="I39" s="3514"/>
      <c r="J39" s="3515"/>
      <c r="K39" s="3510"/>
      <c r="L39" s="3511"/>
      <c r="M39" s="3514"/>
      <c r="N39" s="3514"/>
      <c r="O39" s="3515"/>
      <c r="P39" s="3510"/>
      <c r="Q39" s="3511"/>
      <c r="R39" s="3514"/>
      <c r="S39" s="3514"/>
      <c r="T39" s="3515"/>
      <c r="U39" s="3510"/>
      <c r="V39" s="3511"/>
      <c r="W39" s="3514"/>
      <c r="X39" s="3514"/>
      <c r="Y39" s="3515"/>
      <c r="Z39" s="3510"/>
      <c r="AA39" s="3511"/>
      <c r="AB39" s="3514"/>
      <c r="AC39" s="3514"/>
      <c r="AD39" s="3515"/>
      <c r="AE39" s="3510"/>
      <c r="AF39" s="3511"/>
      <c r="AG39" s="3514"/>
      <c r="AH39" s="3514"/>
      <c r="AI39" s="3515"/>
      <c r="AJ39" s="3510"/>
      <c r="AK39" s="3511"/>
      <c r="AL39" s="3514"/>
      <c r="AM39" s="3514"/>
      <c r="AN39" s="3515"/>
      <c r="AO39" s="3510"/>
      <c r="AP39" s="3511"/>
      <c r="AQ39" s="3514"/>
      <c r="AR39" s="3514"/>
      <c r="AS39" s="3515"/>
      <c r="AT39" s="3510"/>
      <c r="AU39" s="3511"/>
      <c r="AV39" s="3514"/>
      <c r="AW39" s="3514"/>
      <c r="AX39" s="3515"/>
      <c r="AY39" s="3510"/>
      <c r="AZ39" s="3511"/>
      <c r="BA39" s="3514"/>
      <c r="BB39" s="3514"/>
      <c r="BC39" s="3515"/>
      <c r="BD39" s="3510"/>
      <c r="BE39" s="3511"/>
      <c r="BF39" s="3514"/>
      <c r="BG39" s="3514"/>
      <c r="BH39" s="3515"/>
      <c r="BI39" s="3510"/>
      <c r="BJ39" s="3511"/>
      <c r="BK39" s="3514"/>
      <c r="BL39" s="3514"/>
      <c r="BM39" s="3515"/>
      <c r="BN39" s="3510"/>
      <c r="BO39" s="3511"/>
      <c r="BP39" s="3514"/>
      <c r="BQ39" s="3514"/>
      <c r="BR39" s="3515"/>
      <c r="DG39" s="13"/>
      <c r="DH39" s="13"/>
    </row>
    <row r="40" spans="1:112" ht="9.9499999999999993" customHeight="1" x14ac:dyDescent="0.25">
      <c r="A40" s="3504" t="s">
        <v>111</v>
      </c>
      <c r="B40" s="3196"/>
      <c r="C40" s="3196"/>
      <c r="D40" s="3196"/>
      <c r="E40" s="3505"/>
      <c r="F40" s="3504" t="s">
        <v>111</v>
      </c>
      <c r="G40" s="3196"/>
      <c r="H40" s="3196"/>
      <c r="I40" s="3196"/>
      <c r="J40" s="3505"/>
      <c r="K40" s="3495" t="s">
        <v>277</v>
      </c>
      <c r="L40" s="3527"/>
      <c r="M40" s="3529" t="s">
        <v>273</v>
      </c>
      <c r="N40" s="3529"/>
      <c r="O40" s="3530"/>
      <c r="P40" s="3504" t="s">
        <v>111</v>
      </c>
      <c r="Q40" s="3196"/>
      <c r="R40" s="3196"/>
      <c r="S40" s="3196"/>
      <c r="T40" s="3505"/>
      <c r="U40" s="3495" t="s">
        <v>277</v>
      </c>
      <c r="V40" s="3527"/>
      <c r="W40" s="3529" t="s">
        <v>273</v>
      </c>
      <c r="X40" s="3529"/>
      <c r="Y40" s="3530"/>
      <c r="Z40" s="3504" t="s">
        <v>111</v>
      </c>
      <c r="AA40" s="3196"/>
      <c r="AB40" s="3196"/>
      <c r="AC40" s="3196"/>
      <c r="AD40" s="3505"/>
      <c r="AE40" s="3504" t="s">
        <v>111</v>
      </c>
      <c r="AF40" s="3196"/>
      <c r="AG40" s="3196"/>
      <c r="AH40" s="3196"/>
      <c r="AI40" s="3505"/>
      <c r="AJ40" s="3504" t="s">
        <v>111</v>
      </c>
      <c r="AK40" s="3196"/>
      <c r="AL40" s="3196"/>
      <c r="AM40" s="3196"/>
      <c r="AN40" s="3505"/>
      <c r="AO40" s="3504" t="s">
        <v>111</v>
      </c>
      <c r="AP40" s="3196"/>
      <c r="AQ40" s="3196"/>
      <c r="AR40" s="3196"/>
      <c r="AS40" s="3505"/>
      <c r="AT40" s="3504" t="s">
        <v>111</v>
      </c>
      <c r="AU40" s="3196"/>
      <c r="AV40" s="3196"/>
      <c r="AW40" s="3196"/>
      <c r="AX40" s="3505"/>
      <c r="AY40" s="3504" t="s">
        <v>111</v>
      </c>
      <c r="AZ40" s="3196"/>
      <c r="BA40" s="3196"/>
      <c r="BB40" s="3196"/>
      <c r="BC40" s="3505"/>
      <c r="BD40" s="3504" t="s">
        <v>111</v>
      </c>
      <c r="BE40" s="3196"/>
      <c r="BF40" s="3196"/>
      <c r="BG40" s="3196"/>
      <c r="BH40" s="3505"/>
      <c r="BI40" s="3504" t="s">
        <v>111</v>
      </c>
      <c r="BJ40" s="3196"/>
      <c r="BK40" s="3196"/>
      <c r="BL40" s="3196"/>
      <c r="BM40" s="3505"/>
      <c r="BN40" s="3504" t="s">
        <v>111</v>
      </c>
      <c r="BO40" s="3196"/>
      <c r="BP40" s="3196"/>
      <c r="BQ40" s="3196"/>
      <c r="BR40" s="3505"/>
      <c r="DG40" s="13"/>
      <c r="DH40" s="13"/>
    </row>
    <row r="41" spans="1:112" ht="9.9499999999999993" customHeight="1" x14ac:dyDescent="0.25">
      <c r="A41" s="3506"/>
      <c r="B41" s="3197"/>
      <c r="C41" s="3197"/>
      <c r="D41" s="3197"/>
      <c r="E41" s="3507"/>
      <c r="F41" s="3506"/>
      <c r="G41" s="3197"/>
      <c r="H41" s="3197"/>
      <c r="I41" s="3197"/>
      <c r="J41" s="3507"/>
      <c r="K41" s="3499"/>
      <c r="L41" s="3528"/>
      <c r="M41" s="3531"/>
      <c r="N41" s="3531"/>
      <c r="O41" s="3532"/>
      <c r="P41" s="3506"/>
      <c r="Q41" s="3197"/>
      <c r="R41" s="3197"/>
      <c r="S41" s="3197"/>
      <c r="T41" s="3507"/>
      <c r="U41" s="3499"/>
      <c r="V41" s="3528"/>
      <c r="W41" s="3531"/>
      <c r="X41" s="3531"/>
      <c r="Y41" s="3532"/>
      <c r="Z41" s="3506"/>
      <c r="AA41" s="3197"/>
      <c r="AB41" s="3197"/>
      <c r="AC41" s="3197"/>
      <c r="AD41" s="3507"/>
      <c r="AE41" s="3506"/>
      <c r="AF41" s="3197"/>
      <c r="AG41" s="3197"/>
      <c r="AH41" s="3197"/>
      <c r="AI41" s="3507"/>
      <c r="AJ41" s="3506"/>
      <c r="AK41" s="3197"/>
      <c r="AL41" s="3197"/>
      <c r="AM41" s="3197"/>
      <c r="AN41" s="3507"/>
      <c r="AO41" s="3506"/>
      <c r="AP41" s="3197"/>
      <c r="AQ41" s="3197"/>
      <c r="AR41" s="3197"/>
      <c r="AS41" s="3507"/>
      <c r="AT41" s="3506"/>
      <c r="AU41" s="3197"/>
      <c r="AV41" s="3197"/>
      <c r="AW41" s="3197"/>
      <c r="AX41" s="3507"/>
      <c r="AY41" s="3506"/>
      <c r="AZ41" s="3197"/>
      <c r="BA41" s="3197"/>
      <c r="BB41" s="3197"/>
      <c r="BC41" s="3507"/>
      <c r="BD41" s="3506"/>
      <c r="BE41" s="3197"/>
      <c r="BF41" s="3197"/>
      <c r="BG41" s="3197"/>
      <c r="BH41" s="3507"/>
      <c r="BI41" s="3506"/>
      <c r="BJ41" s="3197"/>
      <c r="BK41" s="3197"/>
      <c r="BL41" s="3197"/>
      <c r="BM41" s="3507"/>
      <c r="BN41" s="3506"/>
      <c r="BO41" s="3197"/>
      <c r="BP41" s="3197"/>
      <c r="BQ41" s="3197"/>
      <c r="BR41" s="3507"/>
      <c r="DG41" s="57"/>
      <c r="DH41" s="57"/>
    </row>
    <row r="42" spans="1:112" s="22" customFormat="1" ht="84.95" customHeight="1" x14ac:dyDescent="1.35">
      <c r="A42" s="2642" t="s">
        <v>115</v>
      </c>
      <c r="B42" s="1266">
        <v>147</v>
      </c>
      <c r="C42" s="1267"/>
      <c r="D42" s="1267"/>
      <c r="E42" s="1268"/>
      <c r="F42" s="2642" t="s">
        <v>115</v>
      </c>
      <c r="G42" s="1266">
        <v>146</v>
      </c>
      <c r="H42" s="1267"/>
      <c r="I42" s="1267"/>
      <c r="J42" s="1268"/>
      <c r="K42" s="2642" t="s">
        <v>115</v>
      </c>
      <c r="L42" s="1266">
        <v>149</v>
      </c>
      <c r="M42" s="1267"/>
      <c r="N42" s="1267"/>
      <c r="O42" s="1268"/>
      <c r="P42" s="2642" t="s">
        <v>115</v>
      </c>
      <c r="Q42" s="1266">
        <v>148</v>
      </c>
      <c r="R42" s="1267"/>
      <c r="S42" s="1267"/>
      <c r="T42" s="1268"/>
      <c r="U42" s="2642" t="s">
        <v>115</v>
      </c>
      <c r="V42" s="1266">
        <v>151</v>
      </c>
      <c r="W42" s="1267"/>
      <c r="X42" s="1267"/>
      <c r="Y42" s="1268"/>
      <c r="Z42" s="2642" t="s">
        <v>115</v>
      </c>
      <c r="AA42" s="1266">
        <v>150</v>
      </c>
      <c r="AB42" s="1267"/>
      <c r="AC42" s="1267"/>
      <c r="AD42" s="1268"/>
      <c r="AE42" s="2642" t="s">
        <v>115</v>
      </c>
      <c r="AF42" s="1266">
        <v>153</v>
      </c>
      <c r="AG42" s="1267"/>
      <c r="AH42" s="1267"/>
      <c r="AI42" s="1268"/>
      <c r="AJ42" s="2642" t="s">
        <v>115</v>
      </c>
      <c r="AK42" s="1266">
        <v>152</v>
      </c>
      <c r="AL42" s="1267"/>
      <c r="AM42" s="1267"/>
      <c r="AN42" s="1268"/>
      <c r="AO42" s="2642" t="s">
        <v>115</v>
      </c>
      <c r="AP42" s="1266">
        <v>155</v>
      </c>
      <c r="AQ42" s="1267"/>
      <c r="AR42" s="1267"/>
      <c r="AS42" s="1268"/>
      <c r="AT42" s="2642" t="s">
        <v>115</v>
      </c>
      <c r="AU42" s="1266">
        <v>154</v>
      </c>
      <c r="AV42" s="1267"/>
      <c r="AW42" s="1267"/>
      <c r="AX42" s="1268"/>
      <c r="AY42" s="2642" t="s">
        <v>115</v>
      </c>
      <c r="AZ42" s="1266">
        <v>157</v>
      </c>
      <c r="BA42" s="1267"/>
      <c r="BB42" s="1267"/>
      <c r="BC42" s="1268"/>
      <c r="BD42" s="2642" t="s">
        <v>115</v>
      </c>
      <c r="BE42" s="1266">
        <v>156</v>
      </c>
      <c r="BF42" s="1267"/>
      <c r="BG42" s="1267"/>
      <c r="BH42" s="1268"/>
      <c r="BI42" s="2642" t="s">
        <v>115</v>
      </c>
      <c r="BJ42" s="1266">
        <v>159</v>
      </c>
      <c r="BK42" s="1267"/>
      <c r="BL42" s="1267"/>
      <c r="BM42" s="1268"/>
      <c r="BN42" s="2642" t="s">
        <v>115</v>
      </c>
      <c r="BO42" s="1266">
        <v>158</v>
      </c>
      <c r="BP42" s="1267"/>
      <c r="BQ42" s="1267"/>
      <c r="BR42" s="1268"/>
      <c r="DG42" s="57"/>
      <c r="DH42" s="57"/>
    </row>
    <row r="43" spans="1:112" ht="23.1" customHeight="1" thickBot="1" x14ac:dyDescent="0.3">
      <c r="A43" s="2643"/>
      <c r="B43" s="61">
        <v>0.20300000000000001</v>
      </c>
      <c r="C43" s="62" t="s">
        <v>113</v>
      </c>
      <c r="D43" s="63">
        <v>1</v>
      </c>
      <c r="E43" s="64" t="s">
        <v>114</v>
      </c>
      <c r="F43" s="2643"/>
      <c r="G43" s="61">
        <v>1E-3</v>
      </c>
      <c r="H43" s="62" t="s">
        <v>113</v>
      </c>
      <c r="I43" s="63"/>
      <c r="J43" s="64" t="s">
        <v>114</v>
      </c>
      <c r="K43" s="2643"/>
      <c r="L43" s="61">
        <v>0.20300000000000001</v>
      </c>
      <c r="M43" s="62" t="s">
        <v>113</v>
      </c>
      <c r="N43" s="63">
        <v>1</v>
      </c>
      <c r="O43" s="64" t="s">
        <v>114</v>
      </c>
      <c r="P43" s="2643"/>
      <c r="Q43" s="61">
        <v>0.93899999999999995</v>
      </c>
      <c r="R43" s="62" t="s">
        <v>113</v>
      </c>
      <c r="S43" s="63">
        <v>1</v>
      </c>
      <c r="T43" s="64" t="s">
        <v>114</v>
      </c>
      <c r="U43" s="2643"/>
      <c r="V43" s="61">
        <v>0.152</v>
      </c>
      <c r="W43" s="62" t="s">
        <v>113</v>
      </c>
      <c r="X43" s="63"/>
      <c r="Y43" s="64" t="s">
        <v>114</v>
      </c>
      <c r="Z43" s="2643"/>
      <c r="AA43" s="61">
        <v>0.17699999999999999</v>
      </c>
      <c r="AB43" s="62" t="s">
        <v>113</v>
      </c>
      <c r="AC43" s="63">
        <v>1</v>
      </c>
      <c r="AD43" s="64" t="s">
        <v>114</v>
      </c>
      <c r="AE43" s="2643"/>
      <c r="AF43" s="61">
        <v>1.016</v>
      </c>
      <c r="AG43" s="62" t="s">
        <v>113</v>
      </c>
      <c r="AH43" s="63">
        <v>1</v>
      </c>
      <c r="AI43" s="64" t="s">
        <v>114</v>
      </c>
      <c r="AJ43" s="2643"/>
      <c r="AK43" s="61">
        <v>1E-4</v>
      </c>
      <c r="AL43" s="62" t="s">
        <v>113</v>
      </c>
      <c r="AM43" s="63"/>
      <c r="AN43" s="64" t="s">
        <v>114</v>
      </c>
      <c r="AO43" s="2643"/>
      <c r="AP43" s="61">
        <v>0.83799999999999997</v>
      </c>
      <c r="AQ43" s="62" t="s">
        <v>113</v>
      </c>
      <c r="AR43" s="63">
        <v>1</v>
      </c>
      <c r="AS43" s="64" t="s">
        <v>114</v>
      </c>
      <c r="AT43" s="2643"/>
      <c r="AU43" s="61">
        <v>0.43099999999999999</v>
      </c>
      <c r="AV43" s="62" t="s">
        <v>113</v>
      </c>
      <c r="AW43" s="63">
        <v>1</v>
      </c>
      <c r="AX43" s="64" t="s">
        <v>114</v>
      </c>
      <c r="AY43" s="2643"/>
      <c r="AZ43" s="61">
        <v>1E-4</v>
      </c>
      <c r="BA43" s="62" t="s">
        <v>113</v>
      </c>
      <c r="BB43" s="63"/>
      <c r="BC43" s="64" t="s">
        <v>114</v>
      </c>
      <c r="BD43" s="2643"/>
      <c r="BE43" s="61">
        <v>0.66</v>
      </c>
      <c r="BF43" s="62" t="s">
        <v>113</v>
      </c>
      <c r="BG43" s="63"/>
      <c r="BH43" s="64" t="s">
        <v>114</v>
      </c>
      <c r="BI43" s="2643"/>
      <c r="BJ43" s="61">
        <v>0.152</v>
      </c>
      <c r="BK43" s="62" t="s">
        <v>113</v>
      </c>
      <c r="BL43" s="63">
        <v>1</v>
      </c>
      <c r="BM43" s="64" t="s">
        <v>114</v>
      </c>
      <c r="BN43" s="2643"/>
      <c r="BO43" s="61">
        <v>1.8280000000000001</v>
      </c>
      <c r="BP43" s="62" t="s">
        <v>113</v>
      </c>
      <c r="BQ43" s="63">
        <v>1</v>
      </c>
      <c r="BR43" s="64" t="s">
        <v>114</v>
      </c>
      <c r="BW43" s="27"/>
      <c r="DG43" s="57"/>
      <c r="DH43" s="57"/>
    </row>
    <row r="44" spans="1:112" ht="18.600000000000001" customHeight="1" thickTop="1" x14ac:dyDescent="0.25">
      <c r="A44" s="3508" t="s">
        <v>110</v>
      </c>
      <c r="B44" s="3509"/>
      <c r="C44" s="3512">
        <f>B49/((36*3.1415/59)*(136/3.281))</f>
        <v>1.2585769360001413E-6</v>
      </c>
      <c r="D44" s="3512"/>
      <c r="E44" s="3513"/>
      <c r="F44" s="3508" t="s">
        <v>110</v>
      </c>
      <c r="G44" s="3509"/>
      <c r="H44" s="3512">
        <f>G49/((36*3.1415/59)*(136/3.281))</f>
        <v>3.2597142642403661E-2</v>
      </c>
      <c r="I44" s="3512"/>
      <c r="J44" s="3513"/>
      <c r="K44" s="3508" t="s">
        <v>110</v>
      </c>
      <c r="L44" s="3509"/>
      <c r="M44" s="3512">
        <f>L49/((36*3.1415/59)*(136/3.281))</f>
        <v>2.8695554140803223E-3</v>
      </c>
      <c r="N44" s="3512"/>
      <c r="O44" s="3513"/>
      <c r="P44" s="3508" t="s">
        <v>110</v>
      </c>
      <c r="Q44" s="3509"/>
      <c r="R44" s="3512">
        <f>Q49/((36*3.1415/59)*(136/3.281))</f>
        <v>3.5114296514403946E-3</v>
      </c>
      <c r="S44" s="3512"/>
      <c r="T44" s="3513"/>
      <c r="U44" s="3508" t="s">
        <v>110</v>
      </c>
      <c r="V44" s="3509"/>
      <c r="W44" s="3512">
        <f>V49/((36*3.1415/59)*(136/3.281))</f>
        <v>7.350089306240825E-3</v>
      </c>
      <c r="X44" s="3512"/>
      <c r="Y44" s="3513"/>
      <c r="Z44" s="3508" t="s">
        <v>110</v>
      </c>
      <c r="AA44" s="3509"/>
      <c r="AB44" s="3512">
        <f>AA49/((36*3.1415/59)*(136/3.281))</f>
        <v>2.1093749447362368E-2</v>
      </c>
      <c r="AC44" s="3512"/>
      <c r="AD44" s="3513"/>
      <c r="AE44" s="3508" t="s">
        <v>110</v>
      </c>
      <c r="AF44" s="3509"/>
      <c r="AG44" s="3512">
        <f>AF49/((36*3.1415/59)*(136/3.281))</f>
        <v>1.2585769360001413E-6</v>
      </c>
      <c r="AH44" s="3512"/>
      <c r="AI44" s="3513"/>
      <c r="AJ44" s="3508" t="s">
        <v>110</v>
      </c>
      <c r="AK44" s="3509"/>
      <c r="AL44" s="3512">
        <f>AK49/((36*3.1415/59)*(136/3.281))</f>
        <v>1.24599116664014E-2</v>
      </c>
      <c r="AM44" s="3512"/>
      <c r="AN44" s="3513"/>
      <c r="AO44" s="3508" t="s">
        <v>110</v>
      </c>
      <c r="AP44" s="3509"/>
      <c r="AQ44" s="3512">
        <f>AP49/((36*3.1415/59)*(136/3.281))</f>
        <v>2.22768117672025E-3</v>
      </c>
      <c r="AR44" s="3512"/>
      <c r="AS44" s="3513"/>
      <c r="AT44" s="3508" t="s">
        <v>110</v>
      </c>
      <c r="AU44" s="3509"/>
      <c r="AV44" s="3512">
        <f>AU49/((36*3.1415/59)*(136/3.281))</f>
        <v>5.7516965975206464E-3</v>
      </c>
      <c r="AW44" s="3512"/>
      <c r="AX44" s="3513"/>
      <c r="AY44" s="3508" t="s">
        <v>110</v>
      </c>
      <c r="AZ44" s="3509"/>
      <c r="BA44" s="3512">
        <f>AZ49/((36*3.1415/59)*(136/3.281))</f>
        <v>1.2585769360001413E-6</v>
      </c>
      <c r="BB44" s="3512"/>
      <c r="BC44" s="3513"/>
      <c r="BD44" s="3508" t="s">
        <v>110</v>
      </c>
      <c r="BE44" s="3509"/>
      <c r="BF44" s="3512">
        <f>BE49/((36*3.1415/59)*(136/3.281))</f>
        <v>1.9130369427202147E-3</v>
      </c>
      <c r="BG44" s="3512"/>
      <c r="BH44" s="3513"/>
      <c r="BI44" s="3508" t="s">
        <v>110</v>
      </c>
      <c r="BJ44" s="3509"/>
      <c r="BK44" s="3512">
        <f>BJ49/((36*3.1415/59)*(136/3.281))</f>
        <v>1.2585769360001414E-5</v>
      </c>
      <c r="BL44" s="3512"/>
      <c r="BM44" s="3513"/>
      <c r="BN44" s="3508" t="s">
        <v>110</v>
      </c>
      <c r="BO44" s="3509"/>
      <c r="BP44" s="3512">
        <f>BO49/((36*3.1415/59)*(136/3.281))</f>
        <v>1.5669282853201762E-2</v>
      </c>
      <c r="BQ44" s="3512"/>
      <c r="BR44" s="3513"/>
      <c r="DG44" s="57"/>
      <c r="DH44" s="57"/>
    </row>
    <row r="45" spans="1:112" ht="18.600000000000001" customHeight="1" x14ac:dyDescent="0.25">
      <c r="A45" s="3510"/>
      <c r="B45" s="3511"/>
      <c r="C45" s="3514"/>
      <c r="D45" s="3514"/>
      <c r="E45" s="3515"/>
      <c r="F45" s="3510"/>
      <c r="G45" s="3511"/>
      <c r="H45" s="3514"/>
      <c r="I45" s="3514"/>
      <c r="J45" s="3515"/>
      <c r="K45" s="3510"/>
      <c r="L45" s="3511"/>
      <c r="M45" s="3514"/>
      <c r="N45" s="3514"/>
      <c r="O45" s="3515"/>
      <c r="P45" s="3510"/>
      <c r="Q45" s="3511"/>
      <c r="R45" s="3514"/>
      <c r="S45" s="3514"/>
      <c r="T45" s="3515"/>
      <c r="U45" s="3510"/>
      <c r="V45" s="3511"/>
      <c r="W45" s="3514"/>
      <c r="X45" s="3514"/>
      <c r="Y45" s="3515"/>
      <c r="Z45" s="3510"/>
      <c r="AA45" s="3511"/>
      <c r="AB45" s="3514"/>
      <c r="AC45" s="3514"/>
      <c r="AD45" s="3515"/>
      <c r="AE45" s="3510"/>
      <c r="AF45" s="3511"/>
      <c r="AG45" s="3514"/>
      <c r="AH45" s="3514"/>
      <c r="AI45" s="3515"/>
      <c r="AJ45" s="3510"/>
      <c r="AK45" s="3511"/>
      <c r="AL45" s="3514"/>
      <c r="AM45" s="3514"/>
      <c r="AN45" s="3515"/>
      <c r="AO45" s="3510"/>
      <c r="AP45" s="3511"/>
      <c r="AQ45" s="3514"/>
      <c r="AR45" s="3514"/>
      <c r="AS45" s="3515"/>
      <c r="AT45" s="3510"/>
      <c r="AU45" s="3511"/>
      <c r="AV45" s="3514"/>
      <c r="AW45" s="3514"/>
      <c r="AX45" s="3515"/>
      <c r="AY45" s="3510"/>
      <c r="AZ45" s="3511"/>
      <c r="BA45" s="3514"/>
      <c r="BB45" s="3514"/>
      <c r="BC45" s="3515"/>
      <c r="BD45" s="3510"/>
      <c r="BE45" s="3511"/>
      <c r="BF45" s="3514"/>
      <c r="BG45" s="3514"/>
      <c r="BH45" s="3515"/>
      <c r="BI45" s="3510"/>
      <c r="BJ45" s="3511"/>
      <c r="BK45" s="3514"/>
      <c r="BL45" s="3514"/>
      <c r="BM45" s="3515"/>
      <c r="BN45" s="3510"/>
      <c r="BO45" s="3511"/>
      <c r="BP45" s="3514"/>
      <c r="BQ45" s="3514"/>
      <c r="BR45" s="3515"/>
      <c r="DG45" s="57"/>
      <c r="DH45" s="57"/>
    </row>
    <row r="46" spans="1:112" ht="9.9499999999999993" customHeight="1" x14ac:dyDescent="0.25">
      <c r="A46" s="3495" t="s">
        <v>277</v>
      </c>
      <c r="B46" s="3527"/>
      <c r="C46" s="3529" t="s">
        <v>273</v>
      </c>
      <c r="D46" s="3529"/>
      <c r="E46" s="3530"/>
      <c r="F46" s="3504" t="s">
        <v>111</v>
      </c>
      <c r="G46" s="3196"/>
      <c r="H46" s="3196"/>
      <c r="I46" s="3196"/>
      <c r="J46" s="3505"/>
      <c r="K46" s="3495" t="s">
        <v>277</v>
      </c>
      <c r="L46" s="3527"/>
      <c r="M46" s="3529" t="s">
        <v>273</v>
      </c>
      <c r="N46" s="3529"/>
      <c r="O46" s="3530"/>
      <c r="P46" s="3504" t="s">
        <v>111</v>
      </c>
      <c r="Q46" s="3196"/>
      <c r="R46" s="3196"/>
      <c r="S46" s="3196"/>
      <c r="T46" s="3505"/>
      <c r="U46" s="3504" t="s">
        <v>111</v>
      </c>
      <c r="V46" s="3196"/>
      <c r="W46" s="3196"/>
      <c r="X46" s="3196"/>
      <c r="Y46" s="3505"/>
      <c r="Z46" s="3504" t="s">
        <v>111</v>
      </c>
      <c r="AA46" s="3196"/>
      <c r="AB46" s="3196"/>
      <c r="AC46" s="3196"/>
      <c r="AD46" s="3505"/>
      <c r="AE46" s="3495" t="s">
        <v>277</v>
      </c>
      <c r="AF46" s="3527"/>
      <c r="AG46" s="3529" t="s">
        <v>273</v>
      </c>
      <c r="AH46" s="3529"/>
      <c r="AI46" s="3530"/>
      <c r="AJ46" s="3495" t="s">
        <v>277</v>
      </c>
      <c r="AK46" s="3527"/>
      <c r="AL46" s="3529" t="s">
        <v>273</v>
      </c>
      <c r="AM46" s="3529"/>
      <c r="AN46" s="3530"/>
      <c r="AO46" s="3495" t="s">
        <v>277</v>
      </c>
      <c r="AP46" s="3527"/>
      <c r="AQ46" s="3529" t="s">
        <v>273</v>
      </c>
      <c r="AR46" s="3529"/>
      <c r="AS46" s="3530"/>
      <c r="AT46" s="3504" t="s">
        <v>111</v>
      </c>
      <c r="AU46" s="3196"/>
      <c r="AV46" s="3196"/>
      <c r="AW46" s="3196"/>
      <c r="AX46" s="3505"/>
      <c r="AY46" s="3504" t="s">
        <v>111</v>
      </c>
      <c r="AZ46" s="3196"/>
      <c r="BA46" s="3196"/>
      <c r="BB46" s="3196"/>
      <c r="BC46" s="3505"/>
      <c r="BD46" s="3504" t="s">
        <v>111</v>
      </c>
      <c r="BE46" s="3196"/>
      <c r="BF46" s="3196"/>
      <c r="BG46" s="3196"/>
      <c r="BH46" s="3505"/>
      <c r="BI46" s="3504" t="s">
        <v>111</v>
      </c>
      <c r="BJ46" s="3196"/>
      <c r="BK46" s="3196"/>
      <c r="BL46" s="3196"/>
      <c r="BM46" s="3505"/>
      <c r="BN46" s="3504" t="s">
        <v>111</v>
      </c>
      <c r="BO46" s="3196"/>
      <c r="BP46" s="3196"/>
      <c r="BQ46" s="3196"/>
      <c r="BR46" s="3505"/>
    </row>
    <row r="47" spans="1:112" ht="9.9499999999999993" customHeight="1" x14ac:dyDescent="0.25">
      <c r="A47" s="3499"/>
      <c r="B47" s="3528"/>
      <c r="C47" s="3531"/>
      <c r="D47" s="3531"/>
      <c r="E47" s="3532"/>
      <c r="F47" s="3506"/>
      <c r="G47" s="3197"/>
      <c r="H47" s="3197"/>
      <c r="I47" s="3197"/>
      <c r="J47" s="3507"/>
      <c r="K47" s="3499"/>
      <c r="L47" s="3528"/>
      <c r="M47" s="3531"/>
      <c r="N47" s="3531"/>
      <c r="O47" s="3532"/>
      <c r="P47" s="3506"/>
      <c r="Q47" s="3197"/>
      <c r="R47" s="3197"/>
      <c r="S47" s="3197"/>
      <c r="T47" s="3507"/>
      <c r="U47" s="3506"/>
      <c r="V47" s="3197"/>
      <c r="W47" s="3197"/>
      <c r="X47" s="3197"/>
      <c r="Y47" s="3507"/>
      <c r="Z47" s="3506"/>
      <c r="AA47" s="3197"/>
      <c r="AB47" s="3197"/>
      <c r="AC47" s="3197"/>
      <c r="AD47" s="3507"/>
      <c r="AE47" s="3499"/>
      <c r="AF47" s="3528"/>
      <c r="AG47" s="3531"/>
      <c r="AH47" s="3531"/>
      <c r="AI47" s="3532"/>
      <c r="AJ47" s="3499"/>
      <c r="AK47" s="3528"/>
      <c r="AL47" s="3531"/>
      <c r="AM47" s="3531"/>
      <c r="AN47" s="3532"/>
      <c r="AO47" s="3499"/>
      <c r="AP47" s="3528"/>
      <c r="AQ47" s="3531"/>
      <c r="AR47" s="3531"/>
      <c r="AS47" s="3532"/>
      <c r="AT47" s="3506"/>
      <c r="AU47" s="3197"/>
      <c r="AV47" s="3197"/>
      <c r="AW47" s="3197"/>
      <c r="AX47" s="3507"/>
      <c r="AY47" s="3506"/>
      <c r="AZ47" s="3197"/>
      <c r="BA47" s="3197"/>
      <c r="BB47" s="3197"/>
      <c r="BC47" s="3507"/>
      <c r="BD47" s="3506"/>
      <c r="BE47" s="3197"/>
      <c r="BF47" s="3197"/>
      <c r="BG47" s="3197"/>
      <c r="BH47" s="3507"/>
      <c r="BI47" s="3506"/>
      <c r="BJ47" s="3197"/>
      <c r="BK47" s="3197"/>
      <c r="BL47" s="3197"/>
      <c r="BM47" s="3507"/>
      <c r="BN47" s="3506"/>
      <c r="BO47" s="3197"/>
      <c r="BP47" s="3197"/>
      <c r="BQ47" s="3197"/>
      <c r="BR47" s="3507"/>
    </row>
    <row r="48" spans="1:112" s="22" customFormat="1" ht="84.95" customHeight="1" x14ac:dyDescent="1.35">
      <c r="A48" s="2642" t="s">
        <v>115</v>
      </c>
      <c r="B48" s="1266">
        <v>161</v>
      </c>
      <c r="C48" s="1267"/>
      <c r="D48" s="1267"/>
      <c r="E48" s="1268"/>
      <c r="F48" s="2642" t="s">
        <v>115</v>
      </c>
      <c r="G48" s="1266">
        <v>160</v>
      </c>
      <c r="H48" s="1267"/>
      <c r="I48" s="1267"/>
      <c r="J48" s="1268"/>
      <c r="K48" s="2642" t="s">
        <v>115</v>
      </c>
      <c r="L48" s="1266">
        <v>163</v>
      </c>
      <c r="M48" s="1267"/>
      <c r="N48" s="1267"/>
      <c r="O48" s="1268"/>
      <c r="P48" s="2642" t="s">
        <v>115</v>
      </c>
      <c r="Q48" s="1266">
        <v>162</v>
      </c>
      <c r="R48" s="1267"/>
      <c r="S48" s="1267"/>
      <c r="T48" s="1268"/>
      <c r="U48" s="2642" t="s">
        <v>115</v>
      </c>
      <c r="V48" s="1266">
        <v>165</v>
      </c>
      <c r="W48" s="1267"/>
      <c r="X48" s="1267"/>
      <c r="Y48" s="1268"/>
      <c r="Z48" s="2642" t="s">
        <v>115</v>
      </c>
      <c r="AA48" s="1266">
        <v>164</v>
      </c>
      <c r="AB48" s="1267"/>
      <c r="AC48" s="1267"/>
      <c r="AD48" s="1268"/>
      <c r="AE48" s="2642" t="s">
        <v>115</v>
      </c>
      <c r="AF48" s="1266">
        <v>167</v>
      </c>
      <c r="AG48" s="1267"/>
      <c r="AH48" s="1267"/>
      <c r="AI48" s="1268"/>
      <c r="AJ48" s="2642" t="s">
        <v>115</v>
      </c>
      <c r="AK48" s="1266">
        <v>166</v>
      </c>
      <c r="AL48" s="1267"/>
      <c r="AM48" s="1267"/>
      <c r="AN48" s="1268"/>
      <c r="AO48" s="2642" t="s">
        <v>115</v>
      </c>
      <c r="AP48" s="1266">
        <v>169</v>
      </c>
      <c r="AQ48" s="1267"/>
      <c r="AR48" s="1267"/>
      <c r="AS48" s="1268"/>
      <c r="AT48" s="2642" t="s">
        <v>115</v>
      </c>
      <c r="AU48" s="1266">
        <v>168</v>
      </c>
      <c r="AV48" s="1267"/>
      <c r="AW48" s="1267"/>
      <c r="AX48" s="1268"/>
      <c r="AY48" s="2642" t="s">
        <v>115</v>
      </c>
      <c r="AZ48" s="1266">
        <v>171</v>
      </c>
      <c r="BA48" s="1267"/>
      <c r="BB48" s="1267"/>
      <c r="BC48" s="1268"/>
      <c r="BD48" s="2642" t="s">
        <v>115</v>
      </c>
      <c r="BE48" s="1266">
        <v>170</v>
      </c>
      <c r="BF48" s="1267"/>
      <c r="BG48" s="1267"/>
      <c r="BH48" s="1268"/>
      <c r="BI48" s="2642" t="s">
        <v>115</v>
      </c>
      <c r="BJ48" s="1266">
        <v>175</v>
      </c>
      <c r="BK48" s="1267"/>
      <c r="BL48" s="1267"/>
      <c r="BM48" s="1268"/>
      <c r="BN48" s="2642" t="s">
        <v>115</v>
      </c>
      <c r="BO48" s="1266">
        <v>172</v>
      </c>
      <c r="BP48" s="1267"/>
      <c r="BQ48" s="1267"/>
      <c r="BR48" s="1268"/>
      <c r="DG48"/>
      <c r="DH48"/>
    </row>
    <row r="49" spans="1:83" ht="23.1" customHeight="1" thickBot="1" x14ac:dyDescent="0.3">
      <c r="A49" s="2643"/>
      <c r="B49" s="61">
        <v>1E-4</v>
      </c>
      <c r="C49" s="62" t="s">
        <v>113</v>
      </c>
      <c r="D49" s="63">
        <v>1</v>
      </c>
      <c r="E49" s="64" t="s">
        <v>114</v>
      </c>
      <c r="F49" s="2643"/>
      <c r="G49" s="61">
        <v>2.59</v>
      </c>
      <c r="H49" s="62" t="s">
        <v>113</v>
      </c>
      <c r="I49" s="63">
        <v>1</v>
      </c>
      <c r="J49" s="64" t="s">
        <v>114</v>
      </c>
      <c r="K49" s="2643"/>
      <c r="L49" s="61">
        <v>0.22800000000000001</v>
      </c>
      <c r="M49" s="62" t="s">
        <v>113</v>
      </c>
      <c r="N49" s="63"/>
      <c r="O49" s="64" t="s">
        <v>114</v>
      </c>
      <c r="P49" s="2643"/>
      <c r="Q49" s="61">
        <v>0.27900000000000003</v>
      </c>
      <c r="R49" s="62" t="s">
        <v>113</v>
      </c>
      <c r="S49" s="63"/>
      <c r="T49" s="64" t="s">
        <v>114</v>
      </c>
      <c r="U49" s="2643"/>
      <c r="V49" s="61">
        <v>0.58399999999999996</v>
      </c>
      <c r="W49" s="62" t="s">
        <v>113</v>
      </c>
      <c r="X49" s="63">
        <v>1</v>
      </c>
      <c r="Y49" s="64" t="s">
        <v>114</v>
      </c>
      <c r="Z49" s="2643"/>
      <c r="AA49" s="61">
        <v>1.6759999999999999</v>
      </c>
      <c r="AB49" s="62" t="s">
        <v>113</v>
      </c>
      <c r="AC49" s="63">
        <v>1</v>
      </c>
      <c r="AD49" s="64" t="s">
        <v>114</v>
      </c>
      <c r="AE49" s="2643"/>
      <c r="AF49" s="61">
        <v>1E-4</v>
      </c>
      <c r="AG49" s="62" t="s">
        <v>113</v>
      </c>
      <c r="AH49" s="63">
        <v>1</v>
      </c>
      <c r="AI49" s="64" t="s">
        <v>114</v>
      </c>
      <c r="AJ49" s="2643"/>
      <c r="AK49" s="61">
        <v>0.99</v>
      </c>
      <c r="AL49" s="62" t="s">
        <v>113</v>
      </c>
      <c r="AM49" s="63">
        <v>1</v>
      </c>
      <c r="AN49" s="64" t="s">
        <v>114</v>
      </c>
      <c r="AO49" s="2643"/>
      <c r="AP49" s="61">
        <v>0.17699999999999999</v>
      </c>
      <c r="AQ49" s="62" t="s">
        <v>113</v>
      </c>
      <c r="AR49" s="63"/>
      <c r="AS49" s="64" t="s">
        <v>114</v>
      </c>
      <c r="AT49" s="2643"/>
      <c r="AU49" s="61">
        <v>0.45700000000000002</v>
      </c>
      <c r="AV49" s="62" t="s">
        <v>113</v>
      </c>
      <c r="AW49" s="63"/>
      <c r="AX49" s="64" t="s">
        <v>114</v>
      </c>
      <c r="AY49" s="2643"/>
      <c r="AZ49" s="61">
        <v>1E-4</v>
      </c>
      <c r="BA49" s="62" t="s">
        <v>113</v>
      </c>
      <c r="BB49" s="63">
        <v>1</v>
      </c>
      <c r="BC49" s="64" t="s">
        <v>114</v>
      </c>
      <c r="BD49" s="2643"/>
      <c r="BE49" s="61">
        <v>0.152</v>
      </c>
      <c r="BF49" s="62" t="s">
        <v>113</v>
      </c>
      <c r="BG49" s="63">
        <v>1</v>
      </c>
      <c r="BH49" s="64" t="s">
        <v>114</v>
      </c>
      <c r="BI49" s="2643"/>
      <c r="BJ49" s="61">
        <v>1E-3</v>
      </c>
      <c r="BK49" s="62" t="s">
        <v>113</v>
      </c>
      <c r="BL49" s="63"/>
      <c r="BM49" s="64" t="s">
        <v>114</v>
      </c>
      <c r="BN49" s="2643"/>
      <c r="BO49" s="61">
        <v>1.2450000000000001</v>
      </c>
      <c r="BP49" s="62" t="s">
        <v>113</v>
      </c>
      <c r="BQ49" s="63"/>
      <c r="BR49" s="64" t="s">
        <v>114</v>
      </c>
      <c r="BW49" s="27"/>
    </row>
    <row r="50" spans="1:83" ht="26.1" hidden="1" customHeight="1" thickTop="1" x14ac:dyDescent="0.25">
      <c r="A50" s="3508" t="s">
        <v>110</v>
      </c>
      <c r="B50" s="3509"/>
      <c r="C50" s="3512">
        <f>B55/((36*3.1415/59)*(136/3.281))</f>
        <v>0</v>
      </c>
      <c r="D50" s="3512"/>
      <c r="E50" s="3513"/>
      <c r="F50" s="3508" t="s">
        <v>110</v>
      </c>
      <c r="G50" s="3509"/>
      <c r="H50" s="3512">
        <f>G55/((36*3.1415/59)*(136/3.281))</f>
        <v>0</v>
      </c>
      <c r="I50" s="3512"/>
      <c r="J50" s="3513"/>
      <c r="K50" s="3508" t="s">
        <v>110</v>
      </c>
      <c r="L50" s="3509"/>
      <c r="M50" s="3512">
        <f>L55/((36*3.1415/59)*(136/3.281))</f>
        <v>0</v>
      </c>
      <c r="N50" s="3512"/>
      <c r="O50" s="3513"/>
      <c r="P50" s="3508" t="s">
        <v>110</v>
      </c>
      <c r="Q50" s="3509"/>
      <c r="R50" s="3512">
        <f>Q55/((36*3.1415/59)*(136/3.281))</f>
        <v>0</v>
      </c>
      <c r="S50" s="3512"/>
      <c r="T50" s="3513"/>
      <c r="U50" s="3508" t="s">
        <v>110</v>
      </c>
      <c r="V50" s="3509"/>
      <c r="W50" s="3512">
        <f>V55/((36*3.1415/59)*(136/3.281))</f>
        <v>0</v>
      </c>
      <c r="X50" s="3512"/>
      <c r="Y50" s="3513"/>
      <c r="Z50" s="3508" t="s">
        <v>110</v>
      </c>
      <c r="AA50" s="3509"/>
      <c r="AB50" s="3512">
        <f>AA55/((36*3.1415/59)*(136/3.281))</f>
        <v>0</v>
      </c>
      <c r="AC50" s="3512"/>
      <c r="AD50" s="3513"/>
      <c r="AE50" s="3508" t="s">
        <v>110</v>
      </c>
      <c r="AF50" s="3509"/>
      <c r="AG50" s="3512">
        <f>AF55/((36*3.1415/59)*(136/3.281))</f>
        <v>0</v>
      </c>
      <c r="AH50" s="3512"/>
      <c r="AI50" s="3513"/>
      <c r="AJ50" s="3508" t="s">
        <v>110</v>
      </c>
      <c r="AK50" s="3509"/>
      <c r="AL50" s="3512">
        <f>AK55/((36*3.1415/59)*(136/3.281))</f>
        <v>0</v>
      </c>
      <c r="AM50" s="3512"/>
      <c r="AN50" s="3513"/>
      <c r="AO50" s="3508" t="s">
        <v>110</v>
      </c>
      <c r="AP50" s="3509"/>
      <c r="AQ50" s="3512">
        <f>AP55/((36*3.1415/59)*(136/3.281))</f>
        <v>0</v>
      </c>
      <c r="AR50" s="3512"/>
      <c r="AS50" s="3513"/>
      <c r="AT50" s="3508" t="s">
        <v>110</v>
      </c>
      <c r="AU50" s="3509"/>
      <c r="AV50" s="3512">
        <f>AU55/((36*3.1415/59)*(136/3.281))</f>
        <v>0</v>
      </c>
      <c r="AW50" s="3512"/>
      <c r="AX50" s="3513"/>
      <c r="AY50" s="3508" t="s">
        <v>110</v>
      </c>
      <c r="AZ50" s="3509"/>
      <c r="BA50" s="3512">
        <f>AZ55/((36*3.1415/59)*(136/3.281))</f>
        <v>0</v>
      </c>
      <c r="BB50" s="3512"/>
      <c r="BC50" s="3513"/>
      <c r="BD50" s="3508" t="s">
        <v>110</v>
      </c>
      <c r="BE50" s="3509"/>
      <c r="BF50" s="3512">
        <f>BE55/((36*3.1415/59)*(136/3.281))</f>
        <v>0</v>
      </c>
      <c r="BG50" s="3512"/>
      <c r="BH50" s="3513"/>
      <c r="BI50" s="3508" t="s">
        <v>110</v>
      </c>
      <c r="BJ50" s="3509"/>
      <c r="BK50" s="3512">
        <f>BJ55/((36*3.1415/59)*(136/3.281))</f>
        <v>0</v>
      </c>
      <c r="BL50" s="3512"/>
      <c r="BM50" s="3513"/>
      <c r="BN50" s="3508" t="s">
        <v>110</v>
      </c>
      <c r="BO50" s="3509"/>
      <c r="BP50" s="3512">
        <f>BO55/((36*3.1415/59)*(136/3.281))</f>
        <v>0</v>
      </c>
      <c r="BQ50" s="3512"/>
      <c r="BR50" s="3513"/>
    </row>
    <row r="51" spans="1:83" ht="6.75" hidden="1" customHeight="1" x14ac:dyDescent="0.25">
      <c r="A51" s="3510"/>
      <c r="B51" s="3511"/>
      <c r="C51" s="3514"/>
      <c r="D51" s="3514"/>
      <c r="E51" s="3515"/>
      <c r="F51" s="3510"/>
      <c r="G51" s="3511"/>
      <c r="H51" s="3514"/>
      <c r="I51" s="3514"/>
      <c r="J51" s="3515"/>
      <c r="K51" s="3510"/>
      <c r="L51" s="3511"/>
      <c r="M51" s="3514"/>
      <c r="N51" s="3514"/>
      <c r="O51" s="3515"/>
      <c r="P51" s="3510"/>
      <c r="Q51" s="3511"/>
      <c r="R51" s="3514"/>
      <c r="S51" s="3514"/>
      <c r="T51" s="3515"/>
      <c r="U51" s="3510"/>
      <c r="V51" s="3511"/>
      <c r="W51" s="3514"/>
      <c r="X51" s="3514"/>
      <c r="Y51" s="3515"/>
      <c r="Z51" s="3510"/>
      <c r="AA51" s="3511"/>
      <c r="AB51" s="3514"/>
      <c r="AC51" s="3514"/>
      <c r="AD51" s="3515"/>
      <c r="AE51" s="3510"/>
      <c r="AF51" s="3511"/>
      <c r="AG51" s="3514"/>
      <c r="AH51" s="3514"/>
      <c r="AI51" s="3515"/>
      <c r="AJ51" s="3510"/>
      <c r="AK51" s="3511"/>
      <c r="AL51" s="3514"/>
      <c r="AM51" s="3514"/>
      <c r="AN51" s="3515"/>
      <c r="AO51" s="3510"/>
      <c r="AP51" s="3511"/>
      <c r="AQ51" s="3514"/>
      <c r="AR51" s="3514"/>
      <c r="AS51" s="3515"/>
      <c r="AT51" s="3510"/>
      <c r="AU51" s="3511"/>
      <c r="AV51" s="3514"/>
      <c r="AW51" s="3514"/>
      <c r="AX51" s="3515"/>
      <c r="AY51" s="3510"/>
      <c r="AZ51" s="3511"/>
      <c r="BA51" s="3514"/>
      <c r="BB51" s="3514"/>
      <c r="BC51" s="3515"/>
      <c r="BD51" s="3510"/>
      <c r="BE51" s="3511"/>
      <c r="BF51" s="3514"/>
      <c r="BG51" s="3514"/>
      <c r="BH51" s="3515"/>
      <c r="BI51" s="3510"/>
      <c r="BJ51" s="3511"/>
      <c r="BK51" s="3514"/>
      <c r="BL51" s="3514"/>
      <c r="BM51" s="3515"/>
      <c r="BN51" s="3510"/>
      <c r="BO51" s="3511"/>
      <c r="BP51" s="3514"/>
      <c r="BQ51" s="3514"/>
      <c r="BR51" s="3515"/>
    </row>
    <row r="52" spans="1:83" ht="21.95" hidden="1" customHeight="1" x14ac:dyDescent="0.25">
      <c r="A52" s="3533" t="s">
        <v>111</v>
      </c>
      <c r="B52" s="3534"/>
      <c r="C52" s="3534"/>
      <c r="D52" s="3534"/>
      <c r="E52" s="3535"/>
      <c r="F52" s="3533" t="s">
        <v>111</v>
      </c>
      <c r="G52" s="3534"/>
      <c r="H52" s="3534"/>
      <c r="I52" s="3534"/>
      <c r="J52" s="3535"/>
      <c r="K52" s="3533" t="s">
        <v>111</v>
      </c>
      <c r="L52" s="3534"/>
      <c r="M52" s="3534"/>
      <c r="N52" s="3534"/>
      <c r="O52" s="3535"/>
      <c r="P52" s="3533" t="s">
        <v>111</v>
      </c>
      <c r="Q52" s="3534"/>
      <c r="R52" s="3534"/>
      <c r="S52" s="3534"/>
      <c r="T52" s="3535"/>
      <c r="U52" s="3533" t="s">
        <v>111</v>
      </c>
      <c r="V52" s="3534"/>
      <c r="W52" s="3534"/>
      <c r="X52" s="3534"/>
      <c r="Y52" s="3535"/>
      <c r="Z52" s="3533" t="s">
        <v>111</v>
      </c>
      <c r="AA52" s="3534"/>
      <c r="AB52" s="3534"/>
      <c r="AC52" s="3534"/>
      <c r="AD52" s="3535"/>
      <c r="AE52" s="3533" t="s">
        <v>111</v>
      </c>
      <c r="AF52" s="3534"/>
      <c r="AG52" s="3534"/>
      <c r="AH52" s="3534"/>
      <c r="AI52" s="3535"/>
      <c r="AJ52" s="3533" t="s">
        <v>111</v>
      </c>
      <c r="AK52" s="3534"/>
      <c r="AL52" s="3534"/>
      <c r="AM52" s="3534"/>
      <c r="AN52" s="3535"/>
      <c r="AO52" s="3533" t="s">
        <v>111</v>
      </c>
      <c r="AP52" s="3534"/>
      <c r="AQ52" s="3534"/>
      <c r="AR52" s="3534"/>
      <c r="AS52" s="3535"/>
      <c r="AT52" s="3533" t="s">
        <v>111</v>
      </c>
      <c r="AU52" s="3534"/>
      <c r="AV52" s="3534"/>
      <c r="AW52" s="3534"/>
      <c r="AX52" s="3535"/>
      <c r="AY52" s="3533" t="s">
        <v>111</v>
      </c>
      <c r="AZ52" s="3534"/>
      <c r="BA52" s="3534"/>
      <c r="BB52" s="3534"/>
      <c r="BC52" s="3535"/>
      <c r="BD52" s="3533" t="s">
        <v>111</v>
      </c>
      <c r="BE52" s="3534"/>
      <c r="BF52" s="3534"/>
      <c r="BG52" s="3534"/>
      <c r="BH52" s="3535"/>
      <c r="BI52" s="3533" t="s">
        <v>111</v>
      </c>
      <c r="BJ52" s="3534"/>
      <c r="BK52" s="3534"/>
      <c r="BL52" s="3534"/>
      <c r="BM52" s="3535"/>
      <c r="BN52" s="3533" t="s">
        <v>111</v>
      </c>
      <c r="BO52" s="3534"/>
      <c r="BP52" s="3534"/>
      <c r="BQ52" s="3534"/>
      <c r="BR52" s="3535"/>
    </row>
    <row r="53" spans="1:83" ht="6" hidden="1" customHeight="1" x14ac:dyDescent="0.25">
      <c r="A53" s="3510"/>
      <c r="B53" s="3536"/>
      <c r="C53" s="3536"/>
      <c r="D53" s="3536"/>
      <c r="E53" s="3537"/>
      <c r="F53" s="3510"/>
      <c r="G53" s="3536"/>
      <c r="H53" s="3536"/>
      <c r="I53" s="3536"/>
      <c r="J53" s="3537"/>
      <c r="K53" s="3510"/>
      <c r="L53" s="3536"/>
      <c r="M53" s="3536"/>
      <c r="N53" s="3536"/>
      <c r="O53" s="3537"/>
      <c r="P53" s="3510"/>
      <c r="Q53" s="3536"/>
      <c r="R53" s="3536"/>
      <c r="S53" s="3536"/>
      <c r="T53" s="3537"/>
      <c r="U53" s="3510"/>
      <c r="V53" s="3536"/>
      <c r="W53" s="3536"/>
      <c r="X53" s="3536"/>
      <c r="Y53" s="3537"/>
      <c r="Z53" s="3510"/>
      <c r="AA53" s="3536"/>
      <c r="AB53" s="3536"/>
      <c r="AC53" s="3536"/>
      <c r="AD53" s="3537"/>
      <c r="AE53" s="3510"/>
      <c r="AF53" s="3536"/>
      <c r="AG53" s="3536"/>
      <c r="AH53" s="3536"/>
      <c r="AI53" s="3537"/>
      <c r="AJ53" s="3510"/>
      <c r="AK53" s="3536"/>
      <c r="AL53" s="3536"/>
      <c r="AM53" s="3536"/>
      <c r="AN53" s="3537"/>
      <c r="AO53" s="3510"/>
      <c r="AP53" s="3536"/>
      <c r="AQ53" s="3536"/>
      <c r="AR53" s="3536"/>
      <c r="AS53" s="3537"/>
      <c r="AT53" s="3510"/>
      <c r="AU53" s="3536"/>
      <c r="AV53" s="3536"/>
      <c r="AW53" s="3536"/>
      <c r="AX53" s="3537"/>
      <c r="AY53" s="3510"/>
      <c r="AZ53" s="3536"/>
      <c r="BA53" s="3536"/>
      <c r="BB53" s="3536"/>
      <c r="BC53" s="3537"/>
      <c r="BD53" s="3510"/>
      <c r="BE53" s="3536"/>
      <c r="BF53" s="3536"/>
      <c r="BG53" s="3536"/>
      <c r="BH53" s="3537"/>
      <c r="BI53" s="3510"/>
      <c r="BJ53" s="3536"/>
      <c r="BK53" s="3536"/>
      <c r="BL53" s="3536"/>
      <c r="BM53" s="3537"/>
      <c r="BN53" s="3510"/>
      <c r="BO53" s="3536"/>
      <c r="BP53" s="3536"/>
      <c r="BQ53" s="3536"/>
      <c r="BR53" s="3537"/>
    </row>
    <row r="54" spans="1:83" ht="60" hidden="1" customHeight="1" thickTop="1" thickBot="1" x14ac:dyDescent="0.3">
      <c r="A54" s="2642" t="s">
        <v>115</v>
      </c>
      <c r="B54" s="3538"/>
      <c r="C54" s="3539"/>
      <c r="D54" s="3539"/>
      <c r="E54" s="3540"/>
      <c r="F54" s="2642" t="s">
        <v>115</v>
      </c>
      <c r="G54" s="3538"/>
      <c r="H54" s="3539"/>
      <c r="I54" s="3539"/>
      <c r="J54" s="3540"/>
      <c r="K54" s="2642" t="s">
        <v>115</v>
      </c>
      <c r="L54" s="3538"/>
      <c r="M54" s="3539"/>
      <c r="N54" s="3539"/>
      <c r="O54" s="3540"/>
      <c r="P54" s="2642" t="s">
        <v>115</v>
      </c>
      <c r="Q54" s="3538"/>
      <c r="R54" s="3539"/>
      <c r="S54" s="3539"/>
      <c r="T54" s="3540"/>
      <c r="U54" s="2642" t="s">
        <v>115</v>
      </c>
      <c r="V54" s="3538"/>
      <c r="W54" s="3539"/>
      <c r="X54" s="3539"/>
      <c r="Y54" s="3540"/>
      <c r="Z54" s="2642" t="s">
        <v>115</v>
      </c>
      <c r="AA54" s="3538"/>
      <c r="AB54" s="3539"/>
      <c r="AC54" s="3539"/>
      <c r="AD54" s="3540"/>
      <c r="AE54" s="2642" t="s">
        <v>115</v>
      </c>
      <c r="AF54" s="3538"/>
      <c r="AG54" s="3539"/>
      <c r="AH54" s="3539"/>
      <c r="AI54" s="3540"/>
      <c r="AJ54" s="2642" t="s">
        <v>115</v>
      </c>
      <c r="AK54" s="3538"/>
      <c r="AL54" s="3539"/>
      <c r="AM54" s="3539"/>
      <c r="AN54" s="3540"/>
      <c r="AO54" s="2642" t="s">
        <v>115</v>
      </c>
      <c r="AP54" s="3538"/>
      <c r="AQ54" s="3539"/>
      <c r="AR54" s="3539"/>
      <c r="AS54" s="3540"/>
      <c r="AT54" s="2642" t="s">
        <v>115</v>
      </c>
      <c r="AU54" s="3538"/>
      <c r="AV54" s="3539"/>
      <c r="AW54" s="3539"/>
      <c r="AX54" s="3540"/>
      <c r="AY54" s="2642" t="s">
        <v>115</v>
      </c>
      <c r="AZ54" s="3538"/>
      <c r="BA54" s="3539"/>
      <c r="BB54" s="3539"/>
      <c r="BC54" s="3540"/>
      <c r="BD54" s="2642" t="s">
        <v>115</v>
      </c>
      <c r="BE54" s="3538"/>
      <c r="BF54" s="3539"/>
      <c r="BG54" s="3539"/>
      <c r="BH54" s="3540"/>
      <c r="BI54" s="2642" t="s">
        <v>115</v>
      </c>
      <c r="BJ54" s="3538"/>
      <c r="BK54" s="3539"/>
      <c r="BL54" s="3539"/>
      <c r="BM54" s="3540"/>
      <c r="BN54" s="2642" t="s">
        <v>115</v>
      </c>
      <c r="BO54" s="3538"/>
      <c r="BP54" s="3539"/>
      <c r="BQ54" s="3539"/>
      <c r="BR54" s="3540"/>
    </row>
    <row r="55" spans="1:83" ht="27.75" hidden="1" customHeight="1" thickTop="1" thickBot="1" x14ac:dyDescent="0.3">
      <c r="A55" s="2643"/>
      <c r="B55" s="23"/>
      <c r="C55" s="24" t="s">
        <v>113</v>
      </c>
      <c r="D55" s="25"/>
      <c r="E55" s="26" t="s">
        <v>114</v>
      </c>
      <c r="F55" s="2643"/>
      <c r="G55" s="23"/>
      <c r="H55" s="24" t="s">
        <v>113</v>
      </c>
      <c r="I55" s="25"/>
      <c r="J55" s="26" t="s">
        <v>114</v>
      </c>
      <c r="K55" s="2643"/>
      <c r="L55" s="23"/>
      <c r="M55" s="24" t="s">
        <v>113</v>
      </c>
      <c r="N55" s="25"/>
      <c r="O55" s="26" t="s">
        <v>114</v>
      </c>
      <c r="P55" s="2643"/>
      <c r="Q55" s="23"/>
      <c r="R55" s="24" t="s">
        <v>113</v>
      </c>
      <c r="S55" s="25"/>
      <c r="T55" s="26" t="s">
        <v>114</v>
      </c>
      <c r="U55" s="2643"/>
      <c r="V55" s="23"/>
      <c r="W55" s="24" t="s">
        <v>113</v>
      </c>
      <c r="X55" s="25"/>
      <c r="Y55" s="26" t="s">
        <v>114</v>
      </c>
      <c r="Z55" s="2643"/>
      <c r="AA55" s="23"/>
      <c r="AB55" s="24" t="s">
        <v>113</v>
      </c>
      <c r="AC55" s="25"/>
      <c r="AD55" s="26" t="s">
        <v>114</v>
      </c>
      <c r="AE55" s="2643"/>
      <c r="AF55" s="23"/>
      <c r="AG55" s="24" t="s">
        <v>113</v>
      </c>
      <c r="AH55" s="25"/>
      <c r="AI55" s="26" t="s">
        <v>114</v>
      </c>
      <c r="AJ55" s="2643"/>
      <c r="AK55" s="23"/>
      <c r="AL55" s="24" t="s">
        <v>113</v>
      </c>
      <c r="AM55" s="25"/>
      <c r="AN55" s="26" t="s">
        <v>114</v>
      </c>
      <c r="AO55" s="2643"/>
      <c r="AP55" s="23"/>
      <c r="AQ55" s="24" t="s">
        <v>113</v>
      </c>
      <c r="AR55" s="25"/>
      <c r="AS55" s="26" t="s">
        <v>114</v>
      </c>
      <c r="AT55" s="2643"/>
      <c r="AU55" s="23"/>
      <c r="AV55" s="24" t="s">
        <v>113</v>
      </c>
      <c r="AW55" s="25"/>
      <c r="AX55" s="26" t="s">
        <v>114</v>
      </c>
      <c r="AY55" s="2643"/>
      <c r="AZ55" s="23"/>
      <c r="BA55" s="24" t="s">
        <v>113</v>
      </c>
      <c r="BB55" s="25"/>
      <c r="BC55" s="26" t="s">
        <v>114</v>
      </c>
      <c r="BD55" s="2643"/>
      <c r="BE55" s="23"/>
      <c r="BF55" s="24" t="s">
        <v>113</v>
      </c>
      <c r="BG55" s="25"/>
      <c r="BH55" s="26" t="s">
        <v>114</v>
      </c>
      <c r="BI55" s="2643"/>
      <c r="BJ55" s="23"/>
      <c r="BK55" s="24" t="s">
        <v>113</v>
      </c>
      <c r="BL55" s="25"/>
      <c r="BM55" s="26" t="s">
        <v>114</v>
      </c>
      <c r="BN55" s="2643"/>
      <c r="BO55" s="23"/>
      <c r="BP55" s="24" t="s">
        <v>113</v>
      </c>
      <c r="BQ55" s="25"/>
      <c r="BR55" s="26" t="s">
        <v>114</v>
      </c>
      <c r="BW55" s="27"/>
      <c r="BX55" s="27"/>
      <c r="BY55" s="27"/>
      <c r="BZ55" s="27"/>
      <c r="CA55" s="27"/>
      <c r="CB55" s="27"/>
      <c r="CC55" s="27"/>
      <c r="CD55" s="27"/>
      <c r="CE55" s="27"/>
    </row>
    <row r="56" spans="1:83" ht="26.1" hidden="1" customHeight="1" x14ac:dyDescent="0.25">
      <c r="A56" s="44"/>
      <c r="B56" s="44"/>
      <c r="C56" s="44"/>
      <c r="D56" s="69"/>
      <c r="E56" s="69"/>
      <c r="F56" s="44"/>
      <c r="G56" s="44"/>
      <c r="H56" s="44"/>
      <c r="I56" s="69"/>
      <c r="J56" s="69"/>
      <c r="K56" s="44"/>
      <c r="L56" s="44"/>
      <c r="M56" s="44"/>
      <c r="N56" s="69"/>
      <c r="O56" s="69"/>
      <c r="P56" s="44"/>
      <c r="Q56" s="44"/>
      <c r="R56" s="44"/>
      <c r="S56" s="69"/>
      <c r="T56" s="69"/>
      <c r="U56" s="44"/>
      <c r="V56" s="44"/>
      <c r="W56" s="44"/>
      <c r="X56" s="69"/>
      <c r="Y56" s="69"/>
      <c r="Z56" s="44"/>
      <c r="AA56" s="44"/>
      <c r="AB56" s="44"/>
      <c r="AC56" s="69"/>
      <c r="AD56" s="69"/>
      <c r="AE56" s="44"/>
      <c r="AF56" s="44"/>
      <c r="AG56" s="44"/>
      <c r="AH56" s="69"/>
      <c r="AI56" s="69"/>
      <c r="AJ56" s="44"/>
      <c r="AK56" s="44"/>
      <c r="AL56" s="44"/>
      <c r="AM56" s="69"/>
      <c r="AN56" s="69"/>
      <c r="AO56" s="44"/>
      <c r="AP56" s="44"/>
      <c r="AQ56" s="44"/>
      <c r="AR56" s="69"/>
      <c r="AS56" s="69"/>
      <c r="AT56" s="44"/>
      <c r="AU56" s="44"/>
      <c r="AV56" s="44"/>
      <c r="AW56" s="69"/>
      <c r="AX56" s="69"/>
      <c r="AY56" s="44"/>
      <c r="AZ56" s="44"/>
      <c r="BA56" s="44"/>
      <c r="BB56" s="69"/>
      <c r="BC56" s="69"/>
      <c r="BD56" s="44"/>
      <c r="BE56" s="44"/>
      <c r="BF56" s="44"/>
      <c r="BG56" s="69"/>
      <c r="BH56" s="69"/>
      <c r="BI56" s="44"/>
      <c r="BJ56" s="44"/>
      <c r="BK56" s="44"/>
      <c r="BL56" s="69"/>
      <c r="BM56" s="69"/>
      <c r="BN56" s="44"/>
      <c r="BO56" s="44"/>
      <c r="BP56" s="44"/>
      <c r="BQ56" s="69"/>
      <c r="BR56" s="69"/>
    </row>
    <row r="57" spans="1:83" ht="6.75" hidden="1" customHeight="1" x14ac:dyDescent="0.25">
      <c r="A57" s="47"/>
      <c r="B57" s="47"/>
      <c r="C57" s="47"/>
      <c r="D57" s="29"/>
      <c r="E57" s="29"/>
      <c r="F57" s="47"/>
      <c r="G57" s="47"/>
      <c r="H57" s="47"/>
      <c r="I57" s="29"/>
      <c r="J57" s="29"/>
      <c r="K57" s="47"/>
      <c r="L57" s="47"/>
      <c r="M57" s="47"/>
      <c r="N57" s="29"/>
      <c r="O57" s="29"/>
      <c r="P57" s="47"/>
      <c r="Q57" s="47"/>
      <c r="R57" s="47"/>
      <c r="S57" s="29"/>
      <c r="T57" s="29"/>
      <c r="U57" s="47"/>
      <c r="V57" s="47"/>
      <c r="W57" s="47"/>
      <c r="X57" s="29"/>
      <c r="Y57" s="29"/>
      <c r="Z57" s="47"/>
      <c r="AA57" s="47"/>
      <c r="AB57" s="47"/>
      <c r="AC57" s="29"/>
      <c r="AD57" s="29"/>
      <c r="AE57" s="47"/>
      <c r="AF57" s="47"/>
      <c r="AG57" s="47"/>
      <c r="AH57" s="29"/>
      <c r="AI57" s="29"/>
      <c r="AJ57" s="47"/>
      <c r="AK57" s="47"/>
      <c r="AL57" s="47"/>
      <c r="AM57" s="29"/>
      <c r="AN57" s="29"/>
      <c r="AO57" s="47"/>
      <c r="AP57" s="47"/>
      <c r="AQ57" s="47"/>
      <c r="AR57" s="29"/>
      <c r="AS57" s="29"/>
      <c r="AT57" s="47"/>
      <c r="AU57" s="47"/>
      <c r="AV57" s="47"/>
      <c r="AW57" s="29"/>
      <c r="AX57" s="29"/>
      <c r="AY57" s="47"/>
      <c r="AZ57" s="47"/>
      <c r="BA57" s="47"/>
      <c r="BB57" s="29"/>
      <c r="BC57" s="29"/>
      <c r="BD57" s="47"/>
      <c r="BE57" s="47"/>
      <c r="BF57" s="47"/>
      <c r="BG57" s="29"/>
      <c r="BH57" s="29"/>
      <c r="BI57" s="47"/>
      <c r="BJ57" s="47"/>
      <c r="BK57" s="47"/>
      <c r="BL57" s="29"/>
      <c r="BM57" s="29"/>
      <c r="BN57" s="47"/>
      <c r="BO57" s="47"/>
      <c r="BP57" s="47"/>
      <c r="BQ57" s="29"/>
      <c r="BR57" s="29"/>
    </row>
    <row r="58" spans="1:83" ht="21.95" hidden="1" customHeight="1" x14ac:dyDescent="0.25">
      <c r="A58" s="47"/>
      <c r="B58" s="47"/>
      <c r="C58" s="47"/>
      <c r="D58" s="30"/>
      <c r="E58" s="29"/>
      <c r="F58" s="47"/>
      <c r="G58" s="47"/>
      <c r="H58" s="47"/>
      <c r="I58" s="30"/>
      <c r="J58" s="29"/>
      <c r="K58" s="47"/>
      <c r="L58" s="47"/>
      <c r="M58" s="47"/>
      <c r="N58" s="30"/>
      <c r="O58" s="29"/>
      <c r="P58" s="47"/>
      <c r="Q58" s="47"/>
      <c r="R58" s="47"/>
      <c r="S58" s="30"/>
      <c r="T58" s="29"/>
      <c r="U58" s="47"/>
      <c r="V58" s="47"/>
      <c r="W58" s="47"/>
      <c r="X58" s="30"/>
      <c r="Y58" s="29"/>
      <c r="Z58" s="47"/>
      <c r="AA58" s="47"/>
      <c r="AB58" s="47"/>
      <c r="AC58" s="30"/>
      <c r="AD58" s="29"/>
      <c r="AE58" s="47"/>
      <c r="AF58" s="47"/>
      <c r="AG58" s="47"/>
      <c r="AH58" s="30"/>
      <c r="AI58" s="29"/>
      <c r="AJ58" s="47"/>
      <c r="AK58" s="47"/>
      <c r="AL58" s="47"/>
      <c r="AM58" s="30"/>
      <c r="AN58" s="29"/>
      <c r="AO58" s="47"/>
      <c r="AP58" s="47"/>
      <c r="AQ58" s="47"/>
      <c r="AR58" s="30"/>
      <c r="AS58" s="29"/>
      <c r="AT58" s="47"/>
      <c r="AU58" s="47"/>
      <c r="AV58" s="47"/>
      <c r="AW58" s="30"/>
      <c r="AX58" s="29"/>
      <c r="AY58" s="47"/>
      <c r="AZ58" s="47"/>
      <c r="BA58" s="47"/>
      <c r="BB58" s="30"/>
      <c r="BC58" s="29"/>
      <c r="BD58" s="47"/>
      <c r="BE58" s="47"/>
      <c r="BF58" s="47"/>
      <c r="BG58" s="30"/>
      <c r="BH58" s="29"/>
      <c r="BI58" s="47"/>
      <c r="BJ58" s="47"/>
      <c r="BK58" s="47"/>
      <c r="BL58" s="30"/>
      <c r="BM58" s="29"/>
      <c r="BN58" s="47"/>
      <c r="BO58" s="47"/>
      <c r="BP58" s="47"/>
      <c r="BQ58" s="30"/>
      <c r="BR58" s="29"/>
    </row>
    <row r="59" spans="1:83" ht="6" hidden="1" customHeight="1" x14ac:dyDescent="0.25">
      <c r="A59" s="47"/>
      <c r="B59" s="47"/>
      <c r="C59" s="47"/>
      <c r="D59" s="69"/>
      <c r="E59" s="69"/>
      <c r="F59" s="47"/>
      <c r="G59" s="47"/>
      <c r="H59" s="47"/>
      <c r="I59" s="69"/>
      <c r="J59" s="69"/>
      <c r="K59" s="47"/>
      <c r="L59" s="47"/>
      <c r="M59" s="47"/>
      <c r="N59" s="69"/>
      <c r="O59" s="69"/>
      <c r="P59" s="47"/>
      <c r="Q59" s="47"/>
      <c r="R59" s="47"/>
      <c r="S59" s="69"/>
      <c r="T59" s="69"/>
      <c r="U59" s="47"/>
      <c r="V59" s="47"/>
      <c r="W59" s="47"/>
      <c r="X59" s="69"/>
      <c r="Y59" s="69"/>
      <c r="Z59" s="47"/>
      <c r="AA59" s="47"/>
      <c r="AB59" s="47"/>
      <c r="AC59" s="69"/>
      <c r="AD59" s="69"/>
      <c r="AE59" s="47"/>
      <c r="AF59" s="47"/>
      <c r="AG59" s="47"/>
      <c r="AH59" s="69"/>
      <c r="AI59" s="69"/>
      <c r="AJ59" s="47"/>
      <c r="AK59" s="47"/>
      <c r="AL59" s="47"/>
      <c r="AM59" s="69"/>
      <c r="AN59" s="69"/>
      <c r="AO59" s="47"/>
      <c r="AP59" s="47"/>
      <c r="AQ59" s="47"/>
      <c r="AR59" s="69"/>
      <c r="AS59" s="69"/>
      <c r="AT59" s="47"/>
      <c r="AU59" s="47"/>
      <c r="AV59" s="47"/>
      <c r="AW59" s="69"/>
      <c r="AX59" s="69"/>
      <c r="AY59" s="47"/>
      <c r="AZ59" s="47"/>
      <c r="BA59" s="47"/>
      <c r="BB59" s="69"/>
      <c r="BC59" s="69"/>
      <c r="BD59" s="47"/>
      <c r="BE59" s="47"/>
      <c r="BF59" s="47"/>
      <c r="BG59" s="69"/>
      <c r="BH59" s="69"/>
      <c r="BI59" s="47"/>
      <c r="BJ59" s="47"/>
      <c r="BK59" s="47"/>
      <c r="BL59" s="69"/>
      <c r="BM59" s="69"/>
      <c r="BN59" s="47"/>
      <c r="BO59" s="47"/>
      <c r="BP59" s="47"/>
      <c r="BQ59" s="69"/>
      <c r="BR59" s="69"/>
    </row>
    <row r="60" spans="1:83" ht="60" hidden="1" customHeight="1" thickTop="1" thickBot="1" x14ac:dyDescent="0.3">
      <c r="A60" s="70"/>
      <c r="B60" s="71"/>
      <c r="C60" s="71"/>
      <c r="D60" s="71"/>
      <c r="E60" s="71"/>
      <c r="F60" s="70"/>
      <c r="G60" s="71"/>
      <c r="H60" s="71"/>
      <c r="I60" s="71"/>
      <c r="J60" s="71"/>
      <c r="K60" s="70"/>
      <c r="L60" s="71"/>
      <c r="M60" s="71"/>
      <c r="N60" s="71"/>
      <c r="O60" s="71"/>
      <c r="P60" s="70"/>
      <c r="Q60" s="71"/>
      <c r="R60" s="71"/>
      <c r="S60" s="71"/>
      <c r="T60" s="71"/>
      <c r="U60" s="70"/>
      <c r="V60" s="71"/>
      <c r="W60" s="71"/>
      <c r="X60" s="71"/>
      <c r="Y60" s="71"/>
      <c r="Z60" s="70"/>
      <c r="AA60" s="71"/>
      <c r="AB60" s="71"/>
      <c r="AC60" s="71"/>
      <c r="AD60" s="71"/>
      <c r="AE60" s="70"/>
      <c r="AF60" s="71"/>
      <c r="AG60" s="71"/>
      <c r="AH60" s="71"/>
      <c r="AI60" s="71"/>
      <c r="AJ60" s="70"/>
      <c r="AK60" s="71"/>
      <c r="AL60" s="71"/>
      <c r="AM60" s="71"/>
      <c r="AN60" s="71"/>
      <c r="AO60" s="70"/>
      <c r="AP60" s="71"/>
      <c r="AQ60" s="71"/>
      <c r="AR60" s="71"/>
      <c r="AS60" s="71"/>
      <c r="AT60" s="70"/>
      <c r="AU60" s="71"/>
      <c r="AV60" s="71"/>
      <c r="AW60" s="71"/>
      <c r="AX60" s="71"/>
      <c r="AY60" s="70"/>
      <c r="AZ60" s="71"/>
      <c r="BA60" s="71"/>
      <c r="BB60" s="71"/>
      <c r="BC60" s="71"/>
      <c r="BD60" s="70"/>
      <c r="BE60" s="71"/>
      <c r="BF60" s="71"/>
      <c r="BG60" s="71"/>
      <c r="BH60" s="71"/>
      <c r="BI60" s="70"/>
      <c r="BJ60" s="71"/>
      <c r="BK60" s="71"/>
      <c r="BL60" s="71"/>
      <c r="BM60" s="71"/>
      <c r="BN60" s="70"/>
      <c r="BO60" s="71"/>
      <c r="BP60" s="71"/>
      <c r="BQ60" s="71"/>
      <c r="BR60" s="71"/>
    </row>
    <row r="61" spans="1:83" ht="27.75" hidden="1" customHeight="1" thickTop="1" thickBot="1" x14ac:dyDescent="0.3">
      <c r="A61" s="70"/>
      <c r="B61" s="32"/>
      <c r="C61" s="33"/>
      <c r="D61" s="34"/>
      <c r="E61" s="35"/>
      <c r="F61" s="70"/>
      <c r="G61" s="32"/>
      <c r="H61" s="33"/>
      <c r="I61" s="34"/>
      <c r="J61" s="35"/>
      <c r="K61" s="70"/>
      <c r="L61" s="32"/>
      <c r="M61" s="33"/>
      <c r="N61" s="34"/>
      <c r="O61" s="35"/>
      <c r="P61" s="70"/>
      <c r="Q61" s="32"/>
      <c r="R61" s="33"/>
      <c r="S61" s="34"/>
      <c r="T61" s="35"/>
      <c r="U61" s="70"/>
      <c r="V61" s="32"/>
      <c r="W61" s="33"/>
      <c r="X61" s="34"/>
      <c r="Y61" s="35"/>
      <c r="Z61" s="70"/>
      <c r="AA61" s="32"/>
      <c r="AB61" s="33"/>
      <c r="AC61" s="34"/>
      <c r="AD61" s="35"/>
      <c r="AE61" s="70"/>
      <c r="AF61" s="32"/>
      <c r="AG61" s="33"/>
      <c r="AH61" s="34"/>
      <c r="AI61" s="35"/>
      <c r="AJ61" s="70"/>
      <c r="AK61" s="32"/>
      <c r="AL61" s="33"/>
      <c r="AM61" s="34"/>
      <c r="AN61" s="35"/>
      <c r="AO61" s="70"/>
      <c r="AP61" s="32"/>
      <c r="AQ61" s="33"/>
      <c r="AR61" s="34"/>
      <c r="AS61" s="35"/>
      <c r="AT61" s="70"/>
      <c r="AU61" s="32"/>
      <c r="AV61" s="33"/>
      <c r="AW61" s="34"/>
      <c r="AX61" s="35"/>
      <c r="AY61" s="70"/>
      <c r="AZ61" s="32"/>
      <c r="BA61" s="33"/>
      <c r="BB61" s="34"/>
      <c r="BC61" s="35"/>
      <c r="BD61" s="70"/>
      <c r="BE61" s="32"/>
      <c r="BF61" s="33"/>
      <c r="BG61" s="34"/>
      <c r="BH61" s="35"/>
      <c r="BI61" s="70"/>
      <c r="BJ61" s="32"/>
      <c r="BK61" s="33"/>
      <c r="BL61" s="34"/>
      <c r="BM61" s="35"/>
      <c r="BN61" s="70"/>
      <c r="BO61" s="32"/>
      <c r="BP61" s="33"/>
      <c r="BQ61" s="34"/>
      <c r="BR61" s="35"/>
      <c r="BW61" s="27"/>
      <c r="BX61" s="27"/>
      <c r="BY61" s="27"/>
      <c r="BZ61" s="27"/>
      <c r="CA61" s="27"/>
      <c r="CB61" s="27"/>
      <c r="CC61" s="27"/>
      <c r="CD61" s="27"/>
      <c r="CE61" s="27"/>
    </row>
    <row r="62" spans="1:83" s="42" customFormat="1" ht="18.600000000000001" customHeight="1" thickTop="1" x14ac:dyDescent="0.25">
      <c r="A62" s="3508" t="s">
        <v>110</v>
      </c>
      <c r="B62" s="3509"/>
      <c r="C62" s="3512">
        <f>B67/((36*3.1415/59)*(136/3.281))</f>
        <v>7.0228593028807892E-3</v>
      </c>
      <c r="D62" s="3512"/>
      <c r="E62" s="3513"/>
      <c r="F62" s="3508" t="s">
        <v>110</v>
      </c>
      <c r="G62" s="3509"/>
      <c r="H62" s="3512">
        <f>G67/((36*3.1415/59)*(136/3.281))</f>
        <v>1.2585769360001413E-6</v>
      </c>
      <c r="I62" s="3512"/>
      <c r="J62" s="3513"/>
      <c r="K62" s="3508" t="s">
        <v>110</v>
      </c>
      <c r="L62" s="3509"/>
      <c r="M62" s="3512">
        <f>L67/((36*3.1415/59)*(136/3.281))</f>
        <v>1.2585769360001413E-6</v>
      </c>
      <c r="N62" s="3512"/>
      <c r="O62" s="3513"/>
      <c r="P62" s="3508" t="s">
        <v>110</v>
      </c>
      <c r="Q62" s="3509"/>
      <c r="R62" s="3512">
        <f>Q67/((36*3.1415/59)*(136/3.281))</f>
        <v>1.9180712504642154E-2</v>
      </c>
      <c r="S62" s="3512"/>
      <c r="T62" s="3513"/>
      <c r="U62" s="3508" t="s">
        <v>110</v>
      </c>
      <c r="V62" s="3509"/>
      <c r="W62" s="3512">
        <f>V67/((36*3.1415/59)*(136/3.281))</f>
        <v>3.1967854174403589E-3</v>
      </c>
      <c r="X62" s="3512"/>
      <c r="Y62" s="3513"/>
      <c r="Z62" s="3508" t="s">
        <v>110</v>
      </c>
      <c r="AA62" s="3509"/>
      <c r="AB62" s="3512">
        <f>AA67/((36*3.1415/59)*(136/3.281))</f>
        <v>3.8260738854404295E-3</v>
      </c>
      <c r="AC62" s="3512"/>
      <c r="AD62" s="3513"/>
      <c r="AE62" s="3508" t="s">
        <v>110</v>
      </c>
      <c r="AF62" s="3509"/>
      <c r="AG62" s="3512">
        <f>AF67/((36*3.1415/59)*(136/3.281))</f>
        <v>1.2585769360001414E-11</v>
      </c>
      <c r="AH62" s="3512"/>
      <c r="AI62" s="3513"/>
      <c r="AJ62" s="3508" t="s">
        <v>110</v>
      </c>
      <c r="AK62" s="3509"/>
      <c r="AL62" s="3512">
        <f>AK67/((36*3.1415/59)*(136/3.281))</f>
        <v>1.3101785903761471E-2</v>
      </c>
      <c r="AM62" s="3512"/>
      <c r="AN62" s="3513"/>
      <c r="AO62" s="3508" t="s">
        <v>110</v>
      </c>
      <c r="AP62" s="3509"/>
      <c r="AQ62" s="3512">
        <f>AP67/((36*3.1415/59)*(136/3.281))</f>
        <v>1.2585769360001414E-10</v>
      </c>
      <c r="AR62" s="3512"/>
      <c r="AS62" s="3513"/>
      <c r="AT62" s="3508" t="s">
        <v>110</v>
      </c>
      <c r="AU62" s="3509"/>
      <c r="AV62" s="3512">
        <f>AU67/((36*3.1415/59)*(136/3.281))</f>
        <v>1.7896964029922011E-2</v>
      </c>
      <c r="AW62" s="3512"/>
      <c r="AX62" s="3513"/>
      <c r="AY62" s="3508" t="s">
        <v>110</v>
      </c>
      <c r="AZ62" s="3509"/>
      <c r="BA62" s="3512">
        <f>AZ67/((36*3.1415/59)*(136/3.281))</f>
        <v>3.836142500928431E-3</v>
      </c>
      <c r="BB62" s="3512"/>
      <c r="BC62" s="3513"/>
      <c r="BD62" s="3508" t="s">
        <v>110</v>
      </c>
      <c r="BE62" s="3509"/>
      <c r="BF62" s="3512">
        <f>BE67/((36*3.1415/59)*(136/3.281))</f>
        <v>1.8211608263922048E-2</v>
      </c>
      <c r="BG62" s="3512"/>
      <c r="BH62" s="3513"/>
      <c r="BI62" s="3508" t="s">
        <v>110</v>
      </c>
      <c r="BJ62" s="3509"/>
      <c r="BK62" s="3512">
        <f>BJ67/((36*3.1415/59)*(136/3.281))</f>
        <v>1.2585769360001413E-9</v>
      </c>
      <c r="BL62" s="3512"/>
      <c r="BM62" s="3513"/>
      <c r="BN62" s="3508" t="s">
        <v>110</v>
      </c>
      <c r="BO62" s="3509"/>
      <c r="BP62" s="3512">
        <f>BO67/((36*3.1415/59)*(136/3.281))</f>
        <v>8.6627850504889733E-2</v>
      </c>
      <c r="BQ62" s="3512"/>
      <c r="BR62" s="3513"/>
      <c r="BW62" s="43"/>
      <c r="BX62" s="43"/>
      <c r="BY62" s="43"/>
      <c r="BZ62" s="43"/>
      <c r="CA62" s="43"/>
      <c r="CB62" s="43"/>
      <c r="CC62" s="43"/>
      <c r="CD62" s="43"/>
      <c r="CE62" s="43"/>
    </row>
    <row r="63" spans="1:83" ht="18.600000000000001" customHeight="1" x14ac:dyDescent="0.25">
      <c r="A63" s="3510"/>
      <c r="B63" s="3511"/>
      <c r="C63" s="3514"/>
      <c r="D63" s="3514"/>
      <c r="E63" s="3515"/>
      <c r="F63" s="3510"/>
      <c r="G63" s="3511"/>
      <c r="H63" s="3514"/>
      <c r="I63" s="3514"/>
      <c r="J63" s="3515"/>
      <c r="K63" s="3510"/>
      <c r="L63" s="3511"/>
      <c r="M63" s="3514"/>
      <c r="N63" s="3514"/>
      <c r="O63" s="3515"/>
      <c r="P63" s="3510"/>
      <c r="Q63" s="3511"/>
      <c r="R63" s="3514"/>
      <c r="S63" s="3514"/>
      <c r="T63" s="3515"/>
      <c r="U63" s="3510"/>
      <c r="V63" s="3511"/>
      <c r="W63" s="3514"/>
      <c r="X63" s="3514"/>
      <c r="Y63" s="3515"/>
      <c r="Z63" s="3510"/>
      <c r="AA63" s="3511"/>
      <c r="AB63" s="3514"/>
      <c r="AC63" s="3514"/>
      <c r="AD63" s="3515"/>
      <c r="AE63" s="3510"/>
      <c r="AF63" s="3511"/>
      <c r="AG63" s="3514"/>
      <c r="AH63" s="3514"/>
      <c r="AI63" s="3515"/>
      <c r="AJ63" s="3510"/>
      <c r="AK63" s="3511"/>
      <c r="AL63" s="3514"/>
      <c r="AM63" s="3514"/>
      <c r="AN63" s="3515"/>
      <c r="AO63" s="3510"/>
      <c r="AP63" s="3511"/>
      <c r="AQ63" s="3514"/>
      <c r="AR63" s="3514"/>
      <c r="AS63" s="3515"/>
      <c r="AT63" s="3510"/>
      <c r="AU63" s="3511"/>
      <c r="AV63" s="3514"/>
      <c r="AW63" s="3514"/>
      <c r="AX63" s="3515"/>
      <c r="AY63" s="3510"/>
      <c r="AZ63" s="3511"/>
      <c r="BA63" s="3514"/>
      <c r="BB63" s="3514"/>
      <c r="BC63" s="3515"/>
      <c r="BD63" s="3510"/>
      <c r="BE63" s="3511"/>
      <c r="BF63" s="3514"/>
      <c r="BG63" s="3514"/>
      <c r="BH63" s="3515"/>
      <c r="BI63" s="3510"/>
      <c r="BJ63" s="3511"/>
      <c r="BK63" s="3514"/>
      <c r="BL63" s="3514"/>
      <c r="BM63" s="3515"/>
      <c r="BN63" s="3510"/>
      <c r="BO63" s="3511"/>
      <c r="BP63" s="3514"/>
      <c r="BQ63" s="3514"/>
      <c r="BR63" s="3515"/>
    </row>
    <row r="64" spans="1:83" ht="9.9499999999999993" customHeight="1" x14ac:dyDescent="0.25">
      <c r="A64" s="3504" t="s">
        <v>111</v>
      </c>
      <c r="B64" s="3196"/>
      <c r="C64" s="3196"/>
      <c r="D64" s="3196"/>
      <c r="E64" s="3505"/>
      <c r="F64" s="3504" t="s">
        <v>111</v>
      </c>
      <c r="G64" s="3196"/>
      <c r="H64" s="3196"/>
      <c r="I64" s="3196"/>
      <c r="J64" s="3505"/>
      <c r="K64" s="3495" t="s">
        <v>277</v>
      </c>
      <c r="L64" s="3527"/>
      <c r="M64" s="3529" t="s">
        <v>273</v>
      </c>
      <c r="N64" s="3529"/>
      <c r="O64" s="3530"/>
      <c r="P64" s="3504" t="s">
        <v>111</v>
      </c>
      <c r="Q64" s="3196"/>
      <c r="R64" s="3196"/>
      <c r="S64" s="3196"/>
      <c r="T64" s="3505"/>
      <c r="U64" s="3504" t="s">
        <v>111</v>
      </c>
      <c r="V64" s="3196"/>
      <c r="W64" s="3196"/>
      <c r="X64" s="3196"/>
      <c r="Y64" s="3505"/>
      <c r="Z64" s="3504" t="s">
        <v>111</v>
      </c>
      <c r="AA64" s="3196"/>
      <c r="AB64" s="3196"/>
      <c r="AC64" s="3196"/>
      <c r="AD64" s="3505"/>
      <c r="AE64" s="3495" t="s">
        <v>277</v>
      </c>
      <c r="AF64" s="3527"/>
      <c r="AG64" s="3529" t="s">
        <v>273</v>
      </c>
      <c r="AH64" s="3529"/>
      <c r="AI64" s="3530"/>
      <c r="AJ64" s="3504" t="s">
        <v>111</v>
      </c>
      <c r="AK64" s="3196"/>
      <c r="AL64" s="3196"/>
      <c r="AM64" s="3196"/>
      <c r="AN64" s="3505"/>
      <c r="AO64" s="3504" t="s">
        <v>111</v>
      </c>
      <c r="AP64" s="3196"/>
      <c r="AQ64" s="3196"/>
      <c r="AR64" s="3196"/>
      <c r="AS64" s="3505"/>
      <c r="AT64" s="3504" t="s">
        <v>111</v>
      </c>
      <c r="AU64" s="3196"/>
      <c r="AV64" s="3196"/>
      <c r="AW64" s="3196"/>
      <c r="AX64" s="3505"/>
      <c r="AY64" s="3495" t="s">
        <v>277</v>
      </c>
      <c r="AZ64" s="3527"/>
      <c r="BA64" s="3529" t="s">
        <v>273</v>
      </c>
      <c r="BB64" s="3529"/>
      <c r="BC64" s="3530"/>
      <c r="BD64" s="3504" t="s">
        <v>111</v>
      </c>
      <c r="BE64" s="3196"/>
      <c r="BF64" s="3196"/>
      <c r="BG64" s="3196"/>
      <c r="BH64" s="3505"/>
      <c r="BI64" s="3495" t="s">
        <v>277</v>
      </c>
      <c r="BJ64" s="3527"/>
      <c r="BK64" s="3529" t="s">
        <v>273</v>
      </c>
      <c r="BL64" s="3529"/>
      <c r="BM64" s="3530"/>
      <c r="BN64" s="3504" t="s">
        <v>111</v>
      </c>
      <c r="BO64" s="3196"/>
      <c r="BP64" s="3196"/>
      <c r="BQ64" s="3196"/>
      <c r="BR64" s="3505"/>
    </row>
    <row r="65" spans="1:90" ht="9.9499999999999993" customHeight="1" x14ac:dyDescent="0.25">
      <c r="A65" s="3506"/>
      <c r="B65" s="3197"/>
      <c r="C65" s="3197"/>
      <c r="D65" s="3197"/>
      <c r="E65" s="3507"/>
      <c r="F65" s="3506"/>
      <c r="G65" s="3197"/>
      <c r="H65" s="3197"/>
      <c r="I65" s="3197"/>
      <c r="J65" s="3507"/>
      <c r="K65" s="3499"/>
      <c r="L65" s="3528"/>
      <c r="M65" s="3531"/>
      <c r="N65" s="3531"/>
      <c r="O65" s="3532"/>
      <c r="P65" s="3506"/>
      <c r="Q65" s="3197"/>
      <c r="R65" s="3197"/>
      <c r="S65" s="3197"/>
      <c r="T65" s="3507"/>
      <c r="U65" s="3506"/>
      <c r="V65" s="3197"/>
      <c r="W65" s="3197"/>
      <c r="X65" s="3197"/>
      <c r="Y65" s="3507"/>
      <c r="Z65" s="3506"/>
      <c r="AA65" s="3197"/>
      <c r="AB65" s="3197"/>
      <c r="AC65" s="3197"/>
      <c r="AD65" s="3507"/>
      <c r="AE65" s="3499"/>
      <c r="AF65" s="3528"/>
      <c r="AG65" s="3531"/>
      <c r="AH65" s="3531"/>
      <c r="AI65" s="3532"/>
      <c r="AJ65" s="3506"/>
      <c r="AK65" s="3197"/>
      <c r="AL65" s="3197"/>
      <c r="AM65" s="3197"/>
      <c r="AN65" s="3507"/>
      <c r="AO65" s="3506"/>
      <c r="AP65" s="3197"/>
      <c r="AQ65" s="3197"/>
      <c r="AR65" s="3197"/>
      <c r="AS65" s="3507"/>
      <c r="AT65" s="3506"/>
      <c r="AU65" s="3197"/>
      <c r="AV65" s="3197"/>
      <c r="AW65" s="3197"/>
      <c r="AX65" s="3507"/>
      <c r="AY65" s="3499"/>
      <c r="AZ65" s="3528"/>
      <c r="BA65" s="3531"/>
      <c r="BB65" s="3531"/>
      <c r="BC65" s="3532"/>
      <c r="BD65" s="3506"/>
      <c r="BE65" s="3197"/>
      <c r="BF65" s="3197"/>
      <c r="BG65" s="3197"/>
      <c r="BH65" s="3507"/>
      <c r="BI65" s="3499"/>
      <c r="BJ65" s="3528"/>
      <c r="BK65" s="3531"/>
      <c r="BL65" s="3531"/>
      <c r="BM65" s="3532"/>
      <c r="BN65" s="3506"/>
      <c r="BO65" s="3197"/>
      <c r="BP65" s="3197"/>
      <c r="BQ65" s="3197"/>
      <c r="BR65" s="3507"/>
    </row>
    <row r="66" spans="1:90" ht="84.95" customHeight="1" x14ac:dyDescent="0.25">
      <c r="A66" s="2642" t="s">
        <v>115</v>
      </c>
      <c r="B66" s="1266">
        <v>177</v>
      </c>
      <c r="C66" s="1267"/>
      <c r="D66" s="1267"/>
      <c r="E66" s="1268"/>
      <c r="F66" s="2642" t="s">
        <v>115</v>
      </c>
      <c r="G66" s="1266">
        <v>174</v>
      </c>
      <c r="H66" s="1267"/>
      <c r="I66" s="1267"/>
      <c r="J66" s="1268"/>
      <c r="K66" s="2642" t="s">
        <v>115</v>
      </c>
      <c r="L66" s="1266">
        <v>181</v>
      </c>
      <c r="M66" s="1267"/>
      <c r="N66" s="1267"/>
      <c r="O66" s="1268"/>
      <c r="P66" s="2642" t="s">
        <v>115</v>
      </c>
      <c r="Q66" s="1266">
        <v>176</v>
      </c>
      <c r="R66" s="1267"/>
      <c r="S66" s="1267"/>
      <c r="T66" s="1268"/>
      <c r="U66" s="2642" t="s">
        <v>115</v>
      </c>
      <c r="V66" s="1266">
        <v>183</v>
      </c>
      <c r="W66" s="1267"/>
      <c r="X66" s="1267"/>
      <c r="Y66" s="1268"/>
      <c r="Z66" s="2642" t="s">
        <v>115</v>
      </c>
      <c r="AA66" s="1266">
        <v>178</v>
      </c>
      <c r="AB66" s="1267"/>
      <c r="AC66" s="1267"/>
      <c r="AD66" s="1268"/>
      <c r="AE66" s="2642" t="s">
        <v>115</v>
      </c>
      <c r="AF66" s="1266">
        <v>185</v>
      </c>
      <c r="AG66" s="1267"/>
      <c r="AH66" s="1267"/>
      <c r="AI66" s="1268"/>
      <c r="AJ66" s="2642" t="s">
        <v>115</v>
      </c>
      <c r="AK66" s="1266">
        <v>180</v>
      </c>
      <c r="AL66" s="1267"/>
      <c r="AM66" s="1267"/>
      <c r="AN66" s="1268"/>
      <c r="AO66" s="2642" t="s">
        <v>115</v>
      </c>
      <c r="AP66" s="1266">
        <v>187</v>
      </c>
      <c r="AQ66" s="1267"/>
      <c r="AR66" s="1267"/>
      <c r="AS66" s="1268"/>
      <c r="AT66" s="2642" t="s">
        <v>115</v>
      </c>
      <c r="AU66" s="1266">
        <v>182</v>
      </c>
      <c r="AV66" s="1267"/>
      <c r="AW66" s="1267"/>
      <c r="AX66" s="1268"/>
      <c r="AY66" s="2642" t="s">
        <v>115</v>
      </c>
      <c r="AZ66" s="1266">
        <v>189</v>
      </c>
      <c r="BA66" s="1267"/>
      <c r="BB66" s="1267"/>
      <c r="BC66" s="1268"/>
      <c r="BD66" s="2642" t="s">
        <v>115</v>
      </c>
      <c r="BE66" s="1266">
        <v>184</v>
      </c>
      <c r="BF66" s="1267"/>
      <c r="BG66" s="1267"/>
      <c r="BH66" s="1268"/>
      <c r="BI66" s="2642" t="s">
        <v>115</v>
      </c>
      <c r="BJ66" s="1266">
        <v>191</v>
      </c>
      <c r="BK66" s="1267"/>
      <c r="BL66" s="1267"/>
      <c r="BM66" s="1268"/>
      <c r="BN66" s="2642" t="s">
        <v>115</v>
      </c>
      <c r="BO66" s="1266">
        <v>186</v>
      </c>
      <c r="BP66" s="1267"/>
      <c r="BQ66" s="1267"/>
      <c r="BR66" s="1268"/>
    </row>
    <row r="67" spans="1:90" ht="23.1" customHeight="1" thickBot="1" x14ac:dyDescent="0.3">
      <c r="A67" s="2643"/>
      <c r="B67" s="61">
        <v>0.55800000000000005</v>
      </c>
      <c r="C67" s="62" t="s">
        <v>113</v>
      </c>
      <c r="D67" s="63">
        <v>1</v>
      </c>
      <c r="E67" s="64" t="s">
        <v>114</v>
      </c>
      <c r="F67" s="2643"/>
      <c r="G67" s="61">
        <v>1E-4</v>
      </c>
      <c r="H67" s="62" t="s">
        <v>113</v>
      </c>
      <c r="I67" s="63">
        <v>1</v>
      </c>
      <c r="J67" s="64" t="s">
        <v>114</v>
      </c>
      <c r="K67" s="2643"/>
      <c r="L67" s="61">
        <v>1E-4</v>
      </c>
      <c r="M67" s="62" t="s">
        <v>113</v>
      </c>
      <c r="N67" s="63"/>
      <c r="O67" s="64" t="s">
        <v>114</v>
      </c>
      <c r="P67" s="2643"/>
      <c r="Q67" s="61">
        <v>1.524</v>
      </c>
      <c r="R67" s="62" t="s">
        <v>113</v>
      </c>
      <c r="S67" s="63">
        <v>1</v>
      </c>
      <c r="T67" s="64" t="s">
        <v>114</v>
      </c>
      <c r="U67" s="2643"/>
      <c r="V67" s="61">
        <v>0.254</v>
      </c>
      <c r="W67" s="62" t="s">
        <v>113</v>
      </c>
      <c r="X67" s="63">
        <v>1</v>
      </c>
      <c r="Y67" s="64" t="s">
        <v>114</v>
      </c>
      <c r="Z67" s="2643"/>
      <c r="AA67" s="61">
        <v>0.30399999999999999</v>
      </c>
      <c r="AB67" s="62" t="s">
        <v>113</v>
      </c>
      <c r="AC67" s="63"/>
      <c r="AD67" s="64" t="s">
        <v>114</v>
      </c>
      <c r="AE67" s="2643"/>
      <c r="AF67" s="61">
        <v>1.0000000000000001E-9</v>
      </c>
      <c r="AG67" s="62" t="s">
        <v>113</v>
      </c>
      <c r="AH67" s="63"/>
      <c r="AI67" s="64" t="s">
        <v>114</v>
      </c>
      <c r="AJ67" s="2643"/>
      <c r="AK67" s="61">
        <v>1.0409999999999999</v>
      </c>
      <c r="AL67" s="62" t="s">
        <v>113</v>
      </c>
      <c r="AM67" s="63">
        <v>1</v>
      </c>
      <c r="AN67" s="64" t="s">
        <v>114</v>
      </c>
      <c r="AO67" s="2643"/>
      <c r="AP67" s="61">
        <v>1E-8</v>
      </c>
      <c r="AQ67" s="62" t="s">
        <v>113</v>
      </c>
      <c r="AR67" s="63">
        <v>1</v>
      </c>
      <c r="AS67" s="64" t="s">
        <v>114</v>
      </c>
      <c r="AT67" s="2643"/>
      <c r="AU67" s="61">
        <v>1.4219999999999999</v>
      </c>
      <c r="AV67" s="62" t="s">
        <v>113</v>
      </c>
      <c r="AW67" s="63">
        <v>1</v>
      </c>
      <c r="AX67" s="64" t="s">
        <v>114</v>
      </c>
      <c r="AY67" s="2643"/>
      <c r="AZ67" s="61">
        <v>0.30480000000000002</v>
      </c>
      <c r="BA67" s="62" t="s">
        <v>113</v>
      </c>
      <c r="BB67" s="63">
        <v>1</v>
      </c>
      <c r="BC67" s="64" t="s">
        <v>114</v>
      </c>
      <c r="BD67" s="2643"/>
      <c r="BE67" s="61">
        <v>1.4470000000000001</v>
      </c>
      <c r="BF67" s="62" t="s">
        <v>113</v>
      </c>
      <c r="BG67" s="63"/>
      <c r="BH67" s="64" t="s">
        <v>114</v>
      </c>
      <c r="BI67" s="2643"/>
      <c r="BJ67" s="61">
        <v>9.9999999999999995E-8</v>
      </c>
      <c r="BK67" s="62" t="s">
        <v>113</v>
      </c>
      <c r="BL67" s="63"/>
      <c r="BM67" s="64" t="s">
        <v>114</v>
      </c>
      <c r="BN67" s="2643"/>
      <c r="BO67" s="61">
        <v>6.883</v>
      </c>
      <c r="BP67" s="62" t="s">
        <v>113</v>
      </c>
      <c r="BQ67" s="63">
        <v>1</v>
      </c>
      <c r="BR67" s="64" t="s">
        <v>114</v>
      </c>
      <c r="BS67" s="50"/>
      <c r="BT67" s="50"/>
      <c r="BW67" s="51"/>
      <c r="BX67" s="51"/>
      <c r="BY67" s="51"/>
      <c r="BZ67" s="51"/>
      <c r="CA67" s="51"/>
      <c r="CB67" s="51"/>
      <c r="CC67" s="27"/>
      <c r="CD67" s="27"/>
      <c r="CE67" s="27"/>
      <c r="CG67" s="27"/>
      <c r="CH67" s="27"/>
      <c r="CI67" s="27"/>
      <c r="CJ67" s="27"/>
      <c r="CK67" s="27"/>
      <c r="CL67" s="27"/>
    </row>
    <row r="68" spans="1:90" ht="18.600000000000001" customHeight="1" thickTop="1" x14ac:dyDescent="0.25">
      <c r="A68" s="3508" t="s">
        <v>110</v>
      </c>
      <c r="B68" s="3509"/>
      <c r="C68" s="3512">
        <f>B73/((36*3.1415/59)*(136/3.281))</f>
        <v>3.8260738854404295E-3</v>
      </c>
      <c r="D68" s="3512"/>
      <c r="E68" s="3513"/>
      <c r="F68" s="3508" t="s">
        <v>110</v>
      </c>
      <c r="G68" s="3509"/>
      <c r="H68" s="3512">
        <f>G73/((36*3.1415/59)*(136/3.281))</f>
        <v>1.2585769360001413E-6</v>
      </c>
      <c r="I68" s="3512"/>
      <c r="J68" s="3513"/>
      <c r="K68" s="3508" t="s">
        <v>110</v>
      </c>
      <c r="L68" s="3509"/>
      <c r="M68" s="3512">
        <f>L73/((36*3.1415/59)*(136/3.281))</f>
        <v>2.0137230976002264E-2</v>
      </c>
      <c r="N68" s="3512"/>
      <c r="O68" s="3513"/>
      <c r="P68" s="3508" t="s">
        <v>110</v>
      </c>
      <c r="Q68" s="3509"/>
      <c r="R68" s="3512">
        <f>Q73/((36*3.1415/59)*(136/3.281))</f>
        <v>2.9727587228323339E-2</v>
      </c>
      <c r="S68" s="3512"/>
      <c r="T68" s="3513"/>
      <c r="U68" s="3508" t="s">
        <v>110</v>
      </c>
      <c r="V68" s="3509"/>
      <c r="W68" s="3512">
        <f>V73/((36*3.1415/59)*(136/3.281))</f>
        <v>2.554911180080287E-3</v>
      </c>
      <c r="X68" s="3512"/>
      <c r="Y68" s="3513"/>
      <c r="Z68" s="3508" t="s">
        <v>110</v>
      </c>
      <c r="AA68" s="3509"/>
      <c r="AB68" s="3512">
        <f>AA73/((36*3.1415/59)*(136/3.281))</f>
        <v>7.350089306240825E-3</v>
      </c>
      <c r="AC68" s="3512"/>
      <c r="AD68" s="3513"/>
      <c r="AE68" s="3508" t="s">
        <v>110</v>
      </c>
      <c r="AF68" s="3509"/>
      <c r="AG68" s="3512">
        <f>AF73/((36*3.1415/59)*(136/3.281))</f>
        <v>3.1967854174403589E-3</v>
      </c>
      <c r="AH68" s="3512"/>
      <c r="AI68" s="3513"/>
      <c r="AJ68" s="3508" t="s">
        <v>110</v>
      </c>
      <c r="AK68" s="3509"/>
      <c r="AL68" s="3512">
        <f>AK73/((36*3.1415/59)*(136/3.281))</f>
        <v>1.2585769360001413E-6</v>
      </c>
      <c r="AM68" s="3512"/>
      <c r="AN68" s="3513"/>
      <c r="AO68" s="3508" t="s">
        <v>110</v>
      </c>
      <c r="AP68" s="3509"/>
      <c r="AQ68" s="3512">
        <f>AP73/((36*3.1415/59)*(136/3.281))</f>
        <v>6.3935708348807178E-3</v>
      </c>
      <c r="AR68" s="3512"/>
      <c r="AS68" s="3513"/>
      <c r="AT68" s="3508" t="s">
        <v>110</v>
      </c>
      <c r="AU68" s="3509"/>
      <c r="AV68" s="3512">
        <f>AU73/((36*3.1415/59)*(136/3.281))</f>
        <v>9.263126248961041E-3</v>
      </c>
      <c r="AW68" s="3512"/>
      <c r="AX68" s="3513"/>
      <c r="AY68" s="3508" t="s">
        <v>110</v>
      </c>
      <c r="AZ68" s="3509"/>
      <c r="BA68" s="3512">
        <f>AZ73/((36*3.1415/59)*(136/3.281))</f>
        <v>1.0546874723681184E-2</v>
      </c>
      <c r="BB68" s="3512"/>
      <c r="BC68" s="3513"/>
      <c r="BD68" s="3508" t="s">
        <v>110</v>
      </c>
      <c r="BE68" s="3509"/>
      <c r="BF68" s="3512">
        <f>BE73/((36*3.1415/59)*(136/3.281))</f>
        <v>1.24599116664014E-2</v>
      </c>
      <c r="BG68" s="3512"/>
      <c r="BH68" s="3513"/>
      <c r="BI68" s="3508" t="s">
        <v>110</v>
      </c>
      <c r="BJ68" s="3509"/>
      <c r="BK68" s="3512">
        <f>BJ73/((36*3.1415/59)*(136/3.281))</f>
        <v>4.7951781261605384E-3</v>
      </c>
      <c r="BL68" s="3512"/>
      <c r="BM68" s="3513"/>
      <c r="BN68" s="3508" t="s">
        <v>110</v>
      </c>
      <c r="BO68" s="3509"/>
      <c r="BP68" s="3512">
        <f>BO73/((36*3.1415/59)*(136/3.281))</f>
        <v>7.9919635436008982E-3</v>
      </c>
      <c r="BQ68" s="3512"/>
      <c r="BR68" s="3513"/>
      <c r="BS68" s="50"/>
      <c r="BT68" s="50"/>
      <c r="BW68" s="27"/>
      <c r="BX68" s="27"/>
      <c r="BY68" s="27"/>
      <c r="BZ68" s="27"/>
      <c r="CA68" s="27"/>
      <c r="CB68" s="27"/>
      <c r="CC68" s="27"/>
      <c r="CD68" s="27"/>
      <c r="CE68" s="27"/>
      <c r="CG68" s="27"/>
      <c r="CH68" s="27"/>
      <c r="CI68" s="27"/>
      <c r="CJ68" s="27"/>
      <c r="CK68" s="27"/>
      <c r="CL68" s="27"/>
    </row>
    <row r="69" spans="1:90" ht="18.600000000000001" customHeight="1" x14ac:dyDescent="0.25">
      <c r="A69" s="3510"/>
      <c r="B69" s="3511"/>
      <c r="C69" s="3514"/>
      <c r="D69" s="3514"/>
      <c r="E69" s="3515"/>
      <c r="F69" s="3510"/>
      <c r="G69" s="3511"/>
      <c r="H69" s="3514"/>
      <c r="I69" s="3514"/>
      <c r="J69" s="3515"/>
      <c r="K69" s="3510"/>
      <c r="L69" s="3511"/>
      <c r="M69" s="3514"/>
      <c r="N69" s="3514"/>
      <c r="O69" s="3515"/>
      <c r="P69" s="3510"/>
      <c r="Q69" s="3511"/>
      <c r="R69" s="3514"/>
      <c r="S69" s="3514"/>
      <c r="T69" s="3515"/>
      <c r="U69" s="3510"/>
      <c r="V69" s="3511"/>
      <c r="W69" s="3514"/>
      <c r="X69" s="3514"/>
      <c r="Y69" s="3515"/>
      <c r="Z69" s="3510"/>
      <c r="AA69" s="3511"/>
      <c r="AB69" s="3514"/>
      <c r="AC69" s="3514"/>
      <c r="AD69" s="3515"/>
      <c r="AE69" s="3510"/>
      <c r="AF69" s="3511"/>
      <c r="AG69" s="3514"/>
      <c r="AH69" s="3514"/>
      <c r="AI69" s="3515"/>
      <c r="AJ69" s="3510"/>
      <c r="AK69" s="3511"/>
      <c r="AL69" s="3514"/>
      <c r="AM69" s="3514"/>
      <c r="AN69" s="3515"/>
      <c r="AO69" s="3510"/>
      <c r="AP69" s="3511"/>
      <c r="AQ69" s="3514"/>
      <c r="AR69" s="3514"/>
      <c r="AS69" s="3515"/>
      <c r="AT69" s="3510"/>
      <c r="AU69" s="3511"/>
      <c r="AV69" s="3514"/>
      <c r="AW69" s="3514"/>
      <c r="AX69" s="3515"/>
      <c r="AY69" s="3510"/>
      <c r="AZ69" s="3511"/>
      <c r="BA69" s="3514"/>
      <c r="BB69" s="3514"/>
      <c r="BC69" s="3515"/>
      <c r="BD69" s="3510"/>
      <c r="BE69" s="3511"/>
      <c r="BF69" s="3514"/>
      <c r="BG69" s="3514"/>
      <c r="BH69" s="3515"/>
      <c r="BI69" s="3510"/>
      <c r="BJ69" s="3511"/>
      <c r="BK69" s="3514"/>
      <c r="BL69" s="3514"/>
      <c r="BM69" s="3515"/>
      <c r="BN69" s="3510"/>
      <c r="BO69" s="3511"/>
      <c r="BP69" s="3514"/>
      <c r="BQ69" s="3514"/>
      <c r="BR69" s="3515"/>
      <c r="BS69" s="50"/>
      <c r="BT69" s="50"/>
      <c r="BW69" s="27"/>
      <c r="BX69" s="27"/>
      <c r="BY69" s="27"/>
      <c r="BZ69" s="27"/>
      <c r="CA69" s="27"/>
      <c r="CB69" s="27"/>
      <c r="CC69" s="27"/>
      <c r="CD69" s="27"/>
      <c r="CE69" s="27"/>
      <c r="CG69" s="27"/>
      <c r="CH69" s="27"/>
      <c r="CI69" s="27"/>
      <c r="CJ69" s="27"/>
      <c r="CK69" s="27"/>
      <c r="CL69" s="27"/>
    </row>
    <row r="70" spans="1:90" ht="9.9499999999999993" customHeight="1" x14ac:dyDescent="0.25">
      <c r="A70" s="3504" t="s">
        <v>111</v>
      </c>
      <c r="B70" s="3196"/>
      <c r="C70" s="3196"/>
      <c r="D70" s="3196"/>
      <c r="E70" s="3505"/>
      <c r="F70" s="3504" t="s">
        <v>111</v>
      </c>
      <c r="G70" s="3196"/>
      <c r="H70" s="3196"/>
      <c r="I70" s="3196"/>
      <c r="J70" s="3505"/>
      <c r="K70" s="3504" t="s">
        <v>111</v>
      </c>
      <c r="L70" s="3196"/>
      <c r="M70" s="3196"/>
      <c r="N70" s="3196"/>
      <c r="O70" s="3505"/>
      <c r="P70" s="3504" t="s">
        <v>111</v>
      </c>
      <c r="Q70" s="3196"/>
      <c r="R70" s="3196"/>
      <c r="S70" s="3196"/>
      <c r="T70" s="3505"/>
      <c r="U70" s="3495" t="s">
        <v>277</v>
      </c>
      <c r="V70" s="3527"/>
      <c r="W70" s="3529" t="s">
        <v>273</v>
      </c>
      <c r="X70" s="3529"/>
      <c r="Y70" s="3530"/>
      <c r="Z70" s="3504" t="s">
        <v>111</v>
      </c>
      <c r="AA70" s="3196"/>
      <c r="AB70" s="3196"/>
      <c r="AC70" s="3196"/>
      <c r="AD70" s="3505"/>
      <c r="AE70" s="3495" t="s">
        <v>277</v>
      </c>
      <c r="AF70" s="3527"/>
      <c r="AG70" s="3529" t="s">
        <v>273</v>
      </c>
      <c r="AH70" s="3529"/>
      <c r="AI70" s="3530"/>
      <c r="AJ70" s="3504" t="s">
        <v>111</v>
      </c>
      <c r="AK70" s="3196"/>
      <c r="AL70" s="3196"/>
      <c r="AM70" s="3196"/>
      <c r="AN70" s="3505"/>
      <c r="AO70" s="3495" t="s">
        <v>277</v>
      </c>
      <c r="AP70" s="3527"/>
      <c r="AQ70" s="3529" t="s">
        <v>273</v>
      </c>
      <c r="AR70" s="3529"/>
      <c r="AS70" s="3530"/>
      <c r="AT70" s="3504" t="s">
        <v>111</v>
      </c>
      <c r="AU70" s="3196"/>
      <c r="AV70" s="3196"/>
      <c r="AW70" s="3196"/>
      <c r="AX70" s="3505"/>
      <c r="AY70" s="3495" t="s">
        <v>277</v>
      </c>
      <c r="AZ70" s="3527"/>
      <c r="BA70" s="3529" t="s">
        <v>273</v>
      </c>
      <c r="BB70" s="3529"/>
      <c r="BC70" s="3530"/>
      <c r="BD70" s="3504" t="s">
        <v>111</v>
      </c>
      <c r="BE70" s="3196"/>
      <c r="BF70" s="3196"/>
      <c r="BG70" s="3196"/>
      <c r="BH70" s="3505"/>
      <c r="BI70" s="3495" t="s">
        <v>277</v>
      </c>
      <c r="BJ70" s="3527"/>
      <c r="BK70" s="3529" t="s">
        <v>273</v>
      </c>
      <c r="BL70" s="3529"/>
      <c r="BM70" s="3530"/>
      <c r="BN70" s="3504" t="s">
        <v>111</v>
      </c>
      <c r="BO70" s="3196"/>
      <c r="BP70" s="3196"/>
      <c r="BQ70" s="3196"/>
      <c r="BR70" s="3505"/>
      <c r="BS70" s="50"/>
      <c r="BT70" s="50"/>
      <c r="BW70" s="27"/>
      <c r="BX70" s="27"/>
      <c r="BY70" s="27"/>
      <c r="BZ70" s="27"/>
      <c r="CA70" s="27"/>
      <c r="CB70" s="27"/>
      <c r="CC70" s="27"/>
      <c r="CD70" s="27"/>
      <c r="CE70" s="27"/>
      <c r="CG70" s="27"/>
      <c r="CH70" s="27"/>
      <c r="CI70" s="27"/>
      <c r="CJ70" s="27"/>
      <c r="CK70" s="27"/>
      <c r="CL70" s="27"/>
    </row>
    <row r="71" spans="1:90" ht="9.9499999999999993" customHeight="1" x14ac:dyDescent="0.25">
      <c r="A71" s="3506"/>
      <c r="B71" s="3197"/>
      <c r="C71" s="3197"/>
      <c r="D71" s="3197"/>
      <c r="E71" s="3507"/>
      <c r="F71" s="3506"/>
      <c r="G71" s="3197"/>
      <c r="H71" s="3197"/>
      <c r="I71" s="3197"/>
      <c r="J71" s="3507"/>
      <c r="K71" s="3506"/>
      <c r="L71" s="3197"/>
      <c r="M71" s="3197"/>
      <c r="N71" s="3197"/>
      <c r="O71" s="3507"/>
      <c r="P71" s="3506"/>
      <c r="Q71" s="3197"/>
      <c r="R71" s="3197"/>
      <c r="S71" s="3197"/>
      <c r="T71" s="3507"/>
      <c r="U71" s="3499"/>
      <c r="V71" s="3528"/>
      <c r="W71" s="3531"/>
      <c r="X71" s="3531"/>
      <c r="Y71" s="3532"/>
      <c r="Z71" s="3506"/>
      <c r="AA71" s="3197"/>
      <c r="AB71" s="3197"/>
      <c r="AC71" s="3197"/>
      <c r="AD71" s="3507"/>
      <c r="AE71" s="3499"/>
      <c r="AF71" s="3528"/>
      <c r="AG71" s="3531"/>
      <c r="AH71" s="3531"/>
      <c r="AI71" s="3532"/>
      <c r="AJ71" s="3506"/>
      <c r="AK71" s="3197"/>
      <c r="AL71" s="3197"/>
      <c r="AM71" s="3197"/>
      <c r="AN71" s="3507"/>
      <c r="AO71" s="3499"/>
      <c r="AP71" s="3528"/>
      <c r="AQ71" s="3531"/>
      <c r="AR71" s="3531"/>
      <c r="AS71" s="3532"/>
      <c r="AT71" s="3506"/>
      <c r="AU71" s="3197"/>
      <c r="AV71" s="3197"/>
      <c r="AW71" s="3197"/>
      <c r="AX71" s="3507"/>
      <c r="AY71" s="3499"/>
      <c r="AZ71" s="3528"/>
      <c r="BA71" s="3531"/>
      <c r="BB71" s="3531"/>
      <c r="BC71" s="3532"/>
      <c r="BD71" s="3506"/>
      <c r="BE71" s="3197"/>
      <c r="BF71" s="3197"/>
      <c r="BG71" s="3197"/>
      <c r="BH71" s="3507"/>
      <c r="BI71" s="3499"/>
      <c r="BJ71" s="3528"/>
      <c r="BK71" s="3531"/>
      <c r="BL71" s="3531"/>
      <c r="BM71" s="3532"/>
      <c r="BN71" s="3506"/>
      <c r="BO71" s="3197"/>
      <c r="BP71" s="3197"/>
      <c r="BQ71" s="3197"/>
      <c r="BR71" s="3507"/>
      <c r="BS71" s="53"/>
      <c r="BT71" s="53"/>
    </row>
    <row r="72" spans="1:90" ht="84.95" customHeight="1" x14ac:dyDescent="0.25">
      <c r="A72" s="2642" t="s">
        <v>115</v>
      </c>
      <c r="B72" s="1266">
        <v>193</v>
      </c>
      <c r="C72" s="1267"/>
      <c r="D72" s="1267"/>
      <c r="E72" s="1268"/>
      <c r="F72" s="2642" t="s">
        <v>115</v>
      </c>
      <c r="G72" s="1266">
        <v>188</v>
      </c>
      <c r="H72" s="1267"/>
      <c r="I72" s="1267"/>
      <c r="J72" s="1268"/>
      <c r="K72" s="2642" t="s">
        <v>115</v>
      </c>
      <c r="L72" s="1266">
        <v>195</v>
      </c>
      <c r="M72" s="1267"/>
      <c r="N72" s="1267"/>
      <c r="O72" s="1268"/>
      <c r="P72" s="2642" t="s">
        <v>115</v>
      </c>
      <c r="Q72" s="1266">
        <v>190</v>
      </c>
      <c r="R72" s="1267"/>
      <c r="S72" s="1267"/>
      <c r="T72" s="1268"/>
      <c r="U72" s="2642" t="s">
        <v>115</v>
      </c>
      <c r="V72" s="1266">
        <v>197</v>
      </c>
      <c r="W72" s="1267"/>
      <c r="X72" s="1267"/>
      <c r="Y72" s="1268"/>
      <c r="Z72" s="2642" t="s">
        <v>115</v>
      </c>
      <c r="AA72" s="3541">
        <v>192</v>
      </c>
      <c r="AB72" s="3542"/>
      <c r="AC72" s="3542"/>
      <c r="AD72" s="3543"/>
      <c r="AE72" s="2642" t="s">
        <v>115</v>
      </c>
      <c r="AF72" s="1266">
        <v>199</v>
      </c>
      <c r="AG72" s="1267"/>
      <c r="AH72" s="1267"/>
      <c r="AI72" s="1268"/>
      <c r="AJ72" s="2642" t="s">
        <v>115</v>
      </c>
      <c r="AK72" s="3541">
        <v>194</v>
      </c>
      <c r="AL72" s="3542"/>
      <c r="AM72" s="3542"/>
      <c r="AN72" s="3543"/>
      <c r="AO72" s="2642" t="s">
        <v>115</v>
      </c>
      <c r="AP72" s="1266">
        <v>201</v>
      </c>
      <c r="AQ72" s="1267"/>
      <c r="AR72" s="1267"/>
      <c r="AS72" s="1268"/>
      <c r="AT72" s="2642" t="s">
        <v>115</v>
      </c>
      <c r="AU72" s="3541">
        <v>196</v>
      </c>
      <c r="AV72" s="3542"/>
      <c r="AW72" s="3542"/>
      <c r="AX72" s="3543"/>
      <c r="AY72" s="2642" t="s">
        <v>115</v>
      </c>
      <c r="AZ72" s="1266">
        <v>203</v>
      </c>
      <c r="BA72" s="1267"/>
      <c r="BB72" s="1267"/>
      <c r="BC72" s="1268"/>
      <c r="BD72" s="2642" t="s">
        <v>115</v>
      </c>
      <c r="BE72" s="3544">
        <v>200</v>
      </c>
      <c r="BF72" s="3545"/>
      <c r="BG72" s="3545"/>
      <c r="BH72" s="3546"/>
      <c r="BI72" s="2642" t="s">
        <v>115</v>
      </c>
      <c r="BJ72" s="1266">
        <v>205</v>
      </c>
      <c r="BK72" s="1267"/>
      <c r="BL72" s="1267"/>
      <c r="BM72" s="1268"/>
      <c r="BN72" s="2642" t="s">
        <v>115</v>
      </c>
      <c r="BO72" s="1266">
        <v>202</v>
      </c>
      <c r="BP72" s="1267"/>
      <c r="BQ72" s="1267"/>
      <c r="BR72" s="1268"/>
      <c r="BS72" s="53"/>
      <c r="BT72" s="53"/>
    </row>
    <row r="73" spans="1:90" ht="23.1" customHeight="1" thickBot="1" x14ac:dyDescent="0.3">
      <c r="A73" s="2643"/>
      <c r="B73" s="61">
        <v>0.30399999999999999</v>
      </c>
      <c r="C73" s="62" t="s">
        <v>113</v>
      </c>
      <c r="D73" s="63">
        <v>1</v>
      </c>
      <c r="E73" s="64" t="s">
        <v>114</v>
      </c>
      <c r="F73" s="2643"/>
      <c r="G73" s="61">
        <v>1E-4</v>
      </c>
      <c r="H73" s="62" t="s">
        <v>113</v>
      </c>
      <c r="I73" s="63"/>
      <c r="J73" s="64" t="s">
        <v>114</v>
      </c>
      <c r="K73" s="2643"/>
      <c r="L73" s="61">
        <v>1.6</v>
      </c>
      <c r="M73" s="62" t="s">
        <v>113</v>
      </c>
      <c r="N73" s="63">
        <v>1</v>
      </c>
      <c r="O73" s="64" t="s">
        <v>114</v>
      </c>
      <c r="P73" s="2643"/>
      <c r="Q73" s="61">
        <v>2.3620000000000001</v>
      </c>
      <c r="R73" s="62" t="s">
        <v>113</v>
      </c>
      <c r="S73" s="63">
        <v>1</v>
      </c>
      <c r="T73" s="64" t="s">
        <v>114</v>
      </c>
      <c r="U73" s="2643"/>
      <c r="V73" s="61">
        <v>0.20300000000000001</v>
      </c>
      <c r="W73" s="62" t="s">
        <v>113</v>
      </c>
      <c r="X73" s="63"/>
      <c r="Y73" s="64" t="s">
        <v>114</v>
      </c>
      <c r="Z73" s="2643"/>
      <c r="AA73" s="61">
        <v>0.58399999999999996</v>
      </c>
      <c r="AB73" s="62" t="s">
        <v>113</v>
      </c>
      <c r="AC73" s="63"/>
      <c r="AD73" s="64" t="s">
        <v>114</v>
      </c>
      <c r="AE73" s="2643"/>
      <c r="AF73" s="61">
        <v>0.254</v>
      </c>
      <c r="AG73" s="62" t="s">
        <v>113</v>
      </c>
      <c r="AH73" s="63"/>
      <c r="AI73" s="64" t="s">
        <v>114</v>
      </c>
      <c r="AJ73" s="2643"/>
      <c r="AK73" s="61">
        <v>1E-4</v>
      </c>
      <c r="AL73" s="62" t="s">
        <v>113</v>
      </c>
      <c r="AM73" s="63"/>
      <c r="AN73" s="64" t="s">
        <v>114</v>
      </c>
      <c r="AO73" s="2643"/>
      <c r="AP73" s="61">
        <v>0.50800000000000001</v>
      </c>
      <c r="AQ73" s="62" t="s">
        <v>113</v>
      </c>
      <c r="AR73" s="63">
        <v>1</v>
      </c>
      <c r="AS73" s="64" t="s">
        <v>114</v>
      </c>
      <c r="AT73" s="2643"/>
      <c r="AU73" s="61">
        <v>0.73599999999999999</v>
      </c>
      <c r="AV73" s="62" t="s">
        <v>113</v>
      </c>
      <c r="AW73" s="63">
        <v>1</v>
      </c>
      <c r="AX73" s="64" t="s">
        <v>114</v>
      </c>
      <c r="AY73" s="2643"/>
      <c r="AZ73" s="61">
        <v>0.83799999999999997</v>
      </c>
      <c r="BA73" s="62" t="s">
        <v>113</v>
      </c>
      <c r="BB73" s="63">
        <v>1</v>
      </c>
      <c r="BC73" s="64" t="s">
        <v>114</v>
      </c>
      <c r="BD73" s="2643"/>
      <c r="BE73" s="61">
        <v>0.99</v>
      </c>
      <c r="BF73" s="62" t="s">
        <v>113</v>
      </c>
      <c r="BG73" s="63"/>
      <c r="BH73" s="64" t="s">
        <v>114</v>
      </c>
      <c r="BI73" s="2643"/>
      <c r="BJ73" s="61">
        <v>0.38100000000000001</v>
      </c>
      <c r="BK73" s="62" t="s">
        <v>113</v>
      </c>
      <c r="BL73" s="63"/>
      <c r="BM73" s="64" t="s">
        <v>114</v>
      </c>
      <c r="BN73" s="2643"/>
      <c r="BO73" s="61">
        <v>0.63500000000000001</v>
      </c>
      <c r="BP73" s="62" t="s">
        <v>113</v>
      </c>
      <c r="BQ73" s="63">
        <v>2</v>
      </c>
      <c r="BR73" s="64" t="s">
        <v>114</v>
      </c>
    </row>
    <row r="74" spans="1:90" ht="18.600000000000001" customHeight="1" thickTop="1" x14ac:dyDescent="0.25">
      <c r="A74" s="3508" t="s">
        <v>110</v>
      </c>
      <c r="B74" s="3509"/>
      <c r="C74" s="3512">
        <f>B79/((36*3.1415/59)*(136/3.281))</f>
        <v>4.4679481228005018E-3</v>
      </c>
      <c r="D74" s="3512"/>
      <c r="E74" s="3513"/>
      <c r="F74" s="3508" t="s">
        <v>110</v>
      </c>
      <c r="G74" s="3509"/>
      <c r="H74" s="3512">
        <f>G79/((36*3.1415/59)*(136/3.281))</f>
        <v>6.0738922931366818E-2</v>
      </c>
      <c r="I74" s="3512"/>
      <c r="J74" s="3513"/>
      <c r="K74" s="3508" t="s">
        <v>110</v>
      </c>
      <c r="L74" s="3509"/>
      <c r="M74" s="3512">
        <f>L79/((36*3.1415/59)*(136/3.281))</f>
        <v>1.9810000972642225E-2</v>
      </c>
      <c r="N74" s="3512"/>
      <c r="O74" s="3513"/>
      <c r="P74" s="3508" t="s">
        <v>110</v>
      </c>
      <c r="Q74" s="3509"/>
      <c r="R74" s="3512">
        <f>Q79/((36*3.1415/59)*(136/3.281))</f>
        <v>0.1237181128088139</v>
      </c>
      <c r="S74" s="3512"/>
      <c r="T74" s="3513"/>
      <c r="U74" s="3508" t="s">
        <v>110</v>
      </c>
      <c r="V74" s="3509"/>
      <c r="W74" s="3512">
        <f>V79/((36*3.1415/59)*(136/3.281))</f>
        <v>3.7719550771924237E-2</v>
      </c>
      <c r="X74" s="3512"/>
      <c r="Y74" s="3513"/>
      <c r="Z74" s="3508" t="s">
        <v>110</v>
      </c>
      <c r="AA74" s="3509"/>
      <c r="AB74" s="3512">
        <f>AA79/((36*3.1415/59)*(136/3.281))</f>
        <v>3.070927723840345E-2</v>
      </c>
      <c r="AC74" s="3512"/>
      <c r="AD74" s="3513"/>
      <c r="AE74" s="3508" t="s">
        <v>110</v>
      </c>
      <c r="AF74" s="3509"/>
      <c r="AG74" s="3512">
        <f>AF79/((36*3.1415/59)*(136/3.281))</f>
        <v>1.086151895768122E-2</v>
      </c>
      <c r="AH74" s="3512"/>
      <c r="AI74" s="3513"/>
      <c r="AJ74" s="3508" t="s">
        <v>110</v>
      </c>
      <c r="AK74" s="3509"/>
      <c r="AL74" s="3512">
        <f>AK79/((36*3.1415/59)*(136/3.281))</f>
        <v>1.2585769360001413E-6</v>
      </c>
      <c r="AM74" s="3512"/>
      <c r="AN74" s="3513"/>
      <c r="AO74" s="3508" t="s">
        <v>110</v>
      </c>
      <c r="AP74" s="3509"/>
      <c r="AQ74" s="3512">
        <f>AP79/((36*3.1415/59)*(136/3.281))</f>
        <v>1.2145267432401364E-2</v>
      </c>
      <c r="AR74" s="3512"/>
      <c r="AS74" s="3513"/>
      <c r="AT74" s="3508" t="s">
        <v>110</v>
      </c>
      <c r="AU74" s="3509"/>
      <c r="AV74" s="3512">
        <f>AU79/((36*3.1415/59)*(136/3.281))</f>
        <v>6.1380797168726894E-2</v>
      </c>
      <c r="AW74" s="3512"/>
      <c r="AX74" s="3513"/>
      <c r="AY74" s="3508" t="s">
        <v>110</v>
      </c>
      <c r="AZ74" s="3509"/>
      <c r="BA74" s="3512">
        <f>AZ79/((36*3.1415/59)*(136/3.281))</f>
        <v>2.1735623684722441E-2</v>
      </c>
      <c r="BB74" s="3512"/>
      <c r="BC74" s="3513"/>
      <c r="BD74" s="3508" t="s">
        <v>110</v>
      </c>
      <c r="BE74" s="3509"/>
      <c r="BF74" s="3512">
        <f>BE79/((36*3.1415/59)*(136/3.281))</f>
        <v>1.2585769360001414E-5</v>
      </c>
      <c r="BG74" s="3512"/>
      <c r="BH74" s="3513"/>
      <c r="BI74" s="3508" t="s">
        <v>110</v>
      </c>
      <c r="BJ74" s="3509"/>
      <c r="BK74" s="3512">
        <f>BJ79/((36*3.1415/59)*(136/3.281))</f>
        <v>1.3416430137761507E-2</v>
      </c>
      <c r="BL74" s="3512"/>
      <c r="BM74" s="3513"/>
      <c r="BN74" s="3508" t="s">
        <v>110</v>
      </c>
      <c r="BO74" s="3509"/>
      <c r="BP74" s="3512">
        <f>BO79/((36*3.1415/59)*(136/3.281))</f>
        <v>2.6555973349602982E-2</v>
      </c>
      <c r="BQ74" s="3512"/>
      <c r="BR74" s="3513"/>
    </row>
    <row r="75" spans="1:90" ht="18.600000000000001" customHeight="1" x14ac:dyDescent="0.25">
      <c r="A75" s="3510"/>
      <c r="B75" s="3511"/>
      <c r="C75" s="3514"/>
      <c r="D75" s="3514"/>
      <c r="E75" s="3515"/>
      <c r="F75" s="3510"/>
      <c r="G75" s="3511"/>
      <c r="H75" s="3514"/>
      <c r="I75" s="3514"/>
      <c r="J75" s="3515"/>
      <c r="K75" s="3510"/>
      <c r="L75" s="3511"/>
      <c r="M75" s="3514"/>
      <c r="N75" s="3514"/>
      <c r="O75" s="3515"/>
      <c r="P75" s="3510"/>
      <c r="Q75" s="3511"/>
      <c r="R75" s="3514"/>
      <c r="S75" s="3514"/>
      <c r="T75" s="3515"/>
      <c r="U75" s="3510"/>
      <c r="V75" s="3511"/>
      <c r="W75" s="3514"/>
      <c r="X75" s="3514"/>
      <c r="Y75" s="3515"/>
      <c r="Z75" s="3510"/>
      <c r="AA75" s="3511"/>
      <c r="AB75" s="3514"/>
      <c r="AC75" s="3514"/>
      <c r="AD75" s="3515"/>
      <c r="AE75" s="3510"/>
      <c r="AF75" s="3511"/>
      <c r="AG75" s="3514"/>
      <c r="AH75" s="3514"/>
      <c r="AI75" s="3515"/>
      <c r="AJ75" s="3510"/>
      <c r="AK75" s="3511"/>
      <c r="AL75" s="3514"/>
      <c r="AM75" s="3514"/>
      <c r="AN75" s="3515"/>
      <c r="AO75" s="3510"/>
      <c r="AP75" s="3511"/>
      <c r="AQ75" s="3514"/>
      <c r="AR75" s="3514"/>
      <c r="AS75" s="3515"/>
      <c r="AT75" s="3510"/>
      <c r="AU75" s="3511"/>
      <c r="AV75" s="3514"/>
      <c r="AW75" s="3514"/>
      <c r="AX75" s="3515"/>
      <c r="AY75" s="3510"/>
      <c r="AZ75" s="3511"/>
      <c r="BA75" s="3514"/>
      <c r="BB75" s="3514"/>
      <c r="BC75" s="3515"/>
      <c r="BD75" s="3510"/>
      <c r="BE75" s="3511"/>
      <c r="BF75" s="3514"/>
      <c r="BG75" s="3514"/>
      <c r="BH75" s="3515"/>
      <c r="BI75" s="3510"/>
      <c r="BJ75" s="3511"/>
      <c r="BK75" s="3514"/>
      <c r="BL75" s="3514"/>
      <c r="BM75" s="3515"/>
      <c r="BN75" s="3510"/>
      <c r="BO75" s="3511"/>
      <c r="BP75" s="3514"/>
      <c r="BQ75" s="3514"/>
      <c r="BR75" s="3515"/>
    </row>
    <row r="76" spans="1:90" ht="9.9499999999999993" customHeight="1" x14ac:dyDescent="0.25">
      <c r="A76" s="3495" t="s">
        <v>277</v>
      </c>
      <c r="B76" s="3527"/>
      <c r="C76" s="3529" t="s">
        <v>273</v>
      </c>
      <c r="D76" s="3529"/>
      <c r="E76" s="3530"/>
      <c r="F76" s="3504" t="s">
        <v>111</v>
      </c>
      <c r="G76" s="3196"/>
      <c r="H76" s="3196"/>
      <c r="I76" s="3196"/>
      <c r="J76" s="3505"/>
      <c r="K76" s="3495" t="s">
        <v>277</v>
      </c>
      <c r="L76" s="3527"/>
      <c r="M76" s="3529" t="s">
        <v>273</v>
      </c>
      <c r="N76" s="3529"/>
      <c r="O76" s="3530"/>
      <c r="P76" s="3504" t="s">
        <v>111</v>
      </c>
      <c r="Q76" s="3196"/>
      <c r="R76" s="3196"/>
      <c r="S76" s="3196"/>
      <c r="T76" s="3505"/>
      <c r="U76" s="3495" t="s">
        <v>277</v>
      </c>
      <c r="V76" s="3527"/>
      <c r="W76" s="3529" t="s">
        <v>273</v>
      </c>
      <c r="X76" s="3529"/>
      <c r="Y76" s="3530"/>
      <c r="Z76" s="3504" t="s">
        <v>111</v>
      </c>
      <c r="AA76" s="3196"/>
      <c r="AB76" s="3196"/>
      <c r="AC76" s="3196"/>
      <c r="AD76" s="3505"/>
      <c r="AE76" s="3495" t="s">
        <v>277</v>
      </c>
      <c r="AF76" s="3527"/>
      <c r="AG76" s="3529" t="s">
        <v>273</v>
      </c>
      <c r="AH76" s="3529"/>
      <c r="AI76" s="3530"/>
      <c r="AJ76" s="3504" t="s">
        <v>111</v>
      </c>
      <c r="AK76" s="3196"/>
      <c r="AL76" s="3196"/>
      <c r="AM76" s="3196"/>
      <c r="AN76" s="3505"/>
      <c r="AO76" s="3495" t="s">
        <v>277</v>
      </c>
      <c r="AP76" s="3527"/>
      <c r="AQ76" s="3529" t="s">
        <v>273</v>
      </c>
      <c r="AR76" s="3529"/>
      <c r="AS76" s="3530"/>
      <c r="AT76" s="3504" t="s">
        <v>111</v>
      </c>
      <c r="AU76" s="3196"/>
      <c r="AV76" s="3196"/>
      <c r="AW76" s="3196"/>
      <c r="AX76" s="3505"/>
      <c r="AY76" s="3495" t="s">
        <v>277</v>
      </c>
      <c r="AZ76" s="3527"/>
      <c r="BA76" s="3529" t="s">
        <v>273</v>
      </c>
      <c r="BB76" s="3529"/>
      <c r="BC76" s="3530"/>
      <c r="BD76" s="3504" t="s">
        <v>111</v>
      </c>
      <c r="BE76" s="3196"/>
      <c r="BF76" s="3196"/>
      <c r="BG76" s="3196"/>
      <c r="BH76" s="3505"/>
      <c r="BI76" s="3495" t="s">
        <v>277</v>
      </c>
      <c r="BJ76" s="3527"/>
      <c r="BK76" s="3529" t="s">
        <v>273</v>
      </c>
      <c r="BL76" s="3529"/>
      <c r="BM76" s="3530"/>
      <c r="BN76" s="3504" t="s">
        <v>111</v>
      </c>
      <c r="BO76" s="3196"/>
      <c r="BP76" s="3196"/>
      <c r="BQ76" s="3196"/>
      <c r="BR76" s="3505"/>
    </row>
    <row r="77" spans="1:90" ht="9.9499999999999993" customHeight="1" x14ac:dyDescent="0.25">
      <c r="A77" s="3499"/>
      <c r="B77" s="3528"/>
      <c r="C77" s="3531"/>
      <c r="D77" s="3531"/>
      <c r="E77" s="3532"/>
      <c r="F77" s="3506"/>
      <c r="G77" s="3197"/>
      <c r="H77" s="3197"/>
      <c r="I77" s="3197"/>
      <c r="J77" s="3507"/>
      <c r="K77" s="3499"/>
      <c r="L77" s="3528"/>
      <c r="M77" s="3531"/>
      <c r="N77" s="3531"/>
      <c r="O77" s="3532"/>
      <c r="P77" s="3506"/>
      <c r="Q77" s="3197"/>
      <c r="R77" s="3197"/>
      <c r="S77" s="3197"/>
      <c r="T77" s="3507"/>
      <c r="U77" s="3499"/>
      <c r="V77" s="3528"/>
      <c r="W77" s="3531"/>
      <c r="X77" s="3531"/>
      <c r="Y77" s="3532"/>
      <c r="Z77" s="3506"/>
      <c r="AA77" s="3197"/>
      <c r="AB77" s="3197"/>
      <c r="AC77" s="3197"/>
      <c r="AD77" s="3507"/>
      <c r="AE77" s="3499"/>
      <c r="AF77" s="3528"/>
      <c r="AG77" s="3531"/>
      <c r="AH77" s="3531"/>
      <c r="AI77" s="3532"/>
      <c r="AJ77" s="3506"/>
      <c r="AK77" s="3197"/>
      <c r="AL77" s="3197"/>
      <c r="AM77" s="3197"/>
      <c r="AN77" s="3507"/>
      <c r="AO77" s="3499"/>
      <c r="AP77" s="3528"/>
      <c r="AQ77" s="3531"/>
      <c r="AR77" s="3531"/>
      <c r="AS77" s="3532"/>
      <c r="AT77" s="3506"/>
      <c r="AU77" s="3197"/>
      <c r="AV77" s="3197"/>
      <c r="AW77" s="3197"/>
      <c r="AX77" s="3507"/>
      <c r="AY77" s="3499"/>
      <c r="AZ77" s="3528"/>
      <c r="BA77" s="3531"/>
      <c r="BB77" s="3531"/>
      <c r="BC77" s="3532"/>
      <c r="BD77" s="3506"/>
      <c r="BE77" s="3197"/>
      <c r="BF77" s="3197"/>
      <c r="BG77" s="3197"/>
      <c r="BH77" s="3507"/>
      <c r="BI77" s="3499"/>
      <c r="BJ77" s="3528"/>
      <c r="BK77" s="3531"/>
      <c r="BL77" s="3531"/>
      <c r="BM77" s="3532"/>
      <c r="BN77" s="3506"/>
      <c r="BO77" s="3197"/>
      <c r="BP77" s="3197"/>
      <c r="BQ77" s="3197"/>
      <c r="BR77" s="3507"/>
    </row>
    <row r="78" spans="1:90" ht="84.95" customHeight="1" x14ac:dyDescent="0.25">
      <c r="A78" s="2642" t="s">
        <v>115</v>
      </c>
      <c r="B78" s="1266">
        <v>207</v>
      </c>
      <c r="C78" s="1267"/>
      <c r="D78" s="1267"/>
      <c r="E78" s="1268"/>
      <c r="F78" s="2642" t="s">
        <v>115</v>
      </c>
      <c r="G78" s="1266">
        <v>206</v>
      </c>
      <c r="H78" s="1267"/>
      <c r="I78" s="1267"/>
      <c r="J78" s="1268"/>
      <c r="K78" s="2642" t="s">
        <v>115</v>
      </c>
      <c r="L78" s="1266">
        <v>209</v>
      </c>
      <c r="M78" s="1267"/>
      <c r="N78" s="1267"/>
      <c r="O78" s="1268"/>
      <c r="P78" s="2642" t="s">
        <v>115</v>
      </c>
      <c r="Q78" s="1266">
        <v>208</v>
      </c>
      <c r="R78" s="1267"/>
      <c r="S78" s="1267"/>
      <c r="T78" s="1268"/>
      <c r="U78" s="2642" t="s">
        <v>115</v>
      </c>
      <c r="V78" s="1266">
        <v>211</v>
      </c>
      <c r="W78" s="1267"/>
      <c r="X78" s="1267"/>
      <c r="Y78" s="1268"/>
      <c r="Z78" s="2642" t="s">
        <v>115</v>
      </c>
      <c r="AA78" s="1266">
        <v>210</v>
      </c>
      <c r="AB78" s="1267"/>
      <c r="AC78" s="1267"/>
      <c r="AD78" s="1268"/>
      <c r="AE78" s="2642" t="s">
        <v>115</v>
      </c>
      <c r="AF78" s="1266">
        <v>213</v>
      </c>
      <c r="AG78" s="1267"/>
      <c r="AH78" s="1267"/>
      <c r="AI78" s="1268"/>
      <c r="AJ78" s="2642" t="s">
        <v>115</v>
      </c>
      <c r="AK78" s="1266">
        <v>214</v>
      </c>
      <c r="AL78" s="1267"/>
      <c r="AM78" s="1267"/>
      <c r="AN78" s="1268"/>
      <c r="AO78" s="2642" t="s">
        <v>115</v>
      </c>
      <c r="AP78" s="1266">
        <v>215</v>
      </c>
      <c r="AQ78" s="1267"/>
      <c r="AR78" s="1267"/>
      <c r="AS78" s="1268"/>
      <c r="AT78" s="2642" t="s">
        <v>115</v>
      </c>
      <c r="AU78" s="1266">
        <v>216</v>
      </c>
      <c r="AV78" s="1267"/>
      <c r="AW78" s="1267"/>
      <c r="AX78" s="1268"/>
      <c r="AY78" s="2642" t="s">
        <v>115</v>
      </c>
      <c r="AZ78" s="1266">
        <v>217</v>
      </c>
      <c r="BA78" s="1267"/>
      <c r="BB78" s="1267"/>
      <c r="BC78" s="1268"/>
      <c r="BD78" s="2642" t="s">
        <v>115</v>
      </c>
      <c r="BE78" s="1266">
        <v>218</v>
      </c>
      <c r="BF78" s="1267"/>
      <c r="BG78" s="1267"/>
      <c r="BH78" s="1268"/>
      <c r="BI78" s="2642" t="s">
        <v>115</v>
      </c>
      <c r="BJ78" s="1266">
        <v>219</v>
      </c>
      <c r="BK78" s="1267"/>
      <c r="BL78" s="1267"/>
      <c r="BM78" s="1268"/>
      <c r="BN78" s="2642" t="s">
        <v>115</v>
      </c>
      <c r="BO78" s="1266">
        <v>220</v>
      </c>
      <c r="BP78" s="1267"/>
      <c r="BQ78" s="1267"/>
      <c r="BR78" s="1268"/>
    </row>
    <row r="79" spans="1:90" ht="23.1" customHeight="1" thickBot="1" x14ac:dyDescent="0.3">
      <c r="A79" s="2643"/>
      <c r="B79" s="61">
        <v>0.35499999999999998</v>
      </c>
      <c r="C79" s="62" t="s">
        <v>113</v>
      </c>
      <c r="D79" s="63">
        <v>1</v>
      </c>
      <c r="E79" s="64" t="s">
        <v>114</v>
      </c>
      <c r="F79" s="2643"/>
      <c r="G79" s="61">
        <v>4.8259999999999996</v>
      </c>
      <c r="H79" s="62" t="s">
        <v>113</v>
      </c>
      <c r="I79" s="63"/>
      <c r="J79" s="64" t="s">
        <v>114</v>
      </c>
      <c r="K79" s="2643"/>
      <c r="L79" s="61">
        <v>1.5740000000000001</v>
      </c>
      <c r="M79" s="62" t="s">
        <v>113</v>
      </c>
      <c r="N79" s="63"/>
      <c r="O79" s="64" t="s">
        <v>114</v>
      </c>
      <c r="P79" s="2643"/>
      <c r="Q79" s="61">
        <v>9.83</v>
      </c>
      <c r="R79" s="62" t="s">
        <v>113</v>
      </c>
      <c r="S79" s="63">
        <v>1</v>
      </c>
      <c r="T79" s="64" t="s">
        <v>114</v>
      </c>
      <c r="U79" s="2643"/>
      <c r="V79" s="61">
        <v>2.9969999999999999</v>
      </c>
      <c r="W79" s="62" t="s">
        <v>113</v>
      </c>
      <c r="X79" s="63">
        <v>1</v>
      </c>
      <c r="Y79" s="64" t="s">
        <v>114</v>
      </c>
      <c r="Z79" s="2643"/>
      <c r="AA79" s="61">
        <v>2.44</v>
      </c>
      <c r="AB79" s="62" t="s">
        <v>113</v>
      </c>
      <c r="AC79" s="63"/>
      <c r="AD79" s="64" t="s">
        <v>114</v>
      </c>
      <c r="AE79" s="2643"/>
      <c r="AF79" s="61">
        <v>0.86299999999999999</v>
      </c>
      <c r="AG79" s="62" t="s">
        <v>113</v>
      </c>
      <c r="AH79" s="63">
        <v>1</v>
      </c>
      <c r="AI79" s="64" t="s">
        <v>114</v>
      </c>
      <c r="AJ79" s="2643"/>
      <c r="AK79" s="61">
        <v>1E-4</v>
      </c>
      <c r="AL79" s="62" t="s">
        <v>113</v>
      </c>
      <c r="AM79" s="63">
        <v>1</v>
      </c>
      <c r="AN79" s="64" t="s">
        <v>114</v>
      </c>
      <c r="AO79" s="2643"/>
      <c r="AP79" s="61">
        <v>0.96499999999999997</v>
      </c>
      <c r="AQ79" s="62" t="s">
        <v>113</v>
      </c>
      <c r="AR79" s="63"/>
      <c r="AS79" s="64" t="s">
        <v>114</v>
      </c>
      <c r="AT79" s="2643"/>
      <c r="AU79" s="61">
        <v>4.8769999999999998</v>
      </c>
      <c r="AV79" s="62" t="s">
        <v>113</v>
      </c>
      <c r="AW79" s="63">
        <v>1</v>
      </c>
      <c r="AX79" s="64" t="s">
        <v>114</v>
      </c>
      <c r="AY79" s="2643"/>
      <c r="AZ79" s="61">
        <v>1.7270000000000001</v>
      </c>
      <c r="BA79" s="62" t="s">
        <v>113</v>
      </c>
      <c r="BB79" s="63">
        <v>1</v>
      </c>
      <c r="BC79" s="64" t="s">
        <v>114</v>
      </c>
      <c r="BD79" s="2643"/>
      <c r="BE79" s="61">
        <v>1E-3</v>
      </c>
      <c r="BF79" s="62" t="s">
        <v>113</v>
      </c>
      <c r="BG79" s="63">
        <v>1</v>
      </c>
      <c r="BH79" s="64" t="s">
        <v>114</v>
      </c>
      <c r="BI79" s="2643"/>
      <c r="BJ79" s="61">
        <v>1.0660000000000001</v>
      </c>
      <c r="BK79" s="62" t="s">
        <v>113</v>
      </c>
      <c r="BL79" s="63">
        <v>1</v>
      </c>
      <c r="BM79" s="64" t="s">
        <v>114</v>
      </c>
      <c r="BN79" s="2643"/>
      <c r="BO79" s="61">
        <v>2.11</v>
      </c>
      <c r="BP79" s="62" t="s">
        <v>113</v>
      </c>
      <c r="BQ79" s="63"/>
      <c r="BR79" s="64" t="s">
        <v>114</v>
      </c>
    </row>
    <row r="80" spans="1:90" ht="18.600000000000001" customHeight="1" thickTop="1" x14ac:dyDescent="0.25">
      <c r="A80" s="3508" t="s">
        <v>110</v>
      </c>
      <c r="B80" s="3509"/>
      <c r="C80" s="3512">
        <f>B85/((36*3.1415/59)*(136/3.281))</f>
        <v>8.3066077776009339E-3</v>
      </c>
      <c r="D80" s="3512"/>
      <c r="E80" s="3513"/>
      <c r="F80" s="3508" t="s">
        <v>110</v>
      </c>
      <c r="G80" s="3509"/>
      <c r="H80" s="3512">
        <f>G85/((36*3.1415/59)*(136/3.281))</f>
        <v>1.2585769360001413E-6</v>
      </c>
      <c r="I80" s="3512"/>
      <c r="J80" s="3513"/>
      <c r="K80" s="3508" t="s">
        <v>110</v>
      </c>
      <c r="L80" s="3509"/>
      <c r="M80" s="3512">
        <f>L85/((36*3.1415/59)*(136/3.281))</f>
        <v>2.1735623684722441E-2</v>
      </c>
      <c r="N80" s="3512"/>
      <c r="O80" s="3513"/>
      <c r="P80" s="3508" t="s">
        <v>110</v>
      </c>
      <c r="Q80" s="3509"/>
      <c r="R80" s="3512">
        <f>Q85/((36*3.1415/59)*(136/3.281))</f>
        <v>1.5983927087201795E-3</v>
      </c>
      <c r="S80" s="3512"/>
      <c r="T80" s="3513"/>
      <c r="U80" s="3508" t="s">
        <v>110</v>
      </c>
      <c r="V80" s="3509"/>
      <c r="W80" s="3512">
        <f>V85/((36*3.1415/59)*(136/3.281))</f>
        <v>1.2145267432401364E-2</v>
      </c>
      <c r="X80" s="3512"/>
      <c r="Y80" s="3513"/>
      <c r="Z80" s="3508" t="s">
        <v>110</v>
      </c>
      <c r="AA80" s="3509"/>
      <c r="AB80" s="3512">
        <f>AA85/((36*3.1415/59)*(136/3.281))</f>
        <v>2.22768117672025E-3</v>
      </c>
      <c r="AC80" s="3512"/>
      <c r="AD80" s="3513"/>
      <c r="AE80" s="3508" t="s">
        <v>110</v>
      </c>
      <c r="AF80" s="3509"/>
      <c r="AG80" s="3512">
        <f>AF85/((36*3.1415/59)*(136/3.281))</f>
        <v>1.2585769360001413E-6</v>
      </c>
      <c r="AH80" s="3512"/>
      <c r="AI80" s="3513"/>
      <c r="AJ80" s="3508" t="s">
        <v>110</v>
      </c>
      <c r="AK80" s="3509"/>
      <c r="AL80" s="3512">
        <f>AK85/((36*3.1415/59)*(136/3.281))</f>
        <v>3.1967854174403589E-3</v>
      </c>
      <c r="AM80" s="3512"/>
      <c r="AN80" s="3513"/>
      <c r="AO80" s="3508" t="s">
        <v>110</v>
      </c>
      <c r="AP80" s="3509"/>
      <c r="AQ80" s="3512">
        <f>AP85/((36*3.1415/59)*(136/3.281))</f>
        <v>5.7516965975206464E-3</v>
      </c>
      <c r="AR80" s="3512"/>
      <c r="AS80" s="3513"/>
      <c r="AT80" s="3508" t="s">
        <v>110</v>
      </c>
      <c r="AU80" s="3509"/>
      <c r="AV80" s="3512">
        <f>AU85/((36*3.1415/59)*(136/3.281))</f>
        <v>2.2050267918722478E-2</v>
      </c>
      <c r="AW80" s="3512"/>
      <c r="AX80" s="3513"/>
      <c r="AY80" s="3508" t="s">
        <v>110</v>
      </c>
      <c r="AZ80" s="3509"/>
      <c r="BA80" s="3512">
        <f>AZ85/((36*3.1415/59)*(136/3.281))</f>
        <v>3.8260738854404295E-3</v>
      </c>
      <c r="BB80" s="3512"/>
      <c r="BC80" s="3513"/>
      <c r="BD80" s="3508" t="s">
        <v>110</v>
      </c>
      <c r="BE80" s="3509"/>
      <c r="BF80" s="3512">
        <f>BE85/((36*3.1415/59)*(136/3.281))</f>
        <v>1.2585769360001414E-5</v>
      </c>
      <c r="BG80" s="3512"/>
      <c r="BH80" s="3513"/>
      <c r="BI80" s="3508" t="s">
        <v>110</v>
      </c>
      <c r="BJ80" s="3509"/>
      <c r="BK80" s="3512">
        <f>BJ85/((36*3.1415/59)*(136/3.281))</f>
        <v>1.5983927087201795E-3</v>
      </c>
      <c r="BL80" s="3512"/>
      <c r="BM80" s="3513"/>
      <c r="BN80" s="3508" t="s">
        <v>110</v>
      </c>
      <c r="BO80" s="3509"/>
      <c r="BP80" s="3512">
        <f>BO85/((36*3.1415/59)*(136/3.281))</f>
        <v>4.4679481228005018E-3</v>
      </c>
      <c r="BQ80" s="3512"/>
      <c r="BR80" s="3513"/>
    </row>
    <row r="81" spans="1:70" ht="18.600000000000001" customHeight="1" x14ac:dyDescent="0.25">
      <c r="A81" s="3510"/>
      <c r="B81" s="3511"/>
      <c r="C81" s="3514"/>
      <c r="D81" s="3514"/>
      <c r="E81" s="3515"/>
      <c r="F81" s="3510"/>
      <c r="G81" s="3511"/>
      <c r="H81" s="3514"/>
      <c r="I81" s="3514"/>
      <c r="J81" s="3515"/>
      <c r="K81" s="3510"/>
      <c r="L81" s="3511"/>
      <c r="M81" s="3514"/>
      <c r="N81" s="3514"/>
      <c r="O81" s="3515"/>
      <c r="P81" s="3510"/>
      <c r="Q81" s="3511"/>
      <c r="R81" s="3514"/>
      <c r="S81" s="3514"/>
      <c r="T81" s="3515"/>
      <c r="U81" s="3510"/>
      <c r="V81" s="3511"/>
      <c r="W81" s="3514"/>
      <c r="X81" s="3514"/>
      <c r="Y81" s="3515"/>
      <c r="Z81" s="3510"/>
      <c r="AA81" s="3511"/>
      <c r="AB81" s="3514"/>
      <c r="AC81" s="3514"/>
      <c r="AD81" s="3515"/>
      <c r="AE81" s="3510"/>
      <c r="AF81" s="3511"/>
      <c r="AG81" s="3514"/>
      <c r="AH81" s="3514"/>
      <c r="AI81" s="3515"/>
      <c r="AJ81" s="3510"/>
      <c r="AK81" s="3511"/>
      <c r="AL81" s="3514"/>
      <c r="AM81" s="3514"/>
      <c r="AN81" s="3515"/>
      <c r="AO81" s="3510"/>
      <c r="AP81" s="3511"/>
      <c r="AQ81" s="3514"/>
      <c r="AR81" s="3514"/>
      <c r="AS81" s="3515"/>
      <c r="AT81" s="3510"/>
      <c r="AU81" s="3511"/>
      <c r="AV81" s="3514"/>
      <c r="AW81" s="3514"/>
      <c r="AX81" s="3515"/>
      <c r="AY81" s="3510"/>
      <c r="AZ81" s="3511"/>
      <c r="BA81" s="3514"/>
      <c r="BB81" s="3514"/>
      <c r="BC81" s="3515"/>
      <c r="BD81" s="3510"/>
      <c r="BE81" s="3511"/>
      <c r="BF81" s="3514"/>
      <c r="BG81" s="3514"/>
      <c r="BH81" s="3515"/>
      <c r="BI81" s="3510"/>
      <c r="BJ81" s="3511"/>
      <c r="BK81" s="3514"/>
      <c r="BL81" s="3514"/>
      <c r="BM81" s="3515"/>
      <c r="BN81" s="3510"/>
      <c r="BO81" s="3511"/>
      <c r="BP81" s="3514"/>
      <c r="BQ81" s="3514"/>
      <c r="BR81" s="3515"/>
    </row>
    <row r="82" spans="1:70" ht="9.9499999999999993" customHeight="1" x14ac:dyDescent="0.25">
      <c r="A82" s="3495" t="s">
        <v>277</v>
      </c>
      <c r="B82" s="3527"/>
      <c r="C82" s="3529" t="s">
        <v>273</v>
      </c>
      <c r="D82" s="3529"/>
      <c r="E82" s="3530"/>
      <c r="F82" s="3504" t="s">
        <v>111</v>
      </c>
      <c r="G82" s="3196"/>
      <c r="H82" s="3196"/>
      <c r="I82" s="3196"/>
      <c r="J82" s="3505"/>
      <c r="K82" s="3495" t="s">
        <v>277</v>
      </c>
      <c r="L82" s="3527"/>
      <c r="M82" s="3529" t="s">
        <v>273</v>
      </c>
      <c r="N82" s="3529"/>
      <c r="O82" s="3530"/>
      <c r="P82" s="3504" t="s">
        <v>111</v>
      </c>
      <c r="Q82" s="3196"/>
      <c r="R82" s="3196"/>
      <c r="S82" s="3196"/>
      <c r="T82" s="3505"/>
      <c r="U82" s="3495" t="s">
        <v>277</v>
      </c>
      <c r="V82" s="3527"/>
      <c r="W82" s="3529" t="s">
        <v>273</v>
      </c>
      <c r="X82" s="3529"/>
      <c r="Y82" s="3530"/>
      <c r="Z82" s="3504" t="s">
        <v>111</v>
      </c>
      <c r="AA82" s="3196"/>
      <c r="AB82" s="3196"/>
      <c r="AC82" s="3196"/>
      <c r="AD82" s="3505"/>
      <c r="AE82" s="3495" t="s">
        <v>277</v>
      </c>
      <c r="AF82" s="3527"/>
      <c r="AG82" s="3529" t="s">
        <v>273</v>
      </c>
      <c r="AH82" s="3529"/>
      <c r="AI82" s="3530"/>
      <c r="AJ82" s="3504" t="s">
        <v>111</v>
      </c>
      <c r="AK82" s="3196"/>
      <c r="AL82" s="3196"/>
      <c r="AM82" s="3196"/>
      <c r="AN82" s="3505"/>
      <c r="AO82" s="3495" t="s">
        <v>277</v>
      </c>
      <c r="AP82" s="3527"/>
      <c r="AQ82" s="3529" t="s">
        <v>273</v>
      </c>
      <c r="AR82" s="3529"/>
      <c r="AS82" s="3530"/>
      <c r="AT82" s="3504" t="s">
        <v>111</v>
      </c>
      <c r="AU82" s="3196"/>
      <c r="AV82" s="3196"/>
      <c r="AW82" s="3196"/>
      <c r="AX82" s="3505"/>
      <c r="AY82" s="3495" t="s">
        <v>277</v>
      </c>
      <c r="AZ82" s="3527"/>
      <c r="BA82" s="3529" t="s">
        <v>273</v>
      </c>
      <c r="BB82" s="3529"/>
      <c r="BC82" s="3530"/>
      <c r="BD82" s="3504" t="s">
        <v>111</v>
      </c>
      <c r="BE82" s="3196"/>
      <c r="BF82" s="3196"/>
      <c r="BG82" s="3196"/>
      <c r="BH82" s="3505"/>
      <c r="BI82" s="3495" t="s">
        <v>277</v>
      </c>
      <c r="BJ82" s="3527"/>
      <c r="BK82" s="3529" t="s">
        <v>273</v>
      </c>
      <c r="BL82" s="3529"/>
      <c r="BM82" s="3530"/>
      <c r="BN82" s="3504" t="s">
        <v>111</v>
      </c>
      <c r="BO82" s="3196"/>
      <c r="BP82" s="3196"/>
      <c r="BQ82" s="3196"/>
      <c r="BR82" s="3505"/>
    </row>
    <row r="83" spans="1:70" ht="9.9499999999999993" customHeight="1" x14ac:dyDescent="0.25">
      <c r="A83" s="3499"/>
      <c r="B83" s="3528"/>
      <c r="C83" s="3531"/>
      <c r="D83" s="3531"/>
      <c r="E83" s="3532"/>
      <c r="F83" s="3506"/>
      <c r="G83" s="3197"/>
      <c r="H83" s="3197"/>
      <c r="I83" s="3197"/>
      <c r="J83" s="3507"/>
      <c r="K83" s="3499"/>
      <c r="L83" s="3528"/>
      <c r="M83" s="3531"/>
      <c r="N83" s="3531"/>
      <c r="O83" s="3532"/>
      <c r="P83" s="3506"/>
      <c r="Q83" s="3197"/>
      <c r="R83" s="3197"/>
      <c r="S83" s="3197"/>
      <c r="T83" s="3507"/>
      <c r="U83" s="3499"/>
      <c r="V83" s="3528"/>
      <c r="W83" s="3531"/>
      <c r="X83" s="3531"/>
      <c r="Y83" s="3532"/>
      <c r="Z83" s="3506"/>
      <c r="AA83" s="3197"/>
      <c r="AB83" s="3197"/>
      <c r="AC83" s="3197"/>
      <c r="AD83" s="3507"/>
      <c r="AE83" s="3499"/>
      <c r="AF83" s="3528"/>
      <c r="AG83" s="3531"/>
      <c r="AH83" s="3531"/>
      <c r="AI83" s="3532"/>
      <c r="AJ83" s="3506"/>
      <c r="AK83" s="3197"/>
      <c r="AL83" s="3197"/>
      <c r="AM83" s="3197"/>
      <c r="AN83" s="3507"/>
      <c r="AO83" s="3499"/>
      <c r="AP83" s="3528"/>
      <c r="AQ83" s="3531"/>
      <c r="AR83" s="3531"/>
      <c r="AS83" s="3532"/>
      <c r="AT83" s="3506"/>
      <c r="AU83" s="3197"/>
      <c r="AV83" s="3197"/>
      <c r="AW83" s="3197"/>
      <c r="AX83" s="3507"/>
      <c r="AY83" s="3499"/>
      <c r="AZ83" s="3528"/>
      <c r="BA83" s="3531"/>
      <c r="BB83" s="3531"/>
      <c r="BC83" s="3532"/>
      <c r="BD83" s="3506"/>
      <c r="BE83" s="3197"/>
      <c r="BF83" s="3197"/>
      <c r="BG83" s="3197"/>
      <c r="BH83" s="3507"/>
      <c r="BI83" s="3499"/>
      <c r="BJ83" s="3528"/>
      <c r="BK83" s="3531"/>
      <c r="BL83" s="3531"/>
      <c r="BM83" s="3532"/>
      <c r="BN83" s="3506"/>
      <c r="BO83" s="3197"/>
      <c r="BP83" s="3197"/>
      <c r="BQ83" s="3197"/>
      <c r="BR83" s="3507"/>
    </row>
    <row r="84" spans="1:70" ht="84.95" customHeight="1" x14ac:dyDescent="0.25">
      <c r="A84" s="2642" t="s">
        <v>115</v>
      </c>
      <c r="B84" s="1266">
        <v>221</v>
      </c>
      <c r="C84" s="1267"/>
      <c r="D84" s="1267"/>
      <c r="E84" s="1268"/>
      <c r="F84" s="2642" t="s">
        <v>115</v>
      </c>
      <c r="G84" s="1266">
        <v>222</v>
      </c>
      <c r="H84" s="1267"/>
      <c r="I84" s="1267"/>
      <c r="J84" s="1268"/>
      <c r="K84" s="2642" t="s">
        <v>115</v>
      </c>
      <c r="L84" s="1266">
        <v>223</v>
      </c>
      <c r="M84" s="1267"/>
      <c r="N84" s="1267"/>
      <c r="O84" s="1268"/>
      <c r="P84" s="2642" t="s">
        <v>115</v>
      </c>
      <c r="Q84" s="1266">
        <v>224</v>
      </c>
      <c r="R84" s="1267"/>
      <c r="S84" s="1267"/>
      <c r="T84" s="1268"/>
      <c r="U84" s="2642" t="s">
        <v>115</v>
      </c>
      <c r="V84" s="1266">
        <v>225</v>
      </c>
      <c r="W84" s="1267"/>
      <c r="X84" s="1267"/>
      <c r="Y84" s="1268"/>
      <c r="Z84" s="2642" t="s">
        <v>115</v>
      </c>
      <c r="AA84" s="1266">
        <v>226</v>
      </c>
      <c r="AB84" s="1267"/>
      <c r="AC84" s="1267"/>
      <c r="AD84" s="1268"/>
      <c r="AE84" s="2642" t="s">
        <v>115</v>
      </c>
      <c r="AF84" s="1266">
        <v>227</v>
      </c>
      <c r="AG84" s="1267"/>
      <c r="AH84" s="1267"/>
      <c r="AI84" s="1268"/>
      <c r="AJ84" s="2642" t="s">
        <v>115</v>
      </c>
      <c r="AK84" s="1266">
        <v>228</v>
      </c>
      <c r="AL84" s="1267"/>
      <c r="AM84" s="1267"/>
      <c r="AN84" s="1268"/>
      <c r="AO84" s="2642" t="s">
        <v>115</v>
      </c>
      <c r="AP84" s="1266">
        <v>229</v>
      </c>
      <c r="AQ84" s="1267"/>
      <c r="AR84" s="1267"/>
      <c r="AS84" s="1268"/>
      <c r="AT84" s="2642" t="s">
        <v>115</v>
      </c>
      <c r="AU84" s="1266">
        <v>230</v>
      </c>
      <c r="AV84" s="1267"/>
      <c r="AW84" s="1267"/>
      <c r="AX84" s="1268"/>
      <c r="AY84" s="2642" t="s">
        <v>115</v>
      </c>
      <c r="AZ84" s="1266">
        <v>231</v>
      </c>
      <c r="BA84" s="1267"/>
      <c r="BB84" s="1267"/>
      <c r="BC84" s="1268"/>
      <c r="BD84" s="2642" t="s">
        <v>115</v>
      </c>
      <c r="BE84" s="1266">
        <v>232</v>
      </c>
      <c r="BF84" s="1267"/>
      <c r="BG84" s="1267"/>
      <c r="BH84" s="1268"/>
      <c r="BI84" s="2642" t="s">
        <v>115</v>
      </c>
      <c r="BJ84" s="1266">
        <v>233</v>
      </c>
      <c r="BK84" s="1267"/>
      <c r="BL84" s="1267"/>
      <c r="BM84" s="1268"/>
      <c r="BN84" s="2642" t="s">
        <v>115</v>
      </c>
      <c r="BO84" s="1266">
        <v>234</v>
      </c>
      <c r="BP84" s="1267"/>
      <c r="BQ84" s="1267"/>
      <c r="BR84" s="1268"/>
    </row>
    <row r="85" spans="1:70" ht="23.1" customHeight="1" thickBot="1" x14ac:dyDescent="0.3">
      <c r="A85" s="2643"/>
      <c r="B85" s="61">
        <v>0.66</v>
      </c>
      <c r="C85" s="62" t="s">
        <v>113</v>
      </c>
      <c r="D85" s="63"/>
      <c r="E85" s="64" t="s">
        <v>114</v>
      </c>
      <c r="F85" s="2643"/>
      <c r="G85" s="61">
        <v>1E-4</v>
      </c>
      <c r="H85" s="62" t="s">
        <v>113</v>
      </c>
      <c r="I85" s="63">
        <v>1</v>
      </c>
      <c r="J85" s="64" t="s">
        <v>114</v>
      </c>
      <c r="K85" s="2643"/>
      <c r="L85" s="61">
        <v>1.7270000000000001</v>
      </c>
      <c r="M85" s="62" t="s">
        <v>113</v>
      </c>
      <c r="N85" s="63">
        <v>1</v>
      </c>
      <c r="O85" s="64" t="s">
        <v>114</v>
      </c>
      <c r="P85" s="2643"/>
      <c r="Q85" s="61">
        <v>0.127</v>
      </c>
      <c r="R85" s="62" t="s">
        <v>113</v>
      </c>
      <c r="S85" s="63">
        <v>1</v>
      </c>
      <c r="T85" s="64" t="s">
        <v>114</v>
      </c>
      <c r="U85" s="2643"/>
      <c r="V85" s="61">
        <v>0.96499999999999997</v>
      </c>
      <c r="W85" s="62" t="s">
        <v>113</v>
      </c>
      <c r="X85" s="63"/>
      <c r="Y85" s="64" t="s">
        <v>114</v>
      </c>
      <c r="Z85" s="2643"/>
      <c r="AA85" s="61">
        <v>0.17699999999999999</v>
      </c>
      <c r="AB85" s="62" t="s">
        <v>113</v>
      </c>
      <c r="AC85" s="63">
        <v>1</v>
      </c>
      <c r="AD85" s="64" t="s">
        <v>114</v>
      </c>
      <c r="AE85" s="2643"/>
      <c r="AF85" s="61">
        <v>1E-4</v>
      </c>
      <c r="AG85" s="62" t="s">
        <v>113</v>
      </c>
      <c r="AH85" s="63">
        <v>1</v>
      </c>
      <c r="AI85" s="64" t="s">
        <v>114</v>
      </c>
      <c r="AJ85" s="2643"/>
      <c r="AK85" s="61">
        <v>0.254</v>
      </c>
      <c r="AL85" s="62" t="s">
        <v>113</v>
      </c>
      <c r="AM85" s="63">
        <v>1</v>
      </c>
      <c r="AN85" s="64" t="s">
        <v>114</v>
      </c>
      <c r="AO85" s="2643"/>
      <c r="AP85" s="61">
        <v>0.45700000000000002</v>
      </c>
      <c r="AQ85" s="62" t="s">
        <v>113</v>
      </c>
      <c r="AR85" s="63">
        <v>1</v>
      </c>
      <c r="AS85" s="64" t="s">
        <v>114</v>
      </c>
      <c r="AT85" s="2643"/>
      <c r="AU85" s="61">
        <v>1.752</v>
      </c>
      <c r="AV85" s="62" t="s">
        <v>113</v>
      </c>
      <c r="AW85" s="63">
        <v>1</v>
      </c>
      <c r="AX85" s="64" t="s">
        <v>114</v>
      </c>
      <c r="AY85" s="2643"/>
      <c r="AZ85" s="61">
        <v>0.30399999999999999</v>
      </c>
      <c r="BA85" s="62" t="s">
        <v>113</v>
      </c>
      <c r="BB85" s="63"/>
      <c r="BC85" s="64" t="s">
        <v>114</v>
      </c>
      <c r="BD85" s="2643"/>
      <c r="BE85" s="61">
        <v>1E-3</v>
      </c>
      <c r="BF85" s="62" t="s">
        <v>113</v>
      </c>
      <c r="BG85" s="63"/>
      <c r="BH85" s="64" t="s">
        <v>114</v>
      </c>
      <c r="BI85" s="2643"/>
      <c r="BJ85" s="61">
        <v>0.127</v>
      </c>
      <c r="BK85" s="62" t="s">
        <v>113</v>
      </c>
      <c r="BL85" s="63">
        <v>1</v>
      </c>
      <c r="BM85" s="64" t="s">
        <v>114</v>
      </c>
      <c r="BN85" s="2643"/>
      <c r="BO85" s="61">
        <v>0.35499999999999998</v>
      </c>
      <c r="BP85" s="62" t="s">
        <v>113</v>
      </c>
      <c r="BQ85" s="63">
        <v>1</v>
      </c>
      <c r="BR85" s="64" t="s">
        <v>114</v>
      </c>
    </row>
    <row r="86" spans="1:70" ht="18.600000000000001" customHeight="1" thickTop="1" x14ac:dyDescent="0.25">
      <c r="A86" s="3508" t="s">
        <v>110</v>
      </c>
      <c r="B86" s="3509"/>
      <c r="C86" s="3512">
        <f>B91/((36*3.1415/59)*(136/3.281))</f>
        <v>1.2585769360001413E-6</v>
      </c>
      <c r="D86" s="3512"/>
      <c r="E86" s="3513"/>
      <c r="F86" s="3508" t="s">
        <v>110</v>
      </c>
      <c r="G86" s="3509"/>
      <c r="H86" s="3512">
        <f>G91/((36*3.1415/59)*(136/3.281))</f>
        <v>7.6647335402408607E-3</v>
      </c>
      <c r="I86" s="3512"/>
      <c r="J86" s="3513"/>
      <c r="K86" s="3508" t="s">
        <v>110</v>
      </c>
      <c r="L86" s="3509"/>
      <c r="M86" s="3512">
        <f>L91/((36*3.1415/59)*(136/3.281))</f>
        <v>3.5114296514403946E-3</v>
      </c>
      <c r="N86" s="3512"/>
      <c r="O86" s="3513"/>
      <c r="P86" s="3508" t="s">
        <v>110</v>
      </c>
      <c r="Q86" s="3509"/>
      <c r="R86" s="3512">
        <f>Q91/((36*3.1415/59)*(136/3.281))</f>
        <v>1.086151895768122E-2</v>
      </c>
      <c r="S86" s="3512"/>
      <c r="T86" s="3513"/>
      <c r="U86" s="3508" t="s">
        <v>110</v>
      </c>
      <c r="V86" s="3509"/>
      <c r="W86" s="3512">
        <f>V91/((36*3.1415/59)*(136/3.281))</f>
        <v>8.6212520116009696E-3</v>
      </c>
      <c r="X86" s="3512"/>
      <c r="Y86" s="3513"/>
      <c r="Z86" s="3508" t="s">
        <v>110</v>
      </c>
      <c r="AA86" s="3509"/>
      <c r="AB86" s="3512">
        <f>AA91/((36*3.1415/59)*(136/3.281))</f>
        <v>1.470017861248165E-2</v>
      </c>
      <c r="AC86" s="3512"/>
      <c r="AD86" s="3513"/>
      <c r="AE86" s="3508" t="s">
        <v>110</v>
      </c>
      <c r="AF86" s="3509"/>
      <c r="AG86" s="3512">
        <f>AF91/((36*3.1415/59)*(136/3.281))</f>
        <v>2.9601729534723325E-2</v>
      </c>
      <c r="AH86" s="3512"/>
      <c r="AI86" s="3513"/>
      <c r="AJ86" s="3508" t="s">
        <v>110</v>
      </c>
      <c r="AK86" s="3509"/>
      <c r="AL86" s="3512">
        <f>AK91/((36*3.1415/59)*(136/3.281))</f>
        <v>2.5574283339522873E-3</v>
      </c>
      <c r="AM86" s="3512"/>
      <c r="AN86" s="3513"/>
      <c r="AO86" s="3508" t="s">
        <v>110</v>
      </c>
      <c r="AP86" s="3509"/>
      <c r="AQ86" s="3512">
        <f>AP91/((36*3.1415/59)*(136/3.281))</f>
        <v>1.1188748961041257E-2</v>
      </c>
      <c r="AR86" s="3512"/>
      <c r="AS86" s="3513"/>
      <c r="AT86" s="3508" t="s">
        <v>110</v>
      </c>
      <c r="AU86" s="3509"/>
      <c r="AV86" s="3512">
        <f>AU91/((36*3.1415/59)*(136/3.281))</f>
        <v>4.1243566192724637E-2</v>
      </c>
      <c r="AW86" s="3512"/>
      <c r="AX86" s="3513"/>
      <c r="AY86" s="3508" t="s">
        <v>110</v>
      </c>
      <c r="AZ86" s="3509"/>
      <c r="BA86" s="3512">
        <f>AZ91/((36*3.1415/59)*(136/3.281))</f>
        <v>3.0369461465683409E-2</v>
      </c>
      <c r="BB86" s="3512"/>
      <c r="BC86" s="3513"/>
      <c r="BD86" s="3508" t="s">
        <v>110</v>
      </c>
      <c r="BE86" s="3509"/>
      <c r="BF86" s="3512">
        <f>BE91/((36*3.1415/59)*(136/3.281))</f>
        <v>4.1533038888004669E-3</v>
      </c>
      <c r="BG86" s="3512"/>
      <c r="BH86" s="3513"/>
      <c r="BI86" s="3508" t="s">
        <v>110</v>
      </c>
      <c r="BJ86" s="3509"/>
      <c r="BK86" s="3512">
        <f>BJ91/((36*3.1415/59)*(136/3.281))</f>
        <v>2.1093749447362368E-2</v>
      </c>
      <c r="BL86" s="3512"/>
      <c r="BM86" s="3513"/>
      <c r="BN86" s="3508" t="s">
        <v>110</v>
      </c>
      <c r="BO86" s="3509"/>
      <c r="BP86" s="3512">
        <f>BO91/((36*3.1415/59)*(136/3.281))</f>
        <v>5.4244665941606089E-3</v>
      </c>
      <c r="BQ86" s="3512"/>
      <c r="BR86" s="3513"/>
    </row>
    <row r="87" spans="1:70" ht="18.600000000000001" customHeight="1" x14ac:dyDescent="0.25">
      <c r="A87" s="3510"/>
      <c r="B87" s="3511"/>
      <c r="C87" s="3514"/>
      <c r="D87" s="3514"/>
      <c r="E87" s="3515"/>
      <c r="F87" s="3510"/>
      <c r="G87" s="3511"/>
      <c r="H87" s="3514"/>
      <c r="I87" s="3514"/>
      <c r="J87" s="3515"/>
      <c r="K87" s="3510"/>
      <c r="L87" s="3511"/>
      <c r="M87" s="3514"/>
      <c r="N87" s="3514"/>
      <c r="O87" s="3515"/>
      <c r="P87" s="3510"/>
      <c r="Q87" s="3511"/>
      <c r="R87" s="3514"/>
      <c r="S87" s="3514"/>
      <c r="T87" s="3515"/>
      <c r="U87" s="3510"/>
      <c r="V87" s="3511"/>
      <c r="W87" s="3514"/>
      <c r="X87" s="3514"/>
      <c r="Y87" s="3515"/>
      <c r="Z87" s="3510"/>
      <c r="AA87" s="3511"/>
      <c r="AB87" s="3514"/>
      <c r="AC87" s="3514"/>
      <c r="AD87" s="3515"/>
      <c r="AE87" s="3510"/>
      <c r="AF87" s="3511"/>
      <c r="AG87" s="3514"/>
      <c r="AH87" s="3514"/>
      <c r="AI87" s="3515"/>
      <c r="AJ87" s="3510"/>
      <c r="AK87" s="3511"/>
      <c r="AL87" s="3514"/>
      <c r="AM87" s="3514"/>
      <c r="AN87" s="3515"/>
      <c r="AO87" s="3510"/>
      <c r="AP87" s="3511"/>
      <c r="AQ87" s="3514"/>
      <c r="AR87" s="3514"/>
      <c r="AS87" s="3515"/>
      <c r="AT87" s="3510"/>
      <c r="AU87" s="3511"/>
      <c r="AV87" s="3514"/>
      <c r="AW87" s="3514"/>
      <c r="AX87" s="3515"/>
      <c r="AY87" s="3510"/>
      <c r="AZ87" s="3511"/>
      <c r="BA87" s="3514"/>
      <c r="BB87" s="3514"/>
      <c r="BC87" s="3515"/>
      <c r="BD87" s="3510"/>
      <c r="BE87" s="3511"/>
      <c r="BF87" s="3514"/>
      <c r="BG87" s="3514"/>
      <c r="BH87" s="3515"/>
      <c r="BI87" s="3510"/>
      <c r="BJ87" s="3511"/>
      <c r="BK87" s="3514"/>
      <c r="BL87" s="3514"/>
      <c r="BM87" s="3515"/>
      <c r="BN87" s="3510"/>
      <c r="BO87" s="3511"/>
      <c r="BP87" s="3514"/>
      <c r="BQ87" s="3514"/>
      <c r="BR87" s="3515"/>
    </row>
    <row r="88" spans="1:70" ht="9.9499999999999993" customHeight="1" x14ac:dyDescent="0.25">
      <c r="A88" s="3495" t="s">
        <v>277</v>
      </c>
      <c r="B88" s="3527"/>
      <c r="C88" s="3529" t="s">
        <v>273</v>
      </c>
      <c r="D88" s="3529"/>
      <c r="E88" s="3530"/>
      <c r="F88" s="3504" t="s">
        <v>111</v>
      </c>
      <c r="G88" s="3196"/>
      <c r="H88" s="3196"/>
      <c r="I88" s="3196"/>
      <c r="J88" s="3505"/>
      <c r="K88" s="3495" t="s">
        <v>277</v>
      </c>
      <c r="L88" s="3527"/>
      <c r="M88" s="3529" t="s">
        <v>273</v>
      </c>
      <c r="N88" s="3529"/>
      <c r="O88" s="3530"/>
      <c r="P88" s="3504" t="s">
        <v>111</v>
      </c>
      <c r="Q88" s="3196"/>
      <c r="R88" s="3196"/>
      <c r="S88" s="3196"/>
      <c r="T88" s="3505"/>
      <c r="U88" s="3495" t="s">
        <v>277</v>
      </c>
      <c r="V88" s="3527"/>
      <c r="W88" s="3529" t="s">
        <v>273</v>
      </c>
      <c r="X88" s="3529"/>
      <c r="Y88" s="3530"/>
      <c r="Z88" s="3504" t="s">
        <v>111</v>
      </c>
      <c r="AA88" s="3196"/>
      <c r="AB88" s="3196"/>
      <c r="AC88" s="3196"/>
      <c r="AD88" s="3505"/>
      <c r="AE88" s="3495" t="s">
        <v>277</v>
      </c>
      <c r="AF88" s="3527"/>
      <c r="AG88" s="3529" t="s">
        <v>273</v>
      </c>
      <c r="AH88" s="3529"/>
      <c r="AI88" s="3530"/>
      <c r="AJ88" s="3495" t="s">
        <v>277</v>
      </c>
      <c r="AK88" s="3527"/>
      <c r="AL88" s="3529" t="s">
        <v>273</v>
      </c>
      <c r="AM88" s="3529"/>
      <c r="AN88" s="3530"/>
      <c r="AO88" s="3495" t="s">
        <v>277</v>
      </c>
      <c r="AP88" s="3527"/>
      <c r="AQ88" s="3529" t="s">
        <v>273</v>
      </c>
      <c r="AR88" s="3529"/>
      <c r="AS88" s="3530"/>
      <c r="AT88" s="3495" t="s">
        <v>277</v>
      </c>
      <c r="AU88" s="3527"/>
      <c r="AV88" s="3529" t="s">
        <v>273</v>
      </c>
      <c r="AW88" s="3529"/>
      <c r="AX88" s="3530"/>
      <c r="AY88" s="3495" t="s">
        <v>277</v>
      </c>
      <c r="AZ88" s="3527"/>
      <c r="BA88" s="3529" t="s">
        <v>273</v>
      </c>
      <c r="BB88" s="3529"/>
      <c r="BC88" s="3530"/>
      <c r="BD88" s="3495" t="s">
        <v>277</v>
      </c>
      <c r="BE88" s="3527"/>
      <c r="BF88" s="3529" t="s">
        <v>273</v>
      </c>
      <c r="BG88" s="3529"/>
      <c r="BH88" s="3530"/>
      <c r="BI88" s="3495" t="s">
        <v>277</v>
      </c>
      <c r="BJ88" s="3527"/>
      <c r="BK88" s="3529" t="s">
        <v>273</v>
      </c>
      <c r="BL88" s="3529"/>
      <c r="BM88" s="3530"/>
      <c r="BN88" s="3495" t="s">
        <v>277</v>
      </c>
      <c r="BO88" s="3527"/>
      <c r="BP88" s="3529" t="s">
        <v>273</v>
      </c>
      <c r="BQ88" s="3529"/>
      <c r="BR88" s="3530"/>
    </row>
    <row r="89" spans="1:70" ht="9.9499999999999993" customHeight="1" x14ac:dyDescent="0.25">
      <c r="A89" s="3499"/>
      <c r="B89" s="3528"/>
      <c r="C89" s="3531"/>
      <c r="D89" s="3531"/>
      <c r="E89" s="3532"/>
      <c r="F89" s="3506"/>
      <c r="G89" s="3197"/>
      <c r="H89" s="3197"/>
      <c r="I89" s="3197"/>
      <c r="J89" s="3507"/>
      <c r="K89" s="3499"/>
      <c r="L89" s="3528"/>
      <c r="M89" s="3531"/>
      <c r="N89" s="3531"/>
      <c r="O89" s="3532"/>
      <c r="P89" s="3506"/>
      <c r="Q89" s="3197"/>
      <c r="R89" s="3197"/>
      <c r="S89" s="3197"/>
      <c r="T89" s="3507"/>
      <c r="U89" s="3499"/>
      <c r="V89" s="3528"/>
      <c r="W89" s="3531"/>
      <c r="X89" s="3531"/>
      <c r="Y89" s="3532"/>
      <c r="Z89" s="3506"/>
      <c r="AA89" s="3197"/>
      <c r="AB89" s="3197"/>
      <c r="AC89" s="3197"/>
      <c r="AD89" s="3507"/>
      <c r="AE89" s="3499"/>
      <c r="AF89" s="3528"/>
      <c r="AG89" s="3531"/>
      <c r="AH89" s="3531"/>
      <c r="AI89" s="3532"/>
      <c r="AJ89" s="3499"/>
      <c r="AK89" s="3528"/>
      <c r="AL89" s="3531"/>
      <c r="AM89" s="3531"/>
      <c r="AN89" s="3532"/>
      <c r="AO89" s="3499"/>
      <c r="AP89" s="3528"/>
      <c r="AQ89" s="3531"/>
      <c r="AR89" s="3531"/>
      <c r="AS89" s="3532"/>
      <c r="AT89" s="3499"/>
      <c r="AU89" s="3528"/>
      <c r="AV89" s="3531"/>
      <c r="AW89" s="3531"/>
      <c r="AX89" s="3532"/>
      <c r="AY89" s="3499"/>
      <c r="AZ89" s="3528"/>
      <c r="BA89" s="3531"/>
      <c r="BB89" s="3531"/>
      <c r="BC89" s="3532"/>
      <c r="BD89" s="3499"/>
      <c r="BE89" s="3528"/>
      <c r="BF89" s="3531"/>
      <c r="BG89" s="3531"/>
      <c r="BH89" s="3532"/>
      <c r="BI89" s="3499"/>
      <c r="BJ89" s="3528"/>
      <c r="BK89" s="3531"/>
      <c r="BL89" s="3531"/>
      <c r="BM89" s="3532"/>
      <c r="BN89" s="3499"/>
      <c r="BO89" s="3528"/>
      <c r="BP89" s="3531"/>
      <c r="BQ89" s="3531"/>
      <c r="BR89" s="3532"/>
    </row>
    <row r="90" spans="1:70" ht="84.95" customHeight="1" x14ac:dyDescent="0.25">
      <c r="A90" s="2642" t="s">
        <v>115</v>
      </c>
      <c r="B90" s="1266">
        <v>235</v>
      </c>
      <c r="C90" s="1267"/>
      <c r="D90" s="1267"/>
      <c r="E90" s="1268"/>
      <c r="F90" s="2642" t="s">
        <v>115</v>
      </c>
      <c r="G90" s="1266">
        <v>238</v>
      </c>
      <c r="H90" s="1267"/>
      <c r="I90" s="1267"/>
      <c r="J90" s="1268"/>
      <c r="K90" s="2642" t="s">
        <v>115</v>
      </c>
      <c r="L90" s="1266">
        <v>237</v>
      </c>
      <c r="M90" s="1267"/>
      <c r="N90" s="1267"/>
      <c r="O90" s="1268"/>
      <c r="P90" s="2642" t="s">
        <v>115</v>
      </c>
      <c r="Q90" s="1266">
        <v>240</v>
      </c>
      <c r="R90" s="1267"/>
      <c r="S90" s="1267"/>
      <c r="T90" s="1268"/>
      <c r="U90" s="2642" t="s">
        <v>115</v>
      </c>
      <c r="V90" s="1266">
        <v>239</v>
      </c>
      <c r="W90" s="1267"/>
      <c r="X90" s="1267"/>
      <c r="Y90" s="1268"/>
      <c r="Z90" s="2642" t="s">
        <v>115</v>
      </c>
      <c r="AA90" s="1266">
        <v>242</v>
      </c>
      <c r="AB90" s="1267"/>
      <c r="AC90" s="1267"/>
      <c r="AD90" s="1268"/>
      <c r="AE90" s="2642" t="s">
        <v>115</v>
      </c>
      <c r="AF90" s="1266">
        <v>241</v>
      </c>
      <c r="AG90" s="1267"/>
      <c r="AH90" s="1267"/>
      <c r="AI90" s="1268"/>
      <c r="AJ90" s="2642" t="s">
        <v>115</v>
      </c>
      <c r="AK90" s="1266">
        <v>246</v>
      </c>
      <c r="AL90" s="1267"/>
      <c r="AM90" s="1267"/>
      <c r="AN90" s="1268"/>
      <c r="AO90" s="2642" t="s">
        <v>115</v>
      </c>
      <c r="AP90" s="1266">
        <v>243</v>
      </c>
      <c r="AQ90" s="1267"/>
      <c r="AR90" s="1267"/>
      <c r="AS90" s="1268"/>
      <c r="AT90" s="2642" t="s">
        <v>115</v>
      </c>
      <c r="AU90" s="1266">
        <v>248</v>
      </c>
      <c r="AV90" s="1267"/>
      <c r="AW90" s="1267"/>
      <c r="AX90" s="1268"/>
      <c r="AY90" s="2642" t="s">
        <v>115</v>
      </c>
      <c r="AZ90" s="1266">
        <v>245</v>
      </c>
      <c r="BA90" s="1267"/>
      <c r="BB90" s="1267"/>
      <c r="BC90" s="1268"/>
      <c r="BD90" s="2642" t="s">
        <v>115</v>
      </c>
      <c r="BE90" s="1266">
        <v>250</v>
      </c>
      <c r="BF90" s="1267"/>
      <c r="BG90" s="1267"/>
      <c r="BH90" s="1268"/>
      <c r="BI90" s="2642" t="s">
        <v>115</v>
      </c>
      <c r="BJ90" s="1266">
        <v>247</v>
      </c>
      <c r="BK90" s="1267"/>
      <c r="BL90" s="1267"/>
      <c r="BM90" s="1268"/>
      <c r="BN90" s="2642" t="s">
        <v>115</v>
      </c>
      <c r="BO90" s="1266">
        <v>252</v>
      </c>
      <c r="BP90" s="1267"/>
      <c r="BQ90" s="1267"/>
      <c r="BR90" s="1268"/>
    </row>
    <row r="91" spans="1:70" ht="23.1" customHeight="1" thickBot="1" x14ac:dyDescent="0.3">
      <c r="A91" s="2643"/>
      <c r="B91" s="61">
        <v>1E-4</v>
      </c>
      <c r="C91" s="62" t="s">
        <v>113</v>
      </c>
      <c r="D91" s="63">
        <v>1</v>
      </c>
      <c r="E91" s="64" t="s">
        <v>114</v>
      </c>
      <c r="F91" s="2643"/>
      <c r="G91" s="61">
        <v>0.60899999999999999</v>
      </c>
      <c r="H91" s="62" t="s">
        <v>113</v>
      </c>
      <c r="I91" s="63"/>
      <c r="J91" s="64" t="s">
        <v>114</v>
      </c>
      <c r="K91" s="2643"/>
      <c r="L91" s="61">
        <v>0.27900000000000003</v>
      </c>
      <c r="M91" s="62" t="s">
        <v>113</v>
      </c>
      <c r="N91" s="63"/>
      <c r="O91" s="64" t="s">
        <v>114</v>
      </c>
      <c r="P91" s="2643"/>
      <c r="Q91" s="61">
        <v>0.86299999999999999</v>
      </c>
      <c r="R91" s="62" t="s">
        <v>113</v>
      </c>
      <c r="S91" s="63">
        <v>1</v>
      </c>
      <c r="T91" s="64" t="s">
        <v>114</v>
      </c>
      <c r="U91" s="2643"/>
      <c r="V91" s="61">
        <v>0.68500000000000005</v>
      </c>
      <c r="W91" s="62" t="s">
        <v>113</v>
      </c>
      <c r="X91" s="63">
        <v>1</v>
      </c>
      <c r="Y91" s="64" t="s">
        <v>114</v>
      </c>
      <c r="Z91" s="2643"/>
      <c r="AA91" s="61">
        <v>1.1679999999999999</v>
      </c>
      <c r="AB91" s="62" t="s">
        <v>113</v>
      </c>
      <c r="AC91" s="63"/>
      <c r="AD91" s="64" t="s">
        <v>114</v>
      </c>
      <c r="AE91" s="2643"/>
      <c r="AF91" s="61">
        <v>2.3519999999999999</v>
      </c>
      <c r="AG91" s="62" t="s">
        <v>113</v>
      </c>
      <c r="AH91" s="63"/>
      <c r="AI91" s="64" t="s">
        <v>114</v>
      </c>
      <c r="AJ91" s="2643"/>
      <c r="AK91" s="61">
        <v>0.20319999999999999</v>
      </c>
      <c r="AL91" s="62" t="s">
        <v>113</v>
      </c>
      <c r="AM91" s="63"/>
      <c r="AN91" s="64" t="s">
        <v>114</v>
      </c>
      <c r="AO91" s="2643"/>
      <c r="AP91" s="61">
        <v>0.88900000000000001</v>
      </c>
      <c r="AQ91" s="62" t="s">
        <v>113</v>
      </c>
      <c r="AR91" s="63">
        <v>1</v>
      </c>
      <c r="AS91" s="64" t="s">
        <v>114</v>
      </c>
      <c r="AT91" s="2643"/>
      <c r="AU91" s="61">
        <v>3.2770000000000001</v>
      </c>
      <c r="AV91" s="62" t="s">
        <v>113</v>
      </c>
      <c r="AW91" s="63">
        <v>1</v>
      </c>
      <c r="AX91" s="64" t="s">
        <v>114</v>
      </c>
      <c r="AY91" s="2643"/>
      <c r="AZ91" s="61">
        <v>2.4129999999999998</v>
      </c>
      <c r="BA91" s="62" t="s">
        <v>113</v>
      </c>
      <c r="BB91" s="63">
        <v>1</v>
      </c>
      <c r="BC91" s="64" t="s">
        <v>114</v>
      </c>
      <c r="BD91" s="2643"/>
      <c r="BE91" s="61">
        <v>0.33</v>
      </c>
      <c r="BF91" s="62" t="s">
        <v>113</v>
      </c>
      <c r="BG91" s="63">
        <v>1</v>
      </c>
      <c r="BH91" s="64" t="s">
        <v>114</v>
      </c>
      <c r="BI91" s="2643"/>
      <c r="BJ91" s="61">
        <v>1.6759999999999999</v>
      </c>
      <c r="BK91" s="62" t="s">
        <v>113</v>
      </c>
      <c r="BL91" s="63"/>
      <c r="BM91" s="64" t="s">
        <v>114</v>
      </c>
      <c r="BN91" s="2643"/>
      <c r="BO91" s="61">
        <v>0.43099999999999999</v>
      </c>
      <c r="BP91" s="62" t="s">
        <v>113</v>
      </c>
      <c r="BQ91" s="63"/>
      <c r="BR91" s="64" t="s">
        <v>114</v>
      </c>
    </row>
    <row r="92" spans="1:70" ht="18.600000000000001" customHeight="1" thickTop="1" x14ac:dyDescent="0.25">
      <c r="A92" s="3508" t="s">
        <v>110</v>
      </c>
      <c r="B92" s="3509"/>
      <c r="C92" s="3512">
        <f>B97/((36*3.1415/59)*(136/3.281))</f>
        <v>6.3935708348807185E-2</v>
      </c>
      <c r="D92" s="3512"/>
      <c r="E92" s="3513"/>
      <c r="F92" s="3508" t="s">
        <v>110</v>
      </c>
      <c r="G92" s="3509"/>
      <c r="H92" s="3512">
        <f>G97/((36*3.1415/59)*(136/3.281))</f>
        <v>1.1818037429041327E-2</v>
      </c>
      <c r="I92" s="3512"/>
      <c r="J92" s="3513"/>
      <c r="K92" s="3508" t="s">
        <v>110</v>
      </c>
      <c r="L92" s="3509"/>
      <c r="M92" s="3512">
        <f>L97/((36*3.1415/59)*(136/3.281))</f>
        <v>1.0546874723681184E-2</v>
      </c>
      <c r="N92" s="3512"/>
      <c r="O92" s="3513"/>
      <c r="P92" s="3508" t="s">
        <v>110</v>
      </c>
      <c r="Q92" s="3509"/>
      <c r="R92" s="3512">
        <f>Q97/((36*3.1415/59)*(136/3.281))</f>
        <v>1.2585769360001413E-6</v>
      </c>
      <c r="S92" s="3512"/>
      <c r="T92" s="3513"/>
      <c r="U92" s="3508" t="s">
        <v>110</v>
      </c>
      <c r="V92" s="3509"/>
      <c r="W92" s="3512">
        <f>V97/((36*3.1415/59)*(136/3.281))</f>
        <v>4.7951781261605384E-3</v>
      </c>
      <c r="X92" s="3512"/>
      <c r="Y92" s="3513"/>
      <c r="Z92" s="3508" t="s">
        <v>110</v>
      </c>
      <c r="AA92" s="3509"/>
      <c r="AB92" s="3512">
        <f>AA97/((36*3.1415/59)*(136/3.281))</f>
        <v>1.2585769360001413E-6</v>
      </c>
      <c r="AC92" s="3512"/>
      <c r="AD92" s="3513"/>
      <c r="AE92" s="3508" t="s">
        <v>110</v>
      </c>
      <c r="AF92" s="3509"/>
      <c r="AG92" s="3512">
        <f>AF97/((36*3.1415/59)*(136/3.281))</f>
        <v>1.2585769360001413E-6</v>
      </c>
      <c r="AH92" s="3512"/>
      <c r="AI92" s="3513"/>
      <c r="AJ92" s="3508" t="s">
        <v>110</v>
      </c>
      <c r="AK92" s="3509"/>
      <c r="AL92" s="3512">
        <f>AK97/((36*3.1415/59)*(136/3.281))</f>
        <v>5.4244665941606089E-3</v>
      </c>
      <c r="AM92" s="3512"/>
      <c r="AN92" s="3513"/>
      <c r="AO92" s="3508" t="s">
        <v>110</v>
      </c>
      <c r="AP92" s="3509"/>
      <c r="AQ92" s="3512">
        <f>AP97/((36*3.1415/59)*(136/3.281))</f>
        <v>1.7582319795921977E-2</v>
      </c>
      <c r="AR92" s="3512"/>
      <c r="AS92" s="3513"/>
      <c r="AT92" s="3508" t="s">
        <v>110</v>
      </c>
      <c r="AU92" s="3509"/>
      <c r="AV92" s="3512">
        <f>AU97/((36*3.1415/59)*(136/3.281))</f>
        <v>1.4385534378481616E-2</v>
      </c>
      <c r="AW92" s="3512"/>
      <c r="AX92" s="3513"/>
      <c r="AY92" s="3508" t="s">
        <v>110</v>
      </c>
      <c r="AZ92" s="3509"/>
      <c r="BA92" s="3512">
        <f>AZ97/((36*3.1415/59)*(136/3.281))</f>
        <v>1.2585769360001414E-5</v>
      </c>
      <c r="BB92" s="3512"/>
      <c r="BC92" s="3513"/>
      <c r="BD92" s="3508" t="s">
        <v>110</v>
      </c>
      <c r="BE92" s="3509"/>
      <c r="BF92" s="3512">
        <f>BE97/((36*3.1415/59)*(136/3.281))</f>
        <v>4.6063915857605178E-2</v>
      </c>
      <c r="BG92" s="3512"/>
      <c r="BH92" s="3513"/>
      <c r="BI92" s="3508" t="s">
        <v>110</v>
      </c>
      <c r="BJ92" s="3509"/>
      <c r="BK92" s="3512">
        <f>BJ97/((36*3.1415/59)*(136/3.281))</f>
        <v>3.612115806320406E-2</v>
      </c>
      <c r="BL92" s="3512"/>
      <c r="BM92" s="3513"/>
    </row>
    <row r="93" spans="1:70" ht="18.600000000000001" customHeight="1" x14ac:dyDescent="0.25">
      <c r="A93" s="3510"/>
      <c r="B93" s="3511"/>
      <c r="C93" s="3514"/>
      <c r="D93" s="3514"/>
      <c r="E93" s="3515"/>
      <c r="F93" s="3510"/>
      <c r="G93" s="3511"/>
      <c r="H93" s="3514"/>
      <c r="I93" s="3514"/>
      <c r="J93" s="3515"/>
      <c r="K93" s="3510"/>
      <c r="L93" s="3511"/>
      <c r="M93" s="3514"/>
      <c r="N93" s="3514"/>
      <c r="O93" s="3515"/>
      <c r="P93" s="3510"/>
      <c r="Q93" s="3511"/>
      <c r="R93" s="3514"/>
      <c r="S93" s="3514"/>
      <c r="T93" s="3515"/>
      <c r="U93" s="3510"/>
      <c r="V93" s="3511"/>
      <c r="W93" s="3514"/>
      <c r="X93" s="3514"/>
      <c r="Y93" s="3515"/>
      <c r="Z93" s="3510"/>
      <c r="AA93" s="3511"/>
      <c r="AB93" s="3514"/>
      <c r="AC93" s="3514"/>
      <c r="AD93" s="3515"/>
      <c r="AE93" s="3510"/>
      <c r="AF93" s="3511"/>
      <c r="AG93" s="3514"/>
      <c r="AH93" s="3514"/>
      <c r="AI93" s="3515"/>
      <c r="AJ93" s="3510"/>
      <c r="AK93" s="3511"/>
      <c r="AL93" s="3514"/>
      <c r="AM93" s="3514"/>
      <c r="AN93" s="3515"/>
      <c r="AO93" s="3510"/>
      <c r="AP93" s="3511"/>
      <c r="AQ93" s="3514"/>
      <c r="AR93" s="3514"/>
      <c r="AS93" s="3515"/>
      <c r="AT93" s="3510"/>
      <c r="AU93" s="3511"/>
      <c r="AV93" s="3514"/>
      <c r="AW93" s="3514"/>
      <c r="AX93" s="3515"/>
      <c r="AY93" s="3510"/>
      <c r="AZ93" s="3511"/>
      <c r="BA93" s="3514"/>
      <c r="BB93" s="3514"/>
      <c r="BC93" s="3515"/>
      <c r="BD93" s="3510"/>
      <c r="BE93" s="3511"/>
      <c r="BF93" s="3514"/>
      <c r="BG93" s="3514"/>
      <c r="BH93" s="3515"/>
      <c r="BI93" s="3510"/>
      <c r="BJ93" s="3511"/>
      <c r="BK93" s="3514"/>
      <c r="BL93" s="3514"/>
      <c r="BM93" s="3515"/>
    </row>
    <row r="94" spans="1:70" ht="9.9499999999999993" customHeight="1" x14ac:dyDescent="0.25">
      <c r="A94" s="3495" t="s">
        <v>277</v>
      </c>
      <c r="B94" s="3527"/>
      <c r="C94" s="3529" t="s">
        <v>273</v>
      </c>
      <c r="D94" s="3529"/>
      <c r="E94" s="3530"/>
      <c r="F94" s="3504" t="s">
        <v>111</v>
      </c>
      <c r="G94" s="3196"/>
      <c r="H94" s="3196"/>
      <c r="I94" s="3196"/>
      <c r="J94" s="3505"/>
      <c r="K94" s="3495" t="s">
        <v>277</v>
      </c>
      <c r="L94" s="3527"/>
      <c r="M94" s="3529" t="s">
        <v>273</v>
      </c>
      <c r="N94" s="3529"/>
      <c r="O94" s="3530"/>
      <c r="P94" s="3495" t="s">
        <v>277</v>
      </c>
      <c r="Q94" s="3527"/>
      <c r="R94" s="3529" t="s">
        <v>273</v>
      </c>
      <c r="S94" s="3529"/>
      <c r="T94" s="3530"/>
      <c r="U94" s="3495" t="s">
        <v>277</v>
      </c>
      <c r="V94" s="3527"/>
      <c r="W94" s="3529" t="s">
        <v>273</v>
      </c>
      <c r="X94" s="3529"/>
      <c r="Y94" s="3530"/>
      <c r="Z94" s="3495" t="s">
        <v>277</v>
      </c>
      <c r="AA94" s="3527"/>
      <c r="AB94" s="3529" t="s">
        <v>273</v>
      </c>
      <c r="AC94" s="3529"/>
      <c r="AD94" s="3530"/>
      <c r="AE94" s="3495" t="s">
        <v>277</v>
      </c>
      <c r="AF94" s="3527"/>
      <c r="AG94" s="3529" t="s">
        <v>273</v>
      </c>
      <c r="AH94" s="3529"/>
      <c r="AI94" s="3530"/>
      <c r="AJ94" s="3504" t="s">
        <v>111</v>
      </c>
      <c r="AK94" s="3196"/>
      <c r="AL94" s="3196"/>
      <c r="AM94" s="3196"/>
      <c r="AN94" s="3505"/>
      <c r="AO94" s="3495" t="s">
        <v>277</v>
      </c>
      <c r="AP94" s="3527"/>
      <c r="AQ94" s="3529" t="s">
        <v>273</v>
      </c>
      <c r="AR94" s="3529"/>
      <c r="AS94" s="3530"/>
      <c r="AT94" s="3504" t="s">
        <v>111</v>
      </c>
      <c r="AU94" s="3196"/>
      <c r="AV94" s="3196"/>
      <c r="AW94" s="3196"/>
      <c r="AX94" s="3505"/>
      <c r="AY94" s="3495" t="s">
        <v>277</v>
      </c>
      <c r="AZ94" s="3527"/>
      <c r="BA94" s="3529" t="s">
        <v>273</v>
      </c>
      <c r="BB94" s="3529"/>
      <c r="BC94" s="3530"/>
      <c r="BD94" s="3495" t="s">
        <v>277</v>
      </c>
      <c r="BE94" s="3527"/>
      <c r="BF94" s="3529" t="s">
        <v>273</v>
      </c>
      <c r="BG94" s="3529"/>
      <c r="BH94" s="3530"/>
      <c r="BI94" s="3495" t="s">
        <v>277</v>
      </c>
      <c r="BJ94" s="3527"/>
      <c r="BK94" s="3529" t="s">
        <v>273</v>
      </c>
      <c r="BL94" s="3529"/>
      <c r="BM94" s="3530"/>
    </row>
    <row r="95" spans="1:70" ht="9.9499999999999993" customHeight="1" x14ac:dyDescent="0.25">
      <c r="A95" s="3499"/>
      <c r="B95" s="3528"/>
      <c r="C95" s="3531"/>
      <c r="D95" s="3531"/>
      <c r="E95" s="3532"/>
      <c r="F95" s="3506"/>
      <c r="G95" s="3197"/>
      <c r="H95" s="3197"/>
      <c r="I95" s="3197"/>
      <c r="J95" s="3507"/>
      <c r="K95" s="3499"/>
      <c r="L95" s="3528"/>
      <c r="M95" s="3531"/>
      <c r="N95" s="3531"/>
      <c r="O95" s="3532"/>
      <c r="P95" s="3499"/>
      <c r="Q95" s="3528"/>
      <c r="R95" s="3531"/>
      <c r="S95" s="3531"/>
      <c r="T95" s="3532"/>
      <c r="U95" s="3499"/>
      <c r="V95" s="3528"/>
      <c r="W95" s="3531"/>
      <c r="X95" s="3531"/>
      <c r="Y95" s="3532"/>
      <c r="Z95" s="3499"/>
      <c r="AA95" s="3528"/>
      <c r="AB95" s="3531"/>
      <c r="AC95" s="3531"/>
      <c r="AD95" s="3532"/>
      <c r="AE95" s="3499"/>
      <c r="AF95" s="3528"/>
      <c r="AG95" s="3531"/>
      <c r="AH95" s="3531"/>
      <c r="AI95" s="3532"/>
      <c r="AJ95" s="3506"/>
      <c r="AK95" s="3197"/>
      <c r="AL95" s="3197"/>
      <c r="AM95" s="3197"/>
      <c r="AN95" s="3507"/>
      <c r="AO95" s="3499"/>
      <c r="AP95" s="3528"/>
      <c r="AQ95" s="3531"/>
      <c r="AR95" s="3531"/>
      <c r="AS95" s="3532"/>
      <c r="AT95" s="3506"/>
      <c r="AU95" s="3197"/>
      <c r="AV95" s="3197"/>
      <c r="AW95" s="3197"/>
      <c r="AX95" s="3507"/>
      <c r="AY95" s="3499"/>
      <c r="AZ95" s="3528"/>
      <c r="BA95" s="3531"/>
      <c r="BB95" s="3531"/>
      <c r="BC95" s="3532"/>
      <c r="BD95" s="3499"/>
      <c r="BE95" s="3528"/>
      <c r="BF95" s="3531"/>
      <c r="BG95" s="3531"/>
      <c r="BH95" s="3532"/>
      <c r="BI95" s="3499"/>
      <c r="BJ95" s="3528"/>
      <c r="BK95" s="3531"/>
      <c r="BL95" s="3531"/>
      <c r="BM95" s="3532"/>
    </row>
    <row r="96" spans="1:70" ht="84.95" customHeight="1" x14ac:dyDescent="0.25">
      <c r="A96" s="2642" t="s">
        <v>115</v>
      </c>
      <c r="B96" s="1266">
        <v>249</v>
      </c>
      <c r="C96" s="1267"/>
      <c r="D96" s="1267"/>
      <c r="E96" s="1268"/>
      <c r="F96" s="2642" t="s">
        <v>115</v>
      </c>
      <c r="G96" s="1266">
        <v>254</v>
      </c>
      <c r="H96" s="1267"/>
      <c r="I96" s="1267"/>
      <c r="J96" s="1268"/>
      <c r="K96" s="2642" t="s">
        <v>115</v>
      </c>
      <c r="L96" s="1266">
        <v>251</v>
      </c>
      <c r="M96" s="1267"/>
      <c r="N96" s="1267"/>
      <c r="O96" s="1268"/>
      <c r="P96" s="2642" t="s">
        <v>115</v>
      </c>
      <c r="Q96" s="1266">
        <v>256</v>
      </c>
      <c r="R96" s="1267"/>
      <c r="S96" s="1267"/>
      <c r="T96" s="1268"/>
      <c r="U96" s="2642" t="s">
        <v>115</v>
      </c>
      <c r="V96" s="1266">
        <v>253</v>
      </c>
      <c r="W96" s="1267"/>
      <c r="X96" s="1267"/>
      <c r="Y96" s="1268"/>
      <c r="Z96" s="2642" t="s">
        <v>115</v>
      </c>
      <c r="AA96" s="1266">
        <v>258</v>
      </c>
      <c r="AB96" s="1267"/>
      <c r="AC96" s="1267"/>
      <c r="AD96" s="1268"/>
      <c r="AE96" s="2642" t="s">
        <v>115</v>
      </c>
      <c r="AF96" s="1266">
        <v>255</v>
      </c>
      <c r="AG96" s="1267"/>
      <c r="AH96" s="1267"/>
      <c r="AI96" s="1268"/>
      <c r="AJ96" s="2642" t="s">
        <v>115</v>
      </c>
      <c r="AK96" s="1266">
        <v>260</v>
      </c>
      <c r="AL96" s="1267"/>
      <c r="AM96" s="1267"/>
      <c r="AN96" s="1268"/>
      <c r="AO96" s="2642" t="s">
        <v>115</v>
      </c>
      <c r="AP96" s="1266">
        <v>257</v>
      </c>
      <c r="AQ96" s="1267"/>
      <c r="AR96" s="1267"/>
      <c r="AS96" s="1268"/>
      <c r="AT96" s="2642" t="s">
        <v>115</v>
      </c>
      <c r="AU96" s="1266">
        <v>262</v>
      </c>
      <c r="AV96" s="1267"/>
      <c r="AW96" s="1267"/>
      <c r="AX96" s="1268"/>
      <c r="AY96" s="2642" t="s">
        <v>115</v>
      </c>
      <c r="AZ96" s="1266">
        <v>259</v>
      </c>
      <c r="BA96" s="1267"/>
      <c r="BB96" s="1267"/>
      <c r="BC96" s="1268"/>
      <c r="BD96" s="2642" t="s">
        <v>115</v>
      </c>
      <c r="BE96" s="1266">
        <v>261</v>
      </c>
      <c r="BF96" s="1267"/>
      <c r="BG96" s="1267"/>
      <c r="BH96" s="1268"/>
      <c r="BI96" s="2642" t="s">
        <v>115</v>
      </c>
      <c r="BJ96" s="1266">
        <v>263</v>
      </c>
      <c r="BK96" s="1267"/>
      <c r="BL96" s="1267"/>
      <c r="BM96" s="1268"/>
    </row>
    <row r="97" spans="1:72" ht="23.1" customHeight="1" thickBot="1" x14ac:dyDescent="0.3">
      <c r="A97" s="2643"/>
      <c r="B97" s="61">
        <v>5.08</v>
      </c>
      <c r="C97" s="62" t="s">
        <v>113</v>
      </c>
      <c r="D97" s="63">
        <v>1</v>
      </c>
      <c r="E97" s="64" t="s">
        <v>114</v>
      </c>
      <c r="F97" s="2643"/>
      <c r="G97" s="61">
        <v>0.93899999999999995</v>
      </c>
      <c r="H97" s="62" t="s">
        <v>113</v>
      </c>
      <c r="I97" s="63">
        <v>1</v>
      </c>
      <c r="J97" s="64" t="s">
        <v>114</v>
      </c>
      <c r="K97" s="2643"/>
      <c r="L97" s="61">
        <v>0.83799999999999997</v>
      </c>
      <c r="M97" s="62" t="s">
        <v>113</v>
      </c>
      <c r="N97" s="63">
        <v>1</v>
      </c>
      <c r="O97" s="64" t="s">
        <v>114</v>
      </c>
      <c r="P97" s="2643"/>
      <c r="Q97" s="61">
        <v>1E-4</v>
      </c>
      <c r="R97" s="62" t="s">
        <v>113</v>
      </c>
      <c r="S97" s="63">
        <v>1</v>
      </c>
      <c r="T97" s="64" t="s">
        <v>114</v>
      </c>
      <c r="U97" s="2643"/>
      <c r="V97" s="61">
        <v>0.38100000000000001</v>
      </c>
      <c r="W97" s="62" t="s">
        <v>113</v>
      </c>
      <c r="X97" s="63"/>
      <c r="Y97" s="64" t="s">
        <v>114</v>
      </c>
      <c r="Z97" s="2643"/>
      <c r="AA97" s="61">
        <v>1E-4</v>
      </c>
      <c r="AB97" s="62" t="s">
        <v>113</v>
      </c>
      <c r="AC97" s="63"/>
      <c r="AD97" s="64" t="s">
        <v>114</v>
      </c>
      <c r="AE97" s="2643"/>
      <c r="AF97" s="61">
        <v>1E-4</v>
      </c>
      <c r="AG97" s="62" t="s">
        <v>113</v>
      </c>
      <c r="AH97" s="63">
        <v>1</v>
      </c>
      <c r="AI97" s="64" t="s">
        <v>114</v>
      </c>
      <c r="AJ97" s="2643"/>
      <c r="AK97" s="61">
        <v>0.43099999999999999</v>
      </c>
      <c r="AL97" s="62" t="s">
        <v>113</v>
      </c>
      <c r="AM97" s="63">
        <v>1</v>
      </c>
      <c r="AN97" s="64" t="s">
        <v>114</v>
      </c>
      <c r="AO97" s="2643"/>
      <c r="AP97" s="61">
        <v>1.397</v>
      </c>
      <c r="AQ97" s="62" t="s">
        <v>113</v>
      </c>
      <c r="AR97" s="63"/>
      <c r="AS97" s="64" t="s">
        <v>114</v>
      </c>
      <c r="AT97" s="2643"/>
      <c r="AU97" s="61">
        <v>1.143</v>
      </c>
      <c r="AV97" s="62" t="s">
        <v>113</v>
      </c>
      <c r="AW97" s="63">
        <v>1</v>
      </c>
      <c r="AX97" s="64" t="s">
        <v>114</v>
      </c>
      <c r="AY97" s="2643"/>
      <c r="AZ97" s="61">
        <v>1E-3</v>
      </c>
      <c r="BA97" s="62" t="s">
        <v>113</v>
      </c>
      <c r="BB97" s="63">
        <v>1</v>
      </c>
      <c r="BC97" s="64" t="s">
        <v>114</v>
      </c>
      <c r="BD97" s="2643"/>
      <c r="BE97" s="61">
        <v>3.66</v>
      </c>
      <c r="BF97" s="62" t="s">
        <v>113</v>
      </c>
      <c r="BG97" s="63">
        <v>1</v>
      </c>
      <c r="BH97" s="64" t="s">
        <v>114</v>
      </c>
      <c r="BI97" s="2643"/>
      <c r="BJ97" s="61">
        <v>2.87</v>
      </c>
      <c r="BK97" s="62" t="s">
        <v>113</v>
      </c>
      <c r="BL97" s="63">
        <v>1</v>
      </c>
      <c r="BM97" s="64" t="s">
        <v>114</v>
      </c>
    </row>
    <row r="98" spans="1:72" ht="15" customHeight="1" thickTop="1" x14ac:dyDescent="0.25"/>
    <row r="99" spans="1:72" ht="15" customHeight="1" x14ac:dyDescent="0.25"/>
    <row r="100" spans="1:72" ht="15" customHeight="1" x14ac:dyDescent="0.25"/>
    <row r="101" spans="1:72" ht="15" customHeight="1" x14ac:dyDescent="0.25"/>
    <row r="102" spans="1:72" ht="15" customHeight="1" x14ac:dyDescent="0.25"/>
    <row r="103" spans="1:72" ht="15" customHeight="1" x14ac:dyDescent="0.25"/>
    <row r="104" spans="1:72" ht="15" customHeight="1" x14ac:dyDescent="0.25"/>
    <row r="105" spans="1:72" ht="15" customHeight="1" x14ac:dyDescent="0.25">
      <c r="B105" s="70"/>
      <c r="C105" s="72"/>
      <c r="D105" s="72"/>
      <c r="E105" s="72"/>
      <c r="F105" s="72"/>
      <c r="G105" s="70"/>
      <c r="H105" s="72"/>
      <c r="I105" s="72"/>
      <c r="J105" s="72"/>
      <c r="K105" s="72"/>
      <c r="L105" s="70"/>
      <c r="M105" s="72"/>
      <c r="N105" s="72"/>
      <c r="O105" s="72"/>
      <c r="P105" s="72"/>
      <c r="Q105" s="70"/>
      <c r="R105" s="72"/>
      <c r="S105" s="72"/>
      <c r="T105" s="72"/>
      <c r="U105" s="72"/>
      <c r="V105" s="70"/>
      <c r="W105" s="72"/>
      <c r="X105" s="72"/>
      <c r="Y105" s="697" t="s">
        <v>116</v>
      </c>
      <c r="Z105" s="697"/>
      <c r="AA105" s="697"/>
      <c r="AB105" s="697"/>
      <c r="AC105" s="697"/>
      <c r="AD105" s="697"/>
      <c r="AE105" s="697"/>
      <c r="AF105" s="697"/>
      <c r="AG105" s="697"/>
      <c r="AH105" s="697"/>
      <c r="AI105" s="697"/>
      <c r="AJ105" s="697"/>
      <c r="AK105" s="37"/>
      <c r="AL105" s="38"/>
      <c r="AM105" s="39"/>
      <c r="AN105" s="40"/>
      <c r="AO105" s="41"/>
      <c r="AP105" s="37"/>
      <c r="AQ105" s="38"/>
      <c r="AR105" s="39"/>
      <c r="AS105" s="40"/>
      <c r="AT105" s="41"/>
      <c r="AU105" s="37"/>
      <c r="AV105" s="38"/>
      <c r="AW105" s="39"/>
      <c r="AX105" s="40"/>
      <c r="AY105" s="41"/>
      <c r="AZ105" s="37"/>
      <c r="BA105" s="38"/>
      <c r="BB105" s="39"/>
      <c r="BC105" s="40"/>
      <c r="BD105" s="41"/>
      <c r="BE105" s="37"/>
      <c r="BF105" s="38"/>
      <c r="BG105" s="39"/>
      <c r="BH105" s="40"/>
      <c r="BI105" s="41"/>
      <c r="BJ105" s="37"/>
      <c r="BK105" s="38"/>
      <c r="BL105" s="39"/>
      <c r="BM105" s="40"/>
      <c r="BN105" s="41"/>
      <c r="BO105" s="37"/>
      <c r="BP105" s="38"/>
      <c r="BQ105" s="39"/>
      <c r="BR105" s="40"/>
      <c r="BS105" s="41"/>
    </row>
    <row r="106" spans="1:72" ht="15" customHeight="1" x14ac:dyDescent="0.25">
      <c r="B106" s="70"/>
      <c r="C106" s="32"/>
      <c r="D106" s="33"/>
      <c r="E106" s="34"/>
      <c r="F106" s="35"/>
      <c r="G106" s="70"/>
      <c r="H106" s="3548" cm="1">
        <f t="array" aca="1" ref="H106" ca="1">SUM(COUNTIF(INDIRECT({"B6","G6","L6","Q6","V6","AA6","AF6","AK6","AP6","AU6","AZ6","BE6","BJ6","BO6","B12","G12","L12","Q12","V12","AA12","AF12","AK12","AP12","AU12","AZ12","BE12","BJ12","BO12","B18","G18","L18","Q18","V18","AA18","AF18","AK18","AP18","AU18","AZ18","BE18","BJ18","BO18","B24","G24","L24","Q24","V24","AA24","AF24","AK24","AP24","AU24","AZ24","BE24","BJ24","BO24","B30","G30","L30","Q30","V30","AA30","AF30","AK30","AP30","AU30","AZ30","BE30","BJ30","BO30","B36","G36","L36","Q36","V36","AA36","AF36","AK36","AP36","AU36","AZ36","BE36","BJ36","BO36","B42","G42","L42","Q42","V42","AA42","AF42","AK42","AP42","AU42","AZ42","BE42","BJ42","BO42","B48","G48","L48","Q48","V48","AA48","AF48","AK48","AP48","AU48","AZ48","BE48","BJ48","BO48","B66","G66","L66","Q66","V66","AA66","AF66","AK66","AP66","AU66","AZ66","BE66","BJ66","BO66","B72","G72","L72","Q72","V72","AA72","AF72","AK72","AP72","AU72","AZ72","BE72","BJ72","BO72","B78","G78","L78","Q78","V78","AA78","AF78","AK78","AP78","AU78","AZ78","BE78","BJ78","BO78","B84","G84","L84","Q84","V84","AA84","AF84","AK84","AP84","AU84","AZ84","BE84","BJ84","BO84","B90","G90","L90","Q90","V90","AA90","AF90","AK90","AP90","AU90","AZ90","BE90","BJ90","BO90","B96","G96","L96","Q96","V96","AA96","AF96","AK96","AP96","AU96","AZ96","BE96","BJ96","BO96"}),"&gt;0"))</f>
        <v>195</v>
      </c>
      <c r="I106" s="3548"/>
      <c r="J106" s="3548"/>
      <c r="K106" s="3548"/>
      <c r="L106" s="70"/>
      <c r="M106" s="32"/>
      <c r="N106" s="33"/>
      <c r="O106" s="34"/>
      <c r="P106" s="35"/>
      <c r="Q106" s="70"/>
      <c r="R106" s="32"/>
      <c r="S106" s="33"/>
      <c r="T106" s="34"/>
      <c r="U106" s="35"/>
      <c r="V106" s="70"/>
      <c r="W106" s="32"/>
      <c r="X106" s="33"/>
      <c r="Y106" s="697"/>
      <c r="Z106" s="697"/>
      <c r="AA106" s="697"/>
      <c r="AB106" s="697"/>
      <c r="AC106" s="697"/>
      <c r="AD106" s="697"/>
      <c r="AE106" s="697"/>
      <c r="AF106" s="697"/>
      <c r="AG106" s="697"/>
      <c r="AH106" s="697"/>
      <c r="AI106" s="697"/>
      <c r="AJ106" s="697"/>
      <c r="AK106" s="697" t="s">
        <v>117</v>
      </c>
      <c r="AL106" s="697"/>
      <c r="AM106" s="697"/>
      <c r="AN106" s="697"/>
      <c r="AO106" s="697"/>
      <c r="AP106" s="697"/>
      <c r="AQ106" s="697"/>
      <c r="AR106" s="697"/>
      <c r="AS106" s="697"/>
      <c r="AT106" s="697"/>
      <c r="AU106" s="46"/>
      <c r="AV106" s="698" t="s">
        <v>118</v>
      </c>
      <c r="AW106" s="698"/>
      <c r="AX106" s="698"/>
      <c r="AY106" s="698"/>
      <c r="AZ106" s="698"/>
      <c r="BA106" s="698"/>
      <c r="BB106" s="698"/>
      <c r="BC106" s="698"/>
      <c r="BD106" s="698"/>
      <c r="BE106" s="698"/>
      <c r="BF106" s="698"/>
      <c r="BG106" s="698"/>
      <c r="BH106" s="699" t="s">
        <v>119</v>
      </c>
      <c r="BI106" s="699"/>
      <c r="BJ106" s="699"/>
      <c r="BK106" s="699"/>
      <c r="BL106" s="699"/>
      <c r="BM106" s="1802">
        <f>D7+I7+N7+S7+X7+AC7+AH7+AM7+AR7+AW7+BB7+BG7+BL7+BQ7+
D13+I13+N13+S13+X13+AC13+AH13+AM13+AR13+AW13+BB13+BG13+BL13+BQ13+
D19+I19+N19+S19+X19+AC19+AH19+AM19+AR19+AW19+BB19+BG19+BL19+BQ19+
D25+I25+N25+S25+X25+AC25+AH25+AM25+AR25+AW25+BB25+BG25+BL25+BQ25+
D31+I31+N31+S31+X31+AC31+AH31+AM31+AR31+AW31+BB31+BG31+BL31+BQ31+
D37+I37+N37+S37+X37+AC37+AH37+AM37+AR37+AW37+BB37+BG37+BL37+BQ37+
D43+I43+N43+S43+X43+AC43+AH43+AM43+AR43+AW43+BB43+BG43+BL43+BQ43+
D49+I49+N49+S49+X49+AC49+AH49+AM49+AR49+AW49+BB49+BG49+BL49+BQ49+
D67+I67+N67+S67+X67+AC67+AH67+AM67+AR67+AW67+BB67+BG67+BL67+BQ67+
D73+I73+N73+S73+X73+AC73+AH73+AM73+AR73+AW73+BB73+BG73+BL73+BQ73+
D79+I79+N79+S79+X79+AC79+AH79+AM79+AR79+AW79+BB79+BG79+BL79+BQ79+
D85+I85+N85+S85+X85+AC85+AH85+AM85+AR85+AW85+BB85+BG85+BL85+BQ85+
D91+I91+N91+S91+X91+AC91+AH91+AM91+AR91+AW91+BB91+BG91+BL91+BQ91+
D97+I97+N97+S97+X97+AC97+AH97+AM97+AR97+AW97+BB97+BG97+BL97+BQ97</f>
        <v>122</v>
      </c>
      <c r="BN106" s="1802"/>
      <c r="BO106" s="1802"/>
      <c r="BP106" s="1802"/>
      <c r="BQ106" s="701" t="s">
        <v>120</v>
      </c>
      <c r="BR106" s="701"/>
      <c r="BS106" s="701"/>
    </row>
    <row r="107" spans="1:72" ht="15" customHeight="1" x14ac:dyDescent="0.25">
      <c r="B107" s="44"/>
      <c r="C107" s="44"/>
      <c r="D107" s="44"/>
      <c r="E107" s="69"/>
      <c r="F107" s="69"/>
      <c r="G107" s="44"/>
      <c r="H107" s="3548"/>
      <c r="I107" s="3548"/>
      <c r="J107" s="3548"/>
      <c r="K107" s="3548"/>
      <c r="L107" s="44"/>
      <c r="M107" s="44"/>
      <c r="N107" s="44"/>
      <c r="O107" s="69"/>
      <c r="P107" s="69"/>
      <c r="Q107" s="44"/>
      <c r="R107" s="44"/>
      <c r="S107" s="44"/>
      <c r="T107" s="69"/>
      <c r="U107" s="69"/>
      <c r="V107" s="44"/>
      <c r="W107" s="44"/>
      <c r="X107" s="44"/>
      <c r="Y107" s="697"/>
      <c r="Z107" s="697"/>
      <c r="AA107" s="697"/>
      <c r="AB107" s="697"/>
      <c r="AC107" s="697"/>
      <c r="AD107" s="697"/>
      <c r="AE107" s="697"/>
      <c r="AF107" s="697"/>
      <c r="AG107" s="697"/>
      <c r="AH107" s="697"/>
      <c r="AI107" s="697"/>
      <c r="AJ107" s="697"/>
      <c r="AK107" s="697"/>
      <c r="AL107" s="697"/>
      <c r="AM107" s="697"/>
      <c r="AN107" s="697"/>
      <c r="AO107" s="697"/>
      <c r="AP107" s="697"/>
      <c r="AQ107" s="697"/>
      <c r="AR107" s="697"/>
      <c r="AS107" s="697"/>
      <c r="AT107" s="697"/>
      <c r="AU107" s="46"/>
      <c r="AV107" s="698"/>
      <c r="AW107" s="698"/>
      <c r="AX107" s="698"/>
      <c r="AY107" s="698"/>
      <c r="AZ107" s="698"/>
      <c r="BA107" s="698"/>
      <c r="BB107" s="698"/>
      <c r="BC107" s="698"/>
      <c r="BD107" s="698"/>
      <c r="BE107" s="698"/>
      <c r="BF107" s="698"/>
      <c r="BG107" s="698"/>
      <c r="BH107" s="699"/>
      <c r="BI107" s="699"/>
      <c r="BJ107" s="699"/>
      <c r="BK107" s="699"/>
      <c r="BL107" s="699"/>
      <c r="BM107" s="1802"/>
      <c r="BN107" s="1802"/>
      <c r="BO107" s="1802"/>
      <c r="BP107" s="1802"/>
      <c r="BQ107" s="701"/>
      <c r="BR107" s="701"/>
      <c r="BS107" s="701"/>
    </row>
    <row r="108" spans="1:72" ht="24" customHeight="1" x14ac:dyDescent="0.25">
      <c r="B108" s="47"/>
      <c r="C108" s="47"/>
      <c r="D108" s="47"/>
      <c r="E108" s="69"/>
      <c r="F108" s="69"/>
      <c r="G108" s="47"/>
      <c r="H108" s="3548"/>
      <c r="I108" s="3548"/>
      <c r="J108" s="3548"/>
      <c r="K108" s="3548"/>
      <c r="L108" s="47"/>
      <c r="M108" s="47"/>
      <c r="N108" s="47"/>
      <c r="O108" s="69"/>
      <c r="P108" s="69"/>
      <c r="Q108" s="47"/>
      <c r="R108" s="47"/>
      <c r="S108" s="47"/>
      <c r="T108" s="69"/>
      <c r="U108" s="69"/>
      <c r="V108" s="47"/>
      <c r="W108" s="47"/>
      <c r="X108" s="47"/>
      <c r="Y108" s="697"/>
      <c r="Z108" s="697"/>
      <c r="AA108" s="697"/>
      <c r="AB108" s="697"/>
      <c r="AC108" s="697"/>
      <c r="AD108" s="697"/>
      <c r="AE108" s="697"/>
      <c r="AF108" s="697"/>
      <c r="AG108" s="697"/>
      <c r="AH108" s="697"/>
      <c r="AI108" s="697"/>
      <c r="AJ108" s="697"/>
      <c r="AK108" s="697"/>
      <c r="AL108" s="697"/>
      <c r="AM108" s="697"/>
      <c r="AN108" s="697"/>
      <c r="AO108" s="697"/>
      <c r="AP108" s="697"/>
      <c r="AQ108" s="697"/>
      <c r="AR108" s="697"/>
      <c r="AS108" s="697"/>
      <c r="AT108" s="697"/>
      <c r="AU108" s="46"/>
      <c r="AV108" s="698"/>
      <c r="AW108" s="698"/>
      <c r="AX108" s="698"/>
      <c r="AY108" s="698"/>
      <c r="AZ108" s="698"/>
      <c r="BA108" s="698"/>
      <c r="BB108" s="698"/>
      <c r="BC108" s="698"/>
      <c r="BD108" s="698"/>
      <c r="BE108" s="698"/>
      <c r="BF108" s="698"/>
      <c r="BG108" s="698"/>
      <c r="BH108" s="699"/>
      <c r="BI108" s="699"/>
      <c r="BJ108" s="699"/>
      <c r="BK108" s="699"/>
      <c r="BL108" s="699"/>
      <c r="BM108" s="1802"/>
      <c r="BN108" s="1802"/>
      <c r="BO108" s="1802"/>
      <c r="BP108" s="1802"/>
      <c r="BQ108" s="701"/>
      <c r="BR108" s="701"/>
      <c r="BS108" s="701"/>
    </row>
    <row r="109" spans="1:72" ht="27.75" customHeight="1" x14ac:dyDescent="0.25">
      <c r="B109" s="47"/>
      <c r="C109" s="47"/>
      <c r="D109" s="47"/>
      <c r="E109" s="101"/>
      <c r="F109" s="69"/>
      <c r="G109" s="47"/>
      <c r="H109" s="3547" cm="1">
        <f t="array" aca="1" ref="H109" ca="1">SUM(COUNTIF(INDIRECT({"B7","G7","L7","Q7","V7","AA7","AF7","AK7","AP7","AU7","AZ7","BE7","BJ7","BO7","B13","G13","L13","Q13","V13","AA13","AF13","AK13","AP13","AU13","AZ13","BE13","BJ13","BO13","B19","G19","L19","Q19","V19","AA19","AF19","AK19","AP19","AU19","AZ19","BE19","BJ19","BO19","B25","G25","L25","Q25","V25","AA25","AF25","AK25","AP25","AU25","AZ25","BE25","BJ25","BO25","B31","G31","L31","Q31","V31","AA31","AF31","AK31","AP31","AU31","AZ31","BE31","BJ31","BO31","B37","G37","L37","Q37","V37","AA37","AF37","AK37","AP37","AU37","AZ37","BE37","BJ37","BO37","B43","G43","L43","Q43","V43","AA43","AF43","AK43","AP43","AU43","AZ43","BE43","BJ43","BO43","B49","G49","L49","Q49","V49","AA49","AF49","AK49","AP49","AU49","AZ49","BE49","BJ49","BO49","B67","G67","L67","Q67","V67","AA67","AF67","AK67","AP67","AU67","AZ67","BE67","BJ67","BO67","B73","G73","L73","Q73","V73","AA73","AF73","AK73","AP73","AU73","AZ73","BE73","BJ73","BO73","B79","G79","L79","Q79","V79","AA79","AF79","AK79","AP79","AU79","AZ79","BE79","BJ79","BO79","B85","G85","L85","Q85","V85","AA85","AF85","AK85","AP85","AU85","AZ85","BE85","BJ85","BO85","B91","G91","L91","Q91","V91","AA91","AF91","AK91","AP91","AU91","AZ91","BE91","BJ91","BO91","B97","G97","L97","Q97","V97","AA97","AF97","AK97","AP97","AU97","AZ97","BE97","BJ97","BO97"}),"&gt;0"))</f>
        <v>195</v>
      </c>
      <c r="I109" s="3547"/>
      <c r="J109" s="3547"/>
      <c r="K109" s="3547"/>
      <c r="L109" s="47"/>
      <c r="M109" s="47"/>
      <c r="N109" s="47"/>
      <c r="O109" s="101"/>
      <c r="P109" s="69"/>
      <c r="Q109" s="47"/>
      <c r="R109" s="47"/>
      <c r="S109" s="47"/>
      <c r="T109" s="101"/>
      <c r="U109" s="69"/>
      <c r="V109" s="47"/>
      <c r="W109" s="47"/>
      <c r="X109" s="47"/>
      <c r="Y109" s="697"/>
      <c r="Z109" s="697"/>
      <c r="AA109" s="697"/>
      <c r="AB109" s="697"/>
      <c r="AC109" s="697"/>
      <c r="AD109" s="697"/>
      <c r="AE109" s="697"/>
      <c r="AF109" s="697"/>
      <c r="AG109" s="697"/>
      <c r="AH109" s="697"/>
      <c r="AI109" s="697"/>
      <c r="AJ109" s="697"/>
      <c r="AK109" s="697"/>
      <c r="AL109" s="697"/>
      <c r="AM109" s="697"/>
      <c r="AN109" s="697"/>
      <c r="AO109" s="697"/>
      <c r="AP109" s="697"/>
      <c r="AQ109" s="697"/>
      <c r="AR109" s="697"/>
      <c r="AS109" s="697"/>
      <c r="AT109" s="697"/>
      <c r="AU109" s="46"/>
      <c r="AV109" s="698"/>
      <c r="AW109" s="698"/>
      <c r="AX109" s="698"/>
      <c r="AY109" s="698"/>
      <c r="AZ109" s="698"/>
      <c r="BA109" s="698"/>
      <c r="BB109" s="698"/>
      <c r="BC109" s="698"/>
      <c r="BD109" s="698"/>
      <c r="BE109" s="698"/>
      <c r="BF109" s="698"/>
      <c r="BG109" s="698"/>
      <c r="BH109" s="699"/>
      <c r="BI109" s="699"/>
      <c r="BJ109" s="699"/>
      <c r="BK109" s="699"/>
      <c r="BL109" s="699"/>
      <c r="BM109" s="1802"/>
      <c r="BN109" s="1802"/>
      <c r="BO109" s="1802"/>
      <c r="BP109" s="1802"/>
      <c r="BQ109" s="701"/>
      <c r="BR109" s="701"/>
      <c r="BS109" s="701"/>
    </row>
    <row r="110" spans="1:72" ht="24" customHeight="1" x14ac:dyDescent="0.25">
      <c r="B110" s="47"/>
      <c r="C110" s="47"/>
      <c r="D110" s="47"/>
      <c r="E110" s="69"/>
      <c r="F110" s="69"/>
      <c r="G110" s="47"/>
      <c r="H110" s="3547"/>
      <c r="I110" s="3547"/>
      <c r="J110" s="3547"/>
      <c r="K110" s="3547"/>
      <c r="L110" s="47"/>
      <c r="M110" s="47"/>
      <c r="N110" s="47"/>
      <c r="O110" s="69"/>
      <c r="P110" s="69"/>
      <c r="Q110" s="47"/>
      <c r="R110" s="47"/>
      <c r="S110" s="47"/>
      <c r="T110" s="69"/>
      <c r="U110" s="69"/>
      <c r="V110" s="47"/>
      <c r="W110" s="47"/>
      <c r="X110" s="47"/>
      <c r="Y110" s="722" t="s">
        <v>13</v>
      </c>
      <c r="Z110" s="722"/>
      <c r="AA110" s="722"/>
      <c r="AB110" s="722"/>
      <c r="AC110" s="722"/>
      <c r="AD110" s="722"/>
      <c r="AE110" s="722"/>
      <c r="AF110" s="722"/>
      <c r="AG110" s="722"/>
      <c r="AH110" s="722"/>
      <c r="AI110" s="722"/>
      <c r="AJ110" s="722"/>
      <c r="AK110" s="706">
        <f>AV110-AB127</f>
        <v>7.0011100015676675E-4</v>
      </c>
      <c r="AL110" s="706"/>
      <c r="AM110" s="706"/>
      <c r="AN110" s="706"/>
      <c r="AO110" s="706"/>
      <c r="AP110" s="706"/>
      <c r="AQ110" s="706"/>
      <c r="AR110" s="706"/>
      <c r="AS110" s="706"/>
      <c r="AT110" s="706"/>
      <c r="AU110" s="706"/>
      <c r="AV110" s="707">
        <f>B7+G7+L7+Q7+V7+AA7+AF7+AK7+AP7+AU7+AZ7+BE7+BJ7+BO7+
B13+G13+L13+Q13+V13+AA13+AF13+AK13+AP13+AU13+AZ13+BE13+BJ13+BO13+
B19+G19+L19+Q19+V19+AA19+AF19+AK19+AP19+AU19+AZ19+BE19+BJ19+BO19+
B25+G25+L25+Q25+V25+AA25+AF25+AK25+AP25+AU25+AZ25+BE25+BJ25+BO25+
B31+G31+L31+Q31+V31+AA31+AF31+AK31+AP31+AU31+AZ31+BE31+BJ31+BO31+
B37+G37+L37+Q37+V37+AA37+AF37+AK37+AP37+AU37+AZ37+BE37+BJ37+BO37+
B43+G43+L43+Q43+V43+AA43+AF43+AK43+AP43+AU43+AZ43+BE43+BJ43+BO43+
B49+G49+L49+Q49+V49+AA49+AF49+AK49+AP49+AU49+AZ49+BE49+BJ49+BO49+
B67+G67+L67+Q67+V67+AA67+AF67+AK67+AP67+AU67+AZ67+BE67+BJ67+BO67+
B73+G73+L73+Q73+V73+AA73+AF73+AK73+AP73+AU73+AZ73+BE73+BJ73+BO73+
B79+G79+L79+Q79+V79+AA79+AF79+AK79+AP79+AU79+AZ79+BE79+BJ79+BO79+
B85+G85+L85+Q85+V85+AA85+AF85+AK85+AP85+AU85+AZ85+BE85+BJ85+BO85+
B91+G91+L91+Q91+V91+AA91+AF91+AK91+AP91+AU91+AZ91+BE91+BJ91+BO91+
B97+G97+L97+Q97+V97+AA97+AF97+AK97+AP97+AU97+AZ97+BE97+BJ97+BO97</f>
        <v>247.17070011100014</v>
      </c>
      <c r="AW110" s="707"/>
      <c r="AX110" s="707"/>
      <c r="AY110" s="707"/>
      <c r="AZ110" s="707"/>
      <c r="BA110" s="707"/>
      <c r="BB110" s="707"/>
      <c r="BC110" s="707"/>
      <c r="BD110" s="707"/>
      <c r="BE110" s="707"/>
      <c r="BF110" s="707"/>
      <c r="BG110" s="707"/>
      <c r="BH110" s="699"/>
      <c r="BI110" s="699"/>
      <c r="BJ110" s="699"/>
      <c r="BK110" s="699"/>
      <c r="BL110" s="699"/>
      <c r="BM110" s="708">
        <f>BM106*1.5</f>
        <v>183</v>
      </c>
      <c r="BN110" s="708"/>
      <c r="BO110" s="708"/>
      <c r="BP110" s="708"/>
      <c r="BQ110" s="708"/>
      <c r="BR110" s="708"/>
      <c r="BS110" s="708"/>
    </row>
    <row r="111" spans="1:72" ht="87.75" thickBot="1" x14ac:dyDescent="0.55000000000000004">
      <c r="B111" s="70"/>
      <c r="C111" s="72"/>
      <c r="D111" s="72"/>
      <c r="E111" s="72"/>
      <c r="F111" s="72"/>
      <c r="G111" s="70"/>
      <c r="H111" s="3547"/>
      <c r="I111" s="3547"/>
      <c r="J111" s="3547"/>
      <c r="K111" s="3547"/>
      <c r="L111" s="70"/>
      <c r="M111" s="72"/>
      <c r="N111" s="72"/>
      <c r="O111" s="72"/>
      <c r="P111" s="72"/>
      <c r="Q111" s="70"/>
      <c r="R111" s="72"/>
      <c r="S111" s="72"/>
      <c r="T111" s="72"/>
      <c r="U111" s="72"/>
      <c r="V111" s="70"/>
      <c r="W111" s="72"/>
      <c r="X111" s="72"/>
      <c r="Y111" s="722"/>
      <c r="Z111" s="722"/>
      <c r="AA111" s="722"/>
      <c r="AB111" s="722"/>
      <c r="AC111" s="722"/>
      <c r="AD111" s="722"/>
      <c r="AE111" s="722"/>
      <c r="AF111" s="722"/>
      <c r="AG111" s="722"/>
      <c r="AH111" s="722"/>
      <c r="AI111" s="722"/>
      <c r="AJ111" s="722"/>
      <c r="AK111" s="706"/>
      <c r="AL111" s="706"/>
      <c r="AM111" s="706"/>
      <c r="AN111" s="706"/>
      <c r="AO111" s="706"/>
      <c r="AP111" s="706"/>
      <c r="AQ111" s="706"/>
      <c r="AR111" s="706"/>
      <c r="AS111" s="706"/>
      <c r="AT111" s="706"/>
      <c r="AU111" s="706"/>
      <c r="AV111" s="707"/>
      <c r="AW111" s="707"/>
      <c r="AX111" s="707"/>
      <c r="AY111" s="707"/>
      <c r="AZ111" s="707"/>
      <c r="BA111" s="707"/>
      <c r="BB111" s="707"/>
      <c r="BC111" s="707"/>
      <c r="BD111" s="707"/>
      <c r="BE111" s="707"/>
      <c r="BF111" s="707"/>
      <c r="BG111" s="707"/>
      <c r="BH111" s="699"/>
      <c r="BI111" s="699"/>
      <c r="BJ111" s="699"/>
      <c r="BK111" s="699"/>
      <c r="BL111" s="699"/>
      <c r="BM111" s="708"/>
      <c r="BN111" s="708"/>
      <c r="BO111" s="708"/>
      <c r="BP111" s="708"/>
      <c r="BQ111" s="708"/>
      <c r="BR111" s="708"/>
      <c r="BS111" s="708"/>
      <c r="BT111" s="228"/>
    </row>
    <row r="112" spans="1:72" ht="26.25" x14ac:dyDescent="0.25">
      <c r="B112" s="3518" t="s">
        <v>436</v>
      </c>
      <c r="C112" s="3519"/>
      <c r="D112" s="3519"/>
      <c r="E112" s="3519"/>
      <c r="F112" s="3519"/>
      <c r="G112" s="3519"/>
      <c r="H112" s="3519"/>
      <c r="I112" s="3519"/>
      <c r="J112" s="3519"/>
      <c r="K112" s="3519"/>
      <c r="L112" s="3519"/>
      <c r="M112" s="3519"/>
      <c r="N112" s="3519"/>
      <c r="O112" s="3519"/>
      <c r="P112" s="3520"/>
      <c r="Q112" s="70"/>
      <c r="R112" s="32"/>
      <c r="S112" s="33"/>
      <c r="T112" s="34"/>
      <c r="U112" s="35"/>
      <c r="V112" s="70"/>
      <c r="W112" s="32"/>
      <c r="X112" s="33"/>
      <c r="Y112" s="722"/>
      <c r="Z112" s="722"/>
      <c r="AA112" s="722"/>
      <c r="AB112" s="722"/>
      <c r="AC112" s="722"/>
      <c r="AD112" s="722"/>
      <c r="AE112" s="722"/>
      <c r="AF112" s="722"/>
      <c r="AG112" s="722"/>
      <c r="AH112" s="722"/>
      <c r="AI112" s="722"/>
      <c r="AJ112" s="722"/>
      <c r="AK112" s="706"/>
      <c r="AL112" s="706"/>
      <c r="AM112" s="706"/>
      <c r="AN112" s="706"/>
      <c r="AO112" s="706"/>
      <c r="AP112" s="706"/>
      <c r="AQ112" s="706"/>
      <c r="AR112" s="706"/>
      <c r="AS112" s="706"/>
      <c r="AT112" s="706"/>
      <c r="AU112" s="706"/>
      <c r="AV112" s="707"/>
      <c r="AW112" s="707"/>
      <c r="AX112" s="707"/>
      <c r="AY112" s="707"/>
      <c r="AZ112" s="707"/>
      <c r="BA112" s="707"/>
      <c r="BB112" s="707"/>
      <c r="BC112" s="707"/>
      <c r="BD112" s="707"/>
      <c r="BE112" s="707"/>
      <c r="BF112" s="707"/>
      <c r="BG112" s="707"/>
      <c r="BH112" s="699"/>
      <c r="BI112" s="699"/>
      <c r="BJ112" s="699"/>
      <c r="BK112" s="699"/>
      <c r="BL112" s="699"/>
      <c r="BM112" s="708"/>
      <c r="BN112" s="708"/>
      <c r="BO112" s="708"/>
      <c r="BP112" s="708"/>
      <c r="BQ112" s="708"/>
      <c r="BR112" s="708"/>
      <c r="BS112" s="708"/>
    </row>
    <row r="113" spans="2:71" ht="24" x14ac:dyDescent="0.25">
      <c r="B113" s="3521"/>
      <c r="C113" s="3522"/>
      <c r="D113" s="3522"/>
      <c r="E113" s="3522"/>
      <c r="F113" s="3522"/>
      <c r="G113" s="3522"/>
      <c r="H113" s="3522"/>
      <c r="I113" s="3522"/>
      <c r="J113" s="3522"/>
      <c r="K113" s="3522"/>
      <c r="L113" s="3522"/>
      <c r="M113" s="3522"/>
      <c r="N113" s="3522"/>
      <c r="O113" s="3522"/>
      <c r="P113" s="3523"/>
      <c r="Q113" s="44"/>
      <c r="R113" s="44"/>
      <c r="S113" s="44"/>
      <c r="T113" s="69"/>
      <c r="U113" s="69"/>
      <c r="V113" s="44"/>
      <c r="W113" s="44"/>
      <c r="X113" s="44"/>
      <c r="Y113" s="722"/>
      <c r="Z113" s="722"/>
      <c r="AA113" s="722"/>
      <c r="AB113" s="722"/>
      <c r="AC113" s="722"/>
      <c r="AD113" s="722"/>
      <c r="AE113" s="722"/>
      <c r="AF113" s="722"/>
      <c r="AG113" s="722"/>
      <c r="AH113" s="722"/>
      <c r="AI113" s="722"/>
      <c r="AJ113" s="722"/>
      <c r="AK113" s="706"/>
      <c r="AL113" s="706"/>
      <c r="AM113" s="706"/>
      <c r="AN113" s="706"/>
      <c r="AO113" s="706"/>
      <c r="AP113" s="706"/>
      <c r="AQ113" s="706"/>
      <c r="AR113" s="706"/>
      <c r="AS113" s="706"/>
      <c r="AT113" s="706"/>
      <c r="AU113" s="706"/>
      <c r="AV113" s="707"/>
      <c r="AW113" s="707"/>
      <c r="AX113" s="707"/>
      <c r="AY113" s="707"/>
      <c r="AZ113" s="707"/>
      <c r="BA113" s="707"/>
      <c r="BB113" s="707"/>
      <c r="BC113" s="707"/>
      <c r="BD113" s="707"/>
      <c r="BE113" s="707"/>
      <c r="BF113" s="707"/>
      <c r="BG113" s="707"/>
      <c r="BH113" s="699"/>
      <c r="BI113" s="699"/>
      <c r="BJ113" s="699"/>
      <c r="BK113" s="699"/>
      <c r="BL113" s="699"/>
      <c r="BM113" s="708"/>
      <c r="BN113" s="708"/>
      <c r="BO113" s="708"/>
      <c r="BP113" s="708"/>
      <c r="BQ113" s="708"/>
      <c r="BR113" s="708"/>
      <c r="BS113" s="708"/>
    </row>
    <row r="114" spans="2:71" ht="24" x14ac:dyDescent="0.25">
      <c r="B114" s="3521"/>
      <c r="C114" s="3522"/>
      <c r="D114" s="3522"/>
      <c r="E114" s="3522"/>
      <c r="F114" s="3522"/>
      <c r="G114" s="3522"/>
      <c r="H114" s="3522"/>
      <c r="I114" s="3522"/>
      <c r="J114" s="3522"/>
      <c r="K114" s="3522"/>
      <c r="L114" s="3522"/>
      <c r="M114" s="3522"/>
      <c r="N114" s="3522"/>
      <c r="O114" s="3522"/>
      <c r="P114" s="3523"/>
      <c r="Q114" s="47"/>
      <c r="R114" s="47"/>
      <c r="S114" s="47"/>
      <c r="T114" s="69"/>
      <c r="U114" s="69"/>
      <c r="V114" s="47"/>
      <c r="W114" s="47"/>
      <c r="X114" s="47"/>
      <c r="Y114" s="722"/>
      <c r="Z114" s="722"/>
      <c r="AA114" s="722"/>
      <c r="AB114" s="722"/>
      <c r="AC114" s="722"/>
      <c r="AD114" s="722"/>
      <c r="AE114" s="722"/>
      <c r="AF114" s="722"/>
      <c r="AG114" s="722"/>
      <c r="AH114" s="722"/>
      <c r="AI114" s="722"/>
      <c r="AJ114" s="722"/>
      <c r="AK114" s="706"/>
      <c r="AL114" s="706"/>
      <c r="AM114" s="706"/>
      <c r="AN114" s="706"/>
      <c r="AO114" s="706"/>
      <c r="AP114" s="706"/>
      <c r="AQ114" s="706"/>
      <c r="AR114" s="706"/>
      <c r="AS114" s="706"/>
      <c r="AT114" s="706"/>
      <c r="AU114" s="706"/>
      <c r="AV114" s="707"/>
      <c r="AW114" s="707"/>
      <c r="AX114" s="707"/>
      <c r="AY114" s="707"/>
      <c r="AZ114" s="707"/>
      <c r="BA114" s="707"/>
      <c r="BB114" s="707"/>
      <c r="BC114" s="707"/>
      <c r="BD114" s="707"/>
      <c r="BE114" s="707"/>
      <c r="BF114" s="707"/>
      <c r="BG114" s="707"/>
      <c r="BH114" s="699"/>
      <c r="BI114" s="699"/>
      <c r="BJ114" s="699"/>
      <c r="BK114" s="699"/>
      <c r="BL114" s="699"/>
      <c r="BM114" s="699" t="s">
        <v>121</v>
      </c>
      <c r="BN114" s="699"/>
      <c r="BO114" s="699"/>
      <c r="BP114" s="699"/>
      <c r="BQ114" s="699"/>
      <c r="BR114" s="699"/>
      <c r="BS114" s="699"/>
    </row>
    <row r="115" spans="2:71" ht="28.5" thickBot="1" x14ac:dyDescent="0.3">
      <c r="B115" s="3524"/>
      <c r="C115" s="3525"/>
      <c r="D115" s="3525"/>
      <c r="E115" s="3525"/>
      <c r="F115" s="3525"/>
      <c r="G115" s="3525"/>
      <c r="H115" s="3525"/>
      <c r="I115" s="3525"/>
      <c r="J115" s="3525"/>
      <c r="K115" s="3525"/>
      <c r="L115" s="3525"/>
      <c r="M115" s="3525"/>
      <c r="N115" s="3525"/>
      <c r="O115" s="3525"/>
      <c r="P115" s="3526"/>
      <c r="Q115" s="47"/>
      <c r="R115" s="47"/>
      <c r="S115" s="47"/>
      <c r="T115" s="101"/>
      <c r="U115" s="69"/>
      <c r="V115" s="47"/>
      <c r="W115" s="47"/>
      <c r="X115" s="47"/>
      <c r="Y115" s="722"/>
      <c r="Z115" s="722"/>
      <c r="AA115" s="722"/>
      <c r="AB115" s="722"/>
      <c r="AC115" s="722"/>
      <c r="AD115" s="722"/>
      <c r="AE115" s="722"/>
      <c r="AF115" s="722"/>
      <c r="AG115" s="722"/>
      <c r="AH115" s="722"/>
      <c r="AI115" s="722"/>
      <c r="AJ115" s="722"/>
      <c r="AK115" s="706"/>
      <c r="AL115" s="706"/>
      <c r="AM115" s="706"/>
      <c r="AN115" s="706"/>
      <c r="AO115" s="706"/>
      <c r="AP115" s="706"/>
      <c r="AQ115" s="706"/>
      <c r="AR115" s="706"/>
      <c r="AS115" s="706"/>
      <c r="AT115" s="706"/>
      <c r="AU115" s="706"/>
      <c r="AV115" s="707"/>
      <c r="AW115" s="707"/>
      <c r="AX115" s="707"/>
      <c r="AY115" s="707"/>
      <c r="AZ115" s="707"/>
      <c r="BA115" s="707"/>
      <c r="BB115" s="707"/>
      <c r="BC115" s="707"/>
      <c r="BD115" s="707"/>
      <c r="BE115" s="707"/>
      <c r="BF115" s="707"/>
      <c r="BG115" s="707"/>
      <c r="BH115" s="699"/>
      <c r="BI115" s="699"/>
      <c r="BJ115" s="699"/>
      <c r="BK115" s="699"/>
      <c r="BL115" s="699"/>
      <c r="BM115" s="699"/>
      <c r="BN115" s="699"/>
      <c r="BO115" s="699"/>
      <c r="BP115" s="699"/>
      <c r="BQ115" s="699"/>
      <c r="BR115" s="699"/>
      <c r="BS115" s="699"/>
    </row>
    <row r="116" spans="2:71" ht="15" customHeight="1" x14ac:dyDescent="0.25">
      <c r="M116" s="1798">
        <v>212</v>
      </c>
      <c r="N116" s="1798"/>
      <c r="O116" s="1798"/>
      <c r="P116" s="1798"/>
    </row>
    <row r="117" spans="2:71" ht="15" customHeight="1" x14ac:dyDescent="0.25">
      <c r="M117" s="1798"/>
      <c r="N117" s="1798"/>
      <c r="O117" s="1798"/>
      <c r="P117" s="1798"/>
    </row>
    <row r="118" spans="2:71" ht="15" customHeight="1" x14ac:dyDescent="0.25">
      <c r="M118" s="1798"/>
      <c r="N118" s="1798"/>
      <c r="O118" s="1798"/>
      <c r="P118" s="1798"/>
    </row>
    <row r="119" spans="2:71" ht="15" customHeight="1" x14ac:dyDescent="0.25">
      <c r="M119" s="1798"/>
      <c r="N119" s="1798"/>
      <c r="O119" s="1798"/>
      <c r="P119" s="1798"/>
    </row>
    <row r="120" spans="2:71" ht="15" customHeight="1" x14ac:dyDescent="0.25">
      <c r="M120" s="1798"/>
      <c r="N120" s="1798"/>
      <c r="O120" s="1798"/>
      <c r="P120" s="1798"/>
    </row>
    <row r="125" spans="2:71" x14ac:dyDescent="0.25">
      <c r="AA125" s="27"/>
      <c r="AB125" s="27"/>
      <c r="AC125" s="27"/>
      <c r="AD125" s="27"/>
      <c r="AE125" s="27"/>
      <c r="AF125" s="27"/>
      <c r="AG125" s="27"/>
      <c r="AH125" s="27"/>
    </row>
    <row r="126" spans="2:71" ht="15.75" thickBot="1" x14ac:dyDescent="0.3"/>
    <row r="127" spans="2:71" ht="15.75" thickTop="1" x14ac:dyDescent="0.25">
      <c r="AB127" s="775">
        <v>247.17</v>
      </c>
      <c r="AC127" s="776"/>
      <c r="AD127" s="776"/>
      <c r="AE127" s="776"/>
      <c r="AF127" s="777"/>
      <c r="AJ127" s="727" t="s">
        <v>122</v>
      </c>
      <c r="AK127" s="727"/>
      <c r="AL127" s="727"/>
      <c r="AM127" s="727" t="s">
        <v>123</v>
      </c>
      <c r="AN127" s="727"/>
      <c r="AO127" s="727"/>
      <c r="AP127" s="727" t="s">
        <v>124</v>
      </c>
      <c r="AQ127" s="727"/>
      <c r="AR127" s="727" t="s">
        <v>125</v>
      </c>
      <c r="AS127" s="727"/>
      <c r="AW127" s="739" t="s">
        <v>126</v>
      </c>
      <c r="AX127" s="740"/>
      <c r="AY127" s="740"/>
      <c r="AZ127" s="740"/>
      <c r="BA127" s="740"/>
      <c r="BB127" s="740"/>
      <c r="BC127" s="740"/>
      <c r="BD127" s="740"/>
      <c r="BE127" s="740"/>
      <c r="BF127" s="741"/>
      <c r="BG127" s="13"/>
      <c r="BH127" s="13"/>
      <c r="BI127" s="13"/>
    </row>
    <row r="128" spans="2:71" x14ac:dyDescent="0.25">
      <c r="AB128" s="778"/>
      <c r="AC128" s="779"/>
      <c r="AD128" s="779"/>
      <c r="AE128" s="779"/>
      <c r="AF128" s="780"/>
      <c r="AJ128" s="727"/>
      <c r="AK128" s="727"/>
      <c r="AL128" s="727"/>
      <c r="AM128" s="727"/>
      <c r="AN128" s="727"/>
      <c r="AO128" s="727"/>
      <c r="AP128" s="727"/>
      <c r="AQ128" s="727"/>
      <c r="AR128" s="727"/>
      <c r="AS128" s="727"/>
      <c r="AW128" s="750"/>
      <c r="AX128" s="751"/>
      <c r="AY128" s="751"/>
      <c r="AZ128" s="751"/>
      <c r="BA128" s="751"/>
      <c r="BB128" s="751"/>
      <c r="BC128" s="751"/>
      <c r="BD128" s="751"/>
      <c r="BE128" s="751"/>
      <c r="BF128" s="752"/>
      <c r="BG128" s="13"/>
      <c r="BH128" s="13"/>
      <c r="BI128" s="13"/>
    </row>
    <row r="129" spans="28:96" x14ac:dyDescent="0.25">
      <c r="AB129" s="778"/>
      <c r="AC129" s="779"/>
      <c r="AD129" s="779"/>
      <c r="AE129" s="779"/>
      <c r="AF129" s="780"/>
      <c r="AJ129" s="727"/>
      <c r="AK129" s="727"/>
      <c r="AL129" s="727"/>
      <c r="AM129" s="727"/>
      <c r="AN129" s="727"/>
      <c r="AO129" s="727"/>
      <c r="AP129" s="727"/>
      <c r="AQ129" s="727"/>
      <c r="AR129" s="727"/>
      <c r="AS129" s="727"/>
      <c r="AW129" s="742"/>
      <c r="AX129" s="743"/>
      <c r="AY129" s="743"/>
      <c r="AZ129" s="743"/>
      <c r="BA129" s="743"/>
      <c r="BB129" s="743"/>
      <c r="BC129" s="743"/>
      <c r="BD129" s="743"/>
      <c r="BE129" s="743"/>
      <c r="BF129" s="744"/>
      <c r="BG129" s="13"/>
      <c r="BH129" s="13"/>
      <c r="BI129" s="13"/>
    </row>
    <row r="130" spans="28:96" x14ac:dyDescent="0.25">
      <c r="AB130" s="778"/>
      <c r="AC130" s="779"/>
      <c r="AD130" s="779"/>
      <c r="AE130" s="779"/>
      <c r="AF130" s="780"/>
      <c r="AJ130" s="774">
        <v>26720</v>
      </c>
      <c r="AK130" s="774"/>
      <c r="AL130" s="774"/>
      <c r="AM130" s="774">
        <f ca="1">AR146</f>
        <v>26720</v>
      </c>
      <c r="AN130" s="774"/>
      <c r="AO130" s="774"/>
      <c r="AP130" s="726">
        <f>AV110</f>
        <v>247.17070011100014</v>
      </c>
      <c r="AQ130" s="726"/>
      <c r="AR130" s="726">
        <f>AV110+BM110</f>
        <v>430.17070011100014</v>
      </c>
      <c r="AS130" s="726"/>
      <c r="AW130" s="727" t="s">
        <v>128</v>
      </c>
      <c r="AX130" s="727"/>
      <c r="AY130" s="727"/>
      <c r="AZ130" s="727"/>
      <c r="BA130" s="727"/>
      <c r="BB130" s="727"/>
      <c r="BC130" s="727"/>
      <c r="BD130" s="727"/>
      <c r="BE130" s="727"/>
      <c r="BF130" s="727"/>
      <c r="BG130" s="13"/>
      <c r="BH130" s="13"/>
      <c r="BI130" s="13"/>
    </row>
    <row r="131" spans="28:96" x14ac:dyDescent="0.25">
      <c r="AB131" s="778"/>
      <c r="AC131" s="779"/>
      <c r="AD131" s="779"/>
      <c r="AE131" s="779"/>
      <c r="AF131" s="780"/>
      <c r="AJ131" s="774"/>
      <c r="AK131" s="774"/>
      <c r="AL131" s="774"/>
      <c r="AM131" s="774"/>
      <c r="AN131" s="774"/>
      <c r="AO131" s="774"/>
      <c r="AP131" s="726"/>
      <c r="AQ131" s="726"/>
      <c r="AR131" s="726"/>
      <c r="AS131" s="726"/>
      <c r="AW131" s="727"/>
      <c r="AX131" s="727"/>
      <c r="AY131" s="727"/>
      <c r="AZ131" s="727"/>
      <c r="BA131" s="727"/>
      <c r="BB131" s="727"/>
      <c r="BC131" s="727"/>
      <c r="BD131" s="727"/>
      <c r="BE131" s="727"/>
      <c r="BF131" s="727"/>
      <c r="BG131" s="13"/>
      <c r="BH131" s="13"/>
      <c r="BI131" s="13"/>
    </row>
    <row r="132" spans="28:96" ht="26.25" x14ac:dyDescent="0.25">
      <c r="AB132" s="778"/>
      <c r="AC132" s="779"/>
      <c r="AD132" s="779"/>
      <c r="AE132" s="779"/>
      <c r="AF132" s="780"/>
      <c r="AJ132" s="774"/>
      <c r="AK132" s="774"/>
      <c r="AL132" s="774"/>
      <c r="AM132" s="774"/>
      <c r="AN132" s="774"/>
      <c r="AO132" s="774"/>
      <c r="AP132" s="726"/>
      <c r="AQ132" s="726"/>
      <c r="AR132" s="726"/>
      <c r="AS132" s="726"/>
      <c r="AW132" s="728">
        <f ca="1">AQ192/((36*3.1415/59)*(AN192/3.281))</f>
        <v>1.8610506083625123E-2</v>
      </c>
      <c r="AX132" s="729"/>
      <c r="AY132" s="729"/>
      <c r="AZ132" s="729"/>
      <c r="BA132" s="729"/>
      <c r="BB132" s="729"/>
      <c r="BC132" s="729"/>
      <c r="BD132" s="729"/>
      <c r="BE132" s="729"/>
      <c r="BF132" s="730"/>
      <c r="BG132" s="57"/>
      <c r="BH132" s="57"/>
      <c r="BI132" s="57"/>
    </row>
    <row r="133" spans="28:96" ht="27" thickBot="1" x14ac:dyDescent="0.3">
      <c r="AB133" s="781"/>
      <c r="AC133" s="782"/>
      <c r="AD133" s="782"/>
      <c r="AE133" s="782"/>
      <c r="AF133" s="783"/>
      <c r="AJ133" s="774"/>
      <c r="AK133" s="774"/>
      <c r="AL133" s="774"/>
      <c r="AM133" s="774"/>
      <c r="AN133" s="774"/>
      <c r="AO133" s="774"/>
      <c r="AP133" s="726"/>
      <c r="AQ133" s="726"/>
      <c r="AR133" s="726"/>
      <c r="AS133" s="726"/>
      <c r="AW133" s="731"/>
      <c r="AX133" s="732"/>
      <c r="AY133" s="732"/>
      <c r="AZ133" s="732"/>
      <c r="BA133" s="732"/>
      <c r="BB133" s="732"/>
      <c r="BC133" s="732"/>
      <c r="BD133" s="732"/>
      <c r="BE133" s="732"/>
      <c r="BF133" s="733"/>
      <c r="BG133" s="57"/>
      <c r="BH133" s="57"/>
      <c r="BI133" s="57"/>
      <c r="BV133" s="1800" t="s">
        <v>167</v>
      </c>
      <c r="BW133" s="1800"/>
      <c r="BX133" s="1800"/>
      <c r="BY133" s="1800"/>
    </row>
    <row r="134" spans="28:96" ht="27" thickTop="1" x14ac:dyDescent="0.25">
      <c r="AW134" s="734"/>
      <c r="AX134" s="735"/>
      <c r="AY134" s="735"/>
      <c r="AZ134" s="735"/>
      <c r="BA134" s="735"/>
      <c r="BB134" s="735"/>
      <c r="BC134" s="735"/>
      <c r="BD134" s="735"/>
      <c r="BE134" s="735"/>
      <c r="BF134" s="736"/>
      <c r="BG134" s="57"/>
      <c r="BH134" s="57"/>
      <c r="BI134" s="57"/>
      <c r="BV134" s="1800"/>
      <c r="BW134" s="1800"/>
      <c r="BX134" s="1800"/>
      <c r="BY134" s="1800"/>
    </row>
    <row r="135" spans="28:96" x14ac:dyDescent="0.25">
      <c r="AW135" s="739" t="s">
        <v>129</v>
      </c>
      <c r="AX135" s="740"/>
      <c r="AY135" s="740"/>
      <c r="AZ135" s="740"/>
      <c r="BA135" s="740"/>
      <c r="BB135" s="740"/>
      <c r="BC135" s="740"/>
      <c r="BD135" s="740"/>
      <c r="BE135" s="740"/>
      <c r="BF135" s="741"/>
      <c r="BG135" s="13"/>
      <c r="BH135" s="13"/>
      <c r="BI135" s="13"/>
    </row>
    <row r="136" spans="28:96" ht="15" customHeight="1" x14ac:dyDescent="0.25">
      <c r="AW136" s="742"/>
      <c r="AX136" s="743"/>
      <c r="AY136" s="743"/>
      <c r="AZ136" s="743"/>
      <c r="BA136" s="743"/>
      <c r="BB136" s="743"/>
      <c r="BC136" s="743"/>
      <c r="BD136" s="743"/>
      <c r="BE136" s="743"/>
      <c r="BF136" s="744"/>
      <c r="BG136" s="13"/>
      <c r="BH136" s="13"/>
      <c r="BI136" s="13"/>
    </row>
    <row r="137" spans="28:96" ht="15" customHeight="1" x14ac:dyDescent="0.25">
      <c r="AL137" s="1255">
        <v>156</v>
      </c>
      <c r="AM137" s="1255"/>
      <c r="AN137" s="1255"/>
      <c r="AO137" s="746" cm="1">
        <f t="array" aca="1" ref="AO137" ca="1">SUM(COUNTIF(INDIRECT({"B7","G7","L7","Q7","V7","AA7","AF7","AK7","AP7","AU7"}),"&gt;0"))</f>
        <v>10</v>
      </c>
      <c r="AP137" s="746"/>
      <c r="AQ137" s="746"/>
      <c r="AR137" s="747">
        <f ca="1">AO137*AL137</f>
        <v>1560</v>
      </c>
      <c r="AS137" s="748"/>
      <c r="AT137" s="748"/>
      <c r="AU137" s="749"/>
      <c r="AW137" s="739" t="s">
        <v>130</v>
      </c>
      <c r="AX137" s="740"/>
      <c r="AY137" s="740"/>
      <c r="AZ137" s="740"/>
      <c r="BA137" s="740"/>
      <c r="BB137" s="740"/>
      <c r="BC137" s="740"/>
      <c r="BD137" s="740"/>
      <c r="BE137" s="740"/>
      <c r="BF137" s="741"/>
      <c r="BG137" s="13"/>
      <c r="BH137" s="13"/>
      <c r="BI137" s="13"/>
    </row>
    <row r="138" spans="28:96" x14ac:dyDescent="0.25">
      <c r="AL138" s="1255"/>
      <c r="AM138" s="1255"/>
      <c r="AN138" s="1255"/>
      <c r="AO138" s="746"/>
      <c r="AP138" s="746"/>
      <c r="AQ138" s="746"/>
      <c r="AR138" s="747"/>
      <c r="AS138" s="748"/>
      <c r="AT138" s="748"/>
      <c r="AU138" s="749"/>
      <c r="AW138" s="750"/>
      <c r="AX138" s="751"/>
      <c r="AY138" s="751"/>
      <c r="AZ138" s="751"/>
      <c r="BA138" s="751"/>
      <c r="BB138" s="751"/>
      <c r="BC138" s="751"/>
      <c r="BD138" s="751"/>
      <c r="BE138" s="751"/>
      <c r="BF138" s="752"/>
      <c r="BG138" s="13"/>
      <c r="BH138" s="13"/>
      <c r="BI138" s="13"/>
      <c r="BV138" s="727" t="s">
        <v>122</v>
      </c>
      <c r="BW138" s="727"/>
      <c r="BX138" s="727"/>
      <c r="BY138" s="727" t="s">
        <v>123</v>
      </c>
      <c r="BZ138" s="727"/>
      <c r="CA138" s="727"/>
      <c r="CB138" s="727" t="s">
        <v>124</v>
      </c>
      <c r="CC138" s="727"/>
      <c r="CD138" s="727" t="s">
        <v>125</v>
      </c>
      <c r="CE138" s="727"/>
      <c r="CI138" s="739" t="s">
        <v>126</v>
      </c>
      <c r="CJ138" s="740"/>
      <c r="CK138" s="740"/>
      <c r="CL138" s="740"/>
      <c r="CM138" s="740"/>
      <c r="CN138" s="740"/>
      <c r="CO138" s="740"/>
      <c r="CP138" s="740"/>
      <c r="CQ138" s="740"/>
      <c r="CR138" s="741"/>
    </row>
    <row r="139" spans="28:96" x14ac:dyDescent="0.25">
      <c r="AL139" s="1255"/>
      <c r="AM139" s="1255"/>
      <c r="AN139" s="1255"/>
      <c r="AO139" s="746"/>
      <c r="AP139" s="746"/>
      <c r="AQ139" s="746"/>
      <c r="AR139" s="747"/>
      <c r="AS139" s="748"/>
      <c r="AT139" s="748"/>
      <c r="AU139" s="749"/>
      <c r="AW139" s="750"/>
      <c r="AX139" s="751"/>
      <c r="AY139" s="751"/>
      <c r="AZ139" s="751"/>
      <c r="BA139" s="751"/>
      <c r="BB139" s="751"/>
      <c r="BC139" s="751"/>
      <c r="BD139" s="751"/>
      <c r="BE139" s="751"/>
      <c r="BF139" s="752"/>
      <c r="BG139" s="13"/>
      <c r="BH139" s="13"/>
      <c r="BI139" s="13"/>
      <c r="BV139" s="727"/>
      <c r="BW139" s="727"/>
      <c r="BX139" s="727"/>
      <c r="BY139" s="727"/>
      <c r="BZ139" s="727"/>
      <c r="CA139" s="727"/>
      <c r="CB139" s="727"/>
      <c r="CC139" s="727"/>
      <c r="CD139" s="727"/>
      <c r="CE139" s="727"/>
      <c r="CI139" s="750"/>
      <c r="CJ139" s="751"/>
      <c r="CK139" s="751"/>
      <c r="CL139" s="751"/>
      <c r="CM139" s="751"/>
      <c r="CN139" s="751"/>
      <c r="CO139" s="751"/>
      <c r="CP139" s="751"/>
      <c r="CQ139" s="751"/>
      <c r="CR139" s="752"/>
    </row>
    <row r="140" spans="28:96" x14ac:dyDescent="0.25">
      <c r="AL140" s="727">
        <v>136</v>
      </c>
      <c r="AM140" s="727"/>
      <c r="AN140" s="727"/>
      <c r="AO140" s="746" cm="1">
        <f t="array" aca="1" ref="AO140" ca="1">SUM(COUNTIF(INDIRECT({"AZ7","BE7","BJ7","BO7","B13","G13","L13","Q13","V13","AA13","AF13","AK13","AP13","AU13","AZ13","BE13","BJ13","BO13","B19","G19","L19","Q19","V19","AA19","AF19","AK19","AP19","AU19","AZ19","BE19","BJ19","BO19","B25","G25","L25","Q25","V25","AA25","AF25","AK25","AP25","AU25","AZ25","BE25","BJ25","BO25","B31","G31","L31","Q31","V31","AA31","AF31","AK31","AP31","AU31","AZ31","BE31","BJ31","BO31","B37","G37","L37","Q37","V37","AA37","AF37","AK37","AP37","AU37","AZ37","BE37","BJ37","BO37","B43","G43","L43","Q43","V43","AA43","AF43","AK43","AP43","AU43","AZ43","BE43","BJ43","BO43","B49","G49","L49","Q49","V49","AA49","AF49","AK49","AP49","AU49","AZ49","BE49","BJ49","BO49","B67","G67","L67","Q67","V67","AA67","AF67","AK67","AP67","AU67","AZ67","BE67","BJ67","BO67","B73","G73","L73","Q73","V73","AA73","AF73","AK73","AP73","AU73","AZ73","BE73","BJ73","BO73","B79","G79","L79","Q79","V79","AA79","AF79","AK79","AP79","AU79","AZ79","BE79","BJ79","BO79","B85","G85","L85","Q85","V85","AA85","AF85","AK85","AP85","AU85","AZ85","BE85","BJ85","BO85","B91","G91","L91","Q91","V91","AA91","AF91","AK91","AP91","AU91","AZ91","BE91","BJ91","BO91","B97","G97","L97","Q97","V97","AA97","AF97","AK97","AP97","AU97","AZ97","BE97","BJ97","BO97"}),"&gt;0"))</f>
        <v>185</v>
      </c>
      <c r="AP140" s="746"/>
      <c r="AQ140" s="746"/>
      <c r="AR140" s="747">
        <f ca="1">AO140*AL140</f>
        <v>25160</v>
      </c>
      <c r="AS140" s="748"/>
      <c r="AT140" s="748"/>
      <c r="AU140" s="749"/>
      <c r="AW140" s="742"/>
      <c r="AX140" s="743"/>
      <c r="AY140" s="743"/>
      <c r="AZ140" s="743"/>
      <c r="BA140" s="743"/>
      <c r="BB140" s="743"/>
      <c r="BC140" s="743"/>
      <c r="BD140" s="743"/>
      <c r="BE140" s="743"/>
      <c r="BF140" s="744"/>
      <c r="BG140" s="13"/>
      <c r="BH140" s="13"/>
      <c r="BI140" s="13"/>
      <c r="BV140" s="727"/>
      <c r="BW140" s="727"/>
      <c r="BX140" s="727"/>
      <c r="BY140" s="727"/>
      <c r="BZ140" s="727"/>
      <c r="CA140" s="727"/>
      <c r="CB140" s="727"/>
      <c r="CC140" s="727"/>
      <c r="CD140" s="727"/>
      <c r="CE140" s="727"/>
      <c r="CI140" s="742"/>
      <c r="CJ140" s="743"/>
      <c r="CK140" s="743"/>
      <c r="CL140" s="743"/>
      <c r="CM140" s="743"/>
      <c r="CN140" s="743"/>
      <c r="CO140" s="743"/>
      <c r="CP140" s="743"/>
      <c r="CQ140" s="743"/>
      <c r="CR140" s="744"/>
    </row>
    <row r="141" spans="28:96" ht="26.25" x14ac:dyDescent="0.25">
      <c r="AL141" s="727"/>
      <c r="AM141" s="727"/>
      <c r="AN141" s="727"/>
      <c r="AO141" s="746"/>
      <c r="AP141" s="746"/>
      <c r="AQ141" s="746"/>
      <c r="AR141" s="747"/>
      <c r="AS141" s="748"/>
      <c r="AT141" s="748"/>
      <c r="AU141" s="749"/>
      <c r="AW141" s="728">
        <f ca="1">AS192/((36*3.1415/59)*(AN192/3.281))</f>
        <v>2.9898518340858504E-2</v>
      </c>
      <c r="AX141" s="729"/>
      <c r="AY141" s="729"/>
      <c r="AZ141" s="729"/>
      <c r="BA141" s="729"/>
      <c r="BB141" s="729"/>
      <c r="BC141" s="729"/>
      <c r="BD141" s="729"/>
      <c r="BE141" s="729"/>
      <c r="BF141" s="730"/>
      <c r="BG141" s="57"/>
      <c r="BH141" s="57"/>
      <c r="BI141" s="57"/>
      <c r="BV141" s="774">
        <f>AJ130+AJ157</f>
        <v>36820</v>
      </c>
      <c r="BW141" s="774"/>
      <c r="BX141" s="774"/>
      <c r="BY141" s="774">
        <f ca="1">AM130+AM157</f>
        <v>36620</v>
      </c>
      <c r="BZ141" s="774"/>
      <c r="CA141" s="774"/>
      <c r="CB141" s="726">
        <f>AP130+AP157</f>
        <v>398.16020011100022</v>
      </c>
      <c r="CC141" s="726"/>
      <c r="CD141" s="726">
        <f>AR130+AR157</f>
        <v>639.66020011100022</v>
      </c>
      <c r="CE141" s="726"/>
      <c r="CI141" s="727" t="s">
        <v>128</v>
      </c>
      <c r="CJ141" s="727"/>
      <c r="CK141" s="727"/>
      <c r="CL141" s="727"/>
      <c r="CM141" s="727"/>
      <c r="CN141" s="727"/>
      <c r="CO141" s="727"/>
      <c r="CP141" s="727"/>
      <c r="CQ141" s="727"/>
      <c r="CR141" s="727"/>
    </row>
    <row r="142" spans="28:96" ht="26.25" x14ac:dyDescent="0.25">
      <c r="AL142" s="727"/>
      <c r="AM142" s="727"/>
      <c r="AN142" s="727"/>
      <c r="AO142" s="746"/>
      <c r="AP142" s="746"/>
      <c r="AQ142" s="746"/>
      <c r="AR142" s="747"/>
      <c r="AS142" s="748"/>
      <c r="AT142" s="748"/>
      <c r="AU142" s="749"/>
      <c r="AW142" s="731"/>
      <c r="AX142" s="732"/>
      <c r="AY142" s="732"/>
      <c r="AZ142" s="732"/>
      <c r="BA142" s="732"/>
      <c r="BB142" s="732"/>
      <c r="BC142" s="732"/>
      <c r="BD142" s="732"/>
      <c r="BE142" s="732"/>
      <c r="BF142" s="733"/>
      <c r="BG142" s="57"/>
      <c r="BH142" s="57"/>
      <c r="BI142" s="57"/>
      <c r="BV142" s="774"/>
      <c r="BW142" s="774"/>
      <c r="BX142" s="774"/>
      <c r="BY142" s="774"/>
      <c r="BZ142" s="774"/>
      <c r="CA142" s="774"/>
      <c r="CB142" s="726"/>
      <c r="CC142" s="726"/>
      <c r="CD142" s="726"/>
      <c r="CE142" s="726"/>
      <c r="CI142" s="727"/>
      <c r="CJ142" s="727"/>
      <c r="CK142" s="727"/>
      <c r="CL142" s="727"/>
      <c r="CM142" s="727"/>
      <c r="CN142" s="727"/>
      <c r="CO142" s="727"/>
      <c r="CP142" s="727"/>
      <c r="CQ142" s="727"/>
      <c r="CR142" s="727"/>
    </row>
    <row r="143" spans="28:96" ht="26.25" x14ac:dyDescent="0.25">
      <c r="AL143" s="727"/>
      <c r="AM143" s="727"/>
      <c r="AN143" s="727"/>
      <c r="AO143" s="746"/>
      <c r="AP143" s="746"/>
      <c r="AQ143" s="746"/>
      <c r="AR143" s="747"/>
      <c r="AS143" s="748"/>
      <c r="AT143" s="748"/>
      <c r="AU143" s="749"/>
      <c r="AW143" s="731"/>
      <c r="AX143" s="732"/>
      <c r="AY143" s="732"/>
      <c r="AZ143" s="732"/>
      <c r="BA143" s="732"/>
      <c r="BB143" s="732"/>
      <c r="BC143" s="732"/>
      <c r="BD143" s="732"/>
      <c r="BE143" s="732"/>
      <c r="BF143" s="733"/>
      <c r="BG143" s="57"/>
      <c r="BH143" s="57"/>
      <c r="BI143" s="57"/>
      <c r="BV143" s="774"/>
      <c r="BW143" s="774"/>
      <c r="BX143" s="774"/>
      <c r="BY143" s="774"/>
      <c r="BZ143" s="774"/>
      <c r="CA143" s="774"/>
      <c r="CB143" s="726"/>
      <c r="CC143" s="726"/>
      <c r="CD143" s="726"/>
      <c r="CE143" s="726"/>
      <c r="CI143" s="728">
        <f ca="1">CB141/((36*3.1415/59)*(BY141/3.281))</f>
        <v>1.8610506083625123E-2</v>
      </c>
      <c r="CJ143" s="729"/>
      <c r="CK143" s="729"/>
      <c r="CL143" s="729"/>
      <c r="CM143" s="729"/>
      <c r="CN143" s="729"/>
      <c r="CO143" s="729"/>
      <c r="CP143" s="729"/>
      <c r="CQ143" s="729"/>
      <c r="CR143" s="730"/>
    </row>
    <row r="144" spans="28:96" ht="26.25" x14ac:dyDescent="0.25">
      <c r="AL144" s="727"/>
      <c r="AM144" s="727"/>
      <c r="AN144" s="727"/>
      <c r="AO144" s="746"/>
      <c r="AP144" s="746"/>
      <c r="AQ144" s="746"/>
      <c r="AR144" s="747"/>
      <c r="AS144" s="748"/>
      <c r="AT144" s="748"/>
      <c r="AU144" s="749"/>
      <c r="AW144" s="731"/>
      <c r="AX144" s="732"/>
      <c r="AY144" s="732"/>
      <c r="AZ144" s="732"/>
      <c r="BA144" s="732"/>
      <c r="BB144" s="732"/>
      <c r="BC144" s="732"/>
      <c r="BD144" s="732"/>
      <c r="BE144" s="732"/>
      <c r="BF144" s="733"/>
      <c r="BG144" s="57"/>
      <c r="BH144" s="57"/>
      <c r="BI144" s="57"/>
      <c r="BV144" s="774"/>
      <c r="BW144" s="774"/>
      <c r="BX144" s="774"/>
      <c r="BY144" s="774"/>
      <c r="BZ144" s="774"/>
      <c r="CA144" s="774"/>
      <c r="CB144" s="726"/>
      <c r="CC144" s="726"/>
      <c r="CD144" s="726"/>
      <c r="CE144" s="726"/>
      <c r="CI144" s="731"/>
      <c r="CJ144" s="732"/>
      <c r="CK144" s="732"/>
      <c r="CL144" s="732"/>
      <c r="CM144" s="732"/>
      <c r="CN144" s="732"/>
      <c r="CO144" s="732"/>
      <c r="CP144" s="732"/>
      <c r="CQ144" s="732"/>
      <c r="CR144" s="733"/>
    </row>
    <row r="145" spans="35:96" ht="26.25" x14ac:dyDescent="0.25">
      <c r="AL145" s="727"/>
      <c r="AM145" s="727"/>
      <c r="AN145" s="727"/>
      <c r="AO145" s="746"/>
      <c r="AP145" s="746"/>
      <c r="AQ145" s="746"/>
      <c r="AR145" s="747"/>
      <c r="AS145" s="748"/>
      <c r="AT145" s="748"/>
      <c r="AU145" s="749"/>
      <c r="AW145" s="734"/>
      <c r="AX145" s="735"/>
      <c r="AY145" s="735"/>
      <c r="AZ145" s="735"/>
      <c r="BA145" s="735"/>
      <c r="BB145" s="735"/>
      <c r="BC145" s="735"/>
      <c r="BD145" s="735"/>
      <c r="BE145" s="735"/>
      <c r="BF145" s="736"/>
      <c r="BG145" s="57"/>
      <c r="BH145" s="57"/>
      <c r="BI145" s="57"/>
      <c r="CI145" s="734"/>
      <c r="CJ145" s="735"/>
      <c r="CK145" s="735"/>
      <c r="CL145" s="735"/>
      <c r="CM145" s="735"/>
      <c r="CN145" s="735"/>
      <c r="CO145" s="735"/>
      <c r="CP145" s="735"/>
      <c r="CQ145" s="735"/>
      <c r="CR145" s="736"/>
    </row>
    <row r="146" spans="35:96" ht="15" customHeight="1" x14ac:dyDescent="0.25">
      <c r="AO146" s="1254">
        <f ca="1">AO143+AO140+AO137</f>
        <v>195</v>
      </c>
      <c r="AP146" s="1254"/>
      <c r="AQ146" s="1254"/>
      <c r="AR146" s="747">
        <f ca="1">AR140+AR137</f>
        <v>26720</v>
      </c>
      <c r="AS146" s="748"/>
      <c r="AT146" s="748"/>
      <c r="AU146" s="749"/>
      <c r="CI146" s="739" t="s">
        <v>129</v>
      </c>
      <c r="CJ146" s="740"/>
      <c r="CK146" s="740"/>
      <c r="CL146" s="740"/>
      <c r="CM146" s="740"/>
      <c r="CN146" s="740"/>
      <c r="CO146" s="740"/>
      <c r="CP146" s="740"/>
      <c r="CQ146" s="740"/>
      <c r="CR146" s="741"/>
    </row>
    <row r="147" spans="35:96" x14ac:dyDescent="0.25">
      <c r="AO147" s="1254"/>
      <c r="AP147" s="1254"/>
      <c r="AQ147" s="1254"/>
      <c r="AR147" s="747"/>
      <c r="AS147" s="748"/>
      <c r="AT147" s="748"/>
      <c r="AU147" s="749"/>
      <c r="CI147" s="742"/>
      <c r="CJ147" s="743"/>
      <c r="CK147" s="743"/>
      <c r="CL147" s="743"/>
      <c r="CM147" s="743"/>
      <c r="CN147" s="743"/>
      <c r="CO147" s="743"/>
      <c r="CP147" s="743"/>
      <c r="CQ147" s="743"/>
      <c r="CR147" s="744"/>
    </row>
    <row r="148" spans="35:96" x14ac:dyDescent="0.25">
      <c r="AO148" s="1254"/>
      <c r="AP148" s="1254"/>
      <c r="AQ148" s="1254"/>
      <c r="AR148" s="747"/>
      <c r="AS148" s="748"/>
      <c r="AT148" s="748"/>
      <c r="AU148" s="749"/>
      <c r="BX148" s="1255"/>
      <c r="BY148" s="1255"/>
      <c r="BZ148" s="1255"/>
      <c r="CA148" s="746"/>
      <c r="CB148" s="746"/>
      <c r="CC148" s="746"/>
      <c r="CD148" s="747"/>
      <c r="CE148" s="748"/>
      <c r="CF148" s="748"/>
      <c r="CG148" s="749"/>
      <c r="CI148" s="739" t="s">
        <v>130</v>
      </c>
      <c r="CJ148" s="740"/>
      <c r="CK148" s="740"/>
      <c r="CL148" s="740"/>
      <c r="CM148" s="740"/>
      <c r="CN148" s="740"/>
      <c r="CO148" s="740"/>
      <c r="CP148" s="740"/>
      <c r="CQ148" s="740"/>
      <c r="CR148" s="741"/>
    </row>
    <row r="149" spans="35:96" x14ac:dyDescent="0.25">
      <c r="BX149" s="1255"/>
      <c r="BY149" s="1255"/>
      <c r="BZ149" s="1255"/>
      <c r="CA149" s="746"/>
      <c r="CB149" s="746"/>
      <c r="CC149" s="746"/>
      <c r="CD149" s="747"/>
      <c r="CE149" s="748"/>
      <c r="CF149" s="748"/>
      <c r="CG149" s="749"/>
      <c r="CI149" s="750"/>
      <c r="CJ149" s="751"/>
      <c r="CK149" s="751"/>
      <c r="CL149" s="751"/>
      <c r="CM149" s="751"/>
      <c r="CN149" s="751"/>
      <c r="CO149" s="751"/>
      <c r="CP149" s="751"/>
      <c r="CQ149" s="751"/>
      <c r="CR149" s="752"/>
    </row>
    <row r="150" spans="35:96" ht="15" customHeight="1" x14ac:dyDescent="0.25">
      <c r="AI150" s="1799" t="s">
        <v>166</v>
      </c>
      <c r="AJ150" s="1799"/>
      <c r="AK150" s="1799"/>
      <c r="AL150" s="1799"/>
      <c r="BX150" s="1255"/>
      <c r="BY150" s="1255"/>
      <c r="BZ150" s="1255"/>
      <c r="CA150" s="746"/>
      <c r="CB150" s="746"/>
      <c r="CC150" s="746"/>
      <c r="CD150" s="747"/>
      <c r="CE150" s="748"/>
      <c r="CF150" s="748"/>
      <c r="CG150" s="749"/>
      <c r="CI150" s="750"/>
      <c r="CJ150" s="751"/>
      <c r="CK150" s="751"/>
      <c r="CL150" s="751"/>
      <c r="CM150" s="751"/>
      <c r="CN150" s="751"/>
      <c r="CO150" s="751"/>
      <c r="CP150" s="751"/>
      <c r="CQ150" s="751"/>
      <c r="CR150" s="752"/>
    </row>
    <row r="151" spans="35:96" ht="15" customHeight="1" x14ac:dyDescent="0.25">
      <c r="AI151" s="1799"/>
      <c r="AJ151" s="1799"/>
      <c r="AK151" s="1799"/>
      <c r="AL151" s="1799"/>
      <c r="BX151" s="727"/>
      <c r="BY151" s="727"/>
      <c r="BZ151" s="727"/>
      <c r="CA151" s="746"/>
      <c r="CB151" s="746"/>
      <c r="CC151" s="746"/>
      <c r="CD151" s="747"/>
      <c r="CE151" s="748"/>
      <c r="CF151" s="748"/>
      <c r="CG151" s="749"/>
      <c r="CI151" s="742"/>
      <c r="CJ151" s="743"/>
      <c r="CK151" s="743"/>
      <c r="CL151" s="743"/>
      <c r="CM151" s="743"/>
      <c r="CN151" s="743"/>
      <c r="CO151" s="743"/>
      <c r="CP151" s="743"/>
      <c r="CQ151" s="743"/>
      <c r="CR151" s="744"/>
    </row>
    <row r="152" spans="35:96" ht="15" customHeight="1" x14ac:dyDescent="0.25">
      <c r="AI152" s="1799"/>
      <c r="AJ152" s="1799"/>
      <c r="AK152" s="1799"/>
      <c r="AL152" s="1799"/>
      <c r="BX152" s="727"/>
      <c r="BY152" s="727"/>
      <c r="BZ152" s="727"/>
      <c r="CA152" s="746"/>
      <c r="CB152" s="746"/>
      <c r="CC152" s="746"/>
      <c r="CD152" s="747"/>
      <c r="CE152" s="748"/>
      <c r="CF152" s="748"/>
      <c r="CG152" s="749"/>
      <c r="CI152" s="728">
        <f ca="1">CD141/((36*3.1415/59)*(BY141/3.281))</f>
        <v>2.9898518340858504E-2</v>
      </c>
      <c r="CJ152" s="729"/>
      <c r="CK152" s="729"/>
      <c r="CL152" s="729"/>
      <c r="CM152" s="729"/>
      <c r="CN152" s="729"/>
      <c r="CO152" s="729"/>
      <c r="CP152" s="729"/>
      <c r="CQ152" s="729"/>
      <c r="CR152" s="730"/>
    </row>
    <row r="153" spans="35:96" x14ac:dyDescent="0.25">
      <c r="BX153" s="727"/>
      <c r="BY153" s="727"/>
      <c r="BZ153" s="727"/>
      <c r="CA153" s="746"/>
      <c r="CB153" s="746"/>
      <c r="CC153" s="746"/>
      <c r="CD153" s="747"/>
      <c r="CE153" s="748"/>
      <c r="CF153" s="748"/>
      <c r="CG153" s="749"/>
      <c r="CI153" s="731"/>
      <c r="CJ153" s="732"/>
      <c r="CK153" s="732"/>
      <c r="CL153" s="732"/>
      <c r="CM153" s="732"/>
      <c r="CN153" s="732"/>
      <c r="CO153" s="732"/>
      <c r="CP153" s="732"/>
      <c r="CQ153" s="732"/>
      <c r="CR153" s="733"/>
    </row>
    <row r="154" spans="35:96" ht="15" customHeight="1" x14ac:dyDescent="0.25">
      <c r="AJ154" s="727" t="s">
        <v>122</v>
      </c>
      <c r="AK154" s="727"/>
      <c r="AL154" s="727"/>
      <c r="AM154" s="727" t="s">
        <v>123</v>
      </c>
      <c r="AN154" s="727"/>
      <c r="AO154" s="727"/>
      <c r="AP154" s="727" t="s">
        <v>124</v>
      </c>
      <c r="AQ154" s="727"/>
      <c r="AR154" s="727" t="s">
        <v>125</v>
      </c>
      <c r="AS154" s="727"/>
      <c r="AW154" s="739" t="s">
        <v>126</v>
      </c>
      <c r="AX154" s="740"/>
      <c r="AY154" s="740"/>
      <c r="AZ154" s="740"/>
      <c r="BA154" s="740"/>
      <c r="BB154" s="740"/>
      <c r="BC154" s="740"/>
      <c r="BD154" s="740"/>
      <c r="BE154" s="740"/>
      <c r="BF154" s="741"/>
      <c r="BX154" s="727"/>
      <c r="BY154" s="727"/>
      <c r="BZ154" s="727"/>
      <c r="CA154" s="746"/>
      <c r="CB154" s="746"/>
      <c r="CC154" s="746"/>
      <c r="CD154" s="747"/>
      <c r="CE154" s="748"/>
      <c r="CF154" s="748"/>
      <c r="CG154" s="749"/>
      <c r="CI154" s="731"/>
      <c r="CJ154" s="732"/>
      <c r="CK154" s="732"/>
      <c r="CL154" s="732"/>
      <c r="CM154" s="732"/>
      <c r="CN154" s="732"/>
      <c r="CO154" s="732"/>
      <c r="CP154" s="732"/>
      <c r="CQ154" s="732"/>
      <c r="CR154" s="733"/>
    </row>
    <row r="155" spans="35:96" ht="15" customHeight="1" x14ac:dyDescent="0.25">
      <c r="AJ155" s="727"/>
      <c r="AK155" s="727"/>
      <c r="AL155" s="727"/>
      <c r="AM155" s="727"/>
      <c r="AN155" s="727"/>
      <c r="AO155" s="727"/>
      <c r="AP155" s="727"/>
      <c r="AQ155" s="727"/>
      <c r="AR155" s="727"/>
      <c r="AS155" s="727"/>
      <c r="AW155" s="750"/>
      <c r="AX155" s="751"/>
      <c r="AY155" s="751"/>
      <c r="AZ155" s="751"/>
      <c r="BA155" s="751"/>
      <c r="BB155" s="751"/>
      <c r="BC155" s="751"/>
      <c r="BD155" s="751"/>
      <c r="BE155" s="751"/>
      <c r="BF155" s="752"/>
      <c r="BX155" s="727"/>
      <c r="BY155" s="727"/>
      <c r="BZ155" s="727"/>
      <c r="CA155" s="746"/>
      <c r="CB155" s="746"/>
      <c r="CC155" s="746"/>
      <c r="CD155" s="747"/>
      <c r="CE155" s="748"/>
      <c r="CF155" s="748"/>
      <c r="CG155" s="749"/>
      <c r="CI155" s="731"/>
      <c r="CJ155" s="732"/>
      <c r="CK155" s="732"/>
      <c r="CL155" s="732"/>
      <c r="CM155" s="732"/>
      <c r="CN155" s="732"/>
      <c r="CO155" s="732"/>
      <c r="CP155" s="732"/>
      <c r="CQ155" s="732"/>
      <c r="CR155" s="733"/>
    </row>
    <row r="156" spans="35:96" ht="15" customHeight="1" x14ac:dyDescent="0.25">
      <c r="AJ156" s="727"/>
      <c r="AK156" s="727"/>
      <c r="AL156" s="727"/>
      <c r="AM156" s="727"/>
      <c r="AN156" s="727"/>
      <c r="AO156" s="727"/>
      <c r="AP156" s="727"/>
      <c r="AQ156" s="727"/>
      <c r="AR156" s="727"/>
      <c r="AS156" s="727"/>
      <c r="AW156" s="742"/>
      <c r="AX156" s="743"/>
      <c r="AY156" s="743"/>
      <c r="AZ156" s="743"/>
      <c r="BA156" s="743"/>
      <c r="BB156" s="743"/>
      <c r="BC156" s="743"/>
      <c r="BD156" s="743"/>
      <c r="BE156" s="743"/>
      <c r="BF156" s="744"/>
      <c r="BX156" s="727"/>
      <c r="BY156" s="727"/>
      <c r="BZ156" s="727"/>
      <c r="CA156" s="746"/>
      <c r="CB156" s="746"/>
      <c r="CC156" s="746"/>
      <c r="CD156" s="747"/>
      <c r="CE156" s="748"/>
      <c r="CF156" s="748"/>
      <c r="CG156" s="749"/>
      <c r="CI156" s="734"/>
      <c r="CJ156" s="735"/>
      <c r="CK156" s="735"/>
      <c r="CL156" s="735"/>
      <c r="CM156" s="735"/>
      <c r="CN156" s="735"/>
      <c r="CO156" s="735"/>
      <c r="CP156" s="735"/>
      <c r="CQ156" s="735"/>
      <c r="CR156" s="736"/>
    </row>
    <row r="157" spans="35:96" ht="15" customHeight="1" x14ac:dyDescent="0.25">
      <c r="AJ157" s="774">
        <f>'05-093'!AL78</f>
        <v>10100</v>
      </c>
      <c r="AK157" s="774"/>
      <c r="AL157" s="774"/>
      <c r="AM157" s="774">
        <f ca="1">'05-093'!AO78</f>
        <v>9900</v>
      </c>
      <c r="AN157" s="774"/>
      <c r="AO157" s="774"/>
      <c r="AP157" s="726">
        <f>'05-093'!AR78</f>
        <v>150.98950000000005</v>
      </c>
      <c r="AQ157" s="726"/>
      <c r="AR157" s="726">
        <f>'05-093'!AT78</f>
        <v>209.48950000000005</v>
      </c>
      <c r="AS157" s="726"/>
      <c r="AW157" s="727" t="s">
        <v>128</v>
      </c>
      <c r="AX157" s="727"/>
      <c r="AY157" s="727"/>
      <c r="AZ157" s="727"/>
      <c r="BA157" s="727"/>
      <c r="BB157" s="727"/>
      <c r="BC157" s="727"/>
      <c r="BD157" s="727"/>
      <c r="BE157" s="727"/>
      <c r="BF157" s="727"/>
      <c r="CA157" s="1254"/>
      <c r="CB157" s="1254"/>
      <c r="CC157" s="1254"/>
      <c r="CD157" s="747"/>
      <c r="CE157" s="748"/>
      <c r="CF157" s="748"/>
      <c r="CG157" s="749"/>
    </row>
    <row r="158" spans="35:96" ht="15" customHeight="1" x14ac:dyDescent="0.25">
      <c r="AJ158" s="774"/>
      <c r="AK158" s="774"/>
      <c r="AL158" s="774"/>
      <c r="AM158" s="774"/>
      <c r="AN158" s="774"/>
      <c r="AO158" s="774"/>
      <c r="AP158" s="726"/>
      <c r="AQ158" s="726"/>
      <c r="AR158" s="726"/>
      <c r="AS158" s="726"/>
      <c r="AW158" s="727"/>
      <c r="AX158" s="727"/>
      <c r="AY158" s="727"/>
      <c r="AZ158" s="727"/>
      <c r="BA158" s="727"/>
      <c r="BB158" s="727"/>
      <c r="BC158" s="727"/>
      <c r="BD158" s="727"/>
      <c r="BE158" s="727"/>
      <c r="BF158" s="727"/>
      <c r="CA158" s="1254"/>
      <c r="CB158" s="1254"/>
      <c r="CC158" s="1254"/>
      <c r="CD158" s="747"/>
      <c r="CE158" s="748"/>
      <c r="CF158" s="748"/>
      <c r="CG158" s="749"/>
    </row>
    <row r="159" spans="35:96" ht="15" customHeight="1" x14ac:dyDescent="0.25">
      <c r="AJ159" s="774"/>
      <c r="AK159" s="774"/>
      <c r="AL159" s="774"/>
      <c r="AM159" s="774"/>
      <c r="AN159" s="774"/>
      <c r="AO159" s="774"/>
      <c r="AP159" s="726"/>
      <c r="AQ159" s="726"/>
      <c r="AR159" s="726"/>
      <c r="AS159" s="726"/>
      <c r="AW159" s="728">
        <f ca="1">'05-093'!AY80</f>
        <v>2.6105392636196267E-2</v>
      </c>
      <c r="AX159" s="729"/>
      <c r="AY159" s="729"/>
      <c r="AZ159" s="729"/>
      <c r="BA159" s="729"/>
      <c r="BB159" s="729"/>
      <c r="BC159" s="729"/>
      <c r="BD159" s="729"/>
      <c r="BE159" s="729"/>
      <c r="BF159" s="730"/>
      <c r="CA159" s="1254"/>
      <c r="CB159" s="1254"/>
      <c r="CC159" s="1254"/>
      <c r="CD159" s="747"/>
      <c r="CE159" s="748"/>
      <c r="CF159" s="748"/>
      <c r="CG159" s="749"/>
    </row>
    <row r="160" spans="35:96" ht="15" customHeight="1" x14ac:dyDescent="0.25">
      <c r="AJ160" s="774"/>
      <c r="AK160" s="774"/>
      <c r="AL160" s="774"/>
      <c r="AM160" s="774"/>
      <c r="AN160" s="774"/>
      <c r="AO160" s="774"/>
      <c r="AP160" s="726"/>
      <c r="AQ160" s="726"/>
      <c r="AR160" s="726"/>
      <c r="AS160" s="726"/>
      <c r="AW160" s="731"/>
      <c r="AX160" s="732"/>
      <c r="AY160" s="732"/>
      <c r="AZ160" s="732"/>
      <c r="BA160" s="732"/>
      <c r="BB160" s="732"/>
      <c r="BC160" s="732"/>
      <c r="BD160" s="732"/>
      <c r="BE160" s="732"/>
      <c r="BF160" s="733"/>
    </row>
    <row r="161" spans="38:58" x14ac:dyDescent="0.25">
      <c r="AW161" s="734"/>
      <c r="AX161" s="735"/>
      <c r="AY161" s="735"/>
      <c r="AZ161" s="735"/>
      <c r="BA161" s="735"/>
      <c r="BB161" s="735"/>
      <c r="BC161" s="735"/>
      <c r="BD161" s="735"/>
      <c r="BE161" s="735"/>
      <c r="BF161" s="736"/>
    </row>
    <row r="162" spans="38:58" x14ac:dyDescent="0.25">
      <c r="AW162" s="739" t="s">
        <v>129</v>
      </c>
      <c r="AX162" s="740"/>
      <c r="AY162" s="740"/>
      <c r="AZ162" s="740"/>
      <c r="BA162" s="740"/>
      <c r="BB162" s="740"/>
      <c r="BC162" s="740"/>
      <c r="BD162" s="740"/>
      <c r="BE162" s="740"/>
      <c r="BF162" s="741"/>
    </row>
    <row r="163" spans="38:58" ht="15" customHeight="1" x14ac:dyDescent="0.25">
      <c r="AW163" s="742"/>
      <c r="AX163" s="743"/>
      <c r="AY163" s="743"/>
      <c r="AZ163" s="743"/>
      <c r="BA163" s="743"/>
      <c r="BB163" s="743"/>
      <c r="BC163" s="743"/>
      <c r="BD163" s="743"/>
      <c r="BE163" s="743"/>
      <c r="BF163" s="744"/>
    </row>
    <row r="164" spans="38:58" ht="15" customHeight="1" x14ac:dyDescent="0.25">
      <c r="AL164" s="1255">
        <v>156</v>
      </c>
      <c r="AM164" s="1255"/>
      <c r="AN164" s="1255"/>
      <c r="AO164" s="746">
        <f ca="1">'05-093'!AF95</f>
        <v>19</v>
      </c>
      <c r="AP164" s="746"/>
      <c r="AQ164" s="746"/>
      <c r="AR164" s="747">
        <f ca="1">AO164*AL164</f>
        <v>2964</v>
      </c>
      <c r="AS164" s="748"/>
      <c r="AT164" s="748"/>
      <c r="AU164" s="749"/>
      <c r="AW164" s="739" t="s">
        <v>130</v>
      </c>
      <c r="AX164" s="740"/>
      <c r="AY164" s="740"/>
      <c r="AZ164" s="740"/>
      <c r="BA164" s="740"/>
      <c r="BB164" s="740"/>
      <c r="BC164" s="740"/>
      <c r="BD164" s="740"/>
      <c r="BE164" s="740"/>
      <c r="BF164" s="741"/>
    </row>
    <row r="165" spans="38:58" ht="15" customHeight="1" x14ac:dyDescent="0.25">
      <c r="AL165" s="1255"/>
      <c r="AM165" s="1255"/>
      <c r="AN165" s="1255"/>
      <c r="AO165" s="746"/>
      <c r="AP165" s="746"/>
      <c r="AQ165" s="746"/>
      <c r="AR165" s="747"/>
      <c r="AS165" s="748"/>
      <c r="AT165" s="748"/>
      <c r="AU165" s="749"/>
      <c r="AW165" s="750"/>
      <c r="AX165" s="751"/>
      <c r="AY165" s="751"/>
      <c r="AZ165" s="751"/>
      <c r="BA165" s="751"/>
      <c r="BB165" s="751"/>
      <c r="BC165" s="751"/>
      <c r="BD165" s="751"/>
      <c r="BE165" s="751"/>
      <c r="BF165" s="752"/>
    </row>
    <row r="166" spans="38:58" x14ac:dyDescent="0.25">
      <c r="AL166" s="1255"/>
      <c r="AM166" s="1255"/>
      <c r="AN166" s="1255"/>
      <c r="AO166" s="746"/>
      <c r="AP166" s="746"/>
      <c r="AQ166" s="746"/>
      <c r="AR166" s="747"/>
      <c r="AS166" s="748"/>
      <c r="AT166" s="748"/>
      <c r="AU166" s="749"/>
      <c r="AW166" s="750"/>
      <c r="AX166" s="751"/>
      <c r="AY166" s="751"/>
      <c r="AZ166" s="751"/>
      <c r="BA166" s="751"/>
      <c r="BB166" s="751"/>
      <c r="BC166" s="751"/>
      <c r="BD166" s="751"/>
      <c r="BE166" s="751"/>
      <c r="BF166" s="752"/>
    </row>
    <row r="167" spans="38:58" x14ac:dyDescent="0.25">
      <c r="AL167" s="727">
        <v>136</v>
      </c>
      <c r="AM167" s="727"/>
      <c r="AN167" s="727"/>
      <c r="AO167" s="746">
        <f ca="1">'05-093'!AF97</f>
        <v>51</v>
      </c>
      <c r="AP167" s="746"/>
      <c r="AQ167" s="746"/>
      <c r="AR167" s="747">
        <f ca="1">AO167*AL167</f>
        <v>6936</v>
      </c>
      <c r="AS167" s="748"/>
      <c r="AT167" s="748"/>
      <c r="AU167" s="749"/>
      <c r="AW167" s="742"/>
      <c r="AX167" s="743"/>
      <c r="AY167" s="743"/>
      <c r="AZ167" s="743"/>
      <c r="BA167" s="743"/>
      <c r="BB167" s="743"/>
      <c r="BC167" s="743"/>
      <c r="BD167" s="743"/>
      <c r="BE167" s="743"/>
      <c r="BF167" s="744"/>
    </row>
    <row r="168" spans="38:58" x14ac:dyDescent="0.25">
      <c r="AL168" s="727"/>
      <c r="AM168" s="727"/>
      <c r="AN168" s="727"/>
      <c r="AO168" s="746"/>
      <c r="AP168" s="746"/>
      <c r="AQ168" s="746"/>
      <c r="AR168" s="747"/>
      <c r="AS168" s="748"/>
      <c r="AT168" s="748"/>
      <c r="AU168" s="749"/>
      <c r="AW168" s="728">
        <f ca="1">'05-093'!AY89</f>
        <v>3.6219774558233768E-2</v>
      </c>
      <c r="AX168" s="729"/>
      <c r="AY168" s="729"/>
      <c r="AZ168" s="729"/>
      <c r="BA168" s="729"/>
      <c r="BB168" s="729"/>
      <c r="BC168" s="729"/>
      <c r="BD168" s="729"/>
      <c r="BE168" s="729"/>
      <c r="BF168" s="730"/>
    </row>
    <row r="169" spans="38:58" x14ac:dyDescent="0.25">
      <c r="AL169" s="727"/>
      <c r="AM169" s="727"/>
      <c r="AN169" s="727"/>
      <c r="AO169" s="746"/>
      <c r="AP169" s="746"/>
      <c r="AQ169" s="746"/>
      <c r="AR169" s="747"/>
      <c r="AS169" s="748"/>
      <c r="AT169" s="748"/>
      <c r="AU169" s="749"/>
      <c r="AW169" s="731"/>
      <c r="AX169" s="732"/>
      <c r="AY169" s="732"/>
      <c r="AZ169" s="732"/>
      <c r="BA169" s="732"/>
      <c r="BB169" s="732"/>
      <c r="BC169" s="732"/>
      <c r="BD169" s="732"/>
      <c r="BE169" s="732"/>
      <c r="BF169" s="733"/>
    </row>
    <row r="170" spans="38:58" x14ac:dyDescent="0.25">
      <c r="AL170" s="727"/>
      <c r="AM170" s="727"/>
      <c r="AN170" s="727"/>
      <c r="AO170" s="746"/>
      <c r="AP170" s="746"/>
      <c r="AQ170" s="746"/>
      <c r="AR170" s="747"/>
      <c r="AS170" s="748"/>
      <c r="AT170" s="748"/>
      <c r="AU170" s="749"/>
      <c r="AW170" s="731"/>
      <c r="AX170" s="732"/>
      <c r="AY170" s="732"/>
      <c r="AZ170" s="732"/>
      <c r="BA170" s="732"/>
      <c r="BB170" s="732"/>
      <c r="BC170" s="732"/>
      <c r="BD170" s="732"/>
      <c r="BE170" s="732"/>
      <c r="BF170" s="733"/>
    </row>
    <row r="171" spans="38:58" x14ac:dyDescent="0.25">
      <c r="AL171" s="727"/>
      <c r="AM171" s="727"/>
      <c r="AN171" s="727"/>
      <c r="AO171" s="746"/>
      <c r="AP171" s="746"/>
      <c r="AQ171" s="746"/>
      <c r="AR171" s="747"/>
      <c r="AS171" s="748"/>
      <c r="AT171" s="748"/>
      <c r="AU171" s="749"/>
      <c r="AW171" s="731"/>
      <c r="AX171" s="732"/>
      <c r="AY171" s="732"/>
      <c r="AZ171" s="732"/>
      <c r="BA171" s="732"/>
      <c r="BB171" s="732"/>
      <c r="BC171" s="732"/>
      <c r="BD171" s="732"/>
      <c r="BE171" s="732"/>
      <c r="BF171" s="733"/>
    </row>
    <row r="172" spans="38:58" x14ac:dyDescent="0.25">
      <c r="AL172" s="727"/>
      <c r="AM172" s="727"/>
      <c r="AN172" s="727"/>
      <c r="AO172" s="746"/>
      <c r="AP172" s="746"/>
      <c r="AQ172" s="746"/>
      <c r="AR172" s="747"/>
      <c r="AS172" s="748"/>
      <c r="AT172" s="748"/>
      <c r="AU172" s="749"/>
      <c r="AW172" s="734"/>
      <c r="AX172" s="735"/>
      <c r="AY172" s="735"/>
      <c r="AZ172" s="735"/>
      <c r="BA172" s="735"/>
      <c r="BB172" s="735"/>
      <c r="BC172" s="735"/>
      <c r="BD172" s="735"/>
      <c r="BE172" s="735"/>
      <c r="BF172" s="736"/>
    </row>
    <row r="173" spans="38:58" x14ac:dyDescent="0.25">
      <c r="AO173" s="1254">
        <f ca="1">AO170+AO167+AO164</f>
        <v>70</v>
      </c>
      <c r="AP173" s="1254"/>
      <c r="AQ173" s="1254"/>
      <c r="AR173" s="747">
        <f ca="1">AR167+AR164</f>
        <v>9900</v>
      </c>
      <c r="AS173" s="748"/>
      <c r="AT173" s="748"/>
      <c r="AU173" s="749"/>
    </row>
    <row r="174" spans="38:58" x14ac:dyDescent="0.25">
      <c r="AO174" s="1254"/>
      <c r="AP174" s="1254"/>
      <c r="AQ174" s="1254"/>
      <c r="AR174" s="747"/>
      <c r="AS174" s="748"/>
      <c r="AT174" s="748"/>
      <c r="AU174" s="749"/>
    </row>
    <row r="175" spans="38:58" x14ac:dyDescent="0.25">
      <c r="AO175" s="1254"/>
      <c r="AP175" s="1254"/>
      <c r="AQ175" s="1254"/>
      <c r="AR175" s="747"/>
      <c r="AS175" s="748"/>
      <c r="AT175" s="748"/>
      <c r="AU175" s="749"/>
    </row>
    <row r="189" spans="37:47" x14ac:dyDescent="0.25">
      <c r="AK189" s="727" t="s">
        <v>122</v>
      </c>
      <c r="AL189" s="727"/>
      <c r="AM189" s="727"/>
      <c r="AN189" s="727" t="s">
        <v>123</v>
      </c>
      <c r="AO189" s="727"/>
      <c r="AP189" s="727"/>
      <c r="AQ189" s="727" t="s">
        <v>124</v>
      </c>
      <c r="AR189" s="727"/>
      <c r="AS189" s="727" t="s">
        <v>125</v>
      </c>
      <c r="AT189" s="727"/>
    </row>
    <row r="190" spans="37:47" x14ac:dyDescent="0.25">
      <c r="AK190" s="727"/>
      <c r="AL190" s="727"/>
      <c r="AM190" s="727"/>
      <c r="AN190" s="727"/>
      <c r="AO190" s="727"/>
      <c r="AP190" s="727"/>
      <c r="AQ190" s="727"/>
      <c r="AR190" s="727"/>
      <c r="AS190" s="727"/>
      <c r="AT190" s="727"/>
    </row>
    <row r="191" spans="37:47" x14ac:dyDescent="0.25">
      <c r="AK191" s="727"/>
      <c r="AL191" s="727"/>
      <c r="AM191" s="727"/>
      <c r="AN191" s="727"/>
      <c r="AO191" s="727"/>
      <c r="AP191" s="727"/>
      <c r="AQ191" s="727"/>
      <c r="AR191" s="727"/>
      <c r="AS191" s="727"/>
      <c r="AT191" s="727"/>
    </row>
    <row r="192" spans="37:47" ht="15" customHeight="1" x14ac:dyDescent="0.25">
      <c r="AK192" s="774">
        <f>AJ157+AJ130</f>
        <v>36820</v>
      </c>
      <c r="AL192" s="774"/>
      <c r="AM192" s="774"/>
      <c r="AN192" s="774">
        <f ca="1">AM157+AM130</f>
        <v>36620</v>
      </c>
      <c r="AO192" s="774"/>
      <c r="AP192" s="774"/>
      <c r="AQ192" s="726">
        <f>AP157+AP130</f>
        <v>398.16020011100022</v>
      </c>
      <c r="AR192" s="726"/>
      <c r="AS192" s="1777">
        <f>AR157+AR130</f>
        <v>639.66020011100022</v>
      </c>
      <c r="AT192" s="1778"/>
      <c r="AU192" s="1778"/>
    </row>
    <row r="193" spans="37:47" ht="15" customHeight="1" x14ac:dyDescent="0.25">
      <c r="AK193" s="774"/>
      <c r="AL193" s="774"/>
      <c r="AM193" s="774"/>
      <c r="AN193" s="774"/>
      <c r="AO193" s="774"/>
      <c r="AP193" s="774"/>
      <c r="AQ193" s="726"/>
      <c r="AR193" s="726"/>
      <c r="AS193" s="1777"/>
      <c r="AT193" s="1778"/>
      <c r="AU193" s="1778"/>
    </row>
    <row r="194" spans="37:47" ht="15" customHeight="1" x14ac:dyDescent="0.25">
      <c r="AK194" s="774"/>
      <c r="AL194" s="774"/>
      <c r="AM194" s="774"/>
      <c r="AN194" s="774"/>
      <c r="AO194" s="774"/>
      <c r="AP194" s="774"/>
      <c r="AQ194" s="726"/>
      <c r="AR194" s="726"/>
      <c r="AS194" s="1777"/>
      <c r="AT194" s="1778"/>
      <c r="AU194" s="1778"/>
    </row>
    <row r="195" spans="37:47" ht="15" customHeight="1" x14ac:dyDescent="0.25">
      <c r="AK195" s="774"/>
      <c r="AL195" s="774"/>
      <c r="AM195" s="774"/>
      <c r="AN195" s="774"/>
      <c r="AO195" s="774"/>
      <c r="AP195" s="774"/>
      <c r="AQ195" s="726"/>
      <c r="AR195" s="726"/>
      <c r="AS195" s="1777"/>
      <c r="AT195" s="1778"/>
      <c r="AU195" s="1778"/>
    </row>
  </sheetData>
  <mergeCells count="1199">
    <mergeCell ref="CA157:CC159"/>
    <mergeCell ref="CD157:CG159"/>
    <mergeCell ref="BV133:BY134"/>
    <mergeCell ref="CD138:CE140"/>
    <mergeCell ref="CI138:CR140"/>
    <mergeCell ref="BV141:BX144"/>
    <mergeCell ref="BY141:CA144"/>
    <mergeCell ref="CB141:CC144"/>
    <mergeCell ref="CD141:CE144"/>
    <mergeCell ref="CI141:CR142"/>
    <mergeCell ref="CI143:CR145"/>
    <mergeCell ref="CI146:CR147"/>
    <mergeCell ref="BX148:BZ150"/>
    <mergeCell ref="CA148:CC150"/>
    <mergeCell ref="CD148:CG150"/>
    <mergeCell ref="CI148:CR151"/>
    <mergeCell ref="BX151:BZ153"/>
    <mergeCell ref="CA151:CC153"/>
    <mergeCell ref="CD151:CG153"/>
    <mergeCell ref="CI152:CR156"/>
    <mergeCell ref="BX154:BZ156"/>
    <mergeCell ref="CA154:CC156"/>
    <mergeCell ref="CD154:CG156"/>
    <mergeCell ref="BV138:BX140"/>
    <mergeCell ref="BY138:CA140"/>
    <mergeCell ref="CB138:CC140"/>
    <mergeCell ref="AO173:AQ175"/>
    <mergeCell ref="AR173:AU175"/>
    <mergeCell ref="AI150:AL152"/>
    <mergeCell ref="AJ154:AL156"/>
    <mergeCell ref="AM154:AO156"/>
    <mergeCell ref="AP154:AQ156"/>
    <mergeCell ref="AR154:AS156"/>
    <mergeCell ref="AW154:BF156"/>
    <mergeCell ref="AJ157:AL160"/>
    <mergeCell ref="AM157:AO160"/>
    <mergeCell ref="AP157:AQ160"/>
    <mergeCell ref="AR157:AS160"/>
    <mergeCell ref="AW157:BF158"/>
    <mergeCell ref="AW159:BF161"/>
    <mergeCell ref="AW162:BF163"/>
    <mergeCell ref="AL164:AN166"/>
    <mergeCell ref="AO164:AQ166"/>
    <mergeCell ref="AR164:AU166"/>
    <mergeCell ref="AW164:BF167"/>
    <mergeCell ref="AL167:AN169"/>
    <mergeCell ref="AO167:AQ169"/>
    <mergeCell ref="AR167:AU169"/>
    <mergeCell ref="AW168:BF172"/>
    <mergeCell ref="AL170:AN172"/>
    <mergeCell ref="AO170:AQ172"/>
    <mergeCell ref="AR170:AU172"/>
    <mergeCell ref="AO146:AQ148"/>
    <mergeCell ref="AR146:AU148"/>
    <mergeCell ref="AB127:AF133"/>
    <mergeCell ref="AJ127:AL129"/>
    <mergeCell ref="AM127:AO129"/>
    <mergeCell ref="AP127:AQ129"/>
    <mergeCell ref="AR127:AS129"/>
    <mergeCell ref="AW127:BF129"/>
    <mergeCell ref="AJ130:AL133"/>
    <mergeCell ref="AM130:AO133"/>
    <mergeCell ref="AP130:AQ133"/>
    <mergeCell ref="AR130:AS133"/>
    <mergeCell ref="AW130:BF131"/>
    <mergeCell ref="AW132:BF134"/>
    <mergeCell ref="AW135:BF136"/>
    <mergeCell ref="AL137:AN139"/>
    <mergeCell ref="AO137:AQ139"/>
    <mergeCell ref="AR137:AU139"/>
    <mergeCell ref="AW137:BF140"/>
    <mergeCell ref="AL140:AN142"/>
    <mergeCell ref="AO140:AQ142"/>
    <mergeCell ref="AR140:AU142"/>
    <mergeCell ref="AW141:BF145"/>
    <mergeCell ref="AL143:AN145"/>
    <mergeCell ref="AO143:AQ145"/>
    <mergeCell ref="AR143:AU145"/>
    <mergeCell ref="BE96:BH96"/>
    <mergeCell ref="BI96:BI97"/>
    <mergeCell ref="BJ96:BM96"/>
    <mergeCell ref="Y105:AJ109"/>
    <mergeCell ref="AK106:AT109"/>
    <mergeCell ref="AV106:BG109"/>
    <mergeCell ref="BH106:BL115"/>
    <mergeCell ref="BM106:BP109"/>
    <mergeCell ref="AP96:AS96"/>
    <mergeCell ref="BQ106:BS109"/>
    <mergeCell ref="Y110:AJ115"/>
    <mergeCell ref="AK110:AU115"/>
    <mergeCell ref="AV110:BG115"/>
    <mergeCell ref="BM110:BS113"/>
    <mergeCell ref="BM114:BS115"/>
    <mergeCell ref="H109:K111"/>
    <mergeCell ref="H106:K108"/>
    <mergeCell ref="A96:A97"/>
    <mergeCell ref="B96:E96"/>
    <mergeCell ref="F96:F97"/>
    <mergeCell ref="G96:J96"/>
    <mergeCell ref="K96:K97"/>
    <mergeCell ref="AO96:AO97"/>
    <mergeCell ref="L96:O96"/>
    <mergeCell ref="P96:P97"/>
    <mergeCell ref="Q96:T96"/>
    <mergeCell ref="U96:U97"/>
    <mergeCell ref="V96:Y96"/>
    <mergeCell ref="Z96:Z97"/>
    <mergeCell ref="AT96:AT97"/>
    <mergeCell ref="AU96:AX96"/>
    <mergeCell ref="AY96:AY97"/>
    <mergeCell ref="AZ96:BC96"/>
    <mergeCell ref="BD96:BD97"/>
    <mergeCell ref="AA96:AD96"/>
    <mergeCell ref="AE96:AE97"/>
    <mergeCell ref="AF96:AI96"/>
    <mergeCell ref="AJ96:AJ97"/>
    <mergeCell ref="AK96:AN96"/>
    <mergeCell ref="BA92:BC93"/>
    <mergeCell ref="BD92:BE93"/>
    <mergeCell ref="BF92:BH93"/>
    <mergeCell ref="BI92:BJ93"/>
    <mergeCell ref="BK92:BM93"/>
    <mergeCell ref="F94:J95"/>
    <mergeCell ref="AJ94:AN95"/>
    <mergeCell ref="AT94:AX95"/>
    <mergeCell ref="AO94:AP95"/>
    <mergeCell ref="AQ94:AS95"/>
    <mergeCell ref="AQ92:AS93"/>
    <mergeCell ref="AT92:AU93"/>
    <mergeCell ref="AV92:AX93"/>
    <mergeCell ref="AY92:AZ93"/>
    <mergeCell ref="AE94:AF95"/>
    <mergeCell ref="AG94:AI95"/>
    <mergeCell ref="BD94:BE95"/>
    <mergeCell ref="BF94:BH95"/>
    <mergeCell ref="K94:L95"/>
    <mergeCell ref="M94:O95"/>
    <mergeCell ref="BI94:BJ95"/>
    <mergeCell ref="BK94:BM95"/>
    <mergeCell ref="U94:V95"/>
    <mergeCell ref="W94:Y95"/>
    <mergeCell ref="Z94:AA95"/>
    <mergeCell ref="AB94:AD95"/>
    <mergeCell ref="P94:Q95"/>
    <mergeCell ref="R94:T95"/>
    <mergeCell ref="A94:B95"/>
    <mergeCell ref="C94:E95"/>
    <mergeCell ref="AY94:AZ95"/>
    <mergeCell ref="BA94:BC95"/>
    <mergeCell ref="AP90:AS90"/>
    <mergeCell ref="AT90:AT91"/>
    <mergeCell ref="AU90:AX90"/>
    <mergeCell ref="AY90:AY91"/>
    <mergeCell ref="AZ90:BC90"/>
    <mergeCell ref="BD90:BD91"/>
    <mergeCell ref="BE90:BH90"/>
    <mergeCell ref="BI90:BI91"/>
    <mergeCell ref="BJ90:BM90"/>
    <mergeCell ref="BN90:BN91"/>
    <mergeCell ref="BO90:BR90"/>
    <mergeCell ref="A92:B93"/>
    <mergeCell ref="C92:E93"/>
    <mergeCell ref="F92:G93"/>
    <mergeCell ref="H92:J93"/>
    <mergeCell ref="K92:L93"/>
    <mergeCell ref="M92:O93"/>
    <mergeCell ref="P92:Q93"/>
    <mergeCell ref="R92:T93"/>
    <mergeCell ref="U92:V93"/>
    <mergeCell ref="W92:Y93"/>
    <mergeCell ref="Z92:AA93"/>
    <mergeCell ref="AB92:AD93"/>
    <mergeCell ref="AE92:AF93"/>
    <mergeCell ref="AG92:AI93"/>
    <mergeCell ref="AJ92:AK93"/>
    <mergeCell ref="AL92:AN93"/>
    <mergeCell ref="AO92:AP93"/>
    <mergeCell ref="A90:A91"/>
    <mergeCell ref="B90:E90"/>
    <mergeCell ref="F90:F91"/>
    <mergeCell ref="G90:J90"/>
    <mergeCell ref="K90:K91"/>
    <mergeCell ref="L90:O90"/>
    <mergeCell ref="P90:P91"/>
    <mergeCell ref="Q90:T90"/>
    <mergeCell ref="U90:U91"/>
    <mergeCell ref="V90:Y90"/>
    <mergeCell ref="Z90:Z91"/>
    <mergeCell ref="AA90:AD90"/>
    <mergeCell ref="AE90:AE91"/>
    <mergeCell ref="AF90:AI90"/>
    <mergeCell ref="AJ90:AJ91"/>
    <mergeCell ref="AK90:AN90"/>
    <mergeCell ref="AO90:AO91"/>
    <mergeCell ref="BA86:BC87"/>
    <mergeCell ref="BD86:BE87"/>
    <mergeCell ref="BF86:BH87"/>
    <mergeCell ref="BI86:BJ87"/>
    <mergeCell ref="BK86:BM87"/>
    <mergeCell ref="BN86:BO87"/>
    <mergeCell ref="BP86:BR87"/>
    <mergeCell ref="F88:J89"/>
    <mergeCell ref="P88:T89"/>
    <mergeCell ref="Z88:AD89"/>
    <mergeCell ref="AE88:AF89"/>
    <mergeCell ref="AG88:AI89"/>
    <mergeCell ref="K88:L89"/>
    <mergeCell ref="M88:O89"/>
    <mergeCell ref="U88:V89"/>
    <mergeCell ref="W88:Y89"/>
    <mergeCell ref="BN88:BO89"/>
    <mergeCell ref="BP88:BR89"/>
    <mergeCell ref="BI88:BJ89"/>
    <mergeCell ref="BK88:BM89"/>
    <mergeCell ref="AT88:AU89"/>
    <mergeCell ref="AV88:AX89"/>
    <mergeCell ref="AY88:AZ89"/>
    <mergeCell ref="BA88:BC89"/>
    <mergeCell ref="AJ88:AK89"/>
    <mergeCell ref="AL88:AN89"/>
    <mergeCell ref="AV86:AX87"/>
    <mergeCell ref="AY86:AZ87"/>
    <mergeCell ref="AO88:AP89"/>
    <mergeCell ref="AQ88:AS89"/>
    <mergeCell ref="BD88:BE89"/>
    <mergeCell ref="BF88:BH89"/>
    <mergeCell ref="A88:B89"/>
    <mergeCell ref="C88:E89"/>
    <mergeCell ref="AP84:AS84"/>
    <mergeCell ref="AT84:AT85"/>
    <mergeCell ref="AU84:AX84"/>
    <mergeCell ref="AY84:AY85"/>
    <mergeCell ref="AZ84:BC84"/>
    <mergeCell ref="BD84:BD85"/>
    <mergeCell ref="BE84:BH84"/>
    <mergeCell ref="BI84:BI85"/>
    <mergeCell ref="BJ84:BM84"/>
    <mergeCell ref="BN84:BN85"/>
    <mergeCell ref="BO84:BR84"/>
    <mergeCell ref="A86:B87"/>
    <mergeCell ref="C86:E87"/>
    <mergeCell ref="F86:G87"/>
    <mergeCell ref="H86:J87"/>
    <mergeCell ref="K86:L87"/>
    <mergeCell ref="M86:O87"/>
    <mergeCell ref="P86:Q87"/>
    <mergeCell ref="R86:T87"/>
    <mergeCell ref="U86:V87"/>
    <mergeCell ref="W86:Y87"/>
    <mergeCell ref="Z86:AA87"/>
    <mergeCell ref="AB86:AD87"/>
    <mergeCell ref="AE86:AF87"/>
    <mergeCell ref="AG86:AI87"/>
    <mergeCell ref="AJ86:AK87"/>
    <mergeCell ref="AL86:AN87"/>
    <mergeCell ref="AO86:AP87"/>
    <mergeCell ref="AQ86:AS87"/>
    <mergeCell ref="AT86:AU87"/>
    <mergeCell ref="A84:A85"/>
    <mergeCell ref="B84:E84"/>
    <mergeCell ref="F84:F85"/>
    <mergeCell ref="G84:J84"/>
    <mergeCell ref="K84:K85"/>
    <mergeCell ref="L84:O84"/>
    <mergeCell ref="P84:P85"/>
    <mergeCell ref="Q84:T84"/>
    <mergeCell ref="U84:U85"/>
    <mergeCell ref="V84:Y84"/>
    <mergeCell ref="Z84:Z85"/>
    <mergeCell ref="AA84:AD84"/>
    <mergeCell ref="AE84:AE85"/>
    <mergeCell ref="AF84:AI84"/>
    <mergeCell ref="AJ84:AJ85"/>
    <mergeCell ref="AK84:AN84"/>
    <mergeCell ref="AO84:AO85"/>
    <mergeCell ref="AQ80:AS81"/>
    <mergeCell ref="AT80:AU81"/>
    <mergeCell ref="BA80:BC81"/>
    <mergeCell ref="BD80:BE81"/>
    <mergeCell ref="BF80:BH81"/>
    <mergeCell ref="BI80:BJ81"/>
    <mergeCell ref="BK80:BM81"/>
    <mergeCell ref="BN80:BO81"/>
    <mergeCell ref="BP80:BR81"/>
    <mergeCell ref="F82:J83"/>
    <mergeCell ref="P82:T83"/>
    <mergeCell ref="Z82:AD83"/>
    <mergeCell ref="AJ82:AN83"/>
    <mergeCell ref="AT82:AX83"/>
    <mergeCell ref="BD82:BH83"/>
    <mergeCell ref="BN82:BR83"/>
    <mergeCell ref="AV80:AX81"/>
    <mergeCell ref="AY80:AZ81"/>
    <mergeCell ref="U82:V83"/>
    <mergeCell ref="W82:Y83"/>
    <mergeCell ref="AY82:AZ83"/>
    <mergeCell ref="BA82:BC83"/>
    <mergeCell ref="K82:L83"/>
    <mergeCell ref="M82:O83"/>
    <mergeCell ref="AO82:AP83"/>
    <mergeCell ref="AQ82:AS83"/>
    <mergeCell ref="BI82:BJ83"/>
    <mergeCell ref="BK82:BM83"/>
    <mergeCell ref="AE82:AF83"/>
    <mergeCell ref="AG82:AI83"/>
    <mergeCell ref="AK78:AN78"/>
    <mergeCell ref="AO78:AO79"/>
    <mergeCell ref="A82:B83"/>
    <mergeCell ref="C82:E83"/>
    <mergeCell ref="AP78:AS78"/>
    <mergeCell ref="AT78:AT79"/>
    <mergeCell ref="AU78:AX78"/>
    <mergeCell ref="AY78:AY79"/>
    <mergeCell ref="AZ78:BC78"/>
    <mergeCell ref="BD78:BD79"/>
    <mergeCell ref="BE78:BH78"/>
    <mergeCell ref="BI78:BI79"/>
    <mergeCell ref="BJ78:BM78"/>
    <mergeCell ref="BN78:BN79"/>
    <mergeCell ref="BO78:BR78"/>
    <mergeCell ref="A80:B81"/>
    <mergeCell ref="C80:E81"/>
    <mergeCell ref="F80:G81"/>
    <mergeCell ref="H80:J81"/>
    <mergeCell ref="K80:L81"/>
    <mergeCell ref="M80:O81"/>
    <mergeCell ref="P80:Q81"/>
    <mergeCell ref="R80:T81"/>
    <mergeCell ref="U80:V81"/>
    <mergeCell ref="W80:Y81"/>
    <mergeCell ref="Z80:AA81"/>
    <mergeCell ref="AB80:AD81"/>
    <mergeCell ref="AE80:AF81"/>
    <mergeCell ref="AG80:AI81"/>
    <mergeCell ref="AJ80:AK81"/>
    <mergeCell ref="AL80:AN81"/>
    <mergeCell ref="AO80:AP81"/>
    <mergeCell ref="A76:B77"/>
    <mergeCell ref="C76:E77"/>
    <mergeCell ref="A78:A79"/>
    <mergeCell ref="B78:E78"/>
    <mergeCell ref="F78:F79"/>
    <mergeCell ref="G78:J78"/>
    <mergeCell ref="K78:K79"/>
    <mergeCell ref="L78:O78"/>
    <mergeCell ref="P78:P79"/>
    <mergeCell ref="Q78:T78"/>
    <mergeCell ref="U78:U79"/>
    <mergeCell ref="V78:Y78"/>
    <mergeCell ref="Z78:Z79"/>
    <mergeCell ref="AA78:AD78"/>
    <mergeCell ref="AE78:AE79"/>
    <mergeCell ref="AF78:AI78"/>
    <mergeCell ref="AJ78:AJ79"/>
    <mergeCell ref="BA74:BC75"/>
    <mergeCell ref="BD74:BE75"/>
    <mergeCell ref="BF74:BH75"/>
    <mergeCell ref="BI74:BJ75"/>
    <mergeCell ref="BK74:BM75"/>
    <mergeCell ref="BN74:BO75"/>
    <mergeCell ref="BP74:BR75"/>
    <mergeCell ref="F76:J77"/>
    <mergeCell ref="P76:T77"/>
    <mergeCell ref="Z76:AD77"/>
    <mergeCell ref="AJ76:AN77"/>
    <mergeCell ref="AT76:AX77"/>
    <mergeCell ref="BD76:BH77"/>
    <mergeCell ref="BN76:BR77"/>
    <mergeCell ref="K76:L77"/>
    <mergeCell ref="M76:O77"/>
    <mergeCell ref="AE76:AF77"/>
    <mergeCell ref="AG76:AI77"/>
    <mergeCell ref="AY76:AZ77"/>
    <mergeCell ref="BA76:BC77"/>
    <mergeCell ref="AO76:AP77"/>
    <mergeCell ref="AQ76:AS77"/>
    <mergeCell ref="BI76:BJ77"/>
    <mergeCell ref="BK76:BM77"/>
    <mergeCell ref="U76:V77"/>
    <mergeCell ref="W76:Y77"/>
    <mergeCell ref="AP72:AS72"/>
    <mergeCell ref="AT72:AT73"/>
    <mergeCell ref="AU72:AX72"/>
    <mergeCell ref="AY72:AY73"/>
    <mergeCell ref="AZ72:BC72"/>
    <mergeCell ref="BD72:BD73"/>
    <mergeCell ref="BE72:BH72"/>
    <mergeCell ref="BI72:BI73"/>
    <mergeCell ref="BJ72:BM72"/>
    <mergeCell ref="BN72:BN73"/>
    <mergeCell ref="BO72:BR72"/>
    <mergeCell ref="A74:B75"/>
    <mergeCell ref="C74:E75"/>
    <mergeCell ref="F74:G75"/>
    <mergeCell ref="H74:J75"/>
    <mergeCell ref="K74:L75"/>
    <mergeCell ref="M74:O75"/>
    <mergeCell ref="P74:Q75"/>
    <mergeCell ref="R74:T75"/>
    <mergeCell ref="U74:V75"/>
    <mergeCell ref="W74:Y75"/>
    <mergeCell ref="Z74:AA75"/>
    <mergeCell ref="AB74:AD75"/>
    <mergeCell ref="AE74:AF75"/>
    <mergeCell ref="AG74:AI75"/>
    <mergeCell ref="AJ74:AK75"/>
    <mergeCell ref="AL74:AN75"/>
    <mergeCell ref="AO74:AP75"/>
    <mergeCell ref="AQ74:AS75"/>
    <mergeCell ref="AT74:AU75"/>
    <mergeCell ref="AV74:AX75"/>
    <mergeCell ref="AY74:AZ75"/>
    <mergeCell ref="A72:A73"/>
    <mergeCell ref="B72:E72"/>
    <mergeCell ref="F72:F73"/>
    <mergeCell ref="G72:J72"/>
    <mergeCell ref="K72:K73"/>
    <mergeCell ref="L72:O72"/>
    <mergeCell ref="P72:P73"/>
    <mergeCell ref="Q72:T72"/>
    <mergeCell ref="U72:U73"/>
    <mergeCell ref="V72:Y72"/>
    <mergeCell ref="Z72:Z73"/>
    <mergeCell ref="AA72:AD72"/>
    <mergeCell ref="AE72:AE73"/>
    <mergeCell ref="AF72:AI72"/>
    <mergeCell ref="AJ72:AJ73"/>
    <mergeCell ref="AK72:AN72"/>
    <mergeCell ref="AO72:AO73"/>
    <mergeCell ref="BA68:BC69"/>
    <mergeCell ref="BD68:BE69"/>
    <mergeCell ref="BF68:BH69"/>
    <mergeCell ref="BI68:BJ69"/>
    <mergeCell ref="BK68:BM69"/>
    <mergeCell ref="BN68:BO69"/>
    <mergeCell ref="BP68:BR69"/>
    <mergeCell ref="A70:E71"/>
    <mergeCell ref="F70:J71"/>
    <mergeCell ref="K70:O71"/>
    <mergeCell ref="P70:T71"/>
    <mergeCell ref="Z70:AD71"/>
    <mergeCell ref="AJ70:AN71"/>
    <mergeCell ref="AT70:AX71"/>
    <mergeCell ref="BD70:BH71"/>
    <mergeCell ref="BN70:BR71"/>
    <mergeCell ref="U70:V71"/>
    <mergeCell ref="W70:Y71"/>
    <mergeCell ref="AY70:AZ71"/>
    <mergeCell ref="BA70:BC71"/>
    <mergeCell ref="AO70:AP71"/>
    <mergeCell ref="AQ70:AS71"/>
    <mergeCell ref="AE70:AF71"/>
    <mergeCell ref="AG70:AI71"/>
    <mergeCell ref="BI70:BJ71"/>
    <mergeCell ref="BK70:BM71"/>
    <mergeCell ref="AP66:AS66"/>
    <mergeCell ref="AT66:AT67"/>
    <mergeCell ref="AU66:AX66"/>
    <mergeCell ref="AY66:AY67"/>
    <mergeCell ref="AZ66:BC66"/>
    <mergeCell ref="BD66:BD67"/>
    <mergeCell ref="BE66:BH66"/>
    <mergeCell ref="BI66:BI67"/>
    <mergeCell ref="BJ66:BM66"/>
    <mergeCell ref="BN66:BN67"/>
    <mergeCell ref="BO66:BR66"/>
    <mergeCell ref="A68:B69"/>
    <mergeCell ref="C68:E69"/>
    <mergeCell ref="F68:G69"/>
    <mergeCell ref="H68:J69"/>
    <mergeCell ref="K68:L69"/>
    <mergeCell ref="M68:O69"/>
    <mergeCell ref="P68:Q69"/>
    <mergeCell ref="R68:T69"/>
    <mergeCell ref="U68:V69"/>
    <mergeCell ref="W68:Y69"/>
    <mergeCell ref="Z68:AA69"/>
    <mergeCell ref="AB68:AD69"/>
    <mergeCell ref="AE68:AF69"/>
    <mergeCell ref="AG68:AI69"/>
    <mergeCell ref="AJ68:AK69"/>
    <mergeCell ref="AL68:AN69"/>
    <mergeCell ref="AO68:AP69"/>
    <mergeCell ref="AQ68:AS69"/>
    <mergeCell ref="AT68:AU69"/>
    <mergeCell ref="AV68:AX69"/>
    <mergeCell ref="AY68:AZ69"/>
    <mergeCell ref="A66:A67"/>
    <mergeCell ref="B66:E66"/>
    <mergeCell ref="F66:F67"/>
    <mergeCell ref="G66:J66"/>
    <mergeCell ref="K66:K67"/>
    <mergeCell ref="L66:O66"/>
    <mergeCell ref="P66:P67"/>
    <mergeCell ref="Q66:T66"/>
    <mergeCell ref="U66:U67"/>
    <mergeCell ref="V66:Y66"/>
    <mergeCell ref="Z66:Z67"/>
    <mergeCell ref="AA66:AD66"/>
    <mergeCell ref="AE66:AE67"/>
    <mergeCell ref="AF66:AI66"/>
    <mergeCell ref="AJ66:AJ67"/>
    <mergeCell ref="AK66:AN66"/>
    <mergeCell ref="AO66:AO67"/>
    <mergeCell ref="BA62:BC63"/>
    <mergeCell ref="BD62:BE63"/>
    <mergeCell ref="BF62:BH63"/>
    <mergeCell ref="BI62:BJ63"/>
    <mergeCell ref="BK62:BM63"/>
    <mergeCell ref="BN62:BO63"/>
    <mergeCell ref="BP62:BR63"/>
    <mergeCell ref="A64:E65"/>
    <mergeCell ref="F64:J65"/>
    <mergeCell ref="P64:T65"/>
    <mergeCell ref="U64:Y65"/>
    <mergeCell ref="Z64:AD65"/>
    <mergeCell ref="AJ64:AN65"/>
    <mergeCell ref="AO64:AS65"/>
    <mergeCell ref="AT64:AX65"/>
    <mergeCell ref="BD64:BH65"/>
    <mergeCell ref="BN64:BR65"/>
    <mergeCell ref="AY64:AZ65"/>
    <mergeCell ref="BA64:BC65"/>
    <mergeCell ref="K64:L65"/>
    <mergeCell ref="M64:O65"/>
    <mergeCell ref="AE64:AF65"/>
    <mergeCell ref="AG64:AI65"/>
    <mergeCell ref="BI64:BJ65"/>
    <mergeCell ref="BK64:BM65"/>
    <mergeCell ref="AP54:AS54"/>
    <mergeCell ref="AT54:AT55"/>
    <mergeCell ref="AU54:AX54"/>
    <mergeCell ref="AY54:AY55"/>
    <mergeCell ref="AZ54:BC54"/>
    <mergeCell ref="BD54:BD55"/>
    <mergeCell ref="BE54:BH54"/>
    <mergeCell ref="BI54:BI55"/>
    <mergeCell ref="BJ54:BM54"/>
    <mergeCell ref="BN54:BN55"/>
    <mergeCell ref="BO54:BR54"/>
    <mergeCell ref="A62:B63"/>
    <mergeCell ref="C62:E63"/>
    <mergeCell ref="F62:G63"/>
    <mergeCell ref="H62:J63"/>
    <mergeCell ref="K62:L63"/>
    <mergeCell ref="M62:O63"/>
    <mergeCell ref="P62:Q63"/>
    <mergeCell ref="R62:T63"/>
    <mergeCell ref="U62:V63"/>
    <mergeCell ref="W62:Y63"/>
    <mergeCell ref="Z62:AA63"/>
    <mergeCell ref="AB62:AD63"/>
    <mergeCell ref="AE62:AF63"/>
    <mergeCell ref="AG62:AI63"/>
    <mergeCell ref="AJ62:AK63"/>
    <mergeCell ref="AL62:AN63"/>
    <mergeCell ref="AO62:AP63"/>
    <mergeCell ref="AQ62:AS63"/>
    <mergeCell ref="AT62:AU63"/>
    <mergeCell ref="AV62:AX63"/>
    <mergeCell ref="AY62:AZ63"/>
    <mergeCell ref="A54:A55"/>
    <mergeCell ref="B54:E54"/>
    <mergeCell ref="F54:F55"/>
    <mergeCell ref="G54:J54"/>
    <mergeCell ref="K54:K55"/>
    <mergeCell ref="L54:O54"/>
    <mergeCell ref="P54:P55"/>
    <mergeCell ref="Q54:T54"/>
    <mergeCell ref="U54:U55"/>
    <mergeCell ref="V54:Y54"/>
    <mergeCell ref="Z54:Z55"/>
    <mergeCell ref="AA54:AD54"/>
    <mergeCell ref="AE54:AE55"/>
    <mergeCell ref="AF54:AI54"/>
    <mergeCell ref="AJ54:AJ55"/>
    <mergeCell ref="AK54:AN54"/>
    <mergeCell ref="AO54:AO55"/>
    <mergeCell ref="AY50:AZ51"/>
    <mergeCell ref="BA50:BC51"/>
    <mergeCell ref="BD50:BE51"/>
    <mergeCell ref="BF50:BH51"/>
    <mergeCell ref="BI50:BJ51"/>
    <mergeCell ref="BK50:BM51"/>
    <mergeCell ref="BN50:BO51"/>
    <mergeCell ref="BP50:BR51"/>
    <mergeCell ref="A52:E53"/>
    <mergeCell ref="F52:J53"/>
    <mergeCell ref="K52:O53"/>
    <mergeCell ref="P52:T53"/>
    <mergeCell ref="U52:Y53"/>
    <mergeCell ref="Z52:AD53"/>
    <mergeCell ref="AE52:AI53"/>
    <mergeCell ref="AJ52:AN53"/>
    <mergeCell ref="AO52:AS53"/>
    <mergeCell ref="AT52:AX53"/>
    <mergeCell ref="AY52:BC53"/>
    <mergeCell ref="BD52:BH53"/>
    <mergeCell ref="BI52:BM53"/>
    <mergeCell ref="BN52:BR53"/>
    <mergeCell ref="AO48:AO49"/>
    <mergeCell ref="AP48:AS48"/>
    <mergeCell ref="AT48:AT49"/>
    <mergeCell ref="AU48:AX48"/>
    <mergeCell ref="AY48:AY49"/>
    <mergeCell ref="AZ48:BC48"/>
    <mergeCell ref="BD48:BD49"/>
    <mergeCell ref="BE48:BH48"/>
    <mergeCell ref="BI48:BI49"/>
    <mergeCell ref="BJ48:BM48"/>
    <mergeCell ref="BN48:BN49"/>
    <mergeCell ref="BO48:BR48"/>
    <mergeCell ref="A50:B51"/>
    <mergeCell ref="C50:E51"/>
    <mergeCell ref="F50:G51"/>
    <mergeCell ref="H50:J51"/>
    <mergeCell ref="K50:L51"/>
    <mergeCell ref="M50:O51"/>
    <mergeCell ref="P50:Q51"/>
    <mergeCell ref="R50:T51"/>
    <mergeCell ref="U50:V51"/>
    <mergeCell ref="W50:Y51"/>
    <mergeCell ref="Z50:AA51"/>
    <mergeCell ref="AB50:AD51"/>
    <mergeCell ref="AE50:AF51"/>
    <mergeCell ref="AG50:AI51"/>
    <mergeCell ref="AJ50:AK51"/>
    <mergeCell ref="AL50:AN51"/>
    <mergeCell ref="AO50:AP51"/>
    <mergeCell ref="AQ50:AS51"/>
    <mergeCell ref="AT50:AU51"/>
    <mergeCell ref="AV50:AX51"/>
    <mergeCell ref="A46:B47"/>
    <mergeCell ref="C46:E47"/>
    <mergeCell ref="K46:L47"/>
    <mergeCell ref="M46:O47"/>
    <mergeCell ref="AJ46:AK47"/>
    <mergeCell ref="AL46:AN47"/>
    <mergeCell ref="A48:A49"/>
    <mergeCell ref="B48:E48"/>
    <mergeCell ref="F48:F49"/>
    <mergeCell ref="G48:J48"/>
    <mergeCell ref="K48:K49"/>
    <mergeCell ref="L48:O48"/>
    <mergeCell ref="P48:P49"/>
    <mergeCell ref="Q48:T48"/>
    <mergeCell ref="U48:U49"/>
    <mergeCell ref="V48:Y48"/>
    <mergeCell ref="Z48:Z49"/>
    <mergeCell ref="AA48:AD48"/>
    <mergeCell ref="AE48:AE49"/>
    <mergeCell ref="AF48:AI48"/>
    <mergeCell ref="AJ48:AJ49"/>
    <mergeCell ref="AK48:AN48"/>
    <mergeCell ref="BA44:BC45"/>
    <mergeCell ref="BD44:BE45"/>
    <mergeCell ref="BF44:BH45"/>
    <mergeCell ref="BI44:BJ45"/>
    <mergeCell ref="BK44:BM45"/>
    <mergeCell ref="BN44:BO45"/>
    <mergeCell ref="BP44:BR45"/>
    <mergeCell ref="F46:J47"/>
    <mergeCell ref="P46:T47"/>
    <mergeCell ref="U46:Y47"/>
    <mergeCell ref="Z46:AD47"/>
    <mergeCell ref="AT46:AX47"/>
    <mergeCell ref="AY46:BC47"/>
    <mergeCell ref="BD46:BH47"/>
    <mergeCell ref="BI46:BM47"/>
    <mergeCell ref="BN46:BR47"/>
    <mergeCell ref="AE46:AF47"/>
    <mergeCell ref="AG46:AI47"/>
    <mergeCell ref="AO46:AP47"/>
    <mergeCell ref="AQ46:AS47"/>
    <mergeCell ref="AP42:AS42"/>
    <mergeCell ref="AT42:AT43"/>
    <mergeCell ref="AU42:AX42"/>
    <mergeCell ref="AY42:AY43"/>
    <mergeCell ref="AZ42:BC42"/>
    <mergeCell ref="BD42:BD43"/>
    <mergeCell ref="BE42:BH42"/>
    <mergeCell ref="BI42:BI43"/>
    <mergeCell ref="BJ42:BM42"/>
    <mergeCell ref="BN42:BN43"/>
    <mergeCell ref="BO42:BR42"/>
    <mergeCell ref="A44:B45"/>
    <mergeCell ref="C44:E45"/>
    <mergeCell ref="F44:G45"/>
    <mergeCell ref="H44:J45"/>
    <mergeCell ref="K44:L45"/>
    <mergeCell ref="M44:O45"/>
    <mergeCell ref="P44:Q45"/>
    <mergeCell ref="R44:T45"/>
    <mergeCell ref="U44:V45"/>
    <mergeCell ref="W44:Y45"/>
    <mergeCell ref="Z44:AA45"/>
    <mergeCell ref="AB44:AD45"/>
    <mergeCell ref="AE44:AF45"/>
    <mergeCell ref="AG44:AI45"/>
    <mergeCell ref="AJ44:AK45"/>
    <mergeCell ref="AL44:AN45"/>
    <mergeCell ref="AO44:AP45"/>
    <mergeCell ref="AQ44:AS45"/>
    <mergeCell ref="AT44:AU45"/>
    <mergeCell ref="AV44:AX45"/>
    <mergeCell ref="AY44:AZ45"/>
    <mergeCell ref="A42:A43"/>
    <mergeCell ref="B42:E42"/>
    <mergeCell ref="F42:F43"/>
    <mergeCell ref="G42:J42"/>
    <mergeCell ref="K42:K43"/>
    <mergeCell ref="L42:O42"/>
    <mergeCell ref="P42:P43"/>
    <mergeCell ref="Q42:T42"/>
    <mergeCell ref="U42:U43"/>
    <mergeCell ref="V42:Y42"/>
    <mergeCell ref="Z42:Z43"/>
    <mergeCell ref="AA42:AD42"/>
    <mergeCell ref="AE42:AE43"/>
    <mergeCell ref="AF42:AI42"/>
    <mergeCell ref="AJ42:AJ43"/>
    <mergeCell ref="AK42:AN42"/>
    <mergeCell ref="AO42:AO43"/>
    <mergeCell ref="BA38:BC39"/>
    <mergeCell ref="BD38:BE39"/>
    <mergeCell ref="BF38:BH39"/>
    <mergeCell ref="BI38:BJ39"/>
    <mergeCell ref="BK38:BM39"/>
    <mergeCell ref="BN38:BO39"/>
    <mergeCell ref="BP38:BR39"/>
    <mergeCell ref="A40:E41"/>
    <mergeCell ref="F40:J41"/>
    <mergeCell ref="P40:T41"/>
    <mergeCell ref="Z40:AD41"/>
    <mergeCell ref="AE40:AI41"/>
    <mergeCell ref="AJ40:AN41"/>
    <mergeCell ref="AO40:AS41"/>
    <mergeCell ref="AT40:AX41"/>
    <mergeCell ref="AY40:BC41"/>
    <mergeCell ref="BD40:BH41"/>
    <mergeCell ref="BI40:BM41"/>
    <mergeCell ref="BN40:BR41"/>
    <mergeCell ref="U40:V41"/>
    <mergeCell ref="W40:Y41"/>
    <mergeCell ref="K40:L41"/>
    <mergeCell ref="M40:O41"/>
    <mergeCell ref="AP36:AS36"/>
    <mergeCell ref="AT36:AT37"/>
    <mergeCell ref="AU36:AX36"/>
    <mergeCell ref="AY36:AY37"/>
    <mergeCell ref="AZ36:BC36"/>
    <mergeCell ref="BD36:BD37"/>
    <mergeCell ref="BE36:BH36"/>
    <mergeCell ref="BI36:BI37"/>
    <mergeCell ref="BJ36:BM36"/>
    <mergeCell ref="BN36:BN37"/>
    <mergeCell ref="BO36:BR36"/>
    <mergeCell ref="A38:B39"/>
    <mergeCell ref="C38:E39"/>
    <mergeCell ref="F38:G39"/>
    <mergeCell ref="H38:J39"/>
    <mergeCell ref="K38:L39"/>
    <mergeCell ref="M38:O39"/>
    <mergeCell ref="P38:Q39"/>
    <mergeCell ref="R38:T39"/>
    <mergeCell ref="U38:V39"/>
    <mergeCell ref="W38:Y39"/>
    <mergeCell ref="Z38:AA39"/>
    <mergeCell ref="AB38:AD39"/>
    <mergeCell ref="AE38:AF39"/>
    <mergeCell ref="AG38:AI39"/>
    <mergeCell ref="AJ38:AK39"/>
    <mergeCell ref="AL38:AN39"/>
    <mergeCell ref="AO38:AP39"/>
    <mergeCell ref="AQ38:AS39"/>
    <mergeCell ref="AT38:AU39"/>
    <mergeCell ref="AV38:AX39"/>
    <mergeCell ref="AY38:AZ39"/>
    <mergeCell ref="A36:A37"/>
    <mergeCell ref="B36:E36"/>
    <mergeCell ref="F36:F37"/>
    <mergeCell ref="G36:J36"/>
    <mergeCell ref="K36:K37"/>
    <mergeCell ref="L36:O36"/>
    <mergeCell ref="P36:P37"/>
    <mergeCell ref="Q36:T36"/>
    <mergeCell ref="U36:U37"/>
    <mergeCell ref="V36:Y36"/>
    <mergeCell ref="Z36:Z37"/>
    <mergeCell ref="AA36:AD36"/>
    <mergeCell ref="AE36:AE37"/>
    <mergeCell ref="AF36:AI36"/>
    <mergeCell ref="AJ36:AJ37"/>
    <mergeCell ref="AK36:AN36"/>
    <mergeCell ref="AO36:AO37"/>
    <mergeCell ref="BA32:BC33"/>
    <mergeCell ref="BD32:BE33"/>
    <mergeCell ref="BF32:BH33"/>
    <mergeCell ref="BI32:BJ33"/>
    <mergeCell ref="BK32:BM33"/>
    <mergeCell ref="BN32:BO33"/>
    <mergeCell ref="BP32:BR33"/>
    <mergeCell ref="F34:J35"/>
    <mergeCell ref="K34:O35"/>
    <mergeCell ref="P34:T35"/>
    <mergeCell ref="U34:Y35"/>
    <mergeCell ref="Z34:AD35"/>
    <mergeCell ref="AE34:AI35"/>
    <mergeCell ref="AJ34:AN35"/>
    <mergeCell ref="AO34:AS35"/>
    <mergeCell ref="AT34:AX35"/>
    <mergeCell ref="AY34:BC35"/>
    <mergeCell ref="BD34:BH35"/>
    <mergeCell ref="BN34:BR35"/>
    <mergeCell ref="AV32:AX33"/>
    <mergeCell ref="AY32:AZ33"/>
    <mergeCell ref="BI34:BJ35"/>
    <mergeCell ref="BK34:BM35"/>
    <mergeCell ref="A34:B35"/>
    <mergeCell ref="C34:E35"/>
    <mergeCell ref="AP30:AS30"/>
    <mergeCell ref="AT30:AT31"/>
    <mergeCell ref="AU30:AX30"/>
    <mergeCell ref="AY30:AY31"/>
    <mergeCell ref="AZ30:BC30"/>
    <mergeCell ref="BD30:BD31"/>
    <mergeCell ref="BE30:BH30"/>
    <mergeCell ref="BI30:BI31"/>
    <mergeCell ref="BJ30:BM30"/>
    <mergeCell ref="BN30:BN31"/>
    <mergeCell ref="BO30:BR30"/>
    <mergeCell ref="A32:B33"/>
    <mergeCell ref="C32:E33"/>
    <mergeCell ref="F32:G33"/>
    <mergeCell ref="H32:J33"/>
    <mergeCell ref="K32:L33"/>
    <mergeCell ref="M32:O33"/>
    <mergeCell ref="P32:Q33"/>
    <mergeCell ref="R32:T33"/>
    <mergeCell ref="U32:V33"/>
    <mergeCell ref="W32:Y33"/>
    <mergeCell ref="Z32:AA33"/>
    <mergeCell ref="AB32:AD33"/>
    <mergeCell ref="AE32:AF33"/>
    <mergeCell ref="AG32:AI33"/>
    <mergeCell ref="AJ32:AK33"/>
    <mergeCell ref="AL32:AN33"/>
    <mergeCell ref="AO32:AP33"/>
    <mergeCell ref="AQ32:AS33"/>
    <mergeCell ref="AT32:AU33"/>
    <mergeCell ref="A30:A31"/>
    <mergeCell ref="B30:E30"/>
    <mergeCell ref="F30:F31"/>
    <mergeCell ref="G30:J30"/>
    <mergeCell ref="K30:K31"/>
    <mergeCell ref="L30:O30"/>
    <mergeCell ref="P30:P31"/>
    <mergeCell ref="Q30:T30"/>
    <mergeCell ref="U30:U31"/>
    <mergeCell ref="V30:Y30"/>
    <mergeCell ref="Z30:Z31"/>
    <mergeCell ref="AA30:AD30"/>
    <mergeCell ref="AE30:AE31"/>
    <mergeCell ref="AF30:AI30"/>
    <mergeCell ref="AJ30:AJ31"/>
    <mergeCell ref="AK30:AN30"/>
    <mergeCell ref="AO30:AO31"/>
    <mergeCell ref="BA26:BC27"/>
    <mergeCell ref="BD26:BE27"/>
    <mergeCell ref="BF26:BH27"/>
    <mergeCell ref="BI26:BJ27"/>
    <mergeCell ref="BK26:BM27"/>
    <mergeCell ref="BN26:BO27"/>
    <mergeCell ref="BP26:BR27"/>
    <mergeCell ref="A28:E29"/>
    <mergeCell ref="F28:J29"/>
    <mergeCell ref="K28:O29"/>
    <mergeCell ref="P28:T29"/>
    <mergeCell ref="U28:Y29"/>
    <mergeCell ref="Z28:AD29"/>
    <mergeCell ref="AE28:AI29"/>
    <mergeCell ref="AJ28:AN29"/>
    <mergeCell ref="AO28:AS29"/>
    <mergeCell ref="AT28:AX29"/>
    <mergeCell ref="AY28:BC29"/>
    <mergeCell ref="BD28:BH29"/>
    <mergeCell ref="BI28:BM29"/>
    <mergeCell ref="BN28:BR29"/>
    <mergeCell ref="AP24:AS24"/>
    <mergeCell ref="AT24:AT25"/>
    <mergeCell ref="AU24:AX24"/>
    <mergeCell ref="AY24:AY25"/>
    <mergeCell ref="AZ24:BC24"/>
    <mergeCell ref="BD24:BD25"/>
    <mergeCell ref="BE24:BH24"/>
    <mergeCell ref="BI24:BI25"/>
    <mergeCell ref="BJ24:BM24"/>
    <mergeCell ref="BN24:BN25"/>
    <mergeCell ref="BO24:BR24"/>
    <mergeCell ref="A26:B27"/>
    <mergeCell ref="C26:E27"/>
    <mergeCell ref="F26:G27"/>
    <mergeCell ref="H26:J27"/>
    <mergeCell ref="K26:L27"/>
    <mergeCell ref="M26:O27"/>
    <mergeCell ref="P26:Q27"/>
    <mergeCell ref="R26:T27"/>
    <mergeCell ref="U26:V27"/>
    <mergeCell ref="W26:Y27"/>
    <mergeCell ref="Z26:AA27"/>
    <mergeCell ref="AB26:AD27"/>
    <mergeCell ref="AE26:AF27"/>
    <mergeCell ref="AG26:AI27"/>
    <mergeCell ref="AJ26:AK27"/>
    <mergeCell ref="AL26:AN27"/>
    <mergeCell ref="AO26:AP27"/>
    <mergeCell ref="AQ26:AS27"/>
    <mergeCell ref="AT26:AU27"/>
    <mergeCell ref="AV26:AX27"/>
    <mergeCell ref="AY26:AZ27"/>
    <mergeCell ref="A24:A25"/>
    <mergeCell ref="B24:E24"/>
    <mergeCell ref="F24:F25"/>
    <mergeCell ref="G24:J24"/>
    <mergeCell ref="K24:K25"/>
    <mergeCell ref="L24:O24"/>
    <mergeCell ref="P24:P25"/>
    <mergeCell ref="Q24:T24"/>
    <mergeCell ref="U24:U25"/>
    <mergeCell ref="V24:Y24"/>
    <mergeCell ref="Z24:Z25"/>
    <mergeCell ref="AA24:AD24"/>
    <mergeCell ref="AE24:AE25"/>
    <mergeCell ref="AF24:AI24"/>
    <mergeCell ref="AJ24:AJ25"/>
    <mergeCell ref="AK24:AN24"/>
    <mergeCell ref="AO24:AO25"/>
    <mergeCell ref="BA20:BC21"/>
    <mergeCell ref="BD20:BE21"/>
    <mergeCell ref="BF20:BH21"/>
    <mergeCell ref="BI20:BJ21"/>
    <mergeCell ref="BK20:BM21"/>
    <mergeCell ref="BN20:BO21"/>
    <mergeCell ref="BP20:BR21"/>
    <mergeCell ref="A22:E23"/>
    <mergeCell ref="F22:J23"/>
    <mergeCell ref="K22:O23"/>
    <mergeCell ref="P22:T23"/>
    <mergeCell ref="U22:Y23"/>
    <mergeCell ref="Z22:AD23"/>
    <mergeCell ref="AE22:AI23"/>
    <mergeCell ref="AJ22:AN23"/>
    <mergeCell ref="AO22:AS23"/>
    <mergeCell ref="AT22:AX23"/>
    <mergeCell ref="AY22:BC23"/>
    <mergeCell ref="BD22:BH23"/>
    <mergeCell ref="BI22:BM23"/>
    <mergeCell ref="BN22:BR23"/>
    <mergeCell ref="AP18:AS18"/>
    <mergeCell ref="AT18:AT19"/>
    <mergeCell ref="AU18:AX18"/>
    <mergeCell ref="AY18:AY19"/>
    <mergeCell ref="AZ18:BC18"/>
    <mergeCell ref="BD18:BD19"/>
    <mergeCell ref="BE18:BH18"/>
    <mergeCell ref="BI18:BI19"/>
    <mergeCell ref="BJ18:BM18"/>
    <mergeCell ref="BN18:BN19"/>
    <mergeCell ref="BO18:BR18"/>
    <mergeCell ref="A20:B21"/>
    <mergeCell ref="C20:E21"/>
    <mergeCell ref="F20:G21"/>
    <mergeCell ref="H20:J21"/>
    <mergeCell ref="K20:L21"/>
    <mergeCell ref="M20:O21"/>
    <mergeCell ref="P20:Q21"/>
    <mergeCell ref="R20:T21"/>
    <mergeCell ref="U20:V21"/>
    <mergeCell ref="W20:Y21"/>
    <mergeCell ref="Z20:AA21"/>
    <mergeCell ref="AB20:AD21"/>
    <mergeCell ref="AE20:AF21"/>
    <mergeCell ref="AG20:AI21"/>
    <mergeCell ref="AJ20:AK21"/>
    <mergeCell ref="AL20:AN21"/>
    <mergeCell ref="AO20:AP21"/>
    <mergeCell ref="AQ20:AS21"/>
    <mergeCell ref="AT20:AU21"/>
    <mergeCell ref="AV20:AX21"/>
    <mergeCell ref="AY20:AZ21"/>
    <mergeCell ref="BN14:BO15"/>
    <mergeCell ref="BP14:BR15"/>
    <mergeCell ref="A16:E17"/>
    <mergeCell ref="F16:J17"/>
    <mergeCell ref="K16:O17"/>
    <mergeCell ref="P16:T17"/>
    <mergeCell ref="U16:Y17"/>
    <mergeCell ref="Z16:AD17"/>
    <mergeCell ref="AE16:AI17"/>
    <mergeCell ref="AJ16:AN17"/>
    <mergeCell ref="AO16:AS17"/>
    <mergeCell ref="AT16:AX17"/>
    <mergeCell ref="AY16:BC17"/>
    <mergeCell ref="BD16:BH17"/>
    <mergeCell ref="BI16:BM17"/>
    <mergeCell ref="BN16:BR17"/>
    <mergeCell ref="A18:A19"/>
    <mergeCell ref="B18:E18"/>
    <mergeCell ref="F18:F19"/>
    <mergeCell ref="G18:J18"/>
    <mergeCell ref="K18:K19"/>
    <mergeCell ref="L18:O18"/>
    <mergeCell ref="P18:P19"/>
    <mergeCell ref="Q18:T18"/>
    <mergeCell ref="U18:U19"/>
    <mergeCell ref="V18:Y18"/>
    <mergeCell ref="Z18:Z19"/>
    <mergeCell ref="AA18:AD18"/>
    <mergeCell ref="AE18:AE19"/>
    <mergeCell ref="AF18:AI18"/>
    <mergeCell ref="AJ18:AJ19"/>
    <mergeCell ref="AK18:AN18"/>
    <mergeCell ref="BD12:BD13"/>
    <mergeCell ref="BE12:BH12"/>
    <mergeCell ref="BI12:BI13"/>
    <mergeCell ref="BJ12:BM12"/>
    <mergeCell ref="BN12:BN13"/>
    <mergeCell ref="BO12:BR12"/>
    <mergeCell ref="A14:B15"/>
    <mergeCell ref="C14:E15"/>
    <mergeCell ref="F14:G15"/>
    <mergeCell ref="H14:J15"/>
    <mergeCell ref="K14:L15"/>
    <mergeCell ref="M14:O15"/>
    <mergeCell ref="P14:Q15"/>
    <mergeCell ref="R14:T15"/>
    <mergeCell ref="U14:V15"/>
    <mergeCell ref="W14:Y15"/>
    <mergeCell ref="Z14:AA15"/>
    <mergeCell ref="AB14:AD15"/>
    <mergeCell ref="AE14:AF15"/>
    <mergeCell ref="AG14:AI15"/>
    <mergeCell ref="AJ14:AK15"/>
    <mergeCell ref="AL14:AN15"/>
    <mergeCell ref="AO14:AP15"/>
    <mergeCell ref="AQ14:AS15"/>
    <mergeCell ref="AT14:AU15"/>
    <mergeCell ref="AV14:AX15"/>
    <mergeCell ref="AY14:AZ15"/>
    <mergeCell ref="BA14:BC15"/>
    <mergeCell ref="BD14:BE15"/>
    <mergeCell ref="BF14:BH15"/>
    <mergeCell ref="BI14:BJ15"/>
    <mergeCell ref="BK14:BM15"/>
    <mergeCell ref="BN8:BO9"/>
    <mergeCell ref="BP8:BR9"/>
    <mergeCell ref="A10:E11"/>
    <mergeCell ref="F10:J11"/>
    <mergeCell ref="K10:O11"/>
    <mergeCell ref="P10:T11"/>
    <mergeCell ref="U10:Y11"/>
    <mergeCell ref="Z10:AD11"/>
    <mergeCell ref="AE10:AI11"/>
    <mergeCell ref="AJ10:AN11"/>
    <mergeCell ref="AO10:AS11"/>
    <mergeCell ref="AT10:AX11"/>
    <mergeCell ref="AY10:BC11"/>
    <mergeCell ref="BD10:BH11"/>
    <mergeCell ref="BI10:BM11"/>
    <mergeCell ref="BN10:BR11"/>
    <mergeCell ref="A12:A13"/>
    <mergeCell ref="B12:E12"/>
    <mergeCell ref="F12:F13"/>
    <mergeCell ref="G12:J12"/>
    <mergeCell ref="K12:K13"/>
    <mergeCell ref="L12:O12"/>
    <mergeCell ref="P12:P13"/>
    <mergeCell ref="Q12:T12"/>
    <mergeCell ref="U12:U13"/>
    <mergeCell ref="V12:Y12"/>
    <mergeCell ref="Z12:Z13"/>
    <mergeCell ref="AA12:AD12"/>
    <mergeCell ref="AE12:AE13"/>
    <mergeCell ref="AF12:AI12"/>
    <mergeCell ref="AJ12:AJ13"/>
    <mergeCell ref="AK12:AN12"/>
    <mergeCell ref="BD6:BD7"/>
    <mergeCell ref="BE6:BH6"/>
    <mergeCell ref="BI6:BI7"/>
    <mergeCell ref="BJ6:BM6"/>
    <mergeCell ref="BN6:BN7"/>
    <mergeCell ref="BO6:BR6"/>
    <mergeCell ref="A8:B9"/>
    <mergeCell ref="C8:E9"/>
    <mergeCell ref="F8:G9"/>
    <mergeCell ref="H8:J9"/>
    <mergeCell ref="K8:L9"/>
    <mergeCell ref="M8:O9"/>
    <mergeCell ref="P8:Q9"/>
    <mergeCell ref="R8:T9"/>
    <mergeCell ref="U8:V9"/>
    <mergeCell ref="W8:Y9"/>
    <mergeCell ref="Z8:AA9"/>
    <mergeCell ref="AB8:AD9"/>
    <mergeCell ref="AE8:AF9"/>
    <mergeCell ref="AG8:AI9"/>
    <mergeCell ref="AJ8:AK9"/>
    <mergeCell ref="AL8:AN9"/>
    <mergeCell ref="AO8:AP9"/>
    <mergeCell ref="AQ8:AS9"/>
    <mergeCell ref="AT8:AU9"/>
    <mergeCell ref="AV8:AX9"/>
    <mergeCell ref="AY8:AZ9"/>
    <mergeCell ref="BA8:BC9"/>
    <mergeCell ref="BD8:BE9"/>
    <mergeCell ref="BF8:BH9"/>
    <mergeCell ref="BI8:BJ9"/>
    <mergeCell ref="BK8:BM9"/>
    <mergeCell ref="A6:A7"/>
    <mergeCell ref="B6:E6"/>
    <mergeCell ref="F6:F7"/>
    <mergeCell ref="G6:J6"/>
    <mergeCell ref="K6:K7"/>
    <mergeCell ref="L6:O6"/>
    <mergeCell ref="P6:P7"/>
    <mergeCell ref="Q6:T6"/>
    <mergeCell ref="U6:U7"/>
    <mergeCell ref="V6:Y6"/>
    <mergeCell ref="Z6:Z7"/>
    <mergeCell ref="AA6:AD6"/>
    <mergeCell ref="AE6:AE7"/>
    <mergeCell ref="AF6:AI6"/>
    <mergeCell ref="AJ6:AJ7"/>
    <mergeCell ref="AK6:AN6"/>
    <mergeCell ref="AO6:AO7"/>
    <mergeCell ref="BA2:BC3"/>
    <mergeCell ref="BD2:BE3"/>
    <mergeCell ref="BF2:BH3"/>
    <mergeCell ref="BI2:BJ3"/>
    <mergeCell ref="BK2:BM3"/>
    <mergeCell ref="BN2:BO3"/>
    <mergeCell ref="BP2:BR3"/>
    <mergeCell ref="A4:E5"/>
    <mergeCell ref="F4:J5"/>
    <mergeCell ref="K4:O5"/>
    <mergeCell ref="P4:T5"/>
    <mergeCell ref="U4:Y5"/>
    <mergeCell ref="Z4:AD5"/>
    <mergeCell ref="AE4:AI5"/>
    <mergeCell ref="AJ4:AN5"/>
    <mergeCell ref="AO4:AS5"/>
    <mergeCell ref="AT4:AX5"/>
    <mergeCell ref="AY4:BC5"/>
    <mergeCell ref="BD4:BH5"/>
    <mergeCell ref="BI4:BM5"/>
    <mergeCell ref="BN4:BR5"/>
    <mergeCell ref="A2:B3"/>
    <mergeCell ref="C2:E3"/>
    <mergeCell ref="F2:G3"/>
    <mergeCell ref="H2:J3"/>
    <mergeCell ref="K2:L3"/>
    <mergeCell ref="M2:O3"/>
    <mergeCell ref="P2:Q3"/>
    <mergeCell ref="R2:T3"/>
    <mergeCell ref="U2:V3"/>
    <mergeCell ref="W2:Y3"/>
    <mergeCell ref="Z2:AA3"/>
    <mergeCell ref="AK189:AM191"/>
    <mergeCell ref="AN189:AP191"/>
    <mergeCell ref="AQ189:AR191"/>
    <mergeCell ref="AS189:AT191"/>
    <mergeCell ref="AK192:AM195"/>
    <mergeCell ref="AN192:AP195"/>
    <mergeCell ref="AQ192:AR195"/>
    <mergeCell ref="AS192:AU195"/>
    <mergeCell ref="M116:P120"/>
    <mergeCell ref="B112:P115"/>
    <mergeCell ref="AJ2:AK3"/>
    <mergeCell ref="AL2:AN3"/>
    <mergeCell ref="AO2:AP3"/>
    <mergeCell ref="AQ2:AS3"/>
    <mergeCell ref="AT2:AU3"/>
    <mergeCell ref="AV2:AX3"/>
    <mergeCell ref="AY2:AZ3"/>
    <mergeCell ref="AB2:AD3"/>
    <mergeCell ref="AE2:AF3"/>
    <mergeCell ref="AG2:AI3"/>
    <mergeCell ref="AP6:AS6"/>
    <mergeCell ref="AT6:AT7"/>
    <mergeCell ref="AU6:AX6"/>
    <mergeCell ref="AY6:AY7"/>
    <mergeCell ref="AZ6:BC6"/>
    <mergeCell ref="AO12:AO13"/>
    <mergeCell ref="AP12:AS12"/>
    <mergeCell ref="AT12:AT13"/>
    <mergeCell ref="AU12:AX12"/>
    <mergeCell ref="AY12:AY13"/>
    <mergeCell ref="AZ12:BC12"/>
    <mergeCell ref="AO18:AO19"/>
  </mergeCells>
  <pageMargins left="0.25" right="0" top="0.65" bottom="0" header="0.3" footer="0.3"/>
  <pageSetup scale="24" orientation="portrait" r:id="rId1"/>
  <rowBreaks count="1" manualBreakCount="1">
    <brk id="67" max="69" man="1"/>
  </rowBreaks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8164B-6F7F-4008-B0F9-1F4EAC5D36CE}">
  <sheetPr codeName="Sheet8">
    <tabColor rgb="FFFFC000"/>
    <pageSetUpPr fitToPage="1"/>
  </sheetPr>
  <dimension ref="A1:FP135"/>
  <sheetViews>
    <sheetView view="pageBreakPreview" topLeftCell="A22" zoomScale="55" zoomScaleNormal="115" zoomScaleSheetLayoutView="55" workbookViewId="0">
      <selection activeCell="O31" sqref="O31:R31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29" width="6.28515625" customWidth="1"/>
    <col min="30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140625" customWidth="1"/>
    <col min="47" max="47" width="10.71093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4.140625" customWidth="1"/>
    <col min="62" max="62" width="10.7109375" customWidth="1"/>
    <col min="63" max="63" width="4.28515625" customWidth="1"/>
    <col min="64" max="65" width="5.5703125" customWidth="1"/>
    <col min="66" max="66" width="6.7109375" customWidth="1"/>
    <col min="67" max="67" width="10.7109375" customWidth="1"/>
    <col min="68" max="68" width="4.28515625" customWidth="1"/>
    <col min="69" max="70" width="5.5703125" customWidth="1"/>
    <col min="71" max="71" width="1" customWidth="1"/>
    <col min="72" max="72" width="56.7109375" customWidth="1"/>
    <col min="73" max="73" width="13" customWidth="1"/>
    <col min="74" max="74" width="7" customWidth="1"/>
  </cols>
  <sheetData>
    <row r="1" spans="1:83" ht="75" customHeight="1" thickBot="1" x14ac:dyDescent="0.3"/>
    <row r="2" spans="1:83" ht="26.1" customHeight="1" x14ac:dyDescent="0.25">
      <c r="A2" s="3333" t="s">
        <v>110</v>
      </c>
      <c r="B2" s="3334"/>
      <c r="C2" s="3337">
        <f>B8/((30*3.1415/59)*(91/3.281))</f>
        <v>4.5819945559242075E-3</v>
      </c>
      <c r="D2" s="3337"/>
      <c r="E2" s="3338"/>
      <c r="F2" s="3333" t="s">
        <v>110</v>
      </c>
      <c r="G2" s="3334"/>
      <c r="H2" s="3337">
        <f>G8/((30*3.1415/59)*(91/3.281))</f>
        <v>2.8665680226717943E-4</v>
      </c>
      <c r="I2" s="3337"/>
      <c r="J2" s="3338"/>
      <c r="K2" s="3333" t="s">
        <v>110</v>
      </c>
      <c r="L2" s="3334"/>
      <c r="M2" s="3337">
        <f>L8/((30*3.1415/59)*(91/3.281))</f>
        <v>3.4963101315894564E-2</v>
      </c>
      <c r="N2" s="3337"/>
      <c r="O2" s="3338"/>
      <c r="P2" s="3333" t="s">
        <v>110</v>
      </c>
      <c r="Q2" s="3334"/>
      <c r="R2" s="3337">
        <f>Q8/((30*3.1415/59)*(91/3.281))</f>
        <v>6.8842775347629712E-3</v>
      </c>
      <c r="S2" s="3337"/>
      <c r="T2" s="3338"/>
      <c r="U2" s="3333" t="s">
        <v>110</v>
      </c>
      <c r="V2" s="3334"/>
      <c r="W2" s="3337">
        <f>V8/((30*3.1415/59)*(91/3.281))</f>
        <v>4.5819945559242075E-3</v>
      </c>
      <c r="X2" s="3337"/>
      <c r="Y2" s="3338"/>
      <c r="Z2" s="3333" t="s">
        <v>110</v>
      </c>
      <c r="AA2" s="3334"/>
      <c r="AB2" s="3337">
        <f>AA8/((30*3.1415/59)*(91/3.281))</f>
        <v>4.0131952317405128E-2</v>
      </c>
      <c r="AC2" s="3337"/>
      <c r="AD2" s="3338"/>
      <c r="AE2" s="3333" t="s">
        <v>110</v>
      </c>
      <c r="AF2" s="3334"/>
      <c r="AG2" s="3337">
        <f>AF8/((30*3.1415/59)*(91/3.281))</f>
        <v>5.7331360453435898E-3</v>
      </c>
      <c r="AH2" s="3337"/>
      <c r="AI2" s="3338"/>
      <c r="AJ2" s="3333" t="s">
        <v>110</v>
      </c>
      <c r="AK2" s="3334"/>
      <c r="AL2" s="3337">
        <f>AK8/((30*3.1415/59)*(91/3.281))</f>
        <v>2.2571401753321217E-6</v>
      </c>
      <c r="AM2" s="3337"/>
      <c r="AN2" s="3338"/>
      <c r="AO2" s="3333" t="s">
        <v>110</v>
      </c>
      <c r="AP2" s="3334"/>
      <c r="AQ2" s="3337">
        <f>AP8/((30*3.1415/59)*(91/3.281))</f>
        <v>2.2571401753321217E-6</v>
      </c>
      <c r="AR2" s="3337"/>
      <c r="AS2" s="3338"/>
      <c r="AT2" s="3333" t="s">
        <v>110</v>
      </c>
      <c r="AU2" s="3334"/>
      <c r="AV2" s="3337">
        <f>AU8/((30*3.1415/59)*(91/3.281))</f>
        <v>2.2571401753321218E-5</v>
      </c>
      <c r="AW2" s="3337"/>
      <c r="AX2" s="3338"/>
      <c r="AY2" s="3333" t="s">
        <v>110</v>
      </c>
      <c r="AZ2" s="3334"/>
      <c r="BA2" s="3337">
        <f>AZ8/((30*3.1415/59)*(91/3.281))</f>
        <v>5.7331360453435898E-3</v>
      </c>
      <c r="BB2" s="3337"/>
      <c r="BC2" s="3338"/>
      <c r="BD2" s="3333" t="s">
        <v>110</v>
      </c>
      <c r="BE2" s="3334"/>
      <c r="BF2" s="3337">
        <f>BE8/((30*3.1415/59)*(91/3.281))</f>
        <v>6.2590497061959738E-2</v>
      </c>
      <c r="BG2" s="3337"/>
      <c r="BH2" s="3338"/>
      <c r="BI2" s="3333" t="s">
        <v>110</v>
      </c>
      <c r="BJ2" s="3334"/>
      <c r="BK2" s="3337">
        <f>BJ8/((30*3.1415/59)*(91/3.281))</f>
        <v>2.2571401753321218E-5</v>
      </c>
      <c r="BL2" s="3337"/>
      <c r="BM2" s="3338"/>
      <c r="BN2" s="3333" t="s">
        <v>110</v>
      </c>
      <c r="BO2" s="3334"/>
      <c r="BP2" s="3337">
        <f>BO8/((30*3.1415/59)*(91/3.281))</f>
        <v>6.2974210891766202E-3</v>
      </c>
      <c r="BQ2" s="3337"/>
      <c r="BR2" s="3338"/>
    </row>
    <row r="3" spans="1:83" ht="12" customHeight="1" x14ac:dyDescent="0.25">
      <c r="A3" s="3335"/>
      <c r="B3" s="3336"/>
      <c r="C3" s="3339"/>
      <c r="D3" s="3339"/>
      <c r="E3" s="3340"/>
      <c r="F3" s="3335"/>
      <c r="G3" s="3336"/>
      <c r="H3" s="3339"/>
      <c r="I3" s="3339"/>
      <c r="J3" s="3340"/>
      <c r="K3" s="3335"/>
      <c r="L3" s="3336"/>
      <c r="M3" s="3339"/>
      <c r="N3" s="3339"/>
      <c r="O3" s="3340"/>
      <c r="P3" s="3335"/>
      <c r="Q3" s="3336"/>
      <c r="R3" s="3339"/>
      <c r="S3" s="3339"/>
      <c r="T3" s="3340"/>
      <c r="U3" s="3335"/>
      <c r="V3" s="3336"/>
      <c r="W3" s="3339"/>
      <c r="X3" s="3339"/>
      <c r="Y3" s="3340"/>
      <c r="Z3" s="3335"/>
      <c r="AA3" s="3336"/>
      <c r="AB3" s="3339"/>
      <c r="AC3" s="3339"/>
      <c r="AD3" s="3340"/>
      <c r="AE3" s="3335"/>
      <c r="AF3" s="3336"/>
      <c r="AG3" s="3339"/>
      <c r="AH3" s="3339"/>
      <c r="AI3" s="3340"/>
      <c r="AJ3" s="3335"/>
      <c r="AK3" s="3336"/>
      <c r="AL3" s="3339"/>
      <c r="AM3" s="3339"/>
      <c r="AN3" s="3340"/>
      <c r="AO3" s="3335"/>
      <c r="AP3" s="3336"/>
      <c r="AQ3" s="3339"/>
      <c r="AR3" s="3339"/>
      <c r="AS3" s="3340"/>
      <c r="AT3" s="3335"/>
      <c r="AU3" s="3336"/>
      <c r="AV3" s="3339"/>
      <c r="AW3" s="3339"/>
      <c r="AX3" s="3340"/>
      <c r="AY3" s="3335"/>
      <c r="AZ3" s="3336"/>
      <c r="BA3" s="3339"/>
      <c r="BB3" s="3339"/>
      <c r="BC3" s="3340"/>
      <c r="BD3" s="3335"/>
      <c r="BE3" s="3336"/>
      <c r="BF3" s="3339"/>
      <c r="BG3" s="3339"/>
      <c r="BH3" s="3340"/>
      <c r="BI3" s="3335"/>
      <c r="BJ3" s="3336"/>
      <c r="BK3" s="3339"/>
      <c r="BL3" s="3339"/>
      <c r="BM3" s="3340"/>
      <c r="BN3" s="3335"/>
      <c r="BO3" s="3336"/>
      <c r="BP3" s="3339"/>
      <c r="BQ3" s="3339"/>
      <c r="BR3" s="3340"/>
    </row>
    <row r="4" spans="1:83" ht="0.75" customHeight="1" x14ac:dyDescent="0.25">
      <c r="A4" s="3335"/>
      <c r="B4" s="3336"/>
      <c r="C4" s="3339"/>
      <c r="D4" s="3339"/>
      <c r="E4" s="3340"/>
      <c r="F4" s="3335"/>
      <c r="G4" s="3336"/>
      <c r="H4" s="3339"/>
      <c r="I4" s="3339"/>
      <c r="J4" s="3340"/>
      <c r="K4" s="3335"/>
      <c r="L4" s="3336"/>
      <c r="M4" s="3339"/>
      <c r="N4" s="3339"/>
      <c r="O4" s="3340"/>
      <c r="P4" s="3335"/>
      <c r="Q4" s="3336"/>
      <c r="R4" s="3339"/>
      <c r="S4" s="3339"/>
      <c r="T4" s="3340"/>
      <c r="U4" s="3335"/>
      <c r="V4" s="3336"/>
      <c r="W4" s="3339"/>
      <c r="X4" s="3339"/>
      <c r="Y4" s="3340"/>
      <c r="Z4" s="3335"/>
      <c r="AA4" s="3336"/>
      <c r="AB4" s="3339"/>
      <c r="AC4" s="3339"/>
      <c r="AD4" s="3340"/>
      <c r="AE4" s="3335"/>
      <c r="AF4" s="3336"/>
      <c r="AG4" s="3339"/>
      <c r="AH4" s="3339"/>
      <c r="AI4" s="3340"/>
      <c r="AJ4" s="3335"/>
      <c r="AK4" s="3336"/>
      <c r="AL4" s="3339"/>
      <c r="AM4" s="3339"/>
      <c r="AN4" s="3340"/>
      <c r="AO4" s="3335"/>
      <c r="AP4" s="3336"/>
      <c r="AQ4" s="3339"/>
      <c r="AR4" s="3339"/>
      <c r="AS4" s="3340"/>
      <c r="AT4" s="3335"/>
      <c r="AU4" s="3336"/>
      <c r="AV4" s="3339"/>
      <c r="AW4" s="3339"/>
      <c r="AX4" s="3340"/>
      <c r="AY4" s="3335"/>
      <c r="AZ4" s="3336"/>
      <c r="BA4" s="3339"/>
      <c r="BB4" s="3339"/>
      <c r="BC4" s="3340"/>
      <c r="BD4" s="3335"/>
      <c r="BE4" s="3336"/>
      <c r="BF4" s="3339"/>
      <c r="BG4" s="3339"/>
      <c r="BH4" s="3340"/>
      <c r="BI4" s="3335"/>
      <c r="BJ4" s="3336"/>
      <c r="BK4" s="3339"/>
      <c r="BL4" s="3339"/>
      <c r="BM4" s="3340"/>
      <c r="BN4" s="3335"/>
      <c r="BO4" s="3336"/>
      <c r="BP4" s="3339"/>
      <c r="BQ4" s="3339"/>
      <c r="BR4" s="3340"/>
    </row>
    <row r="5" spans="1:83" ht="0.75" hidden="1" customHeight="1" x14ac:dyDescent="0.25">
      <c r="A5" s="3335"/>
      <c r="B5" s="3336"/>
      <c r="C5" s="3339"/>
      <c r="D5" s="3339"/>
      <c r="E5" s="3340"/>
      <c r="F5" s="3335"/>
      <c r="G5" s="3336"/>
      <c r="H5" s="3339"/>
      <c r="I5" s="3339"/>
      <c r="J5" s="3340"/>
      <c r="K5" s="3335"/>
      <c r="L5" s="3336"/>
      <c r="M5" s="3339"/>
      <c r="N5" s="3339"/>
      <c r="O5" s="3340"/>
      <c r="P5" s="3335"/>
      <c r="Q5" s="3336"/>
      <c r="R5" s="3339"/>
      <c r="S5" s="3339"/>
      <c r="T5" s="3340"/>
      <c r="U5" s="3335"/>
      <c r="V5" s="3336"/>
      <c r="W5" s="3339"/>
      <c r="X5" s="3339"/>
      <c r="Y5" s="3340"/>
      <c r="Z5" s="3335"/>
      <c r="AA5" s="3336"/>
      <c r="AB5" s="3339"/>
      <c r="AC5" s="3339"/>
      <c r="AD5" s="3340"/>
      <c r="AE5" s="3335"/>
      <c r="AF5" s="3336"/>
      <c r="AG5" s="3339"/>
      <c r="AH5" s="3339"/>
      <c r="AI5" s="3340"/>
      <c r="AJ5" s="3335"/>
      <c r="AK5" s="3336"/>
      <c r="AL5" s="3339"/>
      <c r="AM5" s="3339"/>
      <c r="AN5" s="3340"/>
      <c r="AO5" s="3335"/>
      <c r="AP5" s="3336"/>
      <c r="AQ5" s="3339"/>
      <c r="AR5" s="3339"/>
      <c r="AS5" s="3340"/>
      <c r="AT5" s="3335"/>
      <c r="AU5" s="3336"/>
      <c r="AV5" s="3339"/>
      <c r="AW5" s="3339"/>
      <c r="AX5" s="3340"/>
      <c r="AY5" s="3335"/>
      <c r="AZ5" s="3336"/>
      <c r="BA5" s="3339"/>
      <c r="BB5" s="3339"/>
      <c r="BC5" s="3340"/>
      <c r="BD5" s="3335"/>
      <c r="BE5" s="3336"/>
      <c r="BF5" s="3339"/>
      <c r="BG5" s="3339"/>
      <c r="BH5" s="3340"/>
      <c r="BI5" s="3335"/>
      <c r="BJ5" s="3336"/>
      <c r="BK5" s="3339"/>
      <c r="BL5" s="3339"/>
      <c r="BM5" s="3340"/>
      <c r="BN5" s="3335"/>
      <c r="BO5" s="3336"/>
      <c r="BP5" s="3339"/>
      <c r="BQ5" s="3339"/>
      <c r="BR5" s="3340"/>
    </row>
    <row r="6" spans="1:83" ht="28.5" customHeight="1" x14ac:dyDescent="0.25">
      <c r="A6" s="3341" t="s">
        <v>25</v>
      </c>
      <c r="B6" s="3342"/>
      <c r="C6" s="2319" t="s">
        <v>111</v>
      </c>
      <c r="D6" s="2320"/>
      <c r="E6" s="3343"/>
      <c r="F6" s="3341" t="s">
        <v>25</v>
      </c>
      <c r="G6" s="3342"/>
      <c r="H6" s="2319" t="s">
        <v>111</v>
      </c>
      <c r="I6" s="2320"/>
      <c r="J6" s="3343"/>
      <c r="K6" s="3341" t="s">
        <v>25</v>
      </c>
      <c r="L6" s="3342"/>
      <c r="M6" s="2319" t="s">
        <v>111</v>
      </c>
      <c r="N6" s="2320"/>
      <c r="O6" s="3343"/>
      <c r="P6" s="3341" t="s">
        <v>25</v>
      </c>
      <c r="Q6" s="3342"/>
      <c r="R6" s="2319" t="s">
        <v>111</v>
      </c>
      <c r="S6" s="2320"/>
      <c r="T6" s="3343"/>
      <c r="U6" s="3341" t="s">
        <v>25</v>
      </c>
      <c r="V6" s="3342"/>
      <c r="W6" s="2319" t="s">
        <v>111</v>
      </c>
      <c r="X6" s="2320"/>
      <c r="Y6" s="3343"/>
      <c r="Z6" s="3341" t="s">
        <v>25</v>
      </c>
      <c r="AA6" s="3342"/>
      <c r="AB6" s="2319" t="s">
        <v>111</v>
      </c>
      <c r="AC6" s="2320"/>
      <c r="AD6" s="3343"/>
      <c r="AE6" s="3341" t="s">
        <v>25</v>
      </c>
      <c r="AF6" s="3342"/>
      <c r="AG6" s="2319" t="s">
        <v>111</v>
      </c>
      <c r="AH6" s="2320"/>
      <c r="AI6" s="3343"/>
      <c r="AJ6" s="3341" t="s">
        <v>25</v>
      </c>
      <c r="AK6" s="3342"/>
      <c r="AL6" s="2319" t="s">
        <v>111</v>
      </c>
      <c r="AM6" s="2320"/>
      <c r="AN6" s="3343"/>
      <c r="AO6" s="3341" t="s">
        <v>25</v>
      </c>
      <c r="AP6" s="3342"/>
      <c r="AQ6" s="2319" t="s">
        <v>111</v>
      </c>
      <c r="AR6" s="2320"/>
      <c r="AS6" s="3343"/>
      <c r="AT6" s="3341" t="s">
        <v>25</v>
      </c>
      <c r="AU6" s="3342"/>
      <c r="AV6" s="2319" t="s">
        <v>111</v>
      </c>
      <c r="AW6" s="2320"/>
      <c r="AX6" s="3343"/>
      <c r="AY6" s="3341" t="s">
        <v>25</v>
      </c>
      <c r="AZ6" s="3342"/>
      <c r="BA6" s="2319" t="s">
        <v>111</v>
      </c>
      <c r="BB6" s="2320"/>
      <c r="BC6" s="3343"/>
      <c r="BD6" s="3341" t="s">
        <v>25</v>
      </c>
      <c r="BE6" s="3342"/>
      <c r="BF6" s="2319" t="s">
        <v>111</v>
      </c>
      <c r="BG6" s="2320"/>
      <c r="BH6" s="3343"/>
      <c r="BI6" s="3341" t="s">
        <v>25</v>
      </c>
      <c r="BJ6" s="3342"/>
      <c r="BK6" s="2319" t="s">
        <v>111</v>
      </c>
      <c r="BL6" s="2320"/>
      <c r="BM6" s="3343"/>
      <c r="BN6" s="3341" t="s">
        <v>25</v>
      </c>
      <c r="BO6" s="3342"/>
      <c r="BP6" s="2319" t="s">
        <v>111</v>
      </c>
      <c r="BQ6" s="2320"/>
      <c r="BR6" s="3343"/>
    </row>
    <row r="7" spans="1:83" s="22" customFormat="1" ht="80.099999999999994" customHeight="1" x14ac:dyDescent="1.35">
      <c r="A7" s="3328" t="s">
        <v>136</v>
      </c>
      <c r="B7" s="3326">
        <v>1</v>
      </c>
      <c r="C7" s="3326"/>
      <c r="D7" s="3326"/>
      <c r="E7" s="3327"/>
      <c r="F7" s="3328" t="s">
        <v>136</v>
      </c>
      <c r="G7" s="3326">
        <v>2</v>
      </c>
      <c r="H7" s="3326"/>
      <c r="I7" s="3326"/>
      <c r="J7" s="3327"/>
      <c r="K7" s="3328" t="s">
        <v>136</v>
      </c>
      <c r="L7" s="3326">
        <v>3</v>
      </c>
      <c r="M7" s="3326"/>
      <c r="N7" s="3326"/>
      <c r="O7" s="3327"/>
      <c r="P7" s="3328" t="s">
        <v>136</v>
      </c>
      <c r="Q7" s="3326">
        <v>4</v>
      </c>
      <c r="R7" s="3326"/>
      <c r="S7" s="3326"/>
      <c r="T7" s="3327"/>
      <c r="U7" s="3328" t="s">
        <v>136</v>
      </c>
      <c r="V7" s="3326">
        <v>5</v>
      </c>
      <c r="W7" s="3326"/>
      <c r="X7" s="3326"/>
      <c r="Y7" s="3327"/>
      <c r="Z7" s="3328" t="s">
        <v>136</v>
      </c>
      <c r="AA7" s="3326">
        <v>6</v>
      </c>
      <c r="AB7" s="3326"/>
      <c r="AC7" s="3326"/>
      <c r="AD7" s="3327"/>
      <c r="AE7" s="3328" t="s">
        <v>136</v>
      </c>
      <c r="AF7" s="3326">
        <v>7</v>
      </c>
      <c r="AG7" s="3326"/>
      <c r="AH7" s="3326"/>
      <c r="AI7" s="3327"/>
      <c r="AJ7" s="3328" t="s">
        <v>136</v>
      </c>
      <c r="AK7" s="3326">
        <v>8</v>
      </c>
      <c r="AL7" s="3326"/>
      <c r="AM7" s="3326"/>
      <c r="AN7" s="3327"/>
      <c r="AO7" s="3328" t="s">
        <v>136</v>
      </c>
      <c r="AP7" s="3326">
        <v>9</v>
      </c>
      <c r="AQ7" s="3326"/>
      <c r="AR7" s="3326"/>
      <c r="AS7" s="3327"/>
      <c r="AT7" s="3328" t="s">
        <v>136</v>
      </c>
      <c r="AU7" s="3326">
        <v>10</v>
      </c>
      <c r="AV7" s="3326"/>
      <c r="AW7" s="3326"/>
      <c r="AX7" s="3327"/>
      <c r="AY7" s="3328" t="s">
        <v>136</v>
      </c>
      <c r="AZ7" s="3326">
        <v>11</v>
      </c>
      <c r="BA7" s="3326"/>
      <c r="BB7" s="3326"/>
      <c r="BC7" s="3327"/>
      <c r="BD7" s="3328" t="s">
        <v>136</v>
      </c>
      <c r="BE7" s="3326">
        <v>12</v>
      </c>
      <c r="BF7" s="3326"/>
      <c r="BG7" s="3326"/>
      <c r="BH7" s="3327"/>
      <c r="BI7" s="3328" t="s">
        <v>136</v>
      </c>
      <c r="BJ7" s="3326">
        <v>13</v>
      </c>
      <c r="BK7" s="3326"/>
      <c r="BL7" s="3326"/>
      <c r="BM7" s="3327"/>
      <c r="BN7" s="3328" t="s">
        <v>136</v>
      </c>
      <c r="BO7" s="3326">
        <v>14</v>
      </c>
      <c r="BP7" s="3326"/>
      <c r="BQ7" s="3326"/>
      <c r="BR7" s="3327"/>
      <c r="BT7" s="217"/>
    </row>
    <row r="8" spans="1:83" ht="27" customHeight="1" thickBot="1" x14ac:dyDescent="0.3">
      <c r="A8" s="3329"/>
      <c r="B8" s="183">
        <v>0.20300000000000001</v>
      </c>
      <c r="C8" s="184" t="s">
        <v>113</v>
      </c>
      <c r="D8" s="185"/>
      <c r="E8" s="186" t="s">
        <v>114</v>
      </c>
      <c r="F8" s="3329"/>
      <c r="G8" s="183">
        <v>1.2699999999999999E-2</v>
      </c>
      <c r="H8" s="184" t="s">
        <v>113</v>
      </c>
      <c r="I8" s="185"/>
      <c r="J8" s="186" t="s">
        <v>114</v>
      </c>
      <c r="K8" s="3329"/>
      <c r="L8" s="183">
        <v>1.5489999999999999</v>
      </c>
      <c r="M8" s="184" t="s">
        <v>113</v>
      </c>
      <c r="N8" s="185">
        <v>1</v>
      </c>
      <c r="O8" s="186" t="s">
        <v>114</v>
      </c>
      <c r="P8" s="3329"/>
      <c r="Q8" s="183">
        <v>0.30499999999999999</v>
      </c>
      <c r="R8" s="184" t="s">
        <v>113</v>
      </c>
      <c r="S8" s="185"/>
      <c r="T8" s="186" t="s">
        <v>114</v>
      </c>
      <c r="U8" s="3329"/>
      <c r="V8" s="183">
        <v>0.20300000000000001</v>
      </c>
      <c r="W8" s="184" t="s">
        <v>113</v>
      </c>
      <c r="X8" s="185"/>
      <c r="Y8" s="186" t="s">
        <v>114</v>
      </c>
      <c r="Z8" s="3329"/>
      <c r="AA8" s="183">
        <v>1.778</v>
      </c>
      <c r="AB8" s="184" t="s">
        <v>113</v>
      </c>
      <c r="AC8" s="185">
        <v>1</v>
      </c>
      <c r="AD8" s="186" t="s">
        <v>114</v>
      </c>
      <c r="AE8" s="3329"/>
      <c r="AF8" s="183">
        <v>0.254</v>
      </c>
      <c r="AG8" s="184" t="s">
        <v>113</v>
      </c>
      <c r="AH8" s="185"/>
      <c r="AI8" s="186" t="s">
        <v>114</v>
      </c>
      <c r="AJ8" s="3329"/>
      <c r="AK8" s="183">
        <v>1E-4</v>
      </c>
      <c r="AL8" s="184" t="s">
        <v>113</v>
      </c>
      <c r="AM8" s="185"/>
      <c r="AN8" s="186" t="s">
        <v>114</v>
      </c>
      <c r="AO8" s="3329"/>
      <c r="AP8" s="183">
        <v>1E-4</v>
      </c>
      <c r="AQ8" s="184" t="s">
        <v>113</v>
      </c>
      <c r="AR8" s="185">
        <v>1</v>
      </c>
      <c r="AS8" s="186" t="s">
        <v>114</v>
      </c>
      <c r="AT8" s="3329"/>
      <c r="AU8" s="183">
        <v>1E-3</v>
      </c>
      <c r="AV8" s="184" t="s">
        <v>113</v>
      </c>
      <c r="AW8" s="185"/>
      <c r="AX8" s="186" t="s">
        <v>114</v>
      </c>
      <c r="AY8" s="3329"/>
      <c r="AZ8" s="183">
        <v>0.254</v>
      </c>
      <c r="BA8" s="184" t="s">
        <v>113</v>
      </c>
      <c r="BB8" s="185"/>
      <c r="BC8" s="186" t="s">
        <v>114</v>
      </c>
      <c r="BD8" s="3329"/>
      <c r="BE8" s="183">
        <v>2.7730000000000001</v>
      </c>
      <c r="BF8" s="184" t="s">
        <v>113</v>
      </c>
      <c r="BG8" s="185"/>
      <c r="BH8" s="186" t="s">
        <v>114</v>
      </c>
      <c r="BI8" s="3329"/>
      <c r="BJ8" s="183">
        <v>1E-3</v>
      </c>
      <c r="BK8" s="184" t="s">
        <v>113</v>
      </c>
      <c r="BL8" s="185"/>
      <c r="BM8" s="186" t="s">
        <v>114</v>
      </c>
      <c r="BN8" s="3329"/>
      <c r="BO8" s="183">
        <v>0.27900000000000003</v>
      </c>
      <c r="BP8" s="184" t="s">
        <v>113</v>
      </c>
      <c r="BQ8" s="185"/>
      <c r="BR8" s="186" t="s">
        <v>114</v>
      </c>
      <c r="BW8" s="27"/>
      <c r="BX8" s="27"/>
      <c r="BY8" s="27"/>
      <c r="BZ8" s="27"/>
      <c r="CA8" s="27"/>
      <c r="CB8" s="27"/>
      <c r="CC8" s="27"/>
      <c r="CD8" s="27"/>
      <c r="CE8" s="27"/>
    </row>
    <row r="9" spans="1:83" ht="26.1" customHeight="1" x14ac:dyDescent="0.25">
      <c r="A9" s="3333" t="s">
        <v>110</v>
      </c>
      <c r="B9" s="3334"/>
      <c r="C9" s="3337">
        <f>B15/((30*3.1415/59)*(91/3.281))</f>
        <v>9.4596744748169218E-2</v>
      </c>
      <c r="D9" s="3337"/>
      <c r="E9" s="3338"/>
      <c r="F9" s="3333" t="s">
        <v>110</v>
      </c>
      <c r="G9" s="3334"/>
      <c r="H9" s="3337">
        <f>G15/((30*3.1415/59)*(91/3.281))</f>
        <v>5.8482501942855279E-2</v>
      </c>
      <c r="I9" s="3337"/>
      <c r="J9" s="3338"/>
      <c r="K9" s="3333" t="s">
        <v>110</v>
      </c>
      <c r="L9" s="3334"/>
      <c r="M9" s="3337">
        <f>L15/((30*3.1415/59)*(91/3.281))</f>
        <v>3.9951381103378557E-3</v>
      </c>
      <c r="N9" s="3337"/>
      <c r="O9" s="3338"/>
      <c r="P9" s="3333" t="s">
        <v>110</v>
      </c>
      <c r="Q9" s="3334"/>
      <c r="R9" s="3337">
        <f>Q15/((30*3.1415/59)*(91/3.281))</f>
        <v>2.2571401753321217E-6</v>
      </c>
      <c r="S9" s="3337"/>
      <c r="T9" s="3338"/>
      <c r="U9" s="3333" t="s">
        <v>110</v>
      </c>
      <c r="V9" s="3334"/>
      <c r="W9" s="3337">
        <f>V15/((30*3.1415/59)*(91/3.281))</f>
        <v>2.2571401753321217E-6</v>
      </c>
      <c r="X9" s="3337"/>
      <c r="Y9" s="3338"/>
      <c r="Z9" s="3333" t="s">
        <v>110</v>
      </c>
      <c r="AA9" s="3334"/>
      <c r="AB9" s="3337">
        <f>AA15/((30*3.1415/59)*(91/3.281))</f>
        <v>2.4647970714626773E-2</v>
      </c>
      <c r="AC9" s="3337"/>
      <c r="AD9" s="3338"/>
      <c r="AE9" s="3333" t="s">
        <v>110</v>
      </c>
      <c r="AF9" s="3334"/>
      <c r="AG9" s="3337">
        <f>AF15/((30*3.1415/59)*(91/3.281))</f>
        <v>5.7331360453435898E-3</v>
      </c>
      <c r="AH9" s="3337"/>
      <c r="AI9" s="3338"/>
      <c r="AJ9" s="3333" t="s">
        <v>110</v>
      </c>
      <c r="AK9" s="3334"/>
      <c r="AL9" s="3337">
        <f>AK15/((30*3.1415/59)*(91/3.281))</f>
        <v>4.5819945559242075E-3</v>
      </c>
      <c r="AM9" s="3337"/>
      <c r="AN9" s="3338"/>
      <c r="AO9" s="3333" t="s">
        <v>110</v>
      </c>
      <c r="AP9" s="3334"/>
      <c r="AQ9" s="3337">
        <f>AP15/((30*3.1415/59)*(91/3.281))</f>
        <v>2.8101395182884917E-2</v>
      </c>
      <c r="AR9" s="3337"/>
      <c r="AS9" s="3338"/>
      <c r="AT9" s="3333" t="s">
        <v>110</v>
      </c>
      <c r="AU9" s="3334"/>
      <c r="AV9" s="3337">
        <f>AU15/((30*3.1415/59)*(91/3.281))</f>
        <v>6.2974210891766202E-3</v>
      </c>
      <c r="AW9" s="3337"/>
      <c r="AX9" s="3338"/>
      <c r="AY9" s="3333" t="s">
        <v>110</v>
      </c>
      <c r="AZ9" s="3334"/>
      <c r="BA9" s="3337">
        <f>AZ15/((30*3.1415/59)*(91/3.281))</f>
        <v>4.4713946873329337E-2</v>
      </c>
      <c r="BB9" s="3337"/>
      <c r="BC9" s="3338"/>
      <c r="BD9" s="3333" t="s">
        <v>110</v>
      </c>
      <c r="BE9" s="3334"/>
      <c r="BF9" s="3337">
        <f>BE15/((30*3.1415/51)*(91/3.281))</f>
        <v>1.0399295150178485E-2</v>
      </c>
      <c r="BG9" s="3337"/>
      <c r="BH9" s="3338"/>
      <c r="BI9" s="3333" t="s">
        <v>110</v>
      </c>
      <c r="BJ9" s="3334"/>
      <c r="BK9" s="3337">
        <f>BJ15/((30*3.1415/51)*(91/3.281))</f>
        <v>1.2877175983335459E-2</v>
      </c>
      <c r="BL9" s="3337"/>
      <c r="BM9" s="3338"/>
      <c r="BN9" s="3333" t="s">
        <v>110</v>
      </c>
      <c r="BO9" s="3334"/>
      <c r="BP9" s="3337">
        <f>BO15/((30*3.1415/51)*(91/3.281))</f>
        <v>1.5355056816492435E-2</v>
      </c>
      <c r="BQ9" s="3337"/>
      <c r="BR9" s="3338"/>
    </row>
    <row r="10" spans="1:83" ht="6.75" customHeight="1" x14ac:dyDescent="0.25">
      <c r="A10" s="3335"/>
      <c r="B10" s="3336"/>
      <c r="C10" s="3339"/>
      <c r="D10" s="3339"/>
      <c r="E10" s="3340"/>
      <c r="F10" s="3335"/>
      <c r="G10" s="3336"/>
      <c r="H10" s="3339"/>
      <c r="I10" s="3339"/>
      <c r="J10" s="3340"/>
      <c r="K10" s="3335"/>
      <c r="L10" s="3336"/>
      <c r="M10" s="3339"/>
      <c r="N10" s="3339"/>
      <c r="O10" s="3340"/>
      <c r="P10" s="3335"/>
      <c r="Q10" s="3336"/>
      <c r="R10" s="3339"/>
      <c r="S10" s="3339"/>
      <c r="T10" s="3340"/>
      <c r="U10" s="3335"/>
      <c r="V10" s="3336"/>
      <c r="W10" s="3339"/>
      <c r="X10" s="3339"/>
      <c r="Y10" s="3340"/>
      <c r="Z10" s="3335"/>
      <c r="AA10" s="3336"/>
      <c r="AB10" s="3339"/>
      <c r="AC10" s="3339"/>
      <c r="AD10" s="3340"/>
      <c r="AE10" s="3335"/>
      <c r="AF10" s="3336"/>
      <c r="AG10" s="3339"/>
      <c r="AH10" s="3339"/>
      <c r="AI10" s="3340"/>
      <c r="AJ10" s="3335"/>
      <c r="AK10" s="3336"/>
      <c r="AL10" s="3339"/>
      <c r="AM10" s="3339"/>
      <c r="AN10" s="3340"/>
      <c r="AO10" s="3335"/>
      <c r="AP10" s="3336"/>
      <c r="AQ10" s="3339"/>
      <c r="AR10" s="3339"/>
      <c r="AS10" s="3340"/>
      <c r="AT10" s="3335"/>
      <c r="AU10" s="3336"/>
      <c r="AV10" s="3339"/>
      <c r="AW10" s="3339"/>
      <c r="AX10" s="3340"/>
      <c r="AY10" s="3335"/>
      <c r="AZ10" s="3336"/>
      <c r="BA10" s="3339"/>
      <c r="BB10" s="3339"/>
      <c r="BC10" s="3340"/>
      <c r="BD10" s="3335"/>
      <c r="BE10" s="3336"/>
      <c r="BF10" s="3339"/>
      <c r="BG10" s="3339"/>
      <c r="BH10" s="3340"/>
      <c r="BI10" s="3335"/>
      <c r="BJ10" s="3336"/>
      <c r="BK10" s="3339"/>
      <c r="BL10" s="3339"/>
      <c r="BM10" s="3340"/>
      <c r="BN10" s="3335"/>
      <c r="BO10" s="3336"/>
      <c r="BP10" s="3339"/>
      <c r="BQ10" s="3339"/>
      <c r="BR10" s="3340"/>
    </row>
    <row r="11" spans="1:83" ht="9" customHeight="1" x14ac:dyDescent="0.25">
      <c r="A11" s="3335"/>
      <c r="B11" s="3336"/>
      <c r="C11" s="3339"/>
      <c r="D11" s="3339"/>
      <c r="E11" s="3340"/>
      <c r="F11" s="3335"/>
      <c r="G11" s="3336"/>
      <c r="H11" s="3339"/>
      <c r="I11" s="3339"/>
      <c r="J11" s="3340"/>
      <c r="K11" s="3335"/>
      <c r="L11" s="3336"/>
      <c r="M11" s="3339"/>
      <c r="N11" s="3339"/>
      <c r="O11" s="3340"/>
      <c r="P11" s="3335"/>
      <c r="Q11" s="3336"/>
      <c r="R11" s="3339"/>
      <c r="S11" s="3339"/>
      <c r="T11" s="3340"/>
      <c r="U11" s="3335"/>
      <c r="V11" s="3336"/>
      <c r="W11" s="3339"/>
      <c r="X11" s="3339"/>
      <c r="Y11" s="3340"/>
      <c r="Z11" s="3335"/>
      <c r="AA11" s="3336"/>
      <c r="AB11" s="3339"/>
      <c r="AC11" s="3339"/>
      <c r="AD11" s="3340"/>
      <c r="AE11" s="3335"/>
      <c r="AF11" s="3336"/>
      <c r="AG11" s="3339"/>
      <c r="AH11" s="3339"/>
      <c r="AI11" s="3340"/>
      <c r="AJ11" s="3335"/>
      <c r="AK11" s="3336"/>
      <c r="AL11" s="3339"/>
      <c r="AM11" s="3339"/>
      <c r="AN11" s="3340"/>
      <c r="AO11" s="3335"/>
      <c r="AP11" s="3336"/>
      <c r="AQ11" s="3339"/>
      <c r="AR11" s="3339"/>
      <c r="AS11" s="3340"/>
      <c r="AT11" s="3335"/>
      <c r="AU11" s="3336"/>
      <c r="AV11" s="3339"/>
      <c r="AW11" s="3339"/>
      <c r="AX11" s="3340"/>
      <c r="AY11" s="3335"/>
      <c r="AZ11" s="3336"/>
      <c r="BA11" s="3339"/>
      <c r="BB11" s="3339"/>
      <c r="BC11" s="3340"/>
      <c r="BD11" s="3335"/>
      <c r="BE11" s="3336"/>
      <c r="BF11" s="3339"/>
      <c r="BG11" s="3339"/>
      <c r="BH11" s="3340"/>
      <c r="BI11" s="3335"/>
      <c r="BJ11" s="3336"/>
      <c r="BK11" s="3339"/>
      <c r="BL11" s="3339"/>
      <c r="BM11" s="3340"/>
      <c r="BN11" s="3335"/>
      <c r="BO11" s="3336"/>
      <c r="BP11" s="3339"/>
      <c r="BQ11" s="3339"/>
      <c r="BR11" s="3340"/>
    </row>
    <row r="12" spans="1:83" ht="6" hidden="1" customHeight="1" x14ac:dyDescent="0.25">
      <c r="A12" s="3335"/>
      <c r="B12" s="3336"/>
      <c r="C12" s="3339"/>
      <c r="D12" s="3339"/>
      <c r="E12" s="3340"/>
      <c r="F12" s="3335"/>
      <c r="G12" s="3336"/>
      <c r="H12" s="3339"/>
      <c r="I12" s="3339"/>
      <c r="J12" s="3340"/>
      <c r="K12" s="3335"/>
      <c r="L12" s="3336"/>
      <c r="M12" s="3339"/>
      <c r="N12" s="3339"/>
      <c r="O12" s="3340"/>
      <c r="P12" s="3335"/>
      <c r="Q12" s="3336"/>
      <c r="R12" s="3339"/>
      <c r="S12" s="3339"/>
      <c r="T12" s="3340"/>
      <c r="U12" s="3335"/>
      <c r="V12" s="3336"/>
      <c r="W12" s="3339"/>
      <c r="X12" s="3339"/>
      <c r="Y12" s="3340"/>
      <c r="Z12" s="3335"/>
      <c r="AA12" s="3336"/>
      <c r="AB12" s="3339"/>
      <c r="AC12" s="3339"/>
      <c r="AD12" s="3340"/>
      <c r="AE12" s="3335"/>
      <c r="AF12" s="3336"/>
      <c r="AG12" s="3339"/>
      <c r="AH12" s="3339"/>
      <c r="AI12" s="3340"/>
      <c r="AJ12" s="3335"/>
      <c r="AK12" s="3336"/>
      <c r="AL12" s="3339"/>
      <c r="AM12" s="3339"/>
      <c r="AN12" s="3340"/>
      <c r="AO12" s="3335"/>
      <c r="AP12" s="3336"/>
      <c r="AQ12" s="3339"/>
      <c r="AR12" s="3339"/>
      <c r="AS12" s="3340"/>
      <c r="AT12" s="3335"/>
      <c r="AU12" s="3336"/>
      <c r="AV12" s="3339"/>
      <c r="AW12" s="3339"/>
      <c r="AX12" s="3340"/>
      <c r="AY12" s="3335"/>
      <c r="AZ12" s="3336"/>
      <c r="BA12" s="3339"/>
      <c r="BB12" s="3339"/>
      <c r="BC12" s="3340"/>
      <c r="BD12" s="3335"/>
      <c r="BE12" s="3336"/>
      <c r="BF12" s="3339"/>
      <c r="BG12" s="3339"/>
      <c r="BH12" s="3340"/>
      <c r="BI12" s="3335"/>
      <c r="BJ12" s="3336"/>
      <c r="BK12" s="3339"/>
      <c r="BL12" s="3339"/>
      <c r="BM12" s="3340"/>
      <c r="BN12" s="3335"/>
      <c r="BO12" s="3336"/>
      <c r="BP12" s="3339"/>
      <c r="BQ12" s="3339"/>
      <c r="BR12" s="3340"/>
    </row>
    <row r="13" spans="1:83" ht="27.75" customHeight="1" x14ac:dyDescent="0.25">
      <c r="A13" s="3341" t="s">
        <v>25</v>
      </c>
      <c r="B13" s="3342"/>
      <c r="C13" s="2319" t="s">
        <v>111</v>
      </c>
      <c r="D13" s="2320"/>
      <c r="E13" s="3343"/>
      <c r="F13" s="3341" t="s">
        <v>25</v>
      </c>
      <c r="G13" s="3342"/>
      <c r="H13" s="2319" t="s">
        <v>111</v>
      </c>
      <c r="I13" s="2320"/>
      <c r="J13" s="3343"/>
      <c r="K13" s="3341" t="s">
        <v>25</v>
      </c>
      <c r="L13" s="3342"/>
      <c r="M13" s="2319" t="s">
        <v>111</v>
      </c>
      <c r="N13" s="2320"/>
      <c r="O13" s="3343"/>
      <c r="P13" s="3341" t="s">
        <v>25</v>
      </c>
      <c r="Q13" s="3342"/>
      <c r="R13" s="2319" t="s">
        <v>111</v>
      </c>
      <c r="S13" s="2320"/>
      <c r="T13" s="3343"/>
      <c r="U13" s="3341" t="s">
        <v>25</v>
      </c>
      <c r="V13" s="3342"/>
      <c r="W13" s="2319" t="s">
        <v>111</v>
      </c>
      <c r="X13" s="2320"/>
      <c r="Y13" s="3343"/>
      <c r="Z13" s="3341" t="s">
        <v>25</v>
      </c>
      <c r="AA13" s="3342"/>
      <c r="AB13" s="2319" t="s">
        <v>111</v>
      </c>
      <c r="AC13" s="2320"/>
      <c r="AD13" s="3343"/>
      <c r="AE13" s="3341" t="s">
        <v>25</v>
      </c>
      <c r="AF13" s="3342"/>
      <c r="AG13" s="2319" t="s">
        <v>111</v>
      </c>
      <c r="AH13" s="2320"/>
      <c r="AI13" s="3343"/>
      <c r="AJ13" s="3341" t="s">
        <v>25</v>
      </c>
      <c r="AK13" s="3342"/>
      <c r="AL13" s="2319" t="s">
        <v>111</v>
      </c>
      <c r="AM13" s="2320"/>
      <c r="AN13" s="3343"/>
      <c r="AO13" s="3341" t="s">
        <v>25</v>
      </c>
      <c r="AP13" s="3342"/>
      <c r="AQ13" s="2319" t="s">
        <v>111</v>
      </c>
      <c r="AR13" s="2320"/>
      <c r="AS13" s="3343"/>
      <c r="AT13" s="3341" t="s">
        <v>25</v>
      </c>
      <c r="AU13" s="3342"/>
      <c r="AV13" s="2319" t="s">
        <v>111</v>
      </c>
      <c r="AW13" s="2320"/>
      <c r="AX13" s="3343"/>
      <c r="AY13" s="3341" t="s">
        <v>25</v>
      </c>
      <c r="AZ13" s="3342"/>
      <c r="BA13" s="2319" t="s">
        <v>111</v>
      </c>
      <c r="BB13" s="2320"/>
      <c r="BC13" s="3343"/>
      <c r="BD13" s="3341" t="s">
        <v>25</v>
      </c>
      <c r="BE13" s="3342"/>
      <c r="BF13" s="2319" t="s">
        <v>111</v>
      </c>
      <c r="BG13" s="2320"/>
      <c r="BH13" s="3343"/>
      <c r="BI13" s="3341" t="s">
        <v>25</v>
      </c>
      <c r="BJ13" s="3342"/>
      <c r="BK13" s="2319" t="s">
        <v>111</v>
      </c>
      <c r="BL13" s="2320"/>
      <c r="BM13" s="3343"/>
      <c r="BN13" s="3341" t="s">
        <v>25</v>
      </c>
      <c r="BO13" s="3342"/>
      <c r="BP13" s="3341" t="s">
        <v>111</v>
      </c>
      <c r="BQ13" s="3550"/>
      <c r="BR13" s="3550"/>
    </row>
    <row r="14" spans="1:83" s="22" customFormat="1" ht="80.099999999999994" customHeight="1" x14ac:dyDescent="1.35">
      <c r="A14" s="3328" t="s">
        <v>136</v>
      </c>
      <c r="B14" s="3326">
        <v>15</v>
      </c>
      <c r="C14" s="3326"/>
      <c r="D14" s="3326"/>
      <c r="E14" s="3327"/>
      <c r="F14" s="3328" t="s">
        <v>136</v>
      </c>
      <c r="G14" s="3326">
        <v>16</v>
      </c>
      <c r="H14" s="3326"/>
      <c r="I14" s="3326"/>
      <c r="J14" s="3327"/>
      <c r="K14" s="3328" t="s">
        <v>136</v>
      </c>
      <c r="L14" s="3326">
        <v>17</v>
      </c>
      <c r="M14" s="3326"/>
      <c r="N14" s="3326"/>
      <c r="O14" s="3327"/>
      <c r="P14" s="3328" t="s">
        <v>136</v>
      </c>
      <c r="Q14" s="3326">
        <v>18</v>
      </c>
      <c r="R14" s="3326"/>
      <c r="S14" s="3326"/>
      <c r="T14" s="3327"/>
      <c r="U14" s="3328" t="s">
        <v>136</v>
      </c>
      <c r="V14" s="3326">
        <v>19</v>
      </c>
      <c r="W14" s="3326"/>
      <c r="X14" s="3326"/>
      <c r="Y14" s="3327"/>
      <c r="Z14" s="3328" t="s">
        <v>136</v>
      </c>
      <c r="AA14" s="3326">
        <v>20</v>
      </c>
      <c r="AB14" s="3326"/>
      <c r="AC14" s="3326"/>
      <c r="AD14" s="3327"/>
      <c r="AE14" s="3328" t="s">
        <v>136</v>
      </c>
      <c r="AF14" s="3326">
        <v>21</v>
      </c>
      <c r="AG14" s="3326"/>
      <c r="AH14" s="3326"/>
      <c r="AI14" s="3327"/>
      <c r="AJ14" s="3328" t="s">
        <v>136</v>
      </c>
      <c r="AK14" s="3326">
        <v>22</v>
      </c>
      <c r="AL14" s="3326"/>
      <c r="AM14" s="3326"/>
      <c r="AN14" s="3327"/>
      <c r="AO14" s="3328" t="s">
        <v>136</v>
      </c>
      <c r="AP14" s="3326">
        <v>23</v>
      </c>
      <c r="AQ14" s="3326"/>
      <c r="AR14" s="3326"/>
      <c r="AS14" s="3327"/>
      <c r="AT14" s="3328" t="s">
        <v>136</v>
      </c>
      <c r="AU14" s="3326">
        <v>24</v>
      </c>
      <c r="AV14" s="3326"/>
      <c r="AW14" s="3326"/>
      <c r="AX14" s="3327"/>
      <c r="AY14" s="3328" t="s">
        <v>136</v>
      </c>
      <c r="AZ14" s="3326">
        <v>25</v>
      </c>
      <c r="BA14" s="3326"/>
      <c r="BB14" s="3326"/>
      <c r="BC14" s="3327"/>
      <c r="BD14" s="3328" t="s">
        <v>136</v>
      </c>
      <c r="BE14" s="3326">
        <v>26</v>
      </c>
      <c r="BF14" s="3326"/>
      <c r="BG14" s="3326"/>
      <c r="BH14" s="3327"/>
      <c r="BI14" s="3328" t="s">
        <v>136</v>
      </c>
      <c r="BJ14" s="3326">
        <v>27</v>
      </c>
      <c r="BK14" s="3326"/>
      <c r="BL14" s="3326"/>
      <c r="BM14" s="3327"/>
      <c r="BN14" s="3328" t="s">
        <v>136</v>
      </c>
      <c r="BO14" s="3326">
        <v>28</v>
      </c>
      <c r="BP14" s="3326"/>
      <c r="BQ14" s="3326"/>
      <c r="BR14" s="3327"/>
      <c r="BT14" s="218"/>
    </row>
    <row r="15" spans="1:83" ht="27" customHeight="1" thickBot="1" x14ac:dyDescent="0.3">
      <c r="A15" s="3329"/>
      <c r="B15" s="183">
        <v>4.1909999999999998</v>
      </c>
      <c r="C15" s="184" t="s">
        <v>113</v>
      </c>
      <c r="D15" s="185">
        <v>1</v>
      </c>
      <c r="E15" s="186" t="s">
        <v>114</v>
      </c>
      <c r="F15" s="3329"/>
      <c r="G15" s="183">
        <v>2.5910000000000002</v>
      </c>
      <c r="H15" s="184" t="s">
        <v>113</v>
      </c>
      <c r="I15" s="185"/>
      <c r="J15" s="186" t="s">
        <v>114</v>
      </c>
      <c r="K15" s="3329"/>
      <c r="L15" s="183">
        <v>0.17699999999999999</v>
      </c>
      <c r="M15" s="184" t="s">
        <v>113</v>
      </c>
      <c r="N15" s="185"/>
      <c r="O15" s="186" t="s">
        <v>114</v>
      </c>
      <c r="P15" s="3329"/>
      <c r="Q15" s="183">
        <v>1E-4</v>
      </c>
      <c r="R15" s="184" t="s">
        <v>113</v>
      </c>
      <c r="S15" s="185">
        <v>1</v>
      </c>
      <c r="T15" s="186" t="s">
        <v>114</v>
      </c>
      <c r="U15" s="3329"/>
      <c r="V15" s="183">
        <v>1E-4</v>
      </c>
      <c r="W15" s="184" t="s">
        <v>113</v>
      </c>
      <c r="X15" s="185"/>
      <c r="Y15" s="186" t="s">
        <v>114</v>
      </c>
      <c r="Z15" s="3329"/>
      <c r="AA15" s="183">
        <v>1.0920000000000001</v>
      </c>
      <c r="AB15" s="184" t="s">
        <v>113</v>
      </c>
      <c r="AC15" s="185"/>
      <c r="AD15" s="186" t="s">
        <v>114</v>
      </c>
      <c r="AE15" s="3329"/>
      <c r="AF15" s="183">
        <v>0.254</v>
      </c>
      <c r="AG15" s="184" t="s">
        <v>113</v>
      </c>
      <c r="AH15" s="185">
        <v>1</v>
      </c>
      <c r="AI15" s="186" t="s">
        <v>114</v>
      </c>
      <c r="AJ15" s="3329"/>
      <c r="AK15" s="183">
        <v>0.20300000000000001</v>
      </c>
      <c r="AL15" s="184" t="s">
        <v>113</v>
      </c>
      <c r="AM15" s="185"/>
      <c r="AN15" s="186" t="s">
        <v>114</v>
      </c>
      <c r="AO15" s="3329"/>
      <c r="AP15" s="183">
        <v>1.2450000000000001</v>
      </c>
      <c r="AQ15" s="184" t="s">
        <v>113</v>
      </c>
      <c r="AR15" s="185">
        <v>1</v>
      </c>
      <c r="AS15" s="186" t="s">
        <v>114</v>
      </c>
      <c r="AT15" s="3329"/>
      <c r="AU15" s="183">
        <v>0.27900000000000003</v>
      </c>
      <c r="AV15" s="184" t="s">
        <v>113</v>
      </c>
      <c r="AW15" s="185"/>
      <c r="AX15" s="186" t="s">
        <v>114</v>
      </c>
      <c r="AY15" s="3329"/>
      <c r="AZ15" s="183">
        <v>1.9810000000000001</v>
      </c>
      <c r="BA15" s="184" t="s">
        <v>113</v>
      </c>
      <c r="BB15" s="185"/>
      <c r="BC15" s="186" t="s">
        <v>114</v>
      </c>
      <c r="BD15" s="3329"/>
      <c r="BE15" s="183">
        <v>0.53300000000000003</v>
      </c>
      <c r="BF15" s="184" t="s">
        <v>113</v>
      </c>
      <c r="BG15" s="185"/>
      <c r="BH15" s="186" t="s">
        <v>114</v>
      </c>
      <c r="BI15" s="3329"/>
      <c r="BJ15" s="183">
        <v>0.66</v>
      </c>
      <c r="BK15" s="184" t="s">
        <v>113</v>
      </c>
      <c r="BL15" s="185"/>
      <c r="BM15" s="186" t="s">
        <v>114</v>
      </c>
      <c r="BN15" s="3329"/>
      <c r="BO15" s="183">
        <v>0.78700000000000003</v>
      </c>
      <c r="BP15" s="184" t="s">
        <v>113</v>
      </c>
      <c r="BQ15" s="185"/>
      <c r="BR15" s="186" t="s">
        <v>114</v>
      </c>
      <c r="BW15" s="27"/>
      <c r="BX15" s="27"/>
      <c r="BY15" s="27"/>
      <c r="BZ15" s="27"/>
      <c r="CA15" s="27"/>
      <c r="CB15" s="27"/>
      <c r="CC15" s="27"/>
      <c r="CD15" s="27"/>
      <c r="CE15" s="27"/>
    </row>
    <row r="16" spans="1:83" ht="26.1" customHeight="1" x14ac:dyDescent="0.25">
      <c r="A16" s="3333" t="s">
        <v>110</v>
      </c>
      <c r="B16" s="3334"/>
      <c r="C16" s="3337">
        <f>B22/((30*3.1415/51)*(91/3.281))</f>
        <v>3.9607071585107548E-3</v>
      </c>
      <c r="D16" s="3337"/>
      <c r="E16" s="3338"/>
      <c r="F16" s="3333" t="s">
        <v>110</v>
      </c>
      <c r="G16" s="3334"/>
      <c r="H16" s="3337">
        <f>G22/((30*3.1415/51)*(91/3.281))</f>
        <v>7.9214143170215096E-3</v>
      </c>
      <c r="I16" s="3337"/>
      <c r="J16" s="3338"/>
      <c r="K16" s="3333" t="s">
        <v>110</v>
      </c>
      <c r="L16" s="3334"/>
      <c r="M16" s="3337">
        <f>L22/((30*3.1415/51)*(91/3.281))</f>
        <v>1.9510872702023427E-6</v>
      </c>
      <c r="N16" s="3337"/>
      <c r="O16" s="3338"/>
      <c r="P16" s="3333" t="s">
        <v>110</v>
      </c>
      <c r="Q16" s="3334"/>
      <c r="R16" s="3337">
        <f>Q22/((30*3.1415/51)*(91/3.281))</f>
        <v>3.071011363298487E-2</v>
      </c>
      <c r="S16" s="3337"/>
      <c r="T16" s="3338"/>
      <c r="U16" s="3333" t="s">
        <v>110</v>
      </c>
      <c r="V16" s="3334"/>
      <c r="W16" s="3337">
        <f>V22/((30*3.1415/51)*(91/3.281))</f>
        <v>1.9510872702023427E-6</v>
      </c>
      <c r="X16" s="3337"/>
      <c r="Y16" s="3338"/>
      <c r="Z16" s="3333" t="s">
        <v>110</v>
      </c>
      <c r="AA16" s="3334"/>
      <c r="AB16" s="3337">
        <f>AA22/((30*3.1415/51)*(91/3.281))</f>
        <v>3.9607071585107548E-3</v>
      </c>
      <c r="AC16" s="3337"/>
      <c r="AD16" s="3338"/>
      <c r="AE16" s="3333" t="s">
        <v>110</v>
      </c>
      <c r="AF16" s="3334"/>
      <c r="AG16" s="3337">
        <f>AF22/((30*3.1415/51)*(91/3.281))</f>
        <v>8.9164688248247054E-3</v>
      </c>
      <c r="AH16" s="3337"/>
      <c r="AI16" s="3338"/>
      <c r="AJ16" s="3333" t="s">
        <v>110</v>
      </c>
      <c r="AK16" s="3334"/>
      <c r="AL16" s="3337">
        <f>AK22/((30*3.1415/51)*(91/3.281))</f>
        <v>7.9214143170215096E-3</v>
      </c>
      <c r="AM16" s="3337"/>
      <c r="AN16" s="3338"/>
      <c r="AO16" s="3333" t="s">
        <v>110</v>
      </c>
      <c r="AP16" s="3334"/>
      <c r="AQ16" s="3337">
        <f>AP22/((30*3.1415/51)*(91/3.281))</f>
        <v>4.508962681437613E-2</v>
      </c>
      <c r="AR16" s="3337"/>
      <c r="AS16" s="3338"/>
      <c r="AT16" s="3333" t="s">
        <v>110</v>
      </c>
      <c r="AU16" s="3334"/>
      <c r="AV16" s="3337">
        <f>AU22/((30*3.1415/51)*(91/3.281))</f>
        <v>1.9510872702023424E-5</v>
      </c>
      <c r="AW16" s="3337"/>
      <c r="AX16" s="3338"/>
      <c r="AY16" s="3333" t="s">
        <v>110</v>
      </c>
      <c r="AZ16" s="3334"/>
      <c r="BA16" s="3337">
        <f>AZ22/((30*3.1415/51)*(91/3.281))</f>
        <v>1.8827992157452605E-2</v>
      </c>
      <c r="BB16" s="3337"/>
      <c r="BC16" s="3338"/>
      <c r="BD16" s="3333" t="s">
        <v>110</v>
      </c>
      <c r="BE16" s="3334"/>
      <c r="BF16" s="3337">
        <f>BE22/((30*3.1415/51)*(91/3.281))</f>
        <v>1.9510872702023424E-5</v>
      </c>
      <c r="BG16" s="3337"/>
      <c r="BH16" s="3338"/>
      <c r="BI16" s="3333" t="s">
        <v>110</v>
      </c>
      <c r="BJ16" s="3334"/>
      <c r="BK16" s="3337">
        <f>BJ22/((30*3.1415/51)*(91/3.281))</f>
        <v>1.9510872702023427E-6</v>
      </c>
      <c r="BL16" s="3337"/>
      <c r="BM16" s="3338"/>
      <c r="BN16" s="3333" t="s">
        <v>110</v>
      </c>
      <c r="BO16" s="3334"/>
      <c r="BP16" s="3337">
        <f>BO22/((30*3.1415/51)*(91/3.281))</f>
        <v>1.0887066967729071E-2</v>
      </c>
      <c r="BQ16" s="3337"/>
      <c r="BR16" s="3338"/>
    </row>
    <row r="17" spans="1:138" ht="6.75" customHeight="1" x14ac:dyDescent="0.25">
      <c r="A17" s="3335"/>
      <c r="B17" s="3336"/>
      <c r="C17" s="3339"/>
      <c r="D17" s="3339"/>
      <c r="E17" s="3340"/>
      <c r="F17" s="3335"/>
      <c r="G17" s="3336"/>
      <c r="H17" s="3339"/>
      <c r="I17" s="3339"/>
      <c r="J17" s="3340"/>
      <c r="K17" s="3335"/>
      <c r="L17" s="3336"/>
      <c r="M17" s="3339"/>
      <c r="N17" s="3339"/>
      <c r="O17" s="3340"/>
      <c r="P17" s="3335"/>
      <c r="Q17" s="3336"/>
      <c r="R17" s="3339"/>
      <c r="S17" s="3339"/>
      <c r="T17" s="3340"/>
      <c r="U17" s="3335"/>
      <c r="V17" s="3336"/>
      <c r="W17" s="3339"/>
      <c r="X17" s="3339"/>
      <c r="Y17" s="3340"/>
      <c r="Z17" s="3335"/>
      <c r="AA17" s="3336"/>
      <c r="AB17" s="3339"/>
      <c r="AC17" s="3339"/>
      <c r="AD17" s="3340"/>
      <c r="AE17" s="3335"/>
      <c r="AF17" s="3336"/>
      <c r="AG17" s="3339"/>
      <c r="AH17" s="3339"/>
      <c r="AI17" s="3340"/>
      <c r="AJ17" s="3335"/>
      <c r="AK17" s="3336"/>
      <c r="AL17" s="3339"/>
      <c r="AM17" s="3339"/>
      <c r="AN17" s="3340"/>
      <c r="AO17" s="3335"/>
      <c r="AP17" s="3336"/>
      <c r="AQ17" s="3339"/>
      <c r="AR17" s="3339"/>
      <c r="AS17" s="3340"/>
      <c r="AT17" s="3335"/>
      <c r="AU17" s="3336"/>
      <c r="AV17" s="3339"/>
      <c r="AW17" s="3339"/>
      <c r="AX17" s="3340"/>
      <c r="AY17" s="3335"/>
      <c r="AZ17" s="3336"/>
      <c r="BA17" s="3339"/>
      <c r="BB17" s="3339"/>
      <c r="BC17" s="3340"/>
      <c r="BD17" s="3335"/>
      <c r="BE17" s="3336"/>
      <c r="BF17" s="3339"/>
      <c r="BG17" s="3339"/>
      <c r="BH17" s="3340"/>
      <c r="BI17" s="3335"/>
      <c r="BJ17" s="3336"/>
      <c r="BK17" s="3339"/>
      <c r="BL17" s="3339"/>
      <c r="BM17" s="3340"/>
      <c r="BN17" s="3335"/>
      <c r="BO17" s="3336"/>
      <c r="BP17" s="3339"/>
      <c r="BQ17" s="3339"/>
      <c r="BR17" s="3340"/>
    </row>
    <row r="18" spans="1:138" ht="12.75" customHeight="1" x14ac:dyDescent="0.25">
      <c r="A18" s="3335"/>
      <c r="B18" s="3336"/>
      <c r="C18" s="3339"/>
      <c r="D18" s="3339"/>
      <c r="E18" s="3340"/>
      <c r="F18" s="3335"/>
      <c r="G18" s="3336"/>
      <c r="H18" s="3339"/>
      <c r="I18" s="3339"/>
      <c r="J18" s="3340"/>
      <c r="K18" s="3335"/>
      <c r="L18" s="3336"/>
      <c r="M18" s="3339"/>
      <c r="N18" s="3339"/>
      <c r="O18" s="3340"/>
      <c r="P18" s="3335"/>
      <c r="Q18" s="3336"/>
      <c r="R18" s="3339"/>
      <c r="S18" s="3339"/>
      <c r="T18" s="3340"/>
      <c r="U18" s="3335"/>
      <c r="V18" s="3336"/>
      <c r="W18" s="3339"/>
      <c r="X18" s="3339"/>
      <c r="Y18" s="3340"/>
      <c r="Z18" s="3335"/>
      <c r="AA18" s="3336"/>
      <c r="AB18" s="3339"/>
      <c r="AC18" s="3339"/>
      <c r="AD18" s="3340"/>
      <c r="AE18" s="3335"/>
      <c r="AF18" s="3336"/>
      <c r="AG18" s="3339"/>
      <c r="AH18" s="3339"/>
      <c r="AI18" s="3340"/>
      <c r="AJ18" s="3335"/>
      <c r="AK18" s="3336"/>
      <c r="AL18" s="3339"/>
      <c r="AM18" s="3339"/>
      <c r="AN18" s="3340"/>
      <c r="AO18" s="3335"/>
      <c r="AP18" s="3336"/>
      <c r="AQ18" s="3339"/>
      <c r="AR18" s="3339"/>
      <c r="AS18" s="3340"/>
      <c r="AT18" s="3335"/>
      <c r="AU18" s="3336"/>
      <c r="AV18" s="3339"/>
      <c r="AW18" s="3339"/>
      <c r="AX18" s="3340"/>
      <c r="AY18" s="3335"/>
      <c r="AZ18" s="3336"/>
      <c r="BA18" s="3339"/>
      <c r="BB18" s="3339"/>
      <c r="BC18" s="3340"/>
      <c r="BD18" s="3335"/>
      <c r="BE18" s="3336"/>
      <c r="BF18" s="3339"/>
      <c r="BG18" s="3339"/>
      <c r="BH18" s="3340"/>
      <c r="BI18" s="3335"/>
      <c r="BJ18" s="3336"/>
      <c r="BK18" s="3339"/>
      <c r="BL18" s="3339"/>
      <c r="BM18" s="3340"/>
      <c r="BN18" s="3335"/>
      <c r="BO18" s="3336"/>
      <c r="BP18" s="3339"/>
      <c r="BQ18" s="3339"/>
      <c r="BR18" s="3340"/>
    </row>
    <row r="19" spans="1:138" ht="6" hidden="1" customHeight="1" x14ac:dyDescent="0.25">
      <c r="A19" s="3335"/>
      <c r="B19" s="3336"/>
      <c r="C19" s="3339"/>
      <c r="D19" s="3339"/>
      <c r="E19" s="3340"/>
      <c r="F19" s="3335"/>
      <c r="G19" s="3336"/>
      <c r="H19" s="3339"/>
      <c r="I19" s="3339"/>
      <c r="J19" s="3340"/>
      <c r="K19" s="3335"/>
      <c r="L19" s="3336"/>
      <c r="M19" s="3339"/>
      <c r="N19" s="3339"/>
      <c r="O19" s="3340"/>
      <c r="P19" s="3335"/>
      <c r="Q19" s="3336"/>
      <c r="R19" s="3339"/>
      <c r="S19" s="3339"/>
      <c r="T19" s="3340"/>
      <c r="U19" s="3335"/>
      <c r="V19" s="3336"/>
      <c r="W19" s="3339"/>
      <c r="X19" s="3339"/>
      <c r="Y19" s="3340"/>
      <c r="Z19" s="3335"/>
      <c r="AA19" s="3336"/>
      <c r="AB19" s="3339"/>
      <c r="AC19" s="3339"/>
      <c r="AD19" s="3340"/>
      <c r="AE19" s="3335"/>
      <c r="AF19" s="3336"/>
      <c r="AG19" s="3339"/>
      <c r="AH19" s="3339"/>
      <c r="AI19" s="3340"/>
      <c r="AJ19" s="3335"/>
      <c r="AK19" s="3336"/>
      <c r="AL19" s="3339"/>
      <c r="AM19" s="3339"/>
      <c r="AN19" s="3340"/>
      <c r="AO19" s="3335"/>
      <c r="AP19" s="3336"/>
      <c r="AQ19" s="3339"/>
      <c r="AR19" s="3339"/>
      <c r="AS19" s="3340"/>
      <c r="AT19" s="3335"/>
      <c r="AU19" s="3336"/>
      <c r="AV19" s="3339"/>
      <c r="AW19" s="3339"/>
      <c r="AX19" s="3340"/>
      <c r="AY19" s="3335"/>
      <c r="AZ19" s="3336"/>
      <c r="BA19" s="3339"/>
      <c r="BB19" s="3339"/>
      <c r="BC19" s="3340"/>
      <c r="BD19" s="3335"/>
      <c r="BE19" s="3336"/>
      <c r="BF19" s="3339"/>
      <c r="BG19" s="3339"/>
      <c r="BH19" s="3340"/>
      <c r="BI19" s="3335"/>
      <c r="BJ19" s="3336"/>
      <c r="BK19" s="3339"/>
      <c r="BL19" s="3339"/>
      <c r="BM19" s="3340"/>
      <c r="BN19" s="3335"/>
      <c r="BO19" s="3336"/>
      <c r="BP19" s="3339"/>
      <c r="BQ19" s="3339"/>
      <c r="BR19" s="3340"/>
    </row>
    <row r="20" spans="1:138" ht="28.5" customHeight="1" x14ac:dyDescent="0.25">
      <c r="A20" s="3341" t="s">
        <v>25</v>
      </c>
      <c r="B20" s="3342"/>
      <c r="C20" s="2319" t="s">
        <v>111</v>
      </c>
      <c r="D20" s="2320"/>
      <c r="E20" s="3343"/>
      <c r="F20" s="3341" t="s">
        <v>25</v>
      </c>
      <c r="G20" s="3342"/>
      <c r="H20" s="2319" t="s">
        <v>111</v>
      </c>
      <c r="I20" s="2320"/>
      <c r="J20" s="3343"/>
      <c r="K20" s="3341" t="s">
        <v>25</v>
      </c>
      <c r="L20" s="3342"/>
      <c r="M20" s="2319" t="s">
        <v>111</v>
      </c>
      <c r="N20" s="2320"/>
      <c r="O20" s="3343"/>
      <c r="P20" s="3341" t="s">
        <v>25</v>
      </c>
      <c r="Q20" s="3342"/>
      <c r="R20" s="2319" t="s">
        <v>111</v>
      </c>
      <c r="S20" s="2320"/>
      <c r="T20" s="3343"/>
      <c r="U20" s="3341" t="s">
        <v>25</v>
      </c>
      <c r="V20" s="3342"/>
      <c r="W20" s="2319" t="s">
        <v>111</v>
      </c>
      <c r="X20" s="2320"/>
      <c r="Y20" s="3343"/>
      <c r="Z20" s="3341" t="s">
        <v>25</v>
      </c>
      <c r="AA20" s="3342"/>
      <c r="AB20" s="2319" t="s">
        <v>111</v>
      </c>
      <c r="AC20" s="2320"/>
      <c r="AD20" s="3343"/>
      <c r="AE20" s="3341" t="s">
        <v>25</v>
      </c>
      <c r="AF20" s="3342"/>
      <c r="AG20" s="2319" t="s">
        <v>111</v>
      </c>
      <c r="AH20" s="2320"/>
      <c r="AI20" s="3343"/>
      <c r="AJ20" s="3341" t="s">
        <v>25</v>
      </c>
      <c r="AK20" s="3342"/>
      <c r="AL20" s="2319" t="s">
        <v>111</v>
      </c>
      <c r="AM20" s="2320"/>
      <c r="AN20" s="3343"/>
      <c r="AO20" s="3341" t="s">
        <v>25</v>
      </c>
      <c r="AP20" s="3342"/>
      <c r="AQ20" s="2319" t="s">
        <v>111</v>
      </c>
      <c r="AR20" s="2320"/>
      <c r="AS20" s="3343"/>
      <c r="AT20" s="3341" t="s">
        <v>25</v>
      </c>
      <c r="AU20" s="3342"/>
      <c r="AV20" s="2319" t="s">
        <v>111</v>
      </c>
      <c r="AW20" s="2320"/>
      <c r="AX20" s="3343"/>
      <c r="AY20" s="3341" t="s">
        <v>25</v>
      </c>
      <c r="AZ20" s="3342"/>
      <c r="BA20" s="2319" t="s">
        <v>111</v>
      </c>
      <c r="BB20" s="2320"/>
      <c r="BC20" s="3343"/>
      <c r="BD20" s="3341" t="s">
        <v>25</v>
      </c>
      <c r="BE20" s="3342"/>
      <c r="BF20" s="2319" t="s">
        <v>111</v>
      </c>
      <c r="BG20" s="2320"/>
      <c r="BH20" s="3343"/>
      <c r="BI20" s="3341" t="s">
        <v>25</v>
      </c>
      <c r="BJ20" s="3342"/>
      <c r="BK20" s="2319" t="s">
        <v>111</v>
      </c>
      <c r="BL20" s="2320"/>
      <c r="BM20" s="3343"/>
      <c r="BN20" s="3341" t="s">
        <v>25</v>
      </c>
      <c r="BO20" s="3342"/>
      <c r="BP20" s="2319" t="s">
        <v>111</v>
      </c>
      <c r="BQ20" s="2320"/>
      <c r="BR20" s="3343"/>
    </row>
    <row r="21" spans="1:138" s="22" customFormat="1" ht="74.25" customHeight="1" x14ac:dyDescent="1.35">
      <c r="A21" s="3328" t="s">
        <v>136</v>
      </c>
      <c r="B21" s="3326">
        <v>29</v>
      </c>
      <c r="C21" s="3326"/>
      <c r="D21" s="3326"/>
      <c r="E21" s="3327"/>
      <c r="F21" s="3328" t="s">
        <v>136</v>
      </c>
      <c r="G21" s="3326">
        <v>30</v>
      </c>
      <c r="H21" s="3326"/>
      <c r="I21" s="3326"/>
      <c r="J21" s="3327"/>
      <c r="K21" s="3328" t="s">
        <v>136</v>
      </c>
      <c r="L21" s="3326">
        <v>31</v>
      </c>
      <c r="M21" s="3326"/>
      <c r="N21" s="3326"/>
      <c r="O21" s="3327"/>
      <c r="P21" s="3328" t="s">
        <v>136</v>
      </c>
      <c r="Q21" s="3326">
        <v>32</v>
      </c>
      <c r="R21" s="3326"/>
      <c r="S21" s="3326"/>
      <c r="T21" s="3327"/>
      <c r="U21" s="3328" t="s">
        <v>136</v>
      </c>
      <c r="V21" s="3326">
        <v>33</v>
      </c>
      <c r="W21" s="3326"/>
      <c r="X21" s="3326"/>
      <c r="Y21" s="3327"/>
      <c r="Z21" s="3328" t="s">
        <v>136</v>
      </c>
      <c r="AA21" s="3326">
        <v>34</v>
      </c>
      <c r="AB21" s="3326"/>
      <c r="AC21" s="3326"/>
      <c r="AD21" s="3327"/>
      <c r="AE21" s="3328" t="s">
        <v>136</v>
      </c>
      <c r="AF21" s="3326">
        <v>35</v>
      </c>
      <c r="AG21" s="3326"/>
      <c r="AH21" s="3326"/>
      <c r="AI21" s="3327"/>
      <c r="AJ21" s="3328" t="s">
        <v>136</v>
      </c>
      <c r="AK21" s="3326">
        <v>36</v>
      </c>
      <c r="AL21" s="3326"/>
      <c r="AM21" s="3326"/>
      <c r="AN21" s="3327"/>
      <c r="AO21" s="3328" t="s">
        <v>136</v>
      </c>
      <c r="AP21" s="3326">
        <v>37</v>
      </c>
      <c r="AQ21" s="3326"/>
      <c r="AR21" s="3326"/>
      <c r="AS21" s="3327"/>
      <c r="AT21" s="3328" t="s">
        <v>136</v>
      </c>
      <c r="AU21" s="3326">
        <v>38</v>
      </c>
      <c r="AV21" s="3326"/>
      <c r="AW21" s="3326"/>
      <c r="AX21" s="3327"/>
      <c r="AY21" s="3328" t="s">
        <v>136</v>
      </c>
      <c r="AZ21" s="3326">
        <v>39</v>
      </c>
      <c r="BA21" s="3326"/>
      <c r="BB21" s="3326"/>
      <c r="BC21" s="3327"/>
      <c r="BD21" s="3328" t="s">
        <v>136</v>
      </c>
      <c r="BE21" s="3326">
        <v>40</v>
      </c>
      <c r="BF21" s="3326"/>
      <c r="BG21" s="3326"/>
      <c r="BH21" s="3327"/>
      <c r="BI21" s="3328" t="s">
        <v>136</v>
      </c>
      <c r="BJ21" s="3326">
        <v>41</v>
      </c>
      <c r="BK21" s="3326"/>
      <c r="BL21" s="3326"/>
      <c r="BM21" s="3327"/>
      <c r="BN21" s="3328" t="s">
        <v>136</v>
      </c>
      <c r="BO21" s="3326">
        <v>42</v>
      </c>
      <c r="BP21" s="3326"/>
      <c r="BQ21" s="3326"/>
      <c r="BR21" s="3327"/>
    </row>
    <row r="22" spans="1:138" ht="32.25" customHeight="1" thickBot="1" x14ac:dyDescent="0.3">
      <c r="A22" s="3329"/>
      <c r="B22" s="183">
        <v>0.20300000000000001</v>
      </c>
      <c r="C22" s="184" t="s">
        <v>113</v>
      </c>
      <c r="D22" s="185"/>
      <c r="E22" s="186" t="s">
        <v>114</v>
      </c>
      <c r="F22" s="3329"/>
      <c r="G22" s="183">
        <v>0.40600000000000003</v>
      </c>
      <c r="H22" s="184" t="s">
        <v>113</v>
      </c>
      <c r="I22" s="185">
        <v>1</v>
      </c>
      <c r="J22" s="186" t="s">
        <v>114</v>
      </c>
      <c r="K22" s="3329"/>
      <c r="L22" s="183">
        <v>1E-4</v>
      </c>
      <c r="M22" s="184" t="s">
        <v>113</v>
      </c>
      <c r="N22" s="185"/>
      <c r="O22" s="186" t="s">
        <v>114</v>
      </c>
      <c r="P22" s="3329"/>
      <c r="Q22" s="183">
        <v>1.5740000000000001</v>
      </c>
      <c r="R22" s="184" t="s">
        <v>113</v>
      </c>
      <c r="S22" s="185">
        <v>1</v>
      </c>
      <c r="T22" s="186" t="s">
        <v>114</v>
      </c>
      <c r="U22" s="3329"/>
      <c r="V22" s="183">
        <v>1E-4</v>
      </c>
      <c r="W22" s="184" t="s">
        <v>113</v>
      </c>
      <c r="X22" s="185"/>
      <c r="Y22" s="186" t="s">
        <v>114</v>
      </c>
      <c r="Z22" s="3329"/>
      <c r="AA22" s="183">
        <v>0.20300000000000001</v>
      </c>
      <c r="AB22" s="184" t="s">
        <v>113</v>
      </c>
      <c r="AC22" s="185"/>
      <c r="AD22" s="186" t="s">
        <v>114</v>
      </c>
      <c r="AE22" s="3329"/>
      <c r="AF22" s="183">
        <v>0.45700000000000002</v>
      </c>
      <c r="AG22" s="184" t="s">
        <v>113</v>
      </c>
      <c r="AH22" s="185">
        <v>1</v>
      </c>
      <c r="AI22" s="186" t="s">
        <v>114</v>
      </c>
      <c r="AJ22" s="3329"/>
      <c r="AK22" s="183">
        <v>0.40600000000000003</v>
      </c>
      <c r="AL22" s="184" t="s">
        <v>113</v>
      </c>
      <c r="AM22" s="185"/>
      <c r="AN22" s="186" t="s">
        <v>114</v>
      </c>
      <c r="AO22" s="3329"/>
      <c r="AP22" s="183">
        <v>2.3109999999999999</v>
      </c>
      <c r="AQ22" s="184" t="s">
        <v>113</v>
      </c>
      <c r="AR22" s="185">
        <v>1</v>
      </c>
      <c r="AS22" s="186" t="s">
        <v>114</v>
      </c>
      <c r="AT22" s="3329"/>
      <c r="AU22" s="183">
        <v>1E-3</v>
      </c>
      <c r="AV22" s="184" t="s">
        <v>113</v>
      </c>
      <c r="AW22" s="185"/>
      <c r="AX22" s="186" t="s">
        <v>114</v>
      </c>
      <c r="AY22" s="3329"/>
      <c r="AZ22" s="183">
        <v>0.96499999999999997</v>
      </c>
      <c r="BA22" s="184" t="s">
        <v>113</v>
      </c>
      <c r="BB22" s="185">
        <v>1</v>
      </c>
      <c r="BC22" s="186" t="s">
        <v>114</v>
      </c>
      <c r="BD22" s="3329"/>
      <c r="BE22" s="183">
        <v>1E-3</v>
      </c>
      <c r="BF22" s="184" t="s">
        <v>113</v>
      </c>
      <c r="BG22" s="185"/>
      <c r="BH22" s="186" t="s">
        <v>114</v>
      </c>
      <c r="BI22" s="3329"/>
      <c r="BJ22" s="183">
        <v>1E-4</v>
      </c>
      <c r="BK22" s="184" t="s">
        <v>113</v>
      </c>
      <c r="BL22" s="185">
        <v>1</v>
      </c>
      <c r="BM22" s="186" t="s">
        <v>114</v>
      </c>
      <c r="BN22" s="3329"/>
      <c r="BO22" s="183">
        <v>0.55800000000000005</v>
      </c>
      <c r="BP22" s="184" t="s">
        <v>113</v>
      </c>
      <c r="BQ22" s="185"/>
      <c r="BR22" s="186" t="s">
        <v>114</v>
      </c>
      <c r="BW22" s="27"/>
      <c r="BX22" s="27"/>
      <c r="BY22" s="27"/>
      <c r="BZ22" s="27"/>
      <c r="CA22" s="27"/>
      <c r="CB22" s="27"/>
      <c r="CC22" s="27"/>
      <c r="CD22" s="27"/>
      <c r="CE22" s="27"/>
    </row>
    <row r="23" spans="1:138" ht="26.1" customHeight="1" x14ac:dyDescent="0.25">
      <c r="A23" s="3333" t="s">
        <v>110</v>
      </c>
      <c r="B23" s="3334"/>
      <c r="C23" s="3337">
        <f>B29/((30*3.1415/51)*(91/3.281))</f>
        <v>1.9510872702023424E-5</v>
      </c>
      <c r="D23" s="3337"/>
      <c r="E23" s="3338"/>
      <c r="F23" s="3333" t="s">
        <v>110</v>
      </c>
      <c r="G23" s="3334"/>
      <c r="H23" s="3337">
        <f>G29/((30*3.1415/51)*(91/3.281))</f>
        <v>1.9510872702023427E-6</v>
      </c>
      <c r="I23" s="3337"/>
      <c r="J23" s="3338"/>
      <c r="K23" s="3333" t="s">
        <v>110</v>
      </c>
      <c r="L23" s="3334"/>
      <c r="M23" s="3337">
        <f>L29/((30*3.1415/51)*(91/3.281))</f>
        <v>1.9510872702023427E-6</v>
      </c>
      <c r="N23" s="3337"/>
      <c r="O23" s="3338"/>
      <c r="P23" s="3333" t="s">
        <v>110</v>
      </c>
      <c r="Q23" s="3334"/>
      <c r="R23" s="3337">
        <f>Q29/((30*3.1415/51)*(91/3.281))</f>
        <v>2.9734569997883698E-2</v>
      </c>
      <c r="S23" s="3337"/>
      <c r="T23" s="3338"/>
      <c r="U23" s="3333" t="s">
        <v>110</v>
      </c>
      <c r="V23" s="3334"/>
      <c r="W23" s="3337">
        <f>V29/((30*3.1415/51)*(91/3.281))</f>
        <v>2.2300927498412774E-2</v>
      </c>
      <c r="X23" s="3337"/>
      <c r="Y23" s="3338"/>
      <c r="Z23" s="3333" t="s">
        <v>110</v>
      </c>
      <c r="AA23" s="3334"/>
      <c r="AB23" s="3337">
        <f>AA29/((30*3.1415/51)*(91/3.281))</f>
        <v>0.13628344582363361</v>
      </c>
      <c r="AC23" s="3337"/>
      <c r="AD23" s="3338"/>
      <c r="AE23" s="3333" t="s">
        <v>110</v>
      </c>
      <c r="AF23" s="3334"/>
      <c r="AG23" s="3337">
        <f>AF29/((30*3.1415/51)*(91/3.281))</f>
        <v>0.13082040146706705</v>
      </c>
      <c r="AH23" s="3337"/>
      <c r="AI23" s="3338"/>
      <c r="AJ23" s="3333" t="s">
        <v>110</v>
      </c>
      <c r="AK23" s="3334"/>
      <c r="AL23" s="3337">
        <f>AK29/((30*3.1415/51)*(91/3.281))</f>
        <v>1.6350111324295629E-2</v>
      </c>
      <c r="AM23" s="3337"/>
      <c r="AN23" s="3338"/>
      <c r="AO23" s="3333" t="s">
        <v>110</v>
      </c>
      <c r="AP23" s="3334"/>
      <c r="AQ23" s="3337">
        <f>AP29/((30*3.1415/51)*(91/3.281))</f>
        <v>5.9313053014151207E-3</v>
      </c>
      <c r="AR23" s="3337"/>
      <c r="AS23" s="3338"/>
      <c r="AT23" s="3333" t="s">
        <v>110</v>
      </c>
      <c r="AU23" s="3334"/>
      <c r="AV23" s="3337">
        <f>AU29/((30*3.1415/51)*(91/3.281))</f>
        <v>6.1517781629479858E-2</v>
      </c>
      <c r="AW23" s="3337"/>
      <c r="AX23" s="3338"/>
      <c r="AY23" s="3333" t="s">
        <v>110</v>
      </c>
      <c r="AZ23" s="3334"/>
      <c r="BA23" s="3337">
        <f>AZ29/((30*3.1415/51)*(91/3.281))</f>
        <v>7.4336424994709245E-3</v>
      </c>
      <c r="BB23" s="3337"/>
      <c r="BC23" s="3338"/>
      <c r="BD23" s="3333" t="s">
        <v>110</v>
      </c>
      <c r="BE23" s="3334"/>
      <c r="BF23" s="3337">
        <f>BE29/((30*3.1415/51)*(91/3.281))</f>
        <v>1.9510872702023427E-6</v>
      </c>
      <c r="BG23" s="3337"/>
      <c r="BH23" s="3338"/>
      <c r="BI23" s="3333" t="s">
        <v>110</v>
      </c>
      <c r="BJ23" s="3334"/>
      <c r="BK23" s="3337">
        <f>BJ29/((30*3.1415/51)*(91/3.281))</f>
        <v>1.9510872702023427E-6</v>
      </c>
      <c r="BL23" s="3337"/>
      <c r="BM23" s="3338"/>
      <c r="BN23" s="3333" t="s">
        <v>110</v>
      </c>
      <c r="BO23" s="3334"/>
      <c r="BP23" s="3337">
        <f>BO29/((30*3.1415/51)*(91/3.281))</f>
        <v>1.6350111324295629E-2</v>
      </c>
      <c r="BQ23" s="3337"/>
      <c r="BR23" s="3338"/>
    </row>
    <row r="24" spans="1:138" ht="6.75" customHeight="1" x14ac:dyDescent="0.25">
      <c r="A24" s="3335"/>
      <c r="B24" s="3336"/>
      <c r="C24" s="3339"/>
      <c r="D24" s="3339"/>
      <c r="E24" s="3340"/>
      <c r="F24" s="3335"/>
      <c r="G24" s="3336"/>
      <c r="H24" s="3339"/>
      <c r="I24" s="3339"/>
      <c r="J24" s="3340"/>
      <c r="K24" s="3335"/>
      <c r="L24" s="3336"/>
      <c r="M24" s="3339"/>
      <c r="N24" s="3339"/>
      <c r="O24" s="3340"/>
      <c r="P24" s="3335"/>
      <c r="Q24" s="3336"/>
      <c r="R24" s="3339"/>
      <c r="S24" s="3339"/>
      <c r="T24" s="3340"/>
      <c r="U24" s="3335"/>
      <c r="V24" s="3336"/>
      <c r="W24" s="3339"/>
      <c r="X24" s="3339"/>
      <c r="Y24" s="3340"/>
      <c r="Z24" s="3335"/>
      <c r="AA24" s="3336"/>
      <c r="AB24" s="3339"/>
      <c r="AC24" s="3339"/>
      <c r="AD24" s="3340"/>
      <c r="AE24" s="3335"/>
      <c r="AF24" s="3336"/>
      <c r="AG24" s="3339"/>
      <c r="AH24" s="3339"/>
      <c r="AI24" s="3340"/>
      <c r="AJ24" s="3335"/>
      <c r="AK24" s="3336"/>
      <c r="AL24" s="3339"/>
      <c r="AM24" s="3339"/>
      <c r="AN24" s="3340"/>
      <c r="AO24" s="3335"/>
      <c r="AP24" s="3336"/>
      <c r="AQ24" s="3339"/>
      <c r="AR24" s="3339"/>
      <c r="AS24" s="3340"/>
      <c r="AT24" s="3335"/>
      <c r="AU24" s="3336"/>
      <c r="AV24" s="3339"/>
      <c r="AW24" s="3339"/>
      <c r="AX24" s="3340"/>
      <c r="AY24" s="3335"/>
      <c r="AZ24" s="3336"/>
      <c r="BA24" s="3339"/>
      <c r="BB24" s="3339"/>
      <c r="BC24" s="3340"/>
      <c r="BD24" s="3335"/>
      <c r="BE24" s="3336"/>
      <c r="BF24" s="3339"/>
      <c r="BG24" s="3339"/>
      <c r="BH24" s="3340"/>
      <c r="BI24" s="3335"/>
      <c r="BJ24" s="3336"/>
      <c r="BK24" s="3339"/>
      <c r="BL24" s="3339"/>
      <c r="BM24" s="3340"/>
      <c r="BN24" s="3335"/>
      <c r="BO24" s="3336"/>
      <c r="BP24" s="3339"/>
      <c r="BQ24" s="3339"/>
      <c r="BR24" s="3340"/>
    </row>
    <row r="25" spans="1:138" ht="8.25" customHeight="1" x14ac:dyDescent="0.25">
      <c r="A25" s="3335"/>
      <c r="B25" s="3336"/>
      <c r="C25" s="3339"/>
      <c r="D25" s="3339"/>
      <c r="E25" s="3340"/>
      <c r="F25" s="3335"/>
      <c r="G25" s="3336"/>
      <c r="H25" s="3339"/>
      <c r="I25" s="3339"/>
      <c r="J25" s="3340"/>
      <c r="K25" s="3335"/>
      <c r="L25" s="3336"/>
      <c r="M25" s="3339"/>
      <c r="N25" s="3339"/>
      <c r="O25" s="3340"/>
      <c r="P25" s="3335"/>
      <c r="Q25" s="3336"/>
      <c r="R25" s="3339"/>
      <c r="S25" s="3339"/>
      <c r="T25" s="3340"/>
      <c r="U25" s="3335"/>
      <c r="V25" s="3336"/>
      <c r="W25" s="3339"/>
      <c r="X25" s="3339"/>
      <c r="Y25" s="3340"/>
      <c r="Z25" s="3335"/>
      <c r="AA25" s="3336"/>
      <c r="AB25" s="3339"/>
      <c r="AC25" s="3339"/>
      <c r="AD25" s="3340"/>
      <c r="AE25" s="3335"/>
      <c r="AF25" s="3336"/>
      <c r="AG25" s="3339"/>
      <c r="AH25" s="3339"/>
      <c r="AI25" s="3340"/>
      <c r="AJ25" s="3335"/>
      <c r="AK25" s="3336"/>
      <c r="AL25" s="3339"/>
      <c r="AM25" s="3339"/>
      <c r="AN25" s="3340"/>
      <c r="AO25" s="3335"/>
      <c r="AP25" s="3336"/>
      <c r="AQ25" s="3339"/>
      <c r="AR25" s="3339"/>
      <c r="AS25" s="3340"/>
      <c r="AT25" s="3335"/>
      <c r="AU25" s="3336"/>
      <c r="AV25" s="3339"/>
      <c r="AW25" s="3339"/>
      <c r="AX25" s="3340"/>
      <c r="AY25" s="3335"/>
      <c r="AZ25" s="3336"/>
      <c r="BA25" s="3339"/>
      <c r="BB25" s="3339"/>
      <c r="BC25" s="3340"/>
      <c r="BD25" s="3335"/>
      <c r="BE25" s="3336"/>
      <c r="BF25" s="3339"/>
      <c r="BG25" s="3339"/>
      <c r="BH25" s="3340"/>
      <c r="BI25" s="3335"/>
      <c r="BJ25" s="3336"/>
      <c r="BK25" s="3339"/>
      <c r="BL25" s="3339"/>
      <c r="BM25" s="3340"/>
      <c r="BN25" s="3335"/>
      <c r="BO25" s="3336"/>
      <c r="BP25" s="3339"/>
      <c r="BQ25" s="3339"/>
      <c r="BR25" s="3340"/>
    </row>
    <row r="26" spans="1:138" ht="6" hidden="1" customHeight="1" x14ac:dyDescent="0.25">
      <c r="A26" s="3335"/>
      <c r="B26" s="3336"/>
      <c r="C26" s="3339"/>
      <c r="D26" s="3339"/>
      <c r="E26" s="3340"/>
      <c r="F26" s="3335"/>
      <c r="G26" s="3336"/>
      <c r="H26" s="3339"/>
      <c r="I26" s="3339"/>
      <c r="J26" s="3340"/>
      <c r="K26" s="3335"/>
      <c r="L26" s="3336"/>
      <c r="M26" s="3339"/>
      <c r="N26" s="3339"/>
      <c r="O26" s="3340"/>
      <c r="P26" s="3335"/>
      <c r="Q26" s="3336"/>
      <c r="R26" s="3339"/>
      <c r="S26" s="3339"/>
      <c r="T26" s="3340"/>
      <c r="U26" s="3335"/>
      <c r="V26" s="3336"/>
      <c r="W26" s="3339"/>
      <c r="X26" s="3339"/>
      <c r="Y26" s="3340"/>
      <c r="Z26" s="3335"/>
      <c r="AA26" s="3336"/>
      <c r="AB26" s="3339"/>
      <c r="AC26" s="3339"/>
      <c r="AD26" s="3340"/>
      <c r="AE26" s="3335"/>
      <c r="AF26" s="3336"/>
      <c r="AG26" s="3339"/>
      <c r="AH26" s="3339"/>
      <c r="AI26" s="3340"/>
      <c r="AJ26" s="3335"/>
      <c r="AK26" s="3336"/>
      <c r="AL26" s="3339"/>
      <c r="AM26" s="3339"/>
      <c r="AN26" s="3340"/>
      <c r="AO26" s="3335"/>
      <c r="AP26" s="3336"/>
      <c r="AQ26" s="3339"/>
      <c r="AR26" s="3339"/>
      <c r="AS26" s="3340"/>
      <c r="AT26" s="3335"/>
      <c r="AU26" s="3336"/>
      <c r="AV26" s="3339"/>
      <c r="AW26" s="3339"/>
      <c r="AX26" s="3340"/>
      <c r="AY26" s="3335"/>
      <c r="AZ26" s="3336"/>
      <c r="BA26" s="3339"/>
      <c r="BB26" s="3339"/>
      <c r="BC26" s="3340"/>
      <c r="BD26" s="3335"/>
      <c r="BE26" s="3336"/>
      <c r="BF26" s="3339"/>
      <c r="BG26" s="3339"/>
      <c r="BH26" s="3340"/>
      <c r="BI26" s="3335"/>
      <c r="BJ26" s="3336"/>
      <c r="BK26" s="3339"/>
      <c r="BL26" s="3339"/>
      <c r="BM26" s="3340"/>
      <c r="BN26" s="3335"/>
      <c r="BO26" s="3336"/>
      <c r="BP26" s="3339"/>
      <c r="BQ26" s="3339"/>
      <c r="BR26" s="3340"/>
    </row>
    <row r="27" spans="1:138" ht="29.25" customHeight="1" x14ac:dyDescent="0.25">
      <c r="A27" s="3341" t="s">
        <v>25</v>
      </c>
      <c r="B27" s="3342"/>
      <c r="C27" s="2319" t="s">
        <v>111</v>
      </c>
      <c r="D27" s="2320"/>
      <c r="E27" s="3343"/>
      <c r="F27" s="3341" t="s">
        <v>25</v>
      </c>
      <c r="G27" s="3342"/>
      <c r="H27" s="2319" t="s">
        <v>111</v>
      </c>
      <c r="I27" s="2320"/>
      <c r="J27" s="3343"/>
      <c r="K27" s="3341" t="s">
        <v>25</v>
      </c>
      <c r="L27" s="3342"/>
      <c r="M27" s="2319" t="s">
        <v>111</v>
      </c>
      <c r="N27" s="2320"/>
      <c r="O27" s="3343"/>
      <c r="P27" s="3341" t="s">
        <v>25</v>
      </c>
      <c r="Q27" s="3342"/>
      <c r="R27" s="2319" t="s">
        <v>111</v>
      </c>
      <c r="S27" s="2320"/>
      <c r="T27" s="3343"/>
      <c r="U27" s="3341" t="s">
        <v>25</v>
      </c>
      <c r="V27" s="3342"/>
      <c r="W27" s="2319" t="s">
        <v>111</v>
      </c>
      <c r="X27" s="2320"/>
      <c r="Y27" s="3343"/>
      <c r="Z27" s="3341" t="s">
        <v>25</v>
      </c>
      <c r="AA27" s="3342"/>
      <c r="AB27" s="2319" t="s">
        <v>111</v>
      </c>
      <c r="AC27" s="2320"/>
      <c r="AD27" s="3343"/>
      <c r="AE27" s="3341" t="s">
        <v>25</v>
      </c>
      <c r="AF27" s="3342"/>
      <c r="AG27" s="2319" t="s">
        <v>111</v>
      </c>
      <c r="AH27" s="2320"/>
      <c r="AI27" s="3343"/>
      <c r="AJ27" s="3341" t="s">
        <v>25</v>
      </c>
      <c r="AK27" s="3342"/>
      <c r="AL27" s="2319" t="s">
        <v>111</v>
      </c>
      <c r="AM27" s="2320"/>
      <c r="AN27" s="3343"/>
      <c r="AO27" s="3341" t="s">
        <v>25</v>
      </c>
      <c r="AP27" s="3342"/>
      <c r="AQ27" s="2319" t="s">
        <v>111</v>
      </c>
      <c r="AR27" s="2320"/>
      <c r="AS27" s="3343"/>
      <c r="AT27" s="3341" t="s">
        <v>25</v>
      </c>
      <c r="AU27" s="3342"/>
      <c r="AV27" s="2319" t="s">
        <v>111</v>
      </c>
      <c r="AW27" s="2320"/>
      <c r="AX27" s="3343"/>
      <c r="AY27" s="3341" t="s">
        <v>25</v>
      </c>
      <c r="AZ27" s="3342"/>
      <c r="BA27" s="2319" t="s">
        <v>111</v>
      </c>
      <c r="BB27" s="2320"/>
      <c r="BC27" s="3343"/>
      <c r="BD27" s="3341" t="s">
        <v>25</v>
      </c>
      <c r="BE27" s="3342"/>
      <c r="BF27" s="2319" t="s">
        <v>111</v>
      </c>
      <c r="BG27" s="2320"/>
      <c r="BH27" s="3343"/>
      <c r="BI27" s="3341" t="s">
        <v>25</v>
      </c>
      <c r="BJ27" s="3342"/>
      <c r="BK27" s="2319" t="s">
        <v>111</v>
      </c>
      <c r="BL27" s="2320"/>
      <c r="BM27" s="3343"/>
      <c r="BN27" s="3341" t="s">
        <v>25</v>
      </c>
      <c r="BO27" s="3342"/>
      <c r="BP27" s="2319" t="s">
        <v>111</v>
      </c>
      <c r="BQ27" s="2320"/>
      <c r="BR27" s="3343"/>
    </row>
    <row r="28" spans="1:138" s="22" customFormat="1" ht="80.099999999999994" customHeight="1" x14ac:dyDescent="1.35">
      <c r="A28" s="3328" t="s">
        <v>136</v>
      </c>
      <c r="B28" s="3326">
        <v>43</v>
      </c>
      <c r="C28" s="3326"/>
      <c r="D28" s="3326"/>
      <c r="E28" s="3327"/>
      <c r="F28" s="3328" t="s">
        <v>136</v>
      </c>
      <c r="G28" s="3326">
        <v>44</v>
      </c>
      <c r="H28" s="3326"/>
      <c r="I28" s="3326"/>
      <c r="J28" s="3327"/>
      <c r="K28" s="3328" t="s">
        <v>136</v>
      </c>
      <c r="L28" s="3326">
        <v>45</v>
      </c>
      <c r="M28" s="3326"/>
      <c r="N28" s="3326"/>
      <c r="O28" s="3327"/>
      <c r="P28" s="3328" t="s">
        <v>136</v>
      </c>
      <c r="Q28" s="3326">
        <v>46</v>
      </c>
      <c r="R28" s="3326"/>
      <c r="S28" s="3326"/>
      <c r="T28" s="3327"/>
      <c r="U28" s="3328" t="s">
        <v>136</v>
      </c>
      <c r="V28" s="3326">
        <v>47</v>
      </c>
      <c r="W28" s="3326"/>
      <c r="X28" s="3326"/>
      <c r="Y28" s="3327"/>
      <c r="Z28" s="3328" t="s">
        <v>136</v>
      </c>
      <c r="AA28" s="3326">
        <v>48</v>
      </c>
      <c r="AB28" s="3326"/>
      <c r="AC28" s="3326"/>
      <c r="AD28" s="3327"/>
      <c r="AE28" s="3328" t="s">
        <v>136</v>
      </c>
      <c r="AF28" s="3326">
        <v>49</v>
      </c>
      <c r="AG28" s="3326"/>
      <c r="AH28" s="3326"/>
      <c r="AI28" s="3327"/>
      <c r="AJ28" s="3328" t="s">
        <v>136</v>
      </c>
      <c r="AK28" s="3326">
        <v>50</v>
      </c>
      <c r="AL28" s="3326"/>
      <c r="AM28" s="3326"/>
      <c r="AN28" s="3327"/>
      <c r="AO28" s="3328" t="s">
        <v>136</v>
      </c>
      <c r="AP28" s="3326">
        <v>51</v>
      </c>
      <c r="AQ28" s="3326"/>
      <c r="AR28" s="3326"/>
      <c r="AS28" s="3327"/>
      <c r="AT28" s="3328" t="s">
        <v>136</v>
      </c>
      <c r="AU28" s="3326">
        <v>52</v>
      </c>
      <c r="AV28" s="3326"/>
      <c r="AW28" s="3326"/>
      <c r="AX28" s="3327"/>
      <c r="AY28" s="3328" t="s">
        <v>136</v>
      </c>
      <c r="AZ28" s="3326">
        <v>53</v>
      </c>
      <c r="BA28" s="3326"/>
      <c r="BB28" s="3326"/>
      <c r="BC28" s="3327"/>
      <c r="BD28" s="3328" t="s">
        <v>136</v>
      </c>
      <c r="BE28" s="3326">
        <v>54</v>
      </c>
      <c r="BF28" s="3326"/>
      <c r="BG28" s="3326"/>
      <c r="BH28" s="3327"/>
      <c r="BI28" s="3328" t="s">
        <v>136</v>
      </c>
      <c r="BJ28" s="3326">
        <v>55</v>
      </c>
      <c r="BK28" s="3326"/>
      <c r="BL28" s="3326"/>
      <c r="BM28" s="3327"/>
      <c r="BN28" s="3328" t="s">
        <v>136</v>
      </c>
      <c r="BO28" s="3326">
        <v>56</v>
      </c>
      <c r="BP28" s="3326"/>
      <c r="BQ28" s="3326"/>
      <c r="BR28" s="3327"/>
      <c r="BT28" s="218"/>
    </row>
    <row r="29" spans="1:138" ht="27" thickBot="1" x14ac:dyDescent="0.3">
      <c r="A29" s="3329"/>
      <c r="B29" s="183">
        <v>1E-3</v>
      </c>
      <c r="C29" s="184" t="s">
        <v>113</v>
      </c>
      <c r="D29" s="185"/>
      <c r="E29" s="186" t="s">
        <v>114</v>
      </c>
      <c r="F29" s="3329"/>
      <c r="G29" s="183">
        <v>1E-4</v>
      </c>
      <c r="H29" s="184" t="s">
        <v>113</v>
      </c>
      <c r="I29" s="185"/>
      <c r="J29" s="186" t="s">
        <v>114</v>
      </c>
      <c r="K29" s="3329"/>
      <c r="L29" s="183">
        <v>1E-4</v>
      </c>
      <c r="M29" s="184" t="s">
        <v>113</v>
      </c>
      <c r="N29" s="185"/>
      <c r="O29" s="186" t="s">
        <v>114</v>
      </c>
      <c r="P29" s="3329"/>
      <c r="Q29" s="183">
        <v>1.524</v>
      </c>
      <c r="R29" s="184" t="s">
        <v>113</v>
      </c>
      <c r="S29" s="185">
        <v>1</v>
      </c>
      <c r="T29" s="186" t="s">
        <v>114</v>
      </c>
      <c r="U29" s="3329"/>
      <c r="V29" s="183">
        <v>1.143</v>
      </c>
      <c r="W29" s="184" t="s">
        <v>113</v>
      </c>
      <c r="X29" s="185"/>
      <c r="Y29" s="186" t="s">
        <v>114</v>
      </c>
      <c r="Z29" s="3329"/>
      <c r="AA29" s="183">
        <v>6.9850000000000003</v>
      </c>
      <c r="AB29" s="184" t="s">
        <v>113</v>
      </c>
      <c r="AC29" s="185">
        <v>1</v>
      </c>
      <c r="AD29" s="186" t="s">
        <v>114</v>
      </c>
      <c r="AE29" s="3329"/>
      <c r="AF29" s="183">
        <v>6.7050000000000001</v>
      </c>
      <c r="AG29" s="184" t="s">
        <v>113</v>
      </c>
      <c r="AH29" s="185"/>
      <c r="AI29" s="186" t="s">
        <v>114</v>
      </c>
      <c r="AJ29" s="3329"/>
      <c r="AK29" s="183">
        <v>0.83799999999999997</v>
      </c>
      <c r="AL29" s="184" t="s">
        <v>113</v>
      </c>
      <c r="AM29" s="185"/>
      <c r="AN29" s="186" t="s">
        <v>114</v>
      </c>
      <c r="AO29" s="3329"/>
      <c r="AP29" s="183">
        <v>0.30399999999999999</v>
      </c>
      <c r="AQ29" s="184" t="s">
        <v>113</v>
      </c>
      <c r="AR29" s="185">
        <v>1</v>
      </c>
      <c r="AS29" s="186" t="s">
        <v>114</v>
      </c>
      <c r="AT29" s="3329"/>
      <c r="AU29" s="183">
        <v>3.153</v>
      </c>
      <c r="AV29" s="184" t="s">
        <v>113</v>
      </c>
      <c r="AW29" s="185"/>
      <c r="AX29" s="186" t="s">
        <v>114</v>
      </c>
      <c r="AY29" s="3329"/>
      <c r="AZ29" s="183">
        <v>0.38100000000000001</v>
      </c>
      <c r="BA29" s="184" t="s">
        <v>113</v>
      </c>
      <c r="BB29" s="185">
        <v>1</v>
      </c>
      <c r="BC29" s="186" t="s">
        <v>114</v>
      </c>
      <c r="BD29" s="3329"/>
      <c r="BE29" s="183">
        <v>1E-4</v>
      </c>
      <c r="BF29" s="184" t="s">
        <v>113</v>
      </c>
      <c r="BG29" s="185"/>
      <c r="BH29" s="186" t="s">
        <v>114</v>
      </c>
      <c r="BI29" s="3329"/>
      <c r="BJ29" s="183">
        <v>1E-4</v>
      </c>
      <c r="BK29" s="184" t="s">
        <v>113</v>
      </c>
      <c r="BL29" s="185">
        <v>1</v>
      </c>
      <c r="BM29" s="186" t="s">
        <v>114</v>
      </c>
      <c r="BN29" s="3329"/>
      <c r="BO29" s="183">
        <v>0.83799999999999997</v>
      </c>
      <c r="BP29" s="184" t="s">
        <v>113</v>
      </c>
      <c r="BQ29" s="185"/>
      <c r="BR29" s="186" t="s">
        <v>114</v>
      </c>
      <c r="BW29" s="27"/>
      <c r="BX29" s="27"/>
      <c r="BY29" s="27"/>
      <c r="BZ29" s="27"/>
      <c r="CA29" s="27"/>
      <c r="CB29" s="27"/>
      <c r="CC29" s="27"/>
      <c r="CD29" s="27"/>
      <c r="CE29" s="27"/>
    </row>
    <row r="30" spans="1:138" ht="26.1" customHeight="1" x14ac:dyDescent="0.3">
      <c r="A30" s="3333" t="s">
        <v>110</v>
      </c>
      <c r="B30" s="3334"/>
      <c r="C30" s="3337">
        <f>B36/((30*3.1415/51)*(91/3.281))</f>
        <v>3.8651038822708407E-2</v>
      </c>
      <c r="D30" s="3337"/>
      <c r="E30" s="3338"/>
      <c r="F30" s="3333" t="s">
        <v>110</v>
      </c>
      <c r="G30" s="3334"/>
      <c r="H30" s="3337">
        <f>G36/((30*3.1415/51)*(91/3.281))</f>
        <v>3.6173157989551431E-2</v>
      </c>
      <c r="I30" s="3337"/>
      <c r="J30" s="3338"/>
      <c r="K30" s="3333" t="s">
        <v>110</v>
      </c>
      <c r="L30" s="3334"/>
      <c r="M30" s="3337">
        <f>L36/((30*3.1415/51)*(91/3.281))</f>
        <v>0.20213264119296265</v>
      </c>
      <c r="N30" s="3337"/>
      <c r="O30" s="3338"/>
      <c r="P30" s="3333" t="s">
        <v>110</v>
      </c>
      <c r="Q30" s="3334"/>
      <c r="R30" s="3337">
        <f>Q36/((30*3.1415/51)*(91/3.281))</f>
        <v>3.1705168140788061E-2</v>
      </c>
      <c r="S30" s="3337"/>
      <c r="T30" s="3338"/>
      <c r="U30" s="3333" t="s">
        <v>110</v>
      </c>
      <c r="V30" s="3334"/>
      <c r="W30" s="3337">
        <f>V36/((30*3.1415/51)*(91/3.281))</f>
        <v>1.9510872702023427E-6</v>
      </c>
      <c r="X30" s="3337"/>
      <c r="Y30" s="3338"/>
      <c r="Z30" s="3333" t="s">
        <v>110</v>
      </c>
      <c r="AA30" s="3334"/>
      <c r="AB30" s="3337">
        <f>AA36/((30*3.1415/51)*(91/3.281))</f>
        <v>4.9557616663139497E-3</v>
      </c>
      <c r="AC30" s="3337"/>
      <c r="AD30" s="3338"/>
      <c r="AE30" s="3333" t="s">
        <v>110</v>
      </c>
      <c r="AF30" s="3334"/>
      <c r="AG30" s="3337">
        <f>AF36/((30*3.1415/51)*(91/3.281))</f>
        <v>1.9510872702023426E-7</v>
      </c>
      <c r="AH30" s="3337"/>
      <c r="AI30" s="3338"/>
      <c r="AJ30" s="3333" t="s">
        <v>110</v>
      </c>
      <c r="AK30" s="3334"/>
      <c r="AL30" s="3337">
        <f>AK36/((30*3.1415/51)*(91/3.281))</f>
        <v>1.3364947800886045E-2</v>
      </c>
      <c r="AM30" s="3337"/>
      <c r="AN30" s="3338"/>
      <c r="AO30" s="3333" t="s">
        <v>110</v>
      </c>
      <c r="AP30" s="3334"/>
      <c r="AQ30" s="3337">
        <f>AP36/((30*3.1415/51)*(91/3.281))</f>
        <v>1.4867284998941849E-2</v>
      </c>
      <c r="AR30" s="3337"/>
      <c r="AS30" s="3338"/>
      <c r="AT30" s="3333" t="s">
        <v>110</v>
      </c>
      <c r="AU30" s="3334"/>
      <c r="AV30" s="3337">
        <f>AU36/((30*3.1415/51)*(91/3.281))</f>
        <v>3.2700222648591258E-2</v>
      </c>
      <c r="AW30" s="3337"/>
      <c r="AX30" s="3338"/>
      <c r="AY30" s="3333" t="s">
        <v>110</v>
      </c>
      <c r="AZ30" s="3334"/>
      <c r="BA30" s="3337">
        <f>AZ36/((30*3.1415/51)*(91/3.281))</f>
        <v>4.1616691473415963E-2</v>
      </c>
      <c r="BB30" s="3337"/>
      <c r="BC30" s="3338"/>
      <c r="BD30" s="3333" t="s">
        <v>110</v>
      </c>
      <c r="BE30" s="3334"/>
      <c r="BF30" s="3337">
        <f>BE36/((30*3.1415/51)*(91/3.281))</f>
        <v>3.5665875299298821E-2</v>
      </c>
      <c r="BG30" s="3337"/>
      <c r="BH30" s="3338"/>
      <c r="BI30" s="3333" t="s">
        <v>110</v>
      </c>
      <c r="BJ30" s="3334"/>
      <c r="BK30" s="3337">
        <f>BJ36/((30*3.1415/51)*(91/3.281))</f>
        <v>1.9823046665255799E-2</v>
      </c>
      <c r="BL30" s="3337"/>
      <c r="BM30" s="3338"/>
      <c r="BN30" s="3333" t="s">
        <v>110</v>
      </c>
      <c r="BO30" s="3334"/>
      <c r="BP30" s="3337">
        <f>BO36/((30*3.1415/51)*(91/3.281))</f>
        <v>5.5488921964554613E-2</v>
      </c>
      <c r="BQ30" s="3337"/>
      <c r="BR30" s="3338"/>
      <c r="BT30" s="219"/>
    </row>
    <row r="31" spans="1:138" ht="3.75" customHeight="1" x14ac:dyDescent="0.25">
      <c r="A31" s="3335"/>
      <c r="B31" s="3336"/>
      <c r="C31" s="3339"/>
      <c r="D31" s="3339"/>
      <c r="E31" s="3340"/>
      <c r="F31" s="3335"/>
      <c r="G31" s="3336"/>
      <c r="H31" s="3339"/>
      <c r="I31" s="3339"/>
      <c r="J31" s="3340"/>
      <c r="K31" s="3335"/>
      <c r="L31" s="3336"/>
      <c r="M31" s="3339"/>
      <c r="N31" s="3339"/>
      <c r="O31" s="3340"/>
      <c r="P31" s="3335"/>
      <c r="Q31" s="3336"/>
      <c r="R31" s="3339"/>
      <c r="S31" s="3339"/>
      <c r="T31" s="3340"/>
      <c r="U31" s="3335"/>
      <c r="V31" s="3336"/>
      <c r="W31" s="3339"/>
      <c r="X31" s="3339"/>
      <c r="Y31" s="3340"/>
      <c r="Z31" s="3335"/>
      <c r="AA31" s="3336"/>
      <c r="AB31" s="3339"/>
      <c r="AC31" s="3339"/>
      <c r="AD31" s="3340"/>
      <c r="AE31" s="3335"/>
      <c r="AF31" s="3336"/>
      <c r="AG31" s="3339"/>
      <c r="AH31" s="3339"/>
      <c r="AI31" s="3340"/>
      <c r="AJ31" s="3335"/>
      <c r="AK31" s="3336"/>
      <c r="AL31" s="3339"/>
      <c r="AM31" s="3339"/>
      <c r="AN31" s="3340"/>
      <c r="AO31" s="3335"/>
      <c r="AP31" s="3336"/>
      <c r="AQ31" s="3339"/>
      <c r="AR31" s="3339"/>
      <c r="AS31" s="3340"/>
      <c r="AT31" s="3335"/>
      <c r="AU31" s="3336"/>
      <c r="AV31" s="3339"/>
      <c r="AW31" s="3339"/>
      <c r="AX31" s="3340"/>
      <c r="AY31" s="3335"/>
      <c r="AZ31" s="3336"/>
      <c r="BA31" s="3339"/>
      <c r="BB31" s="3339"/>
      <c r="BC31" s="3340"/>
      <c r="BD31" s="3335"/>
      <c r="BE31" s="3336"/>
      <c r="BF31" s="3339"/>
      <c r="BG31" s="3339"/>
      <c r="BH31" s="3340"/>
      <c r="BI31" s="3335"/>
      <c r="BJ31" s="3336"/>
      <c r="BK31" s="3339"/>
      <c r="BL31" s="3339"/>
      <c r="BM31" s="3340"/>
      <c r="BN31" s="3335"/>
      <c r="BO31" s="3336"/>
      <c r="BP31" s="3339"/>
      <c r="BQ31" s="3339"/>
      <c r="BR31" s="3340"/>
    </row>
    <row r="32" spans="1:138" ht="4.5" hidden="1" customHeight="1" x14ac:dyDescent="0.25">
      <c r="A32" s="3335"/>
      <c r="B32" s="3336"/>
      <c r="C32" s="3339"/>
      <c r="D32" s="3339"/>
      <c r="E32" s="3340"/>
      <c r="F32" s="3335"/>
      <c r="G32" s="3336"/>
      <c r="H32" s="3339"/>
      <c r="I32" s="3339"/>
      <c r="J32" s="3340"/>
      <c r="K32" s="3335"/>
      <c r="L32" s="3336"/>
      <c r="M32" s="3339"/>
      <c r="N32" s="3339"/>
      <c r="O32" s="3340"/>
      <c r="P32" s="3335"/>
      <c r="Q32" s="3336"/>
      <c r="R32" s="3339"/>
      <c r="S32" s="3339"/>
      <c r="T32" s="3340"/>
      <c r="U32" s="3335"/>
      <c r="V32" s="3336"/>
      <c r="W32" s="3339"/>
      <c r="X32" s="3339"/>
      <c r="Y32" s="3340"/>
      <c r="Z32" s="3335"/>
      <c r="AA32" s="3336"/>
      <c r="AB32" s="3339"/>
      <c r="AC32" s="3339"/>
      <c r="AD32" s="3340"/>
      <c r="AE32" s="3335"/>
      <c r="AF32" s="3336"/>
      <c r="AG32" s="3339"/>
      <c r="AH32" s="3339"/>
      <c r="AI32" s="3340"/>
      <c r="AJ32" s="3335"/>
      <c r="AK32" s="3336"/>
      <c r="AL32" s="3339"/>
      <c r="AM32" s="3339"/>
      <c r="AN32" s="3340"/>
      <c r="AO32" s="3335"/>
      <c r="AP32" s="3336"/>
      <c r="AQ32" s="3339"/>
      <c r="AR32" s="3339"/>
      <c r="AS32" s="3340"/>
      <c r="AT32" s="3335"/>
      <c r="AU32" s="3336"/>
      <c r="AV32" s="3339"/>
      <c r="AW32" s="3339"/>
      <c r="AX32" s="3340"/>
      <c r="AY32" s="3335"/>
      <c r="AZ32" s="3336"/>
      <c r="BA32" s="3339"/>
      <c r="BB32" s="3339"/>
      <c r="BC32" s="3340"/>
      <c r="BD32" s="3335"/>
      <c r="BE32" s="3336"/>
      <c r="BF32" s="3339"/>
      <c r="BG32" s="3339"/>
      <c r="BH32" s="3340"/>
      <c r="BI32" s="3335"/>
      <c r="BJ32" s="3336"/>
      <c r="BK32" s="3339"/>
      <c r="BL32" s="3339"/>
      <c r="BM32" s="3340"/>
      <c r="BN32" s="3335"/>
      <c r="BO32" s="3336"/>
      <c r="BP32" s="3339"/>
      <c r="BQ32" s="3339"/>
      <c r="BR32" s="3340"/>
      <c r="ED32" s="13"/>
      <c r="EE32" s="13"/>
      <c r="EF32" s="13"/>
      <c r="EG32" s="13"/>
      <c r="EH32" s="13"/>
    </row>
    <row r="33" spans="1:138" ht="6" customHeight="1" x14ac:dyDescent="0.25">
      <c r="A33" s="3335"/>
      <c r="B33" s="3336"/>
      <c r="C33" s="3339"/>
      <c r="D33" s="3339"/>
      <c r="E33" s="3340"/>
      <c r="F33" s="3335"/>
      <c r="G33" s="3336"/>
      <c r="H33" s="3339"/>
      <c r="I33" s="3339"/>
      <c r="J33" s="3340"/>
      <c r="K33" s="3335"/>
      <c r="L33" s="3336"/>
      <c r="M33" s="3339"/>
      <c r="N33" s="3339"/>
      <c r="O33" s="3340"/>
      <c r="P33" s="3335"/>
      <c r="Q33" s="3336"/>
      <c r="R33" s="3339"/>
      <c r="S33" s="3339"/>
      <c r="T33" s="3340"/>
      <c r="U33" s="3335"/>
      <c r="V33" s="3336"/>
      <c r="W33" s="3339"/>
      <c r="X33" s="3339"/>
      <c r="Y33" s="3340"/>
      <c r="Z33" s="3335"/>
      <c r="AA33" s="3336"/>
      <c r="AB33" s="3339"/>
      <c r="AC33" s="3339"/>
      <c r="AD33" s="3340"/>
      <c r="AE33" s="3335"/>
      <c r="AF33" s="3336"/>
      <c r="AG33" s="3339"/>
      <c r="AH33" s="3339"/>
      <c r="AI33" s="3340"/>
      <c r="AJ33" s="3335"/>
      <c r="AK33" s="3336"/>
      <c r="AL33" s="3339"/>
      <c r="AM33" s="3339"/>
      <c r="AN33" s="3340"/>
      <c r="AO33" s="3335"/>
      <c r="AP33" s="3336"/>
      <c r="AQ33" s="3339"/>
      <c r="AR33" s="3339"/>
      <c r="AS33" s="3340"/>
      <c r="AT33" s="3335"/>
      <c r="AU33" s="3336"/>
      <c r="AV33" s="3339"/>
      <c r="AW33" s="3339"/>
      <c r="AX33" s="3340"/>
      <c r="AY33" s="3335"/>
      <c r="AZ33" s="3336"/>
      <c r="BA33" s="3339"/>
      <c r="BB33" s="3339"/>
      <c r="BC33" s="3340"/>
      <c r="BD33" s="3335"/>
      <c r="BE33" s="3336"/>
      <c r="BF33" s="3339"/>
      <c r="BG33" s="3339"/>
      <c r="BH33" s="3340"/>
      <c r="BI33" s="3335"/>
      <c r="BJ33" s="3336"/>
      <c r="BK33" s="3339"/>
      <c r="BL33" s="3339"/>
      <c r="BM33" s="3340"/>
      <c r="BN33" s="3335"/>
      <c r="BO33" s="3336"/>
      <c r="BP33" s="3339"/>
      <c r="BQ33" s="3339"/>
      <c r="BR33" s="3340"/>
      <c r="ED33" s="13"/>
      <c r="EE33" s="13"/>
      <c r="EF33" s="13"/>
      <c r="EG33" s="13"/>
      <c r="EH33" s="13"/>
    </row>
    <row r="34" spans="1:138" ht="28.5" customHeight="1" x14ac:dyDescent="0.25">
      <c r="A34" s="3341" t="s">
        <v>25</v>
      </c>
      <c r="B34" s="3342"/>
      <c r="C34" s="2319" t="s">
        <v>111</v>
      </c>
      <c r="D34" s="2320"/>
      <c r="E34" s="3343"/>
      <c r="F34" s="3341" t="s">
        <v>25</v>
      </c>
      <c r="G34" s="3342"/>
      <c r="H34" s="2319" t="s">
        <v>111</v>
      </c>
      <c r="I34" s="2320"/>
      <c r="J34" s="3343"/>
      <c r="K34" s="3341" t="s">
        <v>25</v>
      </c>
      <c r="L34" s="3342"/>
      <c r="M34" s="2319" t="s">
        <v>111</v>
      </c>
      <c r="N34" s="2320"/>
      <c r="O34" s="3343"/>
      <c r="P34" s="3341" t="s">
        <v>25</v>
      </c>
      <c r="Q34" s="3342"/>
      <c r="R34" s="2319" t="s">
        <v>111</v>
      </c>
      <c r="S34" s="2320"/>
      <c r="T34" s="3343"/>
      <c r="U34" s="3341" t="s">
        <v>25</v>
      </c>
      <c r="V34" s="3342"/>
      <c r="W34" s="2319" t="s">
        <v>111</v>
      </c>
      <c r="X34" s="2320"/>
      <c r="Y34" s="3343"/>
      <c r="Z34" s="3341" t="s">
        <v>25</v>
      </c>
      <c r="AA34" s="3342"/>
      <c r="AB34" s="2319" t="s">
        <v>111</v>
      </c>
      <c r="AC34" s="2320"/>
      <c r="AD34" s="3343"/>
      <c r="AE34" s="3341" t="s">
        <v>25</v>
      </c>
      <c r="AF34" s="3342"/>
      <c r="AG34" s="2319" t="s">
        <v>111</v>
      </c>
      <c r="AH34" s="2320"/>
      <c r="AI34" s="3343"/>
      <c r="AJ34" s="3341" t="s">
        <v>25</v>
      </c>
      <c r="AK34" s="3342"/>
      <c r="AL34" s="2319" t="s">
        <v>111</v>
      </c>
      <c r="AM34" s="2320"/>
      <c r="AN34" s="3343"/>
      <c r="AO34" s="3341" t="s">
        <v>25</v>
      </c>
      <c r="AP34" s="3342"/>
      <c r="AQ34" s="2319" t="s">
        <v>111</v>
      </c>
      <c r="AR34" s="2320"/>
      <c r="AS34" s="3343"/>
      <c r="AT34" s="3341" t="s">
        <v>25</v>
      </c>
      <c r="AU34" s="3342"/>
      <c r="AV34" s="2319" t="s">
        <v>111</v>
      </c>
      <c r="AW34" s="2320"/>
      <c r="AX34" s="3343"/>
      <c r="AY34" s="3341" t="s">
        <v>25</v>
      </c>
      <c r="AZ34" s="3342"/>
      <c r="BA34" s="2319" t="s">
        <v>111</v>
      </c>
      <c r="BB34" s="2320"/>
      <c r="BC34" s="3343"/>
      <c r="BD34" s="3341" t="s">
        <v>25</v>
      </c>
      <c r="BE34" s="3342"/>
      <c r="BF34" s="2319" t="s">
        <v>111</v>
      </c>
      <c r="BG34" s="2320"/>
      <c r="BH34" s="3343"/>
      <c r="BI34" s="3341" t="s">
        <v>25</v>
      </c>
      <c r="BJ34" s="3342"/>
      <c r="BK34" s="2319" t="s">
        <v>111</v>
      </c>
      <c r="BL34" s="2320"/>
      <c r="BM34" s="3343"/>
      <c r="BN34" s="3341" t="s">
        <v>25</v>
      </c>
      <c r="BO34" s="3342"/>
      <c r="BP34" s="2319" t="s">
        <v>111</v>
      </c>
      <c r="BQ34" s="2320"/>
      <c r="BR34" s="3343"/>
      <c r="ED34" s="13"/>
      <c r="EE34" s="13"/>
      <c r="EF34" s="13"/>
      <c r="EG34" s="13"/>
      <c r="EH34" s="13"/>
    </row>
    <row r="35" spans="1:138" s="22" customFormat="1" ht="80.099999999999994" customHeight="1" x14ac:dyDescent="1.35">
      <c r="A35" s="3328" t="s">
        <v>136</v>
      </c>
      <c r="B35" s="3326">
        <v>57</v>
      </c>
      <c r="C35" s="3326"/>
      <c r="D35" s="3326"/>
      <c r="E35" s="3327"/>
      <c r="F35" s="3328" t="s">
        <v>136</v>
      </c>
      <c r="G35" s="3326">
        <v>58</v>
      </c>
      <c r="H35" s="3326"/>
      <c r="I35" s="3326"/>
      <c r="J35" s="3327"/>
      <c r="K35" s="3328" t="s">
        <v>136</v>
      </c>
      <c r="L35" s="3326">
        <v>59</v>
      </c>
      <c r="M35" s="3326"/>
      <c r="N35" s="3326"/>
      <c r="O35" s="3327"/>
      <c r="P35" s="3328" t="s">
        <v>136</v>
      </c>
      <c r="Q35" s="3326">
        <v>60</v>
      </c>
      <c r="R35" s="3326"/>
      <c r="S35" s="3326"/>
      <c r="T35" s="3327"/>
      <c r="U35" s="3328" t="s">
        <v>136</v>
      </c>
      <c r="V35" s="3326">
        <v>61</v>
      </c>
      <c r="W35" s="3326"/>
      <c r="X35" s="3326"/>
      <c r="Y35" s="3327"/>
      <c r="Z35" s="3328" t="s">
        <v>136</v>
      </c>
      <c r="AA35" s="3326">
        <v>62</v>
      </c>
      <c r="AB35" s="3326"/>
      <c r="AC35" s="3326"/>
      <c r="AD35" s="3327"/>
      <c r="AE35" s="3328" t="s">
        <v>136</v>
      </c>
      <c r="AF35" s="3326">
        <v>63</v>
      </c>
      <c r="AG35" s="3326"/>
      <c r="AH35" s="3326"/>
      <c r="AI35" s="3327"/>
      <c r="AJ35" s="3328" t="s">
        <v>136</v>
      </c>
      <c r="AK35" s="3326">
        <v>64</v>
      </c>
      <c r="AL35" s="3326"/>
      <c r="AM35" s="3326"/>
      <c r="AN35" s="3327"/>
      <c r="AO35" s="3328" t="s">
        <v>136</v>
      </c>
      <c r="AP35" s="3326">
        <v>65</v>
      </c>
      <c r="AQ35" s="3326"/>
      <c r="AR35" s="3326"/>
      <c r="AS35" s="3327"/>
      <c r="AT35" s="3328" t="s">
        <v>136</v>
      </c>
      <c r="AU35" s="3326">
        <v>66</v>
      </c>
      <c r="AV35" s="3326"/>
      <c r="AW35" s="3326"/>
      <c r="AX35" s="3327"/>
      <c r="AY35" s="3328" t="s">
        <v>136</v>
      </c>
      <c r="AZ35" s="3326">
        <v>67</v>
      </c>
      <c r="BA35" s="3326"/>
      <c r="BB35" s="3326"/>
      <c r="BC35" s="3327"/>
      <c r="BD35" s="3328" t="s">
        <v>136</v>
      </c>
      <c r="BE35" s="3326">
        <v>68</v>
      </c>
      <c r="BF35" s="3326"/>
      <c r="BG35" s="3326"/>
      <c r="BH35" s="3327"/>
      <c r="BI35" s="3328" t="s">
        <v>136</v>
      </c>
      <c r="BJ35" s="3326">
        <v>69</v>
      </c>
      <c r="BK35" s="3326"/>
      <c r="BL35" s="3326"/>
      <c r="BM35" s="3327"/>
      <c r="BN35" s="3328" t="s">
        <v>136</v>
      </c>
      <c r="BO35" s="3326">
        <v>70</v>
      </c>
      <c r="BP35" s="3326"/>
      <c r="BQ35" s="3326"/>
      <c r="BR35" s="3327"/>
      <c r="CU35" s="56"/>
      <c r="ED35" s="13"/>
      <c r="EE35" s="13"/>
      <c r="EF35" s="13"/>
      <c r="EG35" s="13"/>
      <c r="EH35" s="13"/>
    </row>
    <row r="36" spans="1:138" ht="27" thickBot="1" x14ac:dyDescent="0.3">
      <c r="A36" s="3329"/>
      <c r="B36" s="183">
        <v>1.9810000000000001</v>
      </c>
      <c r="C36" s="184" t="s">
        <v>113</v>
      </c>
      <c r="D36" s="185"/>
      <c r="E36" s="186" t="s">
        <v>114</v>
      </c>
      <c r="F36" s="3329"/>
      <c r="G36" s="183">
        <v>1.8540000000000001</v>
      </c>
      <c r="H36" s="184" t="s">
        <v>113</v>
      </c>
      <c r="I36" s="185">
        <v>1</v>
      </c>
      <c r="J36" s="186" t="s">
        <v>114</v>
      </c>
      <c r="K36" s="3329"/>
      <c r="L36" s="183">
        <v>10.36</v>
      </c>
      <c r="M36" s="184" t="s">
        <v>113</v>
      </c>
      <c r="N36" s="185"/>
      <c r="O36" s="186" t="s">
        <v>114</v>
      </c>
      <c r="P36" s="3329"/>
      <c r="Q36" s="183">
        <v>1.625</v>
      </c>
      <c r="R36" s="184" t="s">
        <v>113</v>
      </c>
      <c r="S36" s="185">
        <v>1</v>
      </c>
      <c r="T36" s="186" t="s">
        <v>114</v>
      </c>
      <c r="U36" s="3329"/>
      <c r="V36" s="183">
        <v>1E-4</v>
      </c>
      <c r="W36" s="184" t="s">
        <v>113</v>
      </c>
      <c r="X36" s="185"/>
      <c r="Y36" s="186" t="s">
        <v>114</v>
      </c>
      <c r="Z36" s="3329"/>
      <c r="AA36" s="183">
        <v>0.254</v>
      </c>
      <c r="AB36" s="184" t="s">
        <v>113</v>
      </c>
      <c r="AC36" s="185">
        <v>1</v>
      </c>
      <c r="AD36" s="186" t="s">
        <v>114</v>
      </c>
      <c r="AE36" s="3329"/>
      <c r="AF36" s="183">
        <v>1.0000000000000001E-5</v>
      </c>
      <c r="AG36" s="184" t="s">
        <v>113</v>
      </c>
      <c r="AH36" s="185"/>
      <c r="AI36" s="186" t="s">
        <v>114</v>
      </c>
      <c r="AJ36" s="3329"/>
      <c r="AK36" s="183">
        <v>0.68500000000000005</v>
      </c>
      <c r="AL36" s="184" t="s">
        <v>113</v>
      </c>
      <c r="AM36" s="185"/>
      <c r="AN36" s="186" t="s">
        <v>114</v>
      </c>
      <c r="AO36" s="3329"/>
      <c r="AP36" s="183">
        <v>0.76200000000000001</v>
      </c>
      <c r="AQ36" s="184" t="s">
        <v>113</v>
      </c>
      <c r="AR36" s="185">
        <v>1</v>
      </c>
      <c r="AS36" s="186" t="s">
        <v>114</v>
      </c>
      <c r="AT36" s="3329"/>
      <c r="AU36" s="183">
        <v>1.6759999999999999</v>
      </c>
      <c r="AV36" s="184" t="s">
        <v>113</v>
      </c>
      <c r="AW36" s="185"/>
      <c r="AX36" s="186" t="s">
        <v>114</v>
      </c>
      <c r="AY36" s="3329"/>
      <c r="AZ36" s="183">
        <v>2.133</v>
      </c>
      <c r="BA36" s="184" t="s">
        <v>113</v>
      </c>
      <c r="BB36" s="185">
        <v>1</v>
      </c>
      <c r="BC36" s="186" t="s">
        <v>114</v>
      </c>
      <c r="BD36" s="3329"/>
      <c r="BE36" s="183">
        <v>1.8280000000000001</v>
      </c>
      <c r="BF36" s="184" t="s">
        <v>113</v>
      </c>
      <c r="BG36" s="185"/>
      <c r="BH36" s="186" t="s">
        <v>114</v>
      </c>
      <c r="BI36" s="3329"/>
      <c r="BJ36" s="183">
        <v>1.016</v>
      </c>
      <c r="BK36" s="184" t="s">
        <v>113</v>
      </c>
      <c r="BL36" s="185">
        <v>1</v>
      </c>
      <c r="BM36" s="186" t="s">
        <v>114</v>
      </c>
      <c r="BN36" s="3329"/>
      <c r="BO36" s="183">
        <v>2.8439999999999999</v>
      </c>
      <c r="BP36" s="184" t="s">
        <v>113</v>
      </c>
      <c r="BQ36" s="185"/>
      <c r="BR36" s="186" t="s">
        <v>114</v>
      </c>
      <c r="BW36" s="27"/>
      <c r="BX36" s="27"/>
      <c r="BY36" s="27"/>
      <c r="BZ36" s="27"/>
      <c r="CA36" s="27"/>
      <c r="CB36" s="27"/>
      <c r="CC36" s="27"/>
      <c r="CD36" s="27"/>
      <c r="CE36" s="27"/>
      <c r="ED36" s="13"/>
      <c r="EE36" s="13"/>
      <c r="EF36" s="13"/>
      <c r="EG36" s="13"/>
      <c r="EH36" s="13"/>
    </row>
    <row r="37" spans="1:138" ht="26.1" customHeight="1" x14ac:dyDescent="0.25">
      <c r="A37" s="3333" t="s">
        <v>110</v>
      </c>
      <c r="B37" s="3334"/>
      <c r="C37" s="3337">
        <f>B43/((30*3.1415/51)*(91/3.281))</f>
        <v>4.2123974163668566E-2</v>
      </c>
      <c r="D37" s="3337"/>
      <c r="E37" s="3338"/>
      <c r="F37" s="3333" t="s">
        <v>110</v>
      </c>
      <c r="G37" s="3334"/>
      <c r="H37" s="3337">
        <f>G43/((30*3.1415/51)*(91/3.281))</f>
        <v>1.7832937649649411E-2</v>
      </c>
      <c r="I37" s="3337"/>
      <c r="J37" s="3338"/>
      <c r="K37" s="3333" t="s">
        <v>110</v>
      </c>
      <c r="L37" s="3334"/>
      <c r="M37" s="3337">
        <f>L43/((30*3.1415/51)*(91/3.281))</f>
        <v>1.9510872702023424E-5</v>
      </c>
      <c r="N37" s="3337"/>
      <c r="O37" s="3338"/>
      <c r="P37" s="3333" t="s">
        <v>110</v>
      </c>
      <c r="Q37" s="3334"/>
      <c r="R37" s="3337">
        <f>Q43/((30*3.1415/51)*(91/3.281))</f>
        <v>1.7345165832098823E-2</v>
      </c>
      <c r="S37" s="3337"/>
      <c r="T37" s="3338"/>
      <c r="U37" s="3333" t="s">
        <v>110</v>
      </c>
      <c r="V37" s="3334"/>
      <c r="W37" s="3337">
        <f>V43/((30*3.1415/51)*(91/3.281))</f>
        <v>1.9510872702023427E-6</v>
      </c>
      <c r="X37" s="3337"/>
      <c r="Y37" s="3338"/>
      <c r="Z37" s="3333" t="s">
        <v>110</v>
      </c>
      <c r="AA37" s="3334"/>
      <c r="AB37" s="3337">
        <f>AA43/((30*3.1415/51)*(91/3.281))</f>
        <v>1.1394349657981679E-2</v>
      </c>
      <c r="AC37" s="3337"/>
      <c r="AD37" s="3338"/>
      <c r="AE37" s="3333" t="s">
        <v>110</v>
      </c>
      <c r="AF37" s="3334"/>
      <c r="AG37" s="3337">
        <f>AF43/((30*3.1415/51)*(91/3.281))</f>
        <v>8.9164688248247054E-3</v>
      </c>
      <c r="AH37" s="3337"/>
      <c r="AI37" s="3338"/>
      <c r="AJ37" s="3333" t="s">
        <v>110</v>
      </c>
      <c r="AK37" s="3334"/>
      <c r="AL37" s="3337">
        <f>AK43/((30*3.1415/51)*(91/3.281))</f>
        <v>5.4435334838645356E-3</v>
      </c>
      <c r="AM37" s="3337"/>
      <c r="AN37" s="3338"/>
      <c r="AO37" s="3333" t="s">
        <v>110</v>
      </c>
      <c r="AP37" s="3334"/>
      <c r="AQ37" s="3337">
        <f>AP43/((30*3.1415/51)*(91/3.281))</f>
        <v>1.9510872702023427E-6</v>
      </c>
      <c r="AR37" s="3337"/>
      <c r="AS37" s="3338"/>
      <c r="AT37" s="3333" t="s">
        <v>110</v>
      </c>
      <c r="AU37" s="3334"/>
      <c r="AV37" s="3337">
        <f>AU43/((30*3.1415/51)*(91/3.281))</f>
        <v>1.9510872702023427E-6</v>
      </c>
      <c r="AW37" s="3337"/>
      <c r="AX37" s="3338"/>
      <c r="AY37" s="3333" t="s">
        <v>110</v>
      </c>
      <c r="AZ37" s="3334"/>
      <c r="BA37" s="3337">
        <f>AZ43/((30*3.1415/51)*(91/3.281))</f>
        <v>3.4690331664197646E-2</v>
      </c>
      <c r="BB37" s="3337"/>
      <c r="BC37" s="3338"/>
      <c r="BD37" s="3333" t="s">
        <v>110</v>
      </c>
      <c r="BE37" s="3334"/>
      <c r="BF37" s="3337">
        <f>BE43/((30*3.1415/51)*(91/3.281))</f>
        <v>7.6814305827866219E-2</v>
      </c>
      <c r="BG37" s="3337"/>
      <c r="BH37" s="3338"/>
      <c r="BI37" s="3333" t="s">
        <v>110</v>
      </c>
      <c r="BJ37" s="3334"/>
      <c r="BK37" s="3337">
        <f>BJ43/((30*3.1415/51)*(91/3.281))</f>
        <v>4.9557616663139497E-3</v>
      </c>
      <c r="BL37" s="3337"/>
      <c r="BM37" s="3338"/>
      <c r="BN37" s="3333" t="s">
        <v>110</v>
      </c>
      <c r="BO37" s="3334"/>
      <c r="BP37" s="3337">
        <f>BO43/((30*3.1415/51)*(91/3.281))</f>
        <v>9.4042406423752896E-3</v>
      </c>
      <c r="BQ37" s="3337"/>
      <c r="BR37" s="3338"/>
      <c r="ED37" s="13"/>
      <c r="EE37" s="13"/>
      <c r="EF37" s="13"/>
      <c r="EG37" s="13"/>
      <c r="EH37" s="13"/>
    </row>
    <row r="38" spans="1:138" ht="6.75" customHeight="1" x14ac:dyDescent="0.25">
      <c r="A38" s="3335"/>
      <c r="B38" s="3336"/>
      <c r="C38" s="3339"/>
      <c r="D38" s="3339"/>
      <c r="E38" s="3340"/>
      <c r="F38" s="3335"/>
      <c r="G38" s="3336"/>
      <c r="H38" s="3339"/>
      <c r="I38" s="3339"/>
      <c r="J38" s="3340"/>
      <c r="K38" s="3335"/>
      <c r="L38" s="3336"/>
      <c r="M38" s="3339"/>
      <c r="N38" s="3339"/>
      <c r="O38" s="3340"/>
      <c r="P38" s="3335"/>
      <c r="Q38" s="3336"/>
      <c r="R38" s="3339"/>
      <c r="S38" s="3339"/>
      <c r="T38" s="3340"/>
      <c r="U38" s="3335"/>
      <c r="V38" s="3336"/>
      <c r="W38" s="3339"/>
      <c r="X38" s="3339"/>
      <c r="Y38" s="3340"/>
      <c r="Z38" s="3335"/>
      <c r="AA38" s="3336"/>
      <c r="AB38" s="3339"/>
      <c r="AC38" s="3339"/>
      <c r="AD38" s="3340"/>
      <c r="AE38" s="3335"/>
      <c r="AF38" s="3336"/>
      <c r="AG38" s="3339"/>
      <c r="AH38" s="3339"/>
      <c r="AI38" s="3340"/>
      <c r="AJ38" s="3335"/>
      <c r="AK38" s="3336"/>
      <c r="AL38" s="3339"/>
      <c r="AM38" s="3339"/>
      <c r="AN38" s="3340"/>
      <c r="AO38" s="3335"/>
      <c r="AP38" s="3336"/>
      <c r="AQ38" s="3339"/>
      <c r="AR38" s="3339"/>
      <c r="AS38" s="3340"/>
      <c r="AT38" s="3335"/>
      <c r="AU38" s="3336"/>
      <c r="AV38" s="3339"/>
      <c r="AW38" s="3339"/>
      <c r="AX38" s="3340"/>
      <c r="AY38" s="3335"/>
      <c r="AZ38" s="3336"/>
      <c r="BA38" s="3339"/>
      <c r="BB38" s="3339"/>
      <c r="BC38" s="3340"/>
      <c r="BD38" s="3335"/>
      <c r="BE38" s="3336"/>
      <c r="BF38" s="3339"/>
      <c r="BG38" s="3339"/>
      <c r="BH38" s="3340"/>
      <c r="BI38" s="3335"/>
      <c r="BJ38" s="3336"/>
      <c r="BK38" s="3339"/>
      <c r="BL38" s="3339"/>
      <c r="BM38" s="3340"/>
      <c r="BN38" s="3335"/>
      <c r="BO38" s="3336"/>
      <c r="BP38" s="3339"/>
      <c r="BQ38" s="3339"/>
      <c r="BR38" s="3340"/>
      <c r="ED38" s="57"/>
      <c r="EE38" s="57"/>
      <c r="EF38" s="57"/>
      <c r="EG38" s="57"/>
      <c r="EH38" s="57"/>
    </row>
    <row r="39" spans="1:138" ht="6" customHeight="1" x14ac:dyDescent="0.25">
      <c r="A39" s="3335"/>
      <c r="B39" s="3336"/>
      <c r="C39" s="3339"/>
      <c r="D39" s="3339"/>
      <c r="E39" s="3340"/>
      <c r="F39" s="3335"/>
      <c r="G39" s="3336"/>
      <c r="H39" s="3339"/>
      <c r="I39" s="3339"/>
      <c r="J39" s="3340"/>
      <c r="K39" s="3335"/>
      <c r="L39" s="3336"/>
      <c r="M39" s="3339"/>
      <c r="N39" s="3339"/>
      <c r="O39" s="3340"/>
      <c r="P39" s="3335"/>
      <c r="Q39" s="3336"/>
      <c r="R39" s="3339"/>
      <c r="S39" s="3339"/>
      <c r="T39" s="3340"/>
      <c r="U39" s="3335"/>
      <c r="V39" s="3336"/>
      <c r="W39" s="3339"/>
      <c r="X39" s="3339"/>
      <c r="Y39" s="3340"/>
      <c r="Z39" s="3335"/>
      <c r="AA39" s="3336"/>
      <c r="AB39" s="3339"/>
      <c r="AC39" s="3339"/>
      <c r="AD39" s="3340"/>
      <c r="AE39" s="3335"/>
      <c r="AF39" s="3336"/>
      <c r="AG39" s="3339"/>
      <c r="AH39" s="3339"/>
      <c r="AI39" s="3340"/>
      <c r="AJ39" s="3335"/>
      <c r="AK39" s="3336"/>
      <c r="AL39" s="3339"/>
      <c r="AM39" s="3339"/>
      <c r="AN39" s="3340"/>
      <c r="AO39" s="3335"/>
      <c r="AP39" s="3336"/>
      <c r="AQ39" s="3339"/>
      <c r="AR39" s="3339"/>
      <c r="AS39" s="3340"/>
      <c r="AT39" s="3335"/>
      <c r="AU39" s="3336"/>
      <c r="AV39" s="3339"/>
      <c r="AW39" s="3339"/>
      <c r="AX39" s="3340"/>
      <c r="AY39" s="3335"/>
      <c r="AZ39" s="3336"/>
      <c r="BA39" s="3339"/>
      <c r="BB39" s="3339"/>
      <c r="BC39" s="3340"/>
      <c r="BD39" s="3335"/>
      <c r="BE39" s="3336"/>
      <c r="BF39" s="3339"/>
      <c r="BG39" s="3339"/>
      <c r="BH39" s="3340"/>
      <c r="BI39" s="3335"/>
      <c r="BJ39" s="3336"/>
      <c r="BK39" s="3339"/>
      <c r="BL39" s="3339"/>
      <c r="BM39" s="3340"/>
      <c r="BN39" s="3335"/>
      <c r="BO39" s="3336"/>
      <c r="BP39" s="3339"/>
      <c r="BQ39" s="3339"/>
      <c r="BR39" s="3340"/>
      <c r="ED39" s="57"/>
      <c r="EE39" s="57"/>
      <c r="EF39" s="57"/>
      <c r="EG39" s="57"/>
      <c r="EH39" s="57"/>
    </row>
    <row r="40" spans="1:138" ht="6" hidden="1" customHeight="1" x14ac:dyDescent="0.25">
      <c r="A40" s="3335"/>
      <c r="B40" s="3336"/>
      <c r="C40" s="3339"/>
      <c r="D40" s="3339"/>
      <c r="E40" s="3340"/>
      <c r="F40" s="3335"/>
      <c r="G40" s="3336"/>
      <c r="H40" s="3339"/>
      <c r="I40" s="3339"/>
      <c r="J40" s="3340"/>
      <c r="K40" s="3335"/>
      <c r="L40" s="3336"/>
      <c r="M40" s="3339"/>
      <c r="N40" s="3339"/>
      <c r="O40" s="3340"/>
      <c r="P40" s="3335"/>
      <c r="Q40" s="3336"/>
      <c r="R40" s="3339"/>
      <c r="S40" s="3339"/>
      <c r="T40" s="3340"/>
      <c r="U40" s="3335"/>
      <c r="V40" s="3336"/>
      <c r="W40" s="3339"/>
      <c r="X40" s="3339"/>
      <c r="Y40" s="3340"/>
      <c r="Z40" s="3335"/>
      <c r="AA40" s="3336"/>
      <c r="AB40" s="3339"/>
      <c r="AC40" s="3339"/>
      <c r="AD40" s="3340"/>
      <c r="AE40" s="3335"/>
      <c r="AF40" s="3336"/>
      <c r="AG40" s="3339"/>
      <c r="AH40" s="3339"/>
      <c r="AI40" s="3340"/>
      <c r="AJ40" s="3335"/>
      <c r="AK40" s="3336"/>
      <c r="AL40" s="3339"/>
      <c r="AM40" s="3339"/>
      <c r="AN40" s="3340"/>
      <c r="AO40" s="3335"/>
      <c r="AP40" s="3336"/>
      <c r="AQ40" s="3339"/>
      <c r="AR40" s="3339"/>
      <c r="AS40" s="3340"/>
      <c r="AT40" s="3335"/>
      <c r="AU40" s="3336"/>
      <c r="AV40" s="3339"/>
      <c r="AW40" s="3339"/>
      <c r="AX40" s="3340"/>
      <c r="AY40" s="3335"/>
      <c r="AZ40" s="3336"/>
      <c r="BA40" s="3339"/>
      <c r="BB40" s="3339"/>
      <c r="BC40" s="3340"/>
      <c r="BD40" s="3335"/>
      <c r="BE40" s="3336"/>
      <c r="BF40" s="3339"/>
      <c r="BG40" s="3339"/>
      <c r="BH40" s="3340"/>
      <c r="BI40" s="3335"/>
      <c r="BJ40" s="3336"/>
      <c r="BK40" s="3339"/>
      <c r="BL40" s="3339"/>
      <c r="BM40" s="3340"/>
      <c r="BN40" s="3335"/>
      <c r="BO40" s="3336"/>
      <c r="BP40" s="3339"/>
      <c r="BQ40" s="3339"/>
      <c r="BR40" s="3340"/>
      <c r="ED40" s="57"/>
      <c r="EE40" s="57"/>
      <c r="EF40" s="57"/>
      <c r="EG40" s="57"/>
      <c r="EH40" s="57"/>
    </row>
    <row r="41" spans="1:138" ht="28.5" customHeight="1" x14ac:dyDescent="0.25">
      <c r="A41" s="3341" t="s">
        <v>25</v>
      </c>
      <c r="B41" s="3342"/>
      <c r="C41" s="2319" t="s">
        <v>111</v>
      </c>
      <c r="D41" s="2320"/>
      <c r="E41" s="3343"/>
      <c r="F41" s="3341" t="s">
        <v>25</v>
      </c>
      <c r="G41" s="3342"/>
      <c r="H41" s="2319" t="s">
        <v>111</v>
      </c>
      <c r="I41" s="2320"/>
      <c r="J41" s="3343"/>
      <c r="K41" s="3341" t="s">
        <v>25</v>
      </c>
      <c r="L41" s="3342"/>
      <c r="M41" s="2319" t="s">
        <v>111</v>
      </c>
      <c r="N41" s="2320"/>
      <c r="O41" s="3343"/>
      <c r="P41" s="3341" t="s">
        <v>25</v>
      </c>
      <c r="Q41" s="3342"/>
      <c r="R41" s="2319" t="s">
        <v>111</v>
      </c>
      <c r="S41" s="2320"/>
      <c r="T41" s="3343"/>
      <c r="U41" s="3341" t="s">
        <v>25</v>
      </c>
      <c r="V41" s="3342"/>
      <c r="W41" s="2319" t="s">
        <v>111</v>
      </c>
      <c r="X41" s="2320"/>
      <c r="Y41" s="3343"/>
      <c r="Z41" s="3341" t="s">
        <v>25</v>
      </c>
      <c r="AA41" s="3342"/>
      <c r="AB41" s="2319" t="s">
        <v>111</v>
      </c>
      <c r="AC41" s="2320"/>
      <c r="AD41" s="3343"/>
      <c r="AE41" s="3341" t="s">
        <v>25</v>
      </c>
      <c r="AF41" s="3342"/>
      <c r="AG41" s="2319" t="s">
        <v>111</v>
      </c>
      <c r="AH41" s="2320"/>
      <c r="AI41" s="3343"/>
      <c r="AJ41" s="3341" t="s">
        <v>25</v>
      </c>
      <c r="AK41" s="3342"/>
      <c r="AL41" s="2319" t="s">
        <v>111</v>
      </c>
      <c r="AM41" s="2320"/>
      <c r="AN41" s="3343"/>
      <c r="AO41" s="3341" t="s">
        <v>25</v>
      </c>
      <c r="AP41" s="3342"/>
      <c r="AQ41" s="2319" t="s">
        <v>111</v>
      </c>
      <c r="AR41" s="2320"/>
      <c r="AS41" s="3343"/>
      <c r="AT41" s="3341" t="s">
        <v>25</v>
      </c>
      <c r="AU41" s="3342"/>
      <c r="AV41" s="2319" t="s">
        <v>111</v>
      </c>
      <c r="AW41" s="2320"/>
      <c r="AX41" s="3343"/>
      <c r="AY41" s="3341" t="s">
        <v>25</v>
      </c>
      <c r="AZ41" s="3342"/>
      <c r="BA41" s="2319" t="s">
        <v>111</v>
      </c>
      <c r="BB41" s="2320"/>
      <c r="BC41" s="3343"/>
      <c r="BD41" s="3341" t="s">
        <v>25</v>
      </c>
      <c r="BE41" s="3342"/>
      <c r="BF41" s="2319" t="s">
        <v>111</v>
      </c>
      <c r="BG41" s="2320"/>
      <c r="BH41" s="3343"/>
      <c r="BI41" s="3341" t="s">
        <v>25</v>
      </c>
      <c r="BJ41" s="3342"/>
      <c r="BK41" s="2319" t="s">
        <v>111</v>
      </c>
      <c r="BL41" s="2320"/>
      <c r="BM41" s="3343"/>
      <c r="BN41" s="3341" t="s">
        <v>25</v>
      </c>
      <c r="BO41" s="3342"/>
      <c r="BP41" s="2319" t="s">
        <v>111</v>
      </c>
      <c r="BQ41" s="2320"/>
      <c r="BR41" s="3343"/>
      <c r="ED41" s="57"/>
      <c r="EE41" s="57"/>
      <c r="EF41" s="57"/>
      <c r="EG41" s="57"/>
      <c r="EH41" s="57"/>
    </row>
    <row r="42" spans="1:138" s="22" customFormat="1" ht="80.099999999999994" customHeight="1" x14ac:dyDescent="1.35">
      <c r="A42" s="3328" t="s">
        <v>136</v>
      </c>
      <c r="B42" s="3326">
        <v>71</v>
      </c>
      <c r="C42" s="3326"/>
      <c r="D42" s="3326"/>
      <c r="E42" s="3327"/>
      <c r="F42" s="3328" t="s">
        <v>136</v>
      </c>
      <c r="G42" s="3326">
        <v>72</v>
      </c>
      <c r="H42" s="3326"/>
      <c r="I42" s="3326"/>
      <c r="J42" s="3327"/>
      <c r="K42" s="3328" t="s">
        <v>136</v>
      </c>
      <c r="L42" s="3326">
        <v>73</v>
      </c>
      <c r="M42" s="3326"/>
      <c r="N42" s="3326"/>
      <c r="O42" s="3327"/>
      <c r="P42" s="3328" t="s">
        <v>136</v>
      </c>
      <c r="Q42" s="3326">
        <v>74</v>
      </c>
      <c r="R42" s="3326"/>
      <c r="S42" s="3326"/>
      <c r="T42" s="3327"/>
      <c r="U42" s="3328" t="s">
        <v>136</v>
      </c>
      <c r="V42" s="3326">
        <v>75</v>
      </c>
      <c r="W42" s="3326"/>
      <c r="X42" s="3326"/>
      <c r="Y42" s="3327"/>
      <c r="Z42" s="3328" t="s">
        <v>136</v>
      </c>
      <c r="AA42" s="3326">
        <v>76</v>
      </c>
      <c r="AB42" s="3326"/>
      <c r="AC42" s="3326"/>
      <c r="AD42" s="3327"/>
      <c r="AE42" s="3328" t="s">
        <v>136</v>
      </c>
      <c r="AF42" s="3326">
        <v>77</v>
      </c>
      <c r="AG42" s="3326"/>
      <c r="AH42" s="3326"/>
      <c r="AI42" s="3327"/>
      <c r="AJ42" s="3328" t="s">
        <v>136</v>
      </c>
      <c r="AK42" s="3326">
        <v>78</v>
      </c>
      <c r="AL42" s="3326"/>
      <c r="AM42" s="3326"/>
      <c r="AN42" s="3327"/>
      <c r="AO42" s="3328" t="s">
        <v>136</v>
      </c>
      <c r="AP42" s="3326">
        <v>79</v>
      </c>
      <c r="AQ42" s="3326"/>
      <c r="AR42" s="3326"/>
      <c r="AS42" s="3327"/>
      <c r="AT42" s="3328" t="s">
        <v>136</v>
      </c>
      <c r="AU42" s="3326">
        <v>80</v>
      </c>
      <c r="AV42" s="3326"/>
      <c r="AW42" s="3326"/>
      <c r="AX42" s="3327"/>
      <c r="AY42" s="3328" t="s">
        <v>136</v>
      </c>
      <c r="AZ42" s="3326">
        <v>81</v>
      </c>
      <c r="BA42" s="3326"/>
      <c r="BB42" s="3326"/>
      <c r="BC42" s="3327"/>
      <c r="BD42" s="3328" t="s">
        <v>136</v>
      </c>
      <c r="BE42" s="3326">
        <v>82</v>
      </c>
      <c r="BF42" s="3326"/>
      <c r="BG42" s="3326"/>
      <c r="BH42" s="3327"/>
      <c r="BI42" s="3328" t="s">
        <v>136</v>
      </c>
      <c r="BJ42" s="3326">
        <v>83</v>
      </c>
      <c r="BK42" s="3326"/>
      <c r="BL42" s="3326"/>
      <c r="BM42" s="3327"/>
      <c r="BN42" s="3328" t="s">
        <v>136</v>
      </c>
      <c r="BO42" s="3326">
        <v>84</v>
      </c>
      <c r="BP42" s="3326"/>
      <c r="BQ42" s="3326"/>
      <c r="BR42" s="3327"/>
      <c r="CU42"/>
      <c r="ED42" s="13"/>
      <c r="EE42" s="13"/>
      <c r="EF42" s="13"/>
      <c r="EG42" s="13"/>
      <c r="EH42" s="13"/>
    </row>
    <row r="43" spans="1:138" ht="27" thickBot="1" x14ac:dyDescent="0.3">
      <c r="A43" s="3329"/>
      <c r="B43" s="183">
        <v>2.1589999999999998</v>
      </c>
      <c r="C43" s="184" t="s">
        <v>113</v>
      </c>
      <c r="D43" s="185"/>
      <c r="E43" s="186" t="s">
        <v>114</v>
      </c>
      <c r="F43" s="3329"/>
      <c r="G43" s="183">
        <v>0.91400000000000003</v>
      </c>
      <c r="H43" s="184" t="s">
        <v>113</v>
      </c>
      <c r="I43" s="185">
        <v>1</v>
      </c>
      <c r="J43" s="186" t="s">
        <v>114</v>
      </c>
      <c r="K43" s="3329"/>
      <c r="L43" s="183">
        <v>1E-3</v>
      </c>
      <c r="M43" s="184" t="s">
        <v>113</v>
      </c>
      <c r="N43" s="185"/>
      <c r="O43" s="186" t="s">
        <v>114</v>
      </c>
      <c r="P43" s="3329"/>
      <c r="Q43" s="183">
        <v>0.88900000000000001</v>
      </c>
      <c r="R43" s="184" t="s">
        <v>113</v>
      </c>
      <c r="S43" s="185">
        <v>1</v>
      </c>
      <c r="T43" s="186" t="s">
        <v>114</v>
      </c>
      <c r="U43" s="3329"/>
      <c r="V43" s="183">
        <v>1E-4</v>
      </c>
      <c r="W43" s="184" t="s">
        <v>113</v>
      </c>
      <c r="X43" s="185"/>
      <c r="Y43" s="186" t="s">
        <v>114</v>
      </c>
      <c r="Z43" s="3329"/>
      <c r="AA43" s="183">
        <v>0.58399999999999996</v>
      </c>
      <c r="AB43" s="184" t="s">
        <v>113</v>
      </c>
      <c r="AC43" s="185">
        <v>1</v>
      </c>
      <c r="AD43" s="186" t="s">
        <v>114</v>
      </c>
      <c r="AE43" s="3329"/>
      <c r="AF43" s="183">
        <v>0.45700000000000002</v>
      </c>
      <c r="AG43" s="184" t="s">
        <v>113</v>
      </c>
      <c r="AH43" s="185"/>
      <c r="AI43" s="186" t="s">
        <v>114</v>
      </c>
      <c r="AJ43" s="3329"/>
      <c r="AK43" s="183">
        <v>0.27900000000000003</v>
      </c>
      <c r="AL43" s="184" t="s">
        <v>113</v>
      </c>
      <c r="AM43" s="185"/>
      <c r="AN43" s="186" t="s">
        <v>114</v>
      </c>
      <c r="AO43" s="3329"/>
      <c r="AP43" s="183">
        <v>1E-4</v>
      </c>
      <c r="AQ43" s="184" t="s">
        <v>113</v>
      </c>
      <c r="AR43" s="185">
        <v>1</v>
      </c>
      <c r="AS43" s="186" t="s">
        <v>114</v>
      </c>
      <c r="AT43" s="3329"/>
      <c r="AU43" s="183">
        <v>1E-4</v>
      </c>
      <c r="AV43" s="184" t="s">
        <v>113</v>
      </c>
      <c r="AW43" s="185"/>
      <c r="AX43" s="186" t="s">
        <v>114</v>
      </c>
      <c r="AY43" s="3329"/>
      <c r="AZ43" s="183">
        <v>1.778</v>
      </c>
      <c r="BA43" s="184" t="s">
        <v>113</v>
      </c>
      <c r="BB43" s="185">
        <v>1</v>
      </c>
      <c r="BC43" s="186" t="s">
        <v>114</v>
      </c>
      <c r="BD43" s="3329"/>
      <c r="BE43" s="183">
        <v>3.9369999999999998</v>
      </c>
      <c r="BF43" s="184" t="s">
        <v>113</v>
      </c>
      <c r="BG43" s="185"/>
      <c r="BH43" s="186" t="s">
        <v>114</v>
      </c>
      <c r="BI43" s="3329"/>
      <c r="BJ43" s="183">
        <v>0.254</v>
      </c>
      <c r="BK43" s="184" t="s">
        <v>113</v>
      </c>
      <c r="BL43" s="185">
        <v>1</v>
      </c>
      <c r="BM43" s="186" t="s">
        <v>114</v>
      </c>
      <c r="BN43" s="3329"/>
      <c r="BO43" s="183">
        <v>0.48199999999999998</v>
      </c>
      <c r="BP43" s="184" t="s">
        <v>113</v>
      </c>
      <c r="BQ43" s="185"/>
      <c r="BR43" s="186" t="s">
        <v>114</v>
      </c>
      <c r="BW43" s="27"/>
      <c r="BX43" s="27"/>
      <c r="BY43" s="27"/>
      <c r="BZ43" s="27"/>
      <c r="CA43" s="27"/>
      <c r="CB43" s="27"/>
      <c r="CC43" s="27"/>
      <c r="CD43" s="27"/>
      <c r="CE43" s="27"/>
      <c r="ED43" s="13"/>
      <c r="EE43" s="13"/>
      <c r="EF43" s="13"/>
      <c r="EG43" s="13"/>
      <c r="EH43" s="13"/>
    </row>
    <row r="44" spans="1:138" ht="26.1" customHeight="1" x14ac:dyDescent="0.25">
      <c r="A44" s="3333" t="s">
        <v>110</v>
      </c>
      <c r="B44" s="3334"/>
      <c r="C44" s="3337">
        <f>B50/((30*3.1415/51)*(91/3.281))</f>
        <v>3.7168212497354622E-2</v>
      </c>
      <c r="D44" s="3337"/>
      <c r="E44" s="3338"/>
      <c r="F44" s="3333" t="s">
        <v>110</v>
      </c>
      <c r="G44" s="3334"/>
      <c r="H44" s="3337">
        <f>G50/((30*3.1415/51)*(91/3.281))</f>
        <v>1.9510872702023427E-6</v>
      </c>
      <c r="I44" s="3337"/>
      <c r="J44" s="3338"/>
      <c r="K44" s="3333" t="s">
        <v>110</v>
      </c>
      <c r="L44" s="3334"/>
      <c r="M44" s="3337">
        <f>L50/((30*3.1415/51)*(91/3.281))</f>
        <v>5.9313053014151207E-3</v>
      </c>
      <c r="N44" s="3337"/>
      <c r="O44" s="3338"/>
      <c r="P44" s="3333" t="s">
        <v>110</v>
      </c>
      <c r="Q44" s="3334"/>
      <c r="R44" s="3337">
        <f>Q50/((30*3.1415/51)*(91/3.281))</f>
        <v>3.9138810640258981E-2</v>
      </c>
      <c r="S44" s="3337"/>
      <c r="T44" s="3338"/>
      <c r="U44" s="3333" t="s">
        <v>110</v>
      </c>
      <c r="V44" s="3334"/>
      <c r="W44" s="3337">
        <f>V50/((30*3.1415/51)*(91/3.281))</f>
        <v>1.9510872702023424E-5</v>
      </c>
      <c r="X44" s="3337"/>
      <c r="Y44" s="3338"/>
      <c r="Z44" s="3333" t="s">
        <v>110</v>
      </c>
      <c r="AA44" s="3334"/>
      <c r="AB44" s="3337">
        <f>AA50/((30*3.1415/51)*(91/3.281))</f>
        <v>3.765598431490521E-2</v>
      </c>
      <c r="AC44" s="3337"/>
      <c r="AD44" s="3338"/>
      <c r="AE44" s="3333" t="s">
        <v>110</v>
      </c>
      <c r="AF44" s="3334"/>
      <c r="AG44" s="3337">
        <f>AF50/((30*3.1415/51)*(91/3.281))</f>
        <v>3.9607071585107548E-3</v>
      </c>
      <c r="AH44" s="3337"/>
      <c r="AI44" s="3338"/>
      <c r="AJ44" s="3333" t="s">
        <v>110</v>
      </c>
      <c r="AK44" s="3334"/>
      <c r="AL44" s="3337">
        <f>AK50/((30*3.1415/51)*(91/3.281))</f>
        <v>9.9115233326278994E-3</v>
      </c>
      <c r="AM44" s="3337"/>
      <c r="AN44" s="3338"/>
      <c r="AO44" s="3333" t="s">
        <v>110</v>
      </c>
      <c r="AP44" s="3334"/>
      <c r="AQ44" s="3337">
        <f>AP50/((30*3.1415/51)*(91/3.281))</f>
        <v>1.8320709467199995E-2</v>
      </c>
      <c r="AR44" s="3337"/>
      <c r="AS44" s="3338"/>
      <c r="AT44" s="3333" t="s">
        <v>110</v>
      </c>
      <c r="AU44" s="3334"/>
      <c r="AV44" s="3337">
        <f>AU50/((30*3.1415/51)*(91/3.281))</f>
        <v>6.1849466465414256E-3</v>
      </c>
      <c r="AW44" s="3337"/>
      <c r="AX44" s="3338"/>
      <c r="AY44" s="3333" t="s">
        <v>110</v>
      </c>
      <c r="AZ44" s="3334"/>
      <c r="BA44" s="3337">
        <f>AZ50/((30*3.1415/51)*(91/3.281))</f>
        <v>0.11546534465057462</v>
      </c>
      <c r="BB44" s="3337"/>
      <c r="BC44" s="3338"/>
      <c r="BD44" s="3333" t="s">
        <v>110</v>
      </c>
      <c r="BE44" s="3334"/>
      <c r="BF44" s="3337">
        <f>BE50/((30*3.1415/51)*(91/3.281))</f>
        <v>1.4360002308689239E-2</v>
      </c>
      <c r="BG44" s="3337"/>
      <c r="BH44" s="3338"/>
      <c r="BI44" s="3333" t="s">
        <v>110</v>
      </c>
      <c r="BJ44" s="3334"/>
      <c r="BK44" s="3337">
        <f>BJ50/((30*3.1415/51)*(91/3.281))</f>
        <v>1.9315763975003189E-2</v>
      </c>
      <c r="BL44" s="3337"/>
      <c r="BM44" s="3338"/>
      <c r="BN44" s="3333" t="s">
        <v>110</v>
      </c>
      <c r="BO44" s="3334"/>
      <c r="BP44" s="3337">
        <f>BO50/((30*3.1415/51)*(91/3.281))</f>
        <v>9.4042406423752896E-3</v>
      </c>
      <c r="BQ44" s="3337"/>
      <c r="BR44" s="3338"/>
      <c r="ED44" s="13"/>
      <c r="EE44" s="13"/>
      <c r="EF44" s="13"/>
      <c r="EG44" s="13"/>
      <c r="EH44" s="13"/>
    </row>
    <row r="45" spans="1:138" ht="6.75" customHeight="1" x14ac:dyDescent="0.25">
      <c r="A45" s="3335"/>
      <c r="B45" s="3336"/>
      <c r="C45" s="3339"/>
      <c r="D45" s="3339"/>
      <c r="E45" s="3340"/>
      <c r="F45" s="3335"/>
      <c r="G45" s="3336"/>
      <c r="H45" s="3339"/>
      <c r="I45" s="3339"/>
      <c r="J45" s="3340"/>
      <c r="K45" s="3335"/>
      <c r="L45" s="3336"/>
      <c r="M45" s="3339"/>
      <c r="N45" s="3339"/>
      <c r="O45" s="3340"/>
      <c r="P45" s="3335"/>
      <c r="Q45" s="3336"/>
      <c r="R45" s="3339"/>
      <c r="S45" s="3339"/>
      <c r="T45" s="3340"/>
      <c r="U45" s="3335"/>
      <c r="V45" s="3336"/>
      <c r="W45" s="3339"/>
      <c r="X45" s="3339"/>
      <c r="Y45" s="3340"/>
      <c r="Z45" s="3335"/>
      <c r="AA45" s="3336"/>
      <c r="AB45" s="3339"/>
      <c r="AC45" s="3339"/>
      <c r="AD45" s="3340"/>
      <c r="AE45" s="3335"/>
      <c r="AF45" s="3336"/>
      <c r="AG45" s="3339"/>
      <c r="AH45" s="3339"/>
      <c r="AI45" s="3340"/>
      <c r="AJ45" s="3335"/>
      <c r="AK45" s="3336"/>
      <c r="AL45" s="3339"/>
      <c r="AM45" s="3339"/>
      <c r="AN45" s="3340"/>
      <c r="AO45" s="3335"/>
      <c r="AP45" s="3336"/>
      <c r="AQ45" s="3339"/>
      <c r="AR45" s="3339"/>
      <c r="AS45" s="3340"/>
      <c r="AT45" s="3335"/>
      <c r="AU45" s="3336"/>
      <c r="AV45" s="3339"/>
      <c r="AW45" s="3339"/>
      <c r="AX45" s="3340"/>
      <c r="AY45" s="3335"/>
      <c r="AZ45" s="3336"/>
      <c r="BA45" s="3339"/>
      <c r="BB45" s="3339"/>
      <c r="BC45" s="3340"/>
      <c r="BD45" s="3335"/>
      <c r="BE45" s="3336"/>
      <c r="BF45" s="3339"/>
      <c r="BG45" s="3339"/>
      <c r="BH45" s="3340"/>
      <c r="BI45" s="3335"/>
      <c r="BJ45" s="3336"/>
      <c r="BK45" s="3339"/>
      <c r="BL45" s="3339"/>
      <c r="BM45" s="3340"/>
      <c r="BN45" s="3335"/>
      <c r="BO45" s="3336"/>
      <c r="BP45" s="3339"/>
      <c r="BQ45" s="3339"/>
      <c r="BR45" s="3340"/>
      <c r="ED45" s="13"/>
      <c r="EE45" s="13"/>
      <c r="EF45" s="13"/>
      <c r="EG45" s="13"/>
      <c r="EH45" s="13"/>
    </row>
    <row r="46" spans="1:138" ht="6" customHeight="1" x14ac:dyDescent="0.25">
      <c r="A46" s="3335"/>
      <c r="B46" s="3336"/>
      <c r="C46" s="3339"/>
      <c r="D46" s="3339"/>
      <c r="E46" s="3340"/>
      <c r="F46" s="3335"/>
      <c r="G46" s="3336"/>
      <c r="H46" s="3339"/>
      <c r="I46" s="3339"/>
      <c r="J46" s="3340"/>
      <c r="K46" s="3335"/>
      <c r="L46" s="3336"/>
      <c r="M46" s="3339"/>
      <c r="N46" s="3339"/>
      <c r="O46" s="3340"/>
      <c r="P46" s="3335"/>
      <c r="Q46" s="3336"/>
      <c r="R46" s="3339"/>
      <c r="S46" s="3339"/>
      <c r="T46" s="3340"/>
      <c r="U46" s="3335"/>
      <c r="V46" s="3336"/>
      <c r="W46" s="3339"/>
      <c r="X46" s="3339"/>
      <c r="Y46" s="3340"/>
      <c r="Z46" s="3335"/>
      <c r="AA46" s="3336"/>
      <c r="AB46" s="3339"/>
      <c r="AC46" s="3339"/>
      <c r="AD46" s="3340"/>
      <c r="AE46" s="3335"/>
      <c r="AF46" s="3336"/>
      <c r="AG46" s="3339"/>
      <c r="AH46" s="3339"/>
      <c r="AI46" s="3340"/>
      <c r="AJ46" s="3335"/>
      <c r="AK46" s="3336"/>
      <c r="AL46" s="3339"/>
      <c r="AM46" s="3339"/>
      <c r="AN46" s="3340"/>
      <c r="AO46" s="3335"/>
      <c r="AP46" s="3336"/>
      <c r="AQ46" s="3339"/>
      <c r="AR46" s="3339"/>
      <c r="AS46" s="3340"/>
      <c r="AT46" s="3335"/>
      <c r="AU46" s="3336"/>
      <c r="AV46" s="3339"/>
      <c r="AW46" s="3339"/>
      <c r="AX46" s="3340"/>
      <c r="AY46" s="3335"/>
      <c r="AZ46" s="3336"/>
      <c r="BA46" s="3339"/>
      <c r="BB46" s="3339"/>
      <c r="BC46" s="3340"/>
      <c r="BD46" s="3335"/>
      <c r="BE46" s="3336"/>
      <c r="BF46" s="3339"/>
      <c r="BG46" s="3339"/>
      <c r="BH46" s="3340"/>
      <c r="BI46" s="3335"/>
      <c r="BJ46" s="3336"/>
      <c r="BK46" s="3339"/>
      <c r="BL46" s="3339"/>
      <c r="BM46" s="3340"/>
      <c r="BN46" s="3335"/>
      <c r="BO46" s="3336"/>
      <c r="BP46" s="3339"/>
      <c r="BQ46" s="3339"/>
      <c r="BR46" s="3340"/>
      <c r="ED46" s="13"/>
      <c r="EE46" s="13"/>
      <c r="EF46" s="13"/>
      <c r="EG46" s="13"/>
      <c r="EH46" s="13"/>
    </row>
    <row r="47" spans="1:138" ht="6" hidden="1" customHeight="1" x14ac:dyDescent="0.25">
      <c r="A47" s="3335"/>
      <c r="B47" s="3336"/>
      <c r="C47" s="3339"/>
      <c r="D47" s="3339"/>
      <c r="E47" s="3340"/>
      <c r="F47" s="3335"/>
      <c r="G47" s="3336"/>
      <c r="H47" s="3339"/>
      <c r="I47" s="3339"/>
      <c r="J47" s="3340"/>
      <c r="K47" s="3335"/>
      <c r="L47" s="3336"/>
      <c r="M47" s="3339"/>
      <c r="N47" s="3339"/>
      <c r="O47" s="3340"/>
      <c r="P47" s="3335"/>
      <c r="Q47" s="3336"/>
      <c r="R47" s="3339"/>
      <c r="S47" s="3339"/>
      <c r="T47" s="3340"/>
      <c r="U47" s="3335"/>
      <c r="V47" s="3336"/>
      <c r="W47" s="3339"/>
      <c r="X47" s="3339"/>
      <c r="Y47" s="3340"/>
      <c r="Z47" s="3335"/>
      <c r="AA47" s="3336"/>
      <c r="AB47" s="3339"/>
      <c r="AC47" s="3339"/>
      <c r="AD47" s="3340"/>
      <c r="AE47" s="3335"/>
      <c r="AF47" s="3336"/>
      <c r="AG47" s="3339"/>
      <c r="AH47" s="3339"/>
      <c r="AI47" s="3340"/>
      <c r="AJ47" s="3335"/>
      <c r="AK47" s="3336"/>
      <c r="AL47" s="3339"/>
      <c r="AM47" s="3339"/>
      <c r="AN47" s="3340"/>
      <c r="AO47" s="3335"/>
      <c r="AP47" s="3336"/>
      <c r="AQ47" s="3339"/>
      <c r="AR47" s="3339"/>
      <c r="AS47" s="3340"/>
      <c r="AT47" s="3335"/>
      <c r="AU47" s="3336"/>
      <c r="AV47" s="3339"/>
      <c r="AW47" s="3339"/>
      <c r="AX47" s="3340"/>
      <c r="AY47" s="3335"/>
      <c r="AZ47" s="3336"/>
      <c r="BA47" s="3339"/>
      <c r="BB47" s="3339"/>
      <c r="BC47" s="3340"/>
      <c r="BD47" s="3335"/>
      <c r="BE47" s="3336"/>
      <c r="BF47" s="3339"/>
      <c r="BG47" s="3339"/>
      <c r="BH47" s="3340"/>
      <c r="BI47" s="3335"/>
      <c r="BJ47" s="3336"/>
      <c r="BK47" s="3339"/>
      <c r="BL47" s="3339"/>
      <c r="BM47" s="3340"/>
      <c r="BN47" s="3335"/>
      <c r="BO47" s="3336"/>
      <c r="BP47" s="3339"/>
      <c r="BQ47" s="3339"/>
      <c r="BR47" s="3340"/>
      <c r="ED47" s="13"/>
      <c r="EE47" s="13"/>
      <c r="EF47" s="13"/>
      <c r="EG47" s="13"/>
      <c r="EH47" s="13"/>
    </row>
    <row r="48" spans="1:138" ht="28.5" customHeight="1" x14ac:dyDescent="0.25">
      <c r="A48" s="3341" t="s">
        <v>25</v>
      </c>
      <c r="B48" s="3342"/>
      <c r="C48" s="2319" t="s">
        <v>111</v>
      </c>
      <c r="D48" s="2320"/>
      <c r="E48" s="3343"/>
      <c r="F48" s="3341" t="s">
        <v>25</v>
      </c>
      <c r="G48" s="3342"/>
      <c r="H48" s="2319" t="s">
        <v>111</v>
      </c>
      <c r="I48" s="2320"/>
      <c r="J48" s="3343"/>
      <c r="K48" s="3341" t="s">
        <v>25</v>
      </c>
      <c r="L48" s="3342"/>
      <c r="M48" s="2319" t="s">
        <v>111</v>
      </c>
      <c r="N48" s="2320"/>
      <c r="O48" s="3343"/>
      <c r="P48" s="3341" t="s">
        <v>25</v>
      </c>
      <c r="Q48" s="3342"/>
      <c r="R48" s="2319" t="s">
        <v>111</v>
      </c>
      <c r="S48" s="2320"/>
      <c r="T48" s="3343"/>
      <c r="U48" s="3341" t="s">
        <v>25</v>
      </c>
      <c r="V48" s="3342"/>
      <c r="W48" s="2319" t="s">
        <v>111</v>
      </c>
      <c r="X48" s="2320"/>
      <c r="Y48" s="3343"/>
      <c r="Z48" s="3341" t="s">
        <v>25</v>
      </c>
      <c r="AA48" s="3342"/>
      <c r="AB48" s="2319" t="s">
        <v>111</v>
      </c>
      <c r="AC48" s="2320"/>
      <c r="AD48" s="3343"/>
      <c r="AE48" s="3341" t="s">
        <v>25</v>
      </c>
      <c r="AF48" s="3342"/>
      <c r="AG48" s="2319" t="s">
        <v>111</v>
      </c>
      <c r="AH48" s="2320"/>
      <c r="AI48" s="3343"/>
      <c r="AJ48" s="3341" t="s">
        <v>25</v>
      </c>
      <c r="AK48" s="3342"/>
      <c r="AL48" s="2319" t="s">
        <v>111</v>
      </c>
      <c r="AM48" s="2320"/>
      <c r="AN48" s="3343"/>
      <c r="AO48" s="3341" t="s">
        <v>25</v>
      </c>
      <c r="AP48" s="3342"/>
      <c r="AQ48" s="2319" t="s">
        <v>111</v>
      </c>
      <c r="AR48" s="2320"/>
      <c r="AS48" s="3343"/>
      <c r="AT48" s="3341" t="s">
        <v>25</v>
      </c>
      <c r="AU48" s="3342"/>
      <c r="AV48" s="2319" t="s">
        <v>111</v>
      </c>
      <c r="AW48" s="2320"/>
      <c r="AX48" s="3343"/>
      <c r="AY48" s="3341" t="s">
        <v>25</v>
      </c>
      <c r="AZ48" s="3342"/>
      <c r="BA48" s="2319" t="s">
        <v>111</v>
      </c>
      <c r="BB48" s="2320"/>
      <c r="BC48" s="3343"/>
      <c r="BD48" s="3341" t="s">
        <v>25</v>
      </c>
      <c r="BE48" s="3342"/>
      <c r="BF48" s="2319" t="s">
        <v>111</v>
      </c>
      <c r="BG48" s="2320"/>
      <c r="BH48" s="3343"/>
      <c r="BI48" s="3341" t="s">
        <v>25</v>
      </c>
      <c r="BJ48" s="3342"/>
      <c r="BK48" s="2319" t="s">
        <v>111</v>
      </c>
      <c r="BL48" s="2320"/>
      <c r="BM48" s="3343"/>
      <c r="BN48" s="3341" t="s">
        <v>25</v>
      </c>
      <c r="BO48" s="3342"/>
      <c r="BP48" s="2319" t="s">
        <v>111</v>
      </c>
      <c r="BQ48" s="2320"/>
      <c r="BR48" s="3343"/>
      <c r="ED48" s="13"/>
      <c r="EE48" s="13"/>
      <c r="EF48" s="13"/>
      <c r="EG48" s="13"/>
      <c r="EH48" s="13"/>
    </row>
    <row r="49" spans="1:138" s="22" customFormat="1" ht="80.099999999999994" customHeight="1" x14ac:dyDescent="1.35">
      <c r="A49" s="3328" t="s">
        <v>136</v>
      </c>
      <c r="B49" s="3326">
        <v>85</v>
      </c>
      <c r="C49" s="3326"/>
      <c r="D49" s="3326"/>
      <c r="E49" s="3327"/>
      <c r="F49" s="3328" t="s">
        <v>136</v>
      </c>
      <c r="G49" s="3326">
        <v>86</v>
      </c>
      <c r="H49" s="3326"/>
      <c r="I49" s="3326"/>
      <c r="J49" s="3327"/>
      <c r="K49" s="3328" t="s">
        <v>136</v>
      </c>
      <c r="L49" s="3326">
        <v>87</v>
      </c>
      <c r="M49" s="3326"/>
      <c r="N49" s="3326"/>
      <c r="O49" s="3327"/>
      <c r="P49" s="3328" t="s">
        <v>136</v>
      </c>
      <c r="Q49" s="3326">
        <v>88</v>
      </c>
      <c r="R49" s="3326"/>
      <c r="S49" s="3326"/>
      <c r="T49" s="3327"/>
      <c r="U49" s="3328" t="s">
        <v>136</v>
      </c>
      <c r="V49" s="3326">
        <v>89</v>
      </c>
      <c r="W49" s="3326"/>
      <c r="X49" s="3326"/>
      <c r="Y49" s="3327"/>
      <c r="Z49" s="3328" t="s">
        <v>136</v>
      </c>
      <c r="AA49" s="3326">
        <v>90</v>
      </c>
      <c r="AB49" s="3326"/>
      <c r="AC49" s="3326"/>
      <c r="AD49" s="3327"/>
      <c r="AE49" s="3328" t="s">
        <v>136</v>
      </c>
      <c r="AF49" s="3326">
        <v>91</v>
      </c>
      <c r="AG49" s="3326"/>
      <c r="AH49" s="3326"/>
      <c r="AI49" s="3327"/>
      <c r="AJ49" s="3328" t="s">
        <v>136</v>
      </c>
      <c r="AK49" s="3326">
        <v>92</v>
      </c>
      <c r="AL49" s="3326"/>
      <c r="AM49" s="3326"/>
      <c r="AN49" s="3327"/>
      <c r="AO49" s="3328" t="s">
        <v>136</v>
      </c>
      <c r="AP49" s="3326">
        <v>93</v>
      </c>
      <c r="AQ49" s="3326"/>
      <c r="AR49" s="3326"/>
      <c r="AS49" s="3327"/>
      <c r="AT49" s="3328" t="s">
        <v>136</v>
      </c>
      <c r="AU49" s="3326">
        <v>94</v>
      </c>
      <c r="AV49" s="3326"/>
      <c r="AW49" s="3326"/>
      <c r="AX49" s="3327"/>
      <c r="AY49" s="3328" t="s">
        <v>136</v>
      </c>
      <c r="AZ49" s="3326">
        <v>95</v>
      </c>
      <c r="BA49" s="3326"/>
      <c r="BB49" s="3326"/>
      <c r="BC49" s="3327"/>
      <c r="BD49" s="3328" t="s">
        <v>136</v>
      </c>
      <c r="BE49" s="3326">
        <v>96</v>
      </c>
      <c r="BF49" s="3326"/>
      <c r="BG49" s="3326"/>
      <c r="BH49" s="3327"/>
      <c r="BI49" s="3328" t="s">
        <v>136</v>
      </c>
      <c r="BJ49" s="3326">
        <v>97</v>
      </c>
      <c r="BK49" s="3326"/>
      <c r="BL49" s="3326"/>
      <c r="BM49" s="3327"/>
      <c r="BN49" s="3328" t="s">
        <v>136</v>
      </c>
      <c r="BO49" s="3326">
        <v>98</v>
      </c>
      <c r="BP49" s="3326"/>
      <c r="BQ49" s="3326"/>
      <c r="BR49" s="3327"/>
      <c r="BT49" s="220"/>
      <c r="CU49"/>
      <c r="ED49" s="57"/>
      <c r="EE49" s="57"/>
      <c r="EF49" s="57"/>
      <c r="EG49" s="57"/>
      <c r="EH49" s="57"/>
    </row>
    <row r="50" spans="1:138" ht="27" thickBot="1" x14ac:dyDescent="0.3">
      <c r="A50" s="3329"/>
      <c r="B50" s="183">
        <v>1.905</v>
      </c>
      <c r="C50" s="184" t="s">
        <v>113</v>
      </c>
      <c r="D50" s="185">
        <v>1</v>
      </c>
      <c r="E50" s="186" t="s">
        <v>114</v>
      </c>
      <c r="F50" s="3329"/>
      <c r="G50" s="183">
        <v>1E-4</v>
      </c>
      <c r="H50" s="184" t="s">
        <v>113</v>
      </c>
      <c r="I50" s="185"/>
      <c r="J50" s="186" t="s">
        <v>114</v>
      </c>
      <c r="K50" s="3329"/>
      <c r="L50" s="183">
        <v>0.30399999999999999</v>
      </c>
      <c r="M50" s="184" t="s">
        <v>113</v>
      </c>
      <c r="N50" s="185"/>
      <c r="O50" s="186" t="s">
        <v>114</v>
      </c>
      <c r="P50" s="3329"/>
      <c r="Q50" s="183">
        <v>2.0059999999999998</v>
      </c>
      <c r="R50" s="184" t="s">
        <v>113</v>
      </c>
      <c r="S50" s="185">
        <v>1</v>
      </c>
      <c r="T50" s="186" t="s">
        <v>114</v>
      </c>
      <c r="U50" s="3329"/>
      <c r="V50" s="183">
        <v>1E-3</v>
      </c>
      <c r="W50" s="184" t="s">
        <v>113</v>
      </c>
      <c r="X50" s="185"/>
      <c r="Y50" s="186" t="s">
        <v>114</v>
      </c>
      <c r="Z50" s="3329"/>
      <c r="AA50" s="183">
        <v>1.93</v>
      </c>
      <c r="AB50" s="184" t="s">
        <v>113</v>
      </c>
      <c r="AC50" s="185">
        <v>1</v>
      </c>
      <c r="AD50" s="186" t="s">
        <v>114</v>
      </c>
      <c r="AE50" s="3329"/>
      <c r="AF50" s="183">
        <v>0.20300000000000001</v>
      </c>
      <c r="AG50" s="184" t="s">
        <v>113</v>
      </c>
      <c r="AH50" s="185"/>
      <c r="AI50" s="186" t="s">
        <v>114</v>
      </c>
      <c r="AJ50" s="3329"/>
      <c r="AK50" s="183">
        <v>0.50800000000000001</v>
      </c>
      <c r="AL50" s="184" t="s">
        <v>113</v>
      </c>
      <c r="AM50" s="185">
        <v>1</v>
      </c>
      <c r="AN50" s="186" t="s">
        <v>114</v>
      </c>
      <c r="AO50" s="3329"/>
      <c r="AP50" s="183">
        <v>0.93899999999999995</v>
      </c>
      <c r="AQ50" s="184" t="s">
        <v>113</v>
      </c>
      <c r="AR50" s="185"/>
      <c r="AS50" s="186" t="s">
        <v>114</v>
      </c>
      <c r="AT50" s="3329"/>
      <c r="AU50" s="183">
        <v>0.317</v>
      </c>
      <c r="AV50" s="184" t="s">
        <v>113</v>
      </c>
      <c r="AW50" s="185"/>
      <c r="AX50" s="186" t="s">
        <v>114</v>
      </c>
      <c r="AY50" s="3329"/>
      <c r="AZ50" s="183">
        <v>5.9180000000000001</v>
      </c>
      <c r="BA50" s="184" t="s">
        <v>113</v>
      </c>
      <c r="BB50" s="185">
        <v>1</v>
      </c>
      <c r="BC50" s="186" t="s">
        <v>114</v>
      </c>
      <c r="BD50" s="3329"/>
      <c r="BE50" s="183">
        <v>0.73599999999999999</v>
      </c>
      <c r="BF50" s="184" t="s">
        <v>113</v>
      </c>
      <c r="BG50" s="185"/>
      <c r="BH50" s="186" t="s">
        <v>114</v>
      </c>
      <c r="BI50" s="3329"/>
      <c r="BJ50" s="183">
        <v>0.99</v>
      </c>
      <c r="BK50" s="184" t="s">
        <v>113</v>
      </c>
      <c r="BL50" s="185">
        <v>1</v>
      </c>
      <c r="BM50" s="186" t="s">
        <v>114</v>
      </c>
      <c r="BN50" s="3329"/>
      <c r="BO50" s="183">
        <v>0.48199999999999998</v>
      </c>
      <c r="BP50" s="184" t="s">
        <v>113</v>
      </c>
      <c r="BQ50" s="185"/>
      <c r="BR50" s="186" t="s">
        <v>114</v>
      </c>
      <c r="BW50" s="27"/>
      <c r="BX50" s="27"/>
      <c r="BY50" s="27"/>
      <c r="BZ50" s="27"/>
      <c r="CA50" s="27"/>
      <c r="CB50" s="27"/>
      <c r="CC50" s="27"/>
      <c r="CD50" s="27"/>
      <c r="CE50" s="27"/>
      <c r="ED50" s="57"/>
      <c r="EE50" s="57"/>
      <c r="EF50" s="57"/>
      <c r="EG50" s="57"/>
      <c r="EH50" s="57"/>
    </row>
    <row r="51" spans="1:138" ht="26.1" customHeight="1" x14ac:dyDescent="0.25">
      <c r="A51" s="3333" t="s">
        <v>110</v>
      </c>
      <c r="B51" s="3334"/>
      <c r="C51" s="3337">
        <f>B57/((30*3.1415/51)*(91/3.281))</f>
        <v>2.427152564131714E-2</v>
      </c>
      <c r="D51" s="3337"/>
      <c r="E51" s="3338"/>
      <c r="F51" s="3333" t="s">
        <v>110</v>
      </c>
      <c r="G51" s="3334"/>
      <c r="H51" s="3337">
        <f>G57/((30*3.1415/51)*(91/3.281))</f>
        <v>9.9115233326278994E-3</v>
      </c>
      <c r="I51" s="3337"/>
      <c r="J51" s="3338"/>
      <c r="K51" s="3333" t="s">
        <v>110</v>
      </c>
      <c r="L51" s="3334"/>
      <c r="M51" s="3337">
        <f>L57/((30*3.1415/51)*(91/3.281))</f>
        <v>4.4484789760613408E-3</v>
      </c>
      <c r="N51" s="3337"/>
      <c r="O51" s="3338"/>
      <c r="P51" s="3333" t="s">
        <v>110</v>
      </c>
      <c r="Q51" s="3334"/>
      <c r="R51" s="3337">
        <f>Q57/((30*3.1415/51)*(91/3.281))</f>
        <v>5.3030552004099667E-2</v>
      </c>
      <c r="S51" s="3337"/>
      <c r="T51" s="3338"/>
      <c r="U51" s="3333" t="s">
        <v>110</v>
      </c>
      <c r="V51" s="3334"/>
      <c r="W51" s="3337">
        <f>V57/((30*3.1415/51)*(91/3.281))</f>
        <v>0</v>
      </c>
      <c r="X51" s="3337"/>
      <c r="Y51" s="3338"/>
      <c r="Z51" s="3333" t="s">
        <v>110</v>
      </c>
      <c r="AA51" s="3334"/>
      <c r="AB51" s="3337">
        <f>AA57/((30*3.1415/51)*(91/3.281))</f>
        <v>7.9214143170215096E-3</v>
      </c>
      <c r="AC51" s="3337"/>
      <c r="AD51" s="3338"/>
      <c r="AE51" s="3333" t="s">
        <v>110</v>
      </c>
      <c r="AF51" s="3334"/>
      <c r="AG51" s="3337">
        <f>AF57/((30*3.1415/51)*(91/3.281))</f>
        <v>1.9510872702023427E-6</v>
      </c>
      <c r="AH51" s="3337"/>
      <c r="AI51" s="3338"/>
      <c r="AJ51" s="3333" t="s">
        <v>110</v>
      </c>
      <c r="AK51" s="3334"/>
      <c r="AL51" s="3337">
        <f>AK57/((30*3.1415/51)*(91/3.281))</f>
        <v>3.0222341815434282E-2</v>
      </c>
      <c r="AM51" s="3337"/>
      <c r="AN51" s="3338"/>
      <c r="AO51" s="3333" t="s">
        <v>110</v>
      </c>
      <c r="AP51" s="3334"/>
      <c r="AQ51" s="3337">
        <f>AP57/((30*3.1415/51)*(91/3.281))</f>
        <v>1.5355056816492435E-2</v>
      </c>
      <c r="AR51" s="3337"/>
      <c r="AS51" s="3338"/>
      <c r="AT51" s="3333" t="s">
        <v>110</v>
      </c>
      <c r="AU51" s="3334"/>
      <c r="AV51" s="3337">
        <f>AU57/((30*3.1415/51)*(91/3.281))</f>
        <v>1.9510872702023424E-5</v>
      </c>
      <c r="AW51" s="3337"/>
      <c r="AX51" s="3338"/>
      <c r="AY51" s="3333" t="s">
        <v>110</v>
      </c>
      <c r="AZ51" s="3334"/>
      <c r="BA51" s="3337">
        <f>AZ57/((30*3.1415/51)*(91/3.281))</f>
        <v>4.0133865148062178E-2</v>
      </c>
      <c r="BB51" s="3337"/>
      <c r="BC51" s="3338"/>
      <c r="BD51" s="3333" t="s">
        <v>110</v>
      </c>
      <c r="BE51" s="3334"/>
      <c r="BF51" s="3337">
        <f>BE57/((30*3.1415/51)*(91/3.281))</f>
        <v>3.9138810640258981E-2</v>
      </c>
      <c r="BG51" s="3337"/>
      <c r="BH51" s="3338"/>
      <c r="BI51" s="3333" t="s">
        <v>110</v>
      </c>
      <c r="BJ51" s="3334"/>
      <c r="BK51" s="3337">
        <f>BJ57/((30*3.1415/51)*(91/3.281))</f>
        <v>6.4385879916677297E-3</v>
      </c>
      <c r="BL51" s="3337"/>
      <c r="BM51" s="3338"/>
      <c r="BN51" s="3333" t="s">
        <v>110</v>
      </c>
      <c r="BO51" s="3334"/>
      <c r="BP51" s="3337">
        <f>BO57/((30*3.1415/51)*(91/3.281))</f>
        <v>1.9510872702023424E-5</v>
      </c>
      <c r="BQ51" s="3337"/>
      <c r="BR51" s="3338"/>
      <c r="ED51" s="57"/>
      <c r="EE51" s="57"/>
      <c r="EF51" s="57"/>
      <c r="EG51" s="57"/>
      <c r="EH51" s="57"/>
    </row>
    <row r="52" spans="1:138" ht="6.75" customHeight="1" x14ac:dyDescent="0.25">
      <c r="A52" s="3335"/>
      <c r="B52" s="3336"/>
      <c r="C52" s="3339"/>
      <c r="D52" s="3339"/>
      <c r="E52" s="3340"/>
      <c r="F52" s="3335"/>
      <c r="G52" s="3336"/>
      <c r="H52" s="3339"/>
      <c r="I52" s="3339"/>
      <c r="J52" s="3340"/>
      <c r="K52" s="3335"/>
      <c r="L52" s="3336"/>
      <c r="M52" s="3339"/>
      <c r="N52" s="3339"/>
      <c r="O52" s="3340"/>
      <c r="P52" s="3335"/>
      <c r="Q52" s="3336"/>
      <c r="R52" s="3339"/>
      <c r="S52" s="3339"/>
      <c r="T52" s="3340"/>
      <c r="U52" s="3335"/>
      <c r="V52" s="3336"/>
      <c r="W52" s="3339"/>
      <c r="X52" s="3339"/>
      <c r="Y52" s="3340"/>
      <c r="Z52" s="3335"/>
      <c r="AA52" s="3336"/>
      <c r="AB52" s="3339"/>
      <c r="AC52" s="3339"/>
      <c r="AD52" s="3340"/>
      <c r="AE52" s="3335"/>
      <c r="AF52" s="3336"/>
      <c r="AG52" s="3339"/>
      <c r="AH52" s="3339"/>
      <c r="AI52" s="3340"/>
      <c r="AJ52" s="3335"/>
      <c r="AK52" s="3336"/>
      <c r="AL52" s="3339"/>
      <c r="AM52" s="3339"/>
      <c r="AN52" s="3340"/>
      <c r="AO52" s="3335"/>
      <c r="AP52" s="3336"/>
      <c r="AQ52" s="3339"/>
      <c r="AR52" s="3339"/>
      <c r="AS52" s="3340"/>
      <c r="AT52" s="3335"/>
      <c r="AU52" s="3336"/>
      <c r="AV52" s="3339"/>
      <c r="AW52" s="3339"/>
      <c r="AX52" s="3340"/>
      <c r="AY52" s="3335"/>
      <c r="AZ52" s="3336"/>
      <c r="BA52" s="3339"/>
      <c r="BB52" s="3339"/>
      <c r="BC52" s="3340"/>
      <c r="BD52" s="3335"/>
      <c r="BE52" s="3336"/>
      <c r="BF52" s="3339"/>
      <c r="BG52" s="3339"/>
      <c r="BH52" s="3340"/>
      <c r="BI52" s="3335"/>
      <c r="BJ52" s="3336"/>
      <c r="BK52" s="3339"/>
      <c r="BL52" s="3339"/>
      <c r="BM52" s="3340"/>
      <c r="BN52" s="3335"/>
      <c r="BO52" s="3336"/>
      <c r="BP52" s="3339"/>
      <c r="BQ52" s="3339"/>
      <c r="BR52" s="3340"/>
      <c r="ED52" s="57"/>
      <c r="EE52" s="57"/>
      <c r="EF52" s="57"/>
      <c r="EG52" s="57"/>
      <c r="EH52" s="57"/>
    </row>
    <row r="53" spans="1:138" ht="21.75" hidden="1" customHeight="1" x14ac:dyDescent="0.25">
      <c r="A53" s="3335"/>
      <c r="B53" s="3336"/>
      <c r="C53" s="3339"/>
      <c r="D53" s="3339"/>
      <c r="E53" s="3340"/>
      <c r="F53" s="3335"/>
      <c r="G53" s="3336"/>
      <c r="H53" s="3339"/>
      <c r="I53" s="3339"/>
      <c r="J53" s="3340"/>
      <c r="K53" s="3335"/>
      <c r="L53" s="3336"/>
      <c r="M53" s="3339"/>
      <c r="N53" s="3339"/>
      <c r="O53" s="3340"/>
      <c r="P53" s="3335"/>
      <c r="Q53" s="3336"/>
      <c r="R53" s="3339"/>
      <c r="S53" s="3339"/>
      <c r="T53" s="3340"/>
      <c r="U53" s="3335"/>
      <c r="V53" s="3336"/>
      <c r="W53" s="3339"/>
      <c r="X53" s="3339"/>
      <c r="Y53" s="3340"/>
      <c r="Z53" s="3335"/>
      <c r="AA53" s="3336"/>
      <c r="AB53" s="3339"/>
      <c r="AC53" s="3339"/>
      <c r="AD53" s="3340"/>
      <c r="AE53" s="3335"/>
      <c r="AF53" s="3336"/>
      <c r="AG53" s="3339"/>
      <c r="AH53" s="3339"/>
      <c r="AI53" s="3340"/>
      <c r="AJ53" s="3335"/>
      <c r="AK53" s="3336"/>
      <c r="AL53" s="3339"/>
      <c r="AM53" s="3339"/>
      <c r="AN53" s="3340"/>
      <c r="AO53" s="3335"/>
      <c r="AP53" s="3336"/>
      <c r="AQ53" s="3339"/>
      <c r="AR53" s="3339"/>
      <c r="AS53" s="3340"/>
      <c r="AT53" s="3335"/>
      <c r="AU53" s="3336"/>
      <c r="AV53" s="3339"/>
      <c r="AW53" s="3339"/>
      <c r="AX53" s="3340"/>
      <c r="AY53" s="3335"/>
      <c r="AZ53" s="3336"/>
      <c r="BA53" s="3339"/>
      <c r="BB53" s="3339"/>
      <c r="BC53" s="3340"/>
      <c r="BD53" s="3335"/>
      <c r="BE53" s="3336"/>
      <c r="BF53" s="3339"/>
      <c r="BG53" s="3339"/>
      <c r="BH53" s="3340"/>
      <c r="BI53" s="3335"/>
      <c r="BJ53" s="3336"/>
      <c r="BK53" s="3339"/>
      <c r="BL53" s="3339"/>
      <c r="BM53" s="3340"/>
      <c r="BN53" s="3335"/>
      <c r="BO53" s="3336"/>
      <c r="BP53" s="3339"/>
      <c r="BQ53" s="3339"/>
      <c r="BR53" s="3340"/>
      <c r="ED53" s="57"/>
      <c r="EE53" s="57"/>
      <c r="EF53" s="57"/>
      <c r="EG53" s="57"/>
      <c r="EH53" s="57"/>
    </row>
    <row r="54" spans="1:138" ht="7.5" customHeight="1" x14ac:dyDescent="0.25">
      <c r="A54" s="3335"/>
      <c r="B54" s="3336"/>
      <c r="C54" s="3339"/>
      <c r="D54" s="3339"/>
      <c r="E54" s="3340"/>
      <c r="F54" s="3335"/>
      <c r="G54" s="3336"/>
      <c r="H54" s="3339"/>
      <c r="I54" s="3339"/>
      <c r="J54" s="3340"/>
      <c r="K54" s="3335"/>
      <c r="L54" s="3336"/>
      <c r="M54" s="3339"/>
      <c r="N54" s="3339"/>
      <c r="O54" s="3340"/>
      <c r="P54" s="3335"/>
      <c r="Q54" s="3336"/>
      <c r="R54" s="3339"/>
      <c r="S54" s="3339"/>
      <c r="T54" s="3340"/>
      <c r="U54" s="3335"/>
      <c r="V54" s="3336"/>
      <c r="W54" s="3339"/>
      <c r="X54" s="3339"/>
      <c r="Y54" s="3340"/>
      <c r="Z54" s="3335"/>
      <c r="AA54" s="3336"/>
      <c r="AB54" s="3339"/>
      <c r="AC54" s="3339"/>
      <c r="AD54" s="3340"/>
      <c r="AE54" s="3335"/>
      <c r="AF54" s="3336"/>
      <c r="AG54" s="3339"/>
      <c r="AH54" s="3339"/>
      <c r="AI54" s="3340"/>
      <c r="AJ54" s="3335"/>
      <c r="AK54" s="3336"/>
      <c r="AL54" s="3339"/>
      <c r="AM54" s="3339"/>
      <c r="AN54" s="3340"/>
      <c r="AO54" s="3335"/>
      <c r="AP54" s="3336"/>
      <c r="AQ54" s="3339"/>
      <c r="AR54" s="3339"/>
      <c r="AS54" s="3340"/>
      <c r="AT54" s="3335"/>
      <c r="AU54" s="3336"/>
      <c r="AV54" s="3339"/>
      <c r="AW54" s="3339"/>
      <c r="AX54" s="3340"/>
      <c r="AY54" s="3335"/>
      <c r="AZ54" s="3336"/>
      <c r="BA54" s="3339"/>
      <c r="BB54" s="3339"/>
      <c r="BC54" s="3340"/>
      <c r="BD54" s="3335"/>
      <c r="BE54" s="3336"/>
      <c r="BF54" s="3339"/>
      <c r="BG54" s="3339"/>
      <c r="BH54" s="3340"/>
      <c r="BI54" s="3335"/>
      <c r="BJ54" s="3336"/>
      <c r="BK54" s="3339"/>
      <c r="BL54" s="3339"/>
      <c r="BM54" s="3340"/>
      <c r="BN54" s="3335"/>
      <c r="BO54" s="3336"/>
      <c r="BP54" s="3339"/>
      <c r="BQ54" s="3339"/>
      <c r="BR54" s="3340"/>
    </row>
    <row r="55" spans="1:138" ht="29.25" customHeight="1" x14ac:dyDescent="0.25">
      <c r="A55" s="3341" t="s">
        <v>25</v>
      </c>
      <c r="B55" s="3342"/>
      <c r="C55" s="2319" t="s">
        <v>111</v>
      </c>
      <c r="D55" s="2320"/>
      <c r="E55" s="3343"/>
      <c r="F55" s="3341" t="s">
        <v>25</v>
      </c>
      <c r="G55" s="3342"/>
      <c r="H55" s="2319" t="s">
        <v>111</v>
      </c>
      <c r="I55" s="2320"/>
      <c r="J55" s="3343"/>
      <c r="K55" s="3341" t="s">
        <v>25</v>
      </c>
      <c r="L55" s="3342"/>
      <c r="M55" s="2319" t="s">
        <v>111</v>
      </c>
      <c r="N55" s="2320"/>
      <c r="O55" s="3343"/>
      <c r="P55" s="3341" t="s">
        <v>25</v>
      </c>
      <c r="Q55" s="3342"/>
      <c r="R55" s="2319" t="s">
        <v>111</v>
      </c>
      <c r="S55" s="2320"/>
      <c r="T55" s="3343"/>
      <c r="U55" s="3341" t="s">
        <v>25</v>
      </c>
      <c r="V55" s="3342"/>
      <c r="W55" s="2319" t="s">
        <v>111</v>
      </c>
      <c r="X55" s="2320"/>
      <c r="Y55" s="3343"/>
      <c r="Z55" s="3341" t="s">
        <v>25</v>
      </c>
      <c r="AA55" s="3342"/>
      <c r="AB55" s="2319" t="s">
        <v>111</v>
      </c>
      <c r="AC55" s="2320"/>
      <c r="AD55" s="3343"/>
      <c r="AE55" s="3341" t="s">
        <v>25</v>
      </c>
      <c r="AF55" s="3342"/>
      <c r="AG55" s="2319" t="s">
        <v>111</v>
      </c>
      <c r="AH55" s="2320"/>
      <c r="AI55" s="3343"/>
      <c r="AJ55" s="3341" t="s">
        <v>25</v>
      </c>
      <c r="AK55" s="3342"/>
      <c r="AL55" s="2319" t="s">
        <v>111</v>
      </c>
      <c r="AM55" s="2320"/>
      <c r="AN55" s="3343"/>
      <c r="AO55" s="3341" t="s">
        <v>25</v>
      </c>
      <c r="AP55" s="3342"/>
      <c r="AQ55" s="2319" t="s">
        <v>111</v>
      </c>
      <c r="AR55" s="2320"/>
      <c r="AS55" s="3343"/>
      <c r="AT55" s="3341" t="s">
        <v>25</v>
      </c>
      <c r="AU55" s="3342"/>
      <c r="AV55" s="2319" t="s">
        <v>111</v>
      </c>
      <c r="AW55" s="2320"/>
      <c r="AX55" s="3343"/>
      <c r="AY55" s="3341" t="s">
        <v>25</v>
      </c>
      <c r="AZ55" s="3342"/>
      <c r="BA55" s="2319" t="s">
        <v>111</v>
      </c>
      <c r="BB55" s="2320"/>
      <c r="BC55" s="3343"/>
      <c r="BD55" s="3341" t="s">
        <v>25</v>
      </c>
      <c r="BE55" s="3342"/>
      <c r="BF55" s="2319" t="s">
        <v>111</v>
      </c>
      <c r="BG55" s="2320"/>
      <c r="BH55" s="3343"/>
      <c r="BI55" s="3341" t="s">
        <v>25</v>
      </c>
      <c r="BJ55" s="3342"/>
      <c r="BK55" s="2319" t="s">
        <v>111</v>
      </c>
      <c r="BL55" s="2320"/>
      <c r="BM55" s="3343"/>
      <c r="BN55" s="3341" t="s">
        <v>25</v>
      </c>
      <c r="BO55" s="3342"/>
      <c r="BP55" s="2319" t="s">
        <v>111</v>
      </c>
      <c r="BQ55" s="2320"/>
      <c r="BR55" s="3343"/>
    </row>
    <row r="56" spans="1:138" s="22" customFormat="1" ht="80.099999999999994" customHeight="1" x14ac:dyDescent="1.35">
      <c r="A56" s="3328" t="s">
        <v>136</v>
      </c>
      <c r="B56" s="3326">
        <v>99</v>
      </c>
      <c r="C56" s="3326"/>
      <c r="D56" s="3326"/>
      <c r="E56" s="3327"/>
      <c r="F56" s="3328" t="s">
        <v>136</v>
      </c>
      <c r="G56" s="3326">
        <v>100</v>
      </c>
      <c r="H56" s="3326"/>
      <c r="I56" s="3326"/>
      <c r="J56" s="3327"/>
      <c r="K56" s="3328" t="s">
        <v>136</v>
      </c>
      <c r="L56" s="3326">
        <v>101</v>
      </c>
      <c r="M56" s="3326"/>
      <c r="N56" s="3326"/>
      <c r="O56" s="3327"/>
      <c r="P56" s="3328" t="s">
        <v>136</v>
      </c>
      <c r="Q56" s="3326">
        <v>102</v>
      </c>
      <c r="R56" s="3326"/>
      <c r="S56" s="3326"/>
      <c r="T56" s="3327"/>
      <c r="U56" s="3328" t="s">
        <v>136</v>
      </c>
      <c r="V56" s="3326">
        <v>103</v>
      </c>
      <c r="W56" s="3326"/>
      <c r="X56" s="3326"/>
      <c r="Y56" s="3327"/>
      <c r="Z56" s="3328" t="s">
        <v>136</v>
      </c>
      <c r="AA56" s="3326">
        <v>104</v>
      </c>
      <c r="AB56" s="3326"/>
      <c r="AC56" s="3326"/>
      <c r="AD56" s="3327"/>
      <c r="AE56" s="3328" t="s">
        <v>136</v>
      </c>
      <c r="AF56" s="3326">
        <v>105</v>
      </c>
      <c r="AG56" s="3326"/>
      <c r="AH56" s="3326"/>
      <c r="AI56" s="3327"/>
      <c r="AJ56" s="3328" t="s">
        <v>136</v>
      </c>
      <c r="AK56" s="3326">
        <v>106</v>
      </c>
      <c r="AL56" s="3326"/>
      <c r="AM56" s="3326"/>
      <c r="AN56" s="3327"/>
      <c r="AO56" s="3328" t="s">
        <v>136</v>
      </c>
      <c r="AP56" s="3326">
        <v>107</v>
      </c>
      <c r="AQ56" s="3326"/>
      <c r="AR56" s="3326"/>
      <c r="AS56" s="3327"/>
      <c r="AT56" s="3328" t="s">
        <v>136</v>
      </c>
      <c r="AU56" s="3326">
        <v>108</v>
      </c>
      <c r="AV56" s="3326"/>
      <c r="AW56" s="3326"/>
      <c r="AX56" s="3327"/>
      <c r="AY56" s="3328" t="s">
        <v>136</v>
      </c>
      <c r="AZ56" s="3326">
        <v>109</v>
      </c>
      <c r="BA56" s="3326"/>
      <c r="BB56" s="3326"/>
      <c r="BC56" s="3327"/>
      <c r="BD56" s="3328" t="s">
        <v>136</v>
      </c>
      <c r="BE56" s="3326">
        <v>110</v>
      </c>
      <c r="BF56" s="3326"/>
      <c r="BG56" s="3326"/>
      <c r="BH56" s="3327"/>
      <c r="BI56" s="3328" t="s">
        <v>136</v>
      </c>
      <c r="BJ56" s="3326">
        <v>111</v>
      </c>
      <c r="BK56" s="3326"/>
      <c r="BL56" s="3326"/>
      <c r="BM56" s="3327"/>
      <c r="BN56" s="3328" t="s">
        <v>136</v>
      </c>
      <c r="BO56" s="3326">
        <v>112</v>
      </c>
      <c r="BP56" s="3326"/>
      <c r="BQ56" s="3326"/>
      <c r="BR56" s="3327"/>
      <c r="CU56"/>
      <c r="ED56"/>
      <c r="EE56"/>
      <c r="EF56"/>
      <c r="EG56"/>
      <c r="EH56"/>
    </row>
    <row r="57" spans="1:138" ht="27" thickBot="1" x14ac:dyDescent="0.3">
      <c r="A57" s="3329"/>
      <c r="B57" s="183">
        <v>1.244</v>
      </c>
      <c r="C57" s="184" t="s">
        <v>113</v>
      </c>
      <c r="D57" s="185">
        <v>1</v>
      </c>
      <c r="E57" s="186" t="s">
        <v>114</v>
      </c>
      <c r="F57" s="3329"/>
      <c r="G57" s="183">
        <v>0.50800000000000001</v>
      </c>
      <c r="H57" s="184" t="s">
        <v>113</v>
      </c>
      <c r="I57" s="185"/>
      <c r="J57" s="186" t="s">
        <v>114</v>
      </c>
      <c r="K57" s="3329"/>
      <c r="L57" s="183">
        <v>0.22800000000000001</v>
      </c>
      <c r="M57" s="184" t="s">
        <v>113</v>
      </c>
      <c r="N57" s="185"/>
      <c r="O57" s="186" t="s">
        <v>114</v>
      </c>
      <c r="P57" s="3329"/>
      <c r="Q57" s="183">
        <v>2.718</v>
      </c>
      <c r="R57" s="184" t="s">
        <v>113</v>
      </c>
      <c r="S57" s="185">
        <v>1</v>
      </c>
      <c r="T57" s="186" t="s">
        <v>114</v>
      </c>
      <c r="U57" s="3329"/>
      <c r="V57" s="183"/>
      <c r="W57" s="184" t="s">
        <v>113</v>
      </c>
      <c r="X57" s="185"/>
      <c r="Y57" s="186" t="s">
        <v>114</v>
      </c>
      <c r="Z57" s="3329"/>
      <c r="AA57" s="183">
        <v>0.40600000000000003</v>
      </c>
      <c r="AB57" s="184" t="s">
        <v>113</v>
      </c>
      <c r="AC57" s="185">
        <v>1</v>
      </c>
      <c r="AD57" s="186" t="s">
        <v>114</v>
      </c>
      <c r="AE57" s="3329"/>
      <c r="AF57" s="183">
        <v>1E-4</v>
      </c>
      <c r="AG57" s="184" t="s">
        <v>113</v>
      </c>
      <c r="AH57" s="185"/>
      <c r="AI57" s="186" t="s">
        <v>114</v>
      </c>
      <c r="AJ57" s="3329"/>
      <c r="AK57" s="183">
        <v>1.5489999999999999</v>
      </c>
      <c r="AL57" s="184" t="s">
        <v>113</v>
      </c>
      <c r="AM57" s="185">
        <v>1</v>
      </c>
      <c r="AN57" s="186" t="s">
        <v>114</v>
      </c>
      <c r="AO57" s="3329"/>
      <c r="AP57" s="183">
        <v>0.78700000000000003</v>
      </c>
      <c r="AQ57" s="184" t="s">
        <v>113</v>
      </c>
      <c r="AR57" s="185"/>
      <c r="AS57" s="186" t="s">
        <v>114</v>
      </c>
      <c r="AT57" s="3329"/>
      <c r="AU57" s="183">
        <v>1E-3</v>
      </c>
      <c r="AV57" s="184" t="s">
        <v>113</v>
      </c>
      <c r="AW57" s="185"/>
      <c r="AX57" s="186" t="s">
        <v>114</v>
      </c>
      <c r="AY57" s="3329"/>
      <c r="AZ57" s="183">
        <v>2.0569999999999999</v>
      </c>
      <c r="BA57" s="184" t="s">
        <v>113</v>
      </c>
      <c r="BB57" s="185">
        <v>1</v>
      </c>
      <c r="BC57" s="186" t="s">
        <v>114</v>
      </c>
      <c r="BD57" s="3329"/>
      <c r="BE57" s="183">
        <v>2.0059999999999998</v>
      </c>
      <c r="BF57" s="184" t="s">
        <v>113</v>
      </c>
      <c r="BG57" s="185"/>
      <c r="BH57" s="186" t="s">
        <v>114</v>
      </c>
      <c r="BI57" s="3329"/>
      <c r="BJ57" s="183">
        <v>0.33</v>
      </c>
      <c r="BK57" s="184" t="s">
        <v>113</v>
      </c>
      <c r="BL57" s="185">
        <v>1</v>
      </c>
      <c r="BM57" s="186" t="s">
        <v>114</v>
      </c>
      <c r="BN57" s="3329"/>
      <c r="BO57" s="183">
        <v>1E-3</v>
      </c>
      <c r="BP57" s="184" t="s">
        <v>113</v>
      </c>
      <c r="BQ57" s="185"/>
      <c r="BR57" s="186" t="s">
        <v>114</v>
      </c>
      <c r="BW57" s="27"/>
      <c r="BX57" s="27"/>
      <c r="BY57" s="27"/>
      <c r="BZ57" s="27"/>
      <c r="CA57" s="27"/>
      <c r="CB57" s="27"/>
      <c r="CC57" s="27"/>
      <c r="CD57" s="27"/>
      <c r="CE57" s="27"/>
    </row>
    <row r="58" spans="1:138" ht="26.1" hidden="1" customHeight="1" thickTop="1" x14ac:dyDescent="0.25">
      <c r="A58" s="3330"/>
      <c r="B58" s="3331"/>
      <c r="C58" s="3331"/>
      <c r="D58" s="3332"/>
      <c r="E58" s="3332"/>
      <c r="F58" s="3331"/>
      <c r="G58" s="3331"/>
      <c r="H58" s="3331"/>
      <c r="I58" s="3332"/>
      <c r="J58" s="3332"/>
      <c r="K58" s="3331"/>
      <c r="L58" s="3331"/>
      <c r="M58" s="3331"/>
      <c r="N58" s="3332"/>
      <c r="O58" s="3332"/>
      <c r="P58" s="3331"/>
      <c r="Q58" s="3331"/>
      <c r="R58" s="3331"/>
      <c r="S58" s="3332"/>
      <c r="T58" s="3332"/>
      <c r="U58" s="3331"/>
      <c r="V58" s="3331"/>
      <c r="W58" s="3331"/>
      <c r="X58" s="3332"/>
      <c r="Y58" s="3332"/>
      <c r="Z58" s="3331"/>
      <c r="AA58" s="3331"/>
      <c r="AB58" s="3331"/>
      <c r="AC58" s="3332"/>
      <c r="AD58" s="3332"/>
      <c r="AE58" s="3331"/>
      <c r="AF58" s="3331"/>
      <c r="AG58" s="3331"/>
      <c r="AH58" s="3332"/>
      <c r="AI58" s="3332"/>
      <c r="AJ58" s="3331"/>
      <c r="AK58" s="3331"/>
      <c r="AL58" s="3331"/>
      <c r="AM58" s="3332"/>
      <c r="AN58" s="3332"/>
      <c r="AO58" s="3331"/>
      <c r="AP58" s="3331"/>
      <c r="AQ58" s="3331"/>
      <c r="AR58" s="3332"/>
      <c r="AS58" s="3332"/>
      <c r="AT58" s="3331"/>
      <c r="AU58" s="3331"/>
      <c r="AV58" s="3331"/>
      <c r="AW58" s="3332"/>
      <c r="AX58" s="3332"/>
      <c r="AY58" s="3331"/>
      <c r="AZ58" s="3331"/>
      <c r="BA58" s="3331"/>
      <c r="BB58" s="3332"/>
      <c r="BC58" s="3332"/>
      <c r="BD58" s="3331"/>
      <c r="BE58" s="3331"/>
      <c r="BF58" s="3331"/>
      <c r="BG58" s="3332"/>
      <c r="BH58" s="3332"/>
      <c r="BI58" s="3331"/>
      <c r="BJ58" s="3331"/>
      <c r="BK58" s="3331"/>
      <c r="BL58" s="3332"/>
      <c r="BM58" s="3332"/>
      <c r="BN58" s="3331"/>
      <c r="BO58" s="3331"/>
      <c r="BP58" s="3331"/>
      <c r="BQ58" s="3332"/>
      <c r="BR58" s="3549"/>
    </row>
    <row r="59" spans="1:138" ht="6.75" hidden="1" customHeight="1" x14ac:dyDescent="0.25">
      <c r="A59" s="3353"/>
      <c r="B59" s="3354"/>
      <c r="C59" s="3354"/>
      <c r="D59" s="113"/>
      <c r="E59" s="113"/>
      <c r="F59" s="3354"/>
      <c r="G59" s="3354"/>
      <c r="H59" s="3354"/>
      <c r="I59" s="113"/>
      <c r="J59" s="113"/>
      <c r="K59" s="3354"/>
      <c r="L59" s="3354"/>
      <c r="M59" s="3354"/>
      <c r="N59" s="113"/>
      <c r="O59" s="113"/>
      <c r="P59" s="3354"/>
      <c r="Q59" s="3354"/>
      <c r="R59" s="3354"/>
      <c r="S59" s="113"/>
      <c r="T59" s="113"/>
      <c r="U59" s="3354"/>
      <c r="V59" s="3354"/>
      <c r="W59" s="3354"/>
      <c r="X59" s="113"/>
      <c r="Y59" s="113"/>
      <c r="Z59" s="3354"/>
      <c r="AA59" s="3354"/>
      <c r="AB59" s="3354"/>
      <c r="AC59" s="113"/>
      <c r="AD59" s="113"/>
      <c r="AE59" s="3354"/>
      <c r="AF59" s="3354"/>
      <c r="AG59" s="3354"/>
      <c r="AH59" s="113"/>
      <c r="AI59" s="113"/>
      <c r="AJ59" s="3354"/>
      <c r="AK59" s="3354"/>
      <c r="AL59" s="3354"/>
      <c r="AM59" s="113"/>
      <c r="AN59" s="113"/>
      <c r="AO59" s="3354"/>
      <c r="AP59" s="3354"/>
      <c r="AQ59" s="3354"/>
      <c r="AR59" s="113"/>
      <c r="AS59" s="113"/>
      <c r="AT59" s="3354"/>
      <c r="AU59" s="3354"/>
      <c r="AV59" s="3354"/>
      <c r="AW59" s="113"/>
      <c r="AX59" s="113"/>
      <c r="AY59" s="3354"/>
      <c r="AZ59" s="3354"/>
      <c r="BA59" s="3354"/>
      <c r="BB59" s="113"/>
      <c r="BC59" s="113"/>
      <c r="BD59" s="3354"/>
      <c r="BE59" s="3354"/>
      <c r="BF59" s="3354"/>
      <c r="BG59" s="113"/>
      <c r="BH59" s="113"/>
      <c r="BI59" s="3354"/>
      <c r="BJ59" s="3354"/>
      <c r="BK59" s="3354"/>
      <c r="BL59" s="113"/>
      <c r="BM59" s="113"/>
      <c r="BN59" s="3354"/>
      <c r="BO59" s="3354"/>
      <c r="BP59" s="3354"/>
      <c r="BQ59" s="113"/>
      <c r="BR59" s="112"/>
    </row>
    <row r="60" spans="1:138" ht="21.95" hidden="1" customHeight="1" x14ac:dyDescent="0.25">
      <c r="A60" s="3353"/>
      <c r="B60" s="3354"/>
      <c r="C60" s="3354"/>
      <c r="D60" s="60"/>
      <c r="E60" s="113"/>
      <c r="F60" s="3354"/>
      <c r="G60" s="3354"/>
      <c r="H60" s="3354"/>
      <c r="I60" s="60"/>
      <c r="J60" s="113"/>
      <c r="K60" s="3354"/>
      <c r="L60" s="3354"/>
      <c r="M60" s="3354"/>
      <c r="N60" s="60"/>
      <c r="O60" s="113"/>
      <c r="P60" s="3354"/>
      <c r="Q60" s="3354"/>
      <c r="R60" s="3354"/>
      <c r="S60" s="60"/>
      <c r="T60" s="113"/>
      <c r="U60" s="3354"/>
      <c r="V60" s="3354"/>
      <c r="W60" s="3354"/>
      <c r="X60" s="60"/>
      <c r="Y60" s="113"/>
      <c r="Z60" s="3354"/>
      <c r="AA60" s="3354"/>
      <c r="AB60" s="3354"/>
      <c r="AC60" s="60"/>
      <c r="AD60" s="113"/>
      <c r="AE60" s="3354"/>
      <c r="AF60" s="3354"/>
      <c r="AG60" s="3354"/>
      <c r="AH60" s="60"/>
      <c r="AI60" s="113"/>
      <c r="AJ60" s="3354"/>
      <c r="AK60" s="3354"/>
      <c r="AL60" s="3354"/>
      <c r="AM60" s="60"/>
      <c r="AN60" s="113"/>
      <c r="AO60" s="3354"/>
      <c r="AP60" s="3354"/>
      <c r="AQ60" s="3354"/>
      <c r="AR60" s="60"/>
      <c r="AS60" s="113"/>
      <c r="AT60" s="3354"/>
      <c r="AU60" s="3354"/>
      <c r="AV60" s="3354"/>
      <c r="AW60" s="60"/>
      <c r="AX60" s="113"/>
      <c r="AY60" s="3354"/>
      <c r="AZ60" s="3354"/>
      <c r="BA60" s="3354"/>
      <c r="BB60" s="60"/>
      <c r="BC60" s="113"/>
      <c r="BD60" s="3354"/>
      <c r="BE60" s="3354"/>
      <c r="BF60" s="3354"/>
      <c r="BG60" s="60"/>
      <c r="BH60" s="113"/>
      <c r="BI60" s="3354"/>
      <c r="BJ60" s="3354"/>
      <c r="BK60" s="3354"/>
      <c r="BL60" s="60"/>
      <c r="BM60" s="113"/>
      <c r="BN60" s="3354"/>
      <c r="BO60" s="3354"/>
      <c r="BP60" s="3354"/>
      <c r="BQ60" s="60"/>
      <c r="BR60" s="112"/>
    </row>
    <row r="61" spans="1:138" ht="6" hidden="1" customHeight="1" x14ac:dyDescent="0.25">
      <c r="A61" s="3353"/>
      <c r="B61" s="3354"/>
      <c r="C61" s="3354"/>
      <c r="D61" s="3332"/>
      <c r="E61" s="3332"/>
      <c r="F61" s="3354"/>
      <c r="G61" s="3354"/>
      <c r="H61" s="3354"/>
      <c r="I61" s="3332"/>
      <c r="J61" s="3332"/>
      <c r="K61" s="3354"/>
      <c r="L61" s="3354"/>
      <c r="M61" s="3354"/>
      <c r="N61" s="3332"/>
      <c r="O61" s="3332"/>
      <c r="P61" s="3354"/>
      <c r="Q61" s="3354"/>
      <c r="R61" s="3354"/>
      <c r="S61" s="3332"/>
      <c r="T61" s="3332"/>
      <c r="U61" s="3354"/>
      <c r="V61" s="3354"/>
      <c r="W61" s="3354"/>
      <c r="X61" s="3332"/>
      <c r="Y61" s="3332"/>
      <c r="Z61" s="3354"/>
      <c r="AA61" s="3354"/>
      <c r="AB61" s="3354"/>
      <c r="AC61" s="3332"/>
      <c r="AD61" s="3332"/>
      <c r="AE61" s="3354"/>
      <c r="AF61" s="3354"/>
      <c r="AG61" s="3354"/>
      <c r="AH61" s="3332"/>
      <c r="AI61" s="3332"/>
      <c r="AJ61" s="3354"/>
      <c r="AK61" s="3354"/>
      <c r="AL61" s="3354"/>
      <c r="AM61" s="3332"/>
      <c r="AN61" s="3332"/>
      <c r="AO61" s="3354"/>
      <c r="AP61" s="3354"/>
      <c r="AQ61" s="3354"/>
      <c r="AR61" s="3332"/>
      <c r="AS61" s="3332"/>
      <c r="AT61" s="3354"/>
      <c r="AU61" s="3354"/>
      <c r="AV61" s="3354"/>
      <c r="AW61" s="3332"/>
      <c r="AX61" s="3332"/>
      <c r="AY61" s="3354"/>
      <c r="AZ61" s="3354"/>
      <c r="BA61" s="3354"/>
      <c r="BB61" s="3332"/>
      <c r="BC61" s="3332"/>
      <c r="BD61" s="3354"/>
      <c r="BE61" s="3354"/>
      <c r="BF61" s="3354"/>
      <c r="BG61" s="3332"/>
      <c r="BH61" s="3332"/>
      <c r="BI61" s="3354"/>
      <c r="BJ61" s="3354"/>
      <c r="BK61" s="3354"/>
      <c r="BL61" s="3332"/>
      <c r="BM61" s="3332"/>
      <c r="BN61" s="3354"/>
      <c r="BO61" s="3354"/>
      <c r="BP61" s="3354"/>
      <c r="BQ61" s="3332"/>
      <c r="BR61" s="3549"/>
    </row>
    <row r="62" spans="1:138" ht="60" hidden="1" customHeight="1" thickTop="1" thickBot="1" x14ac:dyDescent="0.3">
      <c r="A62" s="3350"/>
      <c r="B62" s="3351"/>
      <c r="C62" s="3351"/>
      <c r="D62" s="3351"/>
      <c r="E62" s="3351"/>
      <c r="F62" s="3352"/>
      <c r="G62" s="3351"/>
      <c r="H62" s="3351"/>
      <c r="I62" s="3351"/>
      <c r="J62" s="3351"/>
      <c r="K62" s="3352"/>
      <c r="L62" s="3351"/>
      <c r="M62" s="3351"/>
      <c r="N62" s="3351"/>
      <c r="O62" s="3351"/>
      <c r="P62" s="3352"/>
      <c r="Q62" s="3351"/>
      <c r="R62" s="3351"/>
      <c r="S62" s="3351"/>
      <c r="T62" s="3351"/>
      <c r="U62" s="3352"/>
      <c r="V62" s="3351"/>
      <c r="W62" s="3351"/>
      <c r="X62" s="3351"/>
      <c r="Y62" s="3351"/>
      <c r="Z62" s="3352"/>
      <c r="AA62" s="3351"/>
      <c r="AB62" s="3351"/>
      <c r="AC62" s="3351"/>
      <c r="AD62" s="3351"/>
      <c r="AE62" s="3352"/>
      <c r="AF62" s="3351"/>
      <c r="AG62" s="3351"/>
      <c r="AH62" s="3351"/>
      <c r="AI62" s="3351"/>
      <c r="AJ62" s="3352"/>
      <c r="AK62" s="3351"/>
      <c r="AL62" s="3351"/>
      <c r="AM62" s="3351"/>
      <c r="AN62" s="3351"/>
      <c r="AO62" s="3352"/>
      <c r="AP62" s="3351"/>
      <c r="AQ62" s="3351"/>
      <c r="AR62" s="3351"/>
      <c r="AS62" s="3351"/>
      <c r="AT62" s="3352"/>
      <c r="AU62" s="3351"/>
      <c r="AV62" s="3351"/>
      <c r="AW62" s="3351"/>
      <c r="AX62" s="3351"/>
      <c r="AY62" s="3352"/>
      <c r="AZ62" s="3351"/>
      <c r="BA62" s="3351"/>
      <c r="BB62" s="3351"/>
      <c r="BC62" s="3351"/>
      <c r="BD62" s="3352"/>
      <c r="BE62" s="3351"/>
      <c r="BF62" s="3351"/>
      <c r="BG62" s="3351"/>
      <c r="BH62" s="3351"/>
      <c r="BI62" s="3352"/>
      <c r="BJ62" s="3351"/>
      <c r="BK62" s="3351"/>
      <c r="BL62" s="3351"/>
      <c r="BM62" s="3351"/>
      <c r="BN62" s="3352"/>
      <c r="BO62" s="3351"/>
      <c r="BP62" s="3351"/>
      <c r="BQ62" s="3351"/>
      <c r="BR62" s="3551"/>
    </row>
    <row r="63" spans="1:138" ht="27.75" hidden="1" customHeight="1" thickTop="1" thickBot="1" x14ac:dyDescent="0.3">
      <c r="A63" s="3350"/>
      <c r="B63" s="110"/>
      <c r="C63" s="109"/>
      <c r="D63" s="108"/>
      <c r="E63" s="111"/>
      <c r="F63" s="3352"/>
      <c r="G63" s="110"/>
      <c r="H63" s="109"/>
      <c r="I63" s="108"/>
      <c r="J63" s="111"/>
      <c r="K63" s="3352"/>
      <c r="L63" s="110"/>
      <c r="M63" s="109"/>
      <c r="N63" s="108"/>
      <c r="O63" s="111"/>
      <c r="P63" s="3352"/>
      <c r="Q63" s="110"/>
      <c r="R63" s="109"/>
      <c r="S63" s="108"/>
      <c r="T63" s="111"/>
      <c r="U63" s="3352"/>
      <c r="V63" s="110"/>
      <c r="W63" s="109"/>
      <c r="X63" s="108"/>
      <c r="Y63" s="111"/>
      <c r="Z63" s="3352"/>
      <c r="AA63" s="110"/>
      <c r="AB63" s="109"/>
      <c r="AC63" s="108"/>
      <c r="AD63" s="111"/>
      <c r="AE63" s="3352"/>
      <c r="AF63" s="110"/>
      <c r="AG63" s="109"/>
      <c r="AH63" s="108"/>
      <c r="AI63" s="111"/>
      <c r="AJ63" s="3352"/>
      <c r="AK63" s="110"/>
      <c r="AL63" s="109"/>
      <c r="AM63" s="108"/>
      <c r="AN63" s="111"/>
      <c r="AO63" s="3352"/>
      <c r="AP63" s="110"/>
      <c r="AQ63" s="109"/>
      <c r="AR63" s="108"/>
      <c r="AS63" s="111"/>
      <c r="AT63" s="3352"/>
      <c r="AU63" s="110"/>
      <c r="AV63" s="109"/>
      <c r="AW63" s="108"/>
      <c r="AX63" s="111"/>
      <c r="AY63" s="3352"/>
      <c r="AZ63" s="110"/>
      <c r="BA63" s="109"/>
      <c r="BB63" s="108"/>
      <c r="BC63" s="111"/>
      <c r="BD63" s="3352"/>
      <c r="BE63" s="110"/>
      <c r="BF63" s="109"/>
      <c r="BG63" s="108"/>
      <c r="BH63" s="111"/>
      <c r="BI63" s="3352"/>
      <c r="BJ63" s="110"/>
      <c r="BK63" s="109"/>
      <c r="BL63" s="108"/>
      <c r="BM63" s="111"/>
      <c r="BN63" s="3352"/>
      <c r="BO63" s="110"/>
      <c r="BP63" s="109"/>
      <c r="BQ63" s="108"/>
      <c r="BR63" s="107"/>
      <c r="BW63" s="27"/>
      <c r="BX63" s="27"/>
      <c r="BY63" s="27"/>
      <c r="BZ63" s="27"/>
      <c r="CA63" s="27"/>
      <c r="CB63" s="27"/>
      <c r="CC63" s="27"/>
      <c r="CD63" s="27"/>
      <c r="CE63" s="27"/>
    </row>
    <row r="64" spans="1:138" ht="26.1" hidden="1" customHeight="1" x14ac:dyDescent="0.25">
      <c r="A64" s="3330"/>
      <c r="B64" s="3331"/>
      <c r="C64" s="3331"/>
      <c r="D64" s="3332"/>
      <c r="E64" s="3332"/>
      <c r="F64" s="3331"/>
      <c r="G64" s="3331"/>
      <c r="H64" s="3331"/>
      <c r="I64" s="3332"/>
      <c r="J64" s="3332"/>
      <c r="K64" s="3331"/>
      <c r="L64" s="3331"/>
      <c r="M64" s="3331"/>
      <c r="N64" s="3332"/>
      <c r="O64" s="3332"/>
      <c r="P64" s="3331"/>
      <c r="Q64" s="3331"/>
      <c r="R64" s="3331"/>
      <c r="S64" s="3332"/>
      <c r="T64" s="3332"/>
      <c r="U64" s="3331"/>
      <c r="V64" s="3331"/>
      <c r="W64" s="3331"/>
      <c r="X64" s="3332"/>
      <c r="Y64" s="3332"/>
      <c r="Z64" s="3331"/>
      <c r="AA64" s="3331"/>
      <c r="AB64" s="3331"/>
      <c r="AC64" s="3332"/>
      <c r="AD64" s="3332"/>
      <c r="AE64" s="3331"/>
      <c r="AF64" s="3331"/>
      <c r="AG64" s="3331"/>
      <c r="AH64" s="3332"/>
      <c r="AI64" s="3332"/>
      <c r="AJ64" s="3331"/>
      <c r="AK64" s="3331"/>
      <c r="AL64" s="3331"/>
      <c r="AM64" s="3332"/>
      <c r="AN64" s="3332"/>
      <c r="AO64" s="3331"/>
      <c r="AP64" s="3331"/>
      <c r="AQ64" s="3331"/>
      <c r="AR64" s="3332"/>
      <c r="AS64" s="3332"/>
      <c r="AT64" s="3331"/>
      <c r="AU64" s="3331"/>
      <c r="AV64" s="3331"/>
      <c r="AW64" s="3332"/>
      <c r="AX64" s="3332"/>
      <c r="AY64" s="3331"/>
      <c r="AZ64" s="3331"/>
      <c r="BA64" s="3331"/>
      <c r="BB64" s="3332"/>
      <c r="BC64" s="3332"/>
      <c r="BD64" s="3331"/>
      <c r="BE64" s="3331"/>
      <c r="BF64" s="3331"/>
      <c r="BG64" s="3332"/>
      <c r="BH64" s="3332"/>
      <c r="BI64" s="3331"/>
      <c r="BJ64" s="3331"/>
      <c r="BK64" s="3331"/>
      <c r="BL64" s="3332"/>
      <c r="BM64" s="3332"/>
      <c r="BN64" s="3331"/>
      <c r="BO64" s="3331"/>
      <c r="BP64" s="3331"/>
      <c r="BQ64" s="3332"/>
      <c r="BR64" s="3549"/>
    </row>
    <row r="65" spans="1:172" ht="6.75" hidden="1" customHeight="1" x14ac:dyDescent="0.25">
      <c r="A65" s="3353"/>
      <c r="B65" s="3354"/>
      <c r="C65" s="3354"/>
      <c r="D65" s="113"/>
      <c r="E65" s="113"/>
      <c r="F65" s="3354"/>
      <c r="G65" s="3354"/>
      <c r="H65" s="3354"/>
      <c r="I65" s="113"/>
      <c r="J65" s="113"/>
      <c r="K65" s="3354"/>
      <c r="L65" s="3354"/>
      <c r="M65" s="3354"/>
      <c r="N65" s="113"/>
      <c r="O65" s="113"/>
      <c r="P65" s="3354"/>
      <c r="Q65" s="3354"/>
      <c r="R65" s="3354"/>
      <c r="S65" s="113"/>
      <c r="T65" s="113"/>
      <c r="U65" s="3354"/>
      <c r="V65" s="3354"/>
      <c r="W65" s="3354"/>
      <c r="X65" s="113"/>
      <c r="Y65" s="113"/>
      <c r="Z65" s="3354"/>
      <c r="AA65" s="3354"/>
      <c r="AB65" s="3354"/>
      <c r="AC65" s="113"/>
      <c r="AD65" s="113"/>
      <c r="AE65" s="3354"/>
      <c r="AF65" s="3354"/>
      <c r="AG65" s="3354"/>
      <c r="AH65" s="113"/>
      <c r="AI65" s="113"/>
      <c r="AJ65" s="3354"/>
      <c r="AK65" s="3354"/>
      <c r="AL65" s="3354"/>
      <c r="AM65" s="113"/>
      <c r="AN65" s="113"/>
      <c r="AO65" s="3354"/>
      <c r="AP65" s="3354"/>
      <c r="AQ65" s="3354"/>
      <c r="AR65" s="113"/>
      <c r="AS65" s="113"/>
      <c r="AT65" s="3354"/>
      <c r="AU65" s="3354"/>
      <c r="AV65" s="3354"/>
      <c r="AW65" s="113"/>
      <c r="AX65" s="113"/>
      <c r="AY65" s="3354"/>
      <c r="AZ65" s="3354"/>
      <c r="BA65" s="3354"/>
      <c r="BB65" s="113"/>
      <c r="BC65" s="113"/>
      <c r="BD65" s="3354"/>
      <c r="BE65" s="3354"/>
      <c r="BF65" s="3354"/>
      <c r="BG65" s="113"/>
      <c r="BH65" s="113"/>
      <c r="BI65" s="3354"/>
      <c r="BJ65" s="3354"/>
      <c r="BK65" s="3354"/>
      <c r="BL65" s="113"/>
      <c r="BM65" s="113"/>
      <c r="BN65" s="3354"/>
      <c r="BO65" s="3354"/>
      <c r="BP65" s="3354"/>
      <c r="BQ65" s="113"/>
      <c r="BR65" s="112"/>
    </row>
    <row r="66" spans="1:172" ht="21.95" hidden="1" customHeight="1" x14ac:dyDescent="0.25">
      <c r="A66" s="3353"/>
      <c r="B66" s="3354"/>
      <c r="C66" s="3354"/>
      <c r="D66" s="60"/>
      <c r="E66" s="113"/>
      <c r="F66" s="3354"/>
      <c r="G66" s="3354"/>
      <c r="H66" s="3354"/>
      <c r="I66" s="60"/>
      <c r="J66" s="113"/>
      <c r="K66" s="3354"/>
      <c r="L66" s="3354"/>
      <c r="M66" s="3354"/>
      <c r="N66" s="60"/>
      <c r="O66" s="113"/>
      <c r="P66" s="3354"/>
      <c r="Q66" s="3354"/>
      <c r="R66" s="3354"/>
      <c r="S66" s="60"/>
      <c r="T66" s="113"/>
      <c r="U66" s="3354"/>
      <c r="V66" s="3354"/>
      <c r="W66" s="3354"/>
      <c r="X66" s="60"/>
      <c r="Y66" s="113"/>
      <c r="Z66" s="3354"/>
      <c r="AA66" s="3354"/>
      <c r="AB66" s="3354"/>
      <c r="AC66" s="60"/>
      <c r="AD66" s="113"/>
      <c r="AE66" s="3354"/>
      <c r="AF66" s="3354"/>
      <c r="AG66" s="3354"/>
      <c r="AH66" s="60"/>
      <c r="AI66" s="113"/>
      <c r="AJ66" s="3354"/>
      <c r="AK66" s="3354"/>
      <c r="AL66" s="3354"/>
      <c r="AM66" s="60"/>
      <c r="AN66" s="113"/>
      <c r="AO66" s="3354"/>
      <c r="AP66" s="3354"/>
      <c r="AQ66" s="3354"/>
      <c r="AR66" s="60"/>
      <c r="AS66" s="113"/>
      <c r="AT66" s="3354"/>
      <c r="AU66" s="3354"/>
      <c r="AV66" s="3354"/>
      <c r="AW66" s="60"/>
      <c r="AX66" s="113"/>
      <c r="AY66" s="3354"/>
      <c r="AZ66" s="3354"/>
      <c r="BA66" s="3354"/>
      <c r="BB66" s="60"/>
      <c r="BC66" s="113"/>
      <c r="BD66" s="3354"/>
      <c r="BE66" s="3354"/>
      <c r="BF66" s="3354"/>
      <c r="BG66" s="60"/>
      <c r="BH66" s="113"/>
      <c r="BI66" s="3354"/>
      <c r="BJ66" s="3354"/>
      <c r="BK66" s="3354"/>
      <c r="BL66" s="60"/>
      <c r="BM66" s="113"/>
      <c r="BN66" s="3354"/>
      <c r="BO66" s="3354"/>
      <c r="BP66" s="3354"/>
      <c r="BQ66" s="60"/>
      <c r="BR66" s="112"/>
    </row>
    <row r="67" spans="1:172" ht="6" hidden="1" customHeight="1" x14ac:dyDescent="0.25">
      <c r="A67" s="3353"/>
      <c r="B67" s="3354"/>
      <c r="C67" s="3354"/>
      <c r="D67" s="3332"/>
      <c r="E67" s="3332"/>
      <c r="F67" s="3354"/>
      <c r="G67" s="3354"/>
      <c r="H67" s="3354"/>
      <c r="I67" s="3332"/>
      <c r="J67" s="3332"/>
      <c r="K67" s="3354"/>
      <c r="L67" s="3354"/>
      <c r="M67" s="3354"/>
      <c r="N67" s="3332"/>
      <c r="O67" s="3332"/>
      <c r="P67" s="3354"/>
      <c r="Q67" s="3354"/>
      <c r="R67" s="3354"/>
      <c r="S67" s="3332"/>
      <c r="T67" s="3332"/>
      <c r="U67" s="3354"/>
      <c r="V67" s="3354"/>
      <c r="W67" s="3354"/>
      <c r="X67" s="3332"/>
      <c r="Y67" s="3332"/>
      <c r="Z67" s="3354"/>
      <c r="AA67" s="3354"/>
      <c r="AB67" s="3354"/>
      <c r="AC67" s="3332"/>
      <c r="AD67" s="3332"/>
      <c r="AE67" s="3354"/>
      <c r="AF67" s="3354"/>
      <c r="AG67" s="3354"/>
      <c r="AH67" s="3332"/>
      <c r="AI67" s="3332"/>
      <c r="AJ67" s="3354"/>
      <c r="AK67" s="3354"/>
      <c r="AL67" s="3354"/>
      <c r="AM67" s="3332"/>
      <c r="AN67" s="3332"/>
      <c r="AO67" s="3354"/>
      <c r="AP67" s="3354"/>
      <c r="AQ67" s="3354"/>
      <c r="AR67" s="3332"/>
      <c r="AS67" s="3332"/>
      <c r="AT67" s="3354"/>
      <c r="AU67" s="3354"/>
      <c r="AV67" s="3354"/>
      <c r="AW67" s="3332"/>
      <c r="AX67" s="3332"/>
      <c r="AY67" s="3354"/>
      <c r="AZ67" s="3354"/>
      <c r="BA67" s="3354"/>
      <c r="BB67" s="3332"/>
      <c r="BC67" s="3332"/>
      <c r="BD67" s="3354"/>
      <c r="BE67" s="3354"/>
      <c r="BF67" s="3354"/>
      <c r="BG67" s="3332"/>
      <c r="BH67" s="3332"/>
      <c r="BI67" s="3354"/>
      <c r="BJ67" s="3354"/>
      <c r="BK67" s="3354"/>
      <c r="BL67" s="3332"/>
      <c r="BM67" s="3332"/>
      <c r="BN67" s="3354"/>
      <c r="BO67" s="3354"/>
      <c r="BP67" s="3354"/>
      <c r="BQ67" s="3332"/>
      <c r="BR67" s="3549"/>
    </row>
    <row r="68" spans="1:172" ht="60" hidden="1" customHeight="1" thickTop="1" thickBot="1" x14ac:dyDescent="0.3">
      <c r="A68" s="3350"/>
      <c r="B68" s="3351"/>
      <c r="C68" s="3351"/>
      <c r="D68" s="3351"/>
      <c r="E68" s="3351"/>
      <c r="F68" s="3352"/>
      <c r="G68" s="3351"/>
      <c r="H68" s="3351"/>
      <c r="I68" s="3351"/>
      <c r="J68" s="3351"/>
      <c r="K68" s="3352"/>
      <c r="L68" s="3351"/>
      <c r="M68" s="3351"/>
      <c r="N68" s="3351"/>
      <c r="O68" s="3351"/>
      <c r="P68" s="3352"/>
      <c r="Q68" s="3351"/>
      <c r="R68" s="3351"/>
      <c r="S68" s="3351"/>
      <c r="T68" s="3351"/>
      <c r="U68" s="3352"/>
      <c r="V68" s="3351"/>
      <c r="W68" s="3351"/>
      <c r="X68" s="3351"/>
      <c r="Y68" s="3351"/>
      <c r="Z68" s="3352"/>
      <c r="AA68" s="3351"/>
      <c r="AB68" s="3351"/>
      <c r="AC68" s="3351"/>
      <c r="AD68" s="3351"/>
      <c r="AE68" s="3352"/>
      <c r="AF68" s="3351"/>
      <c r="AG68" s="3351"/>
      <c r="AH68" s="3351"/>
      <c r="AI68" s="3351"/>
      <c r="AJ68" s="3352"/>
      <c r="AK68" s="3351"/>
      <c r="AL68" s="3351"/>
      <c r="AM68" s="3351"/>
      <c r="AN68" s="3351"/>
      <c r="AO68" s="3352"/>
      <c r="AP68" s="3351"/>
      <c r="AQ68" s="3351"/>
      <c r="AR68" s="3351"/>
      <c r="AS68" s="3351"/>
      <c r="AT68" s="3352"/>
      <c r="AU68" s="3351"/>
      <c r="AV68" s="3351"/>
      <c r="AW68" s="3351"/>
      <c r="AX68" s="3351"/>
      <c r="AY68" s="3352"/>
      <c r="AZ68" s="3351"/>
      <c r="BA68" s="3351"/>
      <c r="BB68" s="3351"/>
      <c r="BC68" s="3351"/>
      <c r="BD68" s="3352"/>
      <c r="BE68" s="3351"/>
      <c r="BF68" s="3351"/>
      <c r="BG68" s="3351"/>
      <c r="BH68" s="3351"/>
      <c r="BI68" s="3352"/>
      <c r="BJ68" s="3351"/>
      <c r="BK68" s="3351"/>
      <c r="BL68" s="3351"/>
      <c r="BM68" s="3351"/>
      <c r="BN68" s="3352"/>
      <c r="BO68" s="3351"/>
      <c r="BP68" s="3351"/>
      <c r="BQ68" s="3351"/>
      <c r="BR68" s="3551"/>
    </row>
    <row r="69" spans="1:172" ht="27.75" hidden="1" customHeight="1" thickTop="1" thickBot="1" x14ac:dyDescent="0.3">
      <c r="A69" s="3350"/>
      <c r="B69" s="110"/>
      <c r="C69" s="109"/>
      <c r="D69" s="108"/>
      <c r="E69" s="111"/>
      <c r="F69" s="3352"/>
      <c r="G69" s="110"/>
      <c r="H69" s="109"/>
      <c r="I69" s="108"/>
      <c r="J69" s="111"/>
      <c r="K69" s="3352"/>
      <c r="L69" s="110"/>
      <c r="M69" s="109"/>
      <c r="N69" s="108"/>
      <c r="O69" s="111"/>
      <c r="P69" s="3352"/>
      <c r="Q69" s="110"/>
      <c r="R69" s="109"/>
      <c r="S69" s="108"/>
      <c r="T69" s="111"/>
      <c r="U69" s="3352"/>
      <c r="V69" s="110"/>
      <c r="W69" s="109"/>
      <c r="X69" s="108"/>
      <c r="Y69" s="111"/>
      <c r="Z69" s="3352"/>
      <c r="AA69" s="110"/>
      <c r="AB69" s="109"/>
      <c r="AC69" s="108"/>
      <c r="AD69" s="111"/>
      <c r="AE69" s="3352"/>
      <c r="AF69" s="110"/>
      <c r="AG69" s="109"/>
      <c r="AH69" s="108"/>
      <c r="AI69" s="111"/>
      <c r="AJ69" s="3352"/>
      <c r="AK69" s="110"/>
      <c r="AL69" s="109"/>
      <c r="AM69" s="108"/>
      <c r="AN69" s="111"/>
      <c r="AO69" s="3352"/>
      <c r="AP69" s="110"/>
      <c r="AQ69" s="109"/>
      <c r="AR69" s="108"/>
      <c r="AS69" s="111"/>
      <c r="AT69" s="3352"/>
      <c r="AU69" s="110"/>
      <c r="AV69" s="109"/>
      <c r="AW69" s="108"/>
      <c r="AX69" s="111"/>
      <c r="AY69" s="3352"/>
      <c r="AZ69" s="110"/>
      <c r="BA69" s="109"/>
      <c r="BB69" s="108"/>
      <c r="BC69" s="111"/>
      <c r="BD69" s="3352"/>
      <c r="BE69" s="110"/>
      <c r="BF69" s="109"/>
      <c r="BG69" s="108"/>
      <c r="BH69" s="111"/>
      <c r="BI69" s="3352"/>
      <c r="BJ69" s="110"/>
      <c r="BK69" s="109"/>
      <c r="BL69" s="108"/>
      <c r="BM69" s="111"/>
      <c r="BN69" s="3352"/>
      <c r="BO69" s="110"/>
      <c r="BP69" s="109"/>
      <c r="BQ69" s="108"/>
      <c r="BR69" s="107"/>
      <c r="BW69" s="27"/>
      <c r="BX69" s="27"/>
      <c r="BY69" s="27"/>
      <c r="BZ69" s="27"/>
      <c r="CA69" s="27"/>
      <c r="CB69" s="27"/>
      <c r="CC69" s="27"/>
      <c r="CD69" s="27"/>
      <c r="CE69" s="27"/>
    </row>
    <row r="70" spans="1:172" s="42" customFormat="1" ht="3" customHeight="1" thickTop="1" thickBot="1" x14ac:dyDescent="0.3">
      <c r="A70" s="106"/>
      <c r="B70" s="96"/>
      <c r="C70" s="96"/>
      <c r="D70" s="96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  <c r="AA70" s="96"/>
      <c r="AB70" s="96"/>
      <c r="AC70" s="96"/>
      <c r="AD70" s="96"/>
      <c r="AE70" s="96"/>
      <c r="AF70" s="96"/>
      <c r="AG70" s="96"/>
      <c r="AH70" s="96"/>
      <c r="AI70" s="96"/>
      <c r="AJ70" s="96"/>
      <c r="AK70" s="96"/>
      <c r="AL70" s="96"/>
      <c r="AM70" s="96"/>
      <c r="AN70" s="96"/>
      <c r="AO70" s="96"/>
      <c r="AP70" s="96"/>
      <c r="AQ70" s="96"/>
      <c r="AR70" s="96"/>
      <c r="AS70" s="96"/>
      <c r="AT70" s="96"/>
      <c r="AU70" s="96"/>
      <c r="AV70" s="96"/>
      <c r="AW70" s="96"/>
      <c r="AX70" s="96"/>
      <c r="AY70" s="96"/>
      <c r="AZ70" s="96"/>
      <c r="BA70" s="96"/>
      <c r="BB70" s="96"/>
      <c r="BC70" s="96"/>
      <c r="BD70" s="96"/>
      <c r="BE70" s="96"/>
      <c r="BF70" s="96"/>
      <c r="BG70" s="96"/>
      <c r="BH70" s="96"/>
      <c r="BI70" s="96"/>
      <c r="BJ70" s="96"/>
      <c r="BK70" s="96"/>
      <c r="BL70" s="96"/>
      <c r="BM70" s="96"/>
      <c r="BN70" s="96"/>
      <c r="BO70" s="96"/>
      <c r="BP70" s="96"/>
      <c r="BQ70" s="96"/>
      <c r="BR70" s="105"/>
      <c r="BW70" s="43"/>
      <c r="BX70" s="43"/>
      <c r="BY70" s="43"/>
      <c r="BZ70" s="43"/>
      <c r="CA70" s="43"/>
      <c r="CB70" s="43"/>
      <c r="CC70" s="43"/>
      <c r="CD70" s="43"/>
      <c r="CE70" s="43"/>
    </row>
    <row r="71" spans="1:172" ht="17.25" customHeight="1" x14ac:dyDescent="0.25">
      <c r="A71" s="3333" t="s">
        <v>110</v>
      </c>
      <c r="B71" s="3334"/>
      <c r="C71" s="3337">
        <f>B77/((30*3.1415/51)*(91/3.281))</f>
        <v>1.0887066967729071E-2</v>
      </c>
      <c r="D71" s="3337"/>
      <c r="E71" s="3338"/>
      <c r="F71" s="3333" t="s">
        <v>110</v>
      </c>
      <c r="G71" s="3334"/>
      <c r="H71" s="3337">
        <f>G77/((30*3.1415/51)*(91/3.281))</f>
        <v>1.9510872702023427E-6</v>
      </c>
      <c r="I71" s="3337"/>
      <c r="J71" s="3338"/>
      <c r="K71" s="3333" t="s">
        <v>110</v>
      </c>
      <c r="L71" s="3334"/>
      <c r="M71" s="3337">
        <f>L77/((30*3.1415/51)*(91/3.281))</f>
        <v>3.9607071585107548E-3</v>
      </c>
      <c r="N71" s="3337"/>
      <c r="O71" s="3338"/>
      <c r="P71" s="3333" t="s">
        <v>110</v>
      </c>
      <c r="Q71" s="3334"/>
      <c r="R71" s="3337">
        <f>Q77/((30*3.1415/51)*(91/3.281))</f>
        <v>1.9510872702023427E-6</v>
      </c>
      <c r="S71" s="3337"/>
      <c r="T71" s="3338"/>
      <c r="U71" s="3333" t="s">
        <v>110</v>
      </c>
      <c r="V71" s="3334"/>
      <c r="W71" s="3337">
        <f>V77/((30*3.1415/51)*(91/3.281))</f>
        <v>1.8320709467199995E-2</v>
      </c>
      <c r="X71" s="3337"/>
      <c r="Y71" s="3338"/>
      <c r="Z71" s="3333" t="s">
        <v>110</v>
      </c>
      <c r="AA71" s="3334"/>
      <c r="AB71" s="3337">
        <f>AA77/((30*3.1415/51)*(91/3.281))</f>
        <v>4.9557616663139497E-3</v>
      </c>
      <c r="AC71" s="3337"/>
      <c r="AD71" s="3338"/>
      <c r="AE71" s="3333" t="s">
        <v>110</v>
      </c>
      <c r="AF71" s="3334"/>
      <c r="AG71" s="3337">
        <f>AF77/((30*3.1415/51)*(91/3.281))</f>
        <v>4.9557616663139497E-3</v>
      </c>
      <c r="AH71" s="3337"/>
      <c r="AI71" s="3338"/>
      <c r="AJ71" s="3333" t="s">
        <v>110</v>
      </c>
      <c r="AK71" s="3334"/>
      <c r="AL71" s="3337">
        <f>AK77/((30*3.1415/51)*(91/3.281))</f>
        <v>2.4778808331569748E-3</v>
      </c>
      <c r="AM71" s="3337"/>
      <c r="AN71" s="3338"/>
      <c r="AO71" s="3333" t="s">
        <v>110</v>
      </c>
      <c r="AP71" s="3334"/>
      <c r="AQ71" s="3337">
        <f>AP77/((30*3.1415/51)*(91/3.281))</f>
        <v>3.9607071585107548E-3</v>
      </c>
      <c r="AR71" s="3337"/>
      <c r="AS71" s="3338"/>
      <c r="AT71" s="3333" t="s">
        <v>110</v>
      </c>
      <c r="AU71" s="3334"/>
      <c r="AV71" s="3337">
        <f>AU77/((30*3.1415/51)*(91/3.281))</f>
        <v>6.9263598092183147E-3</v>
      </c>
      <c r="AW71" s="3337"/>
      <c r="AX71" s="3338"/>
      <c r="AY71" s="3333" t="s">
        <v>110</v>
      </c>
      <c r="AZ71" s="3334"/>
      <c r="BA71" s="3337">
        <f>AZ77/((30*3.1415/51)*(91/3.281))</f>
        <v>4.4601854996825549E-2</v>
      </c>
      <c r="BB71" s="3337"/>
      <c r="BC71" s="3338"/>
      <c r="BD71" s="3333" t="s">
        <v>110</v>
      </c>
      <c r="BE71" s="3334"/>
      <c r="BF71" s="3337">
        <f>BE77/((30*3.1415/51)*(91/3.281))</f>
        <v>6.4385879916677297E-3</v>
      </c>
      <c r="BG71" s="3337"/>
      <c r="BH71" s="3338"/>
      <c r="BI71" s="3333" t="s">
        <v>110</v>
      </c>
      <c r="BJ71" s="3334"/>
      <c r="BK71" s="3337">
        <f>BJ77/((30*3.1415/51)*(91/3.281))</f>
        <v>1.2389404165784873E-2</v>
      </c>
      <c r="BL71" s="3337"/>
      <c r="BM71" s="3338"/>
      <c r="BN71" s="3333" t="s">
        <v>110</v>
      </c>
      <c r="BO71" s="3334"/>
      <c r="BP71" s="3337">
        <f>BO77/((30*3.1415/51)*(91/3.281))</f>
        <v>3.9607071585107548E-3</v>
      </c>
      <c r="BQ71" s="3337"/>
      <c r="BR71" s="3338"/>
    </row>
    <row r="72" spans="1:172" ht="23.25" customHeight="1" x14ac:dyDescent="0.25">
      <c r="A72" s="3335"/>
      <c r="B72" s="3336"/>
      <c r="C72" s="3339"/>
      <c r="D72" s="3339"/>
      <c r="E72" s="3340"/>
      <c r="F72" s="3335"/>
      <c r="G72" s="3336"/>
      <c r="H72" s="3339"/>
      <c r="I72" s="3339"/>
      <c r="J72" s="3340"/>
      <c r="K72" s="3335"/>
      <c r="L72" s="3336"/>
      <c r="M72" s="3339"/>
      <c r="N72" s="3339"/>
      <c r="O72" s="3340"/>
      <c r="P72" s="3335"/>
      <c r="Q72" s="3336"/>
      <c r="R72" s="3339"/>
      <c r="S72" s="3339"/>
      <c r="T72" s="3340"/>
      <c r="U72" s="3335"/>
      <c r="V72" s="3336"/>
      <c r="W72" s="3339"/>
      <c r="X72" s="3339"/>
      <c r="Y72" s="3340"/>
      <c r="Z72" s="3335"/>
      <c r="AA72" s="3336"/>
      <c r="AB72" s="3339"/>
      <c r="AC72" s="3339"/>
      <c r="AD72" s="3340"/>
      <c r="AE72" s="3335"/>
      <c r="AF72" s="3336"/>
      <c r="AG72" s="3339"/>
      <c r="AH72" s="3339"/>
      <c r="AI72" s="3340"/>
      <c r="AJ72" s="3335"/>
      <c r="AK72" s="3336"/>
      <c r="AL72" s="3339"/>
      <c r="AM72" s="3339"/>
      <c r="AN72" s="3340"/>
      <c r="AO72" s="3335"/>
      <c r="AP72" s="3336"/>
      <c r="AQ72" s="3339"/>
      <c r="AR72" s="3339"/>
      <c r="AS72" s="3340"/>
      <c r="AT72" s="3335"/>
      <c r="AU72" s="3336"/>
      <c r="AV72" s="3339"/>
      <c r="AW72" s="3339"/>
      <c r="AX72" s="3340"/>
      <c r="AY72" s="3335"/>
      <c r="AZ72" s="3336"/>
      <c r="BA72" s="3339"/>
      <c r="BB72" s="3339"/>
      <c r="BC72" s="3340"/>
      <c r="BD72" s="3335"/>
      <c r="BE72" s="3336"/>
      <c r="BF72" s="3339"/>
      <c r="BG72" s="3339"/>
      <c r="BH72" s="3340"/>
      <c r="BI72" s="3335"/>
      <c r="BJ72" s="3336"/>
      <c r="BK72" s="3339"/>
      <c r="BL72" s="3339"/>
      <c r="BM72" s="3340"/>
      <c r="BN72" s="3335"/>
      <c r="BO72" s="3336"/>
      <c r="BP72" s="3339"/>
      <c r="BQ72" s="3339"/>
      <c r="BR72" s="3340"/>
    </row>
    <row r="73" spans="1:172" ht="12" hidden="1" customHeight="1" x14ac:dyDescent="0.25">
      <c r="A73" s="3335"/>
      <c r="B73" s="3336"/>
      <c r="C73" s="3339"/>
      <c r="D73" s="3339"/>
      <c r="E73" s="3340"/>
      <c r="F73" s="3335"/>
      <c r="G73" s="3336"/>
      <c r="H73" s="3339"/>
      <c r="I73" s="3339"/>
      <c r="J73" s="3340"/>
      <c r="K73" s="3335"/>
      <c r="L73" s="3336"/>
      <c r="M73" s="3339"/>
      <c r="N73" s="3339"/>
      <c r="O73" s="3340"/>
      <c r="P73" s="3335"/>
      <c r="Q73" s="3336"/>
      <c r="R73" s="3339"/>
      <c r="S73" s="3339"/>
      <c r="T73" s="3340"/>
      <c r="U73" s="3335"/>
      <c r="V73" s="3336"/>
      <c r="W73" s="3339"/>
      <c r="X73" s="3339"/>
      <c r="Y73" s="3340"/>
      <c r="Z73" s="3335"/>
      <c r="AA73" s="3336"/>
      <c r="AB73" s="3339"/>
      <c r="AC73" s="3339"/>
      <c r="AD73" s="3340"/>
      <c r="AE73" s="3335"/>
      <c r="AF73" s="3336"/>
      <c r="AG73" s="3339"/>
      <c r="AH73" s="3339"/>
      <c r="AI73" s="3340"/>
      <c r="AJ73" s="3335"/>
      <c r="AK73" s="3336"/>
      <c r="AL73" s="3339"/>
      <c r="AM73" s="3339"/>
      <c r="AN73" s="3340"/>
      <c r="AO73" s="3335"/>
      <c r="AP73" s="3336"/>
      <c r="AQ73" s="3339"/>
      <c r="AR73" s="3339"/>
      <c r="AS73" s="3340"/>
      <c r="AT73" s="3335"/>
      <c r="AU73" s="3336"/>
      <c r="AV73" s="3339"/>
      <c r="AW73" s="3339"/>
      <c r="AX73" s="3340"/>
      <c r="AY73" s="3335"/>
      <c r="AZ73" s="3336"/>
      <c r="BA73" s="3339"/>
      <c r="BB73" s="3339"/>
      <c r="BC73" s="3340"/>
      <c r="BD73" s="3335"/>
      <c r="BE73" s="3336"/>
      <c r="BF73" s="3339"/>
      <c r="BG73" s="3339"/>
      <c r="BH73" s="3340"/>
      <c r="BI73" s="3335"/>
      <c r="BJ73" s="3336"/>
      <c r="BK73" s="3339"/>
      <c r="BL73" s="3339"/>
      <c r="BM73" s="3340"/>
      <c r="BN73" s="3335"/>
      <c r="BO73" s="3336"/>
      <c r="BP73" s="3339"/>
      <c r="BQ73" s="3339"/>
      <c r="BR73" s="3340"/>
      <c r="CY73" s="37"/>
      <c r="CZ73" s="38"/>
      <c r="DA73" s="39"/>
      <c r="DB73" s="40"/>
      <c r="DC73" s="41"/>
      <c r="DD73" s="37"/>
      <c r="DE73" s="38"/>
      <c r="DF73" s="39"/>
      <c r="DG73" s="40"/>
      <c r="DH73" s="41"/>
      <c r="DI73" s="37"/>
      <c r="DJ73" s="38"/>
      <c r="DK73" s="39"/>
      <c r="DL73" s="40"/>
      <c r="DM73" s="41"/>
      <c r="DN73" s="37"/>
      <c r="DO73" s="38"/>
      <c r="DP73" s="39"/>
      <c r="DQ73" s="40"/>
      <c r="DR73" s="41"/>
      <c r="DS73" s="37"/>
      <c r="DT73" s="38"/>
      <c r="DU73" s="39"/>
      <c r="DV73" s="697"/>
      <c r="DW73" s="697"/>
      <c r="DX73" s="697"/>
      <c r="DY73" s="697"/>
      <c r="DZ73" s="697"/>
      <c r="EA73" s="697"/>
      <c r="EB73" s="697"/>
      <c r="EC73" s="697"/>
      <c r="ED73" s="697"/>
      <c r="EE73" s="697"/>
      <c r="EF73" s="697"/>
      <c r="EG73" s="697"/>
      <c r="EH73" s="37"/>
      <c r="EI73" s="38"/>
      <c r="EJ73" s="39"/>
      <c r="EK73" s="40"/>
      <c r="EL73" s="41"/>
      <c r="EM73" s="37"/>
      <c r="EN73" s="38"/>
      <c r="EO73" s="39"/>
      <c r="EP73" s="40"/>
      <c r="EQ73" s="41"/>
      <c r="ER73" s="37"/>
      <c r="ES73" s="38"/>
      <c r="ET73" s="39"/>
      <c r="EU73" s="40"/>
      <c r="EV73" s="41"/>
      <c r="EW73" s="37"/>
      <c r="EX73" s="38"/>
      <c r="EY73" s="39"/>
      <c r="EZ73" s="40"/>
      <c r="FA73" s="41"/>
      <c r="FB73" s="37"/>
      <c r="FC73" s="38"/>
      <c r="FD73" s="39"/>
      <c r="FE73" s="40"/>
      <c r="FF73" s="41"/>
      <c r="FG73" s="37"/>
      <c r="FH73" s="38"/>
      <c r="FI73" s="39"/>
      <c r="FJ73" s="40"/>
      <c r="FK73" s="41"/>
      <c r="FL73" s="37"/>
      <c r="FM73" s="38"/>
      <c r="FN73" s="39"/>
      <c r="FO73" s="40"/>
      <c r="FP73" s="41"/>
    </row>
    <row r="74" spans="1:172" ht="6" hidden="1" customHeight="1" x14ac:dyDescent="0.25">
      <c r="A74" s="3335"/>
      <c r="B74" s="3336"/>
      <c r="C74" s="3339"/>
      <c r="D74" s="3339"/>
      <c r="E74" s="3340"/>
      <c r="F74" s="3335"/>
      <c r="G74" s="3336"/>
      <c r="H74" s="3339"/>
      <c r="I74" s="3339"/>
      <c r="J74" s="3340"/>
      <c r="K74" s="3335"/>
      <c r="L74" s="3336"/>
      <c r="M74" s="3339"/>
      <c r="N74" s="3339"/>
      <c r="O74" s="3340"/>
      <c r="P74" s="3335"/>
      <c r="Q74" s="3336"/>
      <c r="R74" s="3339"/>
      <c r="S74" s="3339"/>
      <c r="T74" s="3340"/>
      <c r="U74" s="3335"/>
      <c r="V74" s="3336"/>
      <c r="W74" s="3339"/>
      <c r="X74" s="3339"/>
      <c r="Y74" s="3340"/>
      <c r="Z74" s="3335"/>
      <c r="AA74" s="3336"/>
      <c r="AB74" s="3339"/>
      <c r="AC74" s="3339"/>
      <c r="AD74" s="3340"/>
      <c r="AE74" s="3335"/>
      <c r="AF74" s="3336"/>
      <c r="AG74" s="3339"/>
      <c r="AH74" s="3339"/>
      <c r="AI74" s="3340"/>
      <c r="AJ74" s="3335"/>
      <c r="AK74" s="3336"/>
      <c r="AL74" s="3339"/>
      <c r="AM74" s="3339"/>
      <c r="AN74" s="3340"/>
      <c r="AO74" s="3335"/>
      <c r="AP74" s="3336"/>
      <c r="AQ74" s="3339"/>
      <c r="AR74" s="3339"/>
      <c r="AS74" s="3340"/>
      <c r="AT74" s="3335"/>
      <c r="AU74" s="3336"/>
      <c r="AV74" s="3339"/>
      <c r="AW74" s="3339"/>
      <c r="AX74" s="3340"/>
      <c r="AY74" s="3335"/>
      <c r="AZ74" s="3336"/>
      <c r="BA74" s="3339"/>
      <c r="BB74" s="3339"/>
      <c r="BC74" s="3340"/>
      <c r="BD74" s="3335"/>
      <c r="BE74" s="3336"/>
      <c r="BF74" s="3339"/>
      <c r="BG74" s="3339"/>
      <c r="BH74" s="3340"/>
      <c r="BI74" s="3335"/>
      <c r="BJ74" s="3336"/>
      <c r="BK74" s="3339"/>
      <c r="BL74" s="3339"/>
      <c r="BM74" s="3340"/>
      <c r="BN74" s="3335"/>
      <c r="BO74" s="3336"/>
      <c r="BP74" s="3339"/>
      <c r="BQ74" s="3339"/>
      <c r="BR74" s="3340"/>
      <c r="CY74" s="674"/>
      <c r="CZ74" s="674"/>
      <c r="DA74" s="674"/>
      <c r="DB74" s="675"/>
      <c r="DC74" s="675"/>
      <c r="DD74" s="44"/>
      <c r="DE74" s="702"/>
      <c r="DF74" s="702"/>
      <c r="DG74" s="702"/>
      <c r="DI74" s="45"/>
      <c r="DJ74" s="45"/>
      <c r="DK74" s="45"/>
      <c r="DL74" s="45"/>
      <c r="DM74" s="45"/>
      <c r="DN74" s="45"/>
      <c r="DO74" s="45"/>
      <c r="DP74" s="45"/>
      <c r="DQ74" s="45"/>
      <c r="DR74" s="45"/>
      <c r="DS74" s="45"/>
      <c r="DT74" s="45"/>
      <c r="DU74" s="45"/>
      <c r="DV74" s="697"/>
      <c r="DW74" s="697"/>
      <c r="DX74" s="697"/>
      <c r="DY74" s="697"/>
      <c r="DZ74" s="697"/>
      <c r="EA74" s="697"/>
      <c r="EB74" s="697"/>
      <c r="EC74" s="697"/>
      <c r="ED74" s="697"/>
      <c r="EE74" s="697"/>
      <c r="EF74" s="697"/>
      <c r="EG74" s="697"/>
      <c r="EH74" s="697"/>
      <c r="EI74" s="697"/>
      <c r="EJ74" s="697"/>
      <c r="EK74" s="697"/>
      <c r="EL74" s="697"/>
      <c r="EM74" s="697"/>
      <c r="EN74" s="697"/>
      <c r="EO74" s="697"/>
      <c r="EP74" s="697"/>
      <c r="EQ74" s="697"/>
      <c r="ER74" s="46"/>
      <c r="ES74" s="698"/>
      <c r="ET74" s="698"/>
      <c r="EU74" s="698"/>
      <c r="EV74" s="698"/>
      <c r="EW74" s="698"/>
      <c r="EX74" s="698"/>
      <c r="EY74" s="698"/>
      <c r="EZ74" s="698"/>
      <c r="FA74" s="698"/>
      <c r="FB74" s="698"/>
      <c r="FC74" s="698"/>
      <c r="FD74" s="698"/>
      <c r="FE74" s="699"/>
      <c r="FF74" s="699"/>
      <c r="FG74" s="699"/>
      <c r="FH74" s="699"/>
      <c r="FI74" s="699"/>
      <c r="FJ74" s="700"/>
      <c r="FK74" s="700"/>
      <c r="FL74" s="700"/>
      <c r="FM74" s="700"/>
      <c r="FN74" s="701"/>
      <c r="FO74" s="701"/>
      <c r="FP74" s="701"/>
    </row>
    <row r="75" spans="1:172" ht="28.5" customHeight="1" x14ac:dyDescent="0.25">
      <c r="A75" s="3341" t="s">
        <v>25</v>
      </c>
      <c r="B75" s="3342"/>
      <c r="C75" s="2319" t="s">
        <v>111</v>
      </c>
      <c r="D75" s="2320"/>
      <c r="E75" s="3343"/>
      <c r="F75" s="3341" t="s">
        <v>25</v>
      </c>
      <c r="G75" s="3342"/>
      <c r="H75" s="2319" t="s">
        <v>111</v>
      </c>
      <c r="I75" s="2320"/>
      <c r="J75" s="3343"/>
      <c r="K75" s="3341" t="s">
        <v>25</v>
      </c>
      <c r="L75" s="3342"/>
      <c r="M75" s="2319" t="s">
        <v>111</v>
      </c>
      <c r="N75" s="2320"/>
      <c r="O75" s="3343"/>
      <c r="P75" s="3341" t="s">
        <v>25</v>
      </c>
      <c r="Q75" s="3342"/>
      <c r="R75" s="2319" t="s">
        <v>111</v>
      </c>
      <c r="S75" s="2320"/>
      <c r="T75" s="3343"/>
      <c r="U75" s="3341" t="s">
        <v>25</v>
      </c>
      <c r="V75" s="3342"/>
      <c r="W75" s="2319" t="s">
        <v>111</v>
      </c>
      <c r="X75" s="2320"/>
      <c r="Y75" s="3343"/>
      <c r="Z75" s="3341" t="s">
        <v>25</v>
      </c>
      <c r="AA75" s="3342"/>
      <c r="AB75" s="2319" t="s">
        <v>111</v>
      </c>
      <c r="AC75" s="2320"/>
      <c r="AD75" s="3343"/>
      <c r="AE75" s="3341" t="s">
        <v>25</v>
      </c>
      <c r="AF75" s="3342"/>
      <c r="AG75" s="2319" t="s">
        <v>111</v>
      </c>
      <c r="AH75" s="2320"/>
      <c r="AI75" s="3343"/>
      <c r="AJ75" s="3341" t="s">
        <v>25</v>
      </c>
      <c r="AK75" s="3342"/>
      <c r="AL75" s="2319" t="s">
        <v>111</v>
      </c>
      <c r="AM75" s="2320"/>
      <c r="AN75" s="3343"/>
      <c r="AO75" s="3341" t="s">
        <v>25</v>
      </c>
      <c r="AP75" s="3342"/>
      <c r="AQ75" s="2319" t="s">
        <v>111</v>
      </c>
      <c r="AR75" s="2320"/>
      <c r="AS75" s="3343"/>
      <c r="AT75" s="3341" t="s">
        <v>25</v>
      </c>
      <c r="AU75" s="3342"/>
      <c r="AV75" s="2319" t="s">
        <v>111</v>
      </c>
      <c r="AW75" s="2320"/>
      <c r="AX75" s="3343"/>
      <c r="AY75" s="3341" t="s">
        <v>25</v>
      </c>
      <c r="AZ75" s="3342"/>
      <c r="BA75" s="2319" t="s">
        <v>111</v>
      </c>
      <c r="BB75" s="2320"/>
      <c r="BC75" s="3343"/>
      <c r="BD75" s="3341" t="s">
        <v>25</v>
      </c>
      <c r="BE75" s="3342"/>
      <c r="BF75" s="2319" t="s">
        <v>111</v>
      </c>
      <c r="BG75" s="2320"/>
      <c r="BH75" s="3343"/>
      <c r="BI75" s="3341" t="s">
        <v>25</v>
      </c>
      <c r="BJ75" s="3342"/>
      <c r="BK75" s="2319" t="s">
        <v>111</v>
      </c>
      <c r="BL75" s="2320"/>
      <c r="BM75" s="3343"/>
      <c r="BN75" s="3341" t="s">
        <v>25</v>
      </c>
      <c r="BO75" s="3342"/>
      <c r="BP75" s="2319" t="s">
        <v>111</v>
      </c>
      <c r="BQ75" s="2320"/>
      <c r="BR75" s="3343"/>
      <c r="CY75" s="36"/>
      <c r="CZ75" s="36"/>
      <c r="DA75" s="36"/>
      <c r="DB75" s="29"/>
      <c r="DC75" s="29"/>
      <c r="DD75" s="44"/>
      <c r="DE75" s="702"/>
      <c r="DF75" s="702"/>
      <c r="DG75" s="702"/>
      <c r="DI75" s="45"/>
      <c r="DJ75" s="45"/>
      <c r="DK75" s="45"/>
      <c r="DL75" s="45"/>
      <c r="DM75" s="45"/>
      <c r="DN75" s="45"/>
      <c r="DO75" s="45"/>
      <c r="DP75" s="45"/>
      <c r="DQ75" s="45"/>
      <c r="DR75" s="45"/>
      <c r="DS75" s="45"/>
      <c r="DT75" s="45"/>
      <c r="DU75" s="45"/>
      <c r="DV75" s="697"/>
      <c r="DW75" s="697"/>
      <c r="DX75" s="697"/>
      <c r="DY75" s="697"/>
      <c r="DZ75" s="697"/>
      <c r="EA75" s="697"/>
      <c r="EB75" s="697"/>
      <c r="EC75" s="697"/>
      <c r="ED75" s="697"/>
      <c r="EE75" s="697"/>
      <c r="EF75" s="697"/>
      <c r="EG75" s="697"/>
      <c r="EH75" s="697"/>
      <c r="EI75" s="697"/>
      <c r="EJ75" s="697"/>
      <c r="EK75" s="697"/>
      <c r="EL75" s="697"/>
      <c r="EM75" s="697"/>
      <c r="EN75" s="697"/>
      <c r="EO75" s="697"/>
      <c r="EP75" s="697"/>
      <c r="EQ75" s="697"/>
      <c r="ER75" s="46"/>
      <c r="ES75" s="698"/>
      <c r="ET75" s="698"/>
      <c r="EU75" s="698"/>
      <c r="EV75" s="698"/>
      <c r="EW75" s="698"/>
      <c r="EX75" s="698"/>
      <c r="EY75" s="698"/>
      <c r="EZ75" s="698"/>
      <c r="FA75" s="698"/>
      <c r="FB75" s="698"/>
      <c r="FC75" s="698"/>
      <c r="FD75" s="698"/>
      <c r="FE75" s="699"/>
      <c r="FF75" s="699"/>
      <c r="FG75" s="699"/>
      <c r="FH75" s="699"/>
      <c r="FI75" s="699"/>
      <c r="FJ75" s="700"/>
      <c r="FK75" s="700"/>
      <c r="FL75" s="700"/>
      <c r="FM75" s="700"/>
      <c r="FN75" s="701"/>
      <c r="FO75" s="701"/>
      <c r="FP75" s="701"/>
    </row>
    <row r="76" spans="1:172" ht="90.75" customHeight="1" x14ac:dyDescent="0.25">
      <c r="A76" s="3328" t="s">
        <v>136</v>
      </c>
      <c r="B76" s="3326">
        <v>113</v>
      </c>
      <c r="C76" s="3326"/>
      <c r="D76" s="3326"/>
      <c r="E76" s="3327"/>
      <c r="F76" s="3328" t="s">
        <v>136</v>
      </c>
      <c r="G76" s="3326">
        <v>114</v>
      </c>
      <c r="H76" s="3326"/>
      <c r="I76" s="3326"/>
      <c r="J76" s="3327"/>
      <c r="K76" s="3328" t="s">
        <v>136</v>
      </c>
      <c r="L76" s="3326">
        <v>115</v>
      </c>
      <c r="M76" s="3326"/>
      <c r="N76" s="3326"/>
      <c r="O76" s="3327"/>
      <c r="P76" s="3328" t="s">
        <v>136</v>
      </c>
      <c r="Q76" s="3326">
        <v>116</v>
      </c>
      <c r="R76" s="3326"/>
      <c r="S76" s="3326"/>
      <c r="T76" s="3327"/>
      <c r="U76" s="3328" t="s">
        <v>136</v>
      </c>
      <c r="V76" s="3326">
        <v>117</v>
      </c>
      <c r="W76" s="3326"/>
      <c r="X76" s="3326"/>
      <c r="Y76" s="3327"/>
      <c r="Z76" s="3328" t="s">
        <v>136</v>
      </c>
      <c r="AA76" s="3326">
        <v>118</v>
      </c>
      <c r="AB76" s="3326"/>
      <c r="AC76" s="3326"/>
      <c r="AD76" s="3327"/>
      <c r="AE76" s="3328" t="s">
        <v>136</v>
      </c>
      <c r="AF76" s="3326">
        <v>119</v>
      </c>
      <c r="AG76" s="3326"/>
      <c r="AH76" s="3326"/>
      <c r="AI76" s="3327"/>
      <c r="AJ76" s="3328" t="s">
        <v>136</v>
      </c>
      <c r="AK76" s="3326">
        <v>120</v>
      </c>
      <c r="AL76" s="3326"/>
      <c r="AM76" s="3326"/>
      <c r="AN76" s="3327"/>
      <c r="AO76" s="3328" t="s">
        <v>136</v>
      </c>
      <c r="AP76" s="3326">
        <v>121</v>
      </c>
      <c r="AQ76" s="3326"/>
      <c r="AR76" s="3326"/>
      <c r="AS76" s="3327"/>
      <c r="AT76" s="3328" t="s">
        <v>136</v>
      </c>
      <c r="AU76" s="3326">
        <v>122</v>
      </c>
      <c r="AV76" s="3326"/>
      <c r="AW76" s="3326"/>
      <c r="AX76" s="3327"/>
      <c r="AY76" s="3328" t="s">
        <v>136</v>
      </c>
      <c r="AZ76" s="3326">
        <v>123</v>
      </c>
      <c r="BA76" s="3326"/>
      <c r="BB76" s="3326"/>
      <c r="BC76" s="3327"/>
      <c r="BD76" s="3328" t="s">
        <v>136</v>
      </c>
      <c r="BE76" s="3326">
        <v>124</v>
      </c>
      <c r="BF76" s="3326"/>
      <c r="BG76" s="3326"/>
      <c r="BH76" s="3327"/>
      <c r="BI76" s="3328" t="s">
        <v>136</v>
      </c>
      <c r="BJ76" s="3326">
        <v>125</v>
      </c>
      <c r="BK76" s="3326"/>
      <c r="BL76" s="3326"/>
      <c r="BM76" s="3327"/>
      <c r="BN76" s="3328" t="s">
        <v>136</v>
      </c>
      <c r="BO76" s="3326">
        <v>126</v>
      </c>
      <c r="BP76" s="3326"/>
      <c r="BQ76" s="3326"/>
      <c r="BR76" s="3327"/>
      <c r="BS76" s="50"/>
      <c r="BT76" s="3372"/>
      <c r="BW76" s="51"/>
      <c r="BX76" s="51"/>
      <c r="BY76" s="51"/>
      <c r="BZ76" s="51"/>
      <c r="CA76" s="51"/>
      <c r="CB76" s="51"/>
      <c r="CC76" s="27"/>
      <c r="CD76" s="27"/>
      <c r="CE76" s="27"/>
      <c r="CG76" s="27"/>
      <c r="CH76" s="27"/>
      <c r="CI76" s="27"/>
      <c r="CJ76" s="27"/>
      <c r="CK76" s="27"/>
      <c r="CL76" s="27"/>
      <c r="CY76" s="676"/>
      <c r="CZ76" s="676"/>
      <c r="DA76" s="676"/>
      <c r="DB76" s="29"/>
      <c r="DC76" s="29"/>
      <c r="DD76" s="47"/>
      <c r="DE76" s="702"/>
      <c r="DF76" s="702"/>
      <c r="DG76" s="702"/>
      <c r="DH76" s="48"/>
      <c r="DI76" s="45"/>
      <c r="DJ76" s="45"/>
      <c r="DK76" s="45"/>
      <c r="DL76" s="45"/>
      <c r="DM76" s="45"/>
      <c r="DN76" s="45"/>
      <c r="DO76" s="45"/>
      <c r="DP76" s="45"/>
      <c r="DQ76" s="45"/>
      <c r="DR76" s="45"/>
      <c r="DS76" s="45"/>
      <c r="DT76" s="45"/>
      <c r="DU76" s="45"/>
      <c r="DV76" s="697"/>
      <c r="DW76" s="697"/>
      <c r="DX76" s="697"/>
      <c r="DY76" s="697"/>
      <c r="DZ76" s="697"/>
      <c r="EA76" s="697"/>
      <c r="EB76" s="697"/>
      <c r="EC76" s="697"/>
      <c r="ED76" s="697"/>
      <c r="EE76" s="697"/>
      <c r="EF76" s="697"/>
      <c r="EG76" s="697"/>
      <c r="EH76" s="697"/>
      <c r="EI76" s="697"/>
      <c r="EJ76" s="697"/>
      <c r="EK76" s="697"/>
      <c r="EL76" s="697"/>
      <c r="EM76" s="697"/>
      <c r="EN76" s="697"/>
      <c r="EO76" s="697"/>
      <c r="EP76" s="697"/>
      <c r="EQ76" s="697"/>
      <c r="ER76" s="46"/>
      <c r="ES76" s="698"/>
      <c r="ET76" s="698"/>
      <c r="EU76" s="698"/>
      <c r="EV76" s="698"/>
      <c r="EW76" s="698"/>
      <c r="EX76" s="698"/>
      <c r="EY76" s="698"/>
      <c r="EZ76" s="698"/>
      <c r="FA76" s="698"/>
      <c r="FB76" s="698"/>
      <c r="FC76" s="698"/>
      <c r="FD76" s="698"/>
      <c r="FE76" s="699"/>
      <c r="FF76" s="699"/>
      <c r="FG76" s="699"/>
      <c r="FH76" s="699"/>
      <c r="FI76" s="699"/>
      <c r="FJ76" s="700"/>
      <c r="FK76" s="700"/>
      <c r="FL76" s="700"/>
      <c r="FM76" s="700"/>
      <c r="FN76" s="701"/>
      <c r="FO76" s="701"/>
      <c r="FP76" s="701"/>
    </row>
    <row r="77" spans="1:172" ht="27.75" customHeight="1" thickBot="1" x14ac:dyDescent="0.3">
      <c r="A77" s="3329"/>
      <c r="B77" s="183">
        <v>0.55800000000000005</v>
      </c>
      <c r="C77" s="184" t="s">
        <v>113</v>
      </c>
      <c r="D77" s="185">
        <v>1</v>
      </c>
      <c r="E77" s="186" t="s">
        <v>114</v>
      </c>
      <c r="F77" s="3329"/>
      <c r="G77" s="183">
        <v>1E-4</v>
      </c>
      <c r="H77" s="184" t="s">
        <v>113</v>
      </c>
      <c r="I77" s="185"/>
      <c r="J77" s="186" t="s">
        <v>114</v>
      </c>
      <c r="K77" s="3329"/>
      <c r="L77" s="183">
        <v>0.20300000000000001</v>
      </c>
      <c r="M77" s="184" t="s">
        <v>113</v>
      </c>
      <c r="N77" s="185"/>
      <c r="O77" s="186" t="s">
        <v>114</v>
      </c>
      <c r="P77" s="3329"/>
      <c r="Q77" s="183">
        <v>1E-4</v>
      </c>
      <c r="R77" s="184" t="s">
        <v>113</v>
      </c>
      <c r="S77" s="185">
        <v>1</v>
      </c>
      <c r="T77" s="186" t="s">
        <v>114</v>
      </c>
      <c r="U77" s="3329"/>
      <c r="V77" s="183">
        <v>0.93899999999999995</v>
      </c>
      <c r="W77" s="184" t="s">
        <v>113</v>
      </c>
      <c r="X77" s="185"/>
      <c r="Y77" s="186" t="s">
        <v>114</v>
      </c>
      <c r="Z77" s="3329"/>
      <c r="AA77" s="183">
        <v>0.254</v>
      </c>
      <c r="AB77" s="184" t="s">
        <v>113</v>
      </c>
      <c r="AC77" s="185">
        <v>1</v>
      </c>
      <c r="AD77" s="186" t="s">
        <v>114</v>
      </c>
      <c r="AE77" s="3329"/>
      <c r="AF77" s="183">
        <v>0.254</v>
      </c>
      <c r="AG77" s="184" t="s">
        <v>113</v>
      </c>
      <c r="AH77" s="185"/>
      <c r="AI77" s="186" t="s">
        <v>114</v>
      </c>
      <c r="AJ77" s="3329"/>
      <c r="AK77" s="183">
        <v>0.127</v>
      </c>
      <c r="AL77" s="184" t="s">
        <v>113</v>
      </c>
      <c r="AM77" s="185">
        <v>1</v>
      </c>
      <c r="AN77" s="186" t="s">
        <v>114</v>
      </c>
      <c r="AO77" s="3329"/>
      <c r="AP77" s="183">
        <v>0.20300000000000001</v>
      </c>
      <c r="AQ77" s="184" t="s">
        <v>113</v>
      </c>
      <c r="AR77" s="185"/>
      <c r="AS77" s="186" t="s">
        <v>114</v>
      </c>
      <c r="AT77" s="3329"/>
      <c r="AU77" s="183">
        <v>0.35499999999999998</v>
      </c>
      <c r="AV77" s="184" t="s">
        <v>113</v>
      </c>
      <c r="AW77" s="185"/>
      <c r="AX77" s="186" t="s">
        <v>114</v>
      </c>
      <c r="AY77" s="3329"/>
      <c r="AZ77" s="183">
        <v>2.286</v>
      </c>
      <c r="BA77" s="184" t="s">
        <v>113</v>
      </c>
      <c r="BB77" s="185">
        <v>1</v>
      </c>
      <c r="BC77" s="186" t="s">
        <v>114</v>
      </c>
      <c r="BD77" s="3329"/>
      <c r="BE77" s="183">
        <v>0.33</v>
      </c>
      <c r="BF77" s="184" t="s">
        <v>113</v>
      </c>
      <c r="BG77" s="185"/>
      <c r="BH77" s="186" t="s">
        <v>114</v>
      </c>
      <c r="BI77" s="3329"/>
      <c r="BJ77" s="183">
        <v>0.63500000000000001</v>
      </c>
      <c r="BK77" s="184" t="s">
        <v>113</v>
      </c>
      <c r="BL77" s="185">
        <v>1</v>
      </c>
      <c r="BM77" s="186" t="s">
        <v>114</v>
      </c>
      <c r="BN77" s="3329"/>
      <c r="BO77" s="183">
        <v>0.20300000000000001</v>
      </c>
      <c r="BP77" s="184" t="s">
        <v>113</v>
      </c>
      <c r="BQ77" s="185"/>
      <c r="BR77" s="186" t="s">
        <v>114</v>
      </c>
      <c r="BS77" s="50"/>
      <c r="BT77" s="3372"/>
      <c r="BW77" s="27"/>
      <c r="BX77" s="27"/>
      <c r="BY77" s="27"/>
      <c r="BZ77" s="27"/>
      <c r="CA77" s="27"/>
      <c r="CB77" s="27"/>
      <c r="CC77" s="27"/>
      <c r="CD77" s="27"/>
      <c r="CE77" s="27"/>
      <c r="CG77" s="27"/>
      <c r="CH77" s="27"/>
      <c r="CI77" s="27"/>
      <c r="CJ77" s="27"/>
      <c r="CK77" s="27"/>
      <c r="CL77" s="27"/>
      <c r="CY77" s="676"/>
      <c r="CZ77" s="676"/>
      <c r="DA77" s="676"/>
      <c r="DB77" s="29"/>
      <c r="DC77" s="29"/>
      <c r="DD77" s="47"/>
      <c r="DE77" s="702"/>
      <c r="DF77" s="702"/>
      <c r="DG77" s="702"/>
      <c r="DH77" s="48"/>
      <c r="DI77" s="45"/>
      <c r="DJ77" s="45"/>
      <c r="DK77" s="45"/>
      <c r="DL77" s="45"/>
      <c r="DM77" s="45"/>
      <c r="DN77" s="45"/>
      <c r="DO77" s="45"/>
      <c r="DP77" s="45"/>
      <c r="DQ77" s="45"/>
      <c r="DR77" s="45"/>
      <c r="DS77" s="45"/>
      <c r="DT77" s="45"/>
      <c r="DU77" s="45"/>
      <c r="DV77" s="697"/>
      <c r="DW77" s="697"/>
      <c r="DX77" s="697"/>
      <c r="DY77" s="697"/>
      <c r="DZ77" s="697"/>
      <c r="EA77" s="697"/>
      <c r="EB77" s="697"/>
      <c r="EC77" s="697"/>
      <c r="ED77" s="697"/>
      <c r="EE77" s="697"/>
      <c r="EF77" s="697"/>
      <c r="EG77" s="697"/>
      <c r="EH77" s="697"/>
      <c r="EI77" s="697"/>
      <c r="EJ77" s="697"/>
      <c r="EK77" s="697"/>
      <c r="EL77" s="697"/>
      <c r="EM77" s="697"/>
      <c r="EN77" s="697"/>
      <c r="EO77" s="697"/>
      <c r="EP77" s="697"/>
      <c r="EQ77" s="697"/>
      <c r="ER77" s="46"/>
      <c r="ES77" s="698"/>
      <c r="ET77" s="698"/>
      <c r="EU77" s="698"/>
      <c r="EV77" s="698"/>
      <c r="EW77" s="698"/>
      <c r="EX77" s="698"/>
      <c r="EY77" s="698"/>
      <c r="EZ77" s="698"/>
      <c r="FA77" s="698"/>
      <c r="FB77" s="698"/>
      <c r="FC77" s="698"/>
      <c r="FD77" s="698"/>
      <c r="FE77" s="699"/>
      <c r="FF77" s="699"/>
      <c r="FG77" s="699"/>
      <c r="FH77" s="699"/>
      <c r="FI77" s="699"/>
      <c r="FJ77" s="700"/>
      <c r="FK77" s="700"/>
      <c r="FL77" s="700"/>
      <c r="FM77" s="700"/>
      <c r="FN77" s="701"/>
      <c r="FO77" s="701"/>
      <c r="FP77" s="701"/>
    </row>
    <row r="78" spans="1:172" ht="15" customHeight="1" x14ac:dyDescent="0.25">
      <c r="A78" s="3333" t="s">
        <v>110</v>
      </c>
      <c r="B78" s="3334"/>
      <c r="C78" s="3337">
        <f>B84/((30*3.1415/51)*(91/3.281))</f>
        <v>9.4159471659965036E-2</v>
      </c>
      <c r="D78" s="3337"/>
      <c r="E78" s="3338"/>
      <c r="F78" s="3333" t="s">
        <v>110</v>
      </c>
      <c r="G78" s="3334"/>
      <c r="H78" s="3337">
        <f>G84/((30*3.1415/51)*(91/3.281))</f>
        <v>7.9214143170215096E-3</v>
      </c>
      <c r="I78" s="3337"/>
      <c r="J78" s="3338"/>
      <c r="K78" s="3333" t="s">
        <v>110</v>
      </c>
      <c r="L78" s="3334"/>
      <c r="M78" s="3337">
        <f>L84/((30*3.1415/51)*(91/3.281))</f>
        <v>3.9607071585107548E-3</v>
      </c>
      <c r="N78" s="3337"/>
      <c r="O78" s="3338"/>
      <c r="P78" s="3333" t="s">
        <v>110</v>
      </c>
      <c r="Q78" s="3334"/>
      <c r="R78" s="3337">
        <f>Q84/((30*3.1415/51)*(91/3.281))</f>
        <v>5.9313053014151207E-3</v>
      </c>
      <c r="S78" s="3337"/>
      <c r="T78" s="3338"/>
      <c r="U78" s="3333" t="s">
        <v>110</v>
      </c>
      <c r="V78" s="3334"/>
      <c r="W78" s="3337">
        <f>V84/((30*3.1415/51)*(91/3.281))</f>
        <v>1.9510872702023427E-6</v>
      </c>
      <c r="X78" s="3337"/>
      <c r="Y78" s="3338"/>
      <c r="Z78" s="674"/>
      <c r="AA78" s="674"/>
      <c r="AB78" s="674"/>
      <c r="AC78" s="675"/>
      <c r="AD78" s="675"/>
      <c r="AE78" s="674"/>
      <c r="AF78" s="674"/>
      <c r="AG78" s="674"/>
      <c r="AH78" s="675"/>
      <c r="AI78" s="675"/>
      <c r="AJ78" s="674"/>
      <c r="AK78" s="674"/>
      <c r="AL78" s="674"/>
      <c r="AM78" s="675"/>
      <c r="AN78" s="675"/>
      <c r="AO78" s="674"/>
      <c r="AP78" s="674"/>
      <c r="AQ78" s="674"/>
      <c r="AR78" s="675"/>
      <c r="AS78" s="675"/>
      <c r="AT78" s="674"/>
      <c r="AU78" s="674"/>
      <c r="AV78" s="674"/>
      <c r="AW78" s="675"/>
      <c r="AX78" s="675"/>
      <c r="AY78" s="674"/>
      <c r="AZ78" s="674"/>
      <c r="BA78" s="674"/>
      <c r="BB78" s="675"/>
      <c r="BC78" s="675"/>
      <c r="BD78" s="674"/>
      <c r="BE78" s="674"/>
      <c r="BF78" s="674"/>
      <c r="BG78" s="675"/>
      <c r="BH78" s="675"/>
      <c r="BI78" s="674"/>
      <c r="BJ78" s="674"/>
      <c r="BK78" s="674"/>
      <c r="BL78" s="675"/>
      <c r="BM78" s="675"/>
      <c r="BN78" s="674"/>
      <c r="BO78" s="674"/>
      <c r="BP78" s="674"/>
      <c r="BQ78" s="675"/>
      <c r="BR78" s="675"/>
      <c r="BS78" s="50"/>
      <c r="BT78" s="50"/>
      <c r="BW78" s="27"/>
      <c r="BX78" s="27"/>
      <c r="BY78" s="27"/>
      <c r="BZ78" s="27"/>
      <c r="CA78" s="27"/>
      <c r="CB78" s="27"/>
      <c r="CC78" s="27"/>
      <c r="CD78" s="27"/>
      <c r="CE78" s="27"/>
      <c r="CG78" s="27"/>
      <c r="CH78" s="27"/>
      <c r="CI78" s="27"/>
      <c r="CJ78" s="27"/>
      <c r="CK78" s="27"/>
      <c r="CL78" s="27"/>
      <c r="CY78" s="676"/>
      <c r="CZ78" s="676"/>
      <c r="DA78" s="676"/>
      <c r="DB78" s="675"/>
      <c r="DC78" s="675"/>
      <c r="DD78" s="47"/>
      <c r="DE78" s="703"/>
      <c r="DF78" s="703"/>
      <c r="DG78" s="703"/>
      <c r="DH78" s="48"/>
      <c r="DI78" s="45"/>
      <c r="DJ78" s="45"/>
      <c r="DK78" s="45"/>
      <c r="DL78" s="45"/>
      <c r="DM78" s="45"/>
      <c r="DN78" s="45"/>
      <c r="DO78" s="45"/>
      <c r="DP78" s="45"/>
      <c r="DQ78" s="45"/>
      <c r="DR78" s="45"/>
      <c r="DS78" s="45"/>
      <c r="DT78" s="45"/>
      <c r="DU78" s="45"/>
      <c r="DV78" s="697"/>
      <c r="DW78" s="697"/>
      <c r="DX78" s="697"/>
      <c r="DY78" s="697"/>
      <c r="DZ78" s="697"/>
      <c r="EA78" s="697"/>
      <c r="EB78" s="697"/>
      <c r="EC78" s="697"/>
      <c r="ED78" s="697"/>
      <c r="EE78" s="697"/>
      <c r="EF78" s="697"/>
      <c r="EG78" s="697"/>
      <c r="EH78" s="697"/>
      <c r="EI78" s="697"/>
      <c r="EJ78" s="697"/>
      <c r="EK78" s="697"/>
      <c r="EL78" s="697"/>
      <c r="EM78" s="697"/>
      <c r="EN78" s="697"/>
      <c r="EO78" s="697"/>
      <c r="EP78" s="697"/>
      <c r="EQ78" s="697"/>
      <c r="ER78" s="46"/>
      <c r="ES78" s="698"/>
      <c r="ET78" s="698"/>
      <c r="EU78" s="698"/>
      <c r="EV78" s="698"/>
      <c r="EW78" s="698"/>
      <c r="EX78" s="698"/>
      <c r="EY78" s="698"/>
      <c r="EZ78" s="698"/>
      <c r="FA78" s="698"/>
      <c r="FB78" s="698"/>
      <c r="FC78" s="698"/>
      <c r="FD78" s="698"/>
      <c r="FE78" s="699"/>
      <c r="FF78" s="699"/>
      <c r="FG78" s="699"/>
      <c r="FH78" s="699"/>
      <c r="FI78" s="699"/>
      <c r="FJ78" s="700"/>
      <c r="FK78" s="700"/>
      <c r="FL78" s="700"/>
      <c r="FM78" s="700"/>
      <c r="FN78" s="701"/>
      <c r="FO78" s="701"/>
      <c r="FP78" s="701"/>
    </row>
    <row r="79" spans="1:172" ht="26.25" customHeight="1" x14ac:dyDescent="0.25">
      <c r="A79" s="3335"/>
      <c r="B79" s="3336"/>
      <c r="C79" s="3339"/>
      <c r="D79" s="3339"/>
      <c r="E79" s="3340"/>
      <c r="F79" s="3335"/>
      <c r="G79" s="3336"/>
      <c r="H79" s="3339"/>
      <c r="I79" s="3339"/>
      <c r="J79" s="3340"/>
      <c r="K79" s="3335"/>
      <c r="L79" s="3336"/>
      <c r="M79" s="3339"/>
      <c r="N79" s="3339"/>
      <c r="O79" s="3340"/>
      <c r="P79" s="3335"/>
      <c r="Q79" s="3336"/>
      <c r="R79" s="3339"/>
      <c r="S79" s="3339"/>
      <c r="T79" s="3340"/>
      <c r="U79" s="3335"/>
      <c r="V79" s="3336"/>
      <c r="W79" s="3339"/>
      <c r="X79" s="3339"/>
      <c r="Y79" s="3340"/>
      <c r="Z79" s="676"/>
      <c r="AA79" s="676"/>
      <c r="AB79" s="676"/>
      <c r="AC79" s="29"/>
      <c r="AD79" s="29"/>
      <c r="AE79" s="676"/>
      <c r="AF79" s="676"/>
      <c r="AG79" s="676"/>
      <c r="AH79" s="29"/>
      <c r="AI79" s="29"/>
      <c r="AJ79" s="676"/>
      <c r="AK79" s="676"/>
      <c r="AL79" s="676"/>
      <c r="AM79" s="29"/>
      <c r="AN79" s="29"/>
      <c r="AO79" s="676"/>
      <c r="AP79" s="676"/>
      <c r="AQ79" s="676"/>
      <c r="AR79" s="29"/>
      <c r="AS79" s="29"/>
      <c r="AT79" s="676"/>
      <c r="AU79" s="676"/>
      <c r="AV79" s="676"/>
      <c r="AW79" s="29"/>
      <c r="AX79" s="29"/>
      <c r="AY79" s="676"/>
      <c r="AZ79" s="676"/>
      <c r="BA79" s="676"/>
      <c r="BB79" s="29"/>
      <c r="BC79" s="29"/>
      <c r="BD79" s="676"/>
      <c r="BE79" s="676"/>
      <c r="BF79" s="676"/>
      <c r="BG79" s="29"/>
      <c r="BH79" s="29"/>
      <c r="BI79" s="676"/>
      <c r="BJ79" s="676"/>
      <c r="BK79" s="676"/>
      <c r="BL79" s="29"/>
      <c r="BM79" s="29"/>
      <c r="BN79" s="676"/>
      <c r="BO79" s="676"/>
      <c r="BP79" s="676"/>
      <c r="BQ79" s="29"/>
      <c r="BR79" s="29"/>
      <c r="BS79" s="50"/>
      <c r="BT79" s="50"/>
      <c r="BW79" s="27"/>
      <c r="BX79" s="27"/>
      <c r="BY79" s="27"/>
      <c r="BZ79" s="27"/>
      <c r="CA79" s="27"/>
      <c r="CB79" s="27"/>
      <c r="CC79" s="27"/>
      <c r="CD79" s="27"/>
      <c r="CE79" s="27"/>
      <c r="CG79" s="27"/>
      <c r="CH79" s="27"/>
      <c r="CI79" s="27"/>
      <c r="CJ79" s="27"/>
      <c r="CK79" s="27"/>
      <c r="CL79" s="27"/>
      <c r="CZ79" s="17"/>
      <c r="DE79" s="703"/>
      <c r="DF79" s="703"/>
      <c r="DG79" s="703"/>
      <c r="DH79" s="48"/>
      <c r="DI79" s="49"/>
      <c r="DJ79" s="49"/>
      <c r="DK79" s="49"/>
      <c r="DL79" s="49"/>
      <c r="DM79" s="49"/>
      <c r="DN79" s="49"/>
      <c r="DO79" s="49"/>
      <c r="DP79" s="49"/>
      <c r="DQ79" s="49"/>
      <c r="DR79" s="49"/>
      <c r="DS79" s="49"/>
      <c r="DT79" s="49"/>
      <c r="DU79" s="49"/>
      <c r="DV79" s="704"/>
      <c r="DW79" s="705"/>
      <c r="DX79" s="705"/>
      <c r="DY79" s="705"/>
      <c r="DZ79" s="705"/>
      <c r="EA79" s="705"/>
      <c r="EB79" s="705"/>
      <c r="EC79" s="705"/>
      <c r="ED79" s="705"/>
      <c r="EE79" s="705"/>
      <c r="EF79" s="705"/>
      <c r="EG79" s="705"/>
      <c r="EH79" s="706"/>
      <c r="EI79" s="706"/>
      <c r="EJ79" s="706"/>
      <c r="EK79" s="706"/>
      <c r="EL79" s="706"/>
      <c r="EM79" s="706"/>
      <c r="EN79" s="706"/>
      <c r="EO79" s="706"/>
      <c r="EP79" s="706"/>
      <c r="EQ79" s="706"/>
      <c r="ER79" s="706"/>
      <c r="ES79" s="707"/>
      <c r="ET79" s="707"/>
      <c r="EU79" s="707"/>
      <c r="EV79" s="707"/>
      <c r="EW79" s="707"/>
      <c r="EX79" s="707"/>
      <c r="EY79" s="707"/>
      <c r="EZ79" s="707"/>
      <c r="FA79" s="707"/>
      <c r="FB79" s="707"/>
      <c r="FC79" s="707"/>
      <c r="FD79" s="707"/>
      <c r="FE79" s="699"/>
      <c r="FF79" s="699"/>
      <c r="FG79" s="699"/>
      <c r="FH79" s="699"/>
      <c r="FI79" s="699"/>
      <c r="FJ79" s="708"/>
      <c r="FK79" s="708"/>
      <c r="FL79" s="708"/>
      <c r="FM79" s="708"/>
      <c r="FN79" s="708"/>
      <c r="FO79" s="708"/>
      <c r="FP79" s="708"/>
    </row>
    <row r="80" spans="1:172" ht="15" hidden="1" customHeight="1" x14ac:dyDescent="0.25">
      <c r="A80" s="3335"/>
      <c r="B80" s="3336"/>
      <c r="C80" s="3339"/>
      <c r="D80" s="3339"/>
      <c r="E80" s="3340"/>
      <c r="F80" s="3335"/>
      <c r="G80" s="3336"/>
      <c r="H80" s="3339"/>
      <c r="I80" s="3339"/>
      <c r="J80" s="3340"/>
      <c r="K80" s="3335"/>
      <c r="L80" s="3336"/>
      <c r="M80" s="3339"/>
      <c r="N80" s="3339"/>
      <c r="O80" s="3340"/>
      <c r="P80" s="3335"/>
      <c r="Q80" s="3336"/>
      <c r="R80" s="3339"/>
      <c r="S80" s="3339"/>
      <c r="T80" s="3340"/>
      <c r="U80" s="3335"/>
      <c r="V80" s="3336"/>
      <c r="W80" s="3339"/>
      <c r="X80" s="3339"/>
      <c r="Y80" s="3340"/>
      <c r="Z80" s="676"/>
      <c r="AA80" s="676"/>
      <c r="AB80" s="676"/>
      <c r="AC80" s="30"/>
      <c r="AD80" s="29"/>
      <c r="AE80" s="676"/>
      <c r="AF80" s="676"/>
      <c r="AG80" s="676"/>
      <c r="AH80" s="30"/>
      <c r="AI80" s="29"/>
      <c r="AJ80" s="676"/>
      <c r="AK80" s="676"/>
      <c r="AL80" s="676"/>
      <c r="AM80" s="30"/>
      <c r="AN80" s="29"/>
      <c r="AO80" s="676"/>
      <c r="AP80" s="676"/>
      <c r="AQ80" s="676"/>
      <c r="AR80" s="30"/>
      <c r="AS80" s="29"/>
      <c r="AT80" s="676"/>
      <c r="AU80" s="676"/>
      <c r="AV80" s="676"/>
      <c r="AW80" s="30"/>
      <c r="AX80" s="29"/>
      <c r="AY80" s="676"/>
      <c r="AZ80" s="676"/>
      <c r="BA80" s="676"/>
      <c r="BB80" s="30"/>
      <c r="BC80" s="29"/>
      <c r="BD80" s="676"/>
      <c r="BE80" s="676"/>
      <c r="BF80" s="676"/>
      <c r="BG80" s="30"/>
      <c r="BH80" s="29"/>
      <c r="BI80" s="676"/>
      <c r="BJ80" s="676"/>
      <c r="BK80" s="676"/>
      <c r="BL80" s="30"/>
      <c r="BM80" s="29"/>
      <c r="BN80" s="676"/>
      <c r="BO80" s="676"/>
      <c r="BP80" s="676"/>
      <c r="BQ80" s="30"/>
      <c r="BR80" s="29"/>
      <c r="BS80" s="53"/>
      <c r="BT80" s="53"/>
      <c r="DE80" s="703"/>
      <c r="DF80" s="703"/>
      <c r="DG80" s="703"/>
      <c r="DH80" s="52"/>
      <c r="DI80" s="45"/>
      <c r="DJ80" s="45"/>
      <c r="DK80" s="45"/>
      <c r="DL80" s="45"/>
      <c r="DM80" s="45"/>
      <c r="DN80" s="45"/>
      <c r="DO80" s="45"/>
      <c r="DP80" s="45"/>
      <c r="DQ80" s="45"/>
      <c r="DR80" s="45"/>
      <c r="DS80" s="45"/>
      <c r="DT80" s="45"/>
      <c r="DU80" s="45"/>
      <c r="DV80" s="705"/>
      <c r="DW80" s="705"/>
      <c r="DX80" s="705"/>
      <c r="DY80" s="705"/>
      <c r="DZ80" s="705"/>
      <c r="EA80" s="705"/>
      <c r="EB80" s="705"/>
      <c r="EC80" s="705"/>
      <c r="ED80" s="705"/>
      <c r="EE80" s="705"/>
      <c r="EF80" s="705"/>
      <c r="EG80" s="705"/>
      <c r="EH80" s="706"/>
      <c r="EI80" s="706"/>
      <c r="EJ80" s="706"/>
      <c r="EK80" s="706"/>
      <c r="EL80" s="706"/>
      <c r="EM80" s="706"/>
      <c r="EN80" s="706"/>
      <c r="EO80" s="706"/>
      <c r="EP80" s="706"/>
      <c r="EQ80" s="706"/>
      <c r="ER80" s="706"/>
      <c r="ES80" s="707"/>
      <c r="ET80" s="707"/>
      <c r="EU80" s="707"/>
      <c r="EV80" s="707"/>
      <c r="EW80" s="707"/>
      <c r="EX80" s="707"/>
      <c r="EY80" s="707"/>
      <c r="EZ80" s="707"/>
      <c r="FA80" s="707"/>
      <c r="FB80" s="707"/>
      <c r="FC80" s="707"/>
      <c r="FD80" s="707"/>
      <c r="FE80" s="699"/>
      <c r="FF80" s="699"/>
      <c r="FG80" s="699"/>
      <c r="FH80" s="699"/>
      <c r="FI80" s="699"/>
      <c r="FJ80" s="708"/>
      <c r="FK80" s="708"/>
      <c r="FL80" s="708"/>
      <c r="FM80" s="708"/>
      <c r="FN80" s="708"/>
      <c r="FO80" s="708"/>
      <c r="FP80" s="708"/>
    </row>
    <row r="81" spans="1:172" ht="3.75" hidden="1" customHeight="1" x14ac:dyDescent="0.25">
      <c r="A81" s="3335"/>
      <c r="B81" s="3336"/>
      <c r="C81" s="3339"/>
      <c r="D81" s="3339"/>
      <c r="E81" s="3340"/>
      <c r="F81" s="3335"/>
      <c r="G81" s="3336"/>
      <c r="H81" s="3339"/>
      <c r="I81" s="3339"/>
      <c r="J81" s="3340"/>
      <c r="K81" s="3335"/>
      <c r="L81" s="3336"/>
      <c r="M81" s="3339"/>
      <c r="N81" s="3339"/>
      <c r="O81" s="3340"/>
      <c r="P81" s="3335"/>
      <c r="Q81" s="3336"/>
      <c r="R81" s="3339"/>
      <c r="S81" s="3339"/>
      <c r="T81" s="3340"/>
      <c r="U81" s="3335"/>
      <c r="V81" s="3336"/>
      <c r="W81" s="3339"/>
      <c r="X81" s="3339"/>
      <c r="Y81" s="3340"/>
      <c r="Z81" s="676"/>
      <c r="AA81" s="676"/>
      <c r="AB81" s="676"/>
      <c r="AC81" s="675"/>
      <c r="AD81" s="675"/>
      <c r="AE81" s="676"/>
      <c r="AF81" s="676"/>
      <c r="AG81" s="676"/>
      <c r="AH81" s="675"/>
      <c r="AI81" s="675"/>
      <c r="AJ81" s="676"/>
      <c r="AK81" s="676"/>
      <c r="AL81" s="676"/>
      <c r="AM81" s="675"/>
      <c r="AN81" s="675"/>
      <c r="AO81" s="676"/>
      <c r="AP81" s="676"/>
      <c r="AQ81" s="676"/>
      <c r="AR81" s="675"/>
      <c r="AS81" s="675"/>
      <c r="AT81" s="676"/>
      <c r="AU81" s="676"/>
      <c r="AV81" s="676"/>
      <c r="AW81" s="675"/>
      <c r="AX81" s="675"/>
      <c r="AY81" s="676"/>
      <c r="AZ81" s="676"/>
      <c r="BA81" s="676"/>
      <c r="BB81" s="675"/>
      <c r="BC81" s="675"/>
      <c r="BD81" s="676"/>
      <c r="BE81" s="676"/>
      <c r="BF81" s="676"/>
      <c r="BG81" s="675"/>
      <c r="BH81" s="675"/>
      <c r="BI81" s="676"/>
      <c r="BJ81" s="676"/>
      <c r="BK81" s="676"/>
      <c r="BL81" s="675"/>
      <c r="BM81" s="675"/>
      <c r="BN81" s="676"/>
      <c r="BO81" s="676"/>
      <c r="BP81" s="676"/>
      <c r="BQ81" s="675"/>
      <c r="BR81" s="675"/>
      <c r="BS81" s="53"/>
      <c r="BT81" s="53"/>
      <c r="DE81" s="709"/>
      <c r="DF81" s="709"/>
      <c r="DG81" s="709"/>
      <c r="DH81" s="52"/>
      <c r="DI81" s="45"/>
      <c r="DJ81" s="45"/>
      <c r="DK81" s="45"/>
      <c r="DL81" s="45"/>
      <c r="DM81" s="45"/>
      <c r="DN81" s="45"/>
      <c r="DO81" s="45"/>
      <c r="DP81" s="45"/>
      <c r="DQ81" s="45"/>
      <c r="DR81" s="45"/>
      <c r="DS81" s="45"/>
      <c r="DT81" s="45"/>
      <c r="DU81" s="45"/>
      <c r="DV81" s="705"/>
      <c r="DW81" s="705"/>
      <c r="DX81" s="705"/>
      <c r="DY81" s="705"/>
      <c r="DZ81" s="705"/>
      <c r="EA81" s="705"/>
      <c r="EB81" s="705"/>
      <c r="EC81" s="705"/>
      <c r="ED81" s="705"/>
      <c r="EE81" s="705"/>
      <c r="EF81" s="705"/>
      <c r="EG81" s="705"/>
      <c r="EH81" s="706"/>
      <c r="EI81" s="706"/>
      <c r="EJ81" s="706"/>
      <c r="EK81" s="706"/>
      <c r="EL81" s="706"/>
      <c r="EM81" s="706"/>
      <c r="EN81" s="706"/>
      <c r="EO81" s="706"/>
      <c r="EP81" s="706"/>
      <c r="EQ81" s="706"/>
      <c r="ER81" s="706"/>
      <c r="ES81" s="707"/>
      <c r="ET81" s="707"/>
      <c r="EU81" s="707"/>
      <c r="EV81" s="707"/>
      <c r="EW81" s="707"/>
      <c r="EX81" s="707"/>
      <c r="EY81" s="707"/>
      <c r="EZ81" s="707"/>
      <c r="FA81" s="707"/>
      <c r="FB81" s="707"/>
      <c r="FC81" s="707"/>
      <c r="FD81" s="707"/>
      <c r="FE81" s="699"/>
      <c r="FF81" s="699"/>
      <c r="FG81" s="699"/>
      <c r="FH81" s="699"/>
      <c r="FI81" s="699"/>
      <c r="FJ81" s="708"/>
      <c r="FK81" s="708"/>
      <c r="FL81" s="708"/>
      <c r="FM81" s="708"/>
      <c r="FN81" s="708"/>
      <c r="FO81" s="708"/>
      <c r="FP81" s="708"/>
    </row>
    <row r="82" spans="1:172" ht="28.5" customHeight="1" thickBot="1" x14ac:dyDescent="0.3">
      <c r="A82" s="3341" t="s">
        <v>25</v>
      </c>
      <c r="B82" s="3342"/>
      <c r="C82" s="2319" t="s">
        <v>111</v>
      </c>
      <c r="D82" s="2320"/>
      <c r="E82" s="3343"/>
      <c r="F82" s="3341" t="s">
        <v>25</v>
      </c>
      <c r="G82" s="3342"/>
      <c r="H82" s="2319" t="s">
        <v>111</v>
      </c>
      <c r="I82" s="2320"/>
      <c r="J82" s="3343"/>
      <c r="K82" s="3341" t="s">
        <v>25</v>
      </c>
      <c r="L82" s="3342"/>
      <c r="M82" s="2319" t="s">
        <v>111</v>
      </c>
      <c r="N82" s="2320"/>
      <c r="O82" s="3343"/>
      <c r="P82" s="3341" t="s">
        <v>25</v>
      </c>
      <c r="Q82" s="3342"/>
      <c r="R82" s="2319" t="s">
        <v>111</v>
      </c>
      <c r="S82" s="2320"/>
      <c r="T82" s="3343"/>
      <c r="U82" s="3341" t="s">
        <v>25</v>
      </c>
      <c r="V82" s="3342"/>
      <c r="W82" s="2319" t="s">
        <v>111</v>
      </c>
      <c r="X82" s="2320"/>
      <c r="Y82" s="3343"/>
      <c r="Z82" s="28"/>
      <c r="AA82" s="28"/>
      <c r="AB82" s="28"/>
      <c r="AC82" s="29"/>
      <c r="AD82" s="29"/>
      <c r="AE82" s="28"/>
      <c r="AF82" s="28"/>
      <c r="AG82" s="28"/>
      <c r="AH82" s="29"/>
      <c r="AI82" s="29"/>
      <c r="AJ82" s="28"/>
      <c r="AK82" s="28"/>
      <c r="AL82" s="28"/>
      <c r="AM82" s="29"/>
      <c r="AN82" s="29"/>
      <c r="AO82" s="28"/>
      <c r="AP82" s="28"/>
      <c r="AQ82" s="28"/>
      <c r="AR82" s="29"/>
      <c r="AS82" s="29"/>
      <c r="AT82" s="28"/>
      <c r="AU82" s="28"/>
      <c r="AV82" s="28"/>
      <c r="AW82" s="29"/>
      <c r="AX82" s="29"/>
      <c r="AY82" s="28"/>
      <c r="AZ82" s="28"/>
      <c r="BA82" s="28"/>
      <c r="BB82" s="29"/>
      <c r="BC82" s="29"/>
      <c r="BD82" s="28"/>
      <c r="BE82" s="28"/>
      <c r="BF82" s="28"/>
      <c r="BG82" s="29"/>
      <c r="BH82" s="29"/>
      <c r="BI82" s="28"/>
      <c r="BJ82" s="28"/>
      <c r="BK82" s="28"/>
      <c r="BL82" s="29"/>
      <c r="BM82" s="29"/>
      <c r="BN82" s="28"/>
      <c r="BO82" s="28"/>
      <c r="BP82" s="28"/>
      <c r="BQ82" s="29"/>
      <c r="BR82" s="29"/>
      <c r="BS82" s="53"/>
      <c r="BT82" s="53"/>
      <c r="DE82" s="709"/>
      <c r="DF82" s="709"/>
      <c r="DG82" s="709"/>
      <c r="DH82" s="52"/>
      <c r="DI82" s="45"/>
      <c r="DJ82" s="45"/>
      <c r="DK82" s="45"/>
      <c r="DL82" s="45"/>
      <c r="DM82" s="45"/>
      <c r="DN82" s="45"/>
      <c r="DO82" s="45"/>
      <c r="DP82" s="45"/>
      <c r="DQ82" s="45"/>
      <c r="DR82" s="45"/>
      <c r="DS82" s="45"/>
      <c r="DT82" s="45"/>
      <c r="DU82" s="45"/>
      <c r="DV82" s="705"/>
      <c r="DW82" s="705"/>
      <c r="DX82" s="705"/>
      <c r="DY82" s="705"/>
      <c r="DZ82" s="705"/>
      <c r="EA82" s="705"/>
      <c r="EB82" s="705"/>
      <c r="EC82" s="705"/>
      <c r="ED82" s="705"/>
      <c r="EE82" s="705"/>
      <c r="EF82" s="705"/>
      <c r="EG82" s="705"/>
      <c r="EH82" s="706"/>
      <c r="EI82" s="706"/>
      <c r="EJ82" s="706"/>
      <c r="EK82" s="706"/>
      <c r="EL82" s="706"/>
      <c r="EM82" s="706"/>
      <c r="EN82" s="706"/>
      <c r="EO82" s="706"/>
      <c r="EP82" s="706"/>
      <c r="EQ82" s="706"/>
      <c r="ER82" s="706"/>
      <c r="ES82" s="707"/>
      <c r="ET82" s="707"/>
      <c r="EU82" s="707"/>
      <c r="EV82" s="707"/>
      <c r="EW82" s="707"/>
      <c r="EX82" s="707"/>
      <c r="EY82" s="707"/>
      <c r="EZ82" s="707"/>
      <c r="FA82" s="707"/>
      <c r="FB82" s="707"/>
      <c r="FC82" s="707"/>
      <c r="FD82" s="707"/>
      <c r="FE82" s="699"/>
      <c r="FF82" s="699"/>
      <c r="FG82" s="699"/>
      <c r="FH82" s="699"/>
      <c r="FI82" s="699"/>
      <c r="FJ82" s="708"/>
      <c r="FK82" s="708"/>
      <c r="FL82" s="708"/>
      <c r="FM82" s="708"/>
      <c r="FN82" s="708"/>
      <c r="FO82" s="708"/>
      <c r="FP82" s="708"/>
    </row>
    <row r="83" spans="1:172" ht="81" customHeight="1" x14ac:dyDescent="0.25">
      <c r="A83" s="3328" t="s">
        <v>136</v>
      </c>
      <c r="B83" s="3326">
        <v>127</v>
      </c>
      <c r="C83" s="3326"/>
      <c r="D83" s="3326"/>
      <c r="E83" s="3327"/>
      <c r="F83" s="3328" t="s">
        <v>136</v>
      </c>
      <c r="G83" s="3326">
        <v>128</v>
      </c>
      <c r="H83" s="3326"/>
      <c r="I83" s="3326"/>
      <c r="J83" s="3327"/>
      <c r="K83" s="3328" t="s">
        <v>136</v>
      </c>
      <c r="L83" s="3326">
        <v>129</v>
      </c>
      <c r="M83" s="3326"/>
      <c r="N83" s="3326"/>
      <c r="O83" s="3327"/>
      <c r="P83" s="3328" t="s">
        <v>136</v>
      </c>
      <c r="Q83" s="3326">
        <v>130</v>
      </c>
      <c r="R83" s="3326"/>
      <c r="S83" s="3326"/>
      <c r="T83" s="3327"/>
      <c r="U83" s="3328" t="s">
        <v>136</v>
      </c>
      <c r="V83" s="3326">
        <v>131</v>
      </c>
      <c r="W83" s="3326"/>
      <c r="X83" s="3326"/>
      <c r="Y83" s="3327"/>
      <c r="Z83" s="677"/>
      <c r="AA83" s="717"/>
      <c r="AB83" s="717"/>
      <c r="AC83" s="717"/>
      <c r="AD83" s="717"/>
      <c r="AE83" s="677"/>
      <c r="AF83" s="717"/>
      <c r="AG83" s="717"/>
      <c r="AH83" s="717"/>
      <c r="AI83" s="717"/>
      <c r="AJ83" s="677"/>
      <c r="AK83" s="1801">
        <v>131</v>
      </c>
      <c r="AL83" s="1801"/>
      <c r="AM83" s="1801"/>
      <c r="AN83" s="1801"/>
      <c r="AO83" s="677"/>
      <c r="AP83" s="717"/>
      <c r="AQ83" s="717"/>
      <c r="AR83" s="717"/>
      <c r="AS83" s="717"/>
      <c r="AT83" s="677"/>
      <c r="AU83" s="717"/>
      <c r="AV83" s="717"/>
      <c r="AW83" s="717"/>
      <c r="AX83" s="717"/>
      <c r="AY83" s="677"/>
      <c r="AZ83" s="1797">
        <v>131</v>
      </c>
      <c r="BA83" s="1797"/>
      <c r="BB83" s="1797"/>
      <c r="BC83" s="1797"/>
      <c r="BD83" s="677"/>
      <c r="BE83" s="3552" t="s">
        <v>293</v>
      </c>
      <c r="BF83" s="3553"/>
      <c r="BG83" s="3553"/>
      <c r="BH83" s="3553"/>
      <c r="BI83" s="3553"/>
      <c r="BJ83" s="3553"/>
      <c r="BK83" s="3553"/>
      <c r="BL83" s="3553"/>
      <c r="BM83" s="3553"/>
      <c r="BN83" s="3553"/>
      <c r="BO83" s="3553"/>
      <c r="BP83" s="3553"/>
      <c r="BQ83" s="3554"/>
      <c r="BR83" s="72"/>
      <c r="DE83" s="709"/>
      <c r="DF83" s="709"/>
      <c r="DG83" s="709"/>
      <c r="DH83" s="52"/>
      <c r="DI83" s="45"/>
      <c r="DJ83" s="45"/>
      <c r="DK83" s="45"/>
      <c r="DL83" s="45"/>
      <c r="DM83" s="45"/>
      <c r="DN83" s="45"/>
      <c r="DO83" s="45"/>
      <c r="DP83" s="45"/>
      <c r="DQ83" s="45"/>
      <c r="DR83" s="45"/>
      <c r="DS83" s="45"/>
      <c r="DT83" s="45"/>
      <c r="DU83" s="45"/>
      <c r="DV83" s="705"/>
      <c r="DW83" s="705"/>
      <c r="DX83" s="705"/>
      <c r="DY83" s="705"/>
      <c r="DZ83" s="705"/>
      <c r="EA83" s="705"/>
      <c r="EB83" s="705"/>
      <c r="EC83" s="705"/>
      <c r="ED83" s="705"/>
      <c r="EE83" s="705"/>
      <c r="EF83" s="705"/>
      <c r="EG83" s="705"/>
      <c r="EH83" s="706"/>
      <c r="EI83" s="706"/>
      <c r="EJ83" s="706"/>
      <c r="EK83" s="706"/>
      <c r="EL83" s="706"/>
      <c r="EM83" s="706"/>
      <c r="EN83" s="706"/>
      <c r="EO83" s="706"/>
      <c r="EP83" s="706"/>
      <c r="EQ83" s="706"/>
      <c r="ER83" s="706"/>
      <c r="ES83" s="707"/>
      <c r="ET83" s="707"/>
      <c r="EU83" s="707"/>
      <c r="EV83" s="707"/>
      <c r="EW83" s="707"/>
      <c r="EX83" s="707"/>
      <c r="EY83" s="707"/>
      <c r="EZ83" s="707"/>
      <c r="FA83" s="707"/>
      <c r="FB83" s="707"/>
      <c r="FC83" s="707"/>
      <c r="FD83" s="707"/>
      <c r="FE83" s="699"/>
      <c r="FF83" s="699"/>
      <c r="FG83" s="699"/>
      <c r="FH83" s="699"/>
      <c r="FI83" s="699"/>
      <c r="FJ83" s="708"/>
      <c r="FK83" s="708"/>
      <c r="FL83" s="708"/>
      <c r="FM83" s="708"/>
      <c r="FN83" s="708"/>
      <c r="FO83" s="708"/>
      <c r="FP83" s="708"/>
    </row>
    <row r="84" spans="1:172" ht="35.25" customHeight="1" thickBot="1" x14ac:dyDescent="0.3">
      <c r="A84" s="3329"/>
      <c r="B84" s="183">
        <v>4.8259999999999996</v>
      </c>
      <c r="C84" s="184" t="s">
        <v>113</v>
      </c>
      <c r="D84" s="185">
        <v>1</v>
      </c>
      <c r="E84" s="186" t="s">
        <v>114</v>
      </c>
      <c r="F84" s="3329"/>
      <c r="G84" s="183">
        <v>0.40600000000000003</v>
      </c>
      <c r="H84" s="184" t="s">
        <v>113</v>
      </c>
      <c r="I84" s="185"/>
      <c r="J84" s="186" t="s">
        <v>114</v>
      </c>
      <c r="K84" s="3329"/>
      <c r="L84" s="183">
        <v>0.20300000000000001</v>
      </c>
      <c r="M84" s="184" t="s">
        <v>113</v>
      </c>
      <c r="N84" s="185"/>
      <c r="O84" s="186" t="s">
        <v>114</v>
      </c>
      <c r="P84" s="3329"/>
      <c r="Q84" s="183">
        <v>0.30399999999999999</v>
      </c>
      <c r="R84" s="184" t="s">
        <v>113</v>
      </c>
      <c r="S84" s="185">
        <v>1</v>
      </c>
      <c r="T84" s="186" t="s">
        <v>114</v>
      </c>
      <c r="U84" s="3329"/>
      <c r="V84" s="183">
        <v>1E-4</v>
      </c>
      <c r="W84" s="184" t="s">
        <v>113</v>
      </c>
      <c r="X84" s="185"/>
      <c r="Y84" s="186" t="s">
        <v>114</v>
      </c>
      <c r="Z84" s="677"/>
      <c r="AA84" s="32"/>
      <c r="AB84" s="33"/>
      <c r="AC84" s="34"/>
      <c r="AD84" s="35"/>
      <c r="AE84" s="677"/>
      <c r="AF84" s="32"/>
      <c r="AG84" s="33"/>
      <c r="AH84" s="34"/>
      <c r="AI84" s="35"/>
      <c r="AJ84" s="677"/>
      <c r="AK84" s="1801">
        <v>131</v>
      </c>
      <c r="AL84" s="1801"/>
      <c r="AM84" s="1801"/>
      <c r="AN84" s="1801"/>
      <c r="AO84" s="677"/>
      <c r="AP84" s="32"/>
      <c r="AQ84" s="33"/>
      <c r="AR84" s="34"/>
      <c r="AS84" s="35"/>
      <c r="AT84" s="677"/>
      <c r="AU84" s="32"/>
      <c r="AV84" s="33"/>
      <c r="AW84" s="34"/>
      <c r="AX84" s="35"/>
      <c r="AY84" s="677"/>
      <c r="AZ84" s="1797">
        <v>131</v>
      </c>
      <c r="BA84" s="1797"/>
      <c r="BB84" s="1797"/>
      <c r="BC84" s="1797"/>
      <c r="BD84" s="677"/>
      <c r="BE84" s="3555"/>
      <c r="BF84" s="3556"/>
      <c r="BG84" s="3556"/>
      <c r="BH84" s="3556"/>
      <c r="BI84" s="3556"/>
      <c r="BJ84" s="3556"/>
      <c r="BK84" s="3556"/>
      <c r="BL84" s="3556"/>
      <c r="BM84" s="3556"/>
      <c r="BN84" s="3556"/>
      <c r="BO84" s="3556"/>
      <c r="BP84" s="3556"/>
      <c r="BQ84" s="3557"/>
      <c r="BR84" s="35"/>
      <c r="DE84" s="709"/>
      <c r="DF84" s="709"/>
      <c r="DG84" s="709"/>
      <c r="DH84" s="52"/>
      <c r="DI84" s="45"/>
      <c r="DJ84" s="45"/>
      <c r="DK84" s="45"/>
      <c r="DL84" s="45"/>
      <c r="DM84" s="45"/>
      <c r="DN84" s="45"/>
      <c r="DO84" s="45"/>
      <c r="DP84" s="45"/>
      <c r="DQ84" s="45"/>
      <c r="DR84" s="45"/>
      <c r="DS84" s="45"/>
      <c r="DT84" s="45"/>
      <c r="DU84" s="45"/>
      <c r="DV84" s="705"/>
      <c r="DW84" s="705"/>
      <c r="DX84" s="705"/>
      <c r="DY84" s="705"/>
      <c r="DZ84" s="705"/>
      <c r="EA84" s="705"/>
      <c r="EB84" s="705"/>
      <c r="EC84" s="705"/>
      <c r="ED84" s="705"/>
      <c r="EE84" s="705"/>
      <c r="EF84" s="705"/>
      <c r="EG84" s="705"/>
      <c r="EH84" s="706"/>
      <c r="EI84" s="706"/>
      <c r="EJ84" s="706"/>
      <c r="EK84" s="706"/>
      <c r="EL84" s="706"/>
      <c r="EM84" s="706"/>
      <c r="EN84" s="706"/>
      <c r="EO84" s="706"/>
      <c r="EP84" s="706"/>
      <c r="EQ84" s="706"/>
      <c r="ER84" s="706"/>
      <c r="ES84" s="707"/>
      <c r="ET84" s="707"/>
      <c r="EU84" s="707"/>
      <c r="EV84" s="707"/>
      <c r="EW84" s="707"/>
      <c r="EX84" s="707"/>
      <c r="EY84" s="707"/>
      <c r="EZ84" s="707"/>
      <c r="FA84" s="707"/>
      <c r="FB84" s="707"/>
      <c r="FC84" s="707"/>
      <c r="FD84" s="707"/>
      <c r="FE84" s="699"/>
      <c r="FF84" s="699"/>
      <c r="FG84" s="699"/>
      <c r="FH84" s="699"/>
      <c r="FI84" s="699"/>
      <c r="FJ84" s="699"/>
      <c r="FK84" s="699"/>
      <c r="FL84" s="699"/>
      <c r="FM84" s="699"/>
      <c r="FN84" s="699"/>
      <c r="FO84" s="699"/>
      <c r="FP84" s="699"/>
    </row>
    <row r="85" spans="1:172" ht="51.75" customHeight="1" x14ac:dyDescent="0.25">
      <c r="A85" s="44"/>
      <c r="B85" s="44"/>
      <c r="C85" s="44"/>
      <c r="D85" s="69"/>
      <c r="E85" s="69"/>
      <c r="F85" s="44"/>
      <c r="G85" s="44"/>
      <c r="H85" s="44"/>
      <c r="I85" s="69"/>
      <c r="J85" s="69"/>
      <c r="K85" s="44"/>
      <c r="L85" s="44"/>
      <c r="M85" s="44"/>
      <c r="N85" s="69"/>
      <c r="O85" s="69"/>
      <c r="P85" s="44"/>
      <c r="Q85" s="44"/>
      <c r="R85" s="44"/>
      <c r="S85" s="69"/>
      <c r="T85" s="69"/>
      <c r="U85" s="44"/>
      <c r="V85" s="44"/>
      <c r="W85" s="44"/>
      <c r="X85" s="69"/>
      <c r="Y85" s="69"/>
      <c r="Z85" s="44"/>
      <c r="AA85" s="44"/>
      <c r="AB85" s="44"/>
      <c r="AC85" s="69"/>
      <c r="AD85" s="69"/>
      <c r="AE85" s="44"/>
      <c r="AF85" s="44"/>
      <c r="AG85" s="44"/>
      <c r="AH85" s="69"/>
      <c r="AI85" s="69"/>
      <c r="AJ85" s="44"/>
      <c r="AK85" s="1801"/>
      <c r="AL85" s="1801"/>
      <c r="AM85" s="1801"/>
      <c r="AN85" s="1801"/>
      <c r="AO85" s="44"/>
      <c r="AP85" s="44"/>
      <c r="AQ85" s="44"/>
      <c r="AR85" s="69"/>
      <c r="AS85" s="69"/>
      <c r="AT85" s="44"/>
      <c r="AU85" s="44"/>
      <c r="AV85" s="44"/>
      <c r="AW85" s="69"/>
      <c r="AX85" s="69"/>
      <c r="AY85" s="44"/>
      <c r="AZ85" s="1797"/>
      <c r="BA85" s="1797"/>
      <c r="BB85" s="1797"/>
      <c r="BC85" s="1797"/>
      <c r="BD85" s="44"/>
      <c r="BE85" s="44"/>
      <c r="BF85" s="44"/>
      <c r="BG85" s="69"/>
      <c r="BH85" s="69"/>
      <c r="BI85" s="44"/>
      <c r="BJ85" s="44"/>
      <c r="BK85" s="44"/>
      <c r="BL85" s="69"/>
      <c r="BM85" s="69"/>
      <c r="BN85" s="44"/>
      <c r="BO85" s="44"/>
      <c r="BP85" s="44"/>
      <c r="BQ85" s="69"/>
      <c r="BR85" s="69"/>
      <c r="DE85" s="709"/>
      <c r="DF85" s="709"/>
      <c r="DG85" s="709"/>
      <c r="DH85" s="52"/>
      <c r="DI85" s="49"/>
      <c r="DJ85" s="49"/>
      <c r="DK85" s="49"/>
      <c r="DL85" s="49"/>
      <c r="DM85" s="49"/>
      <c r="DN85" s="49"/>
      <c r="DO85" s="49"/>
      <c r="DP85" s="49"/>
      <c r="DQ85" s="49"/>
      <c r="DR85" s="49"/>
      <c r="DS85" s="49"/>
      <c r="DT85" s="49"/>
      <c r="DU85" s="49"/>
      <c r="DV85" s="705"/>
      <c r="DW85" s="705"/>
      <c r="DX85" s="705"/>
      <c r="DY85" s="705"/>
      <c r="DZ85" s="705"/>
      <c r="EA85" s="705"/>
      <c r="EB85" s="705"/>
      <c r="EC85" s="705"/>
      <c r="ED85" s="705"/>
      <c r="EE85" s="705"/>
      <c r="EF85" s="705"/>
      <c r="EG85" s="705"/>
      <c r="EH85" s="706"/>
      <c r="EI85" s="706"/>
      <c r="EJ85" s="706"/>
      <c r="EK85" s="706"/>
      <c r="EL85" s="706"/>
      <c r="EM85" s="706"/>
      <c r="EN85" s="706"/>
      <c r="EO85" s="706"/>
      <c r="EP85" s="706"/>
      <c r="EQ85" s="706"/>
      <c r="ER85" s="706"/>
      <c r="ES85" s="707"/>
      <c r="ET85" s="707"/>
      <c r="EU85" s="707"/>
      <c r="EV85" s="707"/>
      <c r="EW85" s="707"/>
      <c r="EX85" s="707"/>
      <c r="EY85" s="707"/>
      <c r="EZ85" s="707"/>
      <c r="FA85" s="707"/>
      <c r="FB85" s="707"/>
      <c r="FC85" s="707"/>
      <c r="FD85" s="707"/>
      <c r="FE85" s="699"/>
      <c r="FF85" s="699"/>
      <c r="FG85" s="699"/>
      <c r="FH85" s="699"/>
      <c r="FI85" s="699"/>
      <c r="FJ85" s="699"/>
      <c r="FK85" s="699"/>
      <c r="FL85" s="699"/>
      <c r="FM85" s="699"/>
      <c r="FN85" s="699"/>
      <c r="FO85" s="699"/>
      <c r="FP85" s="699"/>
    </row>
    <row r="86" spans="1:172" ht="11.25" hidden="1" customHeight="1" x14ac:dyDescent="0.25">
      <c r="A86" s="47"/>
      <c r="B86" s="47"/>
      <c r="C86" s="47"/>
      <c r="D86" s="69"/>
      <c r="E86" s="69"/>
      <c r="F86" s="47"/>
      <c r="G86" s="47"/>
      <c r="H86" s="47"/>
      <c r="I86" s="69"/>
      <c r="J86" s="69"/>
      <c r="K86" s="47"/>
      <c r="L86" s="47"/>
      <c r="M86" s="47"/>
      <c r="N86" s="69"/>
      <c r="O86" s="69"/>
      <c r="P86" s="47"/>
      <c r="Q86" s="47"/>
      <c r="R86" s="47"/>
      <c r="S86" s="69"/>
      <c r="T86" s="69"/>
      <c r="U86" s="47"/>
      <c r="V86" s="47"/>
      <c r="W86" s="47"/>
      <c r="X86" s="69"/>
      <c r="Y86" s="69"/>
      <c r="Z86" s="47"/>
      <c r="AA86" s="47"/>
      <c r="AB86" s="47"/>
      <c r="AC86" s="69"/>
      <c r="AD86" s="69"/>
      <c r="AE86" s="47"/>
      <c r="AF86" s="47"/>
      <c r="AG86" s="47"/>
      <c r="AH86" s="69"/>
      <c r="AI86" s="69"/>
      <c r="AJ86" s="47"/>
      <c r="AK86" s="47"/>
      <c r="AL86" s="47"/>
      <c r="AM86" s="69"/>
      <c r="AN86" s="69"/>
      <c r="AO86" s="47"/>
      <c r="AP86" s="47"/>
      <c r="AQ86" s="47"/>
      <c r="AR86" s="69"/>
      <c r="AS86" s="69"/>
      <c r="AT86" s="47"/>
      <c r="AU86" s="47"/>
      <c r="AV86" s="47"/>
      <c r="AW86" s="69"/>
      <c r="AX86" s="69"/>
      <c r="AY86" s="47"/>
      <c r="AZ86" s="47"/>
      <c r="BA86" s="47"/>
      <c r="BB86" s="69"/>
      <c r="BC86" s="69"/>
      <c r="BD86" s="47"/>
      <c r="BE86" s="47"/>
      <c r="BF86" s="47"/>
      <c r="BG86" s="69"/>
      <c r="BH86" s="69"/>
      <c r="BI86" s="47"/>
      <c r="BJ86" s="47"/>
      <c r="BK86" s="47"/>
      <c r="BL86" s="69"/>
      <c r="BM86" s="69"/>
      <c r="BN86" s="47"/>
      <c r="BO86" s="47"/>
      <c r="BP86" s="47"/>
      <c r="BQ86" s="69"/>
      <c r="BR86" s="69"/>
    </row>
    <row r="87" spans="1:172" ht="15" hidden="1" customHeight="1" x14ac:dyDescent="0.25">
      <c r="A87" s="47"/>
      <c r="B87" s="47"/>
      <c r="C87" s="47"/>
      <c r="D87" s="101"/>
      <c r="E87" s="69"/>
      <c r="F87" s="47"/>
      <c r="G87" s="47"/>
      <c r="H87" s="47"/>
      <c r="I87" s="101"/>
      <c r="J87" s="69"/>
      <c r="K87" s="47"/>
      <c r="L87" s="47"/>
      <c r="M87" s="47"/>
      <c r="N87" s="101"/>
      <c r="O87" s="69"/>
      <c r="P87" s="47"/>
      <c r="Q87" s="47"/>
      <c r="R87" s="47"/>
      <c r="S87" s="101"/>
      <c r="T87" s="69"/>
      <c r="U87" s="47"/>
      <c r="V87" s="47"/>
      <c r="W87" s="47"/>
      <c r="X87" s="101"/>
      <c r="Y87" s="69"/>
      <c r="Z87" s="47"/>
      <c r="AA87" s="47"/>
      <c r="AB87" s="47"/>
      <c r="AC87" s="101"/>
      <c r="AD87" s="69"/>
      <c r="AE87" s="47"/>
      <c r="AF87" s="47"/>
      <c r="AG87" s="47"/>
      <c r="AH87" s="101"/>
      <c r="AI87" s="69"/>
      <c r="AJ87" s="47"/>
      <c r="AK87" s="47"/>
      <c r="AL87" s="47"/>
      <c r="AM87" s="101"/>
      <c r="AN87" s="69"/>
      <c r="AO87" s="47"/>
      <c r="AP87" s="47"/>
      <c r="AQ87" s="47"/>
      <c r="AR87" s="101"/>
      <c r="AS87" s="69"/>
      <c r="AT87" s="47"/>
      <c r="AU87" s="47"/>
      <c r="AV87" s="47"/>
      <c r="AW87" s="101"/>
      <c r="AX87" s="69"/>
      <c r="AY87" s="47"/>
      <c r="AZ87" s="47"/>
      <c r="BA87" s="47"/>
      <c r="BB87" s="101"/>
      <c r="BC87" s="69"/>
      <c r="BD87" s="47"/>
      <c r="BE87" s="47"/>
      <c r="BF87" s="47"/>
      <c r="BG87" s="101"/>
      <c r="BH87" s="69"/>
      <c r="BI87" s="47"/>
      <c r="BJ87" s="47"/>
      <c r="BK87" s="47"/>
      <c r="BL87" s="101"/>
      <c r="BM87" s="69"/>
      <c r="BN87" s="47"/>
      <c r="BO87" s="47"/>
      <c r="BP87" s="47"/>
      <c r="BQ87" s="101"/>
      <c r="BR87" s="69"/>
    </row>
    <row r="88" spans="1:172" ht="15" hidden="1" customHeight="1" x14ac:dyDescent="0.25">
      <c r="A88" s="47"/>
      <c r="B88" s="47"/>
      <c r="C88" s="47"/>
      <c r="D88" s="69"/>
      <c r="E88" s="69"/>
      <c r="F88" s="47"/>
      <c r="G88" s="47"/>
      <c r="H88" s="47"/>
      <c r="I88" s="69"/>
      <c r="J88" s="69"/>
      <c r="K88" s="47"/>
      <c r="L88" s="47"/>
      <c r="M88" s="47"/>
      <c r="N88" s="69"/>
      <c r="O88" s="69"/>
      <c r="P88" s="47"/>
      <c r="Q88" s="47"/>
      <c r="R88" s="47"/>
      <c r="S88" s="69"/>
      <c r="T88" s="69"/>
      <c r="U88" s="47"/>
      <c r="V88" s="47"/>
      <c r="W88" s="47"/>
      <c r="X88" s="69"/>
      <c r="Y88" s="69"/>
      <c r="Z88" s="47"/>
      <c r="AA88" s="47"/>
      <c r="AB88" s="47"/>
      <c r="AC88" s="69"/>
      <c r="AD88" s="69"/>
      <c r="AE88" s="47"/>
      <c r="AF88" s="47"/>
      <c r="AG88" s="47"/>
      <c r="AH88" s="69"/>
      <c r="AI88" s="69"/>
      <c r="AJ88" s="47"/>
      <c r="AK88" s="47"/>
      <c r="AL88" s="47"/>
      <c r="AM88" s="69"/>
      <c r="AN88" s="69"/>
      <c r="AO88" s="47"/>
      <c r="AP88" s="47"/>
      <c r="AQ88" s="47"/>
      <c r="AR88" s="69"/>
      <c r="AS88" s="69"/>
      <c r="AT88" s="47"/>
      <c r="AU88" s="47"/>
      <c r="AV88" s="47"/>
      <c r="AW88" s="69"/>
      <c r="AX88" s="69"/>
      <c r="AY88" s="47"/>
      <c r="AZ88" s="47"/>
      <c r="BA88" s="47"/>
      <c r="BB88" s="69"/>
      <c r="BC88" s="69"/>
      <c r="BD88" s="47"/>
      <c r="BE88" s="47"/>
      <c r="BF88" s="47"/>
      <c r="BG88" s="69"/>
      <c r="BH88" s="69"/>
      <c r="BI88" s="47"/>
      <c r="BJ88" s="47"/>
      <c r="BK88" s="47"/>
      <c r="BL88" s="69"/>
      <c r="BM88" s="69"/>
      <c r="BN88" s="47"/>
      <c r="BO88" s="47"/>
      <c r="BP88" s="47"/>
      <c r="BQ88" s="69"/>
      <c r="BR88" s="69"/>
    </row>
    <row r="89" spans="1:172" ht="98.25" customHeight="1" x14ac:dyDescent="0.25">
      <c r="A89" s="70"/>
      <c r="B89" s="37"/>
      <c r="C89" s="38"/>
      <c r="D89" s="39"/>
      <c r="E89" s="40"/>
      <c r="F89" s="41"/>
      <c r="G89" s="37"/>
      <c r="H89" s="38"/>
      <c r="I89" s="39"/>
      <c r="J89" s="40"/>
      <c r="K89" s="41"/>
      <c r="L89" s="37"/>
      <c r="M89" s="38"/>
      <c r="N89" s="39"/>
      <c r="O89" s="40"/>
      <c r="P89" s="41"/>
      <c r="Q89" s="37"/>
      <c r="R89" s="38"/>
      <c r="S89" s="39"/>
      <c r="T89" s="40"/>
      <c r="U89" s="41"/>
      <c r="V89" s="37"/>
      <c r="W89" s="38"/>
      <c r="X89" s="39"/>
      <c r="Y89" s="697" t="s">
        <v>116</v>
      </c>
      <c r="Z89" s="697"/>
      <c r="AA89" s="697"/>
      <c r="AB89" s="697"/>
      <c r="AC89" s="697"/>
      <c r="AD89" s="697"/>
      <c r="AE89" s="697"/>
      <c r="AF89" s="697"/>
      <c r="AG89" s="697"/>
      <c r="AH89" s="697"/>
      <c r="AI89" s="697"/>
      <c r="AJ89" s="697"/>
      <c r="AK89" s="697" t="s">
        <v>117</v>
      </c>
      <c r="AL89" s="697"/>
      <c r="AM89" s="697"/>
      <c r="AN89" s="697"/>
      <c r="AO89" s="697"/>
      <c r="AP89" s="697"/>
      <c r="AQ89" s="697"/>
      <c r="AR89" s="697"/>
      <c r="AS89" s="697"/>
      <c r="AT89" s="697"/>
      <c r="AU89" s="697"/>
      <c r="AV89" s="698" t="s">
        <v>118</v>
      </c>
      <c r="AW89" s="698"/>
      <c r="AX89" s="698"/>
      <c r="AY89" s="698"/>
      <c r="AZ89" s="698"/>
      <c r="BA89" s="698"/>
      <c r="BB89" s="698"/>
      <c r="BC89" s="698"/>
      <c r="BD89" s="698"/>
      <c r="BE89" s="698"/>
      <c r="BF89" s="698"/>
      <c r="BG89" s="698"/>
      <c r="BH89" s="699" t="s">
        <v>119</v>
      </c>
      <c r="BI89" s="699"/>
      <c r="BJ89" s="699"/>
      <c r="BK89" s="699"/>
      <c r="BL89" s="699"/>
      <c r="BM89" s="1802">
        <f>D8+I8+N8+S8+X8+AH8+AM8+AR8+AW8+BB8+BG8+BL8+BQ8+D15+I15+N15+S15+X15+AC15+AH15+AM15+AR15+AW15+BB15+BG15+BL15+BQ15+D22+I22+N22+S22+X22+AC22+AH22+AM22+AR22+AW22+BB22+BG22+BL22+BQ22+D29+I29+N29+S29+X29+AC29+AH29+AM29+AR29+AW29+BB29+BG29+BL29+D36+I36+BQ29+N36+S36+X36+AC36+AH36+AM36+AR36+AW36+BB36+BG36+BL36+BQ36+BQ43+BL43+BG43+BB43+AW43+AR43+AM43+AH43+AC43+X43+S43+N43+I43+D43+D50+I50+N50+S50+X50+AC50+AH50+AM50+AR50+AW50+BB50+BG50+BL50+BQ50+BQ57+BL57+BG57+BB57+AW57+AR57+AM57+AH57+AC57+X57+S57+N57+I57+D57+D77+I77+N77+S77+X77+AC77+AH77+AM77+AR77+AW77+BB77+BG77+BL77+BQ77+D84+I84+N84+S84+X84+AC8</f>
        <v>50</v>
      </c>
      <c r="BN89" s="1802"/>
      <c r="BO89" s="1802"/>
      <c r="BP89" s="701" t="s">
        <v>120</v>
      </c>
      <c r="BQ89" s="701"/>
      <c r="BR89" s="701"/>
      <c r="BS89" s="701"/>
    </row>
    <row r="90" spans="1:172" ht="30" customHeight="1" x14ac:dyDescent="0.25">
      <c r="A90" s="70"/>
      <c r="B90" s="674"/>
      <c r="C90" s="674"/>
      <c r="D90" s="674"/>
      <c r="E90" s="675"/>
      <c r="F90" s="675"/>
      <c r="G90" s="44"/>
      <c r="H90" s="702" cm="1">
        <f t="array" aca="1" ref="H90" ca="1">SUM(COUNTIF(INDIRECT({"B7","G7","L7","Q7","V7","AA7","AF7","AK7","AP7","AU7","AZ7","BE7","BJ7","BO7","B14","G14","L14","Q14","V14","AA14","AF14","AK14","AP14","AU14","AZ14","BE14","BJ14","BO14","B21","G21","L21","Q21","V21","AA21","AF21","AK21","AP21","AU21","AZ21","BE21","BJ21","BO21","B28","G28","L28","Q28","V28","AA28","AF28","AK28","AP28","AU28","AZ28","BE28","BJ28","BO28","B35","G35","L35","Q35","V35","AA35","AF35","AK35","AP35","AU35","AZ35","BE35","BJ35","BO35","B42","G42","L42","Q42","V42","AA42","AF42","AK42","AP42","AU42","AZ42","BE42","BJ42","BO42","B49","G49","L49","Q49","V49","AA49","AF49","AK49","AP49","AU49","AZ49","BE49","BJ49","BO49","B56","G56","L56","Q56","V56","AA56","AF56","AK56","AP56","AU56","AZ56","BE56","BJ56","BO56","B76","G76","L76","Q76","V76","AA76","AF76","AK76","AP76","AU76","AZ76","BE76","BJ76","BO76","B83","G83","L83","Q83","V83"}),"&gt;0"))</f>
        <v>131</v>
      </c>
      <c r="I90" s="702"/>
      <c r="J90" s="702"/>
      <c r="K90" s="702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697"/>
      <c r="Z90" s="697"/>
      <c r="AA90" s="697"/>
      <c r="AB90" s="697"/>
      <c r="AC90" s="697"/>
      <c r="AD90" s="697"/>
      <c r="AE90" s="697"/>
      <c r="AF90" s="697"/>
      <c r="AG90" s="697"/>
      <c r="AH90" s="697"/>
      <c r="AI90" s="697"/>
      <c r="AJ90" s="697"/>
      <c r="AK90" s="697"/>
      <c r="AL90" s="697"/>
      <c r="AM90" s="697"/>
      <c r="AN90" s="697"/>
      <c r="AO90" s="697"/>
      <c r="AP90" s="697"/>
      <c r="AQ90" s="697"/>
      <c r="AR90" s="697"/>
      <c r="AS90" s="697"/>
      <c r="AT90" s="697"/>
      <c r="AU90" s="697"/>
      <c r="AV90" s="698"/>
      <c r="AW90" s="698"/>
      <c r="AX90" s="698"/>
      <c r="AY90" s="698"/>
      <c r="AZ90" s="698"/>
      <c r="BA90" s="698"/>
      <c r="BB90" s="698"/>
      <c r="BC90" s="698"/>
      <c r="BD90" s="698"/>
      <c r="BE90" s="698"/>
      <c r="BF90" s="698"/>
      <c r="BG90" s="698"/>
      <c r="BH90" s="699"/>
      <c r="BI90" s="699"/>
      <c r="BJ90" s="699"/>
      <c r="BK90" s="699"/>
      <c r="BL90" s="699"/>
      <c r="BM90" s="1802"/>
      <c r="BN90" s="1802"/>
      <c r="BO90" s="1802"/>
      <c r="BP90" s="701"/>
      <c r="BQ90" s="701"/>
      <c r="BR90" s="701"/>
      <c r="BS90" s="701"/>
    </row>
    <row r="91" spans="1:172" ht="15.75" customHeight="1" x14ac:dyDescent="0.25">
      <c r="A91" s="44"/>
      <c r="B91" s="676"/>
      <c r="C91" s="676"/>
      <c r="D91" s="676"/>
      <c r="E91" s="29"/>
      <c r="F91" s="29"/>
      <c r="G91" s="47"/>
      <c r="H91" s="702"/>
      <c r="I91" s="702"/>
      <c r="J91" s="702"/>
      <c r="K91" s="702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697"/>
      <c r="Z91" s="697"/>
      <c r="AA91" s="697"/>
      <c r="AB91" s="697"/>
      <c r="AC91" s="697"/>
      <c r="AD91" s="697"/>
      <c r="AE91" s="697"/>
      <c r="AF91" s="697"/>
      <c r="AG91" s="697"/>
      <c r="AH91" s="697"/>
      <c r="AI91" s="697"/>
      <c r="AJ91" s="697"/>
      <c r="AK91" s="697"/>
      <c r="AL91" s="697"/>
      <c r="AM91" s="697"/>
      <c r="AN91" s="697"/>
      <c r="AO91" s="697"/>
      <c r="AP91" s="697"/>
      <c r="AQ91" s="697"/>
      <c r="AR91" s="697"/>
      <c r="AS91" s="697"/>
      <c r="AT91" s="697"/>
      <c r="AU91" s="697"/>
      <c r="AV91" s="698"/>
      <c r="AW91" s="698"/>
      <c r="AX91" s="698"/>
      <c r="AY91" s="698"/>
      <c r="AZ91" s="698"/>
      <c r="BA91" s="698"/>
      <c r="BB91" s="698"/>
      <c r="BC91" s="698"/>
      <c r="BD91" s="698"/>
      <c r="BE91" s="698"/>
      <c r="BF91" s="698"/>
      <c r="BG91" s="698"/>
      <c r="BH91" s="699"/>
      <c r="BI91" s="699"/>
      <c r="BJ91" s="699"/>
      <c r="BK91" s="699"/>
      <c r="BL91" s="699"/>
      <c r="BM91" s="1802"/>
      <c r="BN91" s="1802"/>
      <c r="BO91" s="1802"/>
      <c r="BP91" s="701"/>
      <c r="BQ91" s="701"/>
      <c r="BR91" s="701"/>
      <c r="BS91" s="701"/>
    </row>
    <row r="92" spans="1:172" ht="15.75" customHeight="1" x14ac:dyDescent="0.25">
      <c r="A92" s="47"/>
      <c r="B92" s="676"/>
      <c r="C92" s="676"/>
      <c r="D92" s="676"/>
      <c r="E92" s="29"/>
      <c r="F92" s="29"/>
      <c r="G92" s="47"/>
      <c r="H92" s="702"/>
      <c r="I92" s="702"/>
      <c r="J92" s="702"/>
      <c r="K92" s="702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697"/>
      <c r="Z92" s="697"/>
      <c r="AA92" s="697"/>
      <c r="AB92" s="697"/>
      <c r="AC92" s="697"/>
      <c r="AD92" s="697"/>
      <c r="AE92" s="697"/>
      <c r="AF92" s="697"/>
      <c r="AG92" s="697"/>
      <c r="AH92" s="697"/>
      <c r="AI92" s="697"/>
      <c r="AJ92" s="697"/>
      <c r="AK92" s="697"/>
      <c r="AL92" s="697"/>
      <c r="AM92" s="697"/>
      <c r="AN92" s="697"/>
      <c r="AO92" s="697"/>
      <c r="AP92" s="697"/>
      <c r="AQ92" s="697"/>
      <c r="AR92" s="697"/>
      <c r="AS92" s="697"/>
      <c r="AT92" s="697"/>
      <c r="AU92" s="697"/>
      <c r="AV92" s="698"/>
      <c r="AW92" s="698"/>
      <c r="AX92" s="698"/>
      <c r="AY92" s="698"/>
      <c r="AZ92" s="698"/>
      <c r="BA92" s="698"/>
      <c r="BB92" s="698"/>
      <c r="BC92" s="698"/>
      <c r="BD92" s="698"/>
      <c r="BE92" s="698"/>
      <c r="BF92" s="698"/>
      <c r="BG92" s="698"/>
      <c r="BH92" s="699"/>
      <c r="BI92" s="699"/>
      <c r="BJ92" s="699"/>
      <c r="BK92" s="699"/>
      <c r="BL92" s="699"/>
      <c r="BM92" s="1802"/>
      <c r="BN92" s="1802"/>
      <c r="BO92" s="1802"/>
      <c r="BP92" s="701"/>
      <c r="BQ92" s="701"/>
      <c r="BR92" s="701"/>
      <c r="BS92" s="701"/>
    </row>
    <row r="93" spans="1:172" ht="12" customHeight="1" x14ac:dyDescent="0.25">
      <c r="A93" s="47"/>
      <c r="B93" s="676"/>
      <c r="C93" s="676"/>
      <c r="D93" s="676"/>
      <c r="E93" s="675"/>
      <c r="F93" s="675"/>
      <c r="G93" s="47"/>
      <c r="H93" s="3424">
        <v>131</v>
      </c>
      <c r="I93" s="3424"/>
      <c r="J93" s="3424"/>
      <c r="K93" s="3424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697"/>
      <c r="Z93" s="697"/>
      <c r="AA93" s="697"/>
      <c r="AB93" s="697"/>
      <c r="AC93" s="697"/>
      <c r="AD93" s="697"/>
      <c r="AE93" s="697"/>
      <c r="AF93" s="697"/>
      <c r="AG93" s="697"/>
      <c r="AH93" s="697"/>
      <c r="AI93" s="697"/>
      <c r="AJ93" s="697"/>
      <c r="AK93" s="697"/>
      <c r="AL93" s="697"/>
      <c r="AM93" s="697"/>
      <c r="AN93" s="697"/>
      <c r="AO93" s="697"/>
      <c r="AP93" s="697"/>
      <c r="AQ93" s="697"/>
      <c r="AR93" s="697"/>
      <c r="AS93" s="697"/>
      <c r="AT93" s="697"/>
      <c r="AU93" s="697"/>
      <c r="AV93" s="698"/>
      <c r="AW93" s="698"/>
      <c r="AX93" s="698"/>
      <c r="AY93" s="698"/>
      <c r="AZ93" s="698"/>
      <c r="BA93" s="698"/>
      <c r="BB93" s="698"/>
      <c r="BC93" s="698"/>
      <c r="BD93" s="698"/>
      <c r="BE93" s="698"/>
      <c r="BF93" s="698"/>
      <c r="BG93" s="698"/>
      <c r="BH93" s="699"/>
      <c r="BI93" s="699"/>
      <c r="BJ93" s="699"/>
      <c r="BK93" s="699"/>
      <c r="BL93" s="699"/>
      <c r="BM93" s="1802"/>
      <c r="BN93" s="1802"/>
      <c r="BO93" s="1802"/>
      <c r="BP93" s="701"/>
      <c r="BQ93" s="701"/>
      <c r="BR93" s="701"/>
      <c r="BS93" s="701"/>
    </row>
    <row r="94" spans="1:172" ht="15" hidden="1" customHeight="1" x14ac:dyDescent="0.25">
      <c r="A94" s="47"/>
      <c r="C94" s="17"/>
      <c r="H94" s="3424"/>
      <c r="I94" s="3424"/>
      <c r="J94" s="3424"/>
      <c r="K94" s="3424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705"/>
      <c r="Z94" s="705"/>
      <c r="AA94" s="705"/>
      <c r="AB94" s="705"/>
      <c r="AC94" s="705"/>
      <c r="AD94" s="705"/>
      <c r="AE94" s="705"/>
      <c r="AF94" s="705"/>
      <c r="AG94" s="705"/>
      <c r="AH94" s="705"/>
      <c r="AI94" s="705"/>
      <c r="AJ94" s="705"/>
      <c r="AK94" s="706"/>
      <c r="AL94" s="706"/>
      <c r="AM94" s="706"/>
      <c r="AN94" s="706"/>
      <c r="AO94" s="706"/>
      <c r="AP94" s="706"/>
      <c r="AQ94" s="706"/>
      <c r="AR94" s="706"/>
      <c r="AS94" s="706"/>
      <c r="AT94" s="706"/>
      <c r="AU94" s="706"/>
      <c r="AV94" s="707">
        <f>B8+G8+L8+Q8+V8+AA8+AF8+AK8+AP8+AU8+AZ8+BE8+BJ8+BO8+B15+G15+L15+Q15+V15+AA15+AF15+AK15+AP15+AU15+AZ15+BE15+BJ15+BO15+B22+G22+L22+Q22+V22+AA22+AF22+AK22+AP22+AU22+AZ22+BE22+BJ22+BO22+B29+G29+L29+Q29+V29+AA29+AF29+AK29+AP29+AU29+AZ29+BE29+BJ29+BO29+B36+G36+L36+Q36+V36+AA36+AF36+AK36+AP36+AU36+AZ36+BE36+BJ36+BO36+B43+G43+L43+Q43+V43+AA43+AF43+AK43+AP43+AU43+AZ43+BE43+BJ43+BO43+B50+G50+L50+Q50+V50+AA50+AF50+AK50+AP50+AU50+AZ50+BE50+BJ50+BO50+B57+G57+L57+Q57+B77+G77+L77+Q77+V77+AA77+AF77+AK77+AP77+AU77+AZ77+BE77+BJ77+BO77+B84+G84+L84+Q84+V84+V57+AA57+AF57+AK57+AP57+AU57+AZ57+BE57+BJ57+BO57</f>
        <v>129.47671000000011</v>
      </c>
      <c r="AW94" s="707"/>
      <c r="AX94" s="707"/>
      <c r="AY94" s="707"/>
      <c r="AZ94" s="707"/>
      <c r="BA94" s="707"/>
      <c r="BB94" s="707"/>
      <c r="BC94" s="707"/>
      <c r="BD94" s="707"/>
      <c r="BE94" s="707"/>
      <c r="BF94" s="707"/>
      <c r="BG94" s="707"/>
      <c r="BH94" s="699"/>
      <c r="BI94" s="699"/>
      <c r="BJ94" s="699"/>
      <c r="BK94" s="699"/>
      <c r="BL94" s="699"/>
      <c r="BM94" s="708">
        <f>BM89*1.5</f>
        <v>75</v>
      </c>
      <c r="BN94" s="708"/>
      <c r="BO94" s="708"/>
      <c r="BP94" s="708"/>
      <c r="BQ94" s="708"/>
      <c r="BR94" s="708"/>
      <c r="BS94" s="708"/>
    </row>
    <row r="95" spans="1:172" ht="58.5" customHeight="1" x14ac:dyDescent="0.25">
      <c r="A95" s="70"/>
      <c r="H95" s="3424"/>
      <c r="I95" s="3424"/>
      <c r="J95" s="3424"/>
      <c r="K95" s="3424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705"/>
      <c r="Z95" s="705"/>
      <c r="AA95" s="705"/>
      <c r="AB95" s="705"/>
      <c r="AC95" s="705"/>
      <c r="AD95" s="705"/>
      <c r="AE95" s="705"/>
      <c r="AF95" s="705"/>
      <c r="AG95" s="705"/>
      <c r="AH95" s="705"/>
      <c r="AI95" s="705"/>
      <c r="AJ95" s="705"/>
      <c r="AK95" s="706"/>
      <c r="AL95" s="706"/>
      <c r="AM95" s="706"/>
      <c r="AN95" s="706"/>
      <c r="AO95" s="706"/>
      <c r="AP95" s="706"/>
      <c r="AQ95" s="706"/>
      <c r="AR95" s="706"/>
      <c r="AS95" s="706"/>
      <c r="AT95" s="706"/>
      <c r="AU95" s="706"/>
      <c r="AV95" s="707"/>
      <c r="AW95" s="707"/>
      <c r="AX95" s="707"/>
      <c r="AY95" s="707"/>
      <c r="AZ95" s="707"/>
      <c r="BA95" s="707"/>
      <c r="BB95" s="707"/>
      <c r="BC95" s="707"/>
      <c r="BD95" s="707"/>
      <c r="BE95" s="707"/>
      <c r="BF95" s="707"/>
      <c r="BG95" s="707"/>
      <c r="BH95" s="699"/>
      <c r="BI95" s="699"/>
      <c r="BJ95" s="699"/>
      <c r="BK95" s="699"/>
      <c r="BL95" s="699"/>
      <c r="BM95" s="708"/>
      <c r="BN95" s="708"/>
      <c r="BO95" s="708"/>
      <c r="BP95" s="708"/>
      <c r="BQ95" s="708"/>
      <c r="BR95" s="708"/>
      <c r="BS95" s="708"/>
    </row>
    <row r="96" spans="1:172" ht="58.5" x14ac:dyDescent="0.25">
      <c r="A96" s="70"/>
      <c r="H96" s="709"/>
      <c r="I96" s="709"/>
      <c r="J96" s="709"/>
      <c r="K96" s="52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705"/>
      <c r="Z96" s="705"/>
      <c r="AA96" s="705"/>
      <c r="AB96" s="705"/>
      <c r="AC96" s="705"/>
      <c r="AD96" s="705"/>
      <c r="AE96" s="705"/>
      <c r="AF96" s="705"/>
      <c r="AG96" s="705"/>
      <c r="AH96" s="705"/>
      <c r="AI96" s="705"/>
      <c r="AJ96" s="705"/>
      <c r="AK96" s="706"/>
      <c r="AL96" s="706"/>
      <c r="AM96" s="706"/>
      <c r="AN96" s="706"/>
      <c r="AO96" s="706"/>
      <c r="AP96" s="706"/>
      <c r="AQ96" s="706"/>
      <c r="AR96" s="706"/>
      <c r="AS96" s="706"/>
      <c r="AT96" s="706"/>
      <c r="AU96" s="706"/>
      <c r="AV96" s="707"/>
      <c r="AW96" s="707"/>
      <c r="AX96" s="707"/>
      <c r="AY96" s="707"/>
      <c r="AZ96" s="707"/>
      <c r="BA96" s="707"/>
      <c r="BB96" s="707"/>
      <c r="BC96" s="707"/>
      <c r="BD96" s="707"/>
      <c r="BE96" s="707"/>
      <c r="BF96" s="707"/>
      <c r="BG96" s="707"/>
      <c r="BH96" s="699"/>
      <c r="BI96" s="699"/>
      <c r="BJ96" s="699"/>
      <c r="BK96" s="699"/>
      <c r="BL96" s="699"/>
      <c r="BM96" s="708"/>
      <c r="BN96" s="708"/>
      <c r="BO96" s="708"/>
      <c r="BP96" s="708"/>
      <c r="BQ96" s="708"/>
      <c r="BR96" s="708"/>
      <c r="BS96" s="708"/>
    </row>
    <row r="97" spans="1:71" ht="15" customHeight="1" x14ac:dyDescent="0.25">
      <c r="A97" s="44"/>
      <c r="H97" s="709"/>
      <c r="I97" s="709"/>
      <c r="J97" s="709"/>
      <c r="K97" s="52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705"/>
      <c r="Z97" s="705"/>
      <c r="AA97" s="705"/>
      <c r="AB97" s="705"/>
      <c r="AC97" s="705"/>
      <c r="AD97" s="705"/>
      <c r="AE97" s="705"/>
      <c r="AF97" s="705"/>
      <c r="AG97" s="705"/>
      <c r="AH97" s="705"/>
      <c r="AI97" s="705"/>
      <c r="AJ97" s="705"/>
      <c r="AK97" s="706"/>
      <c r="AL97" s="706"/>
      <c r="AM97" s="706"/>
      <c r="AN97" s="706"/>
      <c r="AO97" s="706"/>
      <c r="AP97" s="706"/>
      <c r="AQ97" s="706"/>
      <c r="AR97" s="706"/>
      <c r="AS97" s="706"/>
      <c r="AT97" s="706"/>
      <c r="AU97" s="706"/>
      <c r="AV97" s="707"/>
      <c r="AW97" s="707"/>
      <c r="AX97" s="707"/>
      <c r="AY97" s="707"/>
      <c r="AZ97" s="707"/>
      <c r="BA97" s="707"/>
      <c r="BB97" s="707"/>
      <c r="BC97" s="707"/>
      <c r="BD97" s="707"/>
      <c r="BE97" s="707"/>
      <c r="BF97" s="707"/>
      <c r="BG97" s="707"/>
      <c r="BH97" s="699"/>
      <c r="BI97" s="699"/>
      <c r="BJ97" s="699"/>
      <c r="BK97" s="699"/>
      <c r="BL97" s="699"/>
      <c r="BM97" s="708"/>
      <c r="BN97" s="708"/>
      <c r="BO97" s="708"/>
      <c r="BP97" s="708"/>
      <c r="BQ97" s="708"/>
      <c r="BR97" s="708"/>
      <c r="BS97" s="708"/>
    </row>
    <row r="98" spans="1:71" ht="15" customHeight="1" x14ac:dyDescent="0.25">
      <c r="A98" s="47"/>
      <c r="H98" s="709"/>
      <c r="I98" s="709"/>
      <c r="J98" s="709"/>
      <c r="K98" s="52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705"/>
      <c r="Z98" s="705"/>
      <c r="AA98" s="705"/>
      <c r="AB98" s="705"/>
      <c r="AC98" s="705"/>
      <c r="AD98" s="705"/>
      <c r="AE98" s="705"/>
      <c r="AF98" s="705"/>
      <c r="AG98" s="705"/>
      <c r="AH98" s="705"/>
      <c r="AI98" s="705"/>
      <c r="AJ98" s="705"/>
      <c r="AK98" s="706"/>
      <c r="AL98" s="706"/>
      <c r="AM98" s="706"/>
      <c r="AN98" s="706"/>
      <c r="AO98" s="706"/>
      <c r="AP98" s="706"/>
      <c r="AQ98" s="706"/>
      <c r="AR98" s="706"/>
      <c r="AS98" s="706"/>
      <c r="AT98" s="706"/>
      <c r="AU98" s="706"/>
      <c r="AV98" s="707"/>
      <c r="AW98" s="707"/>
      <c r="AX98" s="707"/>
      <c r="AY98" s="707"/>
      <c r="AZ98" s="707"/>
      <c r="BA98" s="707"/>
      <c r="BB98" s="707"/>
      <c r="BC98" s="707"/>
      <c r="BD98" s="707"/>
      <c r="BE98" s="707"/>
      <c r="BF98" s="707"/>
      <c r="BG98" s="707"/>
      <c r="BH98" s="699"/>
      <c r="BI98" s="699"/>
      <c r="BJ98" s="699"/>
      <c r="BK98" s="699"/>
      <c r="BL98" s="699"/>
      <c r="BM98" s="699" t="s">
        <v>121</v>
      </c>
      <c r="BN98" s="699"/>
      <c r="BO98" s="699"/>
      <c r="BP98" s="699"/>
      <c r="BQ98" s="699"/>
      <c r="BR98" s="699"/>
      <c r="BS98" s="699"/>
    </row>
    <row r="99" spans="1:71" ht="6" customHeight="1" x14ac:dyDescent="0.25">
      <c r="A99" s="47"/>
      <c r="H99" s="709"/>
      <c r="I99" s="709"/>
      <c r="J99" s="709"/>
      <c r="K99" s="52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705"/>
      <c r="Z99" s="705"/>
      <c r="AA99" s="705"/>
      <c r="AB99" s="705"/>
      <c r="AC99" s="705"/>
      <c r="AD99" s="705"/>
      <c r="AE99" s="705"/>
      <c r="AF99" s="705"/>
      <c r="AG99" s="705"/>
      <c r="AH99" s="705"/>
      <c r="AI99" s="705"/>
      <c r="AJ99" s="705"/>
      <c r="AK99" s="706"/>
      <c r="AL99" s="706"/>
      <c r="AM99" s="706"/>
      <c r="AN99" s="706"/>
      <c r="AO99" s="706"/>
      <c r="AP99" s="706"/>
      <c r="AQ99" s="706"/>
      <c r="AR99" s="706"/>
      <c r="AS99" s="706"/>
      <c r="AT99" s="706"/>
      <c r="AU99" s="706"/>
      <c r="AV99" s="707"/>
      <c r="AW99" s="707"/>
      <c r="AX99" s="707"/>
      <c r="AY99" s="707"/>
      <c r="AZ99" s="707"/>
      <c r="BA99" s="707"/>
      <c r="BB99" s="707"/>
      <c r="BC99" s="707"/>
      <c r="BD99" s="707"/>
      <c r="BE99" s="707"/>
      <c r="BF99" s="707"/>
      <c r="BG99" s="707"/>
      <c r="BH99" s="699"/>
      <c r="BI99" s="699"/>
      <c r="BJ99" s="699"/>
      <c r="BK99" s="699"/>
      <c r="BL99" s="699"/>
      <c r="BM99" s="699"/>
      <c r="BN99" s="699"/>
      <c r="BO99" s="699"/>
      <c r="BP99" s="699"/>
      <c r="BQ99" s="699"/>
      <c r="BR99" s="699"/>
      <c r="BS99" s="699"/>
    </row>
    <row r="100" spans="1:71" ht="15" hidden="1" customHeight="1" x14ac:dyDescent="0.25">
      <c r="A100" s="47"/>
      <c r="B100" s="47"/>
      <c r="C100" s="47"/>
      <c r="D100" s="69"/>
      <c r="E100" s="69"/>
      <c r="F100" s="47"/>
      <c r="G100" s="47"/>
      <c r="H100" s="47"/>
      <c r="I100" s="69"/>
      <c r="J100" s="69"/>
      <c r="K100" s="47"/>
      <c r="L100" s="47"/>
      <c r="M100" s="47"/>
      <c r="N100" s="69"/>
      <c r="O100" s="69"/>
      <c r="P100" s="47"/>
      <c r="Q100" s="47"/>
      <c r="R100" s="47"/>
      <c r="S100" s="69"/>
      <c r="T100" s="69"/>
      <c r="U100" s="47"/>
      <c r="V100" s="47"/>
      <c r="W100" s="47"/>
      <c r="X100" s="69"/>
      <c r="Y100" s="69"/>
      <c r="Z100" s="47"/>
      <c r="AA100" s="47"/>
      <c r="AB100" s="47"/>
      <c r="AC100" s="69"/>
      <c r="AD100" s="69"/>
      <c r="AE100" s="47"/>
      <c r="AF100" s="47"/>
      <c r="AG100" s="47"/>
      <c r="AH100" s="69"/>
      <c r="AI100" s="69"/>
      <c r="AJ100" s="47"/>
      <c r="AK100" s="47"/>
      <c r="AL100" s="47"/>
      <c r="AM100" s="69"/>
      <c r="AN100" s="69"/>
      <c r="AO100" s="47"/>
      <c r="AP100" s="47"/>
      <c r="AQ100" s="47"/>
      <c r="AR100" s="69"/>
      <c r="AS100" s="69"/>
      <c r="AT100" s="47"/>
      <c r="AU100" s="47"/>
      <c r="AV100" s="47"/>
      <c r="AW100" s="69"/>
      <c r="AX100" s="69"/>
      <c r="AY100" s="47"/>
      <c r="AZ100" s="47"/>
      <c r="BA100" s="47"/>
      <c r="BB100" s="69"/>
      <c r="BC100" s="69"/>
      <c r="BD100" s="47"/>
      <c r="BE100" s="47"/>
      <c r="BF100" s="47"/>
      <c r="BG100" s="69"/>
      <c r="BH100" s="69"/>
      <c r="BI100" s="47"/>
      <c r="BJ100" s="47"/>
      <c r="BK100" s="47"/>
      <c r="BL100" s="69"/>
      <c r="BM100" s="699"/>
      <c r="BN100" s="699"/>
      <c r="BO100" s="699"/>
      <c r="BP100" s="699"/>
      <c r="BQ100" s="699"/>
      <c r="BR100" s="699"/>
      <c r="BS100" s="699"/>
    </row>
    <row r="101" spans="1:71" ht="22.5" customHeight="1" x14ac:dyDescent="0.25">
      <c r="A101" s="70"/>
      <c r="B101" s="72" cm="1">
        <f t="array" aca="1" ref="B101" ca="1">SUM(COUNTIF(INDIRECT({"B8","G8","L8","Q8","V8","AA8","AF8","AK8","AP8","AU8","AZ8","BE8","BJ8","BO8","B15","G15","L15","Q15","V15","AA15","AF15","AK15","AP15","AU15","AZ15","BE15","BJ15","BO15","B22","G22","L22","Q22","V22","AA22","AF22","AK22","AP22","AU22","AZ22","BE22","BJ22","BO22","B29","G29","L29","Q29","V29","AA29","AF29","AK29","AP29","AU29","AZ29","BE29","BJ29","BO29","B36","G36","L36","Q36","V36","AA36","AF36","AK36","AP36","AU36","AZ36","BE36","BJ36","BO36","B43","G43","L43","Q43","V43","AA43","AF43","AK43","AP43","AU43","AZ43","BE43","BJ43","BO43","B50","G50","L50","Q50","V50","AA50","AF50","AK50","AP50","AU50","AZ50","BE50","BJ50","BO50","B57","G57","L57","Q57","V57","AA57","AF57","AK57","AP57","AU57","AZ57","BE57","BJ57","BO57","B77","G77","L77","Q77","V77","AA77","AF77","AK77","AP77","AU77","AZ77","BE77","BJ77","BO77","B84","G84","L84","Q84","V84"}),"&gt;0"))</f>
        <v>130</v>
      </c>
      <c r="C101" s="72"/>
      <c r="D101" s="72"/>
      <c r="E101" s="72"/>
      <c r="F101" s="70"/>
      <c r="G101" s="72"/>
      <c r="H101" s="72"/>
      <c r="I101" s="72"/>
      <c r="J101" s="72"/>
      <c r="K101" s="70"/>
      <c r="L101" s="72"/>
      <c r="M101" s="72"/>
      <c r="N101" s="72"/>
      <c r="O101" s="72"/>
      <c r="P101" s="70"/>
      <c r="Q101" s="72"/>
      <c r="R101" s="72"/>
      <c r="S101" s="72"/>
      <c r="T101" s="72"/>
      <c r="U101" s="70"/>
      <c r="V101" s="72"/>
      <c r="W101" s="72"/>
      <c r="X101" s="72"/>
      <c r="Y101" s="72"/>
      <c r="Z101" s="70"/>
      <c r="AA101" s="72"/>
      <c r="AB101" s="72"/>
      <c r="AC101" s="72"/>
      <c r="AD101" s="72"/>
      <c r="AE101" s="70"/>
      <c r="AF101" s="72"/>
      <c r="AG101" s="72"/>
      <c r="AH101" s="72"/>
      <c r="AI101" s="72"/>
      <c r="AJ101" s="70"/>
      <c r="AK101" s="72"/>
      <c r="AL101" s="72"/>
      <c r="AM101" s="72"/>
      <c r="AN101" s="72"/>
      <c r="AO101" s="70"/>
      <c r="AP101" s="72"/>
      <c r="AQ101" s="72"/>
      <c r="AR101" s="72"/>
      <c r="AS101" s="72"/>
      <c r="AT101" s="70"/>
      <c r="AU101" s="72"/>
      <c r="AV101" s="72"/>
      <c r="AW101" s="72"/>
      <c r="AX101" s="72"/>
      <c r="AY101" s="70"/>
      <c r="AZ101" s="72"/>
      <c r="BA101" s="72"/>
      <c r="BB101" s="72"/>
      <c r="BC101" s="72"/>
      <c r="BD101" s="70"/>
      <c r="BE101" s="72"/>
      <c r="BF101" s="72"/>
      <c r="BG101" s="72"/>
      <c r="BH101" s="72"/>
      <c r="BI101" s="70"/>
      <c r="BJ101" s="72"/>
      <c r="BK101" s="72"/>
      <c r="BL101" s="72"/>
      <c r="BM101" s="699"/>
      <c r="BN101" s="699"/>
      <c r="BO101" s="699"/>
      <c r="BP101" s="699"/>
      <c r="BQ101" s="699"/>
      <c r="BR101" s="699"/>
      <c r="BS101" s="699"/>
    </row>
    <row r="102" spans="1:71" ht="29.25" customHeight="1" x14ac:dyDescent="0.25">
      <c r="A102" s="70"/>
      <c r="B102" s="32"/>
      <c r="C102" s="33"/>
      <c r="D102" s="34"/>
      <c r="E102" s="35"/>
      <c r="F102" s="70"/>
      <c r="G102" s="32"/>
      <c r="H102" s="33"/>
      <c r="I102" s="34"/>
      <c r="J102" s="35"/>
      <c r="K102" s="70"/>
      <c r="L102" s="32"/>
      <c r="M102" s="33"/>
      <c r="N102" s="34"/>
      <c r="O102" s="35"/>
      <c r="P102" s="70"/>
      <c r="Q102" s="32"/>
      <c r="R102" s="33"/>
      <c r="S102" s="34"/>
      <c r="T102" s="35"/>
      <c r="U102" s="70"/>
      <c r="V102" s="32"/>
      <c r="W102" s="33"/>
      <c r="X102" s="34"/>
      <c r="Y102" s="35"/>
      <c r="Z102" s="70"/>
      <c r="AA102" s="32"/>
      <c r="AB102" s="33"/>
      <c r="AC102" s="34"/>
      <c r="AD102" s="35"/>
      <c r="AE102" s="70"/>
      <c r="AF102" s="32"/>
      <c r="AG102" s="33"/>
      <c r="AH102" s="34"/>
      <c r="AI102" s="35"/>
      <c r="AJ102" s="70"/>
      <c r="AK102" s="32"/>
      <c r="AL102" s="33"/>
      <c r="AM102" s="34"/>
      <c r="AN102" s="35"/>
      <c r="AO102" s="70"/>
      <c r="AP102" s="32"/>
      <c r="AQ102" s="33"/>
      <c r="AR102" s="34"/>
      <c r="AS102" s="35"/>
      <c r="AT102" s="70"/>
      <c r="AU102" s="32"/>
      <c r="AV102" s="33"/>
      <c r="AW102" s="34"/>
      <c r="AX102" s="35"/>
      <c r="AY102" s="70"/>
      <c r="AZ102" s="32"/>
      <c r="BA102" s="33"/>
      <c r="BB102" s="34"/>
      <c r="BC102" s="35"/>
      <c r="BD102" s="70"/>
      <c r="BE102" s="32"/>
      <c r="BF102" s="33"/>
      <c r="BG102" s="34"/>
      <c r="BH102" s="35"/>
      <c r="BI102" s="70"/>
      <c r="BJ102" s="32"/>
      <c r="BK102" s="33"/>
      <c r="BL102" s="34"/>
      <c r="BM102" s="35"/>
      <c r="BN102" s="70"/>
      <c r="BO102" s="32"/>
      <c r="BP102" s="33"/>
      <c r="BQ102" s="34"/>
      <c r="BR102" s="35"/>
    </row>
    <row r="103" spans="1:71" ht="15" customHeight="1" x14ac:dyDescent="0.25">
      <c r="A103" s="44"/>
      <c r="B103" s="44"/>
      <c r="C103" s="44"/>
      <c r="D103" s="69"/>
      <c r="E103" s="69"/>
      <c r="F103" s="44"/>
      <c r="G103" s="44"/>
      <c r="H103" s="44"/>
      <c r="I103" s="69"/>
      <c r="J103" s="69"/>
      <c r="K103" s="44"/>
      <c r="L103" s="44"/>
      <c r="M103" s="44"/>
      <c r="N103" s="69"/>
      <c r="O103" s="69"/>
      <c r="P103" s="44"/>
      <c r="Q103" s="44"/>
      <c r="R103" s="44"/>
      <c r="S103" s="69"/>
      <c r="T103" s="69"/>
      <c r="U103" s="44"/>
      <c r="V103" s="44"/>
      <c r="W103" s="44"/>
      <c r="X103" s="69"/>
      <c r="Y103" s="69"/>
      <c r="Z103" s="44"/>
      <c r="AA103" s="44"/>
      <c r="AB103" s="44"/>
      <c r="AC103" s="69"/>
      <c r="AD103" s="69"/>
      <c r="AE103" s="44"/>
      <c r="AF103" s="44"/>
      <c r="AG103" s="44"/>
      <c r="AH103" s="69"/>
      <c r="AI103" s="69"/>
      <c r="AJ103" s="44"/>
      <c r="AK103" s="44"/>
      <c r="AL103" s="44"/>
      <c r="AM103" s="69"/>
      <c r="AN103" s="69"/>
      <c r="AO103" s="44"/>
      <c r="AP103" s="44"/>
      <c r="AQ103" s="44"/>
      <c r="AR103" s="69"/>
      <c r="AS103" s="69"/>
      <c r="AT103" s="44"/>
      <c r="AU103" s="44"/>
      <c r="AV103" s="44"/>
      <c r="AW103" s="69"/>
      <c r="AX103" s="69"/>
      <c r="AY103" s="44"/>
      <c r="AZ103" s="44"/>
      <c r="BA103" s="44"/>
      <c r="BB103" s="69"/>
      <c r="BC103" s="69"/>
      <c r="BD103" s="44"/>
      <c r="BE103" s="44"/>
      <c r="BF103" s="44"/>
      <c r="BG103" s="69"/>
      <c r="BH103" s="69"/>
      <c r="BI103" s="44"/>
      <c r="BJ103" s="44"/>
      <c r="BK103" s="44"/>
      <c r="BL103" s="69"/>
      <c r="BM103" s="69"/>
      <c r="BN103" s="44"/>
      <c r="BO103" s="44"/>
      <c r="BP103" s="44"/>
      <c r="BQ103" s="69"/>
      <c r="BR103" s="69"/>
    </row>
    <row r="104" spans="1:71" ht="15" customHeight="1" x14ac:dyDescent="0.25">
      <c r="A104" s="47"/>
      <c r="B104" s="47"/>
      <c r="C104" s="47"/>
      <c r="D104" s="69"/>
      <c r="E104" s="69"/>
      <c r="F104" s="47"/>
      <c r="G104" s="47"/>
      <c r="H104" s="47"/>
      <c r="I104" s="69"/>
      <c r="J104" s="69"/>
      <c r="K104" s="47"/>
      <c r="L104" s="47"/>
      <c r="M104" s="47"/>
      <c r="N104" s="69"/>
      <c r="O104" s="69"/>
      <c r="P104" s="47"/>
      <c r="Q104" s="47"/>
      <c r="R104" s="47"/>
      <c r="S104" s="69"/>
      <c r="T104" s="69"/>
      <c r="U104" s="47"/>
      <c r="V104" s="47"/>
      <c r="W104" s="47"/>
      <c r="X104" s="69"/>
      <c r="Y104" s="69"/>
      <c r="Z104" s="47"/>
      <c r="AA104" s="47"/>
      <c r="AB104" s="47"/>
      <c r="AC104" s="69"/>
      <c r="AD104" s="69"/>
      <c r="AE104" s="47"/>
      <c r="AF104" s="47"/>
      <c r="AG104" s="47"/>
      <c r="AH104" s="69"/>
      <c r="AI104" s="69"/>
      <c r="AJ104" s="47"/>
      <c r="AK104" s="47"/>
      <c r="AL104" s="47"/>
      <c r="AM104" s="69"/>
      <c r="AN104" s="69"/>
      <c r="AO104" s="47"/>
      <c r="AP104" s="47"/>
      <c r="AQ104" s="47"/>
      <c r="AR104" s="69"/>
      <c r="AS104" s="69"/>
      <c r="AT104" s="47"/>
      <c r="AU104" s="47"/>
      <c r="AV104" s="47"/>
      <c r="AW104" s="69"/>
      <c r="AX104" s="69"/>
      <c r="AY104" s="47"/>
      <c r="AZ104" s="47"/>
      <c r="BA104" s="47"/>
      <c r="BB104" s="69"/>
      <c r="BC104" s="69"/>
      <c r="BD104" s="47"/>
      <c r="BE104" s="47"/>
      <c r="BF104" s="47"/>
      <c r="BG104" s="69"/>
      <c r="BH104" s="69"/>
      <c r="BI104" s="47"/>
      <c r="BJ104" s="47"/>
      <c r="BK104" s="47"/>
      <c r="BL104" s="69"/>
      <c r="BM104" s="69"/>
      <c r="BN104" s="47"/>
      <c r="BO104" s="47"/>
      <c r="BP104" s="47"/>
      <c r="BQ104" s="69"/>
      <c r="BR104" s="69"/>
    </row>
    <row r="105" spans="1:71" ht="3.75" customHeight="1" thickBot="1" x14ac:dyDescent="0.3">
      <c r="A105" s="47"/>
      <c r="B105" s="47"/>
      <c r="C105" s="47"/>
      <c r="D105" s="101"/>
      <c r="E105" s="69"/>
      <c r="F105" s="47"/>
      <c r="G105" s="47"/>
      <c r="H105" s="47"/>
      <c r="I105" s="101"/>
      <c r="J105" s="69"/>
      <c r="K105" s="47"/>
      <c r="L105" s="47"/>
      <c r="M105" s="47"/>
      <c r="N105" s="101"/>
      <c r="O105" s="69"/>
      <c r="P105" s="47"/>
      <c r="Q105" s="47"/>
      <c r="R105" s="47"/>
      <c r="S105" s="101"/>
      <c r="T105" s="69"/>
      <c r="U105" s="47"/>
      <c r="V105" s="47"/>
      <c r="W105" s="47"/>
      <c r="X105" s="101"/>
      <c r="Y105" s="69"/>
      <c r="Z105" s="47"/>
      <c r="AA105" s="47"/>
      <c r="AB105" s="47"/>
      <c r="AC105" s="101"/>
      <c r="AD105" s="104"/>
      <c r="AE105" s="103"/>
      <c r="AF105" s="103"/>
      <c r="AG105" s="103"/>
      <c r="AH105" s="103"/>
      <c r="AI105" s="103"/>
      <c r="AJ105" s="103"/>
      <c r="AK105" s="103"/>
      <c r="AL105" s="103"/>
      <c r="AM105" s="103"/>
      <c r="AN105" s="103"/>
      <c r="AO105" s="103"/>
      <c r="AP105" s="103"/>
      <c r="AQ105" s="103"/>
      <c r="AR105" s="103"/>
      <c r="AS105" s="103"/>
      <c r="AT105" s="103"/>
      <c r="AU105" s="103"/>
      <c r="AV105" s="103"/>
      <c r="AW105" s="103"/>
      <c r="AX105" s="103"/>
      <c r="AY105" s="103"/>
      <c r="AZ105" s="103"/>
      <c r="BA105" s="103"/>
      <c r="BB105" s="103"/>
      <c r="BC105" s="103"/>
      <c r="BD105" s="103"/>
      <c r="BE105" s="103"/>
      <c r="BF105" s="103"/>
      <c r="BG105" s="103"/>
      <c r="BH105" s="103"/>
      <c r="BI105" s="103"/>
      <c r="BJ105" s="103"/>
      <c r="BK105" s="103"/>
      <c r="BL105" s="102"/>
      <c r="BM105" s="69"/>
      <c r="BN105" s="47"/>
      <c r="BO105" s="47"/>
      <c r="BP105" s="47"/>
      <c r="BQ105" s="101"/>
      <c r="BR105" s="69"/>
    </row>
    <row r="106" spans="1:71" ht="15" hidden="1" customHeight="1" x14ac:dyDescent="0.25">
      <c r="A106" s="47"/>
      <c r="B106" s="47"/>
      <c r="C106" s="47"/>
      <c r="D106" s="69"/>
      <c r="E106" s="69"/>
      <c r="F106" s="47"/>
      <c r="G106" s="47"/>
      <c r="H106" s="47"/>
      <c r="I106" s="69"/>
      <c r="J106" s="69"/>
      <c r="K106" s="47"/>
      <c r="L106" s="47"/>
      <c r="M106" s="47"/>
      <c r="N106" s="69"/>
      <c r="O106" s="69"/>
      <c r="P106" s="47"/>
      <c r="Q106" s="47"/>
      <c r="R106" s="47"/>
      <c r="S106" s="69"/>
      <c r="T106" s="69"/>
      <c r="U106" s="47"/>
      <c r="V106" s="47"/>
      <c r="W106" s="47"/>
      <c r="X106" s="69"/>
      <c r="Y106" s="69"/>
      <c r="Z106" s="47"/>
      <c r="AA106" s="47"/>
      <c r="AB106" s="47"/>
      <c r="AC106" s="69"/>
      <c r="AD106" s="100"/>
      <c r="BL106" s="99"/>
      <c r="BM106" s="69"/>
      <c r="BN106" s="47"/>
      <c r="BO106" s="47"/>
      <c r="BP106" s="47"/>
      <c r="BQ106" s="69"/>
      <c r="BR106" s="69"/>
    </row>
    <row r="107" spans="1:71" ht="33.75" customHeight="1" thickTop="1" x14ac:dyDescent="0.25">
      <c r="A107" s="70"/>
      <c r="B107" s="72"/>
      <c r="C107" s="72"/>
      <c r="D107" s="72"/>
      <c r="E107" s="72"/>
      <c r="F107" s="70"/>
      <c r="G107" s="72"/>
      <c r="H107" s="72"/>
      <c r="I107" s="72"/>
      <c r="J107" s="72"/>
      <c r="K107" s="70"/>
      <c r="L107" s="72"/>
      <c r="M107" s="72"/>
      <c r="N107" s="72"/>
      <c r="O107" s="72"/>
      <c r="P107" s="70"/>
      <c r="Q107" s="72"/>
      <c r="R107" s="72"/>
      <c r="S107" s="72"/>
      <c r="T107" s="72"/>
      <c r="U107" s="70"/>
      <c r="V107" s="72"/>
      <c r="W107" s="72"/>
      <c r="X107" s="72"/>
      <c r="Y107" s="72"/>
      <c r="Z107" s="70"/>
      <c r="AA107" s="72"/>
      <c r="AB107" s="72"/>
      <c r="AC107" s="72"/>
      <c r="AD107" s="100"/>
      <c r="AF107" s="775">
        <v>129.15</v>
      </c>
      <c r="AG107" s="776"/>
      <c r="AH107" s="776"/>
      <c r="AI107" s="776"/>
      <c r="AJ107" s="777"/>
      <c r="AN107" s="727" t="s">
        <v>122</v>
      </c>
      <c r="AO107" s="727"/>
      <c r="AP107" s="727"/>
      <c r="AQ107" s="727" t="s">
        <v>123</v>
      </c>
      <c r="AR107" s="727"/>
      <c r="AS107" s="727"/>
      <c r="AT107" s="727" t="s">
        <v>124</v>
      </c>
      <c r="AU107" s="727"/>
      <c r="AV107" s="727" t="s">
        <v>125</v>
      </c>
      <c r="AW107" s="727"/>
      <c r="BA107" s="739" t="s">
        <v>126</v>
      </c>
      <c r="BB107" s="740"/>
      <c r="BC107" s="740"/>
      <c r="BD107" s="740"/>
      <c r="BE107" s="740"/>
      <c r="BF107" s="740"/>
      <c r="BG107" s="740"/>
      <c r="BH107" s="740"/>
      <c r="BI107" s="740"/>
      <c r="BJ107" s="741"/>
      <c r="BK107" s="13"/>
      <c r="BL107" s="99"/>
      <c r="BM107" s="72"/>
      <c r="BN107" s="70"/>
      <c r="BO107" s="72"/>
      <c r="BP107" s="72"/>
      <c r="BQ107" s="72"/>
      <c r="BR107" s="72"/>
    </row>
    <row r="108" spans="1:71" ht="31.5" customHeight="1" x14ac:dyDescent="0.25">
      <c r="A108" s="70"/>
      <c r="B108" s="32"/>
      <c r="C108" s="33"/>
      <c r="D108" s="34"/>
      <c r="E108" s="35"/>
      <c r="F108" s="70"/>
      <c r="G108" s="32"/>
      <c r="H108" s="33"/>
      <c r="I108" s="34"/>
      <c r="J108" s="35"/>
      <c r="K108" s="70"/>
      <c r="L108" s="32"/>
      <c r="M108" s="33"/>
      <c r="N108" s="34"/>
      <c r="O108" s="35"/>
      <c r="P108" s="70"/>
      <c r="Q108" s="32"/>
      <c r="R108" s="33"/>
      <c r="S108" s="34"/>
      <c r="T108" s="35"/>
      <c r="U108" s="70"/>
      <c r="V108" s="32"/>
      <c r="W108" s="33"/>
      <c r="X108" s="34"/>
      <c r="Y108" s="35"/>
      <c r="Z108" s="70"/>
      <c r="AA108" s="32"/>
      <c r="AB108" s="33"/>
      <c r="AC108" s="34"/>
      <c r="AD108" s="100"/>
      <c r="AF108" s="778"/>
      <c r="AG108" s="779"/>
      <c r="AH108" s="779"/>
      <c r="AI108" s="779"/>
      <c r="AJ108" s="780"/>
      <c r="AN108" s="727"/>
      <c r="AO108" s="727"/>
      <c r="AP108" s="727"/>
      <c r="AQ108" s="727"/>
      <c r="AR108" s="727"/>
      <c r="AS108" s="727"/>
      <c r="AT108" s="727"/>
      <c r="AU108" s="727"/>
      <c r="AV108" s="727"/>
      <c r="AW108" s="727"/>
      <c r="BA108" s="750"/>
      <c r="BB108" s="751"/>
      <c r="BC108" s="751"/>
      <c r="BD108" s="751"/>
      <c r="BE108" s="751"/>
      <c r="BF108" s="751"/>
      <c r="BG108" s="751"/>
      <c r="BH108" s="751"/>
      <c r="BI108" s="751"/>
      <c r="BJ108" s="752"/>
      <c r="BK108" s="13"/>
      <c r="BL108" s="99"/>
      <c r="BM108" s="35"/>
      <c r="BN108" s="70"/>
      <c r="BO108" s="32"/>
      <c r="BP108" s="33"/>
      <c r="BQ108" s="34"/>
      <c r="BR108" s="35"/>
    </row>
    <row r="109" spans="1:71" ht="15" customHeight="1" x14ac:dyDescent="0.25">
      <c r="A109" s="44"/>
      <c r="B109" s="44"/>
      <c r="C109" s="44"/>
      <c r="D109" s="69"/>
      <c r="E109" s="69"/>
      <c r="F109" s="44"/>
      <c r="G109" s="44"/>
      <c r="H109" s="44"/>
      <c r="I109" s="69"/>
      <c r="J109" s="69"/>
      <c r="K109" s="44"/>
      <c r="L109" s="44"/>
      <c r="M109" s="44"/>
      <c r="N109" s="69"/>
      <c r="O109" s="69"/>
      <c r="P109" s="44"/>
      <c r="Q109" s="44"/>
      <c r="R109" s="44"/>
      <c r="S109" s="69"/>
      <c r="T109" s="69"/>
      <c r="U109" s="44"/>
      <c r="V109" s="44"/>
      <c r="W109" s="44"/>
      <c r="X109" s="69"/>
      <c r="Y109" s="69"/>
      <c r="Z109" s="44"/>
      <c r="AA109" s="44"/>
      <c r="AB109" s="44"/>
      <c r="AC109" s="69"/>
      <c r="AD109" s="100"/>
      <c r="AF109" s="778"/>
      <c r="AG109" s="779"/>
      <c r="AH109" s="779"/>
      <c r="AI109" s="779"/>
      <c r="AJ109" s="780"/>
      <c r="AN109" s="727"/>
      <c r="AO109" s="727"/>
      <c r="AP109" s="727"/>
      <c r="AQ109" s="727"/>
      <c r="AR109" s="727"/>
      <c r="AS109" s="727"/>
      <c r="AT109" s="727"/>
      <c r="AU109" s="727"/>
      <c r="AV109" s="727"/>
      <c r="AW109" s="727"/>
      <c r="BA109" s="742"/>
      <c r="BB109" s="743"/>
      <c r="BC109" s="743"/>
      <c r="BD109" s="743"/>
      <c r="BE109" s="743"/>
      <c r="BF109" s="743"/>
      <c r="BG109" s="743"/>
      <c r="BH109" s="743"/>
      <c r="BI109" s="743"/>
      <c r="BJ109" s="744"/>
      <c r="BK109" s="13"/>
      <c r="BL109" s="99"/>
      <c r="BM109" s="69"/>
      <c r="BN109" s="44"/>
      <c r="BO109" s="44"/>
      <c r="BP109" s="44"/>
      <c r="BQ109" s="69"/>
      <c r="BR109" s="69"/>
    </row>
    <row r="110" spans="1:71" ht="33.75" customHeight="1" x14ac:dyDescent="0.25">
      <c r="A110" s="47"/>
      <c r="B110" s="47"/>
      <c r="C110" s="47"/>
      <c r="D110" s="69"/>
      <c r="E110" s="69"/>
      <c r="F110" s="47"/>
      <c r="G110" s="47"/>
      <c r="H110" s="47"/>
      <c r="I110" s="69"/>
      <c r="J110" s="69"/>
      <c r="K110" s="47"/>
      <c r="L110" s="47"/>
      <c r="M110" s="47"/>
      <c r="N110" s="69"/>
      <c r="O110" s="69"/>
      <c r="P110" s="47"/>
      <c r="Q110" s="47"/>
      <c r="R110" s="47"/>
      <c r="S110" s="69"/>
      <c r="T110" s="69"/>
      <c r="U110" s="47"/>
      <c r="V110" s="47"/>
      <c r="W110" s="47"/>
      <c r="X110" s="69"/>
      <c r="Y110" s="69"/>
      <c r="Z110" s="47"/>
      <c r="AA110" s="47"/>
      <c r="AB110" s="47"/>
      <c r="AC110" s="69"/>
      <c r="AD110" s="100"/>
      <c r="AF110" s="778"/>
      <c r="AG110" s="779"/>
      <c r="AH110" s="779"/>
      <c r="AI110" s="779"/>
      <c r="AJ110" s="780"/>
      <c r="AN110" s="774">
        <v>11921</v>
      </c>
      <c r="AO110" s="774"/>
      <c r="AP110" s="774"/>
      <c r="AQ110" s="774">
        <f ca="1">AV126</f>
        <v>11830</v>
      </c>
      <c r="AR110" s="774"/>
      <c r="AS110" s="774"/>
      <c r="AT110" s="726">
        <f>AV94</f>
        <v>129.47671000000011</v>
      </c>
      <c r="AU110" s="726"/>
      <c r="AV110" s="726">
        <f>AV94+BM94</f>
        <v>204.47671000000011</v>
      </c>
      <c r="AW110" s="726"/>
      <c r="BA110" s="727" t="s">
        <v>128</v>
      </c>
      <c r="BB110" s="727"/>
      <c r="BC110" s="727"/>
      <c r="BD110" s="727"/>
      <c r="BE110" s="727"/>
      <c r="BF110" s="727"/>
      <c r="BG110" s="727"/>
      <c r="BH110" s="727"/>
      <c r="BI110" s="727"/>
      <c r="BJ110" s="727"/>
      <c r="BK110" s="13"/>
      <c r="BL110" s="99"/>
      <c r="BM110" s="69"/>
      <c r="BN110" s="47"/>
      <c r="BO110" s="47"/>
      <c r="BP110" s="47"/>
      <c r="BQ110" s="69"/>
      <c r="BR110" s="69"/>
    </row>
    <row r="111" spans="1:71" ht="6.75" customHeight="1" x14ac:dyDescent="0.25">
      <c r="A111" s="47"/>
      <c r="B111" s="47"/>
      <c r="C111" s="47"/>
      <c r="D111" s="101"/>
      <c r="E111" s="69"/>
      <c r="F111" s="47"/>
      <c r="G111" s="47"/>
      <c r="H111" s="47"/>
      <c r="I111" s="101"/>
      <c r="J111" s="69"/>
      <c r="K111" s="47"/>
      <c r="L111" s="47"/>
      <c r="M111" s="47"/>
      <c r="N111" s="101"/>
      <c r="O111" s="69"/>
      <c r="P111" s="47"/>
      <c r="Q111" s="47"/>
      <c r="R111" s="47"/>
      <c r="S111" s="101"/>
      <c r="T111" s="69"/>
      <c r="U111" s="47"/>
      <c r="V111" s="47"/>
      <c r="W111" s="47"/>
      <c r="X111" s="101"/>
      <c r="Y111" s="69"/>
      <c r="Z111" s="47"/>
      <c r="AA111" s="47"/>
      <c r="AB111" s="47"/>
      <c r="AC111" s="101"/>
      <c r="AD111" s="100"/>
      <c r="AF111" s="778"/>
      <c r="AG111" s="779"/>
      <c r="AH111" s="779"/>
      <c r="AI111" s="779"/>
      <c r="AJ111" s="780"/>
      <c r="AN111" s="774"/>
      <c r="AO111" s="774"/>
      <c r="AP111" s="774"/>
      <c r="AQ111" s="774"/>
      <c r="AR111" s="774"/>
      <c r="AS111" s="774"/>
      <c r="AT111" s="726"/>
      <c r="AU111" s="726"/>
      <c r="AV111" s="726"/>
      <c r="AW111" s="726"/>
      <c r="BA111" s="727"/>
      <c r="BB111" s="727"/>
      <c r="BC111" s="727"/>
      <c r="BD111" s="727"/>
      <c r="BE111" s="727"/>
      <c r="BF111" s="727"/>
      <c r="BG111" s="727"/>
      <c r="BH111" s="727"/>
      <c r="BI111" s="727"/>
      <c r="BJ111" s="727"/>
      <c r="BK111" s="13"/>
      <c r="BL111" s="99"/>
      <c r="BM111" s="69"/>
      <c r="BN111" s="47"/>
      <c r="BO111" s="47"/>
      <c r="BP111" s="47"/>
      <c r="BQ111" s="101"/>
      <c r="BR111" s="69"/>
    </row>
    <row r="112" spans="1:71" ht="15" hidden="1" customHeight="1" x14ac:dyDescent="0.25">
      <c r="A112" s="47"/>
      <c r="B112" s="47"/>
      <c r="C112" s="47"/>
      <c r="D112" s="69"/>
      <c r="E112" s="69"/>
      <c r="F112" s="47"/>
      <c r="G112" s="47"/>
      <c r="H112" s="47"/>
      <c r="I112" s="69"/>
      <c r="J112" s="69"/>
      <c r="K112" s="47"/>
      <c r="L112" s="47"/>
      <c r="M112" s="47"/>
      <c r="N112" s="69"/>
      <c r="O112" s="69"/>
      <c r="P112" s="47"/>
      <c r="Q112" s="47"/>
      <c r="R112" s="47"/>
      <c r="S112" s="69"/>
      <c r="T112" s="69"/>
      <c r="U112" s="47"/>
      <c r="V112" s="47"/>
      <c r="W112" s="47"/>
      <c r="X112" s="69"/>
      <c r="Y112" s="69"/>
      <c r="Z112" s="47"/>
      <c r="AA112" s="47"/>
      <c r="AB112" s="47"/>
      <c r="AC112" s="69"/>
      <c r="AD112" s="100"/>
      <c r="AF112" s="778"/>
      <c r="AG112" s="779"/>
      <c r="AH112" s="779"/>
      <c r="AI112" s="779"/>
      <c r="AJ112" s="780"/>
      <c r="AN112" s="774"/>
      <c r="AO112" s="774"/>
      <c r="AP112" s="774"/>
      <c r="AQ112" s="774"/>
      <c r="AR112" s="774"/>
      <c r="AS112" s="774"/>
      <c r="AT112" s="726"/>
      <c r="AU112" s="726"/>
      <c r="AV112" s="726"/>
      <c r="AW112" s="726"/>
      <c r="BA112" s="728">
        <f ca="1">AT110/((30*3.1415/51)*(AQ110/3.281))</f>
        <v>1.9432335436052349E-2</v>
      </c>
      <c r="BB112" s="729"/>
      <c r="BC112" s="729"/>
      <c r="BD112" s="729"/>
      <c r="BE112" s="729"/>
      <c r="BF112" s="729"/>
      <c r="BG112" s="729"/>
      <c r="BH112" s="729"/>
      <c r="BI112" s="729"/>
      <c r="BJ112" s="730"/>
      <c r="BK112" s="57"/>
      <c r="BL112" s="99"/>
      <c r="BM112" s="69"/>
      <c r="BN112" s="47"/>
      <c r="BO112" s="47"/>
      <c r="BP112" s="47"/>
      <c r="BQ112" s="69"/>
      <c r="BR112" s="69"/>
    </row>
    <row r="113" spans="1:70" ht="24.75" customHeight="1" thickBot="1" x14ac:dyDescent="0.3">
      <c r="A113" s="70"/>
      <c r="B113" s="72"/>
      <c r="C113" s="72"/>
      <c r="D113" s="72"/>
      <c r="E113" s="72"/>
      <c r="F113" s="70"/>
      <c r="G113" s="72"/>
      <c r="H113" s="72"/>
      <c r="I113" s="72"/>
      <c r="J113" s="72"/>
      <c r="K113" s="70"/>
      <c r="L113" s="72"/>
      <c r="M113" s="72"/>
      <c r="N113" s="72"/>
      <c r="O113" s="72"/>
      <c r="P113" s="70"/>
      <c r="Q113" s="72"/>
      <c r="R113" s="72"/>
      <c r="S113" s="72"/>
      <c r="T113" s="72"/>
      <c r="U113" s="70"/>
      <c r="V113" s="72"/>
      <c r="W113" s="72"/>
      <c r="X113" s="72"/>
      <c r="Y113" s="72"/>
      <c r="Z113" s="70"/>
      <c r="AA113" s="72"/>
      <c r="AB113" s="72"/>
      <c r="AC113" s="72"/>
      <c r="AD113" s="100"/>
      <c r="AF113" s="781"/>
      <c r="AG113" s="782"/>
      <c r="AH113" s="782"/>
      <c r="AI113" s="782"/>
      <c r="AJ113" s="783"/>
      <c r="AN113" s="774"/>
      <c r="AO113" s="774"/>
      <c r="AP113" s="774"/>
      <c r="AQ113" s="774"/>
      <c r="AR113" s="774"/>
      <c r="AS113" s="774"/>
      <c r="AT113" s="726"/>
      <c r="AU113" s="726"/>
      <c r="AV113" s="726"/>
      <c r="AW113" s="726"/>
      <c r="BA113" s="731"/>
      <c r="BB113" s="732"/>
      <c r="BC113" s="732"/>
      <c r="BD113" s="732"/>
      <c r="BE113" s="732"/>
      <c r="BF113" s="732"/>
      <c r="BG113" s="732"/>
      <c r="BH113" s="732"/>
      <c r="BI113" s="732"/>
      <c r="BJ113" s="733"/>
      <c r="BK113" s="57"/>
      <c r="BL113" s="99"/>
      <c r="BM113" s="72"/>
      <c r="BN113" s="70"/>
      <c r="BO113" s="72"/>
      <c r="BP113" s="72"/>
      <c r="BQ113" s="72"/>
      <c r="BR113" s="72"/>
    </row>
    <row r="114" spans="1:70" ht="27" customHeight="1" thickTop="1" x14ac:dyDescent="0.25">
      <c r="A114" s="70"/>
      <c r="B114" s="32"/>
      <c r="C114" s="33"/>
      <c r="D114" s="34"/>
      <c r="E114" s="35"/>
      <c r="F114" s="70"/>
      <c r="G114" s="32"/>
      <c r="H114" s="33"/>
      <c r="I114" s="34"/>
      <c r="J114" s="35"/>
      <c r="K114" s="70"/>
      <c r="L114" s="32"/>
      <c r="M114" s="33"/>
      <c r="N114" s="34"/>
      <c r="O114" s="35"/>
      <c r="P114" s="70"/>
      <c r="Q114" s="32"/>
      <c r="R114" s="33"/>
      <c r="S114" s="34"/>
      <c r="T114" s="35"/>
      <c r="U114" s="70"/>
      <c r="V114" s="32" t="s">
        <v>16</v>
      </c>
      <c r="W114" s="33"/>
      <c r="X114" s="34"/>
      <c r="Y114" s="35"/>
      <c r="Z114" s="70"/>
      <c r="AA114" s="32"/>
      <c r="AB114" s="33"/>
      <c r="AC114" s="34"/>
      <c r="AD114" s="100"/>
      <c r="BA114" s="734"/>
      <c r="BB114" s="735"/>
      <c r="BC114" s="735"/>
      <c r="BD114" s="735"/>
      <c r="BE114" s="735"/>
      <c r="BF114" s="735"/>
      <c r="BG114" s="735"/>
      <c r="BH114" s="735"/>
      <c r="BI114" s="735"/>
      <c r="BJ114" s="736"/>
      <c r="BK114" s="57"/>
      <c r="BL114" s="99"/>
      <c r="BM114" s="35"/>
      <c r="BN114" s="70"/>
      <c r="BO114" s="32"/>
      <c r="BP114" s="33"/>
      <c r="BQ114" s="34"/>
      <c r="BR114" s="35"/>
    </row>
    <row r="115" spans="1:70" ht="15" customHeight="1" x14ac:dyDescent="0.25">
      <c r="A115" s="44"/>
      <c r="B115" s="44"/>
      <c r="C115" s="44"/>
      <c r="D115" s="69"/>
      <c r="E115" s="69"/>
      <c r="F115" s="44"/>
      <c r="G115" s="44"/>
      <c r="H115" s="44"/>
      <c r="I115" s="69"/>
      <c r="J115" s="69"/>
      <c r="K115" s="44"/>
      <c r="L115" s="44"/>
      <c r="M115" s="44"/>
      <c r="N115" s="69"/>
      <c r="O115" s="69"/>
      <c r="P115" s="44"/>
      <c r="Q115" s="44"/>
      <c r="R115" s="44"/>
      <c r="S115" s="69"/>
      <c r="T115" s="69"/>
      <c r="U115" s="44"/>
      <c r="V115" s="44"/>
      <c r="W115" s="44"/>
      <c r="X115" s="69"/>
      <c r="Y115" s="69"/>
      <c r="Z115" s="44"/>
      <c r="AA115" s="44"/>
      <c r="AB115" s="44"/>
      <c r="AC115" s="69"/>
      <c r="AD115" s="100"/>
      <c r="BA115" s="739" t="s">
        <v>129</v>
      </c>
      <c r="BB115" s="740"/>
      <c r="BC115" s="740"/>
      <c r="BD115" s="740"/>
      <c r="BE115" s="740"/>
      <c r="BF115" s="740"/>
      <c r="BG115" s="740"/>
      <c r="BH115" s="740"/>
      <c r="BI115" s="740"/>
      <c r="BJ115" s="741"/>
      <c r="BK115" s="13"/>
      <c r="BL115" s="99"/>
      <c r="BM115" s="69"/>
      <c r="BN115" s="44"/>
      <c r="BO115" s="44"/>
      <c r="BP115" s="44"/>
      <c r="BQ115" s="69"/>
      <c r="BR115" s="69"/>
    </row>
    <row r="116" spans="1:70" ht="15" customHeight="1" x14ac:dyDescent="0.25">
      <c r="A116" s="47"/>
      <c r="B116" s="47"/>
      <c r="C116" s="47"/>
      <c r="D116" s="69"/>
      <c r="E116" s="69"/>
      <c r="F116" s="47"/>
      <c r="G116" s="47"/>
      <c r="H116" s="47"/>
      <c r="I116" s="69"/>
      <c r="J116" s="69"/>
      <c r="K116" s="47"/>
      <c r="L116" s="47"/>
      <c r="M116" s="47"/>
      <c r="N116" s="69"/>
      <c r="O116" s="69"/>
      <c r="P116" s="47"/>
      <c r="Q116" s="47"/>
      <c r="R116" s="47"/>
      <c r="S116" s="69"/>
      <c r="T116" s="69"/>
      <c r="U116" s="47"/>
      <c r="V116" s="47"/>
      <c r="W116" s="47"/>
      <c r="X116" s="69"/>
      <c r="Y116" s="69"/>
      <c r="Z116" s="47"/>
      <c r="AA116" s="47"/>
      <c r="AB116" s="47"/>
      <c r="AC116" s="69"/>
      <c r="AD116" s="100"/>
      <c r="BA116" s="742"/>
      <c r="BB116" s="743"/>
      <c r="BC116" s="743"/>
      <c r="BD116" s="743"/>
      <c r="BE116" s="743"/>
      <c r="BF116" s="743"/>
      <c r="BG116" s="743"/>
      <c r="BH116" s="743"/>
      <c r="BI116" s="743"/>
      <c r="BJ116" s="744"/>
      <c r="BK116" s="13"/>
      <c r="BL116" s="99"/>
      <c r="BM116" s="29"/>
      <c r="BN116" s="47"/>
      <c r="BO116" s="47"/>
      <c r="BP116" s="47"/>
      <c r="BQ116" s="29"/>
      <c r="BR116" s="29"/>
    </row>
    <row r="117" spans="1:70" ht="4.5" customHeight="1" x14ac:dyDescent="0.25">
      <c r="A117" s="47"/>
      <c r="B117" s="47"/>
      <c r="C117" s="47"/>
      <c r="D117" s="101"/>
      <c r="E117" s="69"/>
      <c r="F117" s="47"/>
      <c r="G117" s="47"/>
      <c r="H117" s="47"/>
      <c r="I117" s="101"/>
      <c r="J117" s="69"/>
      <c r="K117" s="47"/>
      <c r="L117" s="47"/>
      <c r="M117" s="47"/>
      <c r="N117" s="101"/>
      <c r="O117" s="69"/>
      <c r="P117" s="47"/>
      <c r="Q117" s="47"/>
      <c r="R117" s="47"/>
      <c r="S117" s="101"/>
      <c r="T117" s="69"/>
      <c r="U117" s="47"/>
      <c r="V117" s="47"/>
      <c r="W117" s="47"/>
      <c r="X117" s="101"/>
      <c r="Y117" s="69"/>
      <c r="Z117" s="47"/>
      <c r="AA117" s="47"/>
      <c r="AB117" s="47"/>
      <c r="AC117" s="101"/>
      <c r="AD117" s="100"/>
      <c r="AP117" s="1255">
        <v>91</v>
      </c>
      <c r="AQ117" s="1255"/>
      <c r="AR117" s="1255"/>
      <c r="AS117" s="746" cm="1">
        <f t="array" aca="1" ref="AS117" ca="1">SUM(COUNTIF(INDIRECT({"B8","G8","L8","Q8","V8","AA8","AF8","AK8","AP8","AU8","AZ8","BE8","BJ8","BO8","B15","G15","L15","Q15","V15","AA15","AF15","AK15","AP15","AU15","AZ15","BE15","BJ15","BO15","B22","G22","L22","Q22","V22","AA22","AF22","AK22","AP22","AU22","AZ22","BE22","BJ22","BO22","B29","G29","L29","Q29","V29","AA29","AF29","AK29","AP29","AU29","AZ29","BE29","BJ29","BO29","B36","G36","L36","Q36","V36","AA36","AF36","AK36","AP36","AU36","AZ36","BE36","BJ36","BO36","B43","G43","L43","Q43","V43","AA43","AF43","AK43","AP43","AU43","AZ43","BE43","BJ43","BO43","B50","G50","L50","Q50","V50","AA50","AF50","AK50","AP50","AU50","AZ50","BE50","BJ50","BO50","B57","G57","L57","Q57","V57","AA57","AF57","AK57","AP57","AU57","AZ57","BE57","BJ57","BO57","B77","G77","L77","Q77","V77","AA77","AF77","AK77","AP77","AU77","AZ77","BE77","BJ77","BO77","B84","G84","L84","Q84","V84"}),"&gt;0"))</f>
        <v>130</v>
      </c>
      <c r="AT117" s="746"/>
      <c r="AU117" s="746"/>
      <c r="AV117" s="747">
        <f ca="1">AS117*AP117</f>
        <v>11830</v>
      </c>
      <c r="AW117" s="748"/>
      <c r="AX117" s="748"/>
      <c r="AY117" s="749"/>
      <c r="BA117" s="739" t="s">
        <v>130</v>
      </c>
      <c r="BB117" s="740"/>
      <c r="BC117" s="740"/>
      <c r="BD117" s="740"/>
      <c r="BE117" s="740"/>
      <c r="BF117" s="740"/>
      <c r="BG117" s="740"/>
      <c r="BH117" s="740"/>
      <c r="BI117" s="740"/>
      <c r="BJ117" s="741"/>
      <c r="BK117" s="13"/>
      <c r="BL117" s="99"/>
      <c r="BM117" s="29"/>
      <c r="BN117" s="47"/>
      <c r="BO117" s="47"/>
      <c r="BP117" s="47"/>
      <c r="BQ117" s="30"/>
      <c r="BR117" s="29"/>
    </row>
    <row r="118" spans="1:70" ht="8.25" hidden="1" customHeight="1" x14ac:dyDescent="0.25">
      <c r="A118" s="47"/>
      <c r="B118" s="47"/>
      <c r="C118" s="47"/>
      <c r="D118" s="69"/>
      <c r="E118" s="69"/>
      <c r="F118" s="47"/>
      <c r="G118" s="47"/>
      <c r="H118" s="47"/>
      <c r="I118" s="69"/>
      <c r="J118" s="69"/>
      <c r="K118" s="47"/>
      <c r="L118" s="47"/>
      <c r="M118" s="47"/>
      <c r="N118" s="69"/>
      <c r="O118" s="69"/>
      <c r="P118" s="47"/>
      <c r="Q118" s="47"/>
      <c r="R118" s="47"/>
      <c r="S118" s="69"/>
      <c r="T118" s="69"/>
      <c r="U118" s="47"/>
      <c r="V118" s="47"/>
      <c r="W118" s="47"/>
      <c r="X118" s="69"/>
      <c r="Y118" s="69"/>
      <c r="Z118" s="47"/>
      <c r="AA118" s="47"/>
      <c r="AB118" s="47"/>
      <c r="AC118" s="69"/>
      <c r="AD118" s="100"/>
      <c r="AP118" s="1255"/>
      <c r="AQ118" s="1255"/>
      <c r="AR118" s="1255"/>
      <c r="AS118" s="746"/>
      <c r="AT118" s="746"/>
      <c r="AU118" s="746"/>
      <c r="AV118" s="747"/>
      <c r="AW118" s="748"/>
      <c r="AX118" s="748"/>
      <c r="AY118" s="749"/>
      <c r="BA118" s="750"/>
      <c r="BB118" s="751"/>
      <c r="BC118" s="751"/>
      <c r="BD118" s="751"/>
      <c r="BE118" s="751"/>
      <c r="BF118" s="751"/>
      <c r="BG118" s="751"/>
      <c r="BH118" s="751"/>
      <c r="BI118" s="751"/>
      <c r="BJ118" s="752"/>
      <c r="BK118" s="13"/>
      <c r="BL118" s="99"/>
      <c r="BM118" s="69"/>
      <c r="BN118" s="47"/>
      <c r="BO118" s="47"/>
      <c r="BP118" s="47"/>
      <c r="BQ118" s="69"/>
      <c r="BR118" s="69"/>
    </row>
    <row r="119" spans="1:70" ht="53.25" customHeight="1" x14ac:dyDescent="0.25">
      <c r="A119" s="70"/>
      <c r="B119" s="72"/>
      <c r="C119" s="72"/>
      <c r="D119" s="72"/>
      <c r="E119" s="72"/>
      <c r="F119" s="70"/>
      <c r="G119" s="72"/>
      <c r="H119" s="72"/>
      <c r="I119" s="72"/>
      <c r="J119" s="72"/>
      <c r="K119" s="70"/>
      <c r="L119" s="72"/>
      <c r="M119" s="72"/>
      <c r="N119" s="72"/>
      <c r="O119" s="72"/>
      <c r="P119" s="70"/>
      <c r="Q119" s="72"/>
      <c r="R119" s="72"/>
      <c r="S119" s="72"/>
      <c r="T119" s="72"/>
      <c r="U119" s="70"/>
      <c r="V119" s="72"/>
      <c r="W119" s="72"/>
      <c r="X119" s="72"/>
      <c r="Y119" s="72"/>
      <c r="Z119" s="70"/>
      <c r="AA119" s="72"/>
      <c r="AB119" s="72"/>
      <c r="AC119" s="72"/>
      <c r="AD119" s="100"/>
      <c r="AP119" s="1255"/>
      <c r="AQ119" s="1255"/>
      <c r="AR119" s="1255"/>
      <c r="AS119" s="746"/>
      <c r="AT119" s="746"/>
      <c r="AU119" s="746"/>
      <c r="AV119" s="747"/>
      <c r="AW119" s="748"/>
      <c r="AX119" s="748"/>
      <c r="AY119" s="749"/>
      <c r="BA119" s="750"/>
      <c r="BB119" s="751"/>
      <c r="BC119" s="751"/>
      <c r="BD119" s="751"/>
      <c r="BE119" s="751"/>
      <c r="BF119" s="751"/>
      <c r="BG119" s="751"/>
      <c r="BH119" s="751"/>
      <c r="BI119" s="751"/>
      <c r="BJ119" s="752"/>
      <c r="BK119" s="13"/>
      <c r="BL119" s="99"/>
      <c r="BM119" s="72"/>
      <c r="BN119" s="70"/>
      <c r="BO119" s="72"/>
      <c r="BP119" s="72"/>
      <c r="BQ119" s="72"/>
      <c r="BR119" s="72"/>
    </row>
    <row r="120" spans="1:70" ht="26.25" x14ac:dyDescent="0.25">
      <c r="A120" s="70"/>
      <c r="B120" s="32"/>
      <c r="C120" s="33"/>
      <c r="D120" s="34"/>
      <c r="E120" s="35"/>
      <c r="F120" s="70"/>
      <c r="G120" s="32"/>
      <c r="H120" s="33"/>
      <c r="I120" s="34"/>
      <c r="J120" s="35"/>
      <c r="K120" s="70"/>
      <c r="L120" s="32"/>
      <c r="M120" s="33"/>
      <c r="N120" s="34"/>
      <c r="O120" s="35"/>
      <c r="P120" s="70"/>
      <c r="Q120" s="32"/>
      <c r="R120" s="33"/>
      <c r="S120" s="34"/>
      <c r="T120" s="35"/>
      <c r="U120" s="70"/>
      <c r="V120" s="32"/>
      <c r="W120" s="33"/>
      <c r="X120" s="34"/>
      <c r="Y120" s="35"/>
      <c r="Z120" s="70"/>
      <c r="AA120" s="32"/>
      <c r="AB120" s="33"/>
      <c r="AC120" s="34"/>
      <c r="AD120" s="100"/>
      <c r="AP120" s="727"/>
      <c r="AQ120" s="727"/>
      <c r="AR120" s="727"/>
      <c r="AS120" s="746"/>
      <c r="AT120" s="746"/>
      <c r="AU120" s="746"/>
      <c r="AV120" s="747"/>
      <c r="AW120" s="748"/>
      <c r="AX120" s="748"/>
      <c r="AY120" s="749"/>
      <c r="BA120" s="742"/>
      <c r="BB120" s="743"/>
      <c r="BC120" s="743"/>
      <c r="BD120" s="743"/>
      <c r="BE120" s="743"/>
      <c r="BF120" s="743"/>
      <c r="BG120" s="743"/>
      <c r="BH120" s="743"/>
      <c r="BI120" s="743"/>
      <c r="BJ120" s="744"/>
      <c r="BK120" s="13"/>
      <c r="BL120" s="99"/>
      <c r="BM120" s="35"/>
      <c r="BN120" s="70"/>
      <c r="BO120" s="32"/>
      <c r="BP120" s="33"/>
      <c r="BQ120" s="34"/>
      <c r="BR120" s="35"/>
    </row>
    <row r="121" spans="1:70" ht="40.5" customHeight="1" x14ac:dyDescent="0.25">
      <c r="F121" s="44"/>
      <c r="G121" s="44"/>
      <c r="H121" s="44"/>
      <c r="I121" s="69"/>
      <c r="J121" s="69"/>
      <c r="K121" s="44"/>
      <c r="L121" s="44"/>
      <c r="M121" s="44"/>
      <c r="N121" s="69"/>
      <c r="O121" s="69"/>
      <c r="P121" s="44"/>
      <c r="Q121" s="44"/>
      <c r="R121" s="44"/>
      <c r="S121" s="69"/>
      <c r="T121" s="69"/>
      <c r="U121" s="44"/>
      <c r="V121" s="44"/>
      <c r="W121" s="44"/>
      <c r="X121" s="69"/>
      <c r="Y121" s="69"/>
      <c r="Z121" s="44"/>
      <c r="AA121" s="44"/>
      <c r="AB121" s="44"/>
      <c r="AC121" s="69"/>
      <c r="AD121" s="100"/>
      <c r="AP121" s="727"/>
      <c r="AQ121" s="727"/>
      <c r="AR121" s="727"/>
      <c r="AS121" s="746"/>
      <c r="AT121" s="746"/>
      <c r="AU121" s="746"/>
      <c r="AV121" s="747"/>
      <c r="AW121" s="748"/>
      <c r="AX121" s="748"/>
      <c r="AY121" s="749"/>
      <c r="BA121" s="728">
        <f ca="1">AV110/((72*3.1415/59)*(AQ110/3.281))</f>
        <v>1.4792711444254347E-2</v>
      </c>
      <c r="BB121" s="729"/>
      <c r="BC121" s="729"/>
      <c r="BD121" s="729"/>
      <c r="BE121" s="729"/>
      <c r="BF121" s="729"/>
      <c r="BG121" s="729"/>
      <c r="BH121" s="729"/>
      <c r="BI121" s="729"/>
      <c r="BJ121" s="730"/>
      <c r="BK121" s="57"/>
      <c r="BL121" s="99"/>
    </row>
    <row r="122" spans="1:70" ht="26.25" hidden="1" x14ac:dyDescent="0.25">
      <c r="AD122" s="100"/>
      <c r="AP122" s="727"/>
      <c r="AQ122" s="727"/>
      <c r="AR122" s="727"/>
      <c r="AS122" s="746"/>
      <c r="AT122" s="746"/>
      <c r="AU122" s="746"/>
      <c r="AV122" s="747"/>
      <c r="AW122" s="748"/>
      <c r="AX122" s="748"/>
      <c r="AY122" s="749"/>
      <c r="BA122" s="731"/>
      <c r="BB122" s="732"/>
      <c r="BC122" s="732"/>
      <c r="BD122" s="732"/>
      <c r="BE122" s="732"/>
      <c r="BF122" s="732"/>
      <c r="BG122" s="732"/>
      <c r="BH122" s="732"/>
      <c r="BI122" s="732"/>
      <c r="BJ122" s="733"/>
      <c r="BK122" s="57"/>
      <c r="BL122" s="99"/>
    </row>
    <row r="123" spans="1:70" ht="26.25" x14ac:dyDescent="0.25">
      <c r="AD123" s="100"/>
      <c r="AP123" s="727"/>
      <c r="AQ123" s="727"/>
      <c r="AR123" s="727"/>
      <c r="AS123" s="746"/>
      <c r="AT123" s="746"/>
      <c r="AU123" s="746"/>
      <c r="AV123" s="747"/>
      <c r="AW123" s="748"/>
      <c r="AX123" s="748"/>
      <c r="AY123" s="749"/>
      <c r="BA123" s="731"/>
      <c r="BB123" s="732"/>
      <c r="BC123" s="732"/>
      <c r="BD123" s="732"/>
      <c r="BE123" s="732"/>
      <c r="BF123" s="732"/>
      <c r="BG123" s="732"/>
      <c r="BH123" s="732"/>
      <c r="BI123" s="732"/>
      <c r="BJ123" s="733"/>
      <c r="BK123" s="57"/>
      <c r="BL123" s="99"/>
    </row>
    <row r="124" spans="1:70" ht="26.25" x14ac:dyDescent="0.25">
      <c r="AD124" s="100"/>
      <c r="AP124" s="727"/>
      <c r="AQ124" s="727"/>
      <c r="AR124" s="727"/>
      <c r="AS124" s="746"/>
      <c r="AT124" s="746"/>
      <c r="AU124" s="746"/>
      <c r="AV124" s="747"/>
      <c r="AW124" s="748"/>
      <c r="AX124" s="748"/>
      <c r="AY124" s="749"/>
      <c r="BA124" s="731"/>
      <c r="BB124" s="732"/>
      <c r="BC124" s="732"/>
      <c r="BD124" s="732"/>
      <c r="BE124" s="732"/>
      <c r="BF124" s="732"/>
      <c r="BG124" s="732"/>
      <c r="BH124" s="732"/>
      <c r="BI124" s="732"/>
      <c r="BJ124" s="733"/>
      <c r="BK124" s="57"/>
      <c r="BL124" s="99"/>
    </row>
    <row r="125" spans="1:70" ht="26.25" x14ac:dyDescent="0.25">
      <c r="AD125" s="100"/>
      <c r="AP125" s="727"/>
      <c r="AQ125" s="727"/>
      <c r="AR125" s="727"/>
      <c r="AS125" s="746"/>
      <c r="AT125" s="746"/>
      <c r="AU125" s="746"/>
      <c r="AV125" s="747"/>
      <c r="AW125" s="748"/>
      <c r="AX125" s="748"/>
      <c r="AY125" s="749"/>
      <c r="BA125" s="734"/>
      <c r="BB125" s="735"/>
      <c r="BC125" s="735"/>
      <c r="BD125" s="735"/>
      <c r="BE125" s="735"/>
      <c r="BF125" s="735"/>
      <c r="BG125" s="735"/>
      <c r="BH125" s="735"/>
      <c r="BI125" s="735"/>
      <c r="BJ125" s="736"/>
      <c r="BK125" s="57"/>
      <c r="BL125" s="99"/>
    </row>
    <row r="126" spans="1:70" x14ac:dyDescent="0.25">
      <c r="AD126" s="100"/>
      <c r="AS126" s="1254">
        <f ca="1">AS123+AS120+AS117</f>
        <v>130</v>
      </c>
      <c r="AT126" s="1254"/>
      <c r="AU126" s="1254"/>
      <c r="AV126" s="747">
        <f ca="1">AV120+AV123+AV117</f>
        <v>11830</v>
      </c>
      <c r="AW126" s="748"/>
      <c r="AX126" s="748"/>
      <c r="AY126" s="749"/>
      <c r="BL126" s="99"/>
    </row>
    <row r="127" spans="1:70" x14ac:dyDescent="0.25">
      <c r="AD127" s="100"/>
      <c r="AS127" s="1254"/>
      <c r="AT127" s="1254"/>
      <c r="AU127" s="1254"/>
      <c r="AV127" s="747"/>
      <c r="AW127" s="748"/>
      <c r="AX127" s="748"/>
      <c r="AY127" s="749"/>
      <c r="BL127" s="99"/>
    </row>
    <row r="128" spans="1:70" ht="25.5" customHeight="1" x14ac:dyDescent="0.25">
      <c r="AD128" s="100"/>
      <c r="AS128" s="1254"/>
      <c r="AT128" s="1254"/>
      <c r="AU128" s="1254"/>
      <c r="AV128" s="747"/>
      <c r="AW128" s="748"/>
      <c r="AX128" s="748"/>
      <c r="AY128" s="749"/>
      <c r="BL128" s="99"/>
    </row>
    <row r="129" spans="30:64" ht="24" customHeight="1" x14ac:dyDescent="0.25">
      <c r="AD129" s="100"/>
      <c r="BL129" s="99"/>
    </row>
    <row r="130" spans="30:64" ht="21.75" customHeight="1" x14ac:dyDescent="0.25">
      <c r="AD130" s="100"/>
      <c r="BL130" s="99"/>
    </row>
    <row r="131" spans="30:64" ht="21.75" customHeight="1" x14ac:dyDescent="0.25">
      <c r="AD131" s="98"/>
      <c r="AE131" s="58"/>
      <c r="AF131" s="58"/>
      <c r="AG131" s="58"/>
      <c r="AH131" s="58"/>
      <c r="AI131" s="58"/>
      <c r="AJ131" s="58"/>
      <c r="AK131" s="58"/>
      <c r="AL131" s="58"/>
      <c r="AM131" s="58"/>
      <c r="AN131" s="58"/>
      <c r="AO131" s="58"/>
      <c r="AP131" s="58"/>
      <c r="AQ131" s="58"/>
      <c r="AR131" s="58"/>
      <c r="AS131" s="58"/>
      <c r="AT131" s="58"/>
      <c r="AU131" s="58"/>
      <c r="AV131" s="58"/>
      <c r="AW131" s="58"/>
      <c r="AX131" s="58"/>
      <c r="AY131" s="58"/>
      <c r="AZ131" s="58"/>
      <c r="BA131" s="58"/>
      <c r="BB131" s="58"/>
      <c r="BC131" s="58"/>
      <c r="BD131" s="58"/>
      <c r="BE131" s="58"/>
      <c r="BF131" s="58"/>
      <c r="BG131" s="58"/>
      <c r="BH131" s="58"/>
      <c r="BI131" s="58"/>
      <c r="BJ131" s="58"/>
      <c r="BK131" s="58"/>
      <c r="BL131" s="97"/>
    </row>
    <row r="132" spans="30:64" ht="21.75" customHeight="1" x14ac:dyDescent="0.25"/>
    <row r="133" spans="30:64" ht="25.5" customHeight="1" x14ac:dyDescent="0.25"/>
    <row r="134" spans="30:64" ht="26.25" customHeight="1" x14ac:dyDescent="0.25"/>
    <row r="135" spans="30:64" ht="41.25" customHeight="1" x14ac:dyDescent="0.25"/>
  </sheetData>
  <mergeCells count="1069">
    <mergeCell ref="AS126:AU128"/>
    <mergeCell ref="AV126:AY128"/>
    <mergeCell ref="AP117:AR119"/>
    <mergeCell ref="AS117:AU119"/>
    <mergeCell ref="AV117:AY119"/>
    <mergeCell ref="BA115:BJ116"/>
    <mergeCell ref="B91:D93"/>
    <mergeCell ref="E93:F93"/>
    <mergeCell ref="Y94:AJ99"/>
    <mergeCell ref="AK94:AU99"/>
    <mergeCell ref="AV94:BG99"/>
    <mergeCell ref="Y89:AJ93"/>
    <mergeCell ref="B90:D90"/>
    <mergeCell ref="E90:F90"/>
    <mergeCell ref="BA117:BJ120"/>
    <mergeCell ref="AP120:AR122"/>
    <mergeCell ref="AS120:AU122"/>
    <mergeCell ref="AV120:AY122"/>
    <mergeCell ref="BA121:BJ125"/>
    <mergeCell ref="AP123:AR125"/>
    <mergeCell ref="AS123:AU125"/>
    <mergeCell ref="AV123:AY125"/>
    <mergeCell ref="BM94:BS97"/>
    <mergeCell ref="H96:J99"/>
    <mergeCell ref="AF107:AJ113"/>
    <mergeCell ref="AN107:AP109"/>
    <mergeCell ref="AQ107:AS109"/>
    <mergeCell ref="AT107:AU109"/>
    <mergeCell ref="AV107:AW109"/>
    <mergeCell ref="BA107:BJ109"/>
    <mergeCell ref="AN110:AP113"/>
    <mergeCell ref="BH89:BL99"/>
    <mergeCell ref="AQ110:AS113"/>
    <mergeCell ref="AT110:AU113"/>
    <mergeCell ref="AV110:AW113"/>
    <mergeCell ref="BA110:BJ111"/>
    <mergeCell ref="BA112:BJ114"/>
    <mergeCell ref="AJ83:AJ84"/>
    <mergeCell ref="AK83:AN83"/>
    <mergeCell ref="BM98:BS101"/>
    <mergeCell ref="BM89:BO93"/>
    <mergeCell ref="BP89:BS93"/>
    <mergeCell ref="AK89:AU93"/>
    <mergeCell ref="AV89:BG93"/>
    <mergeCell ref="H90:K92"/>
    <mergeCell ref="H93:K95"/>
    <mergeCell ref="AK84:AN85"/>
    <mergeCell ref="AO83:AO84"/>
    <mergeCell ref="AP83:AS83"/>
    <mergeCell ref="P83:P84"/>
    <mergeCell ref="Q83:T83"/>
    <mergeCell ref="U83:U84"/>
    <mergeCell ref="V83:Y83"/>
    <mergeCell ref="Z83:Z84"/>
    <mergeCell ref="FJ79:FP83"/>
    <mergeCell ref="DE81:DG85"/>
    <mergeCell ref="FE74:FI85"/>
    <mergeCell ref="FJ74:FM78"/>
    <mergeCell ref="FN74:FP78"/>
    <mergeCell ref="BN78:BP78"/>
    <mergeCell ref="BQ78:BR78"/>
    <mergeCell ref="FJ84:FP85"/>
    <mergeCell ref="AT83:AT84"/>
    <mergeCell ref="AU83:AX83"/>
    <mergeCell ref="AY83:AY84"/>
    <mergeCell ref="AZ83:BC83"/>
    <mergeCell ref="BD83:BD84"/>
    <mergeCell ref="EH74:EQ78"/>
    <mergeCell ref="ES74:FD78"/>
    <mergeCell ref="AT71:AU74"/>
    <mergeCell ref="AV71:AX74"/>
    <mergeCell ref="EH79:ER85"/>
    <mergeCell ref="ES79:FD85"/>
    <mergeCell ref="BP71:BR74"/>
    <mergeCell ref="DV73:EG78"/>
    <mergeCell ref="CY74:DA74"/>
    <mergeCell ref="DB74:DC74"/>
    <mergeCell ref="DE74:DG77"/>
    <mergeCell ref="DB78:DC78"/>
    <mergeCell ref="DE78:DG80"/>
    <mergeCell ref="DV79:EG85"/>
    <mergeCell ref="BN76:BN77"/>
    <mergeCell ref="CY76:DA78"/>
    <mergeCell ref="BO76:BR76"/>
    <mergeCell ref="BT76:BT77"/>
    <mergeCell ref="AA83:AD83"/>
    <mergeCell ref="AE83:AE84"/>
    <mergeCell ref="AF83:AI83"/>
    <mergeCell ref="AJ78:AL78"/>
    <mergeCell ref="AM78:AN78"/>
    <mergeCell ref="AR81:AS81"/>
    <mergeCell ref="AW81:AX81"/>
    <mergeCell ref="BB81:BC81"/>
    <mergeCell ref="BG81:BH81"/>
    <mergeCell ref="Z78:AB78"/>
    <mergeCell ref="AC78:AD78"/>
    <mergeCell ref="AE78:AG78"/>
    <mergeCell ref="AH78:AI78"/>
    <mergeCell ref="AY79:BA81"/>
    <mergeCell ref="BD79:BF81"/>
    <mergeCell ref="AZ84:BC85"/>
    <mergeCell ref="AO78:AQ78"/>
    <mergeCell ref="BE83:BQ84"/>
    <mergeCell ref="A83:A84"/>
    <mergeCell ref="B83:E83"/>
    <mergeCell ref="F83:F84"/>
    <mergeCell ref="G83:J83"/>
    <mergeCell ref="K83:K84"/>
    <mergeCell ref="L83:O83"/>
    <mergeCell ref="P78:Q81"/>
    <mergeCell ref="R78:T81"/>
    <mergeCell ref="U78:V81"/>
    <mergeCell ref="W78:Y81"/>
    <mergeCell ref="A78:B81"/>
    <mergeCell ref="C78:E81"/>
    <mergeCell ref="F78:G81"/>
    <mergeCell ref="H78:J81"/>
    <mergeCell ref="K78:L81"/>
    <mergeCell ref="M78:O81"/>
    <mergeCell ref="U71:V74"/>
    <mergeCell ref="A82:B82"/>
    <mergeCell ref="C82:E82"/>
    <mergeCell ref="F82:G82"/>
    <mergeCell ref="H82:J82"/>
    <mergeCell ref="K82:L82"/>
    <mergeCell ref="M82:O82"/>
    <mergeCell ref="P82:Q82"/>
    <mergeCell ref="R82:T82"/>
    <mergeCell ref="U82:V82"/>
    <mergeCell ref="W82:Y82"/>
    <mergeCell ref="A71:B74"/>
    <mergeCell ref="C71:E74"/>
    <mergeCell ref="F71:G74"/>
    <mergeCell ref="H71:J74"/>
    <mergeCell ref="K71:L74"/>
    <mergeCell ref="A76:A77"/>
    <mergeCell ref="B76:E76"/>
    <mergeCell ref="AW78:AX78"/>
    <mergeCell ref="AY78:BA78"/>
    <mergeCell ref="BB78:BC78"/>
    <mergeCell ref="BD78:BF78"/>
    <mergeCell ref="BG78:BH78"/>
    <mergeCell ref="BI78:BK78"/>
    <mergeCell ref="Z79:AB81"/>
    <mergeCell ref="AE79:AG81"/>
    <mergeCell ref="A75:B75"/>
    <mergeCell ref="C75:E75"/>
    <mergeCell ref="F75:G75"/>
    <mergeCell ref="H75:J75"/>
    <mergeCell ref="AA76:AD76"/>
    <mergeCell ref="BP75:BR75"/>
    <mergeCell ref="AC81:AD81"/>
    <mergeCell ref="AH81:AI81"/>
    <mergeCell ref="AR78:AS78"/>
    <mergeCell ref="AV75:AX75"/>
    <mergeCell ref="L76:O76"/>
    <mergeCell ref="BQ81:BR81"/>
    <mergeCell ref="AJ76:AJ77"/>
    <mergeCell ref="AK76:AN76"/>
    <mergeCell ref="BL78:BM78"/>
    <mergeCell ref="F76:F77"/>
    <mergeCell ref="G76:J76"/>
    <mergeCell ref="K76:K77"/>
    <mergeCell ref="AK68:AN68"/>
    <mergeCell ref="AO68:AO69"/>
    <mergeCell ref="AP68:AS68"/>
    <mergeCell ref="AT68:AT69"/>
    <mergeCell ref="AU68:AX68"/>
    <mergeCell ref="U68:U69"/>
    <mergeCell ref="V68:Y68"/>
    <mergeCell ref="Z68:Z69"/>
    <mergeCell ref="AA68:AD68"/>
    <mergeCell ref="AG75:AI75"/>
    <mergeCell ref="BN68:BN69"/>
    <mergeCell ref="BO68:BR68"/>
    <mergeCell ref="K75:L75"/>
    <mergeCell ref="U75:V75"/>
    <mergeCell ref="W75:Y75"/>
    <mergeCell ref="Z75:AA75"/>
    <mergeCell ref="AB75:AD75"/>
    <mergeCell ref="AE75:AF75"/>
    <mergeCell ref="BI71:BJ74"/>
    <mergeCell ref="BK71:BM74"/>
    <mergeCell ref="BA75:BC75"/>
    <mergeCell ref="BD75:BE75"/>
    <mergeCell ref="BF75:BH75"/>
    <mergeCell ref="BI75:BJ75"/>
    <mergeCell ref="BK75:BM75"/>
    <mergeCell ref="BN75:BO75"/>
    <mergeCell ref="R75:T75"/>
    <mergeCell ref="M75:O75"/>
    <mergeCell ref="P75:Q75"/>
    <mergeCell ref="AY75:AZ75"/>
    <mergeCell ref="AJ75:AK75"/>
    <mergeCell ref="AL75:AN75"/>
    <mergeCell ref="AW64:AX64"/>
    <mergeCell ref="AY64:BA64"/>
    <mergeCell ref="BB64:BC64"/>
    <mergeCell ref="BD64:BF64"/>
    <mergeCell ref="BG64:BH64"/>
    <mergeCell ref="A65:C67"/>
    <mergeCell ref="F65:H67"/>
    <mergeCell ref="K65:M67"/>
    <mergeCell ref="P65:R67"/>
    <mergeCell ref="U65:W67"/>
    <mergeCell ref="Z65:AB67"/>
    <mergeCell ref="P68:P69"/>
    <mergeCell ref="Q68:T68"/>
    <mergeCell ref="BN65:BP67"/>
    <mergeCell ref="D67:E67"/>
    <mergeCell ref="I67:J67"/>
    <mergeCell ref="N67:O67"/>
    <mergeCell ref="S67:T67"/>
    <mergeCell ref="X67:Y67"/>
    <mergeCell ref="AC67:AD67"/>
    <mergeCell ref="AH67:AI67"/>
    <mergeCell ref="AE68:AE69"/>
    <mergeCell ref="AF68:AI68"/>
    <mergeCell ref="BL67:BM67"/>
    <mergeCell ref="BD65:BF67"/>
    <mergeCell ref="AM67:AN67"/>
    <mergeCell ref="AR67:AS67"/>
    <mergeCell ref="K68:K69"/>
    <mergeCell ref="L68:O68"/>
    <mergeCell ref="BI68:BI69"/>
    <mergeCell ref="BJ68:BM68"/>
    <mergeCell ref="AJ68:AJ69"/>
    <mergeCell ref="A64:C64"/>
    <mergeCell ref="D64:E64"/>
    <mergeCell ref="F64:H64"/>
    <mergeCell ref="I64:J64"/>
    <mergeCell ref="K64:M64"/>
    <mergeCell ref="N64:O64"/>
    <mergeCell ref="P64:R64"/>
    <mergeCell ref="BQ67:BR67"/>
    <mergeCell ref="A68:A69"/>
    <mergeCell ref="B68:E68"/>
    <mergeCell ref="F68:F69"/>
    <mergeCell ref="G68:J68"/>
    <mergeCell ref="BI65:BK67"/>
    <mergeCell ref="AW67:AX67"/>
    <mergeCell ref="BB67:BC67"/>
    <mergeCell ref="BG67:BH67"/>
    <mergeCell ref="X64:Y64"/>
    <mergeCell ref="Z64:AB64"/>
    <mergeCell ref="AC64:AD64"/>
    <mergeCell ref="AE64:AG64"/>
    <mergeCell ref="S64:T64"/>
    <mergeCell ref="U64:W64"/>
    <mergeCell ref="AJ65:AL67"/>
    <mergeCell ref="AO65:AQ67"/>
    <mergeCell ref="AT65:AV67"/>
    <mergeCell ref="AY65:BA67"/>
    <mergeCell ref="BI64:BK64"/>
    <mergeCell ref="AH64:AI64"/>
    <mergeCell ref="AJ64:AL64"/>
    <mergeCell ref="AM64:AN64"/>
    <mergeCell ref="AO64:AQ64"/>
    <mergeCell ref="AR64:AS64"/>
    <mergeCell ref="S61:T61"/>
    <mergeCell ref="X61:Y61"/>
    <mergeCell ref="AQ55:AS55"/>
    <mergeCell ref="AT55:AU55"/>
    <mergeCell ref="R55:T55"/>
    <mergeCell ref="U55:V55"/>
    <mergeCell ref="W55:Y55"/>
    <mergeCell ref="BQ64:BR64"/>
    <mergeCell ref="A62:A63"/>
    <mergeCell ref="B62:E62"/>
    <mergeCell ref="F62:F63"/>
    <mergeCell ref="G62:J62"/>
    <mergeCell ref="K62:K63"/>
    <mergeCell ref="L62:O62"/>
    <mergeCell ref="P62:P63"/>
    <mergeCell ref="Q62:T62"/>
    <mergeCell ref="U62:U63"/>
    <mergeCell ref="AF62:AI62"/>
    <mergeCell ref="AJ62:AJ63"/>
    <mergeCell ref="AK62:AN62"/>
    <mergeCell ref="AO62:AO63"/>
    <mergeCell ref="BL64:BM64"/>
    <mergeCell ref="BN64:BP64"/>
    <mergeCell ref="AU62:AX62"/>
    <mergeCell ref="AY62:AY63"/>
    <mergeCell ref="AZ62:BC62"/>
    <mergeCell ref="BD62:BD63"/>
    <mergeCell ref="BE62:BH62"/>
    <mergeCell ref="BI62:BI63"/>
    <mergeCell ref="BJ62:BM62"/>
    <mergeCell ref="BN62:BN63"/>
    <mergeCell ref="BO62:BR62"/>
    <mergeCell ref="BL61:BM61"/>
    <mergeCell ref="BQ61:BR61"/>
    <mergeCell ref="AR61:AS61"/>
    <mergeCell ref="AW61:AX61"/>
    <mergeCell ref="BB61:BC61"/>
    <mergeCell ref="U58:W58"/>
    <mergeCell ref="X58:Y58"/>
    <mergeCell ref="Z58:AB58"/>
    <mergeCell ref="AE58:AG58"/>
    <mergeCell ref="AH58:AI58"/>
    <mergeCell ref="AJ58:AL58"/>
    <mergeCell ref="AM58:AN58"/>
    <mergeCell ref="AO58:AQ58"/>
    <mergeCell ref="AR58:AS58"/>
    <mergeCell ref="AT58:AV58"/>
    <mergeCell ref="AW58:AX58"/>
    <mergeCell ref="AY58:BA58"/>
    <mergeCell ref="BB58:BC58"/>
    <mergeCell ref="BD58:BF58"/>
    <mergeCell ref="BG58:BH58"/>
    <mergeCell ref="BI59:BK61"/>
    <mergeCell ref="BN59:BP61"/>
    <mergeCell ref="BI58:BK58"/>
    <mergeCell ref="N58:O58"/>
    <mergeCell ref="AT56:AT57"/>
    <mergeCell ref="AU56:AX56"/>
    <mergeCell ref="AY56:AY57"/>
    <mergeCell ref="AZ56:BC56"/>
    <mergeCell ref="BD56:BD57"/>
    <mergeCell ref="AA56:AD56"/>
    <mergeCell ref="AC58:AD58"/>
    <mergeCell ref="BI56:BI57"/>
    <mergeCell ref="BJ56:BM56"/>
    <mergeCell ref="A58:C58"/>
    <mergeCell ref="D58:E58"/>
    <mergeCell ref="F58:H58"/>
    <mergeCell ref="I58:J58"/>
    <mergeCell ref="BI51:BJ54"/>
    <mergeCell ref="W51:Y54"/>
    <mergeCell ref="BD55:BE55"/>
    <mergeCell ref="BF55:BH55"/>
    <mergeCell ref="BI55:BJ55"/>
    <mergeCell ref="BA51:BC54"/>
    <mergeCell ref="P58:R58"/>
    <mergeCell ref="S58:T58"/>
    <mergeCell ref="BK51:BM54"/>
    <mergeCell ref="Z56:Z57"/>
    <mergeCell ref="BD51:BE54"/>
    <mergeCell ref="BF51:BH54"/>
    <mergeCell ref="AE51:AF54"/>
    <mergeCell ref="AG51:AI54"/>
    <mergeCell ref="AJ51:AK54"/>
    <mergeCell ref="AL51:AN54"/>
    <mergeCell ref="AO51:AP54"/>
    <mergeCell ref="AQ51:AS54"/>
    <mergeCell ref="BN51:BO54"/>
    <mergeCell ref="BP51:BR54"/>
    <mergeCell ref="BN56:BN57"/>
    <mergeCell ref="BO56:BR56"/>
    <mergeCell ref="AV51:AX54"/>
    <mergeCell ref="AY51:AZ54"/>
    <mergeCell ref="A56:A57"/>
    <mergeCell ref="B56:E56"/>
    <mergeCell ref="F56:F57"/>
    <mergeCell ref="G56:J56"/>
    <mergeCell ref="K56:K57"/>
    <mergeCell ref="L56:O56"/>
    <mergeCell ref="AT51:AU54"/>
    <mergeCell ref="BE56:BH56"/>
    <mergeCell ref="AE56:AE57"/>
    <mergeCell ref="AF56:AI56"/>
    <mergeCell ref="AJ56:AJ57"/>
    <mergeCell ref="AK56:AN56"/>
    <mergeCell ref="C51:E54"/>
    <mergeCell ref="F51:G54"/>
    <mergeCell ref="H51:J54"/>
    <mergeCell ref="K51:L54"/>
    <mergeCell ref="M51:O54"/>
    <mergeCell ref="P51:Q54"/>
    <mergeCell ref="R51:T54"/>
    <mergeCell ref="U51:V54"/>
    <mergeCell ref="AO56:AO57"/>
    <mergeCell ref="AP56:AS56"/>
    <mergeCell ref="P56:P57"/>
    <mergeCell ref="Q56:T56"/>
    <mergeCell ref="U56:U57"/>
    <mergeCell ref="V56:Y56"/>
    <mergeCell ref="AE55:AF55"/>
    <mergeCell ref="M44:O47"/>
    <mergeCell ref="P49:P50"/>
    <mergeCell ref="Q49:T49"/>
    <mergeCell ref="BK44:BM47"/>
    <mergeCell ref="BN44:BO47"/>
    <mergeCell ref="BP44:BR47"/>
    <mergeCell ref="A49:A50"/>
    <mergeCell ref="B49:E49"/>
    <mergeCell ref="F49:F50"/>
    <mergeCell ref="G49:J49"/>
    <mergeCell ref="K49:K50"/>
    <mergeCell ref="AE49:AE50"/>
    <mergeCell ref="AF49:AI49"/>
    <mergeCell ref="AJ49:AJ50"/>
    <mergeCell ref="AK49:AN49"/>
    <mergeCell ref="AO49:AO50"/>
    <mergeCell ref="AP49:AS49"/>
    <mergeCell ref="AT49:AT50"/>
    <mergeCell ref="AU49:AX49"/>
    <mergeCell ref="AY49:AY50"/>
    <mergeCell ref="AZ49:BC49"/>
    <mergeCell ref="BD49:BD50"/>
    <mergeCell ref="BE49:BH49"/>
    <mergeCell ref="BI44:BJ47"/>
    <mergeCell ref="H44:J47"/>
    <mergeCell ref="K44:L47"/>
    <mergeCell ref="L49:O49"/>
    <mergeCell ref="BJ49:BM49"/>
    <mergeCell ref="BN49:BN50"/>
    <mergeCell ref="BO49:BR49"/>
    <mergeCell ref="P44:Q47"/>
    <mergeCell ref="R44:T47"/>
    <mergeCell ref="U44:V47"/>
    <mergeCell ref="BF44:BH47"/>
    <mergeCell ref="AE44:AF47"/>
    <mergeCell ref="AG44:AI47"/>
    <mergeCell ref="AJ44:AK47"/>
    <mergeCell ref="AL44:AN47"/>
    <mergeCell ref="BI49:BI50"/>
    <mergeCell ref="AJ48:AK48"/>
    <mergeCell ref="AL48:AN48"/>
    <mergeCell ref="AO48:AP48"/>
    <mergeCell ref="AT44:AU47"/>
    <mergeCell ref="AV44:AX47"/>
    <mergeCell ref="AY44:AZ47"/>
    <mergeCell ref="BA44:BC47"/>
    <mergeCell ref="BD44:BE47"/>
    <mergeCell ref="W44:Y47"/>
    <mergeCell ref="Z44:AA47"/>
    <mergeCell ref="AB44:AD47"/>
    <mergeCell ref="Z49:Z50"/>
    <mergeCell ref="AA49:AD49"/>
    <mergeCell ref="AG48:AI48"/>
    <mergeCell ref="U49:U50"/>
    <mergeCell ref="V49:Y49"/>
    <mergeCell ref="A30:B33"/>
    <mergeCell ref="C30:E33"/>
    <mergeCell ref="F30:G33"/>
    <mergeCell ref="H30:J33"/>
    <mergeCell ref="K30:L33"/>
    <mergeCell ref="M30:O33"/>
    <mergeCell ref="W34:Y34"/>
    <mergeCell ref="Z34:AA34"/>
    <mergeCell ref="AB34:AD34"/>
    <mergeCell ref="BK37:BM40"/>
    <mergeCell ref="BN37:BO40"/>
    <mergeCell ref="BP37:BR40"/>
    <mergeCell ref="AT37:AU40"/>
    <mergeCell ref="BK30:BM33"/>
    <mergeCell ref="BN30:BO33"/>
    <mergeCell ref="BP30:BR33"/>
    <mergeCell ref="AT30:AU33"/>
    <mergeCell ref="AV30:AX33"/>
    <mergeCell ref="BN35:BN36"/>
    <mergeCell ref="BO35:BR35"/>
    <mergeCell ref="AT35:AT36"/>
    <mergeCell ref="AU35:AX35"/>
    <mergeCell ref="AY35:AY36"/>
    <mergeCell ref="AZ35:BC35"/>
    <mergeCell ref="BD35:BD36"/>
    <mergeCell ref="BE35:BH35"/>
    <mergeCell ref="BI35:BI36"/>
    <mergeCell ref="BJ35:BM35"/>
    <mergeCell ref="BI30:BJ33"/>
    <mergeCell ref="AY34:AZ34"/>
    <mergeCell ref="BA34:BC34"/>
    <mergeCell ref="BD34:BE34"/>
    <mergeCell ref="BI37:BJ40"/>
    <mergeCell ref="U37:V40"/>
    <mergeCell ref="W37:Y40"/>
    <mergeCell ref="Z37:AA40"/>
    <mergeCell ref="AB37:AD40"/>
    <mergeCell ref="AE35:AE36"/>
    <mergeCell ref="AF35:AI35"/>
    <mergeCell ref="AJ35:AJ36"/>
    <mergeCell ref="AK35:AN35"/>
    <mergeCell ref="W30:Y33"/>
    <mergeCell ref="Z30:AA33"/>
    <mergeCell ref="AB30:AD33"/>
    <mergeCell ref="P37:Q40"/>
    <mergeCell ref="R37:T40"/>
    <mergeCell ref="AE37:AF40"/>
    <mergeCell ref="AG37:AI40"/>
    <mergeCell ref="AA35:AD35"/>
    <mergeCell ref="BF34:BH34"/>
    <mergeCell ref="BI34:BJ34"/>
    <mergeCell ref="BA37:BC40"/>
    <mergeCell ref="BD37:BE40"/>
    <mergeCell ref="BF37:BH40"/>
    <mergeCell ref="AY30:AZ33"/>
    <mergeCell ref="BA30:BC33"/>
    <mergeCell ref="BD30:BE33"/>
    <mergeCell ref="BF30:BH33"/>
    <mergeCell ref="P35:P36"/>
    <mergeCell ref="Q35:T35"/>
    <mergeCell ref="U35:U36"/>
    <mergeCell ref="V35:Y35"/>
    <mergeCell ref="Z35:Z36"/>
    <mergeCell ref="R34:T34"/>
    <mergeCell ref="BI28:BI29"/>
    <mergeCell ref="BJ28:BM28"/>
    <mergeCell ref="BF27:BH27"/>
    <mergeCell ref="AQ27:AS27"/>
    <mergeCell ref="AT23:AU26"/>
    <mergeCell ref="AV23:AX26"/>
    <mergeCell ref="AY23:AZ26"/>
    <mergeCell ref="BA23:BC26"/>
    <mergeCell ref="BD23:BE26"/>
    <mergeCell ref="BF23:BH26"/>
    <mergeCell ref="BI23:BJ26"/>
    <mergeCell ref="BK23:BM26"/>
    <mergeCell ref="AG23:AI26"/>
    <mergeCell ref="AJ23:AK26"/>
    <mergeCell ref="AT27:AU27"/>
    <mergeCell ref="AV27:AX27"/>
    <mergeCell ref="AY27:AZ27"/>
    <mergeCell ref="BA27:BC27"/>
    <mergeCell ref="AP28:AS28"/>
    <mergeCell ref="AT28:AT29"/>
    <mergeCell ref="AU28:AX28"/>
    <mergeCell ref="AY28:AY29"/>
    <mergeCell ref="AZ28:BC28"/>
    <mergeCell ref="BD28:BD29"/>
    <mergeCell ref="BE28:BH28"/>
    <mergeCell ref="BI27:BJ27"/>
    <mergeCell ref="BK27:BM27"/>
    <mergeCell ref="AL23:AN26"/>
    <mergeCell ref="U34:V34"/>
    <mergeCell ref="K35:K36"/>
    <mergeCell ref="L35:O35"/>
    <mergeCell ref="K34:L34"/>
    <mergeCell ref="M34:O34"/>
    <mergeCell ref="P34:Q34"/>
    <mergeCell ref="K27:L27"/>
    <mergeCell ref="M27:O27"/>
    <mergeCell ref="AO34:AP34"/>
    <mergeCell ref="AQ34:AS34"/>
    <mergeCell ref="BN16:BO19"/>
    <mergeCell ref="BP16:BR19"/>
    <mergeCell ref="A21:A22"/>
    <mergeCell ref="B21:E21"/>
    <mergeCell ref="F21:F22"/>
    <mergeCell ref="G21:J21"/>
    <mergeCell ref="K21:K22"/>
    <mergeCell ref="P21:P22"/>
    <mergeCell ref="Q21:T21"/>
    <mergeCell ref="U21:U22"/>
    <mergeCell ref="AO23:AP26"/>
    <mergeCell ref="AQ23:AS26"/>
    <mergeCell ref="P23:Q26"/>
    <mergeCell ref="R23:T26"/>
    <mergeCell ref="U23:V26"/>
    <mergeCell ref="W23:Y26"/>
    <mergeCell ref="Z23:AA26"/>
    <mergeCell ref="AE21:AE22"/>
    <mergeCell ref="AF21:AI21"/>
    <mergeCell ref="AJ21:AJ22"/>
    <mergeCell ref="AK21:AN21"/>
    <mergeCell ref="AO21:AO22"/>
    <mergeCell ref="F23:G26"/>
    <mergeCell ref="BI9:BJ12"/>
    <mergeCell ref="W9:Y12"/>
    <mergeCell ref="Z9:AA12"/>
    <mergeCell ref="AB9:AD12"/>
    <mergeCell ref="BF13:BH13"/>
    <mergeCell ref="BI13:BJ13"/>
    <mergeCell ref="BF16:BH19"/>
    <mergeCell ref="AE16:AF19"/>
    <mergeCell ref="AG16:AI19"/>
    <mergeCell ref="AJ16:AK19"/>
    <mergeCell ref="AL16:AN19"/>
    <mergeCell ref="AO16:AP19"/>
    <mergeCell ref="AQ16:AS19"/>
    <mergeCell ref="L21:O21"/>
    <mergeCell ref="AT16:AU19"/>
    <mergeCell ref="AV16:AX19"/>
    <mergeCell ref="AY16:AZ19"/>
    <mergeCell ref="BA16:BC19"/>
    <mergeCell ref="BD16:BE19"/>
    <mergeCell ref="P16:Q19"/>
    <mergeCell ref="R16:T19"/>
    <mergeCell ref="U16:V19"/>
    <mergeCell ref="F9:G12"/>
    <mergeCell ref="U14:U15"/>
    <mergeCell ref="V14:Y14"/>
    <mergeCell ref="Z14:Z15"/>
    <mergeCell ref="AA14:AD14"/>
    <mergeCell ref="BF9:BH12"/>
    <mergeCell ref="AE9:AF12"/>
    <mergeCell ref="AG9:AI12"/>
    <mergeCell ref="AJ9:AK12"/>
    <mergeCell ref="BK16:BM19"/>
    <mergeCell ref="BK9:BM12"/>
    <mergeCell ref="BN9:BO12"/>
    <mergeCell ref="BP9:BR12"/>
    <mergeCell ref="A14:A15"/>
    <mergeCell ref="B14:E14"/>
    <mergeCell ref="F14:F15"/>
    <mergeCell ref="G14:J14"/>
    <mergeCell ref="K14:K15"/>
    <mergeCell ref="BD14:BD15"/>
    <mergeCell ref="BE14:BH14"/>
    <mergeCell ref="AE14:AE15"/>
    <mergeCell ref="AF14:AI14"/>
    <mergeCell ref="AJ14:AJ15"/>
    <mergeCell ref="AK14:AN14"/>
    <mergeCell ref="AP14:AS14"/>
    <mergeCell ref="A16:B19"/>
    <mergeCell ref="C16:E19"/>
    <mergeCell ref="F16:G19"/>
    <mergeCell ref="H16:J19"/>
    <mergeCell ref="K16:L19"/>
    <mergeCell ref="M16:O19"/>
    <mergeCell ref="BI14:BI15"/>
    <mergeCell ref="BJ14:BM14"/>
    <mergeCell ref="BN14:BN15"/>
    <mergeCell ref="BO14:BR14"/>
    <mergeCell ref="AT14:AT15"/>
    <mergeCell ref="AU14:AX14"/>
    <mergeCell ref="AY14:AY15"/>
    <mergeCell ref="AZ14:BC14"/>
    <mergeCell ref="BK13:BM13"/>
    <mergeCell ref="BN13:BO13"/>
    <mergeCell ref="K7:K8"/>
    <mergeCell ref="L7:O7"/>
    <mergeCell ref="P7:P8"/>
    <mergeCell ref="BI2:BJ5"/>
    <mergeCell ref="BK2:BM5"/>
    <mergeCell ref="BN2:BO5"/>
    <mergeCell ref="BP2:BR5"/>
    <mergeCell ref="AT2:AU5"/>
    <mergeCell ref="AV2:AX5"/>
    <mergeCell ref="AY2:AZ5"/>
    <mergeCell ref="BA2:BC5"/>
    <mergeCell ref="AE7:AE8"/>
    <mergeCell ref="AF7:AI7"/>
    <mergeCell ref="AJ7:AJ8"/>
    <mergeCell ref="AK7:AN7"/>
    <mergeCell ref="AO7:AO8"/>
    <mergeCell ref="AP7:AS7"/>
    <mergeCell ref="AT7:AT8"/>
    <mergeCell ref="AU7:AX7"/>
    <mergeCell ref="AY7:AY8"/>
    <mergeCell ref="AZ7:BC7"/>
    <mergeCell ref="BD7:BD8"/>
    <mergeCell ref="BE7:BH7"/>
    <mergeCell ref="Z7:Z8"/>
    <mergeCell ref="AA7:AD7"/>
    <mergeCell ref="Q7:T7"/>
    <mergeCell ref="AT6:AU6"/>
    <mergeCell ref="AV6:AX6"/>
    <mergeCell ref="AY6:AZ6"/>
    <mergeCell ref="BA6:BC6"/>
    <mergeCell ref="BD6:BE6"/>
    <mergeCell ref="BP13:BR13"/>
    <mergeCell ref="U20:V20"/>
    <mergeCell ref="W20:Y20"/>
    <mergeCell ref="BP34:BR34"/>
    <mergeCell ref="BP27:BR27"/>
    <mergeCell ref="A2:B5"/>
    <mergeCell ref="C2:E5"/>
    <mergeCell ref="F2:G5"/>
    <mergeCell ref="H2:J5"/>
    <mergeCell ref="K2:L5"/>
    <mergeCell ref="M2:O5"/>
    <mergeCell ref="P2:Q5"/>
    <mergeCell ref="R2:T5"/>
    <mergeCell ref="U2:V5"/>
    <mergeCell ref="W2:Y5"/>
    <mergeCell ref="Z2:AA5"/>
    <mergeCell ref="AB2:AD5"/>
    <mergeCell ref="BI7:BI8"/>
    <mergeCell ref="BJ7:BM7"/>
    <mergeCell ref="BN7:BN8"/>
    <mergeCell ref="BO7:BR7"/>
    <mergeCell ref="AO2:AP5"/>
    <mergeCell ref="AQ2:AS5"/>
    <mergeCell ref="BF6:BH6"/>
    <mergeCell ref="BD2:BE5"/>
    <mergeCell ref="BF2:BH5"/>
    <mergeCell ref="AE2:AF5"/>
    <mergeCell ref="AG2:AI5"/>
    <mergeCell ref="AJ2:AK5"/>
    <mergeCell ref="AL2:AN5"/>
    <mergeCell ref="A9:B12"/>
    <mergeCell ref="C9:E12"/>
    <mergeCell ref="AL9:AN12"/>
    <mergeCell ref="AO9:AP12"/>
    <mergeCell ref="AQ9:AS12"/>
    <mergeCell ref="AT9:AU12"/>
    <mergeCell ref="A7:A8"/>
    <mergeCell ref="B7:E7"/>
    <mergeCell ref="F7:F8"/>
    <mergeCell ref="G7:J7"/>
    <mergeCell ref="AE6:AF6"/>
    <mergeCell ref="AG6:AI6"/>
    <mergeCell ref="A13:B13"/>
    <mergeCell ref="C13:E13"/>
    <mergeCell ref="AE30:AF33"/>
    <mergeCell ref="AG30:AI33"/>
    <mergeCell ref="AJ30:AK33"/>
    <mergeCell ref="AL30:AN33"/>
    <mergeCell ref="AO30:AP33"/>
    <mergeCell ref="AQ30:AS33"/>
    <mergeCell ref="AO20:AP20"/>
    <mergeCell ref="AQ20:AS20"/>
    <mergeCell ref="AT20:AU20"/>
    <mergeCell ref="F13:G13"/>
    <mergeCell ref="H13:J13"/>
    <mergeCell ref="K13:L13"/>
    <mergeCell ref="M13:O13"/>
    <mergeCell ref="P6:Q6"/>
    <mergeCell ref="R6:T6"/>
    <mergeCell ref="H9:J12"/>
    <mergeCell ref="K9:L12"/>
    <mergeCell ref="U6:V6"/>
    <mergeCell ref="AB13:AD13"/>
    <mergeCell ref="AE13:AF13"/>
    <mergeCell ref="BD9:BE12"/>
    <mergeCell ref="P9:Q12"/>
    <mergeCell ref="R9:T12"/>
    <mergeCell ref="BD13:BE13"/>
    <mergeCell ref="AO13:AP13"/>
    <mergeCell ref="AQ13:AS13"/>
    <mergeCell ref="AT13:AU13"/>
    <mergeCell ref="AV13:AX13"/>
    <mergeCell ref="U9:V12"/>
    <mergeCell ref="AO14:AO15"/>
    <mergeCell ref="Z16:AA19"/>
    <mergeCell ref="AB16:AD19"/>
    <mergeCell ref="W16:Y19"/>
    <mergeCell ref="V21:Y21"/>
    <mergeCell ref="Z21:Z22"/>
    <mergeCell ref="AA21:AD21"/>
    <mergeCell ref="BA20:BC20"/>
    <mergeCell ref="BD20:BE20"/>
    <mergeCell ref="P20:Q20"/>
    <mergeCell ref="R20:T20"/>
    <mergeCell ref="AP21:AS21"/>
    <mergeCell ref="AT21:AT22"/>
    <mergeCell ref="AU21:AX21"/>
    <mergeCell ref="AV20:AX20"/>
    <mergeCell ref="AY20:AZ20"/>
    <mergeCell ref="P13:Q13"/>
    <mergeCell ref="R13:T13"/>
    <mergeCell ref="U13:V13"/>
    <mergeCell ref="W13:Y13"/>
    <mergeCell ref="AY13:AZ13"/>
    <mergeCell ref="BA13:BC13"/>
    <mergeCell ref="Z13:AA13"/>
    <mergeCell ref="BI16:BJ19"/>
    <mergeCell ref="BK20:BM20"/>
    <mergeCell ref="BN20:BO20"/>
    <mergeCell ref="BP20:BR20"/>
    <mergeCell ref="U7:U8"/>
    <mergeCell ref="V7:Y7"/>
    <mergeCell ref="AT59:AV61"/>
    <mergeCell ref="AY59:BA61"/>
    <mergeCell ref="A6:B6"/>
    <mergeCell ref="C6:E6"/>
    <mergeCell ref="F6:G6"/>
    <mergeCell ref="H6:J6"/>
    <mergeCell ref="K6:L6"/>
    <mergeCell ref="M6:O6"/>
    <mergeCell ref="BP6:BR6"/>
    <mergeCell ref="AJ6:AK6"/>
    <mergeCell ref="AL6:AN6"/>
    <mergeCell ref="AO6:AP6"/>
    <mergeCell ref="AQ6:AS6"/>
    <mergeCell ref="M9:O12"/>
    <mergeCell ref="P14:P15"/>
    <mergeCell ref="Q14:T14"/>
    <mergeCell ref="L14:O14"/>
    <mergeCell ref="AV9:AX12"/>
    <mergeCell ref="AY9:AZ12"/>
    <mergeCell ref="BA9:BC12"/>
    <mergeCell ref="BI6:BJ6"/>
    <mergeCell ref="BK6:BM6"/>
    <mergeCell ref="BN6:BO6"/>
    <mergeCell ref="W6:Y6"/>
    <mergeCell ref="Z6:AA6"/>
    <mergeCell ref="AB6:AD6"/>
    <mergeCell ref="AG13:AI13"/>
    <mergeCell ref="AJ13:AK13"/>
    <mergeCell ref="AL13:AN13"/>
    <mergeCell ref="BN27:BO27"/>
    <mergeCell ref="Z20:AA20"/>
    <mergeCell ref="AB20:AD20"/>
    <mergeCell ref="AE20:AF20"/>
    <mergeCell ref="AG20:AI20"/>
    <mergeCell ref="AJ20:AK20"/>
    <mergeCell ref="AL20:AN20"/>
    <mergeCell ref="A20:B20"/>
    <mergeCell ref="C20:E20"/>
    <mergeCell ref="F20:G20"/>
    <mergeCell ref="H20:J20"/>
    <mergeCell ref="K20:L20"/>
    <mergeCell ref="M20:O20"/>
    <mergeCell ref="P27:Q27"/>
    <mergeCell ref="R27:T27"/>
    <mergeCell ref="U27:V27"/>
    <mergeCell ref="BJ21:BM21"/>
    <mergeCell ref="BN21:BN22"/>
    <mergeCell ref="BO21:BR21"/>
    <mergeCell ref="BI21:BI22"/>
    <mergeCell ref="A27:B27"/>
    <mergeCell ref="C27:E27"/>
    <mergeCell ref="F27:G27"/>
    <mergeCell ref="H27:J27"/>
    <mergeCell ref="BF20:BH20"/>
    <mergeCell ref="BI20:BJ20"/>
    <mergeCell ref="AY21:AY22"/>
    <mergeCell ref="AZ21:BC21"/>
    <mergeCell ref="BD21:BD22"/>
    <mergeCell ref="BE21:BH21"/>
    <mergeCell ref="A23:B26"/>
    <mergeCell ref="C23:E26"/>
    <mergeCell ref="A41:B41"/>
    <mergeCell ref="C41:E41"/>
    <mergeCell ref="F41:G41"/>
    <mergeCell ref="H41:J41"/>
    <mergeCell ref="K41:L41"/>
    <mergeCell ref="M41:O41"/>
    <mergeCell ref="P41:Q41"/>
    <mergeCell ref="AT34:AU34"/>
    <mergeCell ref="AV34:AX34"/>
    <mergeCell ref="W27:Y27"/>
    <mergeCell ref="Z27:AA27"/>
    <mergeCell ref="AB27:AD27"/>
    <mergeCell ref="AE27:AF27"/>
    <mergeCell ref="AG27:AI27"/>
    <mergeCell ref="AJ27:AK27"/>
    <mergeCell ref="AL27:AN27"/>
    <mergeCell ref="AO27:AP27"/>
    <mergeCell ref="AE34:AF34"/>
    <mergeCell ref="AG34:AI34"/>
    <mergeCell ref="AJ34:AK34"/>
    <mergeCell ref="AL34:AN34"/>
    <mergeCell ref="A28:A29"/>
    <mergeCell ref="B28:E28"/>
    <mergeCell ref="F28:F29"/>
    <mergeCell ref="G28:J28"/>
    <mergeCell ref="K28:K29"/>
    <mergeCell ref="L28:O28"/>
    <mergeCell ref="P28:P29"/>
    <mergeCell ref="Q28:T28"/>
    <mergeCell ref="U28:U29"/>
    <mergeCell ref="V28:Y28"/>
    <mergeCell ref="Z28:Z29"/>
    <mergeCell ref="AJ37:AK40"/>
    <mergeCell ref="AL37:AN40"/>
    <mergeCell ref="AO37:AP40"/>
    <mergeCell ref="AQ37:AS40"/>
    <mergeCell ref="A35:A36"/>
    <mergeCell ref="B35:E35"/>
    <mergeCell ref="F35:F36"/>
    <mergeCell ref="G35:J35"/>
    <mergeCell ref="A37:B40"/>
    <mergeCell ref="BP23:BR26"/>
    <mergeCell ref="BN23:BO26"/>
    <mergeCell ref="K23:L26"/>
    <mergeCell ref="M23:O26"/>
    <mergeCell ref="AB23:AD26"/>
    <mergeCell ref="BD27:BE27"/>
    <mergeCell ref="BN28:BN29"/>
    <mergeCell ref="BO28:BR28"/>
    <mergeCell ref="H23:J26"/>
    <mergeCell ref="BK34:BM34"/>
    <mergeCell ref="BN34:BO34"/>
    <mergeCell ref="AA28:AD28"/>
    <mergeCell ref="AE28:AE29"/>
    <mergeCell ref="AF28:AI28"/>
    <mergeCell ref="AJ28:AJ29"/>
    <mergeCell ref="AK28:AN28"/>
    <mergeCell ref="AO28:AO29"/>
    <mergeCell ref="AE23:AF26"/>
    <mergeCell ref="P30:Q33"/>
    <mergeCell ref="R30:T33"/>
    <mergeCell ref="U30:V33"/>
    <mergeCell ref="AO35:AO36"/>
    <mergeCell ref="AP35:AS35"/>
    <mergeCell ref="AY42:AY43"/>
    <mergeCell ref="AZ42:BC42"/>
    <mergeCell ref="BD42:BD43"/>
    <mergeCell ref="BE42:BH42"/>
    <mergeCell ref="AO42:AO43"/>
    <mergeCell ref="P42:P43"/>
    <mergeCell ref="BN48:BO48"/>
    <mergeCell ref="BP48:BR48"/>
    <mergeCell ref="AE48:AF48"/>
    <mergeCell ref="A34:B34"/>
    <mergeCell ref="C34:E34"/>
    <mergeCell ref="F34:G34"/>
    <mergeCell ref="H34:J34"/>
    <mergeCell ref="C37:E40"/>
    <mergeCell ref="F37:G40"/>
    <mergeCell ref="H37:J40"/>
    <mergeCell ref="K37:L40"/>
    <mergeCell ref="M37:O40"/>
    <mergeCell ref="AV37:AX40"/>
    <mergeCell ref="AY37:AZ40"/>
    <mergeCell ref="AG41:AI41"/>
    <mergeCell ref="AJ41:AK41"/>
    <mergeCell ref="AL41:AN41"/>
    <mergeCell ref="AO41:AP41"/>
    <mergeCell ref="AQ41:AS41"/>
    <mergeCell ref="AT41:AU41"/>
    <mergeCell ref="R41:T41"/>
    <mergeCell ref="U41:V41"/>
    <mergeCell ref="W41:Y41"/>
    <mergeCell ref="A55:B55"/>
    <mergeCell ref="C55:E55"/>
    <mergeCell ref="F55:G55"/>
    <mergeCell ref="H55:J55"/>
    <mergeCell ref="K55:L55"/>
    <mergeCell ref="M55:O55"/>
    <mergeCell ref="P55:Q55"/>
    <mergeCell ref="Z51:AA54"/>
    <mergeCell ref="AB51:AD54"/>
    <mergeCell ref="Z41:AA41"/>
    <mergeCell ref="AB41:AD41"/>
    <mergeCell ref="AE41:AF41"/>
    <mergeCell ref="B42:E42"/>
    <mergeCell ref="F42:F43"/>
    <mergeCell ref="G42:J42"/>
    <mergeCell ref="K42:K43"/>
    <mergeCell ref="L42:O42"/>
    <mergeCell ref="U48:V48"/>
    <mergeCell ref="W48:Y48"/>
    <mergeCell ref="Z48:AA48"/>
    <mergeCell ref="AB48:AD48"/>
    <mergeCell ref="A48:B48"/>
    <mergeCell ref="C48:E48"/>
    <mergeCell ref="F48:G48"/>
    <mergeCell ref="H48:J48"/>
    <mergeCell ref="K48:L48"/>
    <mergeCell ref="M48:O48"/>
    <mergeCell ref="P48:Q48"/>
    <mergeCell ref="R48:T48"/>
    <mergeCell ref="Z42:Z43"/>
    <mergeCell ref="AA42:AD42"/>
    <mergeCell ref="AE42:AE43"/>
    <mergeCell ref="Z55:AA55"/>
    <mergeCell ref="AB55:AD55"/>
    <mergeCell ref="AK42:AN42"/>
    <mergeCell ref="BL58:BM58"/>
    <mergeCell ref="BN58:BP58"/>
    <mergeCell ref="BQ58:BR58"/>
    <mergeCell ref="AY41:AZ41"/>
    <mergeCell ref="AP42:AS42"/>
    <mergeCell ref="AU42:AX42"/>
    <mergeCell ref="AV48:AX48"/>
    <mergeCell ref="AY48:AZ48"/>
    <mergeCell ref="BA48:BC48"/>
    <mergeCell ref="AG55:AI55"/>
    <mergeCell ref="AJ55:AK55"/>
    <mergeCell ref="AL55:AN55"/>
    <mergeCell ref="BN41:BO41"/>
    <mergeCell ref="BP41:BR41"/>
    <mergeCell ref="BK48:BM48"/>
    <mergeCell ref="BA41:BC41"/>
    <mergeCell ref="BD41:BE41"/>
    <mergeCell ref="BF41:BH41"/>
    <mergeCell ref="BI41:BJ41"/>
    <mergeCell ref="BK41:BM41"/>
    <mergeCell ref="BD48:BE48"/>
    <mergeCell ref="BF48:BH48"/>
    <mergeCell ref="BI48:BJ48"/>
    <mergeCell ref="AV41:AX41"/>
    <mergeCell ref="AO44:AP47"/>
    <mergeCell ref="AQ44:AS47"/>
    <mergeCell ref="AT42:AT43"/>
    <mergeCell ref="AF42:AI42"/>
    <mergeCell ref="AJ42:AJ43"/>
    <mergeCell ref="A59:C61"/>
    <mergeCell ref="F59:H61"/>
    <mergeCell ref="K59:M61"/>
    <mergeCell ref="P59:R61"/>
    <mergeCell ref="U59:W61"/>
    <mergeCell ref="BJ42:BM42"/>
    <mergeCell ref="BN42:BN43"/>
    <mergeCell ref="BO42:BR42"/>
    <mergeCell ref="A44:B47"/>
    <mergeCell ref="C44:E47"/>
    <mergeCell ref="A51:B54"/>
    <mergeCell ref="F44:G47"/>
    <mergeCell ref="Q42:T42"/>
    <mergeCell ref="U42:U43"/>
    <mergeCell ref="BI42:BI43"/>
    <mergeCell ref="V42:Y42"/>
    <mergeCell ref="BK55:BM55"/>
    <mergeCell ref="BN55:BO55"/>
    <mergeCell ref="BP55:BR55"/>
    <mergeCell ref="A42:A43"/>
    <mergeCell ref="AV55:AX55"/>
    <mergeCell ref="AY55:AZ55"/>
    <mergeCell ref="BA55:BC55"/>
    <mergeCell ref="AQ48:AS48"/>
    <mergeCell ref="AT48:AU48"/>
    <mergeCell ref="K58:M58"/>
    <mergeCell ref="D61:E61"/>
    <mergeCell ref="I61:J61"/>
    <mergeCell ref="N61:O61"/>
    <mergeCell ref="AC61:AD61"/>
    <mergeCell ref="AH61:AI61"/>
    <mergeCell ref="AO55:AP55"/>
    <mergeCell ref="V62:Y62"/>
    <mergeCell ref="Z62:Z63"/>
    <mergeCell ref="AA62:AD62"/>
    <mergeCell ref="AE62:AE63"/>
    <mergeCell ref="BG61:BH61"/>
    <mergeCell ref="BD59:BF61"/>
    <mergeCell ref="Z59:AB61"/>
    <mergeCell ref="AE59:AG61"/>
    <mergeCell ref="AJ59:AL61"/>
    <mergeCell ref="AO59:AQ61"/>
    <mergeCell ref="AT62:AT63"/>
    <mergeCell ref="AP62:AS62"/>
    <mergeCell ref="AM61:AN61"/>
    <mergeCell ref="AY71:AZ74"/>
    <mergeCell ref="BA71:BC74"/>
    <mergeCell ref="BD71:BE74"/>
    <mergeCell ref="BF71:BH74"/>
    <mergeCell ref="AY68:AY69"/>
    <mergeCell ref="AZ68:BC68"/>
    <mergeCell ref="BD68:BD69"/>
    <mergeCell ref="BE68:BH68"/>
    <mergeCell ref="AJ71:AK74"/>
    <mergeCell ref="AL71:AN74"/>
    <mergeCell ref="AO71:AP74"/>
    <mergeCell ref="AQ71:AS74"/>
    <mergeCell ref="W71:Y74"/>
    <mergeCell ref="Z71:AA74"/>
    <mergeCell ref="AB71:AD74"/>
    <mergeCell ref="AE71:AF74"/>
    <mergeCell ref="AG71:AI74"/>
    <mergeCell ref="AT64:AV64"/>
    <mergeCell ref="AE65:AG67"/>
    <mergeCell ref="M71:O74"/>
    <mergeCell ref="P76:P77"/>
    <mergeCell ref="Q76:T76"/>
    <mergeCell ref="Z76:Z77"/>
    <mergeCell ref="BI79:BK81"/>
    <mergeCell ref="P71:Q74"/>
    <mergeCell ref="R71:T74"/>
    <mergeCell ref="AO75:AP75"/>
    <mergeCell ref="AQ75:AS75"/>
    <mergeCell ref="AT75:AU75"/>
    <mergeCell ref="AO76:AO77"/>
    <mergeCell ref="BN71:BO74"/>
    <mergeCell ref="BE76:BH76"/>
    <mergeCell ref="BI76:BI77"/>
    <mergeCell ref="AZ76:BC76"/>
    <mergeCell ref="BD76:BD77"/>
    <mergeCell ref="AT78:AV78"/>
    <mergeCell ref="BL81:BM81"/>
    <mergeCell ref="AJ79:AL81"/>
    <mergeCell ref="AO79:AQ81"/>
    <mergeCell ref="AT79:AV81"/>
    <mergeCell ref="BJ76:BM76"/>
    <mergeCell ref="AP76:AS76"/>
    <mergeCell ref="AT76:AT77"/>
    <mergeCell ref="AU76:AX76"/>
    <mergeCell ref="AY76:AY77"/>
    <mergeCell ref="BN79:BP81"/>
    <mergeCell ref="AE76:AE77"/>
    <mergeCell ref="AF76:AI76"/>
    <mergeCell ref="U76:U77"/>
    <mergeCell ref="V76:Y76"/>
    <mergeCell ref="AM81:AN81"/>
  </mergeCells>
  <pageMargins left="0.25" right="0" top="0.65" bottom="0" header="0.3" footer="0.3"/>
  <pageSetup paperSize="8" scale="33" orientation="portrait" r:id="rId1"/>
  <rowBreaks count="2" manualBreakCount="2">
    <brk id="70" max="69" man="1"/>
    <brk id="101" max="70" man="1"/>
  </rowBreaks>
  <colBreaks count="1" manualBreakCount="1">
    <brk id="70" max="90" man="1"/>
  </colBreaks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3877C-9966-471A-8450-931A6F6B684E}">
  <sheetPr codeName="Sheet3">
    <tabColor rgb="FFFFC000"/>
  </sheetPr>
  <dimension ref="A1:CL107"/>
  <sheetViews>
    <sheetView view="pageBreakPreview" zoomScale="55" zoomScaleNormal="115" zoomScaleSheetLayoutView="55" workbookViewId="0">
      <selection activeCell="O31" sqref="O31:R31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140625" customWidth="1"/>
    <col min="47" max="47" width="10.71093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4.140625" customWidth="1"/>
    <col min="62" max="62" width="10.7109375" customWidth="1"/>
    <col min="63" max="63" width="4.28515625" customWidth="1"/>
    <col min="64" max="65" width="5.5703125" customWidth="1"/>
    <col min="66" max="66" width="4.140625" customWidth="1"/>
    <col min="67" max="67" width="10.7109375" customWidth="1"/>
    <col min="68" max="68" width="4.28515625" customWidth="1"/>
    <col min="69" max="70" width="5.5703125" customWidth="1"/>
    <col min="71" max="71" width="1" customWidth="1"/>
    <col min="72" max="72" width="56.7109375" customWidth="1"/>
    <col min="73" max="73" width="13" customWidth="1"/>
    <col min="74" max="74" width="7" customWidth="1"/>
  </cols>
  <sheetData>
    <row r="1" spans="1:83" ht="75" customHeight="1" x14ac:dyDescent="0.25"/>
    <row r="2" spans="1:83" ht="27.95" customHeight="1" x14ac:dyDescent="0.25">
      <c r="A2" s="2041" t="s">
        <v>110</v>
      </c>
      <c r="B2" s="2041"/>
      <c r="C2" s="2042">
        <f>B7/((36*3.1415/59)*(70/3.281))</f>
        <v>2.9171655816021567E-2</v>
      </c>
      <c r="D2" s="2042"/>
      <c r="E2" s="2042"/>
      <c r="F2" s="2041" t="s">
        <v>110</v>
      </c>
      <c r="G2" s="2041"/>
      <c r="H2" s="2042">
        <f t="shared" ref="H2" si="0">G7/((36*3.1415/59)*(70/3.281))</f>
        <v>2.4452351899431322E-6</v>
      </c>
      <c r="I2" s="2042"/>
      <c r="J2" s="2042"/>
      <c r="K2" s="2041" t="s">
        <v>110</v>
      </c>
      <c r="L2" s="2041"/>
      <c r="M2" s="2042">
        <f t="shared" ref="M2" si="1">L7/((36*3.1415/59)*(70/3.281))</f>
        <v>3.6629623145348116E-2</v>
      </c>
      <c r="N2" s="2042"/>
      <c r="O2" s="2042"/>
      <c r="P2" s="2041" t="s">
        <v>110</v>
      </c>
      <c r="Q2" s="2041"/>
      <c r="R2" s="2042">
        <f t="shared" ref="R2" si="2">Q7/((36*3.1415/59)*(70/3.281))</f>
        <v>2.4452351899431322E-6</v>
      </c>
      <c r="S2" s="2042"/>
      <c r="T2" s="2042"/>
      <c r="U2" s="2041" t="s">
        <v>110</v>
      </c>
      <c r="V2" s="2041"/>
      <c r="W2" s="2042">
        <f t="shared" ref="W2" si="3">V7/((36*3.1415/59)*(70/3.281))</f>
        <v>2.4452351899431322E-6</v>
      </c>
      <c r="X2" s="2042"/>
      <c r="Y2" s="2042"/>
      <c r="Z2" s="2041" t="s">
        <v>110</v>
      </c>
      <c r="AA2" s="2041"/>
      <c r="AB2" s="2042">
        <f t="shared" ref="AB2" si="4">AA7/((36*3.1415/59)*(70/3.281))</f>
        <v>6.8222061799413395E-3</v>
      </c>
      <c r="AC2" s="2042"/>
      <c r="AD2" s="2042"/>
      <c r="AE2" s="2041" t="s">
        <v>110</v>
      </c>
      <c r="AF2" s="2041"/>
      <c r="AG2" s="2042">
        <f t="shared" ref="AG2" si="5">AF7/((36*3.1415/59)*(70/3.281))</f>
        <v>2.4452351899431323E-5</v>
      </c>
      <c r="AH2" s="2042"/>
      <c r="AI2" s="2042"/>
      <c r="AJ2" s="2041" t="s">
        <v>110</v>
      </c>
      <c r="AK2" s="2041"/>
      <c r="AL2" s="2042">
        <f t="shared" ref="AL2" si="6">AK7/((36*3.1415/59)*(70/3.281))</f>
        <v>2.4452351899431322E-6</v>
      </c>
      <c r="AM2" s="2042"/>
      <c r="AN2" s="2042"/>
      <c r="AO2" s="2041" t="s">
        <v>110</v>
      </c>
      <c r="AP2" s="2041"/>
      <c r="AQ2" s="2042">
        <f t="shared" ref="AQ2" si="7">AP7/((36*3.1415/59)*(70/3.281))</f>
        <v>2.4452351899431323E-5</v>
      </c>
      <c r="AR2" s="2042"/>
      <c r="AS2" s="2042"/>
      <c r="AT2" s="2041" t="s">
        <v>110</v>
      </c>
      <c r="AU2" s="2041"/>
      <c r="AV2" s="2042">
        <f t="shared" ref="AV2" si="8">AU7/((36*3.1415/59)*(70/3.281))</f>
        <v>3.1054486912277779E-3</v>
      </c>
      <c r="AW2" s="2042"/>
      <c r="AX2" s="2042"/>
      <c r="AY2" s="2041" t="s">
        <v>110</v>
      </c>
      <c r="AZ2" s="2041"/>
      <c r="BA2" s="2042">
        <f t="shared" ref="BA2" si="9">AZ7/((36*3.1415/59)*(70/3.281))</f>
        <v>2.4452351899431322E-6</v>
      </c>
      <c r="BB2" s="2042"/>
      <c r="BC2" s="2042"/>
      <c r="BD2" s="3563" t="s">
        <v>110</v>
      </c>
      <c r="BE2" s="3564"/>
      <c r="BF2" s="3568">
        <f t="shared" ref="BF2" si="10">BE7/((36*3.1415/59)*(70/3.281))</f>
        <v>6.2108973824555559E-3</v>
      </c>
      <c r="BG2" s="3569"/>
      <c r="BH2" s="3570"/>
      <c r="BI2" s="3563" t="s">
        <v>110</v>
      </c>
      <c r="BJ2" s="3564"/>
      <c r="BK2" s="3568">
        <f t="shared" ref="BK2" si="11">BJ7/((36*3.1415/59)*(70/3.281))</f>
        <v>0.14285063979647777</v>
      </c>
      <c r="BL2" s="3569"/>
      <c r="BM2" s="3570"/>
      <c r="BN2" s="2041" t="s">
        <v>110</v>
      </c>
      <c r="BO2" s="2041"/>
      <c r="BP2" s="2042">
        <f t="shared" ref="BP2" si="12">BO7/((36*3.1415/59)*(70/3.281))</f>
        <v>2.4452351899431323E-5</v>
      </c>
      <c r="BQ2" s="2042"/>
      <c r="BR2" s="2042"/>
    </row>
    <row r="3" spans="1:83" ht="6.75" customHeight="1" x14ac:dyDescent="0.25">
      <c r="A3" s="2041"/>
      <c r="B3" s="2041"/>
      <c r="C3" s="2042"/>
      <c r="D3" s="2042"/>
      <c r="E3" s="2042"/>
      <c r="F3" s="2041"/>
      <c r="G3" s="2041"/>
      <c r="H3" s="2042"/>
      <c r="I3" s="2042"/>
      <c r="J3" s="2042"/>
      <c r="K3" s="2041"/>
      <c r="L3" s="2041"/>
      <c r="M3" s="2042"/>
      <c r="N3" s="2042"/>
      <c r="O3" s="2042"/>
      <c r="P3" s="2041"/>
      <c r="Q3" s="2041"/>
      <c r="R3" s="2042"/>
      <c r="S3" s="2042"/>
      <c r="T3" s="2042"/>
      <c r="U3" s="2041"/>
      <c r="V3" s="2041"/>
      <c r="W3" s="2042"/>
      <c r="X3" s="2042"/>
      <c r="Y3" s="2042"/>
      <c r="Z3" s="2041"/>
      <c r="AA3" s="2041"/>
      <c r="AB3" s="2042"/>
      <c r="AC3" s="2042"/>
      <c r="AD3" s="2042"/>
      <c r="AE3" s="2041"/>
      <c r="AF3" s="2041"/>
      <c r="AG3" s="2042"/>
      <c r="AH3" s="2042"/>
      <c r="AI3" s="2042"/>
      <c r="AJ3" s="2041"/>
      <c r="AK3" s="2041"/>
      <c r="AL3" s="2042"/>
      <c r="AM3" s="2042"/>
      <c r="AN3" s="2042"/>
      <c r="AO3" s="2041"/>
      <c r="AP3" s="2041"/>
      <c r="AQ3" s="2042"/>
      <c r="AR3" s="2042"/>
      <c r="AS3" s="2042"/>
      <c r="AT3" s="2041"/>
      <c r="AU3" s="2041"/>
      <c r="AV3" s="2042"/>
      <c r="AW3" s="2042"/>
      <c r="AX3" s="2042"/>
      <c r="AY3" s="2041"/>
      <c r="AZ3" s="2041"/>
      <c r="BA3" s="2042"/>
      <c r="BB3" s="2042"/>
      <c r="BC3" s="2042"/>
      <c r="BD3" s="3565"/>
      <c r="BE3" s="3566"/>
      <c r="BF3" s="3571"/>
      <c r="BG3" s="3572"/>
      <c r="BH3" s="3573"/>
      <c r="BI3" s="3565"/>
      <c r="BJ3" s="3566"/>
      <c r="BK3" s="3571"/>
      <c r="BL3" s="3572"/>
      <c r="BM3" s="3573"/>
      <c r="BN3" s="2041"/>
      <c r="BO3" s="2041"/>
      <c r="BP3" s="2042"/>
      <c r="BQ3" s="2042"/>
      <c r="BR3" s="2042"/>
    </row>
    <row r="4" spans="1:83" ht="21.95" customHeight="1" x14ac:dyDescent="0.25">
      <c r="A4" s="3561" t="s">
        <v>111</v>
      </c>
      <c r="B4" s="3561"/>
      <c r="C4" s="3561"/>
      <c r="D4" s="3561"/>
      <c r="E4" s="3561"/>
      <c r="F4" s="3561" t="s">
        <v>111</v>
      </c>
      <c r="G4" s="3561"/>
      <c r="H4" s="3561"/>
      <c r="I4" s="3561"/>
      <c r="J4" s="3561"/>
      <c r="K4" s="3561" t="s">
        <v>111</v>
      </c>
      <c r="L4" s="3561"/>
      <c r="M4" s="3561"/>
      <c r="N4" s="3561"/>
      <c r="O4" s="3561"/>
      <c r="P4" s="3561" t="s">
        <v>111</v>
      </c>
      <c r="Q4" s="3561"/>
      <c r="R4" s="3561"/>
      <c r="S4" s="3561"/>
      <c r="T4" s="3561"/>
      <c r="U4" s="3561" t="s">
        <v>111</v>
      </c>
      <c r="V4" s="3561"/>
      <c r="W4" s="3561"/>
      <c r="X4" s="3561"/>
      <c r="Y4" s="3561"/>
      <c r="Z4" s="3561" t="s">
        <v>111</v>
      </c>
      <c r="AA4" s="3561"/>
      <c r="AB4" s="3561"/>
      <c r="AC4" s="3561"/>
      <c r="AD4" s="3561"/>
      <c r="AE4" s="3561" t="s">
        <v>111</v>
      </c>
      <c r="AF4" s="3561"/>
      <c r="AG4" s="3561"/>
      <c r="AH4" s="3561"/>
      <c r="AI4" s="3561"/>
      <c r="AJ4" s="3561" t="s">
        <v>111</v>
      </c>
      <c r="AK4" s="3561"/>
      <c r="AL4" s="3561"/>
      <c r="AM4" s="3561"/>
      <c r="AN4" s="3561"/>
      <c r="AO4" s="3561" t="s">
        <v>111</v>
      </c>
      <c r="AP4" s="3561"/>
      <c r="AQ4" s="3561"/>
      <c r="AR4" s="3561"/>
      <c r="AS4" s="3561"/>
      <c r="AT4" s="3561" t="s">
        <v>111</v>
      </c>
      <c r="AU4" s="3561"/>
      <c r="AV4" s="3561"/>
      <c r="AW4" s="3561"/>
      <c r="AX4" s="3561"/>
      <c r="AY4" s="3561" t="s">
        <v>111</v>
      </c>
      <c r="AZ4" s="3561"/>
      <c r="BA4" s="3561"/>
      <c r="BB4" s="3561"/>
      <c r="BC4" s="3561"/>
      <c r="BD4" s="3565"/>
      <c r="BE4" s="3566"/>
      <c r="BF4" s="3571"/>
      <c r="BG4" s="3572"/>
      <c r="BH4" s="3573"/>
      <c r="BI4" s="3565"/>
      <c r="BJ4" s="3566"/>
      <c r="BK4" s="3571"/>
      <c r="BL4" s="3572"/>
      <c r="BM4" s="3573"/>
      <c r="BN4" s="3561" t="s">
        <v>111</v>
      </c>
      <c r="BO4" s="3561"/>
      <c r="BP4" s="3561"/>
      <c r="BQ4" s="3561"/>
      <c r="BR4" s="3561"/>
    </row>
    <row r="5" spans="1:83" ht="6" customHeight="1" x14ac:dyDescent="0.25">
      <c r="A5" s="3561"/>
      <c r="B5" s="3561"/>
      <c r="C5" s="3561"/>
      <c r="D5" s="3561"/>
      <c r="E5" s="3561"/>
      <c r="F5" s="3561"/>
      <c r="G5" s="3561"/>
      <c r="H5" s="3561"/>
      <c r="I5" s="3561"/>
      <c r="J5" s="3561"/>
      <c r="K5" s="3561"/>
      <c r="L5" s="3561"/>
      <c r="M5" s="3561"/>
      <c r="N5" s="3561"/>
      <c r="O5" s="3561"/>
      <c r="P5" s="3561"/>
      <c r="Q5" s="3561"/>
      <c r="R5" s="3561"/>
      <c r="S5" s="3561"/>
      <c r="T5" s="3561"/>
      <c r="U5" s="3561"/>
      <c r="V5" s="3561"/>
      <c r="W5" s="3561"/>
      <c r="X5" s="3561"/>
      <c r="Y5" s="3561"/>
      <c r="Z5" s="3561"/>
      <c r="AA5" s="3561"/>
      <c r="AB5" s="3561"/>
      <c r="AC5" s="3561"/>
      <c r="AD5" s="3561"/>
      <c r="AE5" s="3561"/>
      <c r="AF5" s="3561"/>
      <c r="AG5" s="3561"/>
      <c r="AH5" s="3561"/>
      <c r="AI5" s="3561"/>
      <c r="AJ5" s="3561"/>
      <c r="AK5" s="3561"/>
      <c r="AL5" s="3561"/>
      <c r="AM5" s="3561"/>
      <c r="AN5" s="3561"/>
      <c r="AO5" s="3561"/>
      <c r="AP5" s="3561"/>
      <c r="AQ5" s="3561"/>
      <c r="AR5" s="3561"/>
      <c r="AS5" s="3561"/>
      <c r="AT5" s="3561"/>
      <c r="AU5" s="3561"/>
      <c r="AV5" s="3561"/>
      <c r="AW5" s="3561"/>
      <c r="AX5" s="3561"/>
      <c r="AY5" s="3561"/>
      <c r="AZ5" s="3561"/>
      <c r="BA5" s="3561"/>
      <c r="BB5" s="3561"/>
      <c r="BC5" s="3561"/>
      <c r="BD5" s="3567"/>
      <c r="BE5" s="1885"/>
      <c r="BF5" s="3574"/>
      <c r="BG5" s="1888"/>
      <c r="BH5" s="3575"/>
      <c r="BI5" s="3567"/>
      <c r="BJ5" s="1885"/>
      <c r="BK5" s="3574"/>
      <c r="BL5" s="1888"/>
      <c r="BM5" s="3575"/>
      <c r="BN5" s="3561"/>
      <c r="BO5" s="3561"/>
      <c r="BP5" s="3561"/>
      <c r="BQ5" s="3561"/>
      <c r="BR5" s="3561"/>
    </row>
    <row r="6" spans="1:83" s="22" customFormat="1" ht="80.099999999999994" customHeight="1" x14ac:dyDescent="1.35">
      <c r="A6" s="2044" t="s">
        <v>137</v>
      </c>
      <c r="B6" s="3562">
        <v>1</v>
      </c>
      <c r="C6" s="3562"/>
      <c r="D6" s="3562"/>
      <c r="E6" s="3562"/>
      <c r="F6" s="2044" t="s">
        <v>137</v>
      </c>
      <c r="G6" s="3562">
        <v>2</v>
      </c>
      <c r="H6" s="3562"/>
      <c r="I6" s="3562"/>
      <c r="J6" s="3562"/>
      <c r="K6" s="2044" t="s">
        <v>137</v>
      </c>
      <c r="L6" s="3562">
        <v>3</v>
      </c>
      <c r="M6" s="3562"/>
      <c r="N6" s="3562"/>
      <c r="O6" s="3562"/>
      <c r="P6" s="2044" t="s">
        <v>137</v>
      </c>
      <c r="Q6" s="3562">
        <v>4</v>
      </c>
      <c r="R6" s="3562"/>
      <c r="S6" s="3562"/>
      <c r="T6" s="3562"/>
      <c r="U6" s="2044" t="s">
        <v>137</v>
      </c>
      <c r="V6" s="3562">
        <v>5</v>
      </c>
      <c r="W6" s="3562"/>
      <c r="X6" s="3562"/>
      <c r="Y6" s="3562"/>
      <c r="Z6" s="2044" t="s">
        <v>137</v>
      </c>
      <c r="AA6" s="3562">
        <v>6</v>
      </c>
      <c r="AB6" s="3562"/>
      <c r="AC6" s="3562"/>
      <c r="AD6" s="3562"/>
      <c r="AE6" s="2044" t="s">
        <v>137</v>
      </c>
      <c r="AF6" s="3562">
        <v>7</v>
      </c>
      <c r="AG6" s="3562"/>
      <c r="AH6" s="3562"/>
      <c r="AI6" s="3562"/>
      <c r="AJ6" s="2044" t="s">
        <v>137</v>
      </c>
      <c r="AK6" s="3562">
        <v>8</v>
      </c>
      <c r="AL6" s="3562"/>
      <c r="AM6" s="3562"/>
      <c r="AN6" s="3562"/>
      <c r="AO6" s="2044" t="s">
        <v>137</v>
      </c>
      <c r="AP6" s="3562">
        <v>9</v>
      </c>
      <c r="AQ6" s="3562"/>
      <c r="AR6" s="3562"/>
      <c r="AS6" s="3562"/>
      <c r="AT6" s="2044" t="s">
        <v>137</v>
      </c>
      <c r="AU6" s="3562">
        <v>10</v>
      </c>
      <c r="AV6" s="3562"/>
      <c r="AW6" s="3562"/>
      <c r="AX6" s="3562"/>
      <c r="AY6" s="2044" t="s">
        <v>137</v>
      </c>
      <c r="AZ6" s="3562">
        <v>11</v>
      </c>
      <c r="BA6" s="3562"/>
      <c r="BB6" s="3562"/>
      <c r="BC6" s="3562"/>
      <c r="BD6" s="2044" t="s">
        <v>137</v>
      </c>
      <c r="BE6" s="3562">
        <v>12</v>
      </c>
      <c r="BF6" s="3562"/>
      <c r="BG6" s="3562"/>
      <c r="BH6" s="3562"/>
      <c r="BI6" s="2044" t="s">
        <v>137</v>
      </c>
      <c r="BJ6" s="3562">
        <v>13</v>
      </c>
      <c r="BK6" s="3562"/>
      <c r="BL6" s="3562"/>
      <c r="BM6" s="3562"/>
      <c r="BN6" s="2044" t="s">
        <v>137</v>
      </c>
      <c r="BO6" s="3562">
        <v>14</v>
      </c>
      <c r="BP6" s="3562"/>
      <c r="BQ6" s="3562"/>
      <c r="BR6" s="3562"/>
      <c r="BT6" s="22" t="s">
        <v>16</v>
      </c>
    </row>
    <row r="7" spans="1:83" ht="27" customHeight="1" x14ac:dyDescent="0.25">
      <c r="A7" s="2044"/>
      <c r="B7" s="122">
        <v>1.1930000000000001</v>
      </c>
      <c r="C7" s="123" t="s">
        <v>113</v>
      </c>
      <c r="D7" s="124"/>
      <c r="E7" s="125" t="s">
        <v>114</v>
      </c>
      <c r="F7" s="2044"/>
      <c r="G7" s="122">
        <v>1E-4</v>
      </c>
      <c r="H7" s="123" t="s">
        <v>113</v>
      </c>
      <c r="I7" s="124"/>
      <c r="J7" s="125" t="s">
        <v>114</v>
      </c>
      <c r="K7" s="2044"/>
      <c r="L7" s="122">
        <v>1.498</v>
      </c>
      <c r="M7" s="123" t="s">
        <v>113</v>
      </c>
      <c r="N7" s="124"/>
      <c r="O7" s="125" t="s">
        <v>114</v>
      </c>
      <c r="P7" s="2044"/>
      <c r="Q7" s="122">
        <v>1E-4</v>
      </c>
      <c r="R7" s="123" t="s">
        <v>113</v>
      </c>
      <c r="S7" s="124">
        <v>1</v>
      </c>
      <c r="T7" s="125" t="s">
        <v>114</v>
      </c>
      <c r="U7" s="2044"/>
      <c r="V7" s="122">
        <v>1E-4</v>
      </c>
      <c r="W7" s="123" t="s">
        <v>113</v>
      </c>
      <c r="X7" s="124"/>
      <c r="Y7" s="125" t="s">
        <v>114</v>
      </c>
      <c r="Z7" s="2044"/>
      <c r="AA7" s="122">
        <v>0.27900000000000003</v>
      </c>
      <c r="AB7" s="123" t="s">
        <v>113</v>
      </c>
      <c r="AC7" s="124"/>
      <c r="AD7" s="125" t="s">
        <v>114</v>
      </c>
      <c r="AE7" s="2044"/>
      <c r="AF7" s="122">
        <v>1E-3</v>
      </c>
      <c r="AG7" s="123" t="s">
        <v>113</v>
      </c>
      <c r="AH7" s="124">
        <v>1</v>
      </c>
      <c r="AI7" s="125" t="s">
        <v>114</v>
      </c>
      <c r="AJ7" s="2044"/>
      <c r="AK7" s="122">
        <v>1E-4</v>
      </c>
      <c r="AL7" s="123" t="s">
        <v>113</v>
      </c>
      <c r="AM7" s="124"/>
      <c r="AN7" s="125" t="s">
        <v>114</v>
      </c>
      <c r="AO7" s="2044"/>
      <c r="AP7" s="122">
        <v>1E-3</v>
      </c>
      <c r="AQ7" s="123" t="s">
        <v>113</v>
      </c>
      <c r="AR7" s="124"/>
      <c r="AS7" s="125" t="s">
        <v>114</v>
      </c>
      <c r="AT7" s="2044"/>
      <c r="AU7" s="122">
        <v>0.127</v>
      </c>
      <c r="AV7" s="123" t="s">
        <v>113</v>
      </c>
      <c r="AW7" s="124">
        <v>1</v>
      </c>
      <c r="AX7" s="125" t="s">
        <v>114</v>
      </c>
      <c r="AY7" s="2044"/>
      <c r="AZ7" s="122">
        <v>1E-4</v>
      </c>
      <c r="BA7" s="123" t="s">
        <v>113</v>
      </c>
      <c r="BB7" s="124"/>
      <c r="BC7" s="125" t="s">
        <v>114</v>
      </c>
      <c r="BD7" s="2044"/>
      <c r="BE7" s="122">
        <v>0.254</v>
      </c>
      <c r="BF7" s="123" t="s">
        <v>113</v>
      </c>
      <c r="BG7" s="124"/>
      <c r="BH7" s="125" t="s">
        <v>114</v>
      </c>
      <c r="BI7" s="2044"/>
      <c r="BJ7" s="122">
        <v>5.8419999999999996</v>
      </c>
      <c r="BK7" s="123" t="s">
        <v>113</v>
      </c>
      <c r="BL7" s="124">
        <v>1</v>
      </c>
      <c r="BM7" s="125" t="s">
        <v>114</v>
      </c>
      <c r="BN7" s="2044"/>
      <c r="BO7" s="122">
        <v>1E-3</v>
      </c>
      <c r="BP7" s="123" t="s">
        <v>113</v>
      </c>
      <c r="BQ7" s="124"/>
      <c r="BR7" s="125" t="s">
        <v>114</v>
      </c>
      <c r="BW7" s="27"/>
      <c r="BX7" s="27"/>
      <c r="BY7" s="27"/>
      <c r="BZ7" s="27"/>
      <c r="CA7" s="27"/>
      <c r="CB7" s="27"/>
      <c r="CC7" s="27"/>
      <c r="CD7" s="27"/>
      <c r="CE7" s="27"/>
    </row>
    <row r="8" spans="1:83" ht="27.95" customHeight="1" x14ac:dyDescent="0.25">
      <c r="A8" s="2041" t="s">
        <v>110</v>
      </c>
      <c r="B8" s="2041"/>
      <c r="C8" s="2042">
        <f>B13/((36*3.1415/59)*(70/3.281))</f>
        <v>2.4452351899431322E-6</v>
      </c>
      <c r="D8" s="2042"/>
      <c r="E8" s="2042"/>
      <c r="F8" s="3563" t="s">
        <v>110</v>
      </c>
      <c r="G8" s="3564"/>
      <c r="H8" s="3568">
        <f t="shared" ref="H8" si="13">G13/((36*3.1415/59)*(70/3.281))</f>
        <v>3.1054486912277779E-3</v>
      </c>
      <c r="I8" s="3569"/>
      <c r="J8" s="3570"/>
      <c r="K8" s="3563" t="s">
        <v>110</v>
      </c>
      <c r="L8" s="3564"/>
      <c r="M8" s="3568">
        <f t="shared" ref="M8" si="14">L13/((36*3.1415/59)*(70/3.281))</f>
        <v>2.4452351899431322E-6</v>
      </c>
      <c r="N8" s="3569"/>
      <c r="O8" s="3570"/>
      <c r="P8" s="3563" t="s">
        <v>110</v>
      </c>
      <c r="Q8" s="3564"/>
      <c r="R8" s="3568">
        <f t="shared" ref="R8" si="15">Q13/((36*3.1415/59)*(70/3.281))</f>
        <v>2.4696875418425634E-3</v>
      </c>
      <c r="S8" s="3569"/>
      <c r="T8" s="3570"/>
      <c r="U8" s="2041" t="s">
        <v>110</v>
      </c>
      <c r="V8" s="2041"/>
      <c r="W8" s="2042">
        <f t="shared" ref="W8" si="16">V13/((36*3.1415/59)*(70/3.281))</f>
        <v>3.7167574887135607E-3</v>
      </c>
      <c r="X8" s="2042"/>
      <c r="Y8" s="2042"/>
      <c r="Z8" s="2041" t="s">
        <v>110</v>
      </c>
      <c r="AA8" s="2041"/>
      <c r="AB8" s="2042">
        <f t="shared" ref="AB8" si="17">AA13/((36*3.1415/59)*(70/3.281))</f>
        <v>2.4452351899431323E-5</v>
      </c>
      <c r="AC8" s="2042"/>
      <c r="AD8" s="2042"/>
      <c r="AE8" s="2041" t="s">
        <v>110</v>
      </c>
      <c r="AF8" s="2041"/>
      <c r="AG8" s="2042">
        <f t="shared" ref="AG8" si="18">AF13/((36*3.1415/59)*(70/3.281))</f>
        <v>2.4452351899431323E-5</v>
      </c>
      <c r="AH8" s="2042"/>
      <c r="AI8" s="2042"/>
      <c r="AJ8" s="2041" t="s">
        <v>110</v>
      </c>
      <c r="AK8" s="2041"/>
      <c r="AL8" s="2042">
        <f t="shared" ref="AL8" si="19">AK13/((36*3.1415/59)*(70/3.281))</f>
        <v>9.3163460736833334E-3</v>
      </c>
      <c r="AM8" s="2042"/>
      <c r="AN8" s="2042"/>
      <c r="AO8" s="3563" t="s">
        <v>110</v>
      </c>
      <c r="AP8" s="3564"/>
      <c r="AQ8" s="3568">
        <f t="shared" ref="AQ8" si="20">AP13/((36*3.1415/59)*(70/3.281))</f>
        <v>2.4452351899431322E-6</v>
      </c>
      <c r="AR8" s="3569"/>
      <c r="AS8" s="3570"/>
      <c r="AT8" s="2041" t="s">
        <v>110</v>
      </c>
      <c r="AU8" s="2041"/>
      <c r="AV8" s="2042">
        <f t="shared" ref="AV8" si="21">AU13/((36*3.1415/59)*(70/3.281))</f>
        <v>2.4452351899431322E-6</v>
      </c>
      <c r="AW8" s="2042"/>
      <c r="AX8" s="2042"/>
      <c r="AY8" s="2041" t="s">
        <v>110</v>
      </c>
      <c r="AZ8" s="2041"/>
      <c r="BA8" s="2042">
        <f t="shared" ref="BA8" si="22">AZ13/((36*3.1415/59)*(70/3.281))</f>
        <v>1.0538963668654899E-2</v>
      </c>
      <c r="BB8" s="2042"/>
      <c r="BC8" s="2042"/>
      <c r="BD8" s="2041" t="s">
        <v>110</v>
      </c>
      <c r="BE8" s="2041"/>
      <c r="BF8" s="2042">
        <f t="shared" ref="BF8" si="23">BE13/((36*3.1415/59)*(70/3.281))</f>
        <v>2.4452351899431322E-6</v>
      </c>
      <c r="BG8" s="2042"/>
      <c r="BH8" s="2042"/>
      <c r="BI8" s="2041" t="s">
        <v>110</v>
      </c>
      <c r="BJ8" s="2041"/>
      <c r="BK8" s="2042">
        <f t="shared" ref="BK8" si="24">BJ13/((36*3.1415/59)*(70/3.281))</f>
        <v>2.4452351899431322E-6</v>
      </c>
      <c r="BL8" s="2042"/>
      <c r="BM8" s="2042"/>
      <c r="BN8" s="2041" t="s">
        <v>110</v>
      </c>
      <c r="BO8" s="2041"/>
      <c r="BP8" s="2042">
        <f t="shared" ref="BP8" si="25">BO13/((36*3.1415/59)*(70/3.281))</f>
        <v>2.1738140838594443E-2</v>
      </c>
      <c r="BQ8" s="2042"/>
      <c r="BR8" s="2042"/>
    </row>
    <row r="9" spans="1:83" ht="6.75" customHeight="1" x14ac:dyDescent="0.25">
      <c r="A9" s="2041"/>
      <c r="B9" s="2041"/>
      <c r="C9" s="2042"/>
      <c r="D9" s="2042"/>
      <c r="E9" s="2042"/>
      <c r="F9" s="3565"/>
      <c r="G9" s="3566"/>
      <c r="H9" s="3571"/>
      <c r="I9" s="3572"/>
      <c r="J9" s="3573"/>
      <c r="K9" s="3565"/>
      <c r="L9" s="3566"/>
      <c r="M9" s="3571"/>
      <c r="N9" s="3572"/>
      <c r="O9" s="3573"/>
      <c r="P9" s="3565"/>
      <c r="Q9" s="3566"/>
      <c r="R9" s="3571"/>
      <c r="S9" s="3572"/>
      <c r="T9" s="3573"/>
      <c r="U9" s="2041"/>
      <c r="V9" s="2041"/>
      <c r="W9" s="2042"/>
      <c r="X9" s="2042"/>
      <c r="Y9" s="2042"/>
      <c r="Z9" s="2041"/>
      <c r="AA9" s="2041"/>
      <c r="AB9" s="2042"/>
      <c r="AC9" s="2042"/>
      <c r="AD9" s="2042"/>
      <c r="AE9" s="2041"/>
      <c r="AF9" s="2041"/>
      <c r="AG9" s="2042"/>
      <c r="AH9" s="2042"/>
      <c r="AI9" s="2042"/>
      <c r="AJ9" s="2041"/>
      <c r="AK9" s="2041"/>
      <c r="AL9" s="2042"/>
      <c r="AM9" s="2042"/>
      <c r="AN9" s="2042"/>
      <c r="AO9" s="3565"/>
      <c r="AP9" s="3566"/>
      <c r="AQ9" s="3571"/>
      <c r="AR9" s="3572"/>
      <c r="AS9" s="3573"/>
      <c r="AT9" s="2041"/>
      <c r="AU9" s="2041"/>
      <c r="AV9" s="2042"/>
      <c r="AW9" s="2042"/>
      <c r="AX9" s="2042"/>
      <c r="AY9" s="2041"/>
      <c r="AZ9" s="2041"/>
      <c r="BA9" s="2042"/>
      <c r="BB9" s="2042"/>
      <c r="BC9" s="2042"/>
      <c r="BD9" s="2041"/>
      <c r="BE9" s="2041"/>
      <c r="BF9" s="2042"/>
      <c r="BG9" s="2042"/>
      <c r="BH9" s="2042"/>
      <c r="BI9" s="2041"/>
      <c r="BJ9" s="2041"/>
      <c r="BK9" s="2042"/>
      <c r="BL9" s="2042"/>
      <c r="BM9" s="2042"/>
      <c r="BN9" s="2041"/>
      <c r="BO9" s="2041"/>
      <c r="BP9" s="2042"/>
      <c r="BQ9" s="2042"/>
      <c r="BR9" s="2042"/>
    </row>
    <row r="10" spans="1:83" ht="21.95" customHeight="1" x14ac:dyDescent="0.25">
      <c r="A10" s="3561" t="s">
        <v>111</v>
      </c>
      <c r="B10" s="3561"/>
      <c r="C10" s="3561"/>
      <c r="D10" s="3561"/>
      <c r="E10" s="3561"/>
      <c r="F10" s="3565"/>
      <c r="G10" s="3566"/>
      <c r="H10" s="3571"/>
      <c r="I10" s="3572"/>
      <c r="J10" s="3573"/>
      <c r="K10" s="3565"/>
      <c r="L10" s="3566"/>
      <c r="M10" s="3571"/>
      <c r="N10" s="3572"/>
      <c r="O10" s="3573"/>
      <c r="P10" s="3565"/>
      <c r="Q10" s="3566"/>
      <c r="R10" s="3571"/>
      <c r="S10" s="3572"/>
      <c r="T10" s="3573"/>
      <c r="U10" s="3561" t="s">
        <v>111</v>
      </c>
      <c r="V10" s="3561"/>
      <c r="W10" s="3561"/>
      <c r="X10" s="3561"/>
      <c r="Y10" s="3561"/>
      <c r="Z10" s="3561" t="s">
        <v>111</v>
      </c>
      <c r="AA10" s="3561"/>
      <c r="AB10" s="3561"/>
      <c r="AC10" s="3561"/>
      <c r="AD10" s="3561"/>
      <c r="AE10" s="3561" t="s">
        <v>111</v>
      </c>
      <c r="AF10" s="3561"/>
      <c r="AG10" s="3561"/>
      <c r="AH10" s="3561"/>
      <c r="AI10" s="3561"/>
      <c r="AJ10" s="3561" t="s">
        <v>111</v>
      </c>
      <c r="AK10" s="3561"/>
      <c r="AL10" s="3561"/>
      <c r="AM10" s="3561"/>
      <c r="AN10" s="3561"/>
      <c r="AO10" s="3565"/>
      <c r="AP10" s="3566"/>
      <c r="AQ10" s="3571"/>
      <c r="AR10" s="3572"/>
      <c r="AS10" s="3573"/>
      <c r="AT10" s="3561" t="s">
        <v>111</v>
      </c>
      <c r="AU10" s="3561"/>
      <c r="AV10" s="3561"/>
      <c r="AW10" s="3561"/>
      <c r="AX10" s="3561"/>
      <c r="AY10" s="3561" t="s">
        <v>111</v>
      </c>
      <c r="AZ10" s="3561"/>
      <c r="BA10" s="3561"/>
      <c r="BB10" s="3561"/>
      <c r="BC10" s="3561"/>
      <c r="BD10" s="3561" t="s">
        <v>111</v>
      </c>
      <c r="BE10" s="3561"/>
      <c r="BF10" s="3561"/>
      <c r="BG10" s="3561"/>
      <c r="BH10" s="3561"/>
      <c r="BI10" s="3561" t="s">
        <v>111</v>
      </c>
      <c r="BJ10" s="3561"/>
      <c r="BK10" s="3561"/>
      <c r="BL10" s="3561"/>
      <c r="BM10" s="3561"/>
      <c r="BN10" s="3561" t="s">
        <v>111</v>
      </c>
      <c r="BO10" s="3561"/>
      <c r="BP10" s="3561"/>
      <c r="BQ10" s="3561"/>
      <c r="BR10" s="3561"/>
    </row>
    <row r="11" spans="1:83" ht="6" customHeight="1" x14ac:dyDescent="0.25">
      <c r="A11" s="3561"/>
      <c r="B11" s="3561"/>
      <c r="C11" s="3561"/>
      <c r="D11" s="3561"/>
      <c r="E11" s="3561"/>
      <c r="F11" s="3567"/>
      <c r="G11" s="1885"/>
      <c r="H11" s="3574"/>
      <c r="I11" s="1888"/>
      <c r="J11" s="3575"/>
      <c r="K11" s="3567"/>
      <c r="L11" s="1885"/>
      <c r="M11" s="3574"/>
      <c r="N11" s="1888"/>
      <c r="O11" s="3575"/>
      <c r="P11" s="3567"/>
      <c r="Q11" s="1885"/>
      <c r="R11" s="3574"/>
      <c r="S11" s="1888"/>
      <c r="T11" s="3575"/>
      <c r="U11" s="3561"/>
      <c r="V11" s="3561"/>
      <c r="W11" s="3561"/>
      <c r="X11" s="3561"/>
      <c r="Y11" s="3561"/>
      <c r="Z11" s="3561"/>
      <c r="AA11" s="3561"/>
      <c r="AB11" s="3561"/>
      <c r="AC11" s="3561"/>
      <c r="AD11" s="3561"/>
      <c r="AE11" s="3561"/>
      <c r="AF11" s="3561"/>
      <c r="AG11" s="3561"/>
      <c r="AH11" s="3561"/>
      <c r="AI11" s="3561"/>
      <c r="AJ11" s="3561"/>
      <c r="AK11" s="3561"/>
      <c r="AL11" s="3561"/>
      <c r="AM11" s="3561"/>
      <c r="AN11" s="3561"/>
      <c r="AO11" s="3567"/>
      <c r="AP11" s="1885"/>
      <c r="AQ11" s="3574"/>
      <c r="AR11" s="1888"/>
      <c r="AS11" s="3575"/>
      <c r="AT11" s="3561"/>
      <c r="AU11" s="3561"/>
      <c r="AV11" s="3561"/>
      <c r="AW11" s="3561"/>
      <c r="AX11" s="3561"/>
      <c r="AY11" s="3561"/>
      <c r="AZ11" s="3561"/>
      <c r="BA11" s="3561"/>
      <c r="BB11" s="3561"/>
      <c r="BC11" s="3561"/>
      <c r="BD11" s="3561"/>
      <c r="BE11" s="3561"/>
      <c r="BF11" s="3561"/>
      <c r="BG11" s="3561"/>
      <c r="BH11" s="3561"/>
      <c r="BI11" s="3561"/>
      <c r="BJ11" s="3561"/>
      <c r="BK11" s="3561"/>
      <c r="BL11" s="3561"/>
      <c r="BM11" s="3561"/>
      <c r="BN11" s="3561"/>
      <c r="BO11" s="3561"/>
      <c r="BP11" s="3561"/>
      <c r="BQ11" s="3561"/>
      <c r="BR11" s="3561"/>
    </row>
    <row r="12" spans="1:83" s="22" customFormat="1" ht="80.099999999999994" customHeight="1" x14ac:dyDescent="1.35">
      <c r="A12" s="2044" t="s">
        <v>137</v>
      </c>
      <c r="B12" s="3562">
        <v>15</v>
      </c>
      <c r="C12" s="3562"/>
      <c r="D12" s="3562"/>
      <c r="E12" s="3562"/>
      <c r="F12" s="2044" t="s">
        <v>137</v>
      </c>
      <c r="G12" s="3562">
        <v>16</v>
      </c>
      <c r="H12" s="3562"/>
      <c r="I12" s="3562"/>
      <c r="J12" s="3562"/>
      <c r="K12" s="2044" t="s">
        <v>137</v>
      </c>
      <c r="L12" s="3562">
        <v>17</v>
      </c>
      <c r="M12" s="3562"/>
      <c r="N12" s="3562"/>
      <c r="O12" s="3562"/>
      <c r="P12" s="2044" t="s">
        <v>137</v>
      </c>
      <c r="Q12" s="3562">
        <v>18</v>
      </c>
      <c r="R12" s="3562"/>
      <c r="S12" s="3562"/>
      <c r="T12" s="3562"/>
      <c r="U12" s="2044" t="s">
        <v>137</v>
      </c>
      <c r="V12" s="3562">
        <v>19</v>
      </c>
      <c r="W12" s="3562"/>
      <c r="X12" s="3562"/>
      <c r="Y12" s="3562"/>
      <c r="Z12" s="2044" t="s">
        <v>137</v>
      </c>
      <c r="AA12" s="3562">
        <v>20</v>
      </c>
      <c r="AB12" s="3562"/>
      <c r="AC12" s="3562"/>
      <c r="AD12" s="3562"/>
      <c r="AE12" s="2044" t="s">
        <v>137</v>
      </c>
      <c r="AF12" s="3562">
        <v>21</v>
      </c>
      <c r="AG12" s="3562"/>
      <c r="AH12" s="3562"/>
      <c r="AI12" s="3562"/>
      <c r="AJ12" s="2044" t="s">
        <v>137</v>
      </c>
      <c r="AK12" s="3562">
        <v>22</v>
      </c>
      <c r="AL12" s="3562"/>
      <c r="AM12" s="3562"/>
      <c r="AN12" s="3562"/>
      <c r="AO12" s="2044" t="s">
        <v>137</v>
      </c>
      <c r="AP12" s="3562">
        <v>23</v>
      </c>
      <c r="AQ12" s="3562"/>
      <c r="AR12" s="3562"/>
      <c r="AS12" s="3562"/>
      <c r="AT12" s="2044" t="s">
        <v>137</v>
      </c>
      <c r="AU12" s="3562">
        <v>24</v>
      </c>
      <c r="AV12" s="3562"/>
      <c r="AW12" s="3562"/>
      <c r="AX12" s="3562"/>
      <c r="AY12" s="2044" t="s">
        <v>137</v>
      </c>
      <c r="AZ12" s="3562">
        <v>25</v>
      </c>
      <c r="BA12" s="3562"/>
      <c r="BB12" s="3562"/>
      <c r="BC12" s="3562"/>
      <c r="BD12" s="2044" t="s">
        <v>137</v>
      </c>
      <c r="BE12" s="3562">
        <v>26</v>
      </c>
      <c r="BF12" s="3562"/>
      <c r="BG12" s="3562"/>
      <c r="BH12" s="3562"/>
      <c r="BI12" s="2044" t="s">
        <v>137</v>
      </c>
      <c r="BJ12" s="3562">
        <v>27</v>
      </c>
      <c r="BK12" s="3562"/>
      <c r="BL12" s="3562"/>
      <c r="BM12" s="3562"/>
      <c r="BN12" s="2044" t="s">
        <v>137</v>
      </c>
      <c r="BO12" s="3562">
        <v>28</v>
      </c>
      <c r="BP12" s="3562"/>
      <c r="BQ12" s="3562"/>
      <c r="BR12" s="3562"/>
    </row>
    <row r="13" spans="1:83" ht="27" customHeight="1" x14ac:dyDescent="0.25">
      <c r="A13" s="2044"/>
      <c r="B13" s="122">
        <v>1E-4</v>
      </c>
      <c r="C13" s="123" t="s">
        <v>113</v>
      </c>
      <c r="D13" s="124"/>
      <c r="E13" s="125" t="s">
        <v>114</v>
      </c>
      <c r="F13" s="2044"/>
      <c r="G13" s="122">
        <v>0.127</v>
      </c>
      <c r="H13" s="123" t="s">
        <v>113</v>
      </c>
      <c r="I13" s="124">
        <v>1</v>
      </c>
      <c r="J13" s="125" t="s">
        <v>114</v>
      </c>
      <c r="K13" s="2044"/>
      <c r="L13" s="122">
        <v>1E-4</v>
      </c>
      <c r="M13" s="123" t="s">
        <v>113</v>
      </c>
      <c r="N13" s="124"/>
      <c r="O13" s="125" t="s">
        <v>114</v>
      </c>
      <c r="P13" s="2044"/>
      <c r="Q13" s="122">
        <v>0.10100000000000001</v>
      </c>
      <c r="R13" s="123" t="s">
        <v>113</v>
      </c>
      <c r="S13" s="124"/>
      <c r="T13" s="125" t="s">
        <v>114</v>
      </c>
      <c r="U13" s="2044"/>
      <c r="V13" s="122">
        <v>0.152</v>
      </c>
      <c r="W13" s="123" t="s">
        <v>113</v>
      </c>
      <c r="X13" s="124">
        <v>1</v>
      </c>
      <c r="Y13" s="125" t="s">
        <v>114</v>
      </c>
      <c r="Z13" s="2044"/>
      <c r="AA13" s="122">
        <v>1E-3</v>
      </c>
      <c r="AB13" s="123" t="s">
        <v>113</v>
      </c>
      <c r="AC13" s="124"/>
      <c r="AD13" s="125" t="s">
        <v>114</v>
      </c>
      <c r="AE13" s="2044"/>
      <c r="AF13" s="122">
        <v>1E-3</v>
      </c>
      <c r="AG13" s="123" t="s">
        <v>113</v>
      </c>
      <c r="AH13" s="124"/>
      <c r="AI13" s="125" t="s">
        <v>114</v>
      </c>
      <c r="AJ13" s="2044"/>
      <c r="AK13" s="122">
        <v>0.38100000000000001</v>
      </c>
      <c r="AL13" s="123" t="s">
        <v>113</v>
      </c>
      <c r="AM13" s="124">
        <v>1</v>
      </c>
      <c r="AN13" s="125" t="s">
        <v>114</v>
      </c>
      <c r="AO13" s="2044"/>
      <c r="AP13" s="122">
        <v>1E-4</v>
      </c>
      <c r="AQ13" s="123" t="s">
        <v>113</v>
      </c>
      <c r="AR13" s="124"/>
      <c r="AS13" s="125" t="s">
        <v>114</v>
      </c>
      <c r="AT13" s="2044"/>
      <c r="AU13" s="122">
        <v>1E-4</v>
      </c>
      <c r="AV13" s="123" t="s">
        <v>113</v>
      </c>
      <c r="AW13" s="124"/>
      <c r="AX13" s="125" t="s">
        <v>114</v>
      </c>
      <c r="AY13" s="2044"/>
      <c r="AZ13" s="122">
        <v>0.43099999999999999</v>
      </c>
      <c r="BA13" s="123" t="s">
        <v>113</v>
      </c>
      <c r="BB13" s="124">
        <v>1</v>
      </c>
      <c r="BC13" s="125" t="s">
        <v>114</v>
      </c>
      <c r="BD13" s="2044"/>
      <c r="BE13" s="122">
        <v>1E-4</v>
      </c>
      <c r="BF13" s="123" t="s">
        <v>113</v>
      </c>
      <c r="BG13" s="124"/>
      <c r="BH13" s="125" t="s">
        <v>114</v>
      </c>
      <c r="BI13" s="2044"/>
      <c r="BJ13" s="122">
        <v>1E-4</v>
      </c>
      <c r="BK13" s="123" t="s">
        <v>113</v>
      </c>
      <c r="BL13" s="124"/>
      <c r="BM13" s="125" t="s">
        <v>114</v>
      </c>
      <c r="BN13" s="2044"/>
      <c r="BO13" s="122">
        <v>0.88900000000000001</v>
      </c>
      <c r="BP13" s="123" t="s">
        <v>113</v>
      </c>
      <c r="BQ13" s="124"/>
      <c r="BR13" s="125" t="s">
        <v>114</v>
      </c>
      <c r="BW13" s="27"/>
      <c r="BX13" s="27"/>
      <c r="BY13" s="27"/>
      <c r="BZ13" s="27"/>
      <c r="CA13" s="27"/>
      <c r="CB13" s="27"/>
      <c r="CC13" s="27"/>
      <c r="CD13" s="27"/>
      <c r="CE13" s="27"/>
    </row>
    <row r="14" spans="1:83" ht="27.95" customHeight="1" x14ac:dyDescent="0.25">
      <c r="A14" s="2041" t="s">
        <v>110</v>
      </c>
      <c r="B14" s="2041"/>
      <c r="C14" s="2042">
        <f>B19/((36*3.1415/59)*(70/3.281))</f>
        <v>2.4452351899431322E-6</v>
      </c>
      <c r="D14" s="2042"/>
      <c r="E14" s="2042"/>
      <c r="F14" s="2041" t="s">
        <v>110</v>
      </c>
      <c r="G14" s="2041"/>
      <c r="H14" s="2042">
        <f t="shared" ref="H14" si="26">G19/((36*3.1415/59)*(70/3.281))</f>
        <v>2.4452351899431322E-6</v>
      </c>
      <c r="I14" s="2042"/>
      <c r="J14" s="2042"/>
      <c r="K14" s="2041" t="s">
        <v>110</v>
      </c>
      <c r="L14" s="2041"/>
      <c r="M14" s="2042">
        <f t="shared" ref="M14" si="27">L19/((36*3.1415/59)*(70/3.281))</f>
        <v>9.927654871169117E-3</v>
      </c>
      <c r="N14" s="2042"/>
      <c r="O14" s="2042"/>
      <c r="P14" s="2041" t="s">
        <v>110</v>
      </c>
      <c r="Q14" s="2041"/>
      <c r="R14" s="2042">
        <f>Q19/((36*3.1415/59)*(70/3.281))</f>
        <v>2.4452351899431322E-6</v>
      </c>
      <c r="S14" s="2042"/>
      <c r="T14" s="2042"/>
      <c r="U14" s="2041" t="s">
        <v>110</v>
      </c>
      <c r="V14" s="2041"/>
      <c r="W14" s="2042">
        <f t="shared" ref="W14" si="28">V19/((36*3.1415/59)*(70/3.281))</f>
        <v>2.4452351899431322E-6</v>
      </c>
      <c r="X14" s="2042"/>
      <c r="Y14" s="2042"/>
      <c r="Z14" s="2041" t="s">
        <v>110</v>
      </c>
      <c r="AA14" s="2041"/>
      <c r="AB14" s="2042">
        <f t="shared" ref="AB14" si="29">AA19/((36*3.1415/59)*(70/3.281))</f>
        <v>2.4452351899431322E-6</v>
      </c>
      <c r="AC14" s="2042"/>
      <c r="AD14" s="2042"/>
      <c r="AE14" s="2041" t="s">
        <v>110</v>
      </c>
      <c r="AF14" s="2041"/>
      <c r="AG14" s="2042">
        <f t="shared" ref="AG14" si="30">AF19/((36*3.1415/59)*(70/3.281))</f>
        <v>1.428017350926789E-2</v>
      </c>
      <c r="AH14" s="2042"/>
      <c r="AI14" s="2042"/>
      <c r="AJ14" s="2041" t="s">
        <v>110</v>
      </c>
      <c r="AK14" s="2041"/>
      <c r="AL14" s="2042">
        <f t="shared" ref="AL14" si="31">AK19/((36*3.1415/59)*(70/3.281))</f>
        <v>2.4452351899431322E-6</v>
      </c>
      <c r="AM14" s="2042"/>
      <c r="AN14" s="2042"/>
      <c r="AO14" s="2041" t="s">
        <v>110</v>
      </c>
      <c r="AP14" s="2041"/>
      <c r="AQ14" s="2042">
        <f t="shared" ref="AQ14" si="32">AP19/((36*3.1415/59)*(70/3.281))</f>
        <v>2.4452351899431322E-6</v>
      </c>
      <c r="AR14" s="2042"/>
      <c r="AS14" s="2042"/>
      <c r="AT14" s="3563" t="s">
        <v>110</v>
      </c>
      <c r="AU14" s="3564"/>
      <c r="AV14" s="3568">
        <f t="shared" ref="AV14" si="33">AU19/((36*3.1415/59)*(70/3.281))</f>
        <v>5.5751362330703413E-3</v>
      </c>
      <c r="AW14" s="3569"/>
      <c r="AX14" s="3570"/>
      <c r="AY14" s="2041" t="s">
        <v>110</v>
      </c>
      <c r="AZ14" s="2041"/>
      <c r="BA14" s="2042">
        <f t="shared" ref="BA14" si="34">AZ19/((36*3.1415/59)*(70/3.281))</f>
        <v>2.4452351899431322E-6</v>
      </c>
      <c r="BB14" s="2042"/>
      <c r="BC14" s="2042"/>
      <c r="BD14" s="2041" t="s">
        <v>110</v>
      </c>
      <c r="BE14" s="2041"/>
      <c r="BF14" s="2042">
        <f t="shared" ref="BF14" si="35">BE19/((36*3.1415/59)*(70/3.281))</f>
        <v>1.3644412359882679E-2</v>
      </c>
      <c r="BG14" s="2042"/>
      <c r="BH14" s="2042"/>
      <c r="BI14" s="2041" t="s">
        <v>110</v>
      </c>
      <c r="BJ14" s="2041"/>
      <c r="BK14" s="2042">
        <f t="shared" ref="BK14" si="36">BJ19/((36*3.1415/59)*(70/3.281))</f>
        <v>8.8810942098734566E-2</v>
      </c>
      <c r="BL14" s="2042"/>
      <c r="BM14" s="2042"/>
      <c r="BN14" s="3563" t="s">
        <v>110</v>
      </c>
      <c r="BO14" s="3564"/>
      <c r="BP14" s="3568">
        <f t="shared" ref="BP14" si="37">BO19/((36*3.1415/59)*(70/3.281))</f>
        <v>2.4452351899431322E-6</v>
      </c>
      <c r="BQ14" s="3569"/>
      <c r="BR14" s="3570"/>
    </row>
    <row r="15" spans="1:83" ht="6.75" customHeight="1" x14ac:dyDescent="0.25">
      <c r="A15" s="2041"/>
      <c r="B15" s="2041"/>
      <c r="C15" s="2042"/>
      <c r="D15" s="2042"/>
      <c r="E15" s="2042"/>
      <c r="F15" s="2041"/>
      <c r="G15" s="2041"/>
      <c r="H15" s="2042"/>
      <c r="I15" s="2042"/>
      <c r="J15" s="2042"/>
      <c r="K15" s="2041"/>
      <c r="L15" s="2041"/>
      <c r="M15" s="2042"/>
      <c r="N15" s="2042"/>
      <c r="O15" s="2042"/>
      <c r="P15" s="2041"/>
      <c r="Q15" s="2041"/>
      <c r="R15" s="2042"/>
      <c r="S15" s="2042"/>
      <c r="T15" s="2042"/>
      <c r="U15" s="2041"/>
      <c r="V15" s="2041"/>
      <c r="W15" s="2042"/>
      <c r="X15" s="2042"/>
      <c r="Y15" s="2042"/>
      <c r="Z15" s="2041"/>
      <c r="AA15" s="2041"/>
      <c r="AB15" s="2042"/>
      <c r="AC15" s="2042"/>
      <c r="AD15" s="2042"/>
      <c r="AE15" s="2041"/>
      <c r="AF15" s="2041"/>
      <c r="AG15" s="2042"/>
      <c r="AH15" s="2042"/>
      <c r="AI15" s="2042"/>
      <c r="AJ15" s="2041"/>
      <c r="AK15" s="2041"/>
      <c r="AL15" s="2042"/>
      <c r="AM15" s="2042"/>
      <c r="AN15" s="2042"/>
      <c r="AO15" s="2041"/>
      <c r="AP15" s="2041"/>
      <c r="AQ15" s="2042"/>
      <c r="AR15" s="2042"/>
      <c r="AS15" s="2042"/>
      <c r="AT15" s="3565"/>
      <c r="AU15" s="3566"/>
      <c r="AV15" s="3571"/>
      <c r="AW15" s="3572"/>
      <c r="AX15" s="3573"/>
      <c r="AY15" s="2041"/>
      <c r="AZ15" s="2041"/>
      <c r="BA15" s="2042"/>
      <c r="BB15" s="2042"/>
      <c r="BC15" s="2042"/>
      <c r="BD15" s="2041"/>
      <c r="BE15" s="2041"/>
      <c r="BF15" s="2042"/>
      <c r="BG15" s="2042"/>
      <c r="BH15" s="2042"/>
      <c r="BI15" s="2041"/>
      <c r="BJ15" s="2041"/>
      <c r="BK15" s="2042"/>
      <c r="BL15" s="2042"/>
      <c r="BM15" s="2042"/>
      <c r="BN15" s="3565"/>
      <c r="BO15" s="3566"/>
      <c r="BP15" s="3571"/>
      <c r="BQ15" s="3572"/>
      <c r="BR15" s="3573"/>
    </row>
    <row r="16" spans="1:83" ht="21.95" customHeight="1" x14ac:dyDescent="0.25">
      <c r="A16" s="3561" t="s">
        <v>111</v>
      </c>
      <c r="B16" s="3561"/>
      <c r="C16" s="3561"/>
      <c r="D16" s="3561"/>
      <c r="E16" s="3561"/>
      <c r="F16" s="3561" t="s">
        <v>111</v>
      </c>
      <c r="G16" s="3561"/>
      <c r="H16" s="3561"/>
      <c r="I16" s="3561"/>
      <c r="J16" s="3561"/>
      <c r="K16" s="3561" t="s">
        <v>111</v>
      </c>
      <c r="L16" s="3561"/>
      <c r="M16" s="3561"/>
      <c r="N16" s="3561"/>
      <c r="O16" s="3561"/>
      <c r="P16" s="3561" t="s">
        <v>111</v>
      </c>
      <c r="Q16" s="3561"/>
      <c r="R16" s="3561"/>
      <c r="S16" s="3561"/>
      <c r="T16" s="3561"/>
      <c r="U16" s="3561" t="s">
        <v>111</v>
      </c>
      <c r="V16" s="3561"/>
      <c r="W16" s="3561"/>
      <c r="X16" s="3561"/>
      <c r="Y16" s="3561"/>
      <c r="Z16" s="3561" t="s">
        <v>111</v>
      </c>
      <c r="AA16" s="3561"/>
      <c r="AB16" s="3561"/>
      <c r="AC16" s="3561"/>
      <c r="AD16" s="3561"/>
      <c r="AE16" s="3561" t="s">
        <v>111</v>
      </c>
      <c r="AF16" s="3561"/>
      <c r="AG16" s="3561"/>
      <c r="AH16" s="3561"/>
      <c r="AI16" s="3561"/>
      <c r="AJ16" s="3561" t="s">
        <v>111</v>
      </c>
      <c r="AK16" s="3561"/>
      <c r="AL16" s="3561"/>
      <c r="AM16" s="3561"/>
      <c r="AN16" s="3561"/>
      <c r="AO16" s="3561" t="s">
        <v>111</v>
      </c>
      <c r="AP16" s="3561"/>
      <c r="AQ16" s="3561"/>
      <c r="AR16" s="3561"/>
      <c r="AS16" s="3561"/>
      <c r="AT16" s="3565"/>
      <c r="AU16" s="3566"/>
      <c r="AV16" s="3571"/>
      <c r="AW16" s="3572"/>
      <c r="AX16" s="3573"/>
      <c r="AY16" s="3561" t="s">
        <v>111</v>
      </c>
      <c r="AZ16" s="3561"/>
      <c r="BA16" s="3561"/>
      <c r="BB16" s="3561"/>
      <c r="BC16" s="3561"/>
      <c r="BD16" s="3561" t="s">
        <v>111</v>
      </c>
      <c r="BE16" s="3561"/>
      <c r="BF16" s="3561"/>
      <c r="BG16" s="3561"/>
      <c r="BH16" s="3561"/>
      <c r="BI16" s="3561" t="s">
        <v>111</v>
      </c>
      <c r="BJ16" s="3561"/>
      <c r="BK16" s="3561"/>
      <c r="BL16" s="3561"/>
      <c r="BM16" s="3561"/>
      <c r="BN16" s="3565"/>
      <c r="BO16" s="3566"/>
      <c r="BP16" s="3571"/>
      <c r="BQ16" s="3572"/>
      <c r="BR16" s="3573"/>
    </row>
    <row r="17" spans="1:83" ht="6" customHeight="1" x14ac:dyDescent="0.25">
      <c r="A17" s="3561"/>
      <c r="B17" s="3561"/>
      <c r="C17" s="3561"/>
      <c r="D17" s="3561"/>
      <c r="E17" s="3561"/>
      <c r="F17" s="3561"/>
      <c r="G17" s="3561"/>
      <c r="H17" s="3561"/>
      <c r="I17" s="3561"/>
      <c r="J17" s="3561"/>
      <c r="K17" s="3561"/>
      <c r="L17" s="3561"/>
      <c r="M17" s="3561"/>
      <c r="N17" s="3561"/>
      <c r="O17" s="3561"/>
      <c r="P17" s="3561"/>
      <c r="Q17" s="3561"/>
      <c r="R17" s="3561"/>
      <c r="S17" s="3561"/>
      <c r="T17" s="3561"/>
      <c r="U17" s="3561"/>
      <c r="V17" s="3561"/>
      <c r="W17" s="3561"/>
      <c r="X17" s="3561"/>
      <c r="Y17" s="3561"/>
      <c r="Z17" s="3561"/>
      <c r="AA17" s="3561"/>
      <c r="AB17" s="3561"/>
      <c r="AC17" s="3561"/>
      <c r="AD17" s="3561"/>
      <c r="AE17" s="3561"/>
      <c r="AF17" s="3561"/>
      <c r="AG17" s="3561"/>
      <c r="AH17" s="3561"/>
      <c r="AI17" s="3561"/>
      <c r="AJ17" s="3561"/>
      <c r="AK17" s="3561"/>
      <c r="AL17" s="3561"/>
      <c r="AM17" s="3561"/>
      <c r="AN17" s="3561"/>
      <c r="AO17" s="3561"/>
      <c r="AP17" s="3561"/>
      <c r="AQ17" s="3561"/>
      <c r="AR17" s="3561"/>
      <c r="AS17" s="3561"/>
      <c r="AT17" s="3567"/>
      <c r="AU17" s="1885"/>
      <c r="AV17" s="3574"/>
      <c r="AW17" s="1888"/>
      <c r="AX17" s="3575"/>
      <c r="AY17" s="3561"/>
      <c r="AZ17" s="3561"/>
      <c r="BA17" s="3561"/>
      <c r="BB17" s="3561"/>
      <c r="BC17" s="3561"/>
      <c r="BD17" s="3561"/>
      <c r="BE17" s="3561"/>
      <c r="BF17" s="3561"/>
      <c r="BG17" s="3561"/>
      <c r="BH17" s="3561"/>
      <c r="BI17" s="3561"/>
      <c r="BJ17" s="3561"/>
      <c r="BK17" s="3561"/>
      <c r="BL17" s="3561"/>
      <c r="BM17" s="3561"/>
      <c r="BN17" s="3567"/>
      <c r="BO17" s="1885"/>
      <c r="BP17" s="3574"/>
      <c r="BQ17" s="1888"/>
      <c r="BR17" s="3575"/>
    </row>
    <row r="18" spans="1:83" s="22" customFormat="1" ht="80.099999999999994" customHeight="1" x14ac:dyDescent="1.35">
      <c r="A18" s="2044" t="s">
        <v>137</v>
      </c>
      <c r="B18" s="3562">
        <v>29</v>
      </c>
      <c r="C18" s="3562"/>
      <c r="D18" s="3562"/>
      <c r="E18" s="3562"/>
      <c r="F18" s="2044" t="s">
        <v>137</v>
      </c>
      <c r="G18" s="3562">
        <v>30</v>
      </c>
      <c r="H18" s="3562"/>
      <c r="I18" s="3562"/>
      <c r="J18" s="3562"/>
      <c r="K18" s="2044" t="s">
        <v>137</v>
      </c>
      <c r="L18" s="3562">
        <v>31</v>
      </c>
      <c r="M18" s="3562"/>
      <c r="N18" s="3562"/>
      <c r="O18" s="3562"/>
      <c r="P18" s="2044" t="s">
        <v>137</v>
      </c>
      <c r="Q18" s="3562">
        <v>32</v>
      </c>
      <c r="R18" s="3562"/>
      <c r="S18" s="3562"/>
      <c r="T18" s="3562"/>
      <c r="U18" s="2044" t="s">
        <v>137</v>
      </c>
      <c r="V18" s="3562">
        <v>33</v>
      </c>
      <c r="W18" s="3562"/>
      <c r="X18" s="3562"/>
      <c r="Y18" s="3562"/>
      <c r="Z18" s="2044" t="s">
        <v>137</v>
      </c>
      <c r="AA18" s="3562">
        <v>34</v>
      </c>
      <c r="AB18" s="3562"/>
      <c r="AC18" s="3562"/>
      <c r="AD18" s="3562"/>
      <c r="AE18" s="2044" t="s">
        <v>137</v>
      </c>
      <c r="AF18" s="3562">
        <v>35</v>
      </c>
      <c r="AG18" s="3562"/>
      <c r="AH18" s="3562"/>
      <c r="AI18" s="3562"/>
      <c r="AJ18" s="2044" t="s">
        <v>137</v>
      </c>
      <c r="AK18" s="3562">
        <v>36</v>
      </c>
      <c r="AL18" s="3562"/>
      <c r="AM18" s="3562"/>
      <c r="AN18" s="3562"/>
      <c r="AO18" s="2044" t="s">
        <v>137</v>
      </c>
      <c r="AP18" s="3562">
        <v>37</v>
      </c>
      <c r="AQ18" s="3562"/>
      <c r="AR18" s="3562"/>
      <c r="AS18" s="3562"/>
      <c r="AT18" s="2044" t="s">
        <v>137</v>
      </c>
      <c r="AU18" s="3562">
        <v>38</v>
      </c>
      <c r="AV18" s="3562"/>
      <c r="AW18" s="3562"/>
      <c r="AX18" s="3562"/>
      <c r="AY18" s="2044" t="s">
        <v>137</v>
      </c>
      <c r="AZ18" s="3562">
        <v>39</v>
      </c>
      <c r="BA18" s="3562"/>
      <c r="BB18" s="3562"/>
      <c r="BC18" s="3562"/>
      <c r="BD18" s="2044" t="s">
        <v>137</v>
      </c>
      <c r="BE18" s="3562">
        <v>40</v>
      </c>
      <c r="BF18" s="3562"/>
      <c r="BG18" s="3562"/>
      <c r="BH18" s="3562"/>
      <c r="BI18" s="2044" t="s">
        <v>137</v>
      </c>
      <c r="BJ18" s="3562">
        <v>41</v>
      </c>
      <c r="BK18" s="3562"/>
      <c r="BL18" s="3562"/>
      <c r="BM18" s="3562"/>
      <c r="BN18" s="2044" t="s">
        <v>137</v>
      </c>
      <c r="BO18" s="3562">
        <v>42</v>
      </c>
      <c r="BP18" s="3562"/>
      <c r="BQ18" s="3562"/>
      <c r="BR18" s="3562"/>
    </row>
    <row r="19" spans="1:83" ht="26.25" x14ac:dyDescent="0.25">
      <c r="A19" s="2044"/>
      <c r="B19" s="122">
        <v>1E-4</v>
      </c>
      <c r="C19" s="123" t="s">
        <v>113</v>
      </c>
      <c r="D19" s="124">
        <v>1</v>
      </c>
      <c r="E19" s="125" t="s">
        <v>114</v>
      </c>
      <c r="F19" s="2044"/>
      <c r="G19" s="122">
        <v>1E-4</v>
      </c>
      <c r="H19" s="123" t="s">
        <v>113</v>
      </c>
      <c r="I19" s="124"/>
      <c r="J19" s="125" t="s">
        <v>114</v>
      </c>
      <c r="K19" s="2044"/>
      <c r="L19" s="122">
        <v>0.40600000000000003</v>
      </c>
      <c r="M19" s="123" t="s">
        <v>113</v>
      </c>
      <c r="N19" s="124"/>
      <c r="O19" s="125" t="s">
        <v>114</v>
      </c>
      <c r="P19" s="2044"/>
      <c r="Q19" s="122">
        <v>1E-4</v>
      </c>
      <c r="R19" s="123" t="s">
        <v>113</v>
      </c>
      <c r="S19" s="124">
        <v>1</v>
      </c>
      <c r="T19" s="125" t="s">
        <v>114</v>
      </c>
      <c r="U19" s="2044"/>
      <c r="V19" s="122">
        <v>1E-4</v>
      </c>
      <c r="W19" s="123" t="s">
        <v>113</v>
      </c>
      <c r="X19" s="124"/>
      <c r="Y19" s="125" t="s">
        <v>114</v>
      </c>
      <c r="Z19" s="2044"/>
      <c r="AA19" s="122">
        <v>1E-4</v>
      </c>
      <c r="AB19" s="123" t="s">
        <v>113</v>
      </c>
      <c r="AC19" s="124"/>
      <c r="AD19" s="125" t="s">
        <v>114</v>
      </c>
      <c r="AE19" s="2044"/>
      <c r="AF19" s="122">
        <v>0.58399999999999996</v>
      </c>
      <c r="AG19" s="123" t="s">
        <v>113</v>
      </c>
      <c r="AH19" s="124">
        <v>1</v>
      </c>
      <c r="AI19" s="125" t="s">
        <v>114</v>
      </c>
      <c r="AJ19" s="2044"/>
      <c r="AK19" s="122">
        <v>1E-4</v>
      </c>
      <c r="AL19" s="123" t="s">
        <v>113</v>
      </c>
      <c r="AM19" s="124"/>
      <c r="AN19" s="125" t="s">
        <v>114</v>
      </c>
      <c r="AO19" s="2044"/>
      <c r="AP19" s="122">
        <v>1E-4</v>
      </c>
      <c r="AQ19" s="123" t="s">
        <v>113</v>
      </c>
      <c r="AR19" s="124"/>
      <c r="AS19" s="125" t="s">
        <v>114</v>
      </c>
      <c r="AT19" s="2044"/>
      <c r="AU19" s="122">
        <v>0.22800000000000001</v>
      </c>
      <c r="AV19" s="123" t="s">
        <v>113</v>
      </c>
      <c r="AW19" s="124">
        <v>1</v>
      </c>
      <c r="AX19" s="125" t="s">
        <v>114</v>
      </c>
      <c r="AY19" s="2044"/>
      <c r="AZ19" s="122">
        <v>1E-4</v>
      </c>
      <c r="BA19" s="123" t="s">
        <v>113</v>
      </c>
      <c r="BB19" s="124"/>
      <c r="BC19" s="125" t="s">
        <v>114</v>
      </c>
      <c r="BD19" s="2044"/>
      <c r="BE19" s="122">
        <v>0.55800000000000005</v>
      </c>
      <c r="BF19" s="123" t="s">
        <v>113</v>
      </c>
      <c r="BG19" s="124"/>
      <c r="BH19" s="125" t="s">
        <v>114</v>
      </c>
      <c r="BI19" s="2044"/>
      <c r="BJ19" s="122">
        <v>3.6320000000000001</v>
      </c>
      <c r="BK19" s="123" t="s">
        <v>113</v>
      </c>
      <c r="BL19" s="124">
        <v>1</v>
      </c>
      <c r="BM19" s="125" t="s">
        <v>114</v>
      </c>
      <c r="BN19" s="2044"/>
      <c r="BO19" s="122">
        <v>1E-4</v>
      </c>
      <c r="BP19" s="123" t="s">
        <v>113</v>
      </c>
      <c r="BQ19" s="124"/>
      <c r="BR19" s="125" t="s">
        <v>114</v>
      </c>
      <c r="BW19" s="27"/>
      <c r="BX19" s="27"/>
      <c r="BY19" s="27"/>
      <c r="BZ19" s="27"/>
      <c r="CA19" s="27"/>
      <c r="CB19" s="27"/>
      <c r="CC19" s="27"/>
      <c r="CD19" s="27"/>
      <c r="CE19" s="27"/>
    </row>
    <row r="20" spans="1:83" ht="27.95" customHeight="1" x14ac:dyDescent="0.25">
      <c r="A20" s="2041" t="s">
        <v>110</v>
      </c>
      <c r="B20" s="2041"/>
      <c r="C20" s="2042">
        <f>B25/((36*3.1415/59)*(70/3.281))</f>
        <v>2.4452351899431322E-6</v>
      </c>
      <c r="D20" s="2042"/>
      <c r="E20" s="2042"/>
      <c r="F20" s="3563" t="s">
        <v>110</v>
      </c>
      <c r="G20" s="3564"/>
      <c r="H20" s="3568">
        <f t="shared" ref="H20" si="38">G25/((36*3.1415/59)*(70/3.281))</f>
        <v>2.4452351899431322E-6</v>
      </c>
      <c r="I20" s="3569"/>
      <c r="J20" s="3570"/>
      <c r="K20" s="2041" t="s">
        <v>110</v>
      </c>
      <c r="L20" s="2041"/>
      <c r="M20" s="2042">
        <f t="shared" ref="M20" si="39">L25/((36*3.1415/59)*(70/3.281))</f>
        <v>2.4452351899431322E-6</v>
      </c>
      <c r="N20" s="2042"/>
      <c r="O20" s="2042"/>
      <c r="P20" s="3563" t="s">
        <v>110</v>
      </c>
      <c r="Q20" s="3564"/>
      <c r="R20" s="3568">
        <f t="shared" ref="R20" si="40">Q25/((36*3.1415/59)*(70/3.281))</f>
        <v>2.4452351899431322E-6</v>
      </c>
      <c r="S20" s="3569"/>
      <c r="T20" s="3570"/>
      <c r="U20" s="2041" t="s">
        <v>110</v>
      </c>
      <c r="V20" s="2041"/>
      <c r="W20" s="2042">
        <f t="shared" ref="W20" si="41">V25/((36*3.1415/59)*(70/3.281))</f>
        <v>2.4452351899431322E-6</v>
      </c>
      <c r="X20" s="2042"/>
      <c r="Y20" s="2042"/>
      <c r="Z20" s="3563" t="s">
        <v>110</v>
      </c>
      <c r="AA20" s="3564"/>
      <c r="AB20" s="3568">
        <f t="shared" ref="AB20" si="42">AA25/((36*3.1415/59)*(70/3.281))</f>
        <v>2.4452351899431322E-6</v>
      </c>
      <c r="AC20" s="3569"/>
      <c r="AD20" s="3570"/>
      <c r="AE20" s="3563" t="s">
        <v>110</v>
      </c>
      <c r="AF20" s="3564"/>
      <c r="AG20" s="3568">
        <f t="shared" ref="AG20" si="43">AF25/((36*3.1415/59)*(70/3.281))</f>
        <v>2.4452351899431322E-6</v>
      </c>
      <c r="AH20" s="3569"/>
      <c r="AI20" s="3570"/>
      <c r="AJ20" s="2041" t="s">
        <v>110</v>
      </c>
      <c r="AK20" s="2041"/>
      <c r="AL20" s="2042">
        <f t="shared" ref="AL20" si="44">AK25/((36*3.1415/59)*(70/3.281))</f>
        <v>2.4452351899431322E-6</v>
      </c>
      <c r="AM20" s="2042"/>
      <c r="AN20" s="2042"/>
      <c r="AO20" s="2041" t="s">
        <v>110</v>
      </c>
      <c r="AP20" s="2041"/>
      <c r="AQ20" s="2042">
        <f t="shared" ref="AQ20" si="45">AP25/((36*3.1415/59)*(70/3.281))</f>
        <v>2.4452351899431322E-6</v>
      </c>
      <c r="AR20" s="2042"/>
      <c r="AS20" s="2042"/>
      <c r="AT20" s="2041" t="s">
        <v>110</v>
      </c>
      <c r="AU20" s="2041"/>
      <c r="AV20" s="2042">
        <f t="shared" ref="AV20" si="46">AU25/((36*3.1415/59)*(70/3.281))</f>
        <v>2.4452351899431322E-6</v>
      </c>
      <c r="AW20" s="2042"/>
      <c r="AX20" s="2042"/>
      <c r="AY20" s="2041" t="s">
        <v>110</v>
      </c>
      <c r="AZ20" s="2041"/>
      <c r="BA20" s="2042">
        <f t="shared" ref="BA20" si="47">AZ25/((36*3.1415/59)*(70/3.281))</f>
        <v>4.9638274355845585E-3</v>
      </c>
      <c r="BB20" s="2042"/>
      <c r="BC20" s="2042"/>
      <c r="BD20" s="2041" t="s">
        <v>110</v>
      </c>
      <c r="BE20" s="2041"/>
      <c r="BF20" s="2042">
        <f t="shared" ref="BF20" si="48">BE25/((36*3.1415/59)*(70/3.281))</f>
        <v>2.4452351899431323E-5</v>
      </c>
      <c r="BG20" s="2042"/>
      <c r="BH20" s="2042"/>
      <c r="BI20" s="2041" t="s">
        <v>110</v>
      </c>
      <c r="BJ20" s="2041"/>
      <c r="BK20" s="2042">
        <f t="shared" ref="BK20" si="49">BJ25/((36*3.1415/59)*(70/3.281))</f>
        <v>2.4452351899431322E-6</v>
      </c>
      <c r="BL20" s="2042"/>
      <c r="BM20" s="2042"/>
      <c r="BN20" s="2041" t="s">
        <v>110</v>
      </c>
      <c r="BO20" s="2041"/>
      <c r="BP20" s="2042">
        <f t="shared" ref="BP20" si="50">BO25/((36*3.1415/59)*(70/3.281))</f>
        <v>4.9638274355845585E-3</v>
      </c>
      <c r="BQ20" s="2042"/>
      <c r="BR20" s="2042"/>
    </row>
    <row r="21" spans="1:83" ht="6.75" customHeight="1" x14ac:dyDescent="0.25">
      <c r="A21" s="2041"/>
      <c r="B21" s="2041"/>
      <c r="C21" s="2042"/>
      <c r="D21" s="2042"/>
      <c r="E21" s="2042"/>
      <c r="F21" s="3565"/>
      <c r="G21" s="3566"/>
      <c r="H21" s="3571"/>
      <c r="I21" s="3572"/>
      <c r="J21" s="3573"/>
      <c r="K21" s="2041"/>
      <c r="L21" s="2041"/>
      <c r="M21" s="2042"/>
      <c r="N21" s="2042"/>
      <c r="O21" s="2042"/>
      <c r="P21" s="3565"/>
      <c r="Q21" s="3566"/>
      <c r="R21" s="3571"/>
      <c r="S21" s="3572"/>
      <c r="T21" s="3573"/>
      <c r="U21" s="2041"/>
      <c r="V21" s="2041"/>
      <c r="W21" s="2042"/>
      <c r="X21" s="2042"/>
      <c r="Y21" s="2042"/>
      <c r="Z21" s="3565"/>
      <c r="AA21" s="3566"/>
      <c r="AB21" s="3571"/>
      <c r="AC21" s="3572"/>
      <c r="AD21" s="3573"/>
      <c r="AE21" s="3565"/>
      <c r="AF21" s="3566"/>
      <c r="AG21" s="3571"/>
      <c r="AH21" s="3572"/>
      <c r="AI21" s="3573"/>
      <c r="AJ21" s="2041"/>
      <c r="AK21" s="2041"/>
      <c r="AL21" s="2042"/>
      <c r="AM21" s="2042"/>
      <c r="AN21" s="2042"/>
      <c r="AO21" s="2041"/>
      <c r="AP21" s="2041"/>
      <c r="AQ21" s="2042"/>
      <c r="AR21" s="2042"/>
      <c r="AS21" s="2042"/>
      <c r="AT21" s="2041"/>
      <c r="AU21" s="2041"/>
      <c r="AV21" s="2042"/>
      <c r="AW21" s="2042"/>
      <c r="AX21" s="2042"/>
      <c r="AY21" s="2041"/>
      <c r="AZ21" s="2041"/>
      <c r="BA21" s="2042"/>
      <c r="BB21" s="2042"/>
      <c r="BC21" s="2042"/>
      <c r="BD21" s="2041"/>
      <c r="BE21" s="2041"/>
      <c r="BF21" s="2042"/>
      <c r="BG21" s="2042"/>
      <c r="BH21" s="2042"/>
      <c r="BI21" s="2041"/>
      <c r="BJ21" s="2041"/>
      <c r="BK21" s="2042"/>
      <c r="BL21" s="2042"/>
      <c r="BM21" s="2042"/>
      <c r="BN21" s="2041"/>
      <c r="BO21" s="2041"/>
      <c r="BP21" s="2042"/>
      <c r="BQ21" s="2042"/>
      <c r="BR21" s="2042"/>
    </row>
    <row r="22" spans="1:83" ht="21.95" customHeight="1" x14ac:dyDescent="0.25">
      <c r="A22" s="3561" t="s">
        <v>111</v>
      </c>
      <c r="B22" s="3561"/>
      <c r="C22" s="3561"/>
      <c r="D22" s="3561"/>
      <c r="E22" s="3561"/>
      <c r="F22" s="3565"/>
      <c r="G22" s="3566"/>
      <c r="H22" s="3571"/>
      <c r="I22" s="3572"/>
      <c r="J22" s="3573"/>
      <c r="K22" s="3561" t="s">
        <v>111</v>
      </c>
      <c r="L22" s="3561"/>
      <c r="M22" s="3561"/>
      <c r="N22" s="3561"/>
      <c r="O22" s="3561"/>
      <c r="P22" s="3565"/>
      <c r="Q22" s="3566"/>
      <c r="R22" s="3571"/>
      <c r="S22" s="3572"/>
      <c r="T22" s="3573"/>
      <c r="U22" s="3561" t="s">
        <v>111</v>
      </c>
      <c r="V22" s="3561"/>
      <c r="W22" s="3561"/>
      <c r="X22" s="3561"/>
      <c r="Y22" s="3561"/>
      <c r="Z22" s="3565"/>
      <c r="AA22" s="3566"/>
      <c r="AB22" s="3571"/>
      <c r="AC22" s="3572"/>
      <c r="AD22" s="3573"/>
      <c r="AE22" s="3565"/>
      <c r="AF22" s="3566"/>
      <c r="AG22" s="3571"/>
      <c r="AH22" s="3572"/>
      <c r="AI22" s="3573"/>
      <c r="AJ22" s="3561" t="s">
        <v>111</v>
      </c>
      <c r="AK22" s="3561"/>
      <c r="AL22" s="3561"/>
      <c r="AM22" s="3561"/>
      <c r="AN22" s="3561"/>
      <c r="AO22" s="3561" t="s">
        <v>111</v>
      </c>
      <c r="AP22" s="3561"/>
      <c r="AQ22" s="3561"/>
      <c r="AR22" s="3561"/>
      <c r="AS22" s="3561"/>
      <c r="AT22" s="3561" t="s">
        <v>111</v>
      </c>
      <c r="AU22" s="3561"/>
      <c r="AV22" s="3561"/>
      <c r="AW22" s="3561"/>
      <c r="AX22" s="3561"/>
      <c r="AY22" s="3561" t="s">
        <v>111</v>
      </c>
      <c r="AZ22" s="3561"/>
      <c r="BA22" s="3561"/>
      <c r="BB22" s="3561"/>
      <c r="BC22" s="3561"/>
      <c r="BD22" s="3561" t="s">
        <v>111</v>
      </c>
      <c r="BE22" s="3561"/>
      <c r="BF22" s="3561"/>
      <c r="BG22" s="3561"/>
      <c r="BH22" s="3561"/>
      <c r="BI22" s="3561" t="s">
        <v>111</v>
      </c>
      <c r="BJ22" s="3561"/>
      <c r="BK22" s="3561"/>
      <c r="BL22" s="3561"/>
      <c r="BM22" s="3561"/>
      <c r="BN22" s="3561" t="s">
        <v>111</v>
      </c>
      <c r="BO22" s="3561"/>
      <c r="BP22" s="3561"/>
      <c r="BQ22" s="3561"/>
      <c r="BR22" s="3561"/>
    </row>
    <row r="23" spans="1:83" ht="6" customHeight="1" x14ac:dyDescent="0.25">
      <c r="A23" s="3561"/>
      <c r="B23" s="3561"/>
      <c r="C23" s="3561"/>
      <c r="D23" s="3561"/>
      <c r="E23" s="3561"/>
      <c r="F23" s="3567"/>
      <c r="G23" s="1885"/>
      <c r="H23" s="3574"/>
      <c r="I23" s="1888"/>
      <c r="J23" s="3575"/>
      <c r="K23" s="3561"/>
      <c r="L23" s="3561"/>
      <c r="M23" s="3561"/>
      <c r="N23" s="3561"/>
      <c r="O23" s="3561"/>
      <c r="P23" s="3567"/>
      <c r="Q23" s="1885"/>
      <c r="R23" s="3574"/>
      <c r="S23" s="1888"/>
      <c r="T23" s="3575"/>
      <c r="U23" s="3561"/>
      <c r="V23" s="3561"/>
      <c r="W23" s="3561"/>
      <c r="X23" s="3561"/>
      <c r="Y23" s="3561"/>
      <c r="Z23" s="3567"/>
      <c r="AA23" s="1885"/>
      <c r="AB23" s="3574"/>
      <c r="AC23" s="1888"/>
      <c r="AD23" s="3575"/>
      <c r="AE23" s="3567"/>
      <c r="AF23" s="1885"/>
      <c r="AG23" s="3574"/>
      <c r="AH23" s="1888"/>
      <c r="AI23" s="3575"/>
      <c r="AJ23" s="3561"/>
      <c r="AK23" s="3561"/>
      <c r="AL23" s="3561"/>
      <c r="AM23" s="3561"/>
      <c r="AN23" s="3561"/>
      <c r="AO23" s="3561"/>
      <c r="AP23" s="3561"/>
      <c r="AQ23" s="3561"/>
      <c r="AR23" s="3561"/>
      <c r="AS23" s="3561"/>
      <c r="AT23" s="3561"/>
      <c r="AU23" s="3561"/>
      <c r="AV23" s="3561"/>
      <c r="AW23" s="3561"/>
      <c r="AX23" s="3561"/>
      <c r="AY23" s="3561"/>
      <c r="AZ23" s="3561"/>
      <c r="BA23" s="3561"/>
      <c r="BB23" s="3561"/>
      <c r="BC23" s="3561"/>
      <c r="BD23" s="3561"/>
      <c r="BE23" s="3561"/>
      <c r="BF23" s="3561"/>
      <c r="BG23" s="3561"/>
      <c r="BH23" s="3561"/>
      <c r="BI23" s="3561"/>
      <c r="BJ23" s="3561"/>
      <c r="BK23" s="3561"/>
      <c r="BL23" s="3561"/>
      <c r="BM23" s="3561"/>
      <c r="BN23" s="3561"/>
      <c r="BO23" s="3561"/>
      <c r="BP23" s="3561"/>
      <c r="BQ23" s="3561"/>
      <c r="BR23" s="3561"/>
    </row>
    <row r="24" spans="1:83" s="22" customFormat="1" ht="80.099999999999994" customHeight="1" x14ac:dyDescent="1.35">
      <c r="A24" s="2044" t="s">
        <v>137</v>
      </c>
      <c r="B24" s="3562">
        <v>43</v>
      </c>
      <c r="C24" s="3562"/>
      <c r="D24" s="3562"/>
      <c r="E24" s="3562"/>
      <c r="F24" s="2044" t="s">
        <v>137</v>
      </c>
      <c r="G24" s="3562">
        <v>44</v>
      </c>
      <c r="H24" s="3562"/>
      <c r="I24" s="3562"/>
      <c r="J24" s="3562"/>
      <c r="K24" s="2044" t="s">
        <v>137</v>
      </c>
      <c r="L24" s="3562">
        <v>45</v>
      </c>
      <c r="M24" s="3562"/>
      <c r="N24" s="3562"/>
      <c r="O24" s="3562"/>
      <c r="P24" s="2044" t="s">
        <v>137</v>
      </c>
      <c r="Q24" s="3562">
        <v>46</v>
      </c>
      <c r="R24" s="3562"/>
      <c r="S24" s="3562"/>
      <c r="T24" s="3562"/>
      <c r="U24" s="2044" t="s">
        <v>137</v>
      </c>
      <c r="V24" s="3562">
        <v>47</v>
      </c>
      <c r="W24" s="3562"/>
      <c r="X24" s="3562"/>
      <c r="Y24" s="3562"/>
      <c r="Z24" s="2044" t="s">
        <v>137</v>
      </c>
      <c r="AA24" s="3562">
        <v>48</v>
      </c>
      <c r="AB24" s="3562"/>
      <c r="AC24" s="3562"/>
      <c r="AD24" s="3562"/>
      <c r="AE24" s="2044" t="s">
        <v>137</v>
      </c>
      <c r="AF24" s="3562">
        <v>49</v>
      </c>
      <c r="AG24" s="3562"/>
      <c r="AH24" s="3562"/>
      <c r="AI24" s="3562"/>
      <c r="AJ24" s="2044" t="s">
        <v>137</v>
      </c>
      <c r="AK24" s="3562">
        <v>50</v>
      </c>
      <c r="AL24" s="3562"/>
      <c r="AM24" s="3562"/>
      <c r="AN24" s="3562"/>
      <c r="AO24" s="2044" t="s">
        <v>137</v>
      </c>
      <c r="AP24" s="3562">
        <v>51</v>
      </c>
      <c r="AQ24" s="3562"/>
      <c r="AR24" s="3562"/>
      <c r="AS24" s="3562"/>
      <c r="AT24" s="2044" t="s">
        <v>137</v>
      </c>
      <c r="AU24" s="3562">
        <v>52</v>
      </c>
      <c r="AV24" s="3562"/>
      <c r="AW24" s="3562"/>
      <c r="AX24" s="3562"/>
      <c r="AY24" s="2044" t="s">
        <v>137</v>
      </c>
      <c r="AZ24" s="3562">
        <v>53</v>
      </c>
      <c r="BA24" s="3562"/>
      <c r="BB24" s="3562"/>
      <c r="BC24" s="3562"/>
      <c r="BD24" s="2044" t="s">
        <v>137</v>
      </c>
      <c r="BE24" s="3562">
        <v>54</v>
      </c>
      <c r="BF24" s="3562"/>
      <c r="BG24" s="3562"/>
      <c r="BH24" s="3562"/>
      <c r="BI24" s="2044" t="s">
        <v>137</v>
      </c>
      <c r="BJ24" s="3562">
        <v>55</v>
      </c>
      <c r="BK24" s="3562"/>
      <c r="BL24" s="3562"/>
      <c r="BM24" s="3562"/>
      <c r="BN24" s="2044" t="s">
        <v>137</v>
      </c>
      <c r="BO24" s="3562">
        <v>56</v>
      </c>
      <c r="BP24" s="3562"/>
      <c r="BQ24" s="3562"/>
      <c r="BR24" s="3562"/>
    </row>
    <row r="25" spans="1:83" ht="27" customHeight="1" x14ac:dyDescent="0.25">
      <c r="A25" s="2044"/>
      <c r="B25" s="122">
        <v>1E-4</v>
      </c>
      <c r="C25" s="123" t="s">
        <v>113</v>
      </c>
      <c r="D25" s="124"/>
      <c r="E25" s="125" t="s">
        <v>114</v>
      </c>
      <c r="F25" s="2044"/>
      <c r="G25" s="122">
        <v>1E-4</v>
      </c>
      <c r="H25" s="123" t="s">
        <v>113</v>
      </c>
      <c r="I25" s="124">
        <v>1</v>
      </c>
      <c r="J25" s="125" t="s">
        <v>114</v>
      </c>
      <c r="K25" s="2044"/>
      <c r="L25" s="122">
        <v>1E-4</v>
      </c>
      <c r="M25" s="123" t="s">
        <v>113</v>
      </c>
      <c r="N25" s="124"/>
      <c r="O25" s="125" t="s">
        <v>114</v>
      </c>
      <c r="P25" s="2044"/>
      <c r="Q25" s="122">
        <v>1E-4</v>
      </c>
      <c r="R25" s="123" t="s">
        <v>113</v>
      </c>
      <c r="S25" s="124"/>
      <c r="T25" s="125" t="s">
        <v>114</v>
      </c>
      <c r="U25" s="2044"/>
      <c r="V25" s="122">
        <v>1E-4</v>
      </c>
      <c r="W25" s="123" t="s">
        <v>113</v>
      </c>
      <c r="X25" s="124">
        <v>1</v>
      </c>
      <c r="Y25" s="125" t="s">
        <v>114</v>
      </c>
      <c r="Z25" s="2044"/>
      <c r="AA25" s="122">
        <v>1E-4</v>
      </c>
      <c r="AB25" s="123" t="s">
        <v>113</v>
      </c>
      <c r="AC25" s="124"/>
      <c r="AD25" s="125" t="s">
        <v>114</v>
      </c>
      <c r="AE25" s="2044"/>
      <c r="AF25" s="122">
        <v>1E-4</v>
      </c>
      <c r="AG25" s="123" t="s">
        <v>113</v>
      </c>
      <c r="AH25" s="124"/>
      <c r="AI25" s="125" t="s">
        <v>114</v>
      </c>
      <c r="AJ25" s="2044"/>
      <c r="AK25" s="122">
        <v>1E-4</v>
      </c>
      <c r="AL25" s="123" t="s">
        <v>113</v>
      </c>
      <c r="AM25" s="124">
        <v>1</v>
      </c>
      <c r="AN25" s="125" t="s">
        <v>114</v>
      </c>
      <c r="AO25" s="2044"/>
      <c r="AP25" s="122">
        <v>1E-4</v>
      </c>
      <c r="AQ25" s="123" t="s">
        <v>113</v>
      </c>
      <c r="AR25" s="124"/>
      <c r="AS25" s="125" t="s">
        <v>114</v>
      </c>
      <c r="AT25" s="2044"/>
      <c r="AU25" s="122">
        <v>1E-4</v>
      </c>
      <c r="AV25" s="123" t="s">
        <v>113</v>
      </c>
      <c r="AW25" s="124"/>
      <c r="AX25" s="125" t="s">
        <v>114</v>
      </c>
      <c r="AY25" s="2044"/>
      <c r="AZ25" s="122">
        <v>0.20300000000000001</v>
      </c>
      <c r="BA25" s="123" t="s">
        <v>113</v>
      </c>
      <c r="BB25" s="124"/>
      <c r="BC25" s="125" t="s">
        <v>114</v>
      </c>
      <c r="BD25" s="2044"/>
      <c r="BE25" s="122">
        <v>1E-3</v>
      </c>
      <c r="BF25" s="123" t="s">
        <v>113</v>
      </c>
      <c r="BG25" s="124">
        <v>1</v>
      </c>
      <c r="BH25" s="125" t="s">
        <v>114</v>
      </c>
      <c r="BI25" s="2044"/>
      <c r="BJ25" s="122">
        <v>1E-4</v>
      </c>
      <c r="BK25" s="123" t="s">
        <v>113</v>
      </c>
      <c r="BL25" s="124"/>
      <c r="BM25" s="125" t="s">
        <v>114</v>
      </c>
      <c r="BN25" s="2044"/>
      <c r="BO25" s="122">
        <v>0.20300000000000001</v>
      </c>
      <c r="BP25" s="123" t="s">
        <v>113</v>
      </c>
      <c r="BQ25" s="124"/>
      <c r="BR25" s="125" t="s">
        <v>114</v>
      </c>
      <c r="BW25" s="27"/>
      <c r="BX25" s="27"/>
      <c r="BY25" s="27"/>
      <c r="BZ25" s="27"/>
      <c r="CA25" s="27"/>
      <c r="CB25" s="27"/>
      <c r="CC25" s="27"/>
      <c r="CD25" s="27"/>
      <c r="CE25" s="27"/>
    </row>
    <row r="26" spans="1:83" ht="27.95" customHeight="1" x14ac:dyDescent="0.25">
      <c r="A26" s="2041" t="s">
        <v>110</v>
      </c>
      <c r="B26" s="2041"/>
      <c r="C26" s="2042">
        <f>B31/((36*3.1415/59)*(70/3.281))</f>
        <v>2.4452351899431322E-6</v>
      </c>
      <c r="D26" s="2042"/>
      <c r="E26" s="2042"/>
      <c r="F26" s="2041" t="s">
        <v>110</v>
      </c>
      <c r="G26" s="2041"/>
      <c r="H26" s="2042">
        <f t="shared" ref="H26" si="51">G31/((36*3.1415/59)*(70/3.281))</f>
        <v>5.5751362330703413E-3</v>
      </c>
      <c r="I26" s="2042"/>
      <c r="J26" s="2042"/>
      <c r="K26" s="2041" t="s">
        <v>110</v>
      </c>
      <c r="L26" s="2041"/>
      <c r="M26" s="2042">
        <f t="shared" ref="M26" si="52">L31/((36*3.1415/59)*(70/3.281))</f>
        <v>2.4452351899431323E-5</v>
      </c>
      <c r="N26" s="2042"/>
      <c r="O26" s="2042"/>
      <c r="P26" s="2041" t="s">
        <v>110</v>
      </c>
      <c r="Q26" s="2041"/>
      <c r="R26" s="2042">
        <f t="shared" ref="R26" si="53">Q31/((36*3.1415/59)*(70/3.281))</f>
        <v>2.4452351899431321E-10</v>
      </c>
      <c r="S26" s="2042"/>
      <c r="T26" s="2042"/>
      <c r="U26" s="2041" t="s">
        <v>110</v>
      </c>
      <c r="V26" s="2041"/>
      <c r="W26" s="2042">
        <f t="shared" ref="W26" si="54">V31/((36*3.1415/59)*(70/3.281))</f>
        <v>2.4452351899431321E-8</v>
      </c>
      <c r="X26" s="2042"/>
      <c r="Y26" s="2042"/>
      <c r="Z26" s="2041" t="s">
        <v>110</v>
      </c>
      <c r="AA26" s="2041"/>
      <c r="AB26" s="2042">
        <f t="shared" ref="AB26" si="55">AA31/((36*3.1415/59)*(70/3.281))</f>
        <v>2.4452351899431321E-10</v>
      </c>
      <c r="AC26" s="2042"/>
      <c r="AD26" s="2042"/>
      <c r="AE26" s="2041" t="s">
        <v>110</v>
      </c>
      <c r="AF26" s="2041"/>
      <c r="AG26" s="2042">
        <f t="shared" ref="AG26" si="56">AF31/((36*3.1415/59)*(70/3.281))</f>
        <v>2.4452351899431322E-9</v>
      </c>
      <c r="AH26" s="2042"/>
      <c r="AI26" s="2042"/>
      <c r="AJ26" s="2041" t="s">
        <v>110</v>
      </c>
      <c r="AK26" s="2041"/>
      <c r="AL26" s="2042">
        <f t="shared" ref="AL26" si="57">AK31/((36*3.1415/59)*(70/3.281))</f>
        <v>2.4452351899431324E-11</v>
      </c>
      <c r="AM26" s="2042"/>
      <c r="AN26" s="2042"/>
      <c r="AO26" s="2041" t="s">
        <v>110</v>
      </c>
      <c r="AP26" s="2041"/>
      <c r="AQ26" s="2042">
        <f t="shared" ref="AQ26" si="58">AP31/((36*3.1415/59)*(70/3.281))</f>
        <v>2.4452351899431323E-12</v>
      </c>
      <c r="AR26" s="2042"/>
      <c r="AS26" s="2042"/>
      <c r="AT26" s="2041" t="s">
        <v>110</v>
      </c>
      <c r="AU26" s="2041"/>
      <c r="AV26" s="2042">
        <f t="shared" ref="AV26" si="59">AU31/((36*3.1415/59)*(70/3.281))</f>
        <v>1.1786033615525895E-2</v>
      </c>
      <c r="AW26" s="2042"/>
      <c r="AX26" s="2042"/>
      <c r="AY26" s="2041" t="s">
        <v>110</v>
      </c>
      <c r="AZ26" s="2041"/>
      <c r="BA26" s="2042">
        <f t="shared" ref="BA26" si="60">AZ31/((36*3.1415/59)*(70/3.281))</f>
        <v>2.4452351899431322E-15</v>
      </c>
      <c r="BB26" s="2042"/>
      <c r="BC26" s="2042"/>
      <c r="BD26" s="2041" t="s">
        <v>110</v>
      </c>
      <c r="BE26" s="2041"/>
      <c r="BF26" s="2042">
        <f t="shared" ref="BF26" si="61">BE31/((36*3.1415/59)*(70/3.281))</f>
        <v>1.3644412359882679E-2</v>
      </c>
      <c r="BG26" s="2042"/>
      <c r="BH26" s="2042"/>
      <c r="BI26" s="2041" t="s">
        <v>110</v>
      </c>
      <c r="BJ26" s="2041"/>
      <c r="BK26" s="2042">
        <f t="shared" ref="BK26" si="62">BJ31/((36*3.1415/59)*(70/3.281))</f>
        <v>5.5751362330703413E-3</v>
      </c>
      <c r="BL26" s="2042"/>
      <c r="BM26" s="2042"/>
      <c r="BN26" s="2041" t="s">
        <v>110</v>
      </c>
      <c r="BO26" s="2041"/>
      <c r="BP26" s="2042">
        <f t="shared" ref="BP26" si="63">BO31/((36*3.1415/59)*(70/3.281))</f>
        <v>4.3280662861993439E-3</v>
      </c>
      <c r="BQ26" s="2042"/>
      <c r="BR26" s="2042"/>
    </row>
    <row r="27" spans="1:83" ht="6.75" customHeight="1" x14ac:dyDescent="0.25">
      <c r="A27" s="2041"/>
      <c r="B27" s="2041"/>
      <c r="C27" s="2042"/>
      <c r="D27" s="2042"/>
      <c r="E27" s="2042"/>
      <c r="F27" s="2041"/>
      <c r="G27" s="2041"/>
      <c r="H27" s="2042"/>
      <c r="I27" s="2042"/>
      <c r="J27" s="2042"/>
      <c r="K27" s="2041"/>
      <c r="L27" s="2041"/>
      <c r="M27" s="2042"/>
      <c r="N27" s="2042"/>
      <c r="O27" s="2042"/>
      <c r="P27" s="2041"/>
      <c r="Q27" s="2041"/>
      <c r="R27" s="2042"/>
      <c r="S27" s="2042"/>
      <c r="T27" s="2042"/>
      <c r="U27" s="2041"/>
      <c r="V27" s="2041"/>
      <c r="W27" s="2042"/>
      <c r="X27" s="2042"/>
      <c r="Y27" s="2042"/>
      <c r="Z27" s="2041"/>
      <c r="AA27" s="2041"/>
      <c r="AB27" s="2042"/>
      <c r="AC27" s="2042"/>
      <c r="AD27" s="2042"/>
      <c r="AE27" s="2041"/>
      <c r="AF27" s="2041"/>
      <c r="AG27" s="2042"/>
      <c r="AH27" s="2042"/>
      <c r="AI27" s="2042"/>
      <c r="AJ27" s="2041"/>
      <c r="AK27" s="2041"/>
      <c r="AL27" s="2042"/>
      <c r="AM27" s="2042"/>
      <c r="AN27" s="2042"/>
      <c r="AO27" s="2041"/>
      <c r="AP27" s="2041"/>
      <c r="AQ27" s="2042"/>
      <c r="AR27" s="2042"/>
      <c r="AS27" s="2042"/>
      <c r="AT27" s="2041"/>
      <c r="AU27" s="2041"/>
      <c r="AV27" s="2042"/>
      <c r="AW27" s="2042"/>
      <c r="AX27" s="2042"/>
      <c r="AY27" s="2041"/>
      <c r="AZ27" s="2041"/>
      <c r="BA27" s="2042"/>
      <c r="BB27" s="2042"/>
      <c r="BC27" s="2042"/>
      <c r="BD27" s="2041"/>
      <c r="BE27" s="2041"/>
      <c r="BF27" s="2042"/>
      <c r="BG27" s="2042"/>
      <c r="BH27" s="2042"/>
      <c r="BI27" s="2041"/>
      <c r="BJ27" s="2041"/>
      <c r="BK27" s="2042"/>
      <c r="BL27" s="2042"/>
      <c r="BM27" s="2042"/>
      <c r="BN27" s="2041"/>
      <c r="BO27" s="2041"/>
      <c r="BP27" s="2042"/>
      <c r="BQ27" s="2042"/>
      <c r="BR27" s="2042"/>
    </row>
    <row r="28" spans="1:83" ht="21.95" customHeight="1" x14ac:dyDescent="0.25">
      <c r="A28" s="3561" t="s">
        <v>111</v>
      </c>
      <c r="B28" s="3561"/>
      <c r="C28" s="3561"/>
      <c r="D28" s="3561"/>
      <c r="E28" s="3561"/>
      <c r="F28" s="3561" t="s">
        <v>111</v>
      </c>
      <c r="G28" s="3561"/>
      <c r="H28" s="3561"/>
      <c r="I28" s="3561"/>
      <c r="J28" s="3561"/>
      <c r="K28" s="3561" t="s">
        <v>111</v>
      </c>
      <c r="L28" s="3561"/>
      <c r="M28" s="3561"/>
      <c r="N28" s="3561"/>
      <c r="O28" s="3561"/>
      <c r="P28" s="3561" t="s">
        <v>111</v>
      </c>
      <c r="Q28" s="3561"/>
      <c r="R28" s="3561"/>
      <c r="S28" s="3561"/>
      <c r="T28" s="3561"/>
      <c r="U28" s="3561" t="s">
        <v>111</v>
      </c>
      <c r="V28" s="3561"/>
      <c r="W28" s="3561"/>
      <c r="X28" s="3561"/>
      <c r="Y28" s="3561"/>
      <c r="Z28" s="3561" t="s">
        <v>111</v>
      </c>
      <c r="AA28" s="3561"/>
      <c r="AB28" s="3561"/>
      <c r="AC28" s="3561"/>
      <c r="AD28" s="3561"/>
      <c r="AE28" s="3561" t="s">
        <v>111</v>
      </c>
      <c r="AF28" s="3561"/>
      <c r="AG28" s="3561"/>
      <c r="AH28" s="3561"/>
      <c r="AI28" s="3561"/>
      <c r="AJ28" s="3561" t="s">
        <v>111</v>
      </c>
      <c r="AK28" s="3561"/>
      <c r="AL28" s="3561"/>
      <c r="AM28" s="3561"/>
      <c r="AN28" s="3561"/>
      <c r="AO28" s="3561" t="s">
        <v>111</v>
      </c>
      <c r="AP28" s="3561"/>
      <c r="AQ28" s="3561"/>
      <c r="AR28" s="3561"/>
      <c r="AS28" s="3561"/>
      <c r="AT28" s="3561" t="s">
        <v>111</v>
      </c>
      <c r="AU28" s="3561"/>
      <c r="AV28" s="3561"/>
      <c r="AW28" s="3561"/>
      <c r="AX28" s="3561"/>
      <c r="AY28" s="3561" t="s">
        <v>111</v>
      </c>
      <c r="AZ28" s="3561"/>
      <c r="BA28" s="3561"/>
      <c r="BB28" s="3561"/>
      <c r="BC28" s="3561"/>
      <c r="BD28" s="3561" t="s">
        <v>111</v>
      </c>
      <c r="BE28" s="3561"/>
      <c r="BF28" s="3561"/>
      <c r="BG28" s="3561"/>
      <c r="BH28" s="3561"/>
      <c r="BI28" s="3561" t="s">
        <v>111</v>
      </c>
      <c r="BJ28" s="3561"/>
      <c r="BK28" s="3561"/>
      <c r="BL28" s="3561"/>
      <c r="BM28" s="3561"/>
      <c r="BN28" s="3561" t="s">
        <v>111</v>
      </c>
      <c r="BO28" s="3561"/>
      <c r="BP28" s="3561"/>
      <c r="BQ28" s="3561"/>
      <c r="BR28" s="3561"/>
    </row>
    <row r="29" spans="1:83" ht="6" customHeight="1" x14ac:dyDescent="0.25">
      <c r="A29" s="3561"/>
      <c r="B29" s="3561"/>
      <c r="C29" s="3561"/>
      <c r="D29" s="3561"/>
      <c r="E29" s="3561"/>
      <c r="F29" s="3561"/>
      <c r="G29" s="3561"/>
      <c r="H29" s="3561"/>
      <c r="I29" s="3561"/>
      <c r="J29" s="3561"/>
      <c r="K29" s="3561"/>
      <c r="L29" s="3561"/>
      <c r="M29" s="3561"/>
      <c r="N29" s="3561"/>
      <c r="O29" s="3561"/>
      <c r="P29" s="3561"/>
      <c r="Q29" s="3561"/>
      <c r="R29" s="3561"/>
      <c r="S29" s="3561"/>
      <c r="T29" s="3561"/>
      <c r="U29" s="3561"/>
      <c r="V29" s="3561"/>
      <c r="W29" s="3561"/>
      <c r="X29" s="3561"/>
      <c r="Y29" s="3561"/>
      <c r="Z29" s="3561"/>
      <c r="AA29" s="3561"/>
      <c r="AB29" s="3561"/>
      <c r="AC29" s="3561"/>
      <c r="AD29" s="3561"/>
      <c r="AE29" s="3561"/>
      <c r="AF29" s="3561"/>
      <c r="AG29" s="3561"/>
      <c r="AH29" s="3561"/>
      <c r="AI29" s="3561"/>
      <c r="AJ29" s="3561"/>
      <c r="AK29" s="3561"/>
      <c r="AL29" s="3561"/>
      <c r="AM29" s="3561"/>
      <c r="AN29" s="3561"/>
      <c r="AO29" s="3561"/>
      <c r="AP29" s="3561"/>
      <c r="AQ29" s="3561"/>
      <c r="AR29" s="3561"/>
      <c r="AS29" s="3561"/>
      <c r="AT29" s="3561"/>
      <c r="AU29" s="3561"/>
      <c r="AV29" s="3561"/>
      <c r="AW29" s="3561"/>
      <c r="AX29" s="3561"/>
      <c r="AY29" s="3561"/>
      <c r="AZ29" s="3561"/>
      <c r="BA29" s="3561"/>
      <c r="BB29" s="3561"/>
      <c r="BC29" s="3561"/>
      <c r="BD29" s="3561"/>
      <c r="BE29" s="3561"/>
      <c r="BF29" s="3561"/>
      <c r="BG29" s="3561"/>
      <c r="BH29" s="3561"/>
      <c r="BI29" s="3561"/>
      <c r="BJ29" s="3561"/>
      <c r="BK29" s="3561"/>
      <c r="BL29" s="3561"/>
      <c r="BM29" s="3561"/>
      <c r="BN29" s="3561"/>
      <c r="BO29" s="3561"/>
      <c r="BP29" s="3561"/>
      <c r="BQ29" s="3561"/>
      <c r="BR29" s="3561"/>
    </row>
    <row r="30" spans="1:83" s="22" customFormat="1" ht="80.099999999999994" customHeight="1" x14ac:dyDescent="1.35">
      <c r="A30" s="2044" t="s">
        <v>137</v>
      </c>
      <c r="B30" s="3562">
        <v>57</v>
      </c>
      <c r="C30" s="3562"/>
      <c r="D30" s="3562"/>
      <c r="E30" s="3562"/>
      <c r="F30" s="2044" t="s">
        <v>137</v>
      </c>
      <c r="G30" s="3562">
        <v>58</v>
      </c>
      <c r="H30" s="3562"/>
      <c r="I30" s="3562"/>
      <c r="J30" s="3562"/>
      <c r="K30" s="2044" t="s">
        <v>137</v>
      </c>
      <c r="L30" s="3562">
        <v>59</v>
      </c>
      <c r="M30" s="3562"/>
      <c r="N30" s="3562"/>
      <c r="O30" s="3562"/>
      <c r="P30" s="2044" t="s">
        <v>137</v>
      </c>
      <c r="Q30" s="3562">
        <v>60</v>
      </c>
      <c r="R30" s="3562"/>
      <c r="S30" s="3562"/>
      <c r="T30" s="3562"/>
      <c r="U30" s="2044" t="s">
        <v>137</v>
      </c>
      <c r="V30" s="3562">
        <v>61</v>
      </c>
      <c r="W30" s="3562"/>
      <c r="X30" s="3562"/>
      <c r="Y30" s="3562"/>
      <c r="Z30" s="2044" t="s">
        <v>137</v>
      </c>
      <c r="AA30" s="3562">
        <v>62</v>
      </c>
      <c r="AB30" s="3562"/>
      <c r="AC30" s="3562"/>
      <c r="AD30" s="3562"/>
      <c r="AE30" s="2044" t="s">
        <v>137</v>
      </c>
      <c r="AF30" s="3562">
        <v>63</v>
      </c>
      <c r="AG30" s="3562"/>
      <c r="AH30" s="3562"/>
      <c r="AI30" s="3562"/>
      <c r="AJ30" s="2044" t="s">
        <v>137</v>
      </c>
      <c r="AK30" s="3562">
        <v>64</v>
      </c>
      <c r="AL30" s="3562"/>
      <c r="AM30" s="3562"/>
      <c r="AN30" s="3562"/>
      <c r="AO30" s="2044" t="s">
        <v>137</v>
      </c>
      <c r="AP30" s="3562">
        <v>65</v>
      </c>
      <c r="AQ30" s="3562"/>
      <c r="AR30" s="3562"/>
      <c r="AS30" s="3562"/>
      <c r="AT30" s="2044" t="s">
        <v>137</v>
      </c>
      <c r="AU30" s="3562">
        <v>66</v>
      </c>
      <c r="AV30" s="3562"/>
      <c r="AW30" s="3562"/>
      <c r="AX30" s="3562"/>
      <c r="AY30" s="2044" t="s">
        <v>137</v>
      </c>
      <c r="AZ30" s="3562">
        <v>67</v>
      </c>
      <c r="BA30" s="3562"/>
      <c r="BB30" s="3562"/>
      <c r="BC30" s="3562"/>
      <c r="BD30" s="2044" t="s">
        <v>137</v>
      </c>
      <c r="BE30" s="3562">
        <v>68</v>
      </c>
      <c r="BF30" s="3562"/>
      <c r="BG30" s="3562"/>
      <c r="BH30" s="3562"/>
      <c r="BI30" s="2044" t="s">
        <v>137</v>
      </c>
      <c r="BJ30" s="3562">
        <v>69</v>
      </c>
      <c r="BK30" s="3562"/>
      <c r="BL30" s="3562"/>
      <c r="BM30" s="3562"/>
      <c r="BN30" s="2044" t="s">
        <v>137</v>
      </c>
      <c r="BO30" s="3562">
        <v>70</v>
      </c>
      <c r="BP30" s="3562"/>
      <c r="BQ30" s="3562"/>
      <c r="BR30" s="3562"/>
    </row>
    <row r="31" spans="1:83" ht="26.25" x14ac:dyDescent="0.25">
      <c r="A31" s="2044"/>
      <c r="B31" s="122">
        <v>1E-4</v>
      </c>
      <c r="C31" s="123" t="s">
        <v>113</v>
      </c>
      <c r="D31" s="124">
        <v>1</v>
      </c>
      <c r="E31" s="125" t="s">
        <v>114</v>
      </c>
      <c r="F31" s="2044"/>
      <c r="G31" s="122">
        <v>0.22800000000000001</v>
      </c>
      <c r="H31" s="123" t="s">
        <v>113</v>
      </c>
      <c r="I31" s="124"/>
      <c r="J31" s="125" t="s">
        <v>114</v>
      </c>
      <c r="K31" s="2044"/>
      <c r="L31" s="122">
        <v>1E-3</v>
      </c>
      <c r="M31" s="123" t="s">
        <v>113</v>
      </c>
      <c r="N31" s="124"/>
      <c r="O31" s="125" t="s">
        <v>114</v>
      </c>
      <c r="P31" s="2044"/>
      <c r="Q31" s="122">
        <v>1E-8</v>
      </c>
      <c r="R31" s="123" t="s">
        <v>113</v>
      </c>
      <c r="S31" s="124">
        <v>1</v>
      </c>
      <c r="T31" s="125" t="s">
        <v>114</v>
      </c>
      <c r="U31" s="2044"/>
      <c r="V31" s="122">
        <v>9.9999999999999995E-7</v>
      </c>
      <c r="W31" s="123" t="s">
        <v>113</v>
      </c>
      <c r="X31" s="124"/>
      <c r="Y31" s="125" t="s">
        <v>114</v>
      </c>
      <c r="Z31" s="2044"/>
      <c r="AA31" s="122">
        <v>1E-8</v>
      </c>
      <c r="AB31" s="123" t="s">
        <v>113</v>
      </c>
      <c r="AC31" s="124"/>
      <c r="AD31" s="125" t="s">
        <v>114</v>
      </c>
      <c r="AE31" s="2044"/>
      <c r="AF31" s="122">
        <v>9.9999999999999995E-8</v>
      </c>
      <c r="AG31" s="123" t="s">
        <v>113</v>
      </c>
      <c r="AH31" s="124">
        <v>1</v>
      </c>
      <c r="AI31" s="125" t="s">
        <v>114</v>
      </c>
      <c r="AJ31" s="2044"/>
      <c r="AK31" s="122">
        <v>1.0000000000000001E-9</v>
      </c>
      <c r="AL31" s="123" t="s">
        <v>113</v>
      </c>
      <c r="AM31" s="124"/>
      <c r="AN31" s="125" t="s">
        <v>114</v>
      </c>
      <c r="AO31" s="2044"/>
      <c r="AP31" s="122">
        <v>1E-10</v>
      </c>
      <c r="AQ31" s="123" t="s">
        <v>113</v>
      </c>
      <c r="AR31" s="124"/>
      <c r="AS31" s="125" t="s">
        <v>114</v>
      </c>
      <c r="AT31" s="2044"/>
      <c r="AU31" s="122">
        <v>0.48199999999999998</v>
      </c>
      <c r="AV31" s="123" t="s">
        <v>113</v>
      </c>
      <c r="AW31" s="124">
        <v>1</v>
      </c>
      <c r="AX31" s="125" t="s">
        <v>114</v>
      </c>
      <c r="AY31" s="2044"/>
      <c r="AZ31" s="122">
        <v>1E-13</v>
      </c>
      <c r="BA31" s="123" t="s">
        <v>113</v>
      </c>
      <c r="BB31" s="124"/>
      <c r="BC31" s="125" t="s">
        <v>114</v>
      </c>
      <c r="BD31" s="2044"/>
      <c r="BE31" s="122">
        <v>0.55800000000000005</v>
      </c>
      <c r="BF31" s="123" t="s">
        <v>113</v>
      </c>
      <c r="BG31" s="124"/>
      <c r="BH31" s="125" t="s">
        <v>114</v>
      </c>
      <c r="BI31" s="2044"/>
      <c r="BJ31" s="122">
        <v>0.22800000000000001</v>
      </c>
      <c r="BK31" s="123" t="s">
        <v>113</v>
      </c>
      <c r="BL31" s="124">
        <v>1</v>
      </c>
      <c r="BM31" s="125" t="s">
        <v>114</v>
      </c>
      <c r="BN31" s="2044"/>
      <c r="BO31" s="122">
        <v>0.17699999999999999</v>
      </c>
      <c r="BP31" s="123" t="s">
        <v>113</v>
      </c>
      <c r="BQ31" s="124"/>
      <c r="BR31" s="125" t="s">
        <v>114</v>
      </c>
      <c r="BW31" s="27"/>
      <c r="BX31" s="27"/>
      <c r="BY31" s="27"/>
      <c r="BZ31" s="27"/>
      <c r="CA31" s="27"/>
      <c r="CB31" s="27"/>
      <c r="CC31" s="27"/>
      <c r="CD31" s="27"/>
      <c r="CE31" s="27"/>
    </row>
    <row r="32" spans="1:83" ht="26.1" customHeight="1" x14ac:dyDescent="0.25">
      <c r="A32" s="30"/>
      <c r="B32" s="29"/>
      <c r="C32" s="28"/>
      <c r="D32" s="28"/>
      <c r="E32" s="28"/>
      <c r="F32" s="30"/>
      <c r="G32" s="29"/>
      <c r="H32" s="28"/>
      <c r="I32" s="28"/>
      <c r="J32" s="28"/>
      <c r="K32" s="30"/>
      <c r="L32" s="29"/>
      <c r="M32" s="28"/>
      <c r="N32" s="28"/>
      <c r="O32" s="28"/>
      <c r="P32" s="30"/>
      <c r="Q32" s="29"/>
      <c r="R32" s="28"/>
      <c r="S32" s="28"/>
      <c r="T32" s="28"/>
      <c r="U32" s="36"/>
      <c r="V32" s="29"/>
      <c r="W32" s="29"/>
      <c r="X32" s="36"/>
      <c r="Y32" s="36"/>
      <c r="Z32" s="36"/>
      <c r="AA32" s="29"/>
      <c r="AB32" s="29"/>
      <c r="AC32" s="36"/>
      <c r="AD32" s="36"/>
      <c r="AE32" s="36"/>
      <c r="AF32" s="29"/>
      <c r="AG32" s="29"/>
      <c r="AH32" s="36"/>
      <c r="AI32" s="36"/>
      <c r="AJ32" s="36"/>
      <c r="AK32" s="29"/>
      <c r="AL32" s="29"/>
      <c r="AM32" s="36"/>
      <c r="AN32" s="36"/>
      <c r="AO32" s="36"/>
      <c r="AP32" s="29"/>
      <c r="AQ32" s="29"/>
      <c r="AR32" s="36"/>
      <c r="AS32" s="36"/>
      <c r="AT32" s="36"/>
      <c r="AU32" s="29"/>
      <c r="AV32" s="29"/>
      <c r="AW32" s="36"/>
      <c r="AX32" s="36"/>
      <c r="AY32" s="36"/>
      <c r="AZ32" s="29"/>
      <c r="BA32" s="29"/>
      <c r="BB32" s="36"/>
      <c r="BC32" s="36"/>
      <c r="BD32" s="36"/>
      <c r="BE32" s="36"/>
      <c r="BF32" s="29"/>
      <c r="BG32" s="29"/>
      <c r="BH32" s="36"/>
      <c r="BI32" s="36"/>
      <c r="BJ32" s="36"/>
      <c r="BK32" s="29"/>
      <c r="BL32" s="29"/>
      <c r="BM32" s="36"/>
      <c r="BN32" s="36"/>
      <c r="BO32" s="36"/>
      <c r="BP32" s="29"/>
      <c r="BQ32" s="29"/>
      <c r="BR32" s="36"/>
    </row>
    <row r="33" spans="1:83" ht="6.75" customHeight="1" x14ac:dyDescent="0.25">
      <c r="A33" s="29"/>
      <c r="B33" s="29"/>
      <c r="C33" s="28"/>
      <c r="D33" s="28"/>
      <c r="E33" s="28"/>
      <c r="F33" s="29"/>
      <c r="G33" s="29"/>
      <c r="H33" s="28"/>
      <c r="I33" s="28"/>
      <c r="J33" s="28"/>
      <c r="K33" s="29"/>
      <c r="L33" s="29"/>
      <c r="M33" s="28"/>
      <c r="N33" s="28"/>
      <c r="O33" s="28"/>
      <c r="P33" s="29"/>
      <c r="Q33" s="29"/>
      <c r="R33" s="28"/>
      <c r="S33" s="28"/>
      <c r="T33" s="28"/>
      <c r="U33" s="28"/>
      <c r="V33" s="29"/>
      <c r="W33" s="29"/>
      <c r="X33" s="28"/>
      <c r="Y33" s="28"/>
      <c r="Z33" s="28"/>
      <c r="AA33" s="29"/>
      <c r="AB33" s="29"/>
      <c r="AC33" s="28"/>
      <c r="AD33" s="28"/>
      <c r="AE33" s="28"/>
      <c r="AF33" s="29"/>
      <c r="AG33" s="29"/>
      <c r="AH33" s="28"/>
      <c r="AI33" s="28"/>
      <c r="AJ33" s="28"/>
      <c r="AK33" s="29"/>
      <c r="AL33" s="29"/>
      <c r="AM33" s="28"/>
      <c r="AN33" s="28"/>
      <c r="AO33" s="28"/>
      <c r="AP33" s="29"/>
      <c r="AQ33" s="29"/>
      <c r="AR33" s="28"/>
      <c r="AS33" s="28"/>
      <c r="AT33" s="28"/>
      <c r="AU33" s="29"/>
      <c r="AV33" s="29"/>
      <c r="AW33" s="28"/>
      <c r="AX33" s="28"/>
      <c r="AY33" s="28"/>
      <c r="AZ33" s="29"/>
      <c r="BA33" s="29"/>
      <c r="BB33" s="28"/>
      <c r="BC33" s="28"/>
      <c r="BD33" s="28"/>
      <c r="BE33" s="28"/>
      <c r="BF33" s="29"/>
      <c r="BG33" s="29"/>
      <c r="BH33" s="28"/>
      <c r="BI33" s="28"/>
      <c r="BJ33" s="28"/>
      <c r="BK33" s="29"/>
      <c r="BL33" s="29"/>
      <c r="BM33" s="28"/>
      <c r="BN33" s="28"/>
      <c r="BO33" s="28"/>
      <c r="BP33" s="29"/>
      <c r="BQ33" s="29"/>
      <c r="BR33" s="28"/>
    </row>
    <row r="34" spans="1:83" ht="21.95" customHeight="1" x14ac:dyDescent="0.25">
      <c r="A34" s="121"/>
      <c r="B34" s="121"/>
      <c r="C34" s="31"/>
      <c r="D34" s="121"/>
      <c r="E34" s="121"/>
      <c r="F34" s="121"/>
      <c r="G34" s="121"/>
      <c r="H34" s="31"/>
      <c r="I34" s="121"/>
      <c r="J34" s="121"/>
      <c r="K34" s="121"/>
      <c r="L34" s="121"/>
      <c r="M34" s="31"/>
      <c r="N34" s="121"/>
      <c r="O34" s="121"/>
      <c r="P34" s="121"/>
      <c r="R34" s="31"/>
      <c r="S34" s="121"/>
      <c r="T34" s="121"/>
      <c r="U34" s="28"/>
      <c r="V34" s="30"/>
      <c r="W34" s="29"/>
      <c r="X34" s="28"/>
      <c r="Y34" s="28"/>
      <c r="Z34" s="28"/>
      <c r="AA34" s="30"/>
      <c r="AB34" s="29"/>
      <c r="AC34" s="28"/>
      <c r="AD34" s="28"/>
      <c r="AE34" s="28"/>
      <c r="AF34" s="30"/>
      <c r="AG34" s="29"/>
      <c r="AH34" s="28"/>
      <c r="AI34" s="28"/>
      <c r="AJ34" s="28"/>
      <c r="AK34" s="30"/>
      <c r="AL34" s="29"/>
      <c r="AM34" s="28"/>
      <c r="AN34" s="28"/>
      <c r="AO34" s="28"/>
      <c r="AP34" s="30"/>
      <c r="AQ34" s="29"/>
      <c r="AR34" s="28"/>
      <c r="AS34" s="28"/>
      <c r="AT34" s="28"/>
      <c r="AU34" s="30"/>
      <c r="AV34" s="29"/>
      <c r="AW34" s="28"/>
      <c r="AX34" s="28"/>
      <c r="AY34" s="28"/>
      <c r="AZ34" s="30"/>
      <c r="BA34" s="29"/>
      <c r="BB34" s="28"/>
      <c r="BC34" s="28"/>
      <c r="BD34" s="28"/>
      <c r="BE34" s="28"/>
      <c r="BF34" s="30"/>
      <c r="BG34" s="29"/>
      <c r="BH34" s="28"/>
      <c r="BI34" s="28"/>
      <c r="BJ34" s="28"/>
      <c r="BK34" s="30"/>
      <c r="BL34" s="29"/>
      <c r="BM34" s="28"/>
      <c r="BN34" s="28"/>
      <c r="BO34" s="28"/>
      <c r="BP34" s="30"/>
      <c r="BQ34" s="29"/>
      <c r="BR34" s="28"/>
    </row>
    <row r="35" spans="1:83" ht="6" customHeight="1" x14ac:dyDescent="0.25">
      <c r="A35" s="35"/>
      <c r="B35" s="31"/>
      <c r="C35" s="32"/>
      <c r="D35" s="33"/>
      <c r="E35" s="34"/>
      <c r="F35" s="35"/>
      <c r="G35" s="31"/>
      <c r="H35" s="32"/>
      <c r="I35" s="33"/>
      <c r="J35" s="34"/>
      <c r="K35" s="35"/>
      <c r="L35" s="31"/>
      <c r="M35" s="32"/>
      <c r="N35" s="33"/>
      <c r="O35" s="34"/>
      <c r="P35" s="35"/>
      <c r="Q35" s="121"/>
      <c r="R35" s="32"/>
      <c r="S35" s="33"/>
      <c r="T35" s="34"/>
      <c r="U35" s="28"/>
      <c r="V35" s="697" t="s">
        <v>116</v>
      </c>
      <c r="W35" s="697"/>
      <c r="X35" s="697"/>
      <c r="Y35" s="697"/>
      <c r="Z35" s="697"/>
      <c r="AA35" s="697"/>
      <c r="AB35" s="697"/>
      <c r="AC35" s="697"/>
      <c r="AD35" s="697"/>
      <c r="AE35" s="697"/>
      <c r="AF35" s="697"/>
      <c r="AG35" s="697"/>
      <c r="AH35" s="697" t="s">
        <v>117</v>
      </c>
      <c r="AI35" s="697"/>
      <c r="AJ35" s="697"/>
      <c r="AK35" s="697"/>
      <c r="AL35" s="697"/>
      <c r="AM35" s="697"/>
      <c r="AN35" s="697"/>
      <c r="AO35" s="697"/>
      <c r="AP35" s="697"/>
      <c r="AQ35" s="697"/>
      <c r="AR35" s="697"/>
      <c r="AS35" s="698" t="s">
        <v>118</v>
      </c>
      <c r="AT35" s="698"/>
      <c r="AU35" s="698"/>
      <c r="AV35" s="698"/>
      <c r="AW35" s="698"/>
      <c r="AX35" s="698"/>
      <c r="AY35" s="698"/>
      <c r="AZ35" s="698"/>
      <c r="BA35" s="698"/>
      <c r="BB35" s="698"/>
      <c r="BC35" s="698"/>
      <c r="BD35" s="698"/>
      <c r="BE35" s="699" t="s">
        <v>119</v>
      </c>
      <c r="BF35" s="699"/>
      <c r="BG35" s="699"/>
      <c r="BH35" s="699"/>
      <c r="BI35" s="699"/>
      <c r="BJ35" s="1802">
        <f>D7+I7+N7+S7+X7+AC7+AH7+AM7+AR7+AW7+BB7+BG7+BL7+BQ7+D13+I13+N13+S13+X13+AC13+AH13+AM13+AR13+AW13+BB13+BG13+BL13+BQ13+D19+I19+N19+S19+X19+AC19+AH19+AM19+AR19+AW19+BB19+BG19+BL19+BQ19+D25+I25+N25+S25+X25+AC25+AH25+AM25+AR25+AW25+BB25+BG25+BL25+BQ25+D31+I31+N31+S31+X31+AC31+AH31+AM31+AR31+AW31+BB31+BG31+BL31+BQ31</f>
        <v>22</v>
      </c>
      <c r="BK35" s="1802"/>
      <c r="BL35" s="1802"/>
      <c r="BM35" s="1802"/>
      <c r="BN35" s="701" t="s">
        <v>120</v>
      </c>
      <c r="BO35" s="701"/>
      <c r="BP35" s="701"/>
      <c r="BQ35" s="29"/>
      <c r="BR35" s="28"/>
    </row>
    <row r="36" spans="1:83" s="22" customFormat="1" ht="80.099999999999994" customHeight="1" x14ac:dyDescent="1.35">
      <c r="A36" s="35"/>
      <c r="B36" s="31"/>
      <c r="C36" s="32"/>
      <c r="D36" s="33"/>
      <c r="E36" s="34"/>
      <c r="F36" s="35"/>
      <c r="G36" s="31"/>
      <c r="H36" s="32"/>
      <c r="I36" s="33"/>
      <c r="J36" s="34"/>
      <c r="K36" s="35"/>
      <c r="L36" s="31"/>
      <c r="M36" s="32"/>
      <c r="N36" s="33"/>
      <c r="O36" s="34"/>
      <c r="P36" s="35"/>
      <c r="Q36" s="31"/>
      <c r="R36" s="32"/>
      <c r="S36" s="33"/>
      <c r="T36" s="34"/>
      <c r="U36" s="121"/>
      <c r="V36" s="697"/>
      <c r="W36" s="697"/>
      <c r="X36" s="697"/>
      <c r="Y36" s="697"/>
      <c r="Z36" s="697"/>
      <c r="AA36" s="697"/>
      <c r="AB36" s="697"/>
      <c r="AC36" s="697"/>
      <c r="AD36" s="697"/>
      <c r="AE36" s="697"/>
      <c r="AF36" s="697"/>
      <c r="AG36" s="697"/>
      <c r="AH36" s="697"/>
      <c r="AI36" s="697"/>
      <c r="AJ36" s="697"/>
      <c r="AK36" s="697"/>
      <c r="AL36" s="697"/>
      <c r="AM36" s="697"/>
      <c r="AN36" s="697"/>
      <c r="AO36" s="697"/>
      <c r="AP36" s="697"/>
      <c r="AQ36" s="697"/>
      <c r="AR36" s="697"/>
      <c r="AS36" s="698"/>
      <c r="AT36" s="698"/>
      <c r="AU36" s="698"/>
      <c r="AV36" s="698"/>
      <c r="AW36" s="698"/>
      <c r="AX36" s="698"/>
      <c r="AY36" s="698"/>
      <c r="AZ36" s="698"/>
      <c r="BA36" s="698"/>
      <c r="BB36" s="698"/>
      <c r="BC36" s="698"/>
      <c r="BD36" s="698"/>
      <c r="BE36" s="699"/>
      <c r="BF36" s="699"/>
      <c r="BG36" s="699"/>
      <c r="BH36" s="699"/>
      <c r="BI36" s="699"/>
      <c r="BJ36" s="1802"/>
      <c r="BK36" s="1802"/>
      <c r="BL36" s="1802"/>
      <c r="BM36" s="1802"/>
      <c r="BN36" s="701"/>
      <c r="BO36" s="701"/>
      <c r="BP36" s="701"/>
      <c r="BQ36" s="121"/>
      <c r="BR36" s="31"/>
    </row>
    <row r="37" spans="1:83" ht="26.25" customHeight="1" x14ac:dyDescent="0.25">
      <c r="A37" s="34"/>
      <c r="B37" s="35"/>
      <c r="C37" s="31"/>
      <c r="D37" s="32"/>
      <c r="E37" s="33"/>
      <c r="F37" s="34"/>
      <c r="G37" s="34"/>
      <c r="H37" s="35"/>
      <c r="I37" s="31"/>
      <c r="J37" s="32"/>
      <c r="K37" s="33"/>
      <c r="L37" s="34"/>
      <c r="M37" s="34"/>
      <c r="N37" s="35"/>
      <c r="O37" s="31"/>
      <c r="P37" s="32"/>
      <c r="Q37" s="33"/>
      <c r="R37" s="34"/>
      <c r="S37" s="34"/>
      <c r="T37" s="35"/>
      <c r="U37" s="31"/>
      <c r="V37" s="697"/>
      <c r="W37" s="697"/>
      <c r="X37" s="697"/>
      <c r="Y37" s="697"/>
      <c r="Z37" s="697"/>
      <c r="AA37" s="697"/>
      <c r="AB37" s="697"/>
      <c r="AC37" s="697"/>
      <c r="AD37" s="697"/>
      <c r="AE37" s="697"/>
      <c r="AF37" s="697"/>
      <c r="AG37" s="697"/>
      <c r="AH37" s="697"/>
      <c r="AI37" s="697"/>
      <c r="AJ37" s="697"/>
      <c r="AK37" s="697"/>
      <c r="AL37" s="697"/>
      <c r="AM37" s="697"/>
      <c r="AN37" s="697"/>
      <c r="AO37" s="697"/>
      <c r="AP37" s="697"/>
      <c r="AQ37" s="697"/>
      <c r="AR37" s="697"/>
      <c r="AS37" s="698"/>
      <c r="AT37" s="698"/>
      <c r="AU37" s="698"/>
      <c r="AV37" s="698"/>
      <c r="AW37" s="698"/>
      <c r="AX37" s="698"/>
      <c r="AY37" s="698"/>
      <c r="AZ37" s="698"/>
      <c r="BA37" s="698"/>
      <c r="BB37" s="698"/>
      <c r="BC37" s="698"/>
      <c r="BD37" s="698"/>
      <c r="BE37" s="699"/>
      <c r="BF37" s="699"/>
      <c r="BG37" s="699"/>
      <c r="BH37" s="699"/>
      <c r="BI37" s="699"/>
      <c r="BJ37" s="1802"/>
      <c r="BK37" s="1802"/>
      <c r="BL37" s="1802"/>
      <c r="BM37" s="1802"/>
      <c r="BN37" s="701"/>
      <c r="BO37" s="701"/>
      <c r="BP37" s="701"/>
      <c r="BQ37" s="32"/>
      <c r="BR37" s="33"/>
      <c r="BW37" s="27"/>
      <c r="BX37" s="27"/>
      <c r="BY37" s="27"/>
      <c r="BZ37" s="27"/>
      <c r="CA37" s="27"/>
      <c r="CB37" s="27"/>
      <c r="CC37" s="27"/>
      <c r="CD37" s="27"/>
      <c r="CE37" s="27"/>
    </row>
    <row r="38" spans="1:83" ht="26.1" customHeight="1" x14ac:dyDescent="0.25">
      <c r="A38" s="34"/>
      <c r="B38" s="35"/>
      <c r="C38" s="31"/>
      <c r="D38" s="32"/>
      <c r="E38" s="33"/>
      <c r="F38" s="34"/>
      <c r="G38" s="34"/>
      <c r="H38" s="35"/>
      <c r="I38" s="31"/>
      <c r="J38" s="32"/>
      <c r="K38" s="33"/>
      <c r="L38" s="34"/>
      <c r="M38" s="34"/>
      <c r="N38" s="35"/>
      <c r="O38" s="31"/>
      <c r="P38" s="32"/>
      <c r="Q38" s="33"/>
      <c r="R38" s="34"/>
      <c r="S38" s="34"/>
      <c r="T38" s="35"/>
      <c r="U38" s="31"/>
      <c r="V38" s="697"/>
      <c r="W38" s="697"/>
      <c r="X38" s="697"/>
      <c r="Y38" s="697"/>
      <c r="Z38" s="697"/>
      <c r="AA38" s="697"/>
      <c r="AB38" s="697"/>
      <c r="AC38" s="697"/>
      <c r="AD38" s="697"/>
      <c r="AE38" s="697"/>
      <c r="AF38" s="697"/>
      <c r="AG38" s="697"/>
      <c r="AH38" s="697"/>
      <c r="AI38" s="697"/>
      <c r="AJ38" s="697"/>
      <c r="AK38" s="697"/>
      <c r="AL38" s="697"/>
      <c r="AM38" s="697"/>
      <c r="AN38" s="697"/>
      <c r="AO38" s="697"/>
      <c r="AP38" s="697"/>
      <c r="AQ38" s="697"/>
      <c r="AR38" s="697"/>
      <c r="AS38" s="698"/>
      <c r="AT38" s="698"/>
      <c r="AU38" s="698"/>
      <c r="AV38" s="698"/>
      <c r="AW38" s="698"/>
      <c r="AX38" s="698"/>
      <c r="AY38" s="698"/>
      <c r="AZ38" s="698"/>
      <c r="BA38" s="698"/>
      <c r="BB38" s="698"/>
      <c r="BC38" s="698"/>
      <c r="BD38" s="698"/>
      <c r="BE38" s="699"/>
      <c r="BF38" s="699"/>
      <c r="BG38" s="699"/>
      <c r="BH38" s="699"/>
      <c r="BI38" s="699"/>
      <c r="BJ38" s="1802"/>
      <c r="BK38" s="1802"/>
      <c r="BL38" s="1802"/>
      <c r="BM38" s="1802"/>
      <c r="BN38" s="701"/>
      <c r="BO38" s="701"/>
      <c r="BP38" s="701"/>
      <c r="BQ38" s="32"/>
      <c r="BR38" s="33"/>
    </row>
    <row r="39" spans="1:83" ht="6.75" customHeight="1" x14ac:dyDescent="0.25">
      <c r="A39" s="28"/>
      <c r="B39" s="28"/>
      <c r="C39" s="28"/>
      <c r="D39" s="29"/>
      <c r="E39" s="29"/>
      <c r="F39" s="28"/>
      <c r="G39" s="28"/>
      <c r="H39" s="28"/>
      <c r="I39" s="29"/>
      <c r="J39" s="29"/>
      <c r="K39" s="28"/>
      <c r="L39" s="28"/>
      <c r="M39" s="28"/>
      <c r="N39" s="29"/>
      <c r="O39" s="29"/>
      <c r="P39" s="28"/>
      <c r="Q39" s="28"/>
      <c r="R39" s="28"/>
      <c r="S39" s="29"/>
      <c r="T39" s="29"/>
      <c r="U39" s="28"/>
      <c r="V39" s="704"/>
      <c r="W39" s="704"/>
      <c r="X39" s="704"/>
      <c r="Y39" s="704"/>
      <c r="Z39" s="704"/>
      <c r="AA39" s="704"/>
      <c r="AB39" s="704"/>
      <c r="AC39" s="704"/>
      <c r="AD39" s="704"/>
      <c r="AE39" s="704"/>
      <c r="AF39" s="704"/>
      <c r="AG39" s="704"/>
      <c r="AH39" s="706">
        <f>AS39-AD75</f>
        <v>1.2011211000952926E-3</v>
      </c>
      <c r="AI39" s="706"/>
      <c r="AJ39" s="706"/>
      <c r="AK39" s="706"/>
      <c r="AL39" s="706"/>
      <c r="AM39" s="706"/>
      <c r="AN39" s="706"/>
      <c r="AO39" s="706"/>
      <c r="AP39" s="706"/>
      <c r="AQ39" s="706"/>
      <c r="AR39" s="706"/>
      <c r="AS39" s="707">
        <f>B7+G7+L7+Q7+V7+AA7+AF7+AK7+AP7+AU7+AZ7+BE7+BJ7+BO7+B13+G13+L13+Q13+V13+AA13+AF13+AK13+AP13+AU13+AZ13+BE13+BJ13+BO13+B19+G19+L19+Q19+V19+AA19+AF19+AK19+AP19+AU19+AZ19+BE19+BJ19+BO19+B25+G25+L25+Q25+V25+AA25+AF25+AK25+AP25+AU25+AZ25+BE25+BJ25+BO25+B31+G31+L31+Q31+V31+AA31+AF31+AK31+AP31+AU31+AZ31+BE31+BJ31+BO31</f>
        <v>18.771201121100095</v>
      </c>
      <c r="AT39" s="707"/>
      <c r="AU39" s="707"/>
      <c r="AV39" s="707"/>
      <c r="AW39" s="707"/>
      <c r="AX39" s="707"/>
      <c r="AY39" s="707"/>
      <c r="AZ39" s="707"/>
      <c r="BA39" s="707"/>
      <c r="BB39" s="707"/>
      <c r="BC39" s="707"/>
      <c r="BD39" s="707"/>
      <c r="BE39" s="699"/>
      <c r="BF39" s="699"/>
      <c r="BG39" s="699"/>
      <c r="BH39" s="699"/>
      <c r="BI39" s="699"/>
      <c r="BJ39" s="1802"/>
      <c r="BK39" s="1802"/>
      <c r="BL39" s="1802"/>
      <c r="BM39" s="1802"/>
      <c r="BN39" s="701"/>
      <c r="BO39" s="701"/>
      <c r="BP39" s="701"/>
      <c r="BQ39" s="29"/>
      <c r="BR39" s="29"/>
    </row>
    <row r="40" spans="1:83" ht="21.95" customHeight="1" x14ac:dyDescent="0.25">
      <c r="A40" s="28"/>
      <c r="B40" s="28"/>
      <c r="C40" s="28"/>
      <c r="D40" s="30"/>
      <c r="E40" s="29"/>
      <c r="F40" s="28"/>
      <c r="G40" s="28"/>
      <c r="H40" s="28"/>
      <c r="I40" s="30"/>
      <c r="J40" s="29"/>
      <c r="K40" s="28"/>
      <c r="L40" s="28"/>
      <c r="M40" s="28"/>
      <c r="N40" s="30"/>
      <c r="O40" s="29"/>
      <c r="P40" s="28"/>
      <c r="Q40" s="28"/>
      <c r="R40" s="28"/>
      <c r="S40" s="30"/>
      <c r="T40" s="29"/>
      <c r="U40" s="28"/>
      <c r="V40" s="704"/>
      <c r="W40" s="704"/>
      <c r="X40" s="704"/>
      <c r="Y40" s="704"/>
      <c r="Z40" s="704"/>
      <c r="AA40" s="704"/>
      <c r="AB40" s="704"/>
      <c r="AC40" s="704"/>
      <c r="AD40" s="704"/>
      <c r="AE40" s="704"/>
      <c r="AF40" s="704"/>
      <c r="AG40" s="704"/>
      <c r="AH40" s="706"/>
      <c r="AI40" s="706"/>
      <c r="AJ40" s="706"/>
      <c r="AK40" s="706"/>
      <c r="AL40" s="706"/>
      <c r="AM40" s="706"/>
      <c r="AN40" s="706"/>
      <c r="AO40" s="706"/>
      <c r="AP40" s="706"/>
      <c r="AQ40" s="706"/>
      <c r="AR40" s="706"/>
      <c r="AS40" s="707"/>
      <c r="AT40" s="707"/>
      <c r="AU40" s="707"/>
      <c r="AV40" s="707"/>
      <c r="AW40" s="707"/>
      <c r="AX40" s="707"/>
      <c r="AY40" s="707"/>
      <c r="AZ40" s="707"/>
      <c r="BA40" s="707"/>
      <c r="BB40" s="707"/>
      <c r="BC40" s="707"/>
      <c r="BD40" s="707"/>
      <c r="BE40" s="699"/>
      <c r="BF40" s="699"/>
      <c r="BG40" s="699"/>
      <c r="BH40" s="699"/>
      <c r="BI40" s="699"/>
      <c r="BJ40" s="1802"/>
      <c r="BK40" s="1802"/>
      <c r="BL40" s="1802"/>
      <c r="BM40" s="1802"/>
      <c r="BN40" s="701"/>
      <c r="BO40" s="701"/>
      <c r="BP40" s="701"/>
      <c r="BQ40" s="30"/>
      <c r="BR40" s="29"/>
    </row>
    <row r="41" spans="1:83" ht="6" customHeight="1" x14ac:dyDescent="0.25">
      <c r="A41" s="28"/>
      <c r="B41" s="28"/>
      <c r="C41" s="28"/>
      <c r="D41" s="29"/>
      <c r="E41" s="29"/>
      <c r="F41" s="28"/>
      <c r="G41" s="28"/>
      <c r="H41" s="28"/>
      <c r="I41" s="29"/>
      <c r="J41" s="29"/>
      <c r="K41" s="28"/>
      <c r="L41" s="28"/>
      <c r="M41" s="28"/>
      <c r="N41" s="29"/>
      <c r="O41" s="29"/>
      <c r="P41" s="28"/>
      <c r="Q41" s="28"/>
      <c r="R41" s="28"/>
      <c r="S41" s="29"/>
      <c r="T41" s="29"/>
      <c r="U41" s="28"/>
      <c r="V41" s="704"/>
      <c r="W41" s="704"/>
      <c r="X41" s="704"/>
      <c r="Y41" s="704"/>
      <c r="Z41" s="704"/>
      <c r="AA41" s="704"/>
      <c r="AB41" s="704"/>
      <c r="AC41" s="704"/>
      <c r="AD41" s="704"/>
      <c r="AE41" s="704"/>
      <c r="AF41" s="704"/>
      <c r="AG41" s="704"/>
      <c r="AH41" s="706"/>
      <c r="AI41" s="706"/>
      <c r="AJ41" s="706"/>
      <c r="AK41" s="706"/>
      <c r="AL41" s="706"/>
      <c r="AM41" s="706"/>
      <c r="AN41" s="706"/>
      <c r="AO41" s="706"/>
      <c r="AP41" s="706"/>
      <c r="AQ41" s="706"/>
      <c r="AR41" s="706"/>
      <c r="AS41" s="707"/>
      <c r="AT41" s="707"/>
      <c r="AU41" s="707"/>
      <c r="AV41" s="707"/>
      <c r="AW41" s="707"/>
      <c r="AX41" s="707"/>
      <c r="AY41" s="707"/>
      <c r="AZ41" s="707"/>
      <c r="BA41" s="707"/>
      <c r="BB41" s="707"/>
      <c r="BC41" s="707"/>
      <c r="BD41" s="707"/>
      <c r="BE41" s="699"/>
      <c r="BF41" s="699"/>
      <c r="BG41" s="699"/>
      <c r="BH41" s="699"/>
      <c r="BI41" s="699"/>
      <c r="BJ41" s="708">
        <f>BJ35*1.5</f>
        <v>33</v>
      </c>
      <c r="BK41" s="708"/>
      <c r="BL41" s="708"/>
      <c r="BM41" s="708"/>
      <c r="BN41" s="708"/>
      <c r="BO41" s="708"/>
      <c r="BP41" s="708"/>
      <c r="BQ41" s="29"/>
      <c r="BR41" s="29"/>
    </row>
    <row r="42" spans="1:83" s="22" customFormat="1" ht="80.099999999999994" customHeight="1" x14ac:dyDescent="1.35">
      <c r="A42" s="31"/>
      <c r="B42" s="121"/>
      <c r="C42" s="121"/>
      <c r="D42" s="121"/>
      <c r="E42" s="121"/>
      <c r="F42" s="702" cm="1">
        <f t="array" aca="1" ref="F42" ca="1">SUM(COUNTIF(INDIRECT({"B6","G6","L6","Q6","V6","AA6","AF6","AK6","AP6","AU6","AZ6","BE6","BJ6","BO6","B12","G12","L12","Q12","V12","AA12","AF12","AK12","AP12","AU12","AZ12","BE12","BJ12","BO12","B18","G18","L18","Q18","V18","AA18","AF18","AK18","AP18","AU18","AZ18","BE18","BJ18","BO18","B24","G24","L24","Q24","V24","AA24","AF24","AK24","AP24","AU24","AZ24","BE24","BJ24","BO24","B30","G30","L30","Q30","V30","AA30","AF30","AK30","AP30","AU30","AZ30","BE30","BJ30","BO30"}),"&gt;0"))</f>
        <v>70</v>
      </c>
      <c r="G42" s="702"/>
      <c r="H42" s="121"/>
      <c r="I42" s="121"/>
      <c r="J42" s="121"/>
      <c r="K42" s="31"/>
      <c r="L42" s="121"/>
      <c r="M42" s="121"/>
      <c r="N42" s="121"/>
      <c r="O42" s="121"/>
      <c r="P42" s="31"/>
      <c r="Q42" s="121"/>
      <c r="R42" s="121"/>
      <c r="S42" s="121"/>
      <c r="T42" s="121"/>
      <c r="U42" s="31"/>
      <c r="V42" s="704"/>
      <c r="W42" s="704"/>
      <c r="X42" s="704"/>
      <c r="Y42" s="704"/>
      <c r="Z42" s="704"/>
      <c r="AA42" s="704"/>
      <c r="AB42" s="704"/>
      <c r="AC42" s="704"/>
      <c r="AD42" s="704"/>
      <c r="AE42" s="704"/>
      <c r="AF42" s="704"/>
      <c r="AG42" s="704"/>
      <c r="AH42" s="706"/>
      <c r="AI42" s="706"/>
      <c r="AJ42" s="706"/>
      <c r="AK42" s="706"/>
      <c r="AL42" s="706"/>
      <c r="AM42" s="706"/>
      <c r="AN42" s="706"/>
      <c r="AO42" s="706"/>
      <c r="AP42" s="706"/>
      <c r="AQ42" s="706"/>
      <c r="AR42" s="706"/>
      <c r="AS42" s="707"/>
      <c r="AT42" s="707"/>
      <c r="AU42" s="707"/>
      <c r="AV42" s="707"/>
      <c r="AW42" s="707"/>
      <c r="AX42" s="707"/>
      <c r="AY42" s="707"/>
      <c r="AZ42" s="707"/>
      <c r="BA42" s="707"/>
      <c r="BB42" s="707"/>
      <c r="BC42" s="707"/>
      <c r="BD42" s="707"/>
      <c r="BE42" s="699"/>
      <c r="BF42" s="699"/>
      <c r="BG42" s="699"/>
      <c r="BH42" s="699"/>
      <c r="BI42" s="699"/>
      <c r="BJ42" s="708"/>
      <c r="BK42" s="708"/>
      <c r="BL42" s="708"/>
      <c r="BM42" s="708"/>
      <c r="BN42" s="708"/>
      <c r="BO42" s="708"/>
      <c r="BP42" s="708"/>
      <c r="BQ42" s="121"/>
      <c r="BR42" s="121"/>
    </row>
    <row r="43" spans="1:83" ht="26.25" customHeight="1" x14ac:dyDescent="0.25">
      <c r="A43" s="34"/>
      <c r="B43" s="35"/>
      <c r="C43" s="31"/>
      <c r="D43" s="32"/>
      <c r="E43" s="33"/>
      <c r="F43" s="703" cm="1">
        <f t="array" aca="1" ref="F43" ca="1">SUM(COUNTIF(INDIRECT({"B7","G7","L7","Q7","V7","AA7","AF7","AK7","AP7","AU7","AZ7","BE7","BJ7","BO7","B13","G13","L13","Q13","V13","AA13","AF13","AK13","AP13","AU13","AZ13","BE13","BJ13","BO13","B19","G19","L19","Q19","V19","AA19","AF19","AK19","AP19","AU19","AZ19","BE19","BJ19","BO19","B25","G25","L25","Q25","V25","AA25","AF25","AK25","AP25","AU25","AZ25","BE25","BJ25","BO25","B31","G31","L31","Q31","V31","AA31","AF31","AK31","AP31","AU31","AZ31","BE31","BJ31","BO31"}),"&gt;0"))</f>
        <v>70</v>
      </c>
      <c r="G43" s="703"/>
      <c r="H43" s="31"/>
      <c r="I43" s="32"/>
      <c r="J43" s="33"/>
      <c r="K43" s="34"/>
      <c r="L43" s="35"/>
      <c r="M43" s="31"/>
      <c r="N43" s="32"/>
      <c r="O43" s="33"/>
      <c r="P43" s="34"/>
      <c r="Q43" s="35"/>
      <c r="R43" s="31"/>
      <c r="S43" s="32"/>
      <c r="T43" s="33"/>
      <c r="U43" s="34"/>
      <c r="V43" s="704"/>
      <c r="W43" s="704"/>
      <c r="X43" s="704"/>
      <c r="Y43" s="704"/>
      <c r="Z43" s="704"/>
      <c r="AA43" s="704"/>
      <c r="AB43" s="704"/>
      <c r="AC43" s="704"/>
      <c r="AD43" s="704"/>
      <c r="AE43" s="704"/>
      <c r="AF43" s="704"/>
      <c r="AG43" s="704"/>
      <c r="AH43" s="706"/>
      <c r="AI43" s="706"/>
      <c r="AJ43" s="706"/>
      <c r="AK43" s="706"/>
      <c r="AL43" s="706"/>
      <c r="AM43" s="706"/>
      <c r="AN43" s="706"/>
      <c r="AO43" s="706"/>
      <c r="AP43" s="706"/>
      <c r="AQ43" s="706"/>
      <c r="AR43" s="706"/>
      <c r="AS43" s="707"/>
      <c r="AT43" s="707"/>
      <c r="AU43" s="707"/>
      <c r="AV43" s="707"/>
      <c r="AW43" s="707"/>
      <c r="AX43" s="707"/>
      <c r="AY43" s="707"/>
      <c r="AZ43" s="707"/>
      <c r="BA43" s="707"/>
      <c r="BB43" s="707"/>
      <c r="BC43" s="707"/>
      <c r="BD43" s="707"/>
      <c r="BE43" s="699"/>
      <c r="BF43" s="699"/>
      <c r="BG43" s="699"/>
      <c r="BH43" s="699"/>
      <c r="BI43" s="699"/>
      <c r="BJ43" s="708"/>
      <c r="BK43" s="708"/>
      <c r="BL43" s="708"/>
      <c r="BM43" s="708"/>
      <c r="BN43" s="708"/>
      <c r="BO43" s="708"/>
      <c r="BP43" s="708"/>
      <c r="BQ43" s="31"/>
      <c r="BR43" s="32"/>
      <c r="BW43" s="27"/>
      <c r="BX43" s="27"/>
      <c r="BY43" s="27"/>
      <c r="BZ43" s="27"/>
      <c r="CA43" s="27"/>
      <c r="CB43" s="27"/>
      <c r="CC43" s="27"/>
      <c r="CD43" s="27"/>
      <c r="CE43" s="27"/>
    </row>
    <row r="44" spans="1:83" ht="26.1" customHeight="1" x14ac:dyDescent="0.25">
      <c r="A44" s="34"/>
      <c r="B44" s="35"/>
      <c r="C44" s="31"/>
      <c r="D44" s="32"/>
      <c r="E44" s="33"/>
      <c r="F44" s="703"/>
      <c r="G44" s="703"/>
      <c r="H44" s="31"/>
      <c r="I44" s="32"/>
      <c r="J44" s="33"/>
      <c r="K44" s="34"/>
      <c r="L44" s="35"/>
      <c r="M44" s="31"/>
      <c r="N44" s="32"/>
      <c r="O44" s="33"/>
      <c r="P44" s="34"/>
      <c r="Q44" s="35"/>
      <c r="R44" s="31"/>
      <c r="S44" s="32"/>
      <c r="T44" s="33"/>
      <c r="U44" s="34"/>
      <c r="V44" s="704"/>
      <c r="W44" s="704"/>
      <c r="X44" s="704"/>
      <c r="Y44" s="704"/>
      <c r="Z44" s="704"/>
      <c r="AA44" s="704"/>
      <c r="AB44" s="704"/>
      <c r="AC44" s="704"/>
      <c r="AD44" s="704"/>
      <c r="AE44" s="704"/>
      <c r="AF44" s="704"/>
      <c r="AG44" s="704"/>
      <c r="AH44" s="706"/>
      <c r="AI44" s="706"/>
      <c r="AJ44" s="706"/>
      <c r="AK44" s="706"/>
      <c r="AL44" s="706"/>
      <c r="AM44" s="706"/>
      <c r="AN44" s="706"/>
      <c r="AO44" s="706"/>
      <c r="AP44" s="706"/>
      <c r="AQ44" s="706"/>
      <c r="AR44" s="706"/>
      <c r="AS44" s="707"/>
      <c r="AT44" s="707"/>
      <c r="AU44" s="707"/>
      <c r="AV44" s="707"/>
      <c r="AW44" s="707"/>
      <c r="AX44" s="707"/>
      <c r="AY44" s="707"/>
      <c r="AZ44" s="707"/>
      <c r="BA44" s="707"/>
      <c r="BB44" s="707"/>
      <c r="BC44" s="707"/>
      <c r="BD44" s="707"/>
      <c r="BE44" s="699"/>
      <c r="BF44" s="699"/>
      <c r="BG44" s="699"/>
      <c r="BH44" s="699"/>
      <c r="BI44" s="699"/>
      <c r="BJ44" s="708"/>
      <c r="BK44" s="708"/>
      <c r="BL44" s="708"/>
      <c r="BM44" s="708"/>
      <c r="BN44" s="708"/>
      <c r="BO44" s="708"/>
      <c r="BP44" s="708"/>
      <c r="BQ44" s="31"/>
      <c r="BR44" s="32"/>
    </row>
    <row r="45" spans="1:83" ht="6.75" customHeight="1" x14ac:dyDescent="0.25">
      <c r="A45" s="28"/>
      <c r="B45" s="28"/>
      <c r="C45" s="28"/>
      <c r="D45" s="29"/>
      <c r="E45" s="29"/>
      <c r="F45" s="703"/>
      <c r="G45" s="703"/>
      <c r="H45" s="28"/>
      <c r="I45" s="29"/>
      <c r="J45" s="29"/>
      <c r="K45" s="28"/>
      <c r="L45" s="28"/>
      <c r="M45" s="28"/>
      <c r="N45" s="29"/>
      <c r="O45" s="29"/>
      <c r="P45" s="28"/>
      <c r="Q45" s="28"/>
      <c r="R45" s="28"/>
      <c r="S45" s="29"/>
      <c r="T45" s="29"/>
      <c r="U45" s="28"/>
      <c r="V45" s="704"/>
      <c r="W45" s="704"/>
      <c r="X45" s="704"/>
      <c r="Y45" s="704"/>
      <c r="Z45" s="704"/>
      <c r="AA45" s="704"/>
      <c r="AB45" s="704"/>
      <c r="AC45" s="704"/>
      <c r="AD45" s="704"/>
      <c r="AE45" s="704"/>
      <c r="AF45" s="704"/>
      <c r="AG45" s="704"/>
      <c r="AH45" s="706"/>
      <c r="AI45" s="706"/>
      <c r="AJ45" s="706"/>
      <c r="AK45" s="706"/>
      <c r="AL45" s="706"/>
      <c r="AM45" s="706"/>
      <c r="AN45" s="706"/>
      <c r="AO45" s="706"/>
      <c r="AP45" s="706"/>
      <c r="AQ45" s="706"/>
      <c r="AR45" s="706"/>
      <c r="AS45" s="707"/>
      <c r="AT45" s="707"/>
      <c r="AU45" s="707"/>
      <c r="AV45" s="707"/>
      <c r="AW45" s="707"/>
      <c r="AX45" s="707"/>
      <c r="AY45" s="707"/>
      <c r="AZ45" s="707"/>
      <c r="BA45" s="707"/>
      <c r="BB45" s="707"/>
      <c r="BC45" s="707"/>
      <c r="BD45" s="707"/>
      <c r="BE45" s="699"/>
      <c r="BF45" s="699"/>
      <c r="BG45" s="699"/>
      <c r="BH45" s="699"/>
      <c r="BI45" s="699"/>
      <c r="BJ45" s="699" t="s">
        <v>121</v>
      </c>
      <c r="BK45" s="699"/>
      <c r="BL45" s="699"/>
      <c r="BM45" s="699"/>
      <c r="BN45" s="699"/>
      <c r="BO45" s="699"/>
      <c r="BP45" s="699"/>
      <c r="BQ45" s="31"/>
      <c r="BR45" s="32"/>
    </row>
    <row r="46" spans="1:83" ht="21.95" customHeight="1" x14ac:dyDescent="0.25">
      <c r="A46" s="28"/>
      <c r="B46" s="28"/>
      <c r="C46" s="28"/>
      <c r="D46" s="30"/>
      <c r="E46" s="29"/>
      <c r="F46" s="703"/>
      <c r="G46" s="703"/>
      <c r="H46" s="28"/>
      <c r="I46" s="30"/>
      <c r="J46" s="29"/>
      <c r="K46" s="28"/>
      <c r="L46" s="28"/>
      <c r="M46" s="28"/>
      <c r="N46" s="30"/>
      <c r="O46" s="29"/>
      <c r="P46" s="28"/>
      <c r="Q46" s="28"/>
      <c r="R46" s="28"/>
      <c r="S46" s="30"/>
      <c r="T46" s="29"/>
      <c r="U46" s="28"/>
      <c r="V46" s="704"/>
      <c r="W46" s="704"/>
      <c r="X46" s="704"/>
      <c r="Y46" s="704"/>
      <c r="Z46" s="704"/>
      <c r="AA46" s="704"/>
      <c r="AB46" s="704"/>
      <c r="AC46" s="704"/>
      <c r="AD46" s="704"/>
      <c r="AE46" s="704"/>
      <c r="AF46" s="704"/>
      <c r="AG46" s="704"/>
      <c r="AH46" s="706"/>
      <c r="AI46" s="706"/>
      <c r="AJ46" s="706"/>
      <c r="AK46" s="706"/>
      <c r="AL46" s="706"/>
      <c r="AM46" s="706"/>
      <c r="AN46" s="706"/>
      <c r="AO46" s="706"/>
      <c r="AP46" s="706"/>
      <c r="AQ46" s="706"/>
      <c r="AR46" s="706"/>
      <c r="AS46" s="707"/>
      <c r="AT46" s="707"/>
      <c r="AU46" s="707"/>
      <c r="AV46" s="707"/>
      <c r="AW46" s="707"/>
      <c r="AX46" s="707"/>
      <c r="AY46" s="707"/>
      <c r="AZ46" s="707"/>
      <c r="BA46" s="707"/>
      <c r="BB46" s="707"/>
      <c r="BC46" s="707"/>
      <c r="BD46" s="707"/>
      <c r="BE46" s="699"/>
      <c r="BF46" s="699"/>
      <c r="BG46" s="699"/>
      <c r="BH46" s="699"/>
      <c r="BI46" s="699"/>
      <c r="BJ46" s="699"/>
      <c r="BK46" s="699"/>
      <c r="BL46" s="699"/>
      <c r="BM46" s="699"/>
      <c r="BN46" s="699"/>
      <c r="BO46" s="699"/>
      <c r="BP46" s="699"/>
      <c r="BQ46" s="30"/>
      <c r="BR46" s="29"/>
    </row>
    <row r="47" spans="1:83" ht="6" customHeight="1" thickBot="1" x14ac:dyDescent="0.3">
      <c r="A47" s="28"/>
      <c r="B47" s="28"/>
      <c r="C47" s="28"/>
      <c r="D47" s="29"/>
      <c r="E47" s="29"/>
      <c r="F47" s="28"/>
      <c r="G47" s="28"/>
      <c r="H47" s="28"/>
      <c r="I47" s="29"/>
      <c r="J47" s="29"/>
      <c r="K47" s="28"/>
      <c r="L47" s="28"/>
      <c r="M47" s="28"/>
      <c r="N47" s="29"/>
      <c r="O47" s="29"/>
      <c r="P47" s="28"/>
      <c r="Q47" s="28"/>
      <c r="R47" s="28"/>
      <c r="S47" s="29"/>
      <c r="T47" s="29"/>
      <c r="U47" s="28"/>
      <c r="V47" s="28"/>
      <c r="W47" s="28"/>
      <c r="X47" s="29"/>
      <c r="Y47" s="29"/>
      <c r="Z47" s="28"/>
      <c r="AA47" s="28"/>
      <c r="AB47" s="28"/>
      <c r="AC47" s="29"/>
      <c r="AD47" s="29"/>
      <c r="AE47" s="28"/>
      <c r="AF47" s="28"/>
      <c r="AG47" s="28"/>
      <c r="AH47" s="29"/>
      <c r="AI47" s="29"/>
      <c r="AJ47" s="28"/>
      <c r="AK47" s="28"/>
      <c r="AL47" s="28"/>
      <c r="AM47" s="29"/>
      <c r="AN47" s="29"/>
      <c r="AO47" s="28"/>
      <c r="AP47" s="28"/>
      <c r="AQ47" s="28"/>
      <c r="AR47" s="29"/>
      <c r="AS47" s="29"/>
      <c r="AT47" s="28"/>
      <c r="AU47" s="28"/>
      <c r="AV47" s="28"/>
      <c r="AW47" s="29"/>
      <c r="AX47" s="29"/>
      <c r="AY47" s="28"/>
      <c r="AZ47" s="28"/>
      <c r="BA47" s="28"/>
      <c r="BB47" s="29"/>
      <c r="BC47" s="29"/>
      <c r="BD47" s="28"/>
      <c r="BE47" s="28"/>
      <c r="BF47" s="28"/>
      <c r="BG47" s="29"/>
      <c r="BH47" s="29"/>
      <c r="BI47" s="28"/>
      <c r="BJ47" s="699"/>
      <c r="BK47" s="699"/>
      <c r="BL47" s="699"/>
      <c r="BM47" s="699"/>
      <c r="BN47" s="699"/>
      <c r="BO47" s="699"/>
      <c r="BP47" s="699"/>
      <c r="BQ47" s="29"/>
      <c r="BR47" s="29"/>
    </row>
    <row r="48" spans="1:83" s="22" customFormat="1" ht="80.099999999999994" customHeight="1" thickBot="1" x14ac:dyDescent="1.4">
      <c r="A48" s="31"/>
      <c r="B48" s="3558" t="s">
        <v>314</v>
      </c>
      <c r="C48" s="3559"/>
      <c r="D48" s="3559"/>
      <c r="E48" s="3559"/>
      <c r="F48" s="3559"/>
      <c r="G48" s="3559"/>
      <c r="H48" s="3559"/>
      <c r="I48" s="3559"/>
      <c r="J48" s="3559"/>
      <c r="K48" s="3559"/>
      <c r="L48" s="3559"/>
      <c r="M48" s="3559"/>
      <c r="N48" s="3560"/>
      <c r="O48" s="121"/>
      <c r="P48" s="31"/>
      <c r="Q48" s="121"/>
      <c r="R48" s="121"/>
      <c r="S48" s="121"/>
      <c r="T48" s="121"/>
      <c r="U48" s="31"/>
      <c r="V48" s="121"/>
      <c r="W48" s="121"/>
      <c r="X48" s="121"/>
      <c r="Y48" s="121"/>
      <c r="Z48" s="31"/>
      <c r="AA48" s="121"/>
      <c r="AB48" s="121"/>
      <c r="AC48" s="121"/>
      <c r="AD48" s="121"/>
      <c r="AE48" s="31"/>
      <c r="AF48" s="121"/>
      <c r="AG48" s="121"/>
      <c r="AH48" s="121"/>
      <c r="AI48" s="121"/>
      <c r="AJ48" s="31"/>
      <c r="AK48" s="121"/>
      <c r="AL48" s="121"/>
      <c r="AM48" s="121"/>
      <c r="AN48" s="121"/>
      <c r="AO48" s="31"/>
      <c r="AP48" s="121"/>
      <c r="AQ48" s="121"/>
      <c r="AR48" s="121"/>
      <c r="AS48" s="121"/>
      <c r="AT48" s="31"/>
      <c r="AU48" s="121"/>
      <c r="AV48" s="121"/>
      <c r="AW48" s="121"/>
      <c r="AX48" s="121"/>
      <c r="AY48" s="31"/>
      <c r="AZ48" s="121"/>
      <c r="BA48" s="121"/>
      <c r="BB48" s="121"/>
      <c r="BC48" s="121"/>
      <c r="BD48" s="31"/>
      <c r="BE48" s="121"/>
      <c r="BF48" s="121"/>
      <c r="BG48" s="121"/>
      <c r="BH48" s="121"/>
      <c r="BI48" s="31"/>
      <c r="BJ48" s="121"/>
      <c r="BK48" s="121"/>
      <c r="BL48" s="121"/>
      <c r="BM48" s="121"/>
      <c r="BN48" s="31"/>
      <c r="BO48" s="121"/>
      <c r="BP48" s="121"/>
      <c r="BQ48" s="121"/>
      <c r="BR48" s="121"/>
    </row>
    <row r="49" spans="1:83" ht="27" thickBot="1" x14ac:dyDescent="0.3">
      <c r="A49" s="31"/>
      <c r="B49" s="32"/>
      <c r="C49" s="33"/>
      <c r="D49" s="34"/>
      <c r="E49" s="35"/>
      <c r="F49" s="31"/>
      <c r="G49" s="32"/>
      <c r="H49" s="33"/>
      <c r="I49" s="34"/>
      <c r="J49" s="35"/>
      <c r="K49" s="31"/>
      <c r="L49" s="32"/>
      <c r="M49" s="33"/>
      <c r="N49" s="34"/>
      <c r="O49" s="35"/>
      <c r="P49" s="31"/>
      <c r="Q49" s="32"/>
      <c r="R49" s="33"/>
      <c r="S49" s="34"/>
      <c r="T49" s="35"/>
      <c r="U49" s="31"/>
      <c r="V49" s="32"/>
      <c r="W49" s="33"/>
      <c r="X49" s="34"/>
      <c r="Y49" s="35"/>
      <c r="Z49" s="31"/>
      <c r="AA49" s="32"/>
      <c r="AB49" s="33"/>
      <c r="AC49" s="34"/>
      <c r="AD49" s="35"/>
      <c r="AE49" s="31"/>
      <c r="AF49" s="32"/>
      <c r="AG49" s="33"/>
      <c r="AH49" s="34"/>
      <c r="AI49" s="35"/>
      <c r="AJ49" s="31"/>
      <c r="AK49" s="32"/>
      <c r="AL49" s="33"/>
      <c r="AM49" s="34"/>
      <c r="AN49" s="35"/>
      <c r="AO49" s="31"/>
      <c r="AP49" s="32"/>
      <c r="AQ49" s="33"/>
      <c r="AR49" s="34"/>
      <c r="AS49" s="35"/>
      <c r="AT49" s="31"/>
      <c r="AU49" s="32"/>
      <c r="AV49" s="33"/>
      <c r="AW49" s="34"/>
      <c r="AX49" s="35"/>
      <c r="AY49" s="31"/>
      <c r="AZ49" s="32"/>
      <c r="BA49" s="33"/>
      <c r="BB49" s="34"/>
      <c r="BC49" s="35"/>
      <c r="BD49" s="31"/>
      <c r="BE49" s="32"/>
      <c r="BF49" s="33"/>
      <c r="BG49" s="34"/>
      <c r="BH49" s="35"/>
      <c r="BI49" s="31"/>
      <c r="BJ49" s="32"/>
      <c r="BK49" s="33"/>
      <c r="BL49" s="34"/>
      <c r="BM49" s="35"/>
      <c r="BN49" s="31"/>
      <c r="BO49" s="32"/>
      <c r="BP49" s="33"/>
      <c r="BQ49" s="34"/>
      <c r="BR49" s="35"/>
      <c r="BW49" s="27"/>
      <c r="BX49" s="27"/>
      <c r="BY49" s="27"/>
      <c r="BZ49" s="27"/>
      <c r="CA49" s="27"/>
      <c r="CB49" s="27"/>
      <c r="CC49" s="27"/>
      <c r="CD49" s="27"/>
      <c r="CE49" s="27"/>
    </row>
    <row r="50" spans="1:83" ht="26.1" hidden="1" customHeight="1" thickTop="1" x14ac:dyDescent="0.25">
      <c r="A50" s="672"/>
      <c r="B50" s="672"/>
      <c r="C50" s="672"/>
      <c r="D50" s="673"/>
      <c r="E50" s="673"/>
      <c r="F50" s="672"/>
      <c r="G50" s="672"/>
      <c r="H50" s="672"/>
      <c r="I50" s="673"/>
      <c r="J50" s="673"/>
      <c r="K50" s="672"/>
      <c r="L50" s="672"/>
      <c r="M50" s="672"/>
      <c r="N50" s="673"/>
      <c r="O50" s="673"/>
      <c r="P50" s="672"/>
      <c r="Q50" s="672"/>
      <c r="R50" s="672"/>
      <c r="S50" s="673"/>
      <c r="T50" s="673"/>
      <c r="U50" s="674"/>
      <c r="V50" s="674"/>
      <c r="W50" s="674"/>
      <c r="X50" s="675"/>
      <c r="Y50" s="675"/>
      <c r="Z50" s="674"/>
      <c r="AA50" s="674"/>
      <c r="AB50" s="674"/>
      <c r="AC50" s="675"/>
      <c r="AD50" s="675"/>
      <c r="AE50" s="674"/>
      <c r="AF50" s="674"/>
      <c r="AG50" s="674"/>
      <c r="AH50" s="675"/>
      <c r="AI50" s="675"/>
      <c r="AJ50" s="674"/>
      <c r="AK50" s="674"/>
      <c r="AL50" s="674"/>
      <c r="AM50" s="675"/>
      <c r="AN50" s="675"/>
      <c r="AO50" s="674"/>
      <c r="AP50" s="674"/>
      <c r="AQ50" s="674"/>
      <c r="AR50" s="675"/>
      <c r="AS50" s="675"/>
      <c r="AT50" s="674"/>
      <c r="AU50" s="674"/>
      <c r="AV50" s="674"/>
      <c r="AW50" s="675"/>
      <c r="AX50" s="675"/>
      <c r="AY50" s="674"/>
      <c r="AZ50" s="674"/>
      <c r="BA50" s="674"/>
      <c r="BB50" s="675"/>
      <c r="BC50" s="675"/>
      <c r="BD50" s="674"/>
      <c r="BE50" s="674"/>
      <c r="BF50" s="674"/>
      <c r="BG50" s="675"/>
      <c r="BH50" s="675"/>
      <c r="BI50" s="674"/>
      <c r="BJ50" s="674"/>
      <c r="BK50" s="674"/>
      <c r="BL50" s="675"/>
      <c r="BM50" s="675"/>
      <c r="BN50" s="674"/>
      <c r="BO50" s="674"/>
      <c r="BP50" s="674"/>
      <c r="BQ50" s="675"/>
      <c r="BR50" s="675"/>
    </row>
    <row r="51" spans="1:83" ht="6.75" hidden="1" customHeight="1" x14ac:dyDescent="0.25">
      <c r="A51" s="676"/>
      <c r="B51" s="676"/>
      <c r="C51" s="676"/>
      <c r="D51" s="29"/>
      <c r="E51" s="29"/>
      <c r="F51" s="676"/>
      <c r="G51" s="676"/>
      <c r="H51" s="676"/>
      <c r="I51" s="29"/>
      <c r="J51" s="29"/>
      <c r="K51" s="676"/>
      <c r="L51" s="676"/>
      <c r="M51" s="676"/>
      <c r="N51" s="29"/>
      <c r="O51" s="29"/>
      <c r="P51" s="676"/>
      <c r="Q51" s="676"/>
      <c r="R51" s="676"/>
      <c r="S51" s="29"/>
      <c r="T51" s="29"/>
      <c r="U51" s="676"/>
      <c r="V51" s="676"/>
      <c r="W51" s="676"/>
      <c r="X51" s="29"/>
      <c r="Y51" s="29"/>
      <c r="Z51" s="676"/>
      <c r="AA51" s="676"/>
      <c r="AB51" s="676"/>
      <c r="AC51" s="29"/>
      <c r="AD51" s="29"/>
      <c r="AE51" s="676"/>
      <c r="AF51" s="676"/>
      <c r="AG51" s="676"/>
      <c r="AH51" s="29"/>
      <c r="AI51" s="29"/>
      <c r="AJ51" s="676"/>
      <c r="AK51" s="676"/>
      <c r="AL51" s="676"/>
      <c r="AM51" s="29"/>
      <c r="AN51" s="29"/>
      <c r="AO51" s="676"/>
      <c r="AP51" s="676"/>
      <c r="AQ51" s="676"/>
      <c r="AR51" s="29"/>
      <c r="AS51" s="29"/>
      <c r="AT51" s="676"/>
      <c r="AU51" s="676"/>
      <c r="AV51" s="676"/>
      <c r="AW51" s="29"/>
      <c r="AX51" s="29"/>
      <c r="AY51" s="676"/>
      <c r="AZ51" s="676"/>
      <c r="BA51" s="676"/>
      <c r="BB51" s="29"/>
      <c r="BC51" s="29"/>
      <c r="BD51" s="676"/>
      <c r="BE51" s="676"/>
      <c r="BF51" s="676"/>
      <c r="BG51" s="29"/>
      <c r="BH51" s="29"/>
      <c r="BI51" s="676"/>
      <c r="BJ51" s="676"/>
      <c r="BK51" s="676"/>
      <c r="BL51" s="29"/>
      <c r="BM51" s="29"/>
      <c r="BN51" s="676"/>
      <c r="BO51" s="676"/>
      <c r="BP51" s="676"/>
      <c r="BQ51" s="29"/>
      <c r="BR51" s="29"/>
    </row>
    <row r="52" spans="1:83" ht="21.95" hidden="1" customHeight="1" x14ac:dyDescent="0.25">
      <c r="A52" s="676"/>
      <c r="B52" s="676"/>
      <c r="C52" s="676"/>
      <c r="D52" s="30"/>
      <c r="E52" s="29"/>
      <c r="F52" s="676"/>
      <c r="G52" s="676"/>
      <c r="H52" s="676"/>
      <c r="I52" s="30"/>
      <c r="J52" s="29"/>
      <c r="K52" s="676"/>
      <c r="L52" s="676"/>
      <c r="M52" s="676"/>
      <c r="N52" s="30"/>
      <c r="O52" s="29"/>
      <c r="P52" s="676"/>
      <c r="Q52" s="676"/>
      <c r="R52" s="676"/>
      <c r="S52" s="30"/>
      <c r="T52" s="29"/>
      <c r="U52" s="676"/>
      <c r="V52" s="676"/>
      <c r="W52" s="676"/>
      <c r="X52" s="30"/>
      <c r="Y52" s="29"/>
      <c r="Z52" s="676"/>
      <c r="AA52" s="676"/>
      <c r="AB52" s="676"/>
      <c r="AC52" s="30"/>
      <c r="AD52" s="29"/>
      <c r="AE52" s="676"/>
      <c r="AF52" s="676"/>
      <c r="AG52" s="676"/>
      <c r="AH52" s="30"/>
      <c r="AI52" s="29"/>
      <c r="AJ52" s="676"/>
      <c r="AK52" s="676"/>
      <c r="AL52" s="676"/>
      <c r="AM52" s="30"/>
      <c r="AN52" s="29"/>
      <c r="AO52" s="676"/>
      <c r="AP52" s="676"/>
      <c r="AQ52" s="676"/>
      <c r="AR52" s="30"/>
      <c r="AS52" s="29"/>
      <c r="AT52" s="676"/>
      <c r="AU52" s="676"/>
      <c r="AV52" s="676"/>
      <c r="AW52" s="30"/>
      <c r="AX52" s="29"/>
      <c r="AY52" s="676"/>
      <c r="AZ52" s="676"/>
      <c r="BA52" s="676"/>
      <c r="BB52" s="30"/>
      <c r="BC52" s="29"/>
      <c r="BD52" s="676"/>
      <c r="BE52" s="676"/>
      <c r="BF52" s="676"/>
      <c r="BG52" s="30"/>
      <c r="BH52" s="29"/>
      <c r="BI52" s="676"/>
      <c r="BJ52" s="676"/>
      <c r="BK52" s="676"/>
      <c r="BL52" s="30"/>
      <c r="BM52" s="29"/>
      <c r="BN52" s="676"/>
      <c r="BO52" s="676"/>
      <c r="BP52" s="676"/>
      <c r="BQ52" s="30"/>
      <c r="BR52" s="29"/>
    </row>
    <row r="53" spans="1:83" ht="6" hidden="1" customHeight="1" x14ac:dyDescent="0.25">
      <c r="A53" s="676"/>
      <c r="B53" s="676"/>
      <c r="C53" s="676"/>
      <c r="D53" s="675"/>
      <c r="E53" s="675"/>
      <c r="F53" s="676"/>
      <c r="G53" s="676"/>
      <c r="H53" s="676"/>
      <c r="I53" s="675"/>
      <c r="J53" s="675"/>
      <c r="K53" s="676"/>
      <c r="L53" s="676"/>
      <c r="M53" s="676"/>
      <c r="N53" s="675"/>
      <c r="O53" s="675"/>
      <c r="P53" s="676"/>
      <c r="Q53" s="676"/>
      <c r="R53" s="676"/>
      <c r="S53" s="675"/>
      <c r="T53" s="675"/>
      <c r="U53" s="676"/>
      <c r="V53" s="676"/>
      <c r="W53" s="676"/>
      <c r="X53" s="675"/>
      <c r="Y53" s="675"/>
      <c r="Z53" s="676"/>
      <c r="AA53" s="676"/>
      <c r="AB53" s="676"/>
      <c r="AC53" s="675"/>
      <c r="AD53" s="675"/>
      <c r="AE53" s="676"/>
      <c r="AF53" s="676"/>
      <c r="AG53" s="676"/>
      <c r="AH53" s="675"/>
      <c r="AI53" s="675"/>
      <c r="AJ53" s="676"/>
      <c r="AK53" s="676"/>
      <c r="AL53" s="676"/>
      <c r="AM53" s="675"/>
      <c r="AN53" s="675"/>
      <c r="AO53" s="676"/>
      <c r="AP53" s="676"/>
      <c r="AQ53" s="676"/>
      <c r="AR53" s="675"/>
      <c r="AS53" s="675"/>
      <c r="AT53" s="676"/>
      <c r="AU53" s="676"/>
      <c r="AV53" s="676"/>
      <c r="AW53" s="675"/>
      <c r="AX53" s="675"/>
      <c r="AY53" s="676"/>
      <c r="AZ53" s="676"/>
      <c r="BA53" s="676"/>
      <c r="BB53" s="675"/>
      <c r="BC53" s="675"/>
      <c r="BD53" s="676"/>
      <c r="BE53" s="676"/>
      <c r="BF53" s="676"/>
      <c r="BG53" s="675"/>
      <c r="BH53" s="675"/>
      <c r="BI53" s="676"/>
      <c r="BJ53" s="676"/>
      <c r="BK53" s="676"/>
      <c r="BL53" s="675"/>
      <c r="BM53" s="675"/>
      <c r="BN53" s="676"/>
      <c r="BO53" s="676"/>
      <c r="BP53" s="676"/>
      <c r="BQ53" s="675"/>
      <c r="BR53" s="675"/>
    </row>
    <row r="54" spans="1:83" ht="59.25" hidden="1" thickBot="1" x14ac:dyDescent="0.3">
      <c r="A54" s="677"/>
      <c r="B54" s="678"/>
      <c r="C54" s="678"/>
      <c r="D54" s="678"/>
      <c r="E54" s="678"/>
      <c r="F54" s="677"/>
      <c r="G54" s="678"/>
      <c r="H54" s="678"/>
      <c r="I54" s="678"/>
      <c r="J54" s="678"/>
      <c r="K54" s="677"/>
      <c r="L54" s="678"/>
      <c r="M54" s="678"/>
      <c r="N54" s="678"/>
      <c r="O54" s="678"/>
      <c r="P54" s="677"/>
      <c r="Q54" s="678"/>
      <c r="R54" s="678"/>
      <c r="S54" s="678"/>
      <c r="T54" s="678"/>
      <c r="U54" s="677"/>
      <c r="V54" s="678"/>
      <c r="W54" s="678"/>
      <c r="X54" s="678"/>
      <c r="Y54" s="678"/>
      <c r="Z54" s="677"/>
      <c r="AA54" s="678"/>
      <c r="AB54" s="678"/>
      <c r="AC54" s="678"/>
      <c r="AD54" s="678"/>
      <c r="AE54" s="677"/>
      <c r="AF54" s="678"/>
      <c r="AG54" s="678"/>
      <c r="AH54" s="678"/>
      <c r="AI54" s="678"/>
      <c r="AJ54" s="677"/>
      <c r="AK54" s="678"/>
      <c r="AL54" s="678"/>
      <c r="AM54" s="678"/>
      <c r="AN54" s="678"/>
      <c r="AO54" s="677"/>
      <c r="AP54" s="678"/>
      <c r="AQ54" s="678"/>
      <c r="AR54" s="678"/>
      <c r="AS54" s="678"/>
      <c r="AT54" s="677"/>
      <c r="AU54" s="678"/>
      <c r="AV54" s="678"/>
      <c r="AW54" s="678"/>
      <c r="AX54" s="678"/>
      <c r="AY54" s="677"/>
      <c r="AZ54" s="678"/>
      <c r="BA54" s="678"/>
      <c r="BB54" s="678"/>
      <c r="BC54" s="678"/>
      <c r="BD54" s="677"/>
      <c r="BE54" s="678"/>
      <c r="BF54" s="678"/>
      <c r="BG54" s="678"/>
      <c r="BH54" s="678"/>
      <c r="BI54" s="677"/>
      <c r="BJ54" s="678"/>
      <c r="BK54" s="678"/>
      <c r="BL54" s="678"/>
      <c r="BM54" s="678"/>
      <c r="BN54" s="677"/>
      <c r="BO54" s="678"/>
      <c r="BP54" s="678"/>
      <c r="BQ54" s="678"/>
      <c r="BR54" s="678"/>
    </row>
    <row r="55" spans="1:83" ht="27" hidden="1" thickBot="1" x14ac:dyDescent="0.3">
      <c r="A55" s="677"/>
      <c r="B55" s="32"/>
      <c r="C55" s="33"/>
      <c r="D55" s="34"/>
      <c r="E55" s="35"/>
      <c r="F55" s="677"/>
      <c r="G55" s="32"/>
      <c r="H55" s="33"/>
      <c r="I55" s="34"/>
      <c r="J55" s="35"/>
      <c r="K55" s="677"/>
      <c r="L55" s="32"/>
      <c r="M55" s="33"/>
      <c r="N55" s="34"/>
      <c r="O55" s="35"/>
      <c r="P55" s="677"/>
      <c r="Q55" s="32"/>
      <c r="R55" s="33"/>
      <c r="S55" s="34"/>
      <c r="T55" s="35"/>
      <c r="U55" s="677"/>
      <c r="V55" s="32"/>
      <c r="W55" s="33"/>
      <c r="X55" s="34"/>
      <c r="Y55" s="35"/>
      <c r="Z55" s="677"/>
      <c r="AA55" s="32"/>
      <c r="AB55" s="33"/>
      <c r="AC55" s="34"/>
      <c r="AD55" s="35"/>
      <c r="AE55" s="677"/>
      <c r="AF55" s="32"/>
      <c r="AG55" s="33"/>
      <c r="AH55" s="34"/>
      <c r="AI55" s="35"/>
      <c r="AJ55" s="677"/>
      <c r="AK55" s="32"/>
      <c r="AL55" s="33"/>
      <c r="AM55" s="34"/>
      <c r="AN55" s="35"/>
      <c r="AO55" s="677"/>
      <c r="AP55" s="32"/>
      <c r="AQ55" s="33"/>
      <c r="AR55" s="34"/>
      <c r="AS55" s="35"/>
      <c r="AT55" s="677"/>
      <c r="AU55" s="32"/>
      <c r="AV55" s="33"/>
      <c r="AW55" s="34"/>
      <c r="AX55" s="35"/>
      <c r="AY55" s="677"/>
      <c r="AZ55" s="32"/>
      <c r="BA55" s="33"/>
      <c r="BB55" s="34"/>
      <c r="BC55" s="35"/>
      <c r="BD55" s="677"/>
      <c r="BE55" s="32"/>
      <c r="BF55" s="33"/>
      <c r="BG55" s="34"/>
      <c r="BH55" s="35"/>
      <c r="BI55" s="677"/>
      <c r="BJ55" s="32"/>
      <c r="BK55" s="33"/>
      <c r="BL55" s="34"/>
      <c r="BM55" s="35"/>
      <c r="BN55" s="677"/>
      <c r="BO55" s="32"/>
      <c r="BP55" s="33"/>
      <c r="BQ55" s="34"/>
      <c r="BR55" s="35"/>
      <c r="BW55" s="27"/>
      <c r="BX55" s="27"/>
      <c r="BY55" s="27"/>
      <c r="BZ55" s="27"/>
      <c r="CA55" s="27"/>
      <c r="CB55" s="27"/>
      <c r="CC55" s="27"/>
      <c r="CD55" s="27"/>
      <c r="CE55" s="27"/>
    </row>
    <row r="56" spans="1:83" ht="26.1" hidden="1" customHeight="1" x14ac:dyDescent="0.25">
      <c r="A56" s="674"/>
      <c r="B56" s="674"/>
      <c r="C56" s="674"/>
      <c r="D56" s="675"/>
      <c r="E56" s="675"/>
      <c r="F56" s="674"/>
      <c r="G56" s="674"/>
      <c r="H56" s="674"/>
      <c r="I56" s="675"/>
      <c r="J56" s="675"/>
      <c r="K56" s="674"/>
      <c r="L56" s="674"/>
      <c r="M56" s="674"/>
      <c r="N56" s="675"/>
      <c r="O56" s="675"/>
      <c r="P56" s="674"/>
      <c r="Q56" s="674"/>
      <c r="R56" s="674"/>
      <c r="S56" s="675"/>
      <c r="T56" s="675"/>
      <c r="U56" s="674"/>
      <c r="V56" s="674"/>
      <c r="W56" s="674"/>
      <c r="X56" s="675"/>
      <c r="Y56" s="675"/>
      <c r="Z56" s="674"/>
      <c r="AA56" s="674"/>
      <c r="AB56" s="674"/>
      <c r="AC56" s="675"/>
      <c r="AD56" s="675"/>
      <c r="AE56" s="674"/>
      <c r="AF56" s="674"/>
      <c r="AG56" s="674"/>
      <c r="AH56" s="675"/>
      <c r="AI56" s="675"/>
      <c r="AJ56" s="674"/>
      <c r="AK56" s="674"/>
      <c r="AL56" s="674"/>
      <c r="AM56" s="675"/>
      <c r="AN56" s="675"/>
      <c r="AO56" s="674"/>
      <c r="AP56" s="674"/>
      <c r="AQ56" s="674"/>
      <c r="AR56" s="675"/>
      <c r="AS56" s="675"/>
      <c r="AT56" s="674"/>
      <c r="AU56" s="674"/>
      <c r="AV56" s="674"/>
      <c r="AW56" s="675"/>
      <c r="AX56" s="675"/>
      <c r="AY56" s="674"/>
      <c r="AZ56" s="674"/>
      <c r="BA56" s="674"/>
      <c r="BB56" s="675"/>
      <c r="BC56" s="675"/>
      <c r="BD56" s="674"/>
      <c r="BE56" s="674"/>
      <c r="BF56" s="674"/>
      <c r="BG56" s="675"/>
      <c r="BH56" s="675"/>
      <c r="BI56" s="674"/>
      <c r="BJ56" s="674"/>
      <c r="BK56" s="674"/>
      <c r="BL56" s="675"/>
      <c r="BM56" s="675"/>
      <c r="BN56" s="674"/>
      <c r="BO56" s="674"/>
      <c r="BP56" s="674"/>
      <c r="BQ56" s="675"/>
      <c r="BR56" s="675"/>
    </row>
    <row r="57" spans="1:83" ht="6.75" hidden="1" customHeight="1" x14ac:dyDescent="0.25">
      <c r="A57" s="676"/>
      <c r="B57" s="676"/>
      <c r="C57" s="676"/>
      <c r="D57" s="29"/>
      <c r="E57" s="29"/>
      <c r="F57" s="676"/>
      <c r="G57" s="676"/>
      <c r="H57" s="676"/>
      <c r="I57" s="29"/>
      <c r="J57" s="29"/>
      <c r="K57" s="676"/>
      <c r="L57" s="676"/>
      <c r="M57" s="676"/>
      <c r="N57" s="29"/>
      <c r="O57" s="29"/>
      <c r="P57" s="676"/>
      <c r="Q57" s="676"/>
      <c r="R57" s="676"/>
      <c r="S57" s="29"/>
      <c r="T57" s="29"/>
      <c r="U57" s="676"/>
      <c r="V57" s="676"/>
      <c r="W57" s="676"/>
      <c r="X57" s="29"/>
      <c r="Y57" s="29"/>
      <c r="Z57" s="676"/>
      <c r="AA57" s="676"/>
      <c r="AB57" s="676"/>
      <c r="AC57" s="29"/>
      <c r="AD57" s="29"/>
      <c r="AE57" s="676"/>
      <c r="AF57" s="676"/>
      <c r="AG57" s="676"/>
      <c r="AH57" s="29"/>
      <c r="AI57" s="29"/>
      <c r="AJ57" s="676"/>
      <c r="AK57" s="676"/>
      <c r="AL57" s="676"/>
      <c r="AM57" s="29"/>
      <c r="AN57" s="29"/>
      <c r="AO57" s="676"/>
      <c r="AP57" s="676"/>
      <c r="AQ57" s="676"/>
      <c r="AR57" s="29"/>
      <c r="AS57" s="29"/>
      <c r="AT57" s="676"/>
      <c r="AU57" s="676"/>
      <c r="AV57" s="676"/>
      <c r="AW57" s="29"/>
      <c r="AX57" s="29"/>
      <c r="AY57" s="676"/>
      <c r="AZ57" s="676"/>
      <c r="BA57" s="676"/>
      <c r="BB57" s="29"/>
      <c r="BC57" s="29"/>
      <c r="BD57" s="676"/>
      <c r="BE57" s="676"/>
      <c r="BF57" s="676"/>
      <c r="BG57" s="29"/>
      <c r="BH57" s="29"/>
      <c r="BI57" s="676"/>
      <c r="BJ57" s="676"/>
      <c r="BK57" s="676"/>
      <c r="BL57" s="29"/>
      <c r="BM57" s="29"/>
      <c r="BN57" s="676"/>
      <c r="BO57" s="676"/>
      <c r="BP57" s="676"/>
      <c r="BQ57" s="29"/>
      <c r="BR57" s="29"/>
    </row>
    <row r="58" spans="1:83" ht="21.95" hidden="1" customHeight="1" x14ac:dyDescent="0.25">
      <c r="A58" s="676"/>
      <c r="B58" s="676"/>
      <c r="C58" s="676"/>
      <c r="D58" s="30"/>
      <c r="E58" s="29"/>
      <c r="F58" s="676"/>
      <c r="G58" s="676"/>
      <c r="H58" s="676"/>
      <c r="I58" s="30"/>
      <c r="J58" s="29"/>
      <c r="K58" s="676"/>
      <c r="L58" s="676"/>
      <c r="M58" s="676"/>
      <c r="N58" s="30"/>
      <c r="O58" s="29"/>
      <c r="P58" s="676"/>
      <c r="Q58" s="676"/>
      <c r="R58" s="676"/>
      <c r="S58" s="30"/>
      <c r="T58" s="29"/>
      <c r="U58" s="676"/>
      <c r="V58" s="676"/>
      <c r="W58" s="676"/>
      <c r="X58" s="30"/>
      <c r="Y58" s="29"/>
      <c r="Z58" s="676"/>
      <c r="AA58" s="676"/>
      <c r="AB58" s="676"/>
      <c r="AC58" s="30"/>
      <c r="AD58" s="29"/>
      <c r="AE58" s="676"/>
      <c r="AF58" s="676"/>
      <c r="AG58" s="676"/>
      <c r="AH58" s="30"/>
      <c r="AI58" s="29"/>
      <c r="AJ58" s="676"/>
      <c r="AK58" s="676"/>
      <c r="AL58" s="676"/>
      <c r="AM58" s="30"/>
      <c r="AN58" s="29"/>
      <c r="AO58" s="676"/>
      <c r="AP58" s="676"/>
      <c r="AQ58" s="676"/>
      <c r="AR58" s="30"/>
      <c r="AS58" s="29"/>
      <c r="AT58" s="676"/>
      <c r="AU58" s="676"/>
      <c r="AV58" s="676"/>
      <c r="AW58" s="30"/>
      <c r="AX58" s="29"/>
      <c r="AY58" s="676"/>
      <c r="AZ58" s="676"/>
      <c r="BA58" s="676"/>
      <c r="BB58" s="30"/>
      <c r="BC58" s="29"/>
      <c r="BD58" s="676"/>
      <c r="BE58" s="676"/>
      <c r="BF58" s="676"/>
      <c r="BG58" s="30"/>
      <c r="BH58" s="29"/>
      <c r="BI58" s="676"/>
      <c r="BJ58" s="676"/>
      <c r="BK58" s="676"/>
      <c r="BL58" s="30"/>
      <c r="BM58" s="29"/>
      <c r="BN58" s="676"/>
      <c r="BO58" s="676"/>
      <c r="BP58" s="676"/>
      <c r="BQ58" s="30"/>
      <c r="BR58" s="29"/>
    </row>
    <row r="59" spans="1:83" ht="6" hidden="1" customHeight="1" x14ac:dyDescent="0.25">
      <c r="A59" s="676"/>
      <c r="B59" s="676"/>
      <c r="C59" s="676"/>
      <c r="D59" s="675"/>
      <c r="E59" s="675"/>
      <c r="F59" s="676"/>
      <c r="G59" s="676"/>
      <c r="H59" s="676"/>
      <c r="I59" s="675"/>
      <c r="J59" s="675"/>
      <c r="K59" s="676"/>
      <c r="L59" s="676"/>
      <c r="M59" s="676"/>
      <c r="N59" s="675"/>
      <c r="O59" s="675"/>
      <c r="P59" s="676"/>
      <c r="Q59" s="676"/>
      <c r="R59" s="676"/>
      <c r="S59" s="675"/>
      <c r="T59" s="675"/>
      <c r="U59" s="676"/>
      <c r="V59" s="676"/>
      <c r="W59" s="676"/>
      <c r="X59" s="675"/>
      <c r="Y59" s="675"/>
      <c r="Z59" s="676"/>
      <c r="AA59" s="676"/>
      <c r="AB59" s="676"/>
      <c r="AC59" s="675"/>
      <c r="AD59" s="675"/>
      <c r="AE59" s="676"/>
      <c r="AF59" s="676"/>
      <c r="AG59" s="676"/>
      <c r="AH59" s="675"/>
      <c r="AI59" s="675"/>
      <c r="AJ59" s="676"/>
      <c r="AK59" s="676"/>
      <c r="AL59" s="676"/>
      <c r="AM59" s="675"/>
      <c r="AN59" s="675"/>
      <c r="AO59" s="676"/>
      <c r="AP59" s="676"/>
      <c r="AQ59" s="676"/>
      <c r="AR59" s="675"/>
      <c r="AS59" s="675"/>
      <c r="AT59" s="676"/>
      <c r="AU59" s="676"/>
      <c r="AV59" s="676"/>
      <c r="AW59" s="675"/>
      <c r="AX59" s="675"/>
      <c r="AY59" s="676"/>
      <c r="AZ59" s="676"/>
      <c r="BA59" s="676"/>
      <c r="BB59" s="675"/>
      <c r="BC59" s="675"/>
      <c r="BD59" s="676"/>
      <c r="BE59" s="676"/>
      <c r="BF59" s="676"/>
      <c r="BG59" s="675"/>
      <c r="BH59" s="675"/>
      <c r="BI59" s="676"/>
      <c r="BJ59" s="676"/>
      <c r="BK59" s="676"/>
      <c r="BL59" s="675"/>
      <c r="BM59" s="675"/>
      <c r="BN59" s="676"/>
      <c r="BO59" s="676"/>
      <c r="BP59" s="676"/>
      <c r="BQ59" s="675"/>
      <c r="BR59" s="675"/>
    </row>
    <row r="60" spans="1:83" ht="59.25" hidden="1" thickBot="1" x14ac:dyDescent="0.3">
      <c r="A60" s="677"/>
      <c r="B60" s="678"/>
      <c r="C60" s="678"/>
      <c r="D60" s="678"/>
      <c r="E60" s="678"/>
      <c r="F60" s="677"/>
      <c r="G60" s="678"/>
      <c r="H60" s="678"/>
      <c r="I60" s="678"/>
      <c r="J60" s="678"/>
      <c r="K60" s="677"/>
      <c r="L60" s="678"/>
      <c r="M60" s="678"/>
      <c r="N60" s="678"/>
      <c r="O60" s="678"/>
      <c r="P60" s="677"/>
      <c r="Q60" s="678"/>
      <c r="R60" s="678"/>
      <c r="S60" s="678"/>
      <c r="T60" s="678"/>
      <c r="U60" s="677"/>
      <c r="V60" s="678"/>
      <c r="W60" s="678"/>
      <c r="X60" s="678"/>
      <c r="Y60" s="678"/>
      <c r="Z60" s="677"/>
      <c r="AA60" s="678"/>
      <c r="AB60" s="678"/>
      <c r="AC60" s="678"/>
      <c r="AD60" s="678"/>
      <c r="AE60" s="677"/>
      <c r="AF60" s="678"/>
      <c r="AG60" s="678"/>
      <c r="AH60" s="678"/>
      <c r="AI60" s="678"/>
      <c r="AJ60" s="677"/>
      <c r="AK60" s="678"/>
      <c r="AL60" s="678"/>
      <c r="AM60" s="678"/>
      <c r="AN60" s="678"/>
      <c r="AO60" s="677"/>
      <c r="AP60" s="678"/>
      <c r="AQ60" s="678"/>
      <c r="AR60" s="678"/>
      <c r="AS60" s="678"/>
      <c r="AT60" s="677"/>
      <c r="AU60" s="678"/>
      <c r="AV60" s="678"/>
      <c r="AW60" s="678"/>
      <c r="AX60" s="678"/>
      <c r="AY60" s="677"/>
      <c r="AZ60" s="678"/>
      <c r="BA60" s="678"/>
      <c r="BB60" s="678"/>
      <c r="BC60" s="678"/>
      <c r="BD60" s="677"/>
      <c r="BE60" s="678"/>
      <c r="BF60" s="678"/>
      <c r="BG60" s="678"/>
      <c r="BH60" s="678"/>
      <c r="BI60" s="677"/>
      <c r="BJ60" s="678"/>
      <c r="BK60" s="678"/>
      <c r="BL60" s="678"/>
      <c r="BM60" s="678"/>
      <c r="BN60" s="677"/>
      <c r="BO60" s="678"/>
      <c r="BP60" s="678"/>
      <c r="BQ60" s="678"/>
      <c r="BR60" s="678"/>
    </row>
    <row r="61" spans="1:83" ht="27" hidden="1" thickBot="1" x14ac:dyDescent="0.3">
      <c r="A61" s="677"/>
      <c r="B61" s="32"/>
      <c r="C61" s="33"/>
      <c r="D61" s="34"/>
      <c r="E61" s="35"/>
      <c r="F61" s="677"/>
      <c r="G61" s="32"/>
      <c r="H61" s="33"/>
      <c r="I61" s="34"/>
      <c r="J61" s="35"/>
      <c r="K61" s="677"/>
      <c r="L61" s="32"/>
      <c r="M61" s="33"/>
      <c r="N61" s="34"/>
      <c r="O61" s="35"/>
      <c r="P61" s="677"/>
      <c r="Q61" s="32"/>
      <c r="R61" s="33"/>
      <c r="S61" s="34"/>
      <c r="T61" s="35"/>
      <c r="U61" s="677"/>
      <c r="V61" s="32"/>
      <c r="W61" s="33"/>
      <c r="X61" s="34"/>
      <c r="Y61" s="35"/>
      <c r="Z61" s="677"/>
      <c r="AA61" s="32"/>
      <c r="AB61" s="33"/>
      <c r="AC61" s="34"/>
      <c r="AD61" s="35"/>
      <c r="AE61" s="677"/>
      <c r="AF61" s="32"/>
      <c r="AG61" s="33"/>
      <c r="AH61" s="34"/>
      <c r="AI61" s="35"/>
      <c r="AJ61" s="677"/>
      <c r="AK61" s="32"/>
      <c r="AL61" s="33"/>
      <c r="AM61" s="34"/>
      <c r="AN61" s="35"/>
      <c r="AO61" s="677"/>
      <c r="AP61" s="32"/>
      <c r="AQ61" s="33"/>
      <c r="AR61" s="34"/>
      <c r="AS61" s="35"/>
      <c r="AT61" s="677"/>
      <c r="AU61" s="32"/>
      <c r="AV61" s="33"/>
      <c r="AW61" s="34"/>
      <c r="AX61" s="35"/>
      <c r="AY61" s="677"/>
      <c r="AZ61" s="32"/>
      <c r="BA61" s="33"/>
      <c r="BB61" s="34"/>
      <c r="BC61" s="35"/>
      <c r="BD61" s="677"/>
      <c r="BE61" s="32"/>
      <c r="BF61" s="33"/>
      <c r="BG61" s="34"/>
      <c r="BH61" s="35"/>
      <c r="BI61" s="677"/>
      <c r="BJ61" s="32"/>
      <c r="BK61" s="33"/>
      <c r="BL61" s="34"/>
      <c r="BM61" s="35"/>
      <c r="BN61" s="677"/>
      <c r="BO61" s="32"/>
      <c r="BP61" s="33"/>
      <c r="BQ61" s="34"/>
      <c r="BR61" s="35"/>
      <c r="BW61" s="27"/>
      <c r="BX61" s="27"/>
      <c r="BY61" s="27"/>
      <c r="BZ61" s="27"/>
      <c r="CA61" s="27"/>
      <c r="CB61" s="27"/>
      <c r="CC61" s="27"/>
      <c r="CD61" s="27"/>
      <c r="CE61" s="27"/>
    </row>
    <row r="62" spans="1:83" s="42" customFormat="1" ht="30" customHeight="1" thickTop="1" x14ac:dyDescent="0.25">
      <c r="A62" s="37"/>
      <c r="B62" s="38"/>
      <c r="C62" s="39"/>
      <c r="D62" s="40"/>
      <c r="E62" s="41"/>
      <c r="F62" s="37"/>
      <c r="G62" s="38"/>
      <c r="H62" s="39"/>
      <c r="I62" s="40"/>
      <c r="J62" s="41"/>
      <c r="K62" s="37"/>
      <c r="L62" s="38"/>
      <c r="M62" s="39"/>
      <c r="N62" s="40"/>
      <c r="O62" s="41"/>
      <c r="P62" s="37"/>
      <c r="Q62" s="38"/>
      <c r="R62" s="39"/>
      <c r="S62" s="40"/>
      <c r="T62" s="41"/>
      <c r="U62" s="37"/>
      <c r="V62" s="38"/>
      <c r="W62" s="38"/>
      <c r="X62" s="39"/>
      <c r="Y62" s="40"/>
      <c r="Z62" s="41"/>
      <c r="AA62" s="37"/>
      <c r="AB62" s="38"/>
      <c r="AC62" s="39"/>
      <c r="AD62" s="40"/>
      <c r="AE62" s="41"/>
      <c r="AF62" s="38"/>
      <c r="AG62" s="39"/>
      <c r="AH62" s="40"/>
      <c r="AI62" s="41"/>
      <c r="AJ62" s="37"/>
      <c r="AK62" s="38"/>
      <c r="AL62" s="39"/>
      <c r="AM62" s="40"/>
      <c r="AN62" s="41"/>
      <c r="AO62" s="38"/>
      <c r="AP62" s="39"/>
      <c r="AQ62" s="40"/>
      <c r="AR62" s="41"/>
      <c r="AS62" s="37"/>
      <c r="AT62" s="38"/>
      <c r="AU62" s="39"/>
      <c r="AV62" s="40"/>
      <c r="AW62" s="41"/>
      <c r="AX62" s="38"/>
      <c r="AY62" s="39"/>
      <c r="AZ62" s="40"/>
      <c r="BA62" s="41"/>
      <c r="BB62" s="37"/>
      <c r="BC62" s="38"/>
      <c r="BD62" s="39"/>
      <c r="BE62" s="40"/>
      <c r="BF62" s="41"/>
      <c r="BG62" s="38"/>
      <c r="BH62" s="39"/>
      <c r="BI62" s="40"/>
      <c r="BJ62" s="41"/>
      <c r="BK62" s="37"/>
      <c r="BL62" s="38"/>
      <c r="BM62" s="39"/>
      <c r="BN62" s="40"/>
      <c r="BO62" s="41"/>
      <c r="BP62" s="38"/>
      <c r="BQ62" s="39"/>
      <c r="BR62" s="40"/>
      <c r="BW62" s="43"/>
      <c r="BX62" s="43"/>
      <c r="BY62" s="43"/>
      <c r="BZ62" s="43"/>
      <c r="CA62" s="43"/>
      <c r="CB62" s="43"/>
      <c r="CC62" s="43"/>
      <c r="CD62" s="43"/>
      <c r="CE62" s="43"/>
    </row>
    <row r="63" spans="1:83" ht="21.95" customHeight="1" x14ac:dyDescent="0.25">
      <c r="A63" s="674"/>
      <c r="B63" s="674"/>
      <c r="C63" s="674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45"/>
      <c r="AN63" s="45"/>
      <c r="AO63" s="45"/>
      <c r="AP63" s="45"/>
      <c r="AQ63" s="45"/>
      <c r="AR63" s="45"/>
      <c r="AS63" s="45"/>
      <c r="AT63" s="45"/>
      <c r="AU63" s="45"/>
      <c r="AV63" s="45"/>
      <c r="AW63" s="45"/>
      <c r="AX63" s="45"/>
      <c r="AY63" s="45"/>
      <c r="AZ63" s="45"/>
      <c r="BA63" s="45"/>
      <c r="BB63" s="45"/>
      <c r="BC63" s="45"/>
      <c r="BD63" s="45"/>
      <c r="BE63" s="45"/>
      <c r="BF63" s="45"/>
      <c r="BG63" s="45"/>
      <c r="BH63" s="45"/>
      <c r="BI63" s="45"/>
      <c r="BJ63" s="45"/>
      <c r="BK63" s="45"/>
      <c r="BL63" s="45"/>
      <c r="BM63" s="45"/>
      <c r="BN63" s="45"/>
      <c r="BO63" s="45"/>
      <c r="BP63" s="45"/>
      <c r="BQ63" s="45"/>
      <c r="BR63" s="45"/>
    </row>
    <row r="64" spans="1:83" ht="6.75" customHeight="1" x14ac:dyDescent="0.25">
      <c r="A64" s="676"/>
      <c r="B64" s="676"/>
      <c r="C64" s="676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45"/>
      <c r="BD64" s="45"/>
      <c r="BE64" s="45"/>
      <c r="BF64" s="45"/>
      <c r="BG64" s="45"/>
      <c r="BH64" s="45"/>
      <c r="BI64" s="45"/>
      <c r="BJ64" s="45"/>
      <c r="BK64" s="45"/>
      <c r="BL64" s="45"/>
      <c r="BM64" s="45"/>
      <c r="BN64" s="45"/>
      <c r="BO64" s="45"/>
      <c r="BP64" s="45"/>
      <c r="BQ64" s="45"/>
      <c r="BR64" s="45"/>
    </row>
    <row r="65" spans="1:90" ht="37.5" customHeight="1" x14ac:dyDescent="0.25">
      <c r="A65" s="676"/>
      <c r="B65" s="676"/>
      <c r="C65" s="676"/>
      <c r="D65" s="49"/>
      <c r="E65" s="49"/>
      <c r="F65" s="49"/>
      <c r="G65" s="49"/>
      <c r="H65" s="49"/>
      <c r="I65" s="49"/>
      <c r="J65" s="49"/>
      <c r="K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5"/>
      <c r="AW65" s="45"/>
      <c r="AX65" s="45"/>
      <c r="AY65" s="45"/>
      <c r="AZ65" s="45"/>
      <c r="BA65" s="45"/>
      <c r="BB65" s="45"/>
      <c r="BC65" s="45"/>
      <c r="BD65" s="45"/>
      <c r="BE65" s="45"/>
      <c r="BF65" s="45"/>
      <c r="BG65" s="45"/>
      <c r="BH65" s="45"/>
      <c r="BI65" s="45"/>
      <c r="BJ65" s="45"/>
      <c r="BK65" s="45"/>
      <c r="BL65" s="45"/>
      <c r="BM65" s="45"/>
      <c r="BN65" s="45"/>
      <c r="BO65" s="45"/>
      <c r="BP65" s="45"/>
      <c r="BQ65" s="45"/>
      <c r="BR65" s="45"/>
    </row>
    <row r="66" spans="1:90" ht="6" customHeight="1" x14ac:dyDescent="0.25">
      <c r="A66" s="676"/>
      <c r="B66" s="676"/>
      <c r="C66" s="676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5"/>
      <c r="BF66" s="45"/>
      <c r="BG66" s="45"/>
      <c r="BH66" s="45"/>
      <c r="BI66" s="45"/>
      <c r="BJ66" s="45"/>
      <c r="BK66" s="45"/>
      <c r="BL66" s="45"/>
      <c r="BM66" s="45"/>
      <c r="BN66" s="45"/>
      <c r="BO66" s="45"/>
      <c r="BP66" s="45"/>
      <c r="BQ66" s="45"/>
      <c r="BR66" s="45"/>
    </row>
    <row r="67" spans="1:90" ht="30" customHeight="1" x14ac:dyDescent="0.25">
      <c r="B67" s="17"/>
      <c r="D67" s="45"/>
      <c r="E67" s="45"/>
      <c r="F67" s="45"/>
      <c r="G67" s="45"/>
      <c r="H67" s="45"/>
      <c r="I67" s="45"/>
      <c r="J67" s="45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49"/>
      <c r="BC67" s="49"/>
      <c r="BD67" s="49"/>
      <c r="BE67" s="49"/>
      <c r="BF67" s="49"/>
      <c r="BG67" s="49"/>
      <c r="BH67" s="49"/>
      <c r="BI67" s="49"/>
      <c r="BJ67" s="49"/>
      <c r="BK67" s="49"/>
      <c r="BL67" s="49"/>
      <c r="BM67" s="49"/>
      <c r="BN67" s="49"/>
      <c r="BO67" s="49"/>
      <c r="BP67" s="49"/>
      <c r="BQ67" s="49"/>
      <c r="BR67" s="49"/>
      <c r="BS67" s="50"/>
      <c r="BT67" s="50"/>
      <c r="BW67" s="51"/>
      <c r="BX67" s="51"/>
      <c r="BY67" s="51"/>
      <c r="BZ67" s="51"/>
      <c r="CA67" s="51"/>
      <c r="CB67" s="51"/>
      <c r="CC67" s="27"/>
      <c r="CD67" s="27"/>
      <c r="CE67" s="27"/>
      <c r="CG67" s="27"/>
      <c r="CH67" s="27"/>
      <c r="CI67" s="27"/>
      <c r="CJ67" s="27"/>
      <c r="CK67" s="27"/>
      <c r="CL67" s="27"/>
    </row>
    <row r="68" spans="1:90" ht="34.5" customHeight="1" x14ac:dyDescent="0.25"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45"/>
      <c r="AS68" s="45"/>
      <c r="AT68" s="45"/>
      <c r="AU68" s="45"/>
      <c r="AV68" s="45"/>
      <c r="AW68" s="45"/>
      <c r="AX68" s="45"/>
      <c r="AY68" s="45"/>
      <c r="AZ68" s="45"/>
      <c r="BA68" s="45"/>
      <c r="BB68" s="45"/>
      <c r="BC68" s="45"/>
      <c r="BD68" s="45"/>
      <c r="BE68" s="45"/>
      <c r="BF68" s="45"/>
      <c r="BG68" s="45"/>
      <c r="BH68" s="45"/>
      <c r="BI68" s="45"/>
      <c r="BJ68" s="45"/>
      <c r="BK68" s="45"/>
      <c r="BL68" s="45"/>
      <c r="BM68" s="45"/>
      <c r="BN68" s="45"/>
      <c r="BO68" s="45"/>
      <c r="BP68" s="45"/>
      <c r="BQ68" s="45"/>
      <c r="BR68" s="45"/>
      <c r="BS68" s="50"/>
      <c r="BT68" s="50"/>
      <c r="BW68" s="27"/>
      <c r="BX68" s="27"/>
      <c r="BY68" s="27"/>
      <c r="BZ68" s="27"/>
      <c r="CA68" s="27"/>
      <c r="CB68" s="27"/>
      <c r="CC68" s="27"/>
      <c r="CD68" s="27"/>
      <c r="CE68" s="27"/>
      <c r="CG68" s="27"/>
      <c r="CH68" s="27"/>
      <c r="CI68" s="27"/>
      <c r="CJ68" s="27"/>
      <c r="CK68" s="27"/>
      <c r="CL68" s="27"/>
    </row>
    <row r="69" spans="1:90" ht="15" customHeight="1" x14ac:dyDescent="0.25">
      <c r="G69" s="45"/>
      <c r="H69" s="45"/>
      <c r="I69" s="45"/>
      <c r="J69" s="52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5"/>
      <c r="AW69" s="45"/>
      <c r="AX69" s="45"/>
      <c r="AY69" s="45"/>
      <c r="AZ69" s="45"/>
      <c r="BA69" s="45"/>
      <c r="BB69" s="45"/>
      <c r="BC69" s="45"/>
      <c r="BD69" s="45"/>
      <c r="BE69" s="45"/>
      <c r="BF69" s="45"/>
      <c r="BG69" s="45"/>
      <c r="BH69" s="45"/>
      <c r="BI69" s="45"/>
      <c r="BJ69" s="45"/>
      <c r="BK69" s="45"/>
      <c r="BL69" s="45"/>
      <c r="BM69" s="45"/>
      <c r="BN69" s="45"/>
      <c r="BO69" s="45"/>
      <c r="BP69" s="45"/>
      <c r="BQ69" s="45"/>
      <c r="BR69" s="45"/>
      <c r="BS69" s="50"/>
      <c r="BT69" s="50"/>
      <c r="BW69" s="27"/>
      <c r="BX69" s="27"/>
      <c r="BY69" s="27"/>
      <c r="BZ69" s="27"/>
      <c r="CA69" s="27"/>
      <c r="CB69" s="27"/>
      <c r="CC69" s="27"/>
      <c r="CD69" s="27"/>
      <c r="CE69" s="27"/>
      <c r="CG69" s="27"/>
      <c r="CH69" s="27"/>
      <c r="CI69" s="27"/>
      <c r="CJ69" s="27"/>
      <c r="CK69" s="27"/>
      <c r="CL69" s="27"/>
    </row>
    <row r="70" spans="1:90" ht="15" customHeight="1" x14ac:dyDescent="0.25">
      <c r="G70" s="45"/>
      <c r="H70" s="45"/>
      <c r="I70" s="45"/>
      <c r="J70" s="52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38"/>
      <c r="X70" s="39"/>
      <c r="Y70" s="40"/>
      <c r="Z70" s="41"/>
      <c r="AA70" s="37"/>
      <c r="AB70" s="38"/>
      <c r="AC70" s="39"/>
      <c r="AD70" s="40"/>
      <c r="AE70" s="41"/>
      <c r="AF70" s="38"/>
      <c r="AG70" s="39"/>
      <c r="AH70" s="40"/>
      <c r="AI70" s="41"/>
      <c r="AJ70" s="37"/>
      <c r="AK70" s="38"/>
      <c r="AL70" s="39"/>
      <c r="AM70" s="40"/>
      <c r="AN70" s="41"/>
      <c r="AO70" s="38"/>
      <c r="AP70" s="39"/>
      <c r="AQ70" s="40"/>
      <c r="AR70" s="41"/>
      <c r="AS70" s="37"/>
      <c r="AT70" s="38"/>
      <c r="AU70" s="39"/>
      <c r="AV70" s="40"/>
      <c r="AW70" s="41"/>
      <c r="AX70" s="38"/>
      <c r="AY70" s="39"/>
      <c r="AZ70" s="40"/>
      <c r="BA70" s="41"/>
      <c r="BB70" s="37"/>
      <c r="BC70" s="38"/>
      <c r="BD70" s="39"/>
      <c r="BE70" s="40"/>
      <c r="BF70" s="41"/>
      <c r="BG70" s="38"/>
      <c r="BH70" s="39"/>
      <c r="BI70" s="40"/>
      <c r="BJ70" s="41"/>
      <c r="BK70" s="37"/>
      <c r="BL70" s="38"/>
      <c r="BM70" s="39"/>
      <c r="BN70" s="40"/>
      <c r="BO70" s="41"/>
      <c r="BP70" s="38"/>
      <c r="BQ70" s="39"/>
      <c r="BR70" s="40"/>
      <c r="BS70" s="50"/>
      <c r="BT70" s="50"/>
      <c r="BW70" s="27"/>
      <c r="BX70" s="27"/>
      <c r="BY70" s="27"/>
      <c r="BZ70" s="27"/>
      <c r="CA70" s="27"/>
      <c r="CB70" s="27"/>
      <c r="CC70" s="27"/>
      <c r="CD70" s="27"/>
      <c r="CE70" s="27"/>
      <c r="CG70" s="27"/>
      <c r="CH70" s="27"/>
      <c r="CI70" s="27"/>
      <c r="CJ70" s="27"/>
      <c r="CK70" s="27"/>
      <c r="CL70" s="27"/>
    </row>
    <row r="71" spans="1:90" ht="15" customHeight="1" x14ac:dyDescent="0.25">
      <c r="G71" s="49"/>
      <c r="H71" s="49"/>
      <c r="I71" s="49"/>
      <c r="J71" s="52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  <c r="AM71" s="45"/>
      <c r="AN71" s="45"/>
      <c r="AO71" s="45"/>
      <c r="AP71" s="45"/>
      <c r="AQ71" s="45"/>
      <c r="AR71" s="45"/>
      <c r="AS71" s="45"/>
      <c r="AT71" s="45"/>
      <c r="AU71" s="45"/>
      <c r="AV71" s="45"/>
      <c r="AW71" s="45"/>
      <c r="AX71" s="45"/>
      <c r="AY71" s="45"/>
      <c r="AZ71" s="45"/>
      <c r="BA71" s="45"/>
      <c r="BB71" s="45"/>
      <c r="BC71" s="45"/>
      <c r="BD71" s="45"/>
      <c r="BE71" s="45"/>
      <c r="BF71" s="45"/>
      <c r="BG71" s="45"/>
      <c r="BH71" s="45"/>
      <c r="BI71" s="45"/>
      <c r="BJ71" s="45"/>
      <c r="BK71" s="45"/>
      <c r="BL71" s="45"/>
      <c r="BM71" s="45"/>
      <c r="BN71" s="45"/>
      <c r="BO71" s="45"/>
      <c r="BP71" s="45"/>
      <c r="BQ71" s="45"/>
      <c r="BR71" s="45"/>
      <c r="BS71" s="53"/>
      <c r="BT71" s="53"/>
    </row>
    <row r="72" spans="1:90" ht="22.5" customHeight="1" x14ac:dyDescent="0.25">
      <c r="G72" s="45"/>
      <c r="H72" s="45"/>
      <c r="I72" s="45"/>
      <c r="J72" s="52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  <c r="BC72" s="45"/>
      <c r="BD72" s="45"/>
      <c r="BE72" s="45"/>
      <c r="BF72" s="45"/>
      <c r="BG72" s="45"/>
      <c r="BH72" s="45"/>
      <c r="BI72" s="45"/>
      <c r="BJ72" s="45"/>
      <c r="BK72" s="45"/>
      <c r="BL72" s="45"/>
      <c r="BM72" s="45"/>
      <c r="BN72" s="45"/>
      <c r="BO72" s="45"/>
      <c r="BP72" s="45"/>
      <c r="BQ72" s="45"/>
      <c r="BR72" s="45"/>
      <c r="BS72" s="53"/>
      <c r="BT72" s="53"/>
    </row>
    <row r="73" spans="1:90" ht="23.25" x14ac:dyDescent="0.35">
      <c r="A73" s="54"/>
      <c r="E73" s="54"/>
      <c r="F73" s="54"/>
      <c r="G73" s="54"/>
      <c r="H73" s="54"/>
      <c r="I73" s="54"/>
      <c r="J73" s="54"/>
      <c r="K73" s="54"/>
    </row>
    <row r="74" spans="1:90" ht="24" thickBot="1" x14ac:dyDescent="0.4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X74" s="55"/>
    </row>
    <row r="75" spans="1:90" ht="15.75" thickTop="1" x14ac:dyDescent="0.25">
      <c r="AD75" s="775">
        <v>18.77</v>
      </c>
      <c r="AE75" s="776"/>
      <c r="AF75" s="776"/>
      <c r="AG75" s="776"/>
      <c r="AH75" s="777"/>
      <c r="AL75" s="727" t="s">
        <v>122</v>
      </c>
      <c r="AM75" s="727"/>
      <c r="AN75" s="727"/>
      <c r="AO75" s="727" t="s">
        <v>123</v>
      </c>
      <c r="AP75" s="727"/>
      <c r="AQ75" s="727"/>
      <c r="AR75" s="727" t="s">
        <v>124</v>
      </c>
      <c r="AS75" s="727"/>
      <c r="AT75" s="727" t="s">
        <v>125</v>
      </c>
      <c r="AU75" s="727"/>
      <c r="AY75" s="739" t="s">
        <v>126</v>
      </c>
      <c r="AZ75" s="740"/>
      <c r="BA75" s="740"/>
      <c r="BB75" s="740"/>
      <c r="BC75" s="740"/>
      <c r="BD75" s="740"/>
      <c r="BE75" s="740"/>
      <c r="BF75" s="740"/>
      <c r="BG75" s="740"/>
      <c r="BH75" s="741"/>
      <c r="BI75" s="13"/>
      <c r="BJ75" s="13"/>
      <c r="BK75" s="13"/>
      <c r="BL75" s="13"/>
      <c r="BM75" s="13"/>
      <c r="BN75" s="13"/>
      <c r="BO75" s="13"/>
      <c r="BP75" s="13"/>
      <c r="BQ75" s="13"/>
      <c r="BR75" s="13"/>
    </row>
    <row r="76" spans="1:90" ht="15" customHeight="1" x14ac:dyDescent="0.25">
      <c r="O76" s="114" t="s">
        <v>127</v>
      </c>
      <c r="P76" s="114"/>
      <c r="Q76" s="114"/>
      <c r="R76" s="114"/>
      <c r="S76" s="114"/>
      <c r="T76" s="114"/>
      <c r="U76" s="114"/>
      <c r="V76" s="114"/>
      <c r="AD76" s="778"/>
      <c r="AE76" s="779"/>
      <c r="AF76" s="779"/>
      <c r="AG76" s="779"/>
      <c r="AH76" s="780"/>
      <c r="AL76" s="727"/>
      <c r="AM76" s="727"/>
      <c r="AN76" s="727"/>
      <c r="AO76" s="727"/>
      <c r="AP76" s="727"/>
      <c r="AQ76" s="727"/>
      <c r="AR76" s="727"/>
      <c r="AS76" s="727"/>
      <c r="AT76" s="727"/>
      <c r="AU76" s="727"/>
      <c r="AY76" s="750"/>
      <c r="AZ76" s="751"/>
      <c r="BA76" s="751"/>
      <c r="BB76" s="751"/>
      <c r="BC76" s="751"/>
      <c r="BD76" s="751"/>
      <c r="BE76" s="751"/>
      <c r="BF76" s="751"/>
      <c r="BG76" s="751"/>
      <c r="BH76" s="752"/>
      <c r="BI76" s="13"/>
      <c r="BJ76" s="13"/>
      <c r="BK76" s="13"/>
      <c r="BL76" s="13"/>
      <c r="BM76" s="13"/>
      <c r="BN76" s="13"/>
      <c r="BO76" s="13"/>
      <c r="BP76" s="13"/>
      <c r="BQ76" s="13"/>
      <c r="BR76" s="13"/>
    </row>
    <row r="77" spans="1:90" ht="15" customHeight="1" x14ac:dyDescent="0.25">
      <c r="O77" s="114"/>
      <c r="P77" s="114"/>
      <c r="Q77" s="114"/>
      <c r="R77" s="114"/>
      <c r="S77" s="114"/>
      <c r="T77" s="114"/>
      <c r="U77" s="114"/>
      <c r="V77" s="114"/>
      <c r="AA77" s="56"/>
      <c r="AD77" s="778"/>
      <c r="AE77" s="779"/>
      <c r="AF77" s="779"/>
      <c r="AG77" s="779"/>
      <c r="AH77" s="780"/>
      <c r="AL77" s="727"/>
      <c r="AM77" s="727"/>
      <c r="AN77" s="727"/>
      <c r="AO77" s="727"/>
      <c r="AP77" s="727"/>
      <c r="AQ77" s="727"/>
      <c r="AR77" s="727"/>
      <c r="AS77" s="727"/>
      <c r="AT77" s="727"/>
      <c r="AU77" s="727"/>
      <c r="AY77" s="742"/>
      <c r="AZ77" s="743"/>
      <c r="BA77" s="743"/>
      <c r="BB77" s="743"/>
      <c r="BC77" s="743"/>
      <c r="BD77" s="743"/>
      <c r="BE77" s="743"/>
      <c r="BF77" s="743"/>
      <c r="BG77" s="743"/>
      <c r="BH77" s="744"/>
      <c r="BI77" s="13"/>
      <c r="BJ77" s="13"/>
      <c r="BK77" s="13"/>
      <c r="BL77" s="13"/>
      <c r="BM77" s="13"/>
      <c r="BN77" s="13"/>
      <c r="BO77" s="13"/>
      <c r="BP77" s="13"/>
      <c r="BQ77" s="13"/>
      <c r="BR77" s="13"/>
    </row>
    <row r="78" spans="1:90" ht="15" customHeight="1" x14ac:dyDescent="0.25">
      <c r="O78" s="114"/>
      <c r="P78" s="114"/>
      <c r="Q78" s="114"/>
      <c r="R78" s="114"/>
      <c r="S78" s="114"/>
      <c r="T78" s="114"/>
      <c r="U78" s="114"/>
      <c r="V78" s="114"/>
      <c r="AD78" s="778"/>
      <c r="AE78" s="779"/>
      <c r="AF78" s="779"/>
      <c r="AG78" s="779"/>
      <c r="AH78" s="780"/>
      <c r="AL78" s="774">
        <v>4900</v>
      </c>
      <c r="AM78" s="774"/>
      <c r="AN78" s="774"/>
      <c r="AO78" s="774">
        <f ca="1">AT94</f>
        <v>4900</v>
      </c>
      <c r="AP78" s="774"/>
      <c r="AQ78" s="774"/>
      <c r="AR78" s="726">
        <f>AS39</f>
        <v>18.771201121100095</v>
      </c>
      <c r="AS78" s="726"/>
      <c r="AT78" s="726">
        <f>AS39+BJ41</f>
        <v>51.771201121100091</v>
      </c>
      <c r="AU78" s="726"/>
      <c r="AY78" s="727" t="s">
        <v>128</v>
      </c>
      <c r="AZ78" s="727"/>
      <c r="BA78" s="727"/>
      <c r="BB78" s="727"/>
      <c r="BC78" s="727"/>
      <c r="BD78" s="727"/>
      <c r="BE78" s="727"/>
      <c r="BF78" s="727"/>
      <c r="BG78" s="727"/>
      <c r="BH78" s="727"/>
      <c r="BI78" s="13"/>
      <c r="BJ78" s="13"/>
      <c r="BK78" s="13"/>
      <c r="BL78" s="13"/>
      <c r="BM78" s="13"/>
      <c r="BN78" s="13"/>
      <c r="BO78" s="13"/>
      <c r="BP78" s="13"/>
      <c r="BQ78" s="13"/>
      <c r="BR78" s="13"/>
    </row>
    <row r="79" spans="1:90" ht="15" customHeight="1" x14ac:dyDescent="0.25">
      <c r="O79" s="114"/>
      <c r="P79" s="114"/>
      <c r="Q79" s="114"/>
      <c r="R79" s="114"/>
      <c r="S79" s="114"/>
      <c r="T79" s="114"/>
      <c r="U79" s="114"/>
      <c r="V79" s="114"/>
      <c r="AD79" s="778"/>
      <c r="AE79" s="779"/>
      <c r="AF79" s="779"/>
      <c r="AG79" s="779"/>
      <c r="AH79" s="780"/>
      <c r="AL79" s="774"/>
      <c r="AM79" s="774"/>
      <c r="AN79" s="774"/>
      <c r="AO79" s="774"/>
      <c r="AP79" s="774"/>
      <c r="AQ79" s="774"/>
      <c r="AR79" s="726"/>
      <c r="AS79" s="726"/>
      <c r="AT79" s="726"/>
      <c r="AU79" s="726"/>
      <c r="AY79" s="727"/>
      <c r="AZ79" s="727"/>
      <c r="BA79" s="727"/>
      <c r="BB79" s="727"/>
      <c r="BC79" s="727"/>
      <c r="BD79" s="727"/>
      <c r="BE79" s="727"/>
      <c r="BF79" s="727"/>
      <c r="BG79" s="727"/>
      <c r="BH79" s="727"/>
      <c r="BI79" s="13"/>
      <c r="BJ79" s="13"/>
      <c r="BK79" s="13"/>
      <c r="BL79" s="13"/>
      <c r="BM79" s="13"/>
      <c r="BN79" s="13"/>
      <c r="BO79" s="13"/>
      <c r="BP79" s="13"/>
      <c r="BQ79" s="13"/>
      <c r="BR79" s="13"/>
    </row>
    <row r="80" spans="1:90" ht="15" customHeight="1" x14ac:dyDescent="0.25">
      <c r="O80" s="114"/>
      <c r="P80" s="114"/>
      <c r="Q80" s="114"/>
      <c r="R80" s="114"/>
      <c r="S80" s="114"/>
      <c r="T80" s="114"/>
      <c r="U80" s="114"/>
      <c r="V80" s="114"/>
      <c r="AD80" s="778"/>
      <c r="AE80" s="779"/>
      <c r="AF80" s="779"/>
      <c r="AG80" s="779"/>
      <c r="AH80" s="780"/>
      <c r="AL80" s="774"/>
      <c r="AM80" s="774"/>
      <c r="AN80" s="774"/>
      <c r="AO80" s="774"/>
      <c r="AP80" s="774"/>
      <c r="AQ80" s="774"/>
      <c r="AR80" s="726"/>
      <c r="AS80" s="726"/>
      <c r="AT80" s="726"/>
      <c r="AU80" s="726"/>
      <c r="AY80" s="728">
        <f ca="1">AR78/((36*3.1415/59)*(AO78/3.281))</f>
        <v>6.5571430769734169E-3</v>
      </c>
      <c r="AZ80" s="729"/>
      <c r="BA80" s="729"/>
      <c r="BB80" s="729"/>
      <c r="BC80" s="729"/>
      <c r="BD80" s="729"/>
      <c r="BE80" s="729"/>
      <c r="BF80" s="729"/>
      <c r="BG80" s="729"/>
      <c r="BH80" s="730"/>
      <c r="BI80" s="57"/>
      <c r="BJ80" s="57"/>
      <c r="BK80" s="57"/>
      <c r="BL80" s="57"/>
      <c r="BM80" s="57"/>
      <c r="BN80" s="57"/>
      <c r="BO80" s="57"/>
      <c r="BP80" s="57"/>
      <c r="BQ80" s="57"/>
      <c r="BR80" s="57"/>
    </row>
    <row r="81" spans="30:70" ht="15.75" customHeight="1" thickBot="1" x14ac:dyDescent="0.3">
      <c r="AD81" s="781"/>
      <c r="AE81" s="782"/>
      <c r="AF81" s="782"/>
      <c r="AG81" s="782"/>
      <c r="AH81" s="783"/>
      <c r="AL81" s="774"/>
      <c r="AM81" s="774"/>
      <c r="AN81" s="774"/>
      <c r="AO81" s="774"/>
      <c r="AP81" s="774"/>
      <c r="AQ81" s="774"/>
      <c r="AR81" s="726"/>
      <c r="AS81" s="726"/>
      <c r="AT81" s="726"/>
      <c r="AU81" s="726"/>
      <c r="AY81" s="731"/>
      <c r="AZ81" s="732"/>
      <c r="BA81" s="732"/>
      <c r="BB81" s="732"/>
      <c r="BC81" s="732"/>
      <c r="BD81" s="732"/>
      <c r="BE81" s="732"/>
      <c r="BF81" s="732"/>
      <c r="BG81" s="732"/>
      <c r="BH81" s="733"/>
      <c r="BI81" s="57"/>
      <c r="BJ81" s="57"/>
      <c r="BK81" s="57"/>
      <c r="BL81" s="57"/>
      <c r="BM81" s="57"/>
      <c r="BN81" s="57"/>
      <c r="BO81" s="57"/>
      <c r="BP81" s="57"/>
      <c r="BQ81" s="57"/>
      <c r="BR81" s="57"/>
    </row>
    <row r="82" spans="30:70" ht="15.75" customHeight="1" thickTop="1" x14ac:dyDescent="0.25">
      <c r="AY82" s="734"/>
      <c r="AZ82" s="735"/>
      <c r="BA82" s="735"/>
      <c r="BB82" s="735"/>
      <c r="BC82" s="735"/>
      <c r="BD82" s="735"/>
      <c r="BE82" s="735"/>
      <c r="BF82" s="735"/>
      <c r="BG82" s="735"/>
      <c r="BH82" s="736"/>
      <c r="BI82" s="57"/>
      <c r="BJ82" s="57"/>
      <c r="BK82" s="57"/>
      <c r="BL82" s="57"/>
      <c r="BM82" s="57"/>
      <c r="BN82" s="57"/>
      <c r="BO82" s="57"/>
      <c r="BP82" s="57"/>
      <c r="BQ82" s="57"/>
      <c r="BR82" s="57"/>
    </row>
    <row r="83" spans="30:70" x14ac:dyDescent="0.25">
      <c r="AY83" s="739" t="s">
        <v>129</v>
      </c>
      <c r="AZ83" s="740"/>
      <c r="BA83" s="740"/>
      <c r="BB83" s="740"/>
      <c r="BC83" s="740"/>
      <c r="BD83" s="740"/>
      <c r="BE83" s="740"/>
      <c r="BF83" s="740"/>
      <c r="BG83" s="740"/>
      <c r="BH83" s="741"/>
      <c r="BI83" s="13"/>
      <c r="BJ83" s="13"/>
      <c r="BK83" s="13"/>
      <c r="BL83" s="13"/>
      <c r="BM83" s="13"/>
      <c r="BN83" s="13"/>
      <c r="BO83" s="13"/>
      <c r="BP83" s="13"/>
      <c r="BQ83" s="13"/>
      <c r="BR83" s="13"/>
    </row>
    <row r="84" spans="30:70" x14ac:dyDescent="0.25">
      <c r="AY84" s="742"/>
      <c r="AZ84" s="743"/>
      <c r="BA84" s="743"/>
      <c r="BB84" s="743"/>
      <c r="BC84" s="743"/>
      <c r="BD84" s="743"/>
      <c r="BE84" s="743"/>
      <c r="BF84" s="743"/>
      <c r="BG84" s="743"/>
      <c r="BH84" s="744"/>
      <c r="BI84" s="13"/>
      <c r="BJ84" s="13"/>
      <c r="BK84" s="13"/>
      <c r="BL84" s="13"/>
      <c r="BM84" s="13"/>
      <c r="BN84" s="13"/>
      <c r="BO84" s="13"/>
      <c r="BP84" s="13"/>
      <c r="BQ84" s="13"/>
      <c r="BR84" s="13"/>
    </row>
    <row r="85" spans="30:70" x14ac:dyDescent="0.25">
      <c r="AN85" s="1255">
        <v>70</v>
      </c>
      <c r="AO85" s="1255"/>
      <c r="AP85" s="1255"/>
      <c r="AQ85" s="746" cm="1">
        <f t="array" aca="1" ref="AQ85" ca="1">SUM(COUNTIF(INDIRECT({"B7","G7","L7","Q7","V7","AA7","AF7","AK7","AP7","AU7","AZ7","BE7","BJ7","BO7","B13","G13","L13","Q13","V13","AA13","AF13","AK13","AP13","AU13","AZ13","BE13","BJ13","BO13","B19","G19","L19","Q19","V19","AA19","AF19","AK19","AP19","AU19","AZ19","BE19","BJ19","BO19","B25","G25","L25","Q25","V25","AA25","AF25","AK25","AP25","AU25","AZ25","BE25","BJ25","BO25","B31","G31","L31","Q31","V31","AA31","AF31","AK31","AP31","AU31","AZ31","BE31","BJ31","BO31"}),"&gt;0"))</f>
        <v>70</v>
      </c>
      <c r="AR85" s="746"/>
      <c r="AS85" s="746"/>
      <c r="AT85" s="747">
        <f ca="1">AQ85*AN85</f>
        <v>4900</v>
      </c>
      <c r="AU85" s="748"/>
      <c r="AV85" s="748"/>
      <c r="AW85" s="749"/>
      <c r="AY85" s="739" t="s">
        <v>130</v>
      </c>
      <c r="AZ85" s="740"/>
      <c r="BA85" s="740"/>
      <c r="BB85" s="740"/>
      <c r="BC85" s="740"/>
      <c r="BD85" s="740"/>
      <c r="BE85" s="740"/>
      <c r="BF85" s="740"/>
      <c r="BG85" s="740"/>
      <c r="BH85" s="741"/>
      <c r="BI85" s="13"/>
      <c r="BJ85" s="13"/>
      <c r="BK85" s="13"/>
      <c r="BL85" s="13"/>
      <c r="BM85" s="13"/>
      <c r="BN85" s="13"/>
      <c r="BO85" s="13"/>
      <c r="BP85" s="13"/>
      <c r="BQ85" s="13"/>
      <c r="BR85" s="13"/>
    </row>
    <row r="86" spans="30:70" x14ac:dyDescent="0.25">
      <c r="AN86" s="1255"/>
      <c r="AO86" s="1255"/>
      <c r="AP86" s="1255"/>
      <c r="AQ86" s="746"/>
      <c r="AR86" s="746"/>
      <c r="AS86" s="746"/>
      <c r="AT86" s="747"/>
      <c r="AU86" s="748"/>
      <c r="AV86" s="748"/>
      <c r="AW86" s="749"/>
      <c r="AY86" s="750"/>
      <c r="AZ86" s="751"/>
      <c r="BA86" s="751"/>
      <c r="BB86" s="751"/>
      <c r="BC86" s="751"/>
      <c r="BD86" s="751"/>
      <c r="BE86" s="751"/>
      <c r="BF86" s="751"/>
      <c r="BG86" s="751"/>
      <c r="BH86" s="752"/>
      <c r="BI86" s="13"/>
      <c r="BJ86" s="13"/>
      <c r="BK86" s="13"/>
      <c r="BL86" s="13"/>
      <c r="BM86" s="13"/>
      <c r="BN86" s="13"/>
      <c r="BO86" s="13"/>
      <c r="BP86" s="13"/>
      <c r="BQ86" s="13"/>
      <c r="BR86" s="13"/>
    </row>
    <row r="87" spans="30:70" ht="15" customHeight="1" x14ac:dyDescent="0.25">
      <c r="AN87" s="1255"/>
      <c r="AO87" s="1255"/>
      <c r="AP87" s="1255"/>
      <c r="AQ87" s="746"/>
      <c r="AR87" s="746"/>
      <c r="AS87" s="746"/>
      <c r="AT87" s="747"/>
      <c r="AU87" s="748"/>
      <c r="AV87" s="748"/>
      <c r="AW87" s="749"/>
      <c r="AY87" s="750"/>
      <c r="AZ87" s="751"/>
      <c r="BA87" s="751"/>
      <c r="BB87" s="751"/>
      <c r="BC87" s="751"/>
      <c r="BD87" s="751"/>
      <c r="BE87" s="751"/>
      <c r="BF87" s="751"/>
      <c r="BG87" s="751"/>
      <c r="BH87" s="752"/>
      <c r="BI87" s="13"/>
      <c r="BJ87" s="13"/>
      <c r="BK87" s="13"/>
      <c r="BL87" s="13"/>
      <c r="BM87" s="13"/>
      <c r="BN87" s="13"/>
      <c r="BO87" s="13"/>
      <c r="BP87" s="13"/>
      <c r="BQ87" s="13"/>
      <c r="BR87" s="13"/>
    </row>
    <row r="88" spans="30:70" ht="15" customHeight="1" x14ac:dyDescent="0.25">
      <c r="AN88" s="727"/>
      <c r="AO88" s="727"/>
      <c r="AP88" s="727"/>
      <c r="AQ88" s="746"/>
      <c r="AR88" s="746"/>
      <c r="AS88" s="746"/>
      <c r="AT88" s="747"/>
      <c r="AU88" s="748"/>
      <c r="AV88" s="748"/>
      <c r="AW88" s="749"/>
      <c r="AY88" s="742"/>
      <c r="AZ88" s="743"/>
      <c r="BA88" s="743"/>
      <c r="BB88" s="743"/>
      <c r="BC88" s="743"/>
      <c r="BD88" s="743"/>
      <c r="BE88" s="743"/>
      <c r="BF88" s="743"/>
      <c r="BG88" s="743"/>
      <c r="BH88" s="744"/>
      <c r="BI88" s="13"/>
      <c r="BJ88" s="13"/>
      <c r="BK88" s="13"/>
      <c r="BL88" s="13"/>
      <c r="BM88" s="13"/>
      <c r="BN88" s="13"/>
      <c r="BO88" s="13"/>
      <c r="BP88" s="13"/>
      <c r="BQ88" s="13"/>
      <c r="BR88" s="13"/>
    </row>
    <row r="89" spans="30:70" ht="26.25" x14ac:dyDescent="0.25">
      <c r="AN89" s="727"/>
      <c r="AO89" s="727"/>
      <c r="AP89" s="727"/>
      <c r="AQ89" s="746"/>
      <c r="AR89" s="746"/>
      <c r="AS89" s="746"/>
      <c r="AT89" s="747"/>
      <c r="AU89" s="748"/>
      <c r="AV89" s="748"/>
      <c r="AW89" s="749"/>
      <c r="AY89" s="728">
        <f ca="1">AT78/((36*3.1415/59)*(AO78/3.281))</f>
        <v>1.8084680400991038E-2</v>
      </c>
      <c r="AZ89" s="729"/>
      <c r="BA89" s="729"/>
      <c r="BB89" s="729"/>
      <c r="BC89" s="729"/>
      <c r="BD89" s="729"/>
      <c r="BE89" s="729"/>
      <c r="BF89" s="729"/>
      <c r="BG89" s="729"/>
      <c r="BH89" s="730"/>
      <c r="BI89" s="57"/>
      <c r="BJ89" s="57"/>
      <c r="BK89" s="57"/>
      <c r="BL89" s="57"/>
      <c r="BM89" s="57"/>
      <c r="BN89" s="57"/>
      <c r="BO89" s="57"/>
      <c r="BP89" s="57"/>
      <c r="BQ89" s="57"/>
      <c r="BR89" s="57"/>
    </row>
    <row r="90" spans="30:70" ht="26.25" x14ac:dyDescent="0.25">
      <c r="AN90" s="727"/>
      <c r="AO90" s="727"/>
      <c r="AP90" s="727"/>
      <c r="AQ90" s="746"/>
      <c r="AR90" s="746"/>
      <c r="AS90" s="746"/>
      <c r="AT90" s="747"/>
      <c r="AU90" s="748"/>
      <c r="AV90" s="748"/>
      <c r="AW90" s="749"/>
      <c r="AY90" s="731"/>
      <c r="AZ90" s="732"/>
      <c r="BA90" s="732"/>
      <c r="BB90" s="732"/>
      <c r="BC90" s="732"/>
      <c r="BD90" s="732"/>
      <c r="BE90" s="732"/>
      <c r="BF90" s="732"/>
      <c r="BG90" s="732"/>
      <c r="BH90" s="733"/>
      <c r="BI90" s="57"/>
      <c r="BJ90" s="57"/>
      <c r="BK90" s="57"/>
      <c r="BL90" s="57"/>
      <c r="BM90" s="57"/>
      <c r="BN90" s="57"/>
      <c r="BO90" s="57"/>
      <c r="BP90" s="57"/>
      <c r="BQ90" s="57"/>
      <c r="BR90" s="57"/>
    </row>
    <row r="91" spans="30:70" ht="15" customHeight="1" x14ac:dyDescent="0.25">
      <c r="AN91" s="727"/>
      <c r="AO91" s="727"/>
      <c r="AP91" s="727"/>
      <c r="AQ91" s="746"/>
      <c r="AR91" s="746"/>
      <c r="AS91" s="746"/>
      <c r="AT91" s="747"/>
      <c r="AU91" s="748"/>
      <c r="AV91" s="748"/>
      <c r="AW91" s="749"/>
      <c r="AY91" s="731"/>
      <c r="AZ91" s="732"/>
      <c r="BA91" s="732"/>
      <c r="BB91" s="732"/>
      <c r="BC91" s="732"/>
      <c r="BD91" s="732"/>
      <c r="BE91" s="732"/>
      <c r="BF91" s="732"/>
      <c r="BG91" s="732"/>
      <c r="BH91" s="733"/>
      <c r="BI91" s="57"/>
      <c r="BJ91" s="57"/>
      <c r="BK91" s="57"/>
      <c r="BL91" s="57"/>
      <c r="BM91" s="57"/>
      <c r="BN91" s="57"/>
      <c r="BO91" s="57"/>
      <c r="BP91" s="57"/>
      <c r="BQ91" s="57"/>
      <c r="BR91" s="57"/>
    </row>
    <row r="92" spans="30:70" ht="15" customHeight="1" x14ac:dyDescent="0.25">
      <c r="AN92" s="727"/>
      <c r="AO92" s="727"/>
      <c r="AP92" s="727"/>
      <c r="AQ92" s="746"/>
      <c r="AR92" s="746"/>
      <c r="AS92" s="746"/>
      <c r="AT92" s="747"/>
      <c r="AU92" s="748"/>
      <c r="AV92" s="748"/>
      <c r="AW92" s="749"/>
      <c r="AY92" s="731"/>
      <c r="AZ92" s="732"/>
      <c r="BA92" s="732"/>
      <c r="BB92" s="732"/>
      <c r="BC92" s="732"/>
      <c r="BD92" s="732"/>
      <c r="BE92" s="732"/>
      <c r="BF92" s="732"/>
      <c r="BG92" s="732"/>
      <c r="BH92" s="733"/>
      <c r="BI92" s="57"/>
      <c r="BJ92" s="57"/>
      <c r="BK92" s="57"/>
      <c r="BL92" s="57"/>
      <c r="BM92" s="57"/>
      <c r="BN92" s="57"/>
      <c r="BO92" s="57"/>
      <c r="BP92" s="57"/>
      <c r="BQ92" s="57"/>
      <c r="BR92" s="57"/>
    </row>
    <row r="93" spans="30:70" ht="15" customHeight="1" x14ac:dyDescent="0.25">
      <c r="AN93" s="727"/>
      <c r="AO93" s="727"/>
      <c r="AP93" s="727"/>
      <c r="AQ93" s="746"/>
      <c r="AR93" s="746"/>
      <c r="AS93" s="746"/>
      <c r="AT93" s="747"/>
      <c r="AU93" s="748"/>
      <c r="AV93" s="748"/>
      <c r="AW93" s="749"/>
      <c r="AY93" s="734"/>
      <c r="AZ93" s="735"/>
      <c r="BA93" s="735"/>
      <c r="BB93" s="735"/>
      <c r="BC93" s="735"/>
      <c r="BD93" s="735"/>
      <c r="BE93" s="735"/>
      <c r="BF93" s="735"/>
      <c r="BG93" s="735"/>
      <c r="BH93" s="736"/>
      <c r="BI93" s="57"/>
      <c r="BJ93" s="57"/>
      <c r="BK93" s="57"/>
      <c r="BL93" s="57"/>
      <c r="BM93" s="57"/>
      <c r="BN93" s="57"/>
      <c r="BO93" s="57"/>
      <c r="BP93" s="57"/>
      <c r="BQ93" s="57"/>
      <c r="BR93" s="57"/>
    </row>
    <row r="94" spans="30:70" x14ac:dyDescent="0.25">
      <c r="AQ94" s="1254">
        <f ca="1">AQ91+AQ88+AQ85</f>
        <v>70</v>
      </c>
      <c r="AR94" s="1254"/>
      <c r="AS94" s="1254"/>
      <c r="AT94" s="747">
        <f ca="1">AT88+AT91+AT85</f>
        <v>4900</v>
      </c>
      <c r="AU94" s="748"/>
      <c r="AV94" s="748"/>
      <c r="AW94" s="749"/>
    </row>
    <row r="95" spans="30:70" x14ac:dyDescent="0.25">
      <c r="AQ95" s="1254"/>
      <c r="AR95" s="1254"/>
      <c r="AS95" s="1254"/>
      <c r="AT95" s="747"/>
      <c r="AU95" s="748"/>
      <c r="AV95" s="748"/>
      <c r="AW95" s="749"/>
    </row>
    <row r="96" spans="30:70" ht="15" customHeight="1" x14ac:dyDescent="0.25">
      <c r="AQ96" s="1254"/>
      <c r="AR96" s="1254"/>
      <c r="AS96" s="1254"/>
      <c r="AT96" s="747"/>
      <c r="AU96" s="748"/>
      <c r="AV96" s="748"/>
      <c r="AW96" s="749"/>
    </row>
    <row r="97" spans="45:47" ht="15" customHeight="1" x14ac:dyDescent="0.25"/>
    <row r="98" spans="45:47" ht="15" customHeight="1" x14ac:dyDescent="0.25"/>
    <row r="99" spans="45:47" ht="15" customHeight="1" x14ac:dyDescent="0.25"/>
    <row r="100" spans="45:47" ht="15" customHeight="1" x14ac:dyDescent="0.25"/>
    <row r="101" spans="45:47" ht="15" customHeight="1" x14ac:dyDescent="0.25"/>
    <row r="102" spans="45:47" ht="15" customHeight="1" x14ac:dyDescent="0.25"/>
    <row r="103" spans="45:47" ht="15" customHeight="1" x14ac:dyDescent="0.25"/>
    <row r="104" spans="45:47" ht="15" customHeight="1" x14ac:dyDescent="0.25"/>
    <row r="105" spans="45:47" ht="15" customHeight="1" x14ac:dyDescent="0.25"/>
    <row r="106" spans="45:47" ht="15" customHeight="1" x14ac:dyDescent="0.25"/>
    <row r="107" spans="45:47" ht="15" customHeight="1" x14ac:dyDescent="0.25">
      <c r="AS107" s="27"/>
      <c r="AT107" s="27"/>
      <c r="AU107" s="27"/>
    </row>
  </sheetData>
  <mergeCells count="548">
    <mergeCell ref="BN2:BO3"/>
    <mergeCell ref="AQ14:AS15"/>
    <mergeCell ref="R8:T11"/>
    <mergeCell ref="K8:L11"/>
    <mergeCell ref="M8:O11"/>
    <mergeCell ref="BD16:BH17"/>
    <mergeCell ref="BI16:BM17"/>
    <mergeCell ref="AT12:AT13"/>
    <mergeCell ref="AU12:AX12"/>
    <mergeCell ref="P12:P13"/>
    <mergeCell ref="Q12:T12"/>
    <mergeCell ref="U12:U13"/>
    <mergeCell ref="AE12:AE13"/>
    <mergeCell ref="AF12:AI12"/>
    <mergeCell ref="AJ12:AJ13"/>
    <mergeCell ref="AK12:AN12"/>
    <mergeCell ref="AY8:AZ9"/>
    <mergeCell ref="BA8:BC9"/>
    <mergeCell ref="BD8:BE9"/>
    <mergeCell ref="BF8:BH9"/>
    <mergeCell ref="BI8:BJ9"/>
    <mergeCell ref="BN8:BO9"/>
    <mergeCell ref="U10:Y11"/>
    <mergeCell ref="Z10:AD11"/>
    <mergeCell ref="F20:G23"/>
    <mergeCell ref="H20:J23"/>
    <mergeCell ref="V35:AG38"/>
    <mergeCell ref="AH35:AR38"/>
    <mergeCell ref="AS35:BD38"/>
    <mergeCell ref="BE35:BI46"/>
    <mergeCell ref="BJ35:BM40"/>
    <mergeCell ref="BN35:BP40"/>
    <mergeCell ref="BJ41:BP44"/>
    <mergeCell ref="F42:G42"/>
    <mergeCell ref="F43:G46"/>
    <mergeCell ref="V39:AG46"/>
    <mergeCell ref="AH39:AR46"/>
    <mergeCell ref="BJ45:BP47"/>
    <mergeCell ref="AS39:BD46"/>
    <mergeCell ref="AU30:AX30"/>
    <mergeCell ref="AY30:AY31"/>
    <mergeCell ref="AZ30:BC30"/>
    <mergeCell ref="BD30:BD31"/>
    <mergeCell ref="BE30:BH30"/>
    <mergeCell ref="V30:Y30"/>
    <mergeCell ref="Z30:Z31"/>
    <mergeCell ref="AA30:AD30"/>
    <mergeCell ref="Z24:Z25"/>
    <mergeCell ref="AY75:BH77"/>
    <mergeCell ref="AL78:AN81"/>
    <mergeCell ref="AO78:AQ81"/>
    <mergeCell ref="AR78:AS81"/>
    <mergeCell ref="AT78:AU81"/>
    <mergeCell ref="AY78:BH79"/>
    <mergeCell ref="AY80:BH82"/>
    <mergeCell ref="AY83:BH84"/>
    <mergeCell ref="AN85:AP87"/>
    <mergeCell ref="AQ85:AS87"/>
    <mergeCell ref="AT85:AW87"/>
    <mergeCell ref="AY85:BH88"/>
    <mergeCell ref="AN88:AP90"/>
    <mergeCell ref="AQ88:AS90"/>
    <mergeCell ref="AT88:AW90"/>
    <mergeCell ref="AY89:BH93"/>
    <mergeCell ref="AN91:AP93"/>
    <mergeCell ref="AQ91:AS93"/>
    <mergeCell ref="AT91:AW93"/>
    <mergeCell ref="AK60:AN60"/>
    <mergeCell ref="AO60:AO61"/>
    <mergeCell ref="AP60:AS60"/>
    <mergeCell ref="AT60:AT61"/>
    <mergeCell ref="AU60:AX60"/>
    <mergeCell ref="AQ94:AS96"/>
    <mergeCell ref="AT94:AW96"/>
    <mergeCell ref="AD75:AH81"/>
    <mergeCell ref="AL75:AN77"/>
    <mergeCell ref="AO75:AQ77"/>
    <mergeCell ref="AR75:AS77"/>
    <mergeCell ref="AT75:AU77"/>
    <mergeCell ref="A64:C66"/>
    <mergeCell ref="BN60:BN61"/>
    <mergeCell ref="BO60:BR60"/>
    <mergeCell ref="A63:C63"/>
    <mergeCell ref="AY60:AY61"/>
    <mergeCell ref="AZ60:BC60"/>
    <mergeCell ref="BD60:BD61"/>
    <mergeCell ref="D59:E59"/>
    <mergeCell ref="I59:J59"/>
    <mergeCell ref="N59:O59"/>
    <mergeCell ref="S59:T59"/>
    <mergeCell ref="X59:Y59"/>
    <mergeCell ref="AC59:AD59"/>
    <mergeCell ref="BQ59:BR59"/>
    <mergeCell ref="A60:A61"/>
    <mergeCell ref="B60:E60"/>
    <mergeCell ref="F60:F61"/>
    <mergeCell ref="G60:J60"/>
    <mergeCell ref="K60:K61"/>
    <mergeCell ref="L60:O60"/>
    <mergeCell ref="P60:P61"/>
    <mergeCell ref="U60:U61"/>
    <mergeCell ref="V60:Y60"/>
    <mergeCell ref="Z60:Z61"/>
    <mergeCell ref="Q60:T60"/>
    <mergeCell ref="BN57:BP59"/>
    <mergeCell ref="BG56:BH56"/>
    <mergeCell ref="BI56:BK56"/>
    <mergeCell ref="AH56:AI56"/>
    <mergeCell ref="AJ56:AL56"/>
    <mergeCell ref="AM56:AN56"/>
    <mergeCell ref="BL59:BM59"/>
    <mergeCell ref="AH59:AI59"/>
    <mergeCell ref="AM59:AN59"/>
    <mergeCell ref="AR59:AS59"/>
    <mergeCell ref="AJ57:AL59"/>
    <mergeCell ref="BL56:BM56"/>
    <mergeCell ref="BN56:BP56"/>
    <mergeCell ref="AO57:AQ59"/>
    <mergeCell ref="AT57:AV59"/>
    <mergeCell ref="AY57:BA59"/>
    <mergeCell ref="AA60:AD60"/>
    <mergeCell ref="AE60:AE61"/>
    <mergeCell ref="AF60:AI60"/>
    <mergeCell ref="BE60:BH60"/>
    <mergeCell ref="BI60:BI61"/>
    <mergeCell ref="BJ60:BM60"/>
    <mergeCell ref="AJ60:AJ61"/>
    <mergeCell ref="BI57:BK59"/>
    <mergeCell ref="AW59:AX59"/>
    <mergeCell ref="BB59:BC59"/>
    <mergeCell ref="BG59:BH59"/>
    <mergeCell ref="AW56:AX56"/>
    <mergeCell ref="AY56:BA56"/>
    <mergeCell ref="BB56:BC56"/>
    <mergeCell ref="BD56:BF56"/>
    <mergeCell ref="A56:C56"/>
    <mergeCell ref="D56:E56"/>
    <mergeCell ref="F56:H56"/>
    <mergeCell ref="I56:J56"/>
    <mergeCell ref="K56:M56"/>
    <mergeCell ref="N56:O56"/>
    <mergeCell ref="A57:C59"/>
    <mergeCell ref="F57:H59"/>
    <mergeCell ref="K57:M59"/>
    <mergeCell ref="P57:R59"/>
    <mergeCell ref="U57:W59"/>
    <mergeCell ref="Z57:AB59"/>
    <mergeCell ref="AE57:AG59"/>
    <mergeCell ref="AE56:AG56"/>
    <mergeCell ref="BD57:BF59"/>
    <mergeCell ref="P56:R56"/>
    <mergeCell ref="BQ56:BR56"/>
    <mergeCell ref="V54:Y54"/>
    <mergeCell ref="Z54:Z55"/>
    <mergeCell ref="AA54:AD54"/>
    <mergeCell ref="AE54:AE55"/>
    <mergeCell ref="AF54:AI54"/>
    <mergeCell ref="AJ54:AJ55"/>
    <mergeCell ref="AK54:AN54"/>
    <mergeCell ref="AO54:AO55"/>
    <mergeCell ref="U54:U55"/>
    <mergeCell ref="AO56:AQ56"/>
    <mergeCell ref="AR56:AS56"/>
    <mergeCell ref="AT56:AV56"/>
    <mergeCell ref="S56:T56"/>
    <mergeCell ref="U56:W56"/>
    <mergeCell ref="X56:Y56"/>
    <mergeCell ref="Z56:AB56"/>
    <mergeCell ref="AC56:AD56"/>
    <mergeCell ref="BN51:BP53"/>
    <mergeCell ref="BL53:BM53"/>
    <mergeCell ref="BG53:BH53"/>
    <mergeCell ref="BD51:BF53"/>
    <mergeCell ref="AR53:AS53"/>
    <mergeCell ref="AW53:AX53"/>
    <mergeCell ref="BB53:BC53"/>
    <mergeCell ref="BJ54:BM54"/>
    <mergeCell ref="AY54:AY55"/>
    <mergeCell ref="AZ54:BC54"/>
    <mergeCell ref="BD54:BD55"/>
    <mergeCell ref="BE54:BH54"/>
    <mergeCell ref="BI54:BI55"/>
    <mergeCell ref="AP54:AS54"/>
    <mergeCell ref="AT54:AT55"/>
    <mergeCell ref="BN54:BN55"/>
    <mergeCell ref="BO54:BR54"/>
    <mergeCell ref="AU54:AX54"/>
    <mergeCell ref="BQ53:BR53"/>
    <mergeCell ref="A54:A55"/>
    <mergeCell ref="B54:E54"/>
    <mergeCell ref="F54:F55"/>
    <mergeCell ref="G54:J54"/>
    <mergeCell ref="K54:K55"/>
    <mergeCell ref="L54:O54"/>
    <mergeCell ref="P54:P55"/>
    <mergeCell ref="BI51:BK53"/>
    <mergeCell ref="U51:W53"/>
    <mergeCell ref="Z51:AB53"/>
    <mergeCell ref="D53:E53"/>
    <mergeCell ref="I53:J53"/>
    <mergeCell ref="N53:O53"/>
    <mergeCell ref="S53:T53"/>
    <mergeCell ref="X53:Y53"/>
    <mergeCell ref="AC53:AD53"/>
    <mergeCell ref="AH53:AI53"/>
    <mergeCell ref="AM53:AN53"/>
    <mergeCell ref="AE51:AG53"/>
    <mergeCell ref="AJ51:AL53"/>
    <mergeCell ref="AO51:AQ53"/>
    <mergeCell ref="AT51:AV53"/>
    <mergeCell ref="AY51:BA53"/>
    <mergeCell ref="Q54:T54"/>
    <mergeCell ref="A50:C50"/>
    <mergeCell ref="D50:E50"/>
    <mergeCell ref="F50:H50"/>
    <mergeCell ref="I50:J50"/>
    <mergeCell ref="K50:M50"/>
    <mergeCell ref="N50:O50"/>
    <mergeCell ref="P50:R50"/>
    <mergeCell ref="S50:T50"/>
    <mergeCell ref="A51:C53"/>
    <mergeCell ref="F51:H53"/>
    <mergeCell ref="K51:M53"/>
    <mergeCell ref="P51:R53"/>
    <mergeCell ref="BL50:BM50"/>
    <mergeCell ref="BN50:BP50"/>
    <mergeCell ref="BQ50:BR50"/>
    <mergeCell ref="BN22:BR23"/>
    <mergeCell ref="AE30:AE31"/>
    <mergeCell ref="AF30:AI30"/>
    <mergeCell ref="AJ30:AJ31"/>
    <mergeCell ref="AK30:AN30"/>
    <mergeCell ref="AO30:AO31"/>
    <mergeCell ref="AP30:AS30"/>
    <mergeCell ref="BI30:BI31"/>
    <mergeCell ref="BJ30:BM30"/>
    <mergeCell ref="BN30:BN31"/>
    <mergeCell ref="BO30:BR30"/>
    <mergeCell ref="AT30:AT31"/>
    <mergeCell ref="BF26:BH27"/>
    <mergeCell ref="BI26:BJ27"/>
    <mergeCell ref="AG26:AI27"/>
    <mergeCell ref="AJ26:AK27"/>
    <mergeCell ref="AL26:AN27"/>
    <mergeCell ref="BA26:BC27"/>
    <mergeCell ref="AE20:AF23"/>
    <mergeCell ref="AG20:AI23"/>
    <mergeCell ref="BB50:BC50"/>
    <mergeCell ref="B30:E30"/>
    <mergeCell ref="F30:F31"/>
    <mergeCell ref="G30:J30"/>
    <mergeCell ref="K30:K31"/>
    <mergeCell ref="L30:O30"/>
    <mergeCell ref="P30:P31"/>
    <mergeCell ref="Q30:T30"/>
    <mergeCell ref="U30:U31"/>
    <mergeCell ref="BI50:BK50"/>
    <mergeCell ref="U50:W50"/>
    <mergeCell ref="X50:Y50"/>
    <mergeCell ref="Z50:AB50"/>
    <mergeCell ref="AC50:AD50"/>
    <mergeCell ref="AT50:AV50"/>
    <mergeCell ref="BD50:BF50"/>
    <mergeCell ref="BG50:BH50"/>
    <mergeCell ref="AE50:AG50"/>
    <mergeCell ref="AH50:AI50"/>
    <mergeCell ref="AJ50:AL50"/>
    <mergeCell ref="AM50:AN50"/>
    <mergeCell ref="AO50:AQ50"/>
    <mergeCell ref="AR50:AS50"/>
    <mergeCell ref="AW50:AX50"/>
    <mergeCell ref="AY50:BA50"/>
    <mergeCell ref="AV20:AX21"/>
    <mergeCell ref="AY20:AZ21"/>
    <mergeCell ref="BN24:BN25"/>
    <mergeCell ref="BO24:BR24"/>
    <mergeCell ref="AT24:AT25"/>
    <mergeCell ref="AU24:AX24"/>
    <mergeCell ref="BI24:BI25"/>
    <mergeCell ref="BJ24:BM24"/>
    <mergeCell ref="AY24:AY25"/>
    <mergeCell ref="AZ24:BC24"/>
    <mergeCell ref="BD24:BD25"/>
    <mergeCell ref="BE24:BH24"/>
    <mergeCell ref="BA20:BC21"/>
    <mergeCell ref="BD20:BE21"/>
    <mergeCell ref="BF20:BH21"/>
    <mergeCell ref="BI20:BJ21"/>
    <mergeCell ref="BK20:BM21"/>
    <mergeCell ref="BN20:BO21"/>
    <mergeCell ref="BP20:BR21"/>
    <mergeCell ref="AT22:AX23"/>
    <mergeCell ref="AY22:BC23"/>
    <mergeCell ref="BD22:BH23"/>
    <mergeCell ref="BI22:BM23"/>
    <mergeCell ref="AJ20:AK21"/>
    <mergeCell ref="AL20:AN21"/>
    <mergeCell ref="AO20:AP21"/>
    <mergeCell ref="AQ20:AS21"/>
    <mergeCell ref="AT20:AU21"/>
    <mergeCell ref="A24:A25"/>
    <mergeCell ref="B24:E24"/>
    <mergeCell ref="F24:F25"/>
    <mergeCell ref="G24:J24"/>
    <mergeCell ref="K24:K25"/>
    <mergeCell ref="L24:O24"/>
    <mergeCell ref="AO24:AO25"/>
    <mergeCell ref="AP24:AS24"/>
    <mergeCell ref="P24:P25"/>
    <mergeCell ref="Q24:T24"/>
    <mergeCell ref="U24:U25"/>
    <mergeCell ref="V24:Y24"/>
    <mergeCell ref="AA24:AD24"/>
    <mergeCell ref="AE24:AE25"/>
    <mergeCell ref="AF24:AI24"/>
    <mergeCell ref="AJ24:AJ25"/>
    <mergeCell ref="AK24:AN24"/>
    <mergeCell ref="K20:L21"/>
    <mergeCell ref="M20:O21"/>
    <mergeCell ref="U20:V21"/>
    <mergeCell ref="W20:Y21"/>
    <mergeCell ref="Z20:AA23"/>
    <mergeCell ref="AB20:AD23"/>
    <mergeCell ref="P20:Q23"/>
    <mergeCell ref="R20:T23"/>
    <mergeCell ref="AY16:BC17"/>
    <mergeCell ref="K18:K19"/>
    <mergeCell ref="L18:O18"/>
    <mergeCell ref="P18:P19"/>
    <mergeCell ref="Q18:T18"/>
    <mergeCell ref="U18:U19"/>
    <mergeCell ref="V18:Y18"/>
    <mergeCell ref="Z18:Z19"/>
    <mergeCell ref="AA18:AD18"/>
    <mergeCell ref="AP18:AS18"/>
    <mergeCell ref="AE18:AE19"/>
    <mergeCell ref="K22:O23"/>
    <mergeCell ref="U22:Y23"/>
    <mergeCell ref="AJ22:AN23"/>
    <mergeCell ref="AO22:AS23"/>
    <mergeCell ref="AT14:AU17"/>
    <mergeCell ref="AV14:AX17"/>
    <mergeCell ref="AF18:AI18"/>
    <mergeCell ref="BJ18:BM18"/>
    <mergeCell ref="BN18:BN19"/>
    <mergeCell ref="BO18:BR18"/>
    <mergeCell ref="AT18:AT19"/>
    <mergeCell ref="AU18:AX18"/>
    <mergeCell ref="AY18:AY19"/>
    <mergeCell ref="AZ18:BC18"/>
    <mergeCell ref="BI18:BI19"/>
    <mergeCell ref="BD18:BD19"/>
    <mergeCell ref="BE18:BH18"/>
    <mergeCell ref="BP14:BR17"/>
    <mergeCell ref="BJ12:BM12"/>
    <mergeCell ref="BN12:BN13"/>
    <mergeCell ref="AZ12:BC12"/>
    <mergeCell ref="BD12:BD13"/>
    <mergeCell ref="BE12:BH12"/>
    <mergeCell ref="BO12:BR12"/>
    <mergeCell ref="AY14:AZ15"/>
    <mergeCell ref="BA14:BC15"/>
    <mergeCell ref="BD14:BE15"/>
    <mergeCell ref="BF14:BH15"/>
    <mergeCell ref="BI14:BJ15"/>
    <mergeCell ref="BK14:BM15"/>
    <mergeCell ref="AY12:AY13"/>
    <mergeCell ref="BI12:BI13"/>
    <mergeCell ref="BN14:BO17"/>
    <mergeCell ref="A12:A13"/>
    <mergeCell ref="B12:E12"/>
    <mergeCell ref="F12:F13"/>
    <mergeCell ref="G12:J12"/>
    <mergeCell ref="K12:K13"/>
    <mergeCell ref="L12:O12"/>
    <mergeCell ref="V12:Y12"/>
    <mergeCell ref="Z12:Z13"/>
    <mergeCell ref="AA12:AD12"/>
    <mergeCell ref="AE10:AI11"/>
    <mergeCell ref="AJ10:AN11"/>
    <mergeCell ref="AT10:AX11"/>
    <mergeCell ref="AY10:BC11"/>
    <mergeCell ref="BD10:BH11"/>
    <mergeCell ref="BI10:BM11"/>
    <mergeCell ref="A8:B9"/>
    <mergeCell ref="C8:E9"/>
    <mergeCell ref="U8:V9"/>
    <mergeCell ref="AJ8:AK9"/>
    <mergeCell ref="AL8:AN9"/>
    <mergeCell ref="P8:Q11"/>
    <mergeCell ref="A6:A7"/>
    <mergeCell ref="B6:E6"/>
    <mergeCell ref="F6:F7"/>
    <mergeCell ref="F8:G11"/>
    <mergeCell ref="H8:J11"/>
    <mergeCell ref="AO8:AP11"/>
    <mergeCell ref="AQ8:AS11"/>
    <mergeCell ref="BN6:BN7"/>
    <mergeCell ref="BO6:BR6"/>
    <mergeCell ref="AT6:AT7"/>
    <mergeCell ref="AU6:AX6"/>
    <mergeCell ref="BI6:BI7"/>
    <mergeCell ref="BJ6:BM6"/>
    <mergeCell ref="AY6:AY7"/>
    <mergeCell ref="AZ6:BC6"/>
    <mergeCell ref="BD6:BD7"/>
    <mergeCell ref="BE6:BH6"/>
    <mergeCell ref="Z6:Z7"/>
    <mergeCell ref="BN10:BR11"/>
    <mergeCell ref="W8:Y9"/>
    <mergeCell ref="Z8:AA9"/>
    <mergeCell ref="AB8:AD9"/>
    <mergeCell ref="AE8:AF9"/>
    <mergeCell ref="AG8:AI9"/>
    <mergeCell ref="C2:E3"/>
    <mergeCell ref="A4:E5"/>
    <mergeCell ref="F2:G3"/>
    <mergeCell ref="H2:J3"/>
    <mergeCell ref="K2:L3"/>
    <mergeCell ref="M2:O3"/>
    <mergeCell ref="P2:Q3"/>
    <mergeCell ref="R2:T3"/>
    <mergeCell ref="A2:B3"/>
    <mergeCell ref="BP2:BR3"/>
    <mergeCell ref="F4:J5"/>
    <mergeCell ref="K4:O5"/>
    <mergeCell ref="P4:T5"/>
    <mergeCell ref="U4:Y5"/>
    <mergeCell ref="Z4:AD5"/>
    <mergeCell ref="AE4:AI5"/>
    <mergeCell ref="AJ4:AN5"/>
    <mergeCell ref="AO4:AS5"/>
    <mergeCell ref="AT4:AX5"/>
    <mergeCell ref="AY4:BC5"/>
    <mergeCell ref="BN4:BR5"/>
    <mergeCell ref="AQ2:AS3"/>
    <mergeCell ref="AT2:AU3"/>
    <mergeCell ref="AV2:AX3"/>
    <mergeCell ref="AY2:AZ3"/>
    <mergeCell ref="BA2:BC3"/>
    <mergeCell ref="AJ2:AK3"/>
    <mergeCell ref="BD2:BE5"/>
    <mergeCell ref="BF2:BH5"/>
    <mergeCell ref="BI2:BJ5"/>
    <mergeCell ref="AL2:AN3"/>
    <mergeCell ref="AO2:AP3"/>
    <mergeCell ref="BK2:BM5"/>
    <mergeCell ref="G6:J6"/>
    <mergeCell ref="K6:K7"/>
    <mergeCell ref="L6:O6"/>
    <mergeCell ref="AB2:AD3"/>
    <mergeCell ref="AE2:AF3"/>
    <mergeCell ref="AG2:AI3"/>
    <mergeCell ref="AO6:AO7"/>
    <mergeCell ref="AP6:AS6"/>
    <mergeCell ref="P6:P7"/>
    <mergeCell ref="Q6:T6"/>
    <mergeCell ref="U6:U7"/>
    <mergeCell ref="U2:V3"/>
    <mergeCell ref="W2:Y3"/>
    <mergeCell ref="Z2:AA3"/>
    <mergeCell ref="AA6:AD6"/>
    <mergeCell ref="V6:Y6"/>
    <mergeCell ref="AE6:AE7"/>
    <mergeCell ref="AF6:AI6"/>
    <mergeCell ref="AJ6:AJ7"/>
    <mergeCell ref="AK6:AN6"/>
    <mergeCell ref="BP8:BR9"/>
    <mergeCell ref="AO12:AO13"/>
    <mergeCell ref="AP12:AS12"/>
    <mergeCell ref="AT8:AU9"/>
    <mergeCell ref="AV8:AX9"/>
    <mergeCell ref="A14:B15"/>
    <mergeCell ref="C14:E15"/>
    <mergeCell ref="F14:G15"/>
    <mergeCell ref="H14:J15"/>
    <mergeCell ref="K14:L15"/>
    <mergeCell ref="M14:O15"/>
    <mergeCell ref="P14:Q15"/>
    <mergeCell ref="R14:T15"/>
    <mergeCell ref="U14:V15"/>
    <mergeCell ref="W14:Y15"/>
    <mergeCell ref="Z14:AA15"/>
    <mergeCell ref="AB14:AD15"/>
    <mergeCell ref="AE14:AF15"/>
    <mergeCell ref="AG14:AI15"/>
    <mergeCell ref="AJ14:AK15"/>
    <mergeCell ref="AL14:AN15"/>
    <mergeCell ref="AO14:AP15"/>
    <mergeCell ref="BK8:BM9"/>
    <mergeCell ref="A10:E11"/>
    <mergeCell ref="A16:E17"/>
    <mergeCell ref="F16:J17"/>
    <mergeCell ref="K16:O17"/>
    <mergeCell ref="P16:T17"/>
    <mergeCell ref="U16:Y17"/>
    <mergeCell ref="Z16:AD17"/>
    <mergeCell ref="AE16:AI17"/>
    <mergeCell ref="AJ16:AN17"/>
    <mergeCell ref="AO16:AS17"/>
    <mergeCell ref="AJ18:AJ19"/>
    <mergeCell ref="AK18:AN18"/>
    <mergeCell ref="AO18:AO19"/>
    <mergeCell ref="A18:A19"/>
    <mergeCell ref="B18:E18"/>
    <mergeCell ref="F18:F19"/>
    <mergeCell ref="G18:J18"/>
    <mergeCell ref="BD26:BE27"/>
    <mergeCell ref="A20:B21"/>
    <mergeCell ref="C20:E21"/>
    <mergeCell ref="A26:B27"/>
    <mergeCell ref="C26:E27"/>
    <mergeCell ref="F26:G27"/>
    <mergeCell ref="H26:J27"/>
    <mergeCell ref="K26:L27"/>
    <mergeCell ref="M26:O27"/>
    <mergeCell ref="P26:Q27"/>
    <mergeCell ref="R26:T27"/>
    <mergeCell ref="U26:V27"/>
    <mergeCell ref="W26:Y27"/>
    <mergeCell ref="Z26:AA27"/>
    <mergeCell ref="AB26:AD27"/>
    <mergeCell ref="AE26:AF27"/>
    <mergeCell ref="A22:E23"/>
    <mergeCell ref="B48:N48"/>
    <mergeCell ref="BK26:BM27"/>
    <mergeCell ref="BN26:BO27"/>
    <mergeCell ref="BP26:BR27"/>
    <mergeCell ref="A28:E29"/>
    <mergeCell ref="F28:J29"/>
    <mergeCell ref="K28:O29"/>
    <mergeCell ref="P28:T29"/>
    <mergeCell ref="U28:Y29"/>
    <mergeCell ref="Z28:AD29"/>
    <mergeCell ref="AE28:AI29"/>
    <mergeCell ref="AJ28:AN29"/>
    <mergeCell ref="AO28:AS29"/>
    <mergeCell ref="AT28:AX29"/>
    <mergeCell ref="AY28:BC29"/>
    <mergeCell ref="BD28:BH29"/>
    <mergeCell ref="BI28:BM29"/>
    <mergeCell ref="BN28:BR29"/>
    <mergeCell ref="AO26:AP27"/>
    <mergeCell ref="AQ26:AS27"/>
    <mergeCell ref="AT26:AU27"/>
    <mergeCell ref="AV26:AX27"/>
    <mergeCell ref="AY26:AZ27"/>
    <mergeCell ref="A30:A31"/>
  </mergeCells>
  <pageMargins left="0.5" right="0" top="0.65" bottom="0" header="0.3" footer="0.3"/>
  <pageSetup paperSize="8" scale="46" orientation="landscape" r:id="rId1"/>
  <colBreaks count="1" manualBreakCount="1">
    <brk id="70" max="50" man="1"/>
  </colBreaks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76ED0-82D9-4C8B-BA2D-F49AFD4CD682}">
  <sheetPr>
    <pageSetUpPr fitToPage="1"/>
  </sheetPr>
  <dimension ref="A1:CB77"/>
  <sheetViews>
    <sheetView view="pageBreakPreview" zoomScale="70" zoomScaleNormal="70" zoomScaleSheetLayoutView="70" zoomScalePageLayoutView="55" workbookViewId="0">
      <selection activeCell="O31" sqref="O31:R31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140625" customWidth="1"/>
    <col min="47" max="47" width="10.71093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1" customWidth="1"/>
    <col min="62" max="62" width="56.7109375" customWidth="1"/>
    <col min="63" max="63" width="13" customWidth="1"/>
    <col min="64" max="64" width="7" customWidth="1"/>
  </cols>
  <sheetData>
    <row r="1" spans="1:80" ht="213" customHeight="1" thickBot="1" x14ac:dyDescent="0.3"/>
    <row r="2" spans="1:80" ht="39.950000000000003" customHeight="1" thickTop="1" x14ac:dyDescent="0.25">
      <c r="A2" s="2305" t="s">
        <v>250</v>
      </c>
      <c r="B2" s="2306"/>
      <c r="C2" s="2306"/>
      <c r="D2" s="2307">
        <f>B7/((60*3.1415/59)*(70/3.281))</f>
        <v>5.2171538012626667E-2</v>
      </c>
      <c r="E2" s="2308"/>
      <c r="F2" s="2305" t="s">
        <v>250</v>
      </c>
      <c r="G2" s="2306"/>
      <c r="H2" s="2306"/>
      <c r="I2" s="2307">
        <f>G7/((60*3.1415/59)*(70/3.281))</f>
        <v>4.2106949970820734E-2</v>
      </c>
      <c r="J2" s="2308"/>
      <c r="K2" s="2305" t="s">
        <v>250</v>
      </c>
      <c r="L2" s="2306"/>
      <c r="M2" s="2306"/>
      <c r="N2" s="2307">
        <f>L7/((60*3.1415/59)*(70/3.281))</f>
        <v>0.10993288366946333</v>
      </c>
      <c r="O2" s="2308"/>
      <c r="P2" s="2305" t="s">
        <v>250</v>
      </c>
      <c r="Q2" s="2306"/>
      <c r="R2" s="2306"/>
      <c r="S2" s="2307">
        <f>Q7/((60*3.1415/59)*(70/3.281))</f>
        <v>5.2905108569609602E-2</v>
      </c>
      <c r="T2" s="2308"/>
      <c r="U2" s="2305" t="s">
        <v>250</v>
      </c>
      <c r="V2" s="2306"/>
      <c r="W2" s="2306"/>
      <c r="X2" s="2307">
        <f>V7/((60*3.1415/59)*(70/3.281))</f>
        <v>6.5214422515783341E-2</v>
      </c>
      <c r="Y2" s="2308"/>
      <c r="Z2" s="2305" t="s">
        <v>250</v>
      </c>
      <c r="AA2" s="2306"/>
      <c r="AB2" s="2306"/>
      <c r="AC2" s="2307">
        <f>AA7/((60*3.1415/59)*(70/3.281))</f>
        <v>1.3409669781648136E-2</v>
      </c>
      <c r="AD2" s="2308"/>
      <c r="AE2" s="2305" t="s">
        <v>250</v>
      </c>
      <c r="AF2" s="2306"/>
      <c r="AG2" s="2306"/>
      <c r="AH2" s="2307">
        <f>AF7/((60*3.1415/59)*(70/3.281))</f>
        <v>4.8444999583153334E-2</v>
      </c>
      <c r="AI2" s="2308"/>
      <c r="AJ2" s="2305" t="s">
        <v>250</v>
      </c>
      <c r="AK2" s="2306"/>
      <c r="AL2" s="2306"/>
      <c r="AM2" s="2307">
        <f>AK7/((60*3.1415/59)*(70/3.281))</f>
        <v>0.11775274580690147</v>
      </c>
      <c r="AN2" s="2308"/>
      <c r="AO2" s="2305" t="s">
        <v>250</v>
      </c>
      <c r="AP2" s="2306"/>
      <c r="AQ2" s="2306"/>
      <c r="AR2" s="2307">
        <f>AP7/((60*3.1415/59)*(70/3.281))</f>
        <v>4.3588762495926275E-2</v>
      </c>
      <c r="AS2" s="2308"/>
      <c r="AT2" s="2305" t="s">
        <v>250</v>
      </c>
      <c r="AU2" s="2306"/>
      <c r="AV2" s="2306"/>
      <c r="AW2" s="2307">
        <f>AU7/((60*3.1415/59)*(70/3.281))</f>
        <v>1.7884450179244067E-2</v>
      </c>
      <c r="AX2" s="2308"/>
      <c r="AY2" s="674"/>
      <c r="AZ2" s="674"/>
      <c r="BA2" s="674"/>
      <c r="BB2" s="1300"/>
      <c r="BC2" s="1300"/>
      <c r="BD2" s="674"/>
      <c r="BE2" s="674"/>
      <c r="BF2" s="674"/>
      <c r="BG2" s="1300"/>
      <c r="BH2" s="1300"/>
      <c r="BM2" s="27"/>
      <c r="BN2" s="27"/>
      <c r="BO2" s="27"/>
      <c r="BP2" s="27"/>
      <c r="BQ2" s="27"/>
      <c r="BR2" s="27"/>
      <c r="BW2" s="27"/>
      <c r="BX2" s="27"/>
      <c r="BY2" s="27"/>
      <c r="BZ2" s="27"/>
      <c r="CA2" s="27"/>
      <c r="CB2" s="27"/>
    </row>
    <row r="3" spans="1:80" ht="9.9499999999999993" hidden="1" customHeight="1" x14ac:dyDescent="0.25">
      <c r="A3" s="1680" t="s">
        <v>25</v>
      </c>
      <c r="B3" s="1681"/>
      <c r="C3" s="177"/>
      <c r="D3" s="177"/>
      <c r="E3" s="178"/>
      <c r="F3" s="1680" t="s">
        <v>25</v>
      </c>
      <c r="G3" s="1681"/>
      <c r="H3" s="177"/>
      <c r="I3" s="177"/>
      <c r="J3" s="178"/>
      <c r="K3" s="1680" t="s">
        <v>25</v>
      </c>
      <c r="L3" s="1681"/>
      <c r="M3" s="177"/>
      <c r="N3" s="177"/>
      <c r="O3" s="178"/>
      <c r="P3" s="1680" t="s">
        <v>25</v>
      </c>
      <c r="Q3" s="1681"/>
      <c r="R3" s="177"/>
      <c r="S3" s="177"/>
      <c r="T3" s="178"/>
      <c r="U3" s="1680" t="s">
        <v>25</v>
      </c>
      <c r="V3" s="1681"/>
      <c r="W3" s="177"/>
      <c r="X3" s="177"/>
      <c r="Y3" s="178"/>
      <c r="Z3" s="1680" t="s">
        <v>25</v>
      </c>
      <c r="AA3" s="1681"/>
      <c r="AB3" s="177"/>
      <c r="AC3" s="177"/>
      <c r="AD3" s="178"/>
      <c r="AE3" s="1680" t="s">
        <v>25</v>
      </c>
      <c r="AF3" s="1681"/>
      <c r="AG3" s="177"/>
      <c r="AH3" s="177"/>
      <c r="AI3" s="178"/>
      <c r="AJ3" s="1680" t="s">
        <v>25</v>
      </c>
      <c r="AK3" s="1681"/>
      <c r="AL3" s="177"/>
      <c r="AM3" s="177"/>
      <c r="AN3" s="178"/>
      <c r="AO3" s="1680" t="s">
        <v>25</v>
      </c>
      <c r="AP3" s="1681"/>
      <c r="AQ3" s="177"/>
      <c r="AR3" s="177"/>
      <c r="AS3" s="178"/>
      <c r="AT3" s="1680" t="s">
        <v>25</v>
      </c>
      <c r="AU3" s="1681"/>
      <c r="AV3" s="177"/>
      <c r="AW3" s="177"/>
      <c r="AX3" s="178"/>
      <c r="AY3" s="676"/>
      <c r="AZ3" s="676"/>
      <c r="BA3" s="676"/>
      <c r="BB3" s="36"/>
      <c r="BC3" s="36"/>
      <c r="BD3" s="676"/>
      <c r="BE3" s="676"/>
      <c r="BF3" s="676"/>
      <c r="BG3" s="36"/>
      <c r="BH3" s="36"/>
    </row>
    <row r="4" spans="1:80" ht="24.95" hidden="1" customHeight="1" x14ac:dyDescent="0.25">
      <c r="A4" s="1683"/>
      <c r="B4" s="1684"/>
      <c r="C4" s="179"/>
      <c r="D4" s="179"/>
      <c r="E4" s="180"/>
      <c r="F4" s="1683"/>
      <c r="G4" s="1684"/>
      <c r="H4" s="179"/>
      <c r="I4" s="179"/>
      <c r="J4" s="180"/>
      <c r="K4" s="1683"/>
      <c r="L4" s="1684"/>
      <c r="M4" s="179"/>
      <c r="N4" s="179"/>
      <c r="O4" s="180"/>
      <c r="P4" s="1683"/>
      <c r="Q4" s="1684"/>
      <c r="R4" s="179"/>
      <c r="S4" s="179"/>
      <c r="T4" s="180"/>
      <c r="U4" s="1683"/>
      <c r="V4" s="1684"/>
      <c r="W4" s="179"/>
      <c r="X4" s="179"/>
      <c r="Y4" s="180"/>
      <c r="Z4" s="1683"/>
      <c r="AA4" s="1684"/>
      <c r="AB4" s="179"/>
      <c r="AC4" s="179"/>
      <c r="AD4" s="180"/>
      <c r="AE4" s="1683"/>
      <c r="AF4" s="1684"/>
      <c r="AG4" s="179"/>
      <c r="AH4" s="179"/>
      <c r="AI4" s="180"/>
      <c r="AJ4" s="1683"/>
      <c r="AK4" s="1684"/>
      <c r="AL4" s="179"/>
      <c r="AM4" s="179"/>
      <c r="AN4" s="180"/>
      <c r="AO4" s="1683"/>
      <c r="AP4" s="1684"/>
      <c r="AQ4" s="179"/>
      <c r="AR4" s="179"/>
      <c r="AS4" s="180"/>
      <c r="AT4" s="1683"/>
      <c r="AU4" s="1684"/>
      <c r="AV4" s="179"/>
      <c r="AW4" s="179"/>
      <c r="AX4" s="180"/>
      <c r="AY4" s="676"/>
      <c r="AZ4" s="676"/>
      <c r="BA4" s="676"/>
      <c r="BB4" s="36"/>
      <c r="BC4" s="36"/>
      <c r="BD4" s="676"/>
      <c r="BE4" s="676"/>
      <c r="BF4" s="676"/>
      <c r="BG4" s="36"/>
      <c r="BH4" s="36"/>
    </row>
    <row r="5" spans="1:80" ht="25.5" customHeight="1" x14ac:dyDescent="0.25">
      <c r="A5" s="1686"/>
      <c r="B5" s="1687"/>
      <c r="C5" s="3494" t="s">
        <v>111</v>
      </c>
      <c r="D5" s="1687"/>
      <c r="E5" s="1688"/>
      <c r="F5" s="1686"/>
      <c r="G5" s="1687"/>
      <c r="H5" s="3494" t="s">
        <v>111</v>
      </c>
      <c r="I5" s="1687"/>
      <c r="J5" s="1688"/>
      <c r="K5" s="1686"/>
      <c r="L5" s="1687"/>
      <c r="M5" s="3494" t="s">
        <v>111</v>
      </c>
      <c r="N5" s="1687"/>
      <c r="O5" s="1688"/>
      <c r="P5" s="1686"/>
      <c r="Q5" s="1687"/>
      <c r="R5" s="3494" t="s">
        <v>111</v>
      </c>
      <c r="S5" s="1687"/>
      <c r="T5" s="1688"/>
      <c r="U5" s="1686"/>
      <c r="V5" s="1687"/>
      <c r="W5" s="3494" t="s">
        <v>111</v>
      </c>
      <c r="X5" s="1687"/>
      <c r="Y5" s="1688"/>
      <c r="Z5" s="1686"/>
      <c r="AA5" s="1687"/>
      <c r="AB5" s="3494" t="s">
        <v>111</v>
      </c>
      <c r="AC5" s="1687"/>
      <c r="AD5" s="1688"/>
      <c r="AE5" s="1686"/>
      <c r="AF5" s="1687"/>
      <c r="AG5" s="3494" t="s">
        <v>111</v>
      </c>
      <c r="AH5" s="1687"/>
      <c r="AI5" s="1688"/>
      <c r="AJ5" s="1686"/>
      <c r="AK5" s="1687"/>
      <c r="AL5" s="3494" t="s">
        <v>111</v>
      </c>
      <c r="AM5" s="1687"/>
      <c r="AN5" s="1688"/>
      <c r="AO5" s="1686"/>
      <c r="AP5" s="1687"/>
      <c r="AQ5" s="3494" t="s">
        <v>111</v>
      </c>
      <c r="AR5" s="1687"/>
      <c r="AS5" s="1688"/>
      <c r="AT5" s="1686"/>
      <c r="AU5" s="1687"/>
      <c r="AV5" s="3494" t="s">
        <v>111</v>
      </c>
      <c r="AW5" s="1687"/>
      <c r="AX5" s="1688"/>
      <c r="AY5" s="676"/>
      <c r="AZ5" s="676"/>
      <c r="BA5" s="676"/>
      <c r="BB5" s="36"/>
      <c r="BC5" s="36"/>
      <c r="BD5" s="676"/>
      <c r="BE5" s="676"/>
      <c r="BF5" s="676"/>
      <c r="BG5" s="36"/>
      <c r="BH5" s="36"/>
    </row>
    <row r="6" spans="1:80" ht="72" customHeight="1" x14ac:dyDescent="0.25">
      <c r="A6" s="1926" t="s">
        <v>262</v>
      </c>
      <c r="B6" s="1714">
        <v>1</v>
      </c>
      <c r="C6" s="1715"/>
      <c r="D6" s="1715"/>
      <c r="E6" s="1716"/>
      <c r="F6" s="1926" t="s">
        <v>262</v>
      </c>
      <c r="G6" s="1714">
        <v>2</v>
      </c>
      <c r="H6" s="1715"/>
      <c r="I6" s="1715"/>
      <c r="J6" s="1716"/>
      <c r="K6" s="1926" t="s">
        <v>262</v>
      </c>
      <c r="L6" s="1714">
        <v>3</v>
      </c>
      <c r="M6" s="1715"/>
      <c r="N6" s="1715"/>
      <c r="O6" s="1716"/>
      <c r="P6" s="1926" t="s">
        <v>262</v>
      </c>
      <c r="Q6" s="1714">
        <v>4</v>
      </c>
      <c r="R6" s="1715"/>
      <c r="S6" s="1715"/>
      <c r="T6" s="1716"/>
      <c r="U6" s="1926" t="s">
        <v>262</v>
      </c>
      <c r="V6" s="1714">
        <v>5</v>
      </c>
      <c r="W6" s="1715"/>
      <c r="X6" s="1715"/>
      <c r="Y6" s="1716"/>
      <c r="Z6" s="1926" t="s">
        <v>262</v>
      </c>
      <c r="AA6" s="1714">
        <v>6</v>
      </c>
      <c r="AB6" s="1715"/>
      <c r="AC6" s="1715"/>
      <c r="AD6" s="1716"/>
      <c r="AE6" s="1926" t="s">
        <v>262</v>
      </c>
      <c r="AF6" s="1714">
        <v>7</v>
      </c>
      <c r="AG6" s="1715"/>
      <c r="AH6" s="1715"/>
      <c r="AI6" s="1716"/>
      <c r="AJ6" s="1926" t="s">
        <v>262</v>
      </c>
      <c r="AK6" s="1714">
        <v>8</v>
      </c>
      <c r="AL6" s="1715"/>
      <c r="AM6" s="1715"/>
      <c r="AN6" s="1716"/>
      <c r="AO6" s="1926" t="s">
        <v>262</v>
      </c>
      <c r="AP6" s="1714">
        <v>9</v>
      </c>
      <c r="AQ6" s="1715"/>
      <c r="AR6" s="1715"/>
      <c r="AS6" s="1716"/>
      <c r="AT6" s="1926" t="s">
        <v>262</v>
      </c>
      <c r="AU6" s="1714">
        <v>10</v>
      </c>
      <c r="AV6" s="1715"/>
      <c r="AW6" s="1715"/>
      <c r="AX6" s="1716"/>
      <c r="AY6" s="677"/>
      <c r="AZ6" s="1332"/>
      <c r="BA6" s="1332"/>
      <c r="BB6" s="1332"/>
      <c r="BC6" s="1332"/>
      <c r="BD6" s="677"/>
      <c r="BE6" s="1332"/>
      <c r="BF6" s="1332"/>
      <c r="BG6" s="1332"/>
      <c r="BH6" s="1332"/>
      <c r="BM6" s="27"/>
      <c r="BN6" s="27"/>
      <c r="BO6" s="27"/>
      <c r="BP6" s="27"/>
      <c r="BQ6" s="27"/>
      <c r="BR6" s="27"/>
      <c r="BW6" s="27"/>
      <c r="BX6" s="27"/>
      <c r="BY6" s="27"/>
      <c r="BZ6" s="27"/>
      <c r="CA6" s="27"/>
      <c r="CB6" s="27"/>
    </row>
    <row r="7" spans="1:80" ht="35.1" customHeight="1" thickBot="1" x14ac:dyDescent="0.3">
      <c r="A7" s="1927"/>
      <c r="B7" s="241">
        <v>3.556</v>
      </c>
      <c r="C7" s="242" t="s">
        <v>113</v>
      </c>
      <c r="D7" s="243"/>
      <c r="E7" s="244" t="s">
        <v>114</v>
      </c>
      <c r="F7" s="1927"/>
      <c r="G7" s="241">
        <v>2.87</v>
      </c>
      <c r="H7" s="242" t="s">
        <v>113</v>
      </c>
      <c r="I7" s="243">
        <v>1</v>
      </c>
      <c r="J7" s="244" t="s">
        <v>114</v>
      </c>
      <c r="K7" s="1927"/>
      <c r="L7" s="241">
        <v>7.4930000000000003</v>
      </c>
      <c r="M7" s="242" t="s">
        <v>113</v>
      </c>
      <c r="N7" s="243">
        <v>1</v>
      </c>
      <c r="O7" s="244" t="s">
        <v>114</v>
      </c>
      <c r="P7" s="1927"/>
      <c r="Q7" s="241">
        <v>3.6059999999999999</v>
      </c>
      <c r="R7" s="242" t="s">
        <v>113</v>
      </c>
      <c r="S7" s="243"/>
      <c r="T7" s="244" t="s">
        <v>114</v>
      </c>
      <c r="U7" s="1927"/>
      <c r="V7" s="241">
        <v>4.4450000000000003</v>
      </c>
      <c r="W7" s="242" t="s">
        <v>113</v>
      </c>
      <c r="X7" s="243">
        <v>1</v>
      </c>
      <c r="Y7" s="244" t="s">
        <v>114</v>
      </c>
      <c r="Z7" s="1927"/>
      <c r="AA7" s="241">
        <v>0.91400000000000003</v>
      </c>
      <c r="AB7" s="242" t="s">
        <v>113</v>
      </c>
      <c r="AC7" s="243"/>
      <c r="AD7" s="244" t="s">
        <v>114</v>
      </c>
      <c r="AE7" s="1927"/>
      <c r="AF7" s="241">
        <v>3.302</v>
      </c>
      <c r="AG7" s="242" t="s">
        <v>113</v>
      </c>
      <c r="AH7" s="243">
        <v>1</v>
      </c>
      <c r="AI7" s="244" t="s">
        <v>114</v>
      </c>
      <c r="AJ7" s="1927"/>
      <c r="AK7" s="241">
        <v>8.0259999999999998</v>
      </c>
      <c r="AL7" s="242" t="s">
        <v>113</v>
      </c>
      <c r="AM7" s="243"/>
      <c r="AN7" s="244" t="s">
        <v>114</v>
      </c>
      <c r="AO7" s="1927"/>
      <c r="AP7" s="241">
        <v>2.9710000000000001</v>
      </c>
      <c r="AQ7" s="242" t="s">
        <v>113</v>
      </c>
      <c r="AR7" s="243">
        <v>1</v>
      </c>
      <c r="AS7" s="244" t="s">
        <v>114</v>
      </c>
      <c r="AT7" s="1927"/>
      <c r="AU7" s="241">
        <v>1.2190000000000001</v>
      </c>
      <c r="AV7" s="242" t="s">
        <v>113</v>
      </c>
      <c r="AW7" s="243"/>
      <c r="AX7" s="244" t="s">
        <v>114</v>
      </c>
      <c r="AY7" s="677"/>
      <c r="AZ7" s="137"/>
      <c r="BA7" s="33"/>
      <c r="BB7" s="138"/>
      <c r="BC7" s="35"/>
      <c r="BD7" s="677"/>
      <c r="BE7" s="137"/>
      <c r="BF7" s="33"/>
      <c r="BG7" s="138"/>
      <c r="BH7" s="35"/>
      <c r="BM7" s="27"/>
      <c r="BN7" s="27"/>
      <c r="BO7" s="27"/>
      <c r="BP7" s="27"/>
      <c r="BQ7" s="27"/>
      <c r="BR7" s="27"/>
      <c r="BW7" s="27"/>
      <c r="BX7" s="27"/>
      <c r="BY7" s="27"/>
      <c r="BZ7" s="27"/>
      <c r="CA7" s="27"/>
      <c r="CB7" s="27"/>
    </row>
    <row r="8" spans="1:80" ht="39" customHeight="1" thickTop="1" x14ac:dyDescent="0.25">
      <c r="A8" s="2305" t="s">
        <v>250</v>
      </c>
      <c r="B8" s="2306"/>
      <c r="C8" s="2306"/>
      <c r="D8" s="2307">
        <f>B13/((60*3.1415/59)*(70/3.281))</f>
        <v>6.4070052446889944E-2</v>
      </c>
      <c r="E8" s="2308"/>
      <c r="F8" s="2305" t="s">
        <v>250</v>
      </c>
      <c r="G8" s="2306"/>
      <c r="H8" s="2306"/>
      <c r="I8" s="2307">
        <f>G13/((60*3.1415/59)*(70/3.281))</f>
        <v>1.1546400566911469E-2</v>
      </c>
      <c r="J8" s="2308"/>
      <c r="K8" s="2305" t="s">
        <v>250</v>
      </c>
      <c r="L8" s="2306"/>
      <c r="M8" s="2306"/>
      <c r="N8" s="2307">
        <f>L13/((60*3.1415/59)*(70/3.281))</f>
        <v>2.6452554284804801E-2</v>
      </c>
      <c r="O8" s="2308"/>
      <c r="P8" s="2305" t="s">
        <v>250</v>
      </c>
      <c r="Q8" s="2306"/>
      <c r="R8" s="2306"/>
      <c r="S8" s="2307">
        <f>Q13/((60*3.1415/59)*(70/3.281))</f>
        <v>2.6085769006313334E-2</v>
      </c>
      <c r="T8" s="2308"/>
      <c r="U8" s="2305" t="s">
        <v>250</v>
      </c>
      <c r="V8" s="2306"/>
      <c r="W8" s="2306"/>
      <c r="X8" s="2307">
        <f>V13/((60*3.1415/59)*(70/3.281))</f>
        <v>2.2300544932281363E-3</v>
      </c>
      <c r="Y8" s="2308"/>
      <c r="Z8" s="2305" t="s">
        <v>250</v>
      </c>
      <c r="AA8" s="2306"/>
      <c r="AB8" s="2306"/>
      <c r="AC8" s="2307">
        <f>AA13/((60*3.1415/59)*(70/3.281))</f>
        <v>3.9862224066452942E-2</v>
      </c>
      <c r="AD8" s="2308"/>
      <c r="AE8" s="2305" t="s">
        <v>250</v>
      </c>
      <c r="AF8" s="2306"/>
      <c r="AG8" s="2306"/>
      <c r="AH8" s="2307">
        <f>AF13/((60*3.1415/59)*(70/3.281))</f>
        <v>3.5768900358488134E-2</v>
      </c>
      <c r="AI8" s="2308"/>
      <c r="AJ8" s="2305" t="s">
        <v>250</v>
      </c>
      <c r="AK8" s="2306"/>
      <c r="AL8" s="2306"/>
      <c r="AM8" s="2307">
        <f>AK13/((60*3.1415/59)*(70/3.281))</f>
        <v>8.2717416005396269E-2</v>
      </c>
      <c r="AN8" s="2308"/>
      <c r="AO8" s="165"/>
      <c r="AP8" s="165"/>
      <c r="AQ8" s="165"/>
      <c r="AR8" s="165"/>
      <c r="AS8" s="165"/>
      <c r="AT8" s="165"/>
      <c r="AU8" s="165"/>
      <c r="AV8" s="165"/>
      <c r="AW8" s="165"/>
      <c r="AX8" s="165"/>
      <c r="AY8" s="674"/>
      <c r="AZ8" s="674"/>
      <c r="BA8" s="674"/>
      <c r="BB8" s="1300"/>
      <c r="BC8" s="1300"/>
      <c r="BD8" s="674"/>
      <c r="BE8" s="674"/>
      <c r="BF8" s="674"/>
      <c r="BG8" s="1300"/>
      <c r="BH8" s="1300"/>
      <c r="BM8" s="27"/>
      <c r="BN8" s="27"/>
      <c r="BO8" s="27"/>
      <c r="BP8" s="27"/>
      <c r="BQ8" s="27"/>
      <c r="BR8" s="27"/>
      <c r="BW8" s="27"/>
      <c r="BX8" s="27"/>
      <c r="BY8" s="27"/>
      <c r="BZ8" s="27"/>
      <c r="CA8" s="27"/>
      <c r="CB8" s="27"/>
    </row>
    <row r="9" spans="1:80" ht="9.9499999999999993" hidden="1" customHeight="1" x14ac:dyDescent="0.25">
      <c r="A9" s="1680" t="s">
        <v>25</v>
      </c>
      <c r="B9" s="1681"/>
      <c r="C9" s="177"/>
      <c r="D9" s="177"/>
      <c r="E9" s="178"/>
      <c r="F9" s="1680" t="s">
        <v>25</v>
      </c>
      <c r="G9" s="1681"/>
      <c r="H9" s="177"/>
      <c r="I9" s="177"/>
      <c r="J9" s="178"/>
      <c r="K9" s="1680" t="s">
        <v>25</v>
      </c>
      <c r="L9" s="1681"/>
      <c r="M9" s="177"/>
      <c r="N9" s="177"/>
      <c r="O9" s="178"/>
      <c r="P9" s="1680" t="s">
        <v>25</v>
      </c>
      <c r="Q9" s="1681"/>
      <c r="R9" s="177"/>
      <c r="S9" s="177"/>
      <c r="T9" s="178"/>
      <c r="U9" s="1680" t="s">
        <v>25</v>
      </c>
      <c r="V9" s="1681"/>
      <c r="W9" s="177"/>
      <c r="X9" s="177"/>
      <c r="Y9" s="178"/>
      <c r="Z9" s="1680" t="s">
        <v>25</v>
      </c>
      <c r="AA9" s="1681"/>
      <c r="AB9" s="177"/>
      <c r="AC9" s="177"/>
      <c r="AD9" s="178"/>
      <c r="AE9" s="1680" t="s">
        <v>25</v>
      </c>
      <c r="AF9" s="1681"/>
      <c r="AG9" s="177"/>
      <c r="AH9" s="177"/>
      <c r="AI9" s="178"/>
      <c r="AJ9" s="1680" t="s">
        <v>25</v>
      </c>
      <c r="AK9" s="1681"/>
      <c r="AL9" s="177"/>
      <c r="AM9" s="177"/>
      <c r="AN9" s="178"/>
      <c r="AO9" s="165"/>
      <c r="AP9" s="165"/>
      <c r="AQ9" s="165"/>
      <c r="AR9" s="165"/>
      <c r="AS9" s="165"/>
      <c r="AT9" s="165"/>
      <c r="AU9" s="165"/>
      <c r="AV9" s="165"/>
      <c r="AW9" s="165"/>
      <c r="AX9" s="165"/>
      <c r="AY9" s="676"/>
      <c r="AZ9" s="676"/>
      <c r="BA9" s="676"/>
      <c r="BB9" s="674"/>
      <c r="BC9" s="674"/>
      <c r="BD9" s="674"/>
      <c r="BE9" s="674"/>
      <c r="BF9" s="674"/>
      <c r="BG9" s="674"/>
      <c r="BH9" s="674"/>
      <c r="BI9" s="674"/>
      <c r="BJ9" s="674"/>
    </row>
    <row r="10" spans="1:80" ht="24.95" hidden="1" customHeight="1" x14ac:dyDescent="0.25">
      <c r="A10" s="1683"/>
      <c r="B10" s="1684"/>
      <c r="C10" s="179"/>
      <c r="D10" s="179"/>
      <c r="E10" s="180"/>
      <c r="F10" s="1683"/>
      <c r="G10" s="1684"/>
      <c r="H10" s="179"/>
      <c r="I10" s="179"/>
      <c r="J10" s="180"/>
      <c r="K10" s="1683"/>
      <c r="L10" s="1684"/>
      <c r="M10" s="179"/>
      <c r="N10" s="179"/>
      <c r="O10" s="180"/>
      <c r="P10" s="1683"/>
      <c r="Q10" s="1684"/>
      <c r="R10" s="179"/>
      <c r="S10" s="179"/>
      <c r="T10" s="180"/>
      <c r="U10" s="1683"/>
      <c r="V10" s="1684"/>
      <c r="W10" s="179"/>
      <c r="X10" s="179"/>
      <c r="Y10" s="180"/>
      <c r="Z10" s="1683"/>
      <c r="AA10" s="1684"/>
      <c r="AB10" s="179"/>
      <c r="AC10" s="179"/>
      <c r="AD10" s="180"/>
      <c r="AE10" s="1683"/>
      <c r="AF10" s="1684"/>
      <c r="AG10" s="179"/>
      <c r="AH10" s="179"/>
      <c r="AI10" s="180"/>
      <c r="AJ10" s="1683"/>
      <c r="AK10" s="1684"/>
      <c r="AL10" s="179"/>
      <c r="AM10" s="179"/>
      <c r="AN10" s="180"/>
      <c r="AO10" s="165"/>
      <c r="AP10" s="165"/>
      <c r="AQ10" s="165"/>
      <c r="AR10" s="165"/>
      <c r="AS10" s="165"/>
      <c r="AT10" s="165"/>
      <c r="AU10" s="165"/>
      <c r="AV10" s="165"/>
      <c r="AW10" s="165"/>
      <c r="AX10" s="165"/>
      <c r="AY10" s="676"/>
      <c r="AZ10" s="676"/>
      <c r="BA10" s="676"/>
      <c r="BB10" s="674"/>
      <c r="BC10" s="674"/>
      <c r="BD10" s="674"/>
      <c r="BE10" s="674"/>
      <c r="BF10" s="674"/>
      <c r="BG10" s="674"/>
      <c r="BH10" s="674"/>
      <c r="BI10" s="674"/>
      <c r="BJ10" s="674"/>
    </row>
    <row r="11" spans="1:80" ht="25.5" customHeight="1" x14ac:dyDescent="0.25">
      <c r="A11" s="1686"/>
      <c r="B11" s="1687"/>
      <c r="C11" s="3494" t="s">
        <v>111</v>
      </c>
      <c r="D11" s="1687"/>
      <c r="E11" s="1688"/>
      <c r="F11" s="1686"/>
      <c r="G11" s="1687"/>
      <c r="H11" s="3494" t="s">
        <v>111</v>
      </c>
      <c r="I11" s="1687"/>
      <c r="J11" s="1688"/>
      <c r="K11" s="1686"/>
      <c r="L11" s="1687"/>
      <c r="M11" s="3494" t="s">
        <v>111</v>
      </c>
      <c r="N11" s="1687"/>
      <c r="O11" s="1688"/>
      <c r="P11" s="1686"/>
      <c r="Q11" s="1687"/>
      <c r="R11" s="3494" t="s">
        <v>111</v>
      </c>
      <c r="S11" s="1687"/>
      <c r="T11" s="1688"/>
      <c r="U11" s="1686"/>
      <c r="V11" s="1687"/>
      <c r="W11" s="3494" t="s">
        <v>111</v>
      </c>
      <c r="X11" s="1687"/>
      <c r="Y11" s="1688"/>
      <c r="Z11" s="1686"/>
      <c r="AA11" s="1687"/>
      <c r="AB11" s="3494" t="s">
        <v>111</v>
      </c>
      <c r="AC11" s="1687"/>
      <c r="AD11" s="1688"/>
      <c r="AE11" s="1686"/>
      <c r="AF11" s="1687"/>
      <c r="AG11" s="3494" t="s">
        <v>111</v>
      </c>
      <c r="AH11" s="1687"/>
      <c r="AI11" s="1688"/>
      <c r="AJ11" s="1686"/>
      <c r="AK11" s="1687"/>
      <c r="AL11" s="3494" t="s">
        <v>111</v>
      </c>
      <c r="AM11" s="1687"/>
      <c r="AN11" s="1688"/>
      <c r="AO11" s="165"/>
      <c r="AP11" s="165"/>
      <c r="AQ11" s="165"/>
      <c r="AR11" s="165"/>
      <c r="AS11" s="165"/>
      <c r="AT11" s="165"/>
      <c r="AU11" s="165"/>
      <c r="AV11" s="165"/>
      <c r="AW11" s="165"/>
      <c r="AX11" s="165"/>
      <c r="AY11" s="676"/>
      <c r="AZ11" s="676"/>
      <c r="BA11" s="676"/>
      <c r="BB11" s="674"/>
      <c r="BC11" s="674"/>
      <c r="BD11" s="674"/>
      <c r="BE11" s="674"/>
      <c r="BF11" s="674"/>
      <c r="BG11" s="674"/>
      <c r="BH11" s="674"/>
      <c r="BI11" s="674"/>
      <c r="BJ11" s="674"/>
    </row>
    <row r="12" spans="1:80" ht="72" customHeight="1" x14ac:dyDescent="0.25">
      <c r="A12" s="1926" t="s">
        <v>262</v>
      </c>
      <c r="B12" s="1714">
        <v>11</v>
      </c>
      <c r="C12" s="1715"/>
      <c r="D12" s="1715"/>
      <c r="E12" s="1716"/>
      <c r="F12" s="1926" t="s">
        <v>262</v>
      </c>
      <c r="G12" s="1714">
        <v>12</v>
      </c>
      <c r="H12" s="1715"/>
      <c r="I12" s="1715"/>
      <c r="J12" s="1716"/>
      <c r="K12" s="1926" t="s">
        <v>262</v>
      </c>
      <c r="L12" s="1714">
        <v>13</v>
      </c>
      <c r="M12" s="1715"/>
      <c r="N12" s="1715"/>
      <c r="O12" s="1716"/>
      <c r="P12" s="1926" t="s">
        <v>262</v>
      </c>
      <c r="Q12" s="1714">
        <v>14</v>
      </c>
      <c r="R12" s="1715"/>
      <c r="S12" s="1715"/>
      <c r="T12" s="1716"/>
      <c r="U12" s="1926" t="s">
        <v>262</v>
      </c>
      <c r="V12" s="1714">
        <v>15</v>
      </c>
      <c r="W12" s="1715"/>
      <c r="X12" s="1715"/>
      <c r="Y12" s="1716"/>
      <c r="Z12" s="1926" t="s">
        <v>262</v>
      </c>
      <c r="AA12" s="1714">
        <v>16</v>
      </c>
      <c r="AB12" s="1715"/>
      <c r="AC12" s="1715"/>
      <c r="AD12" s="1716"/>
      <c r="AE12" s="1926" t="s">
        <v>262</v>
      </c>
      <c r="AF12" s="1714">
        <v>17</v>
      </c>
      <c r="AG12" s="1715"/>
      <c r="AH12" s="1715"/>
      <c r="AI12" s="1716"/>
      <c r="AJ12" s="1926" t="s">
        <v>262</v>
      </c>
      <c r="AK12" s="1714">
        <v>18</v>
      </c>
      <c r="AL12" s="1715"/>
      <c r="AM12" s="1715"/>
      <c r="AN12" s="1716"/>
      <c r="AO12" s="165"/>
      <c r="AP12" s="165"/>
      <c r="AQ12" s="165"/>
      <c r="AR12" s="165"/>
      <c r="AS12" s="165"/>
      <c r="AT12" s="165"/>
      <c r="AU12" s="165"/>
      <c r="AV12" s="165"/>
      <c r="AW12" s="165"/>
      <c r="AX12" s="165"/>
      <c r="AY12" s="677"/>
      <c r="AZ12" s="1332"/>
      <c r="BA12" s="1332"/>
      <c r="BB12" s="1332"/>
      <c r="BC12" s="1332"/>
      <c r="BD12" s="677"/>
      <c r="BE12" s="1332"/>
      <c r="BF12" s="1332"/>
      <c r="BG12" s="1332"/>
      <c r="BH12" s="1332"/>
      <c r="BM12" s="51"/>
      <c r="BN12" s="51"/>
      <c r="BO12" s="51"/>
      <c r="BP12" s="51"/>
      <c r="BQ12" s="51"/>
      <c r="BR12" s="51"/>
      <c r="BW12" s="27"/>
      <c r="BX12" s="27"/>
      <c r="BY12" s="27"/>
      <c r="BZ12" s="27"/>
      <c r="CA12" s="27"/>
      <c r="CB12" s="27"/>
    </row>
    <row r="13" spans="1:80" ht="35.1" customHeight="1" thickBot="1" x14ac:dyDescent="0.3">
      <c r="A13" s="1927"/>
      <c r="B13" s="241">
        <v>4.367</v>
      </c>
      <c r="C13" s="242" t="s">
        <v>113</v>
      </c>
      <c r="D13" s="243">
        <v>1</v>
      </c>
      <c r="E13" s="244" t="s">
        <v>114</v>
      </c>
      <c r="F13" s="1927"/>
      <c r="G13" s="241">
        <v>0.78700000000000003</v>
      </c>
      <c r="H13" s="242" t="s">
        <v>113</v>
      </c>
      <c r="I13" s="243"/>
      <c r="J13" s="244" t="s">
        <v>114</v>
      </c>
      <c r="K13" s="1927"/>
      <c r="L13" s="241">
        <v>1.8029999999999999</v>
      </c>
      <c r="M13" s="242" t="s">
        <v>113</v>
      </c>
      <c r="N13" s="243">
        <v>1</v>
      </c>
      <c r="O13" s="244" t="s">
        <v>114</v>
      </c>
      <c r="P13" s="1927"/>
      <c r="Q13" s="241">
        <v>1.778</v>
      </c>
      <c r="R13" s="242" t="s">
        <v>113</v>
      </c>
      <c r="S13" s="243">
        <v>1</v>
      </c>
      <c r="T13" s="244" t="s">
        <v>114</v>
      </c>
      <c r="U13" s="1927"/>
      <c r="V13" s="241">
        <v>0.152</v>
      </c>
      <c r="W13" s="242" t="s">
        <v>113</v>
      </c>
      <c r="X13" s="243"/>
      <c r="Y13" s="244" t="s">
        <v>114</v>
      </c>
      <c r="Z13" s="1927"/>
      <c r="AA13" s="241">
        <v>2.7170000000000001</v>
      </c>
      <c r="AB13" s="242" t="s">
        <v>113</v>
      </c>
      <c r="AC13" s="243">
        <v>1</v>
      </c>
      <c r="AD13" s="244" t="s">
        <v>114</v>
      </c>
      <c r="AE13" s="1927"/>
      <c r="AF13" s="241">
        <v>2.4380000000000002</v>
      </c>
      <c r="AG13" s="242" t="s">
        <v>113</v>
      </c>
      <c r="AH13" s="243"/>
      <c r="AI13" s="244" t="s">
        <v>114</v>
      </c>
      <c r="AJ13" s="1927"/>
      <c r="AK13" s="241">
        <v>5.6379999999999999</v>
      </c>
      <c r="AL13" s="242" t="s">
        <v>113</v>
      </c>
      <c r="AM13" s="243">
        <v>1</v>
      </c>
      <c r="AN13" s="244" t="s">
        <v>114</v>
      </c>
      <c r="AO13" s="165"/>
      <c r="AP13" s="165"/>
      <c r="AQ13" s="165"/>
      <c r="AR13" s="165"/>
      <c r="AS13" s="165"/>
      <c r="AT13" s="165"/>
      <c r="AU13" s="165"/>
      <c r="AV13" s="165"/>
      <c r="AW13" s="165"/>
      <c r="AX13" s="165"/>
      <c r="AY13" s="677"/>
      <c r="AZ13" s="137"/>
      <c r="BA13" s="33"/>
      <c r="BB13" s="138"/>
      <c r="BC13" s="35"/>
      <c r="BD13" s="677"/>
      <c r="BE13" s="137"/>
      <c r="BF13" s="33"/>
      <c r="BG13" s="138"/>
      <c r="BH13" s="35"/>
      <c r="BM13" s="51"/>
      <c r="BN13" s="51"/>
      <c r="BO13" s="51"/>
      <c r="BP13" s="51"/>
      <c r="BQ13" s="51"/>
      <c r="BR13" s="51"/>
      <c r="BW13" s="27"/>
      <c r="BX13" s="27"/>
      <c r="BY13" s="27"/>
      <c r="BZ13" s="27"/>
      <c r="CA13" s="27"/>
      <c r="CB13" s="27"/>
    </row>
    <row r="14" spans="1:80" ht="39.950000000000003" hidden="1" customHeight="1" thickTop="1" x14ac:dyDescent="0.25">
      <c r="A14" s="1695" t="s">
        <v>250</v>
      </c>
      <c r="B14" s="1696"/>
      <c r="C14" s="1696"/>
      <c r="D14" s="1697">
        <f>B19/((42*3.1415/59)*(30/3.281))</f>
        <v>0</v>
      </c>
      <c r="E14" s="1698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Z14" s="44"/>
      <c r="AA14" s="44"/>
      <c r="AB14" s="44"/>
      <c r="AC14" s="44"/>
      <c r="AD14" s="44"/>
      <c r="AE14" s="44"/>
      <c r="AF14" s="44"/>
      <c r="AG14" s="44"/>
      <c r="AH14" s="1300"/>
      <c r="AI14" s="1300"/>
      <c r="AJ14" s="674"/>
      <c r="AK14" s="674"/>
      <c r="AL14" s="674"/>
      <c r="AM14" s="1300"/>
      <c r="AN14" s="1300"/>
      <c r="AO14" s="674"/>
      <c r="AP14" s="674"/>
      <c r="AQ14" s="674"/>
      <c r="AR14" s="1300"/>
      <c r="AS14" s="1300"/>
      <c r="AT14" s="1389"/>
      <c r="AU14" s="1389"/>
      <c r="AV14" s="1389"/>
      <c r="AW14" s="1390"/>
      <c r="AX14" s="1390"/>
      <c r="AY14" s="674"/>
      <c r="AZ14" s="674"/>
      <c r="BA14" s="674"/>
      <c r="BB14" s="1300"/>
      <c r="BC14" s="1300"/>
      <c r="BD14" s="674"/>
      <c r="BE14" s="674"/>
      <c r="BF14" s="674"/>
      <c r="BG14" s="1300"/>
      <c r="BH14" s="1300"/>
      <c r="BM14" s="51"/>
      <c r="BN14" s="51"/>
      <c r="BO14" s="51"/>
      <c r="BP14" s="51"/>
      <c r="BQ14" s="51"/>
      <c r="BR14" s="51"/>
      <c r="BW14" s="27"/>
      <c r="BX14" s="27"/>
      <c r="BY14" s="27"/>
      <c r="BZ14" s="27"/>
      <c r="CA14" s="27"/>
      <c r="CB14" s="27"/>
    </row>
    <row r="15" spans="1:80" ht="9.9499999999999993" hidden="1" customHeight="1" x14ac:dyDescent="0.25">
      <c r="A15" s="1379" t="s">
        <v>252</v>
      </c>
      <c r="B15" s="1380"/>
      <c r="C15" s="1380"/>
      <c r="D15" s="1380"/>
      <c r="E15" s="1381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Z15" s="47"/>
      <c r="AA15" s="47"/>
      <c r="AB15" s="47"/>
      <c r="AC15" s="47"/>
      <c r="AD15" s="47"/>
      <c r="AE15" s="47"/>
      <c r="AF15" s="47"/>
      <c r="AG15" s="47"/>
      <c r="AH15" s="36"/>
      <c r="AI15" s="36"/>
      <c r="AJ15" s="676"/>
      <c r="AK15" s="676"/>
      <c r="AL15" s="676"/>
      <c r="AM15" s="36"/>
      <c r="AN15" s="36"/>
      <c r="AO15" s="676"/>
      <c r="AP15" s="676"/>
      <c r="AQ15" s="676"/>
      <c r="AR15" s="36"/>
      <c r="AS15" s="36"/>
      <c r="AT15" s="1388"/>
      <c r="AU15" s="1388"/>
      <c r="AV15" s="1388"/>
      <c r="AW15" s="139"/>
      <c r="AX15" s="139"/>
      <c r="AY15" s="676"/>
      <c r="AZ15" s="676"/>
      <c r="BA15" s="676"/>
      <c r="BB15" s="36"/>
      <c r="BC15" s="36"/>
      <c r="BD15" s="676"/>
      <c r="BE15" s="676"/>
      <c r="BF15" s="676"/>
      <c r="BG15" s="36"/>
      <c r="BH15" s="36"/>
    </row>
    <row r="16" spans="1:80" ht="24.95" hidden="1" customHeight="1" x14ac:dyDescent="0.25">
      <c r="A16" s="1382"/>
      <c r="B16" s="1383"/>
      <c r="C16" s="1383"/>
      <c r="D16" s="1383"/>
      <c r="E16" s="1384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Z16" s="47"/>
      <c r="AA16" s="47"/>
      <c r="AB16" s="47"/>
      <c r="AC16" s="47"/>
      <c r="AD16" s="47"/>
      <c r="AE16" s="47"/>
      <c r="AF16" s="47"/>
      <c r="AG16" s="47"/>
      <c r="AH16" s="140"/>
      <c r="AI16" s="36"/>
      <c r="AJ16" s="676"/>
      <c r="AK16" s="676"/>
      <c r="AL16" s="676"/>
      <c r="AM16" s="140"/>
      <c r="AN16" s="36"/>
      <c r="AO16" s="676"/>
      <c r="AP16" s="676"/>
      <c r="AQ16" s="676"/>
      <c r="AR16" s="140"/>
      <c r="AS16" s="36"/>
      <c r="AT16" s="1388"/>
      <c r="AU16" s="1388"/>
      <c r="AV16" s="1388"/>
      <c r="AW16" s="141"/>
      <c r="AX16" s="139"/>
      <c r="AY16" s="676"/>
      <c r="AZ16" s="676"/>
      <c r="BA16" s="676"/>
      <c r="BB16" s="36"/>
      <c r="BC16" s="36"/>
      <c r="BD16" s="676"/>
      <c r="BE16" s="676"/>
      <c r="BF16" s="676"/>
      <c r="BG16" s="36"/>
      <c r="BH16" s="36"/>
    </row>
    <row r="17" spans="1:80" ht="9.9499999999999993" hidden="1" customHeight="1" x14ac:dyDescent="0.25">
      <c r="A17" s="1385"/>
      <c r="B17" s="1386"/>
      <c r="C17" s="1386"/>
      <c r="D17" s="1386"/>
      <c r="E17" s="138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Z17" s="47"/>
      <c r="AA17" s="47"/>
      <c r="AB17" s="47"/>
      <c r="AC17" s="47"/>
      <c r="AD17" s="47"/>
      <c r="AE17" s="47"/>
      <c r="AF17" s="47"/>
      <c r="AG17" s="47"/>
      <c r="AH17" s="36"/>
      <c r="AI17" s="36"/>
      <c r="AJ17" s="676"/>
      <c r="AK17" s="676"/>
      <c r="AL17" s="676"/>
      <c r="AM17" s="36"/>
      <c r="AN17" s="36"/>
      <c r="AO17" s="676"/>
      <c r="AP17" s="676"/>
      <c r="AQ17" s="676"/>
      <c r="AR17" s="36"/>
      <c r="AS17" s="36"/>
      <c r="AT17" s="1388"/>
      <c r="AU17" s="1388"/>
      <c r="AV17" s="1388"/>
      <c r="AW17" s="139"/>
      <c r="AX17" s="139"/>
      <c r="AY17" s="676"/>
      <c r="AZ17" s="676"/>
      <c r="BA17" s="676"/>
      <c r="BB17" s="36"/>
      <c r="BC17" s="36"/>
      <c r="BD17" s="676"/>
      <c r="BE17" s="676"/>
      <c r="BF17" s="676"/>
      <c r="BG17" s="36"/>
      <c r="BH17" s="36"/>
    </row>
    <row r="18" spans="1:80" ht="72" hidden="1" customHeight="1" x14ac:dyDescent="0.25">
      <c r="A18" s="1374" t="s">
        <v>253</v>
      </c>
      <c r="B18" s="1376"/>
      <c r="C18" s="1377"/>
      <c r="D18" s="1377"/>
      <c r="E18" s="1378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3"/>
      <c r="AU18" s="143"/>
      <c r="AV18" s="143"/>
      <c r="AW18" s="143"/>
      <c r="AX18" s="143"/>
      <c r="AY18" s="677"/>
      <c r="AZ18" s="1332"/>
      <c r="BA18" s="1332"/>
      <c r="BB18" s="1332"/>
      <c r="BC18" s="1332"/>
      <c r="BD18" s="677"/>
      <c r="BE18" s="1332" t="s">
        <v>16</v>
      </c>
      <c r="BF18" s="1332"/>
      <c r="BG18" s="1332"/>
      <c r="BH18" s="1332"/>
      <c r="BM18" s="51"/>
      <c r="BN18" s="51"/>
      <c r="BO18" s="51"/>
      <c r="BP18" s="51"/>
      <c r="BQ18" s="51"/>
      <c r="BR18" s="51"/>
      <c r="BW18" s="27"/>
      <c r="BX18" s="27"/>
      <c r="BY18" s="27"/>
      <c r="BZ18" s="27"/>
      <c r="CA18" s="27"/>
      <c r="CB18" s="27"/>
    </row>
    <row r="19" spans="1:80" ht="35.1" hidden="1" customHeight="1" thickBot="1" x14ac:dyDescent="0.3">
      <c r="A19" s="1375"/>
      <c r="B19" s="144"/>
      <c r="C19" s="145" t="s">
        <v>113</v>
      </c>
      <c r="D19" s="146"/>
      <c r="E19" s="147" t="s">
        <v>114</v>
      </c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148"/>
      <c r="AU19" s="148"/>
      <c r="AV19" s="148"/>
      <c r="AW19" s="148"/>
      <c r="AX19" s="148"/>
      <c r="AY19" s="677"/>
      <c r="AZ19" s="137"/>
      <c r="BA19" s="33"/>
      <c r="BB19" s="138"/>
      <c r="BC19" s="35"/>
      <c r="BD19" s="677"/>
      <c r="BE19" s="137"/>
      <c r="BF19" s="33"/>
      <c r="BG19" s="138"/>
      <c r="BH19" s="35"/>
      <c r="BM19" s="51"/>
      <c r="BN19" s="51"/>
      <c r="BO19" s="51"/>
      <c r="BP19" s="51"/>
      <c r="BQ19" s="51"/>
      <c r="BR19" s="51"/>
      <c r="BW19" s="27"/>
      <c r="BX19" s="27"/>
      <c r="BY19" s="27"/>
      <c r="BZ19" s="27"/>
      <c r="CA19" s="27"/>
      <c r="CB19" s="27"/>
    </row>
    <row r="20" spans="1:80" ht="27" hidden="1" thickTop="1" x14ac:dyDescent="0.25">
      <c r="A20" s="1396"/>
      <c r="B20" s="1396"/>
      <c r="C20" s="1396"/>
      <c r="D20" s="1397"/>
      <c r="E20" s="1397"/>
      <c r="F20" s="674"/>
      <c r="G20" s="674"/>
      <c r="H20" s="674"/>
      <c r="I20" s="1300"/>
      <c r="J20" s="1300"/>
      <c r="K20" s="674"/>
      <c r="L20" s="674"/>
      <c r="M20" s="674"/>
      <c r="N20" s="1300"/>
      <c r="O20" s="1300"/>
      <c r="P20" s="674"/>
      <c r="Q20" s="674"/>
      <c r="R20" s="674"/>
      <c r="S20" s="1300"/>
      <c r="T20" s="1300"/>
      <c r="U20" s="674"/>
      <c r="V20" s="674"/>
      <c r="W20" s="674"/>
      <c r="X20" s="1300"/>
      <c r="Y20" s="1300"/>
      <c r="Z20" s="674"/>
      <c r="AA20" s="674"/>
      <c r="AB20" s="674"/>
      <c r="AC20" s="1300"/>
      <c r="AD20" s="1300"/>
      <c r="AE20" s="674"/>
      <c r="AF20" s="674"/>
      <c r="AG20" s="674"/>
      <c r="AH20" s="1300"/>
      <c r="AI20" s="1300"/>
      <c r="AJ20" s="674"/>
      <c r="AK20" s="674"/>
      <c r="AL20" s="674"/>
      <c r="AM20" s="1300"/>
      <c r="AN20" s="1300"/>
      <c r="AO20" s="674"/>
      <c r="AP20" s="674"/>
      <c r="AQ20" s="674"/>
      <c r="AR20" s="1300"/>
      <c r="AS20" s="1300"/>
      <c r="AT20" s="1389"/>
      <c r="AU20" s="1389"/>
      <c r="AV20" s="1389"/>
      <c r="AW20" s="1390"/>
      <c r="AX20" s="1390"/>
      <c r="AY20" s="674"/>
      <c r="AZ20" s="674"/>
      <c r="BA20" s="674"/>
      <c r="BB20" s="1300"/>
      <c r="BC20" s="1300"/>
      <c r="BD20" s="674"/>
      <c r="BE20" s="674"/>
      <c r="BF20" s="674"/>
      <c r="BG20" s="1300"/>
      <c r="BH20" s="1300"/>
      <c r="BM20" s="51"/>
      <c r="BN20" s="51"/>
      <c r="BO20" s="51"/>
      <c r="BP20" s="51"/>
      <c r="BQ20" s="51"/>
      <c r="BR20" s="51"/>
      <c r="BW20" s="27"/>
      <c r="BX20" s="27"/>
      <c r="BY20" s="27"/>
      <c r="BZ20" s="27"/>
      <c r="CA20" s="27"/>
      <c r="CB20" s="27"/>
    </row>
    <row r="21" spans="1:80" ht="19.5" hidden="1" thickTop="1" x14ac:dyDescent="0.25">
      <c r="A21" s="1395"/>
      <c r="B21" s="1395"/>
      <c r="C21" s="1395"/>
      <c r="D21" s="149"/>
      <c r="E21" s="149"/>
      <c r="F21" s="676"/>
      <c r="G21" s="676"/>
      <c r="H21" s="676"/>
      <c r="I21" s="36"/>
      <c r="J21" s="36"/>
      <c r="K21" s="676"/>
      <c r="L21" s="676"/>
      <c r="M21" s="676"/>
      <c r="N21" s="36"/>
      <c r="O21" s="36"/>
      <c r="P21" s="676"/>
      <c r="Q21" s="676"/>
      <c r="R21" s="676"/>
      <c r="S21" s="36"/>
      <c r="T21" s="36"/>
      <c r="U21" s="676"/>
      <c r="V21" s="676"/>
      <c r="W21" s="676"/>
      <c r="X21" s="36"/>
      <c r="Y21" s="36"/>
      <c r="Z21" s="676"/>
      <c r="AA21" s="676"/>
      <c r="AB21" s="676"/>
      <c r="AC21" s="36"/>
      <c r="AD21" s="36"/>
      <c r="AE21" s="676"/>
      <c r="AF21" s="676"/>
      <c r="AG21" s="676"/>
      <c r="AH21" s="36"/>
      <c r="AI21" s="36"/>
      <c r="AJ21" s="676"/>
      <c r="AK21" s="676"/>
      <c r="AL21" s="676"/>
      <c r="AM21" s="36"/>
      <c r="AN21" s="36"/>
      <c r="AO21" s="676"/>
      <c r="AP21" s="676"/>
      <c r="AQ21" s="676"/>
      <c r="AR21" s="36"/>
      <c r="AS21" s="36"/>
      <c r="AT21" s="1388"/>
      <c r="AU21" s="1388"/>
      <c r="AV21" s="1388"/>
      <c r="AW21" s="139"/>
      <c r="AX21" s="139"/>
      <c r="AY21" s="676"/>
      <c r="AZ21" s="676"/>
      <c r="BA21" s="676"/>
      <c r="BB21" s="36"/>
      <c r="BC21" s="36"/>
      <c r="BD21" s="676"/>
      <c r="BE21" s="676"/>
      <c r="BF21" s="676"/>
      <c r="BG21" s="36"/>
      <c r="BH21" s="36"/>
    </row>
    <row r="22" spans="1:80" ht="36.75" hidden="1" thickTop="1" x14ac:dyDescent="0.25">
      <c r="A22" s="1395"/>
      <c r="B22" s="1395"/>
      <c r="C22" s="1395"/>
      <c r="D22" s="150"/>
      <c r="E22" s="149"/>
      <c r="F22" s="676"/>
      <c r="G22" s="676"/>
      <c r="H22" s="676"/>
      <c r="I22" s="140"/>
      <c r="J22" s="36"/>
      <c r="K22" s="676"/>
      <c r="L22" s="676"/>
      <c r="M22" s="676"/>
      <c r="N22" s="140"/>
      <c r="O22" s="36"/>
      <c r="P22" s="676"/>
      <c r="Q22" s="676"/>
      <c r="R22" s="676"/>
      <c r="S22" s="140"/>
      <c r="T22" s="36"/>
      <c r="U22" s="676"/>
      <c r="V22" s="676"/>
      <c r="W22" s="676"/>
      <c r="X22" s="140"/>
      <c r="Y22" s="36"/>
      <c r="Z22" s="676"/>
      <c r="AA22" s="676"/>
      <c r="AB22" s="676"/>
      <c r="AC22" s="140"/>
      <c r="AD22" s="36"/>
      <c r="AE22" s="676"/>
      <c r="AF22" s="676"/>
      <c r="AG22" s="676"/>
      <c r="AH22" s="140"/>
      <c r="AI22" s="36"/>
      <c r="AJ22" s="676"/>
      <c r="AK22" s="676"/>
      <c r="AL22" s="676"/>
      <c r="AM22" s="140"/>
      <c r="AN22" s="36"/>
      <c r="AO22" s="676"/>
      <c r="AP22" s="676"/>
      <c r="AQ22" s="676"/>
      <c r="AR22" s="140"/>
      <c r="AS22" s="36"/>
      <c r="AT22" s="1388"/>
      <c r="AU22" s="1388"/>
      <c r="AV22" s="1388"/>
      <c r="AW22" s="141"/>
      <c r="AX22" s="139"/>
      <c r="AY22" s="676"/>
      <c r="AZ22" s="676"/>
      <c r="BA22" s="676"/>
      <c r="BB22" s="36"/>
      <c r="BC22" s="36"/>
      <c r="BD22" s="676"/>
      <c r="BE22" s="676"/>
      <c r="BF22" s="676"/>
      <c r="BG22" s="36"/>
      <c r="BH22" s="36"/>
    </row>
    <row r="23" spans="1:80" ht="19.5" hidden="1" thickTop="1" x14ac:dyDescent="0.25">
      <c r="A23" s="1395"/>
      <c r="B23" s="1395"/>
      <c r="C23" s="1395"/>
      <c r="D23" s="149"/>
      <c r="E23" s="149"/>
      <c r="F23" s="676"/>
      <c r="G23" s="676"/>
      <c r="H23" s="676"/>
      <c r="I23" s="36"/>
      <c r="J23" s="36"/>
      <c r="K23" s="676"/>
      <c r="L23" s="676"/>
      <c r="M23" s="676"/>
      <c r="N23" s="36"/>
      <c r="O23" s="36"/>
      <c r="P23" s="676"/>
      <c r="Q23" s="676"/>
      <c r="R23" s="676"/>
      <c r="S23" s="36"/>
      <c r="T23" s="36"/>
      <c r="U23" s="676"/>
      <c r="V23" s="676"/>
      <c r="W23" s="676"/>
      <c r="X23" s="36"/>
      <c r="Y23" s="36"/>
      <c r="Z23" s="676"/>
      <c r="AA23" s="676"/>
      <c r="AB23" s="676"/>
      <c r="AC23" s="36"/>
      <c r="AD23" s="36"/>
      <c r="AE23" s="676"/>
      <c r="AF23" s="676"/>
      <c r="AG23" s="676"/>
      <c r="AH23" s="36"/>
      <c r="AI23" s="36"/>
      <c r="AJ23" s="676"/>
      <c r="AK23" s="676"/>
      <c r="AL23" s="676"/>
      <c r="AM23" s="36"/>
      <c r="AN23" s="36"/>
      <c r="AO23" s="676"/>
      <c r="AP23" s="676"/>
      <c r="AQ23" s="676"/>
      <c r="AR23" s="36"/>
      <c r="AS23" s="36"/>
      <c r="AT23" s="1388"/>
      <c r="AU23" s="1388"/>
      <c r="AV23" s="1388"/>
      <c r="AW23" s="139"/>
      <c r="AX23" s="139"/>
      <c r="AY23" s="676"/>
      <c r="AZ23" s="676"/>
      <c r="BA23" s="676"/>
      <c r="BB23" s="36"/>
      <c r="BC23" s="36"/>
      <c r="BD23" s="676"/>
      <c r="BE23" s="676"/>
      <c r="BF23" s="676"/>
      <c r="BG23" s="36"/>
      <c r="BH23" s="36"/>
    </row>
    <row r="24" spans="1:80" ht="78" hidden="1" thickTop="1" x14ac:dyDescent="0.25">
      <c r="A24" s="1398"/>
      <c r="B24" s="1399"/>
      <c r="C24" s="1399"/>
      <c r="D24" s="1399"/>
      <c r="E24" s="1399"/>
      <c r="F24" s="1370"/>
      <c r="G24" s="1371"/>
      <c r="H24" s="1371"/>
      <c r="I24" s="1371"/>
      <c r="J24" s="1371"/>
      <c r="K24" s="1370"/>
      <c r="L24" s="1371"/>
      <c r="M24" s="1371"/>
      <c r="N24" s="1371"/>
      <c r="O24" s="1371"/>
      <c r="P24" s="1370"/>
      <c r="Q24" s="1371"/>
      <c r="R24" s="1371"/>
      <c r="S24" s="1371"/>
      <c r="T24" s="1371"/>
      <c r="U24" s="1370"/>
      <c r="V24" s="1371"/>
      <c r="W24" s="1371"/>
      <c r="X24" s="1371"/>
      <c r="Y24" s="1371"/>
      <c r="Z24" s="1370"/>
      <c r="AA24" s="1371"/>
      <c r="AB24" s="1371"/>
      <c r="AC24" s="1371"/>
      <c r="AD24" s="1371"/>
      <c r="AE24" s="1370"/>
      <c r="AF24" s="1371"/>
      <c r="AG24" s="1371"/>
      <c r="AH24" s="1371"/>
      <c r="AI24" s="1371"/>
      <c r="AJ24" s="1370"/>
      <c r="AK24" s="1371"/>
      <c r="AL24" s="1371"/>
      <c r="AM24" s="1371"/>
      <c r="AN24" s="1371"/>
      <c r="AO24" s="1370"/>
      <c r="AP24" s="1371"/>
      <c r="AQ24" s="1371"/>
      <c r="AR24" s="1371"/>
      <c r="AS24" s="1371"/>
      <c r="AT24" s="1439"/>
      <c r="AU24" s="1440"/>
      <c r="AV24" s="1440"/>
      <c r="AW24" s="1440"/>
      <c r="AX24" s="1440"/>
      <c r="AY24" s="677"/>
      <c r="AZ24" s="1332"/>
      <c r="BA24" s="1332"/>
      <c r="BB24" s="1332"/>
      <c r="BC24" s="1332"/>
      <c r="BD24" s="677"/>
      <c r="BE24" s="1332"/>
      <c r="BF24" s="1332"/>
      <c r="BG24" s="1332"/>
      <c r="BH24" s="1332"/>
      <c r="BM24" s="51"/>
      <c r="BN24" s="51"/>
      <c r="BO24" s="51"/>
      <c r="BP24" s="51"/>
      <c r="BQ24" s="51"/>
      <c r="BR24" s="51"/>
      <c r="BW24" s="27"/>
      <c r="BX24" s="27"/>
      <c r="BY24" s="27"/>
      <c r="BZ24" s="27"/>
      <c r="CA24" s="27"/>
      <c r="CB24" s="27"/>
    </row>
    <row r="25" spans="1:80" ht="27" hidden="1" thickTop="1" x14ac:dyDescent="0.25">
      <c r="A25" s="1398"/>
      <c r="B25" s="151"/>
      <c r="C25" s="152"/>
      <c r="D25" s="153"/>
      <c r="E25" s="154"/>
      <c r="F25" s="1370"/>
      <c r="G25" s="32"/>
      <c r="H25" s="33"/>
      <c r="I25" s="34"/>
      <c r="J25" s="35"/>
      <c r="K25" s="1370"/>
      <c r="L25" s="32"/>
      <c r="M25" s="33"/>
      <c r="N25" s="34"/>
      <c r="O25" s="35"/>
      <c r="P25" s="1370"/>
      <c r="Q25" s="32"/>
      <c r="R25" s="33"/>
      <c r="S25" s="34"/>
      <c r="T25" s="35"/>
      <c r="U25" s="1370"/>
      <c r="V25" s="32"/>
      <c r="W25" s="33"/>
      <c r="X25" s="34"/>
      <c r="Y25" s="35"/>
      <c r="Z25" s="1370"/>
      <c r="AA25" s="32"/>
      <c r="AB25" s="33"/>
      <c r="AC25" s="34"/>
      <c r="AD25" s="35"/>
      <c r="AE25" s="1370"/>
      <c r="AF25" s="32"/>
      <c r="AG25" s="33"/>
      <c r="AH25" s="34"/>
      <c r="AI25" s="35"/>
      <c r="AJ25" s="1370"/>
      <c r="AK25" s="32"/>
      <c r="AL25" s="33"/>
      <c r="AM25" s="34"/>
      <c r="AN25" s="35"/>
      <c r="AO25" s="1370"/>
      <c r="AP25" s="32"/>
      <c r="AQ25" s="33"/>
      <c r="AR25" s="34"/>
      <c r="AS25" s="35"/>
      <c r="AT25" s="1439"/>
      <c r="AU25" s="155"/>
      <c r="AV25" s="148"/>
      <c r="AW25" s="156"/>
      <c r="AX25" s="157"/>
      <c r="AY25" s="677"/>
      <c r="AZ25" s="137"/>
      <c r="BA25" s="33"/>
      <c r="BB25" s="138"/>
      <c r="BC25" s="35"/>
      <c r="BD25" s="677"/>
      <c r="BE25" s="137"/>
      <c r="BF25" s="33"/>
      <c r="BG25" s="138"/>
      <c r="BH25" s="35"/>
      <c r="BM25" s="51"/>
      <c r="BN25" s="51"/>
      <c r="BO25" s="51"/>
      <c r="BP25" s="51"/>
      <c r="BQ25" s="51"/>
      <c r="BR25" s="51"/>
      <c r="BW25" s="27"/>
      <c r="BX25" s="27"/>
      <c r="BY25" s="27"/>
      <c r="BZ25" s="27"/>
      <c r="CA25" s="27"/>
      <c r="CB25" s="27"/>
    </row>
    <row r="26" spans="1:80" ht="27" hidden="1" thickTop="1" x14ac:dyDescent="0.25">
      <c r="A26" s="1396"/>
      <c r="B26" s="1396"/>
      <c r="C26" s="1396"/>
      <c r="D26" s="1397"/>
      <c r="E26" s="1397"/>
      <c r="F26" s="674"/>
      <c r="G26" s="674"/>
      <c r="H26" s="674"/>
      <c r="I26" s="1300"/>
      <c r="J26" s="1300"/>
      <c r="K26" s="674"/>
      <c r="L26" s="674"/>
      <c r="M26" s="674"/>
      <c r="N26" s="1300"/>
      <c r="O26" s="1300"/>
      <c r="P26" s="674"/>
      <c r="Q26" s="674"/>
      <c r="R26" s="674"/>
      <c r="S26" s="1300"/>
      <c r="T26" s="1300"/>
      <c r="U26" s="674"/>
      <c r="V26" s="674"/>
      <c r="W26" s="674"/>
      <c r="X26" s="1300"/>
      <c r="Y26" s="1300"/>
      <c r="Z26" s="674"/>
      <c r="AA26" s="674"/>
      <c r="AB26" s="674"/>
      <c r="AC26" s="1300"/>
      <c r="AD26" s="1300"/>
      <c r="AE26" s="674"/>
      <c r="AF26" s="674"/>
      <c r="AG26" s="674"/>
      <c r="AH26" s="1300"/>
      <c r="AI26" s="1300"/>
      <c r="AJ26" s="44"/>
      <c r="AK26" s="44"/>
      <c r="AP26" s="44"/>
      <c r="AQ26" s="44"/>
      <c r="AT26" s="1389"/>
      <c r="AU26" s="1389"/>
      <c r="AV26" s="1389"/>
      <c r="AW26" s="1390"/>
      <c r="AX26" s="1390"/>
      <c r="AY26" s="674"/>
      <c r="AZ26" s="674"/>
      <c r="BA26" s="674"/>
      <c r="BB26" s="1300"/>
      <c r="BC26" s="1300"/>
      <c r="BD26" s="674"/>
      <c r="BE26" s="674"/>
      <c r="BF26" s="674"/>
      <c r="BG26" s="1300"/>
      <c r="BH26" s="1300"/>
      <c r="BM26" s="51"/>
      <c r="BN26" s="51"/>
      <c r="BO26" s="51"/>
      <c r="BP26" s="51"/>
      <c r="BQ26" s="51"/>
      <c r="BR26" s="51"/>
      <c r="BW26" s="27"/>
      <c r="BX26" s="27"/>
      <c r="BY26" s="27"/>
      <c r="BZ26" s="27"/>
      <c r="CA26" s="27"/>
      <c r="CB26" s="27"/>
    </row>
    <row r="27" spans="1:80" ht="21.75" hidden="1" thickTop="1" x14ac:dyDescent="0.25">
      <c r="A27" s="1395"/>
      <c r="B27" s="1395"/>
      <c r="C27" s="1395"/>
      <c r="D27" s="149"/>
      <c r="E27" s="149"/>
      <c r="F27" s="676"/>
      <c r="G27" s="676"/>
      <c r="H27" s="676"/>
      <c r="I27" s="36"/>
      <c r="J27" s="36"/>
      <c r="K27" s="676"/>
      <c r="L27" s="676"/>
      <c r="M27" s="676"/>
      <c r="N27" s="36"/>
      <c r="O27" s="36"/>
      <c r="P27" s="676"/>
      <c r="Q27" s="676"/>
      <c r="R27" s="676"/>
      <c r="S27" s="36"/>
      <c r="T27" s="36"/>
      <c r="U27" s="676"/>
      <c r="V27" s="676"/>
      <c r="W27" s="676"/>
      <c r="X27" s="36"/>
      <c r="Y27" s="36"/>
      <c r="Z27" s="676"/>
      <c r="AA27" s="676"/>
      <c r="AB27" s="676"/>
      <c r="AC27" s="36"/>
      <c r="AD27" s="36"/>
      <c r="AE27" s="676"/>
      <c r="AF27" s="676"/>
      <c r="AG27" s="676"/>
      <c r="AH27" s="36"/>
      <c r="AI27" s="36"/>
      <c r="AJ27" s="47"/>
      <c r="AK27" s="47"/>
      <c r="AP27" s="47"/>
      <c r="AQ27" s="47"/>
      <c r="AT27" s="1388"/>
      <c r="AU27" s="1388"/>
      <c r="AV27" s="1388"/>
      <c r="AW27" s="139"/>
      <c r="AX27" s="139"/>
      <c r="AY27" s="676"/>
      <c r="AZ27" s="676"/>
      <c r="BA27" s="676"/>
      <c r="BB27" s="36"/>
      <c r="BC27" s="36"/>
      <c r="BD27" s="676"/>
      <c r="BE27" s="676"/>
      <c r="BF27" s="676"/>
      <c r="BG27" s="36"/>
      <c r="BH27" s="36"/>
    </row>
    <row r="28" spans="1:80" ht="36.75" hidden="1" thickTop="1" x14ac:dyDescent="0.25">
      <c r="A28" s="1395"/>
      <c r="B28" s="1395"/>
      <c r="C28" s="1395"/>
      <c r="D28" s="150"/>
      <c r="E28" s="149"/>
      <c r="F28" s="676"/>
      <c r="G28" s="676"/>
      <c r="H28" s="676"/>
      <c r="I28" s="140"/>
      <c r="J28" s="36"/>
      <c r="K28" s="676"/>
      <c r="L28" s="676"/>
      <c r="M28" s="676"/>
      <c r="N28" s="140"/>
      <c r="O28" s="36"/>
      <c r="P28" s="676"/>
      <c r="Q28" s="676"/>
      <c r="R28" s="676"/>
      <c r="S28" s="140"/>
      <c r="T28" s="36"/>
      <c r="U28" s="676"/>
      <c r="V28" s="676"/>
      <c r="W28" s="676"/>
      <c r="X28" s="140"/>
      <c r="Y28" s="36"/>
      <c r="Z28" s="676"/>
      <c r="AA28" s="676"/>
      <c r="AB28" s="676"/>
      <c r="AC28" s="140"/>
      <c r="AD28" s="36"/>
      <c r="AE28" s="676"/>
      <c r="AF28" s="676"/>
      <c r="AG28" s="676"/>
      <c r="AH28" s="36"/>
      <c r="AI28" s="36"/>
      <c r="AJ28" s="47"/>
      <c r="AK28" s="47"/>
      <c r="AP28" s="47"/>
      <c r="AQ28" s="47"/>
      <c r="AT28" s="1388"/>
      <c r="AU28" s="1388"/>
      <c r="AV28" s="1388"/>
      <c r="AW28" s="139"/>
      <c r="AX28" s="139"/>
      <c r="AY28" s="676"/>
      <c r="AZ28" s="676"/>
      <c r="BA28" s="676"/>
      <c r="BB28" s="36"/>
      <c r="BC28" s="36"/>
      <c r="BD28" s="676"/>
      <c r="BE28" s="676"/>
      <c r="BF28" s="676"/>
      <c r="BG28" s="36"/>
      <c r="BH28" s="36"/>
    </row>
    <row r="29" spans="1:80" ht="21.75" hidden="1" thickTop="1" x14ac:dyDescent="0.25">
      <c r="A29" s="1395"/>
      <c r="B29" s="1395"/>
      <c r="C29" s="1395"/>
      <c r="D29" s="149"/>
      <c r="E29" s="149"/>
      <c r="F29" s="676"/>
      <c r="G29" s="676"/>
      <c r="H29" s="676"/>
      <c r="I29" s="36"/>
      <c r="J29" s="36"/>
      <c r="K29" s="676"/>
      <c r="L29" s="676"/>
      <c r="M29" s="676"/>
      <c r="N29" s="36"/>
      <c r="O29" s="36"/>
      <c r="P29" s="676"/>
      <c r="Q29" s="676"/>
      <c r="R29" s="676"/>
      <c r="S29" s="36"/>
      <c r="T29" s="36"/>
      <c r="U29" s="676"/>
      <c r="V29" s="676"/>
      <c r="W29" s="676"/>
      <c r="X29" s="36"/>
      <c r="Y29" s="36"/>
      <c r="Z29" s="676"/>
      <c r="AA29" s="676"/>
      <c r="AB29" s="676"/>
      <c r="AC29" s="36"/>
      <c r="AD29" s="36"/>
      <c r="AE29" s="676"/>
      <c r="AF29" s="676"/>
      <c r="AG29" s="676"/>
      <c r="AH29" s="36"/>
      <c r="AI29" s="36"/>
      <c r="AJ29" s="47"/>
      <c r="AK29" s="47"/>
      <c r="AP29" s="47"/>
      <c r="AQ29" s="47"/>
      <c r="AR29" s="36"/>
      <c r="AS29" s="36"/>
      <c r="AT29" s="1388"/>
      <c r="AU29" s="1388"/>
      <c r="AV29" s="1388"/>
      <c r="AW29" s="139"/>
      <c r="AX29" s="139"/>
      <c r="AY29" s="676"/>
      <c r="AZ29" s="676"/>
      <c r="BA29" s="676"/>
      <c r="BB29" s="36"/>
      <c r="BC29" s="36"/>
      <c r="BD29" s="676"/>
      <c r="BE29" s="676"/>
      <c r="BF29" s="676"/>
      <c r="BG29" s="36"/>
      <c r="BH29" s="36"/>
    </row>
    <row r="30" spans="1:80" ht="78" hidden="1" thickTop="1" x14ac:dyDescent="0.25">
      <c r="A30" s="1400"/>
      <c r="B30" s="1401"/>
      <c r="C30" s="1401"/>
      <c r="D30" s="1401"/>
      <c r="E30" s="1401"/>
      <c r="F30" s="1370"/>
      <c r="G30" s="1371"/>
      <c r="H30" s="1371"/>
      <c r="I30" s="1371"/>
      <c r="J30" s="1371"/>
      <c r="K30" s="1370"/>
      <c r="L30" s="1371"/>
      <c r="M30" s="1371"/>
      <c r="N30" s="1371"/>
      <c r="O30" s="1371"/>
      <c r="P30" s="1370"/>
      <c r="Q30" s="1371"/>
      <c r="R30" s="1371"/>
      <c r="S30" s="1371"/>
      <c r="T30" s="1371"/>
      <c r="U30" s="1370"/>
      <c r="V30" s="1371"/>
      <c r="W30" s="1371"/>
      <c r="X30" s="1371"/>
      <c r="Y30" s="1371"/>
      <c r="Z30" s="1370"/>
      <c r="AA30" s="1371"/>
      <c r="AB30" s="1371"/>
      <c r="AC30" s="1371"/>
      <c r="AD30" s="1371"/>
      <c r="AE30" s="677"/>
      <c r="AF30" s="1332"/>
      <c r="AG30" s="1332"/>
      <c r="AH30" s="1332"/>
      <c r="AI30" s="1332"/>
      <c r="AJ30" s="70"/>
      <c r="AR30" s="132"/>
      <c r="AS30" s="132"/>
      <c r="AT30" s="677"/>
      <c r="AU30" s="1332"/>
      <c r="AV30" s="1332"/>
      <c r="AW30" s="1332"/>
      <c r="AX30" s="1332"/>
      <c r="AY30" s="677"/>
      <c r="AZ30" s="1332"/>
      <c r="BA30" s="1332"/>
      <c r="BB30" s="1332"/>
      <c r="BC30" s="1332"/>
      <c r="BD30" s="677" t="s">
        <v>254</v>
      </c>
      <c r="BE30" s="1332"/>
      <c r="BF30" s="1332"/>
      <c r="BG30" s="1332"/>
      <c r="BH30" s="1332"/>
      <c r="BM30" s="51"/>
      <c r="BN30" s="51"/>
      <c r="BO30" s="51"/>
      <c r="BP30" s="51"/>
      <c r="BQ30" s="51"/>
      <c r="BR30" s="51"/>
      <c r="BW30" s="27"/>
      <c r="BX30" s="27"/>
      <c r="BY30" s="27"/>
      <c r="BZ30" s="27"/>
      <c r="CA30" s="27"/>
      <c r="CB30" s="27"/>
    </row>
    <row r="31" spans="1:80" ht="138.75" customHeight="1" thickTop="1" x14ac:dyDescent="0.25">
      <c r="A31" s="1400"/>
      <c r="B31" s="158"/>
      <c r="C31" s="159"/>
      <c r="D31" s="160"/>
      <c r="E31" s="161"/>
      <c r="F31" s="1370"/>
      <c r="G31" s="32"/>
      <c r="H31" s="33"/>
      <c r="I31" s="34"/>
      <c r="J31" s="35"/>
      <c r="K31" s="1370"/>
      <c r="L31" s="32"/>
      <c r="M31" s="33"/>
      <c r="N31" s="34"/>
      <c r="O31" s="35"/>
      <c r="P31" s="1370"/>
      <c r="Q31" s="32"/>
      <c r="R31" s="33"/>
      <c r="S31" s="34"/>
      <c r="T31" s="35"/>
      <c r="U31" s="1370"/>
      <c r="V31" s="32"/>
      <c r="W31" s="33"/>
      <c r="X31" s="34"/>
      <c r="Y31" s="35"/>
      <c r="Z31" s="1370"/>
      <c r="AA31" s="32"/>
      <c r="AB31" s="33"/>
      <c r="AC31" s="34"/>
      <c r="AD31" s="35"/>
      <c r="AE31" s="677"/>
      <c r="AF31" s="137"/>
      <c r="AG31" s="33"/>
      <c r="AH31" s="138"/>
      <c r="AI31" s="35"/>
      <c r="AJ31" s="70"/>
      <c r="AK31" s="137"/>
      <c r="AL31" s="33"/>
      <c r="AM31" s="138"/>
      <c r="AN31" s="35"/>
      <c r="AO31" s="70"/>
      <c r="AP31" s="137"/>
      <c r="AQ31" s="33"/>
      <c r="AR31" s="138"/>
      <c r="AS31" s="35"/>
      <c r="AT31" s="677"/>
      <c r="AU31" s="137"/>
      <c r="AV31" s="33"/>
      <c r="AW31" s="138"/>
      <c r="AX31" s="35"/>
      <c r="AY31" s="677"/>
      <c r="AZ31" s="137" t="s">
        <v>16</v>
      </c>
      <c r="BA31" s="33"/>
      <c r="BB31" s="138"/>
      <c r="BC31" s="35"/>
      <c r="BD31" s="677"/>
      <c r="BE31" s="137" t="s">
        <v>15</v>
      </c>
      <c r="BF31" s="33"/>
      <c r="BG31" s="138"/>
      <c r="BH31" s="35"/>
      <c r="BM31" s="51"/>
      <c r="BN31" s="51"/>
      <c r="BO31" s="51"/>
      <c r="BP31" s="51"/>
      <c r="BQ31" s="51"/>
      <c r="BR31" s="51"/>
      <c r="BW31" s="27"/>
      <c r="BX31" s="27"/>
      <c r="BY31" s="27"/>
      <c r="BZ31" s="27"/>
      <c r="CA31" s="27"/>
      <c r="CB31" s="27"/>
    </row>
    <row r="32" spans="1:80" ht="61.5" customHeight="1" x14ac:dyDescent="0.25">
      <c r="A32" s="31"/>
      <c r="B32" s="162"/>
      <c r="C32" s="162"/>
      <c r="D32" s="162"/>
      <c r="F32" s="163"/>
      <c r="G32" s="163"/>
      <c r="H32" s="1413" cm="1">
        <f t="array" aca="1" ref="H32" ca="1">SUM(COUNTIF(INDIRECT({"B6","G6","L6","Q6","V6","AA6","AF6","AK6","AP6","AU6","B12","G12","L12","Q12","V12","AA12","AF12","AK12","AP12","AU12","B18","G18","L18","Q18","V18","AA18"}),"&gt;0"))</f>
        <v>18</v>
      </c>
      <c r="I32" s="1413"/>
      <c r="J32" s="1413"/>
      <c r="K32" s="164"/>
      <c r="L32" s="160"/>
      <c r="M32" s="160"/>
      <c r="N32" s="160"/>
      <c r="O32" s="160"/>
      <c r="P32" s="160"/>
      <c r="Q32" s="1414" t="s">
        <v>255</v>
      </c>
      <c r="R32" s="1414"/>
      <c r="S32" s="1414"/>
      <c r="T32" s="1414"/>
      <c r="U32" s="1414"/>
      <c r="V32" s="1414"/>
      <c r="W32" s="165"/>
      <c r="X32" s="1409" t="s">
        <v>256</v>
      </c>
      <c r="Y32" s="1409"/>
      <c r="Z32" s="1409"/>
      <c r="AA32" s="1409"/>
      <c r="AB32" s="1409"/>
      <c r="AC32" s="1415">
        <f>B7+G7+L7+Q7+V7+AA7+AF7+AK7+AP7+AU7+AU13+AP13+AK13+AF13+AA13+V13+Q13+L13+G13+B13+B19</f>
        <v>58.082000000000001</v>
      </c>
      <c r="AD32" s="1415"/>
      <c r="AE32" s="1415"/>
      <c r="AF32" s="1415"/>
      <c r="AG32" s="1415"/>
      <c r="AH32" s="1415"/>
      <c r="AI32" s="166"/>
      <c r="AJ32" s="1416" t="s">
        <v>119</v>
      </c>
      <c r="AK32" s="1416"/>
      <c r="AL32" s="1416"/>
      <c r="AM32" s="1416"/>
      <c r="AN32" s="1416"/>
      <c r="AO32" s="1417">
        <f>D7+I7+N7+S7+X7+AC7+AH7+AM7+AR7+AW7+AW13+AR13+AM13+AH13+AC13+X13+S13+N13+I13+D13+D19</f>
        <v>10</v>
      </c>
      <c r="AP32" s="1417"/>
      <c r="AQ32" s="1417"/>
      <c r="AR32" s="1417"/>
      <c r="AS32" s="1417"/>
      <c r="AT32" s="1402" t="s">
        <v>120</v>
      </c>
      <c r="AU32" s="1402"/>
      <c r="AV32" s="1402"/>
      <c r="AW32" s="1402"/>
      <c r="AX32" s="127"/>
      <c r="AY32" s="72"/>
      <c r="AZ32" s="72"/>
      <c r="BA32" s="72"/>
      <c r="BB32" s="72"/>
      <c r="BC32" s="72"/>
      <c r="BD32" s="72"/>
      <c r="BE32" t="s">
        <v>16</v>
      </c>
      <c r="BF32" s="167"/>
      <c r="BG32" s="167"/>
      <c r="BH32" s="167"/>
      <c r="BM32" s="51"/>
      <c r="BN32" s="51"/>
      <c r="BO32" s="51"/>
      <c r="BP32" s="51"/>
      <c r="BQ32" s="51"/>
      <c r="BR32" s="51"/>
      <c r="BW32" s="27"/>
      <c r="BX32" s="27"/>
      <c r="BY32" s="27"/>
      <c r="BZ32" s="27"/>
      <c r="CA32" s="27"/>
      <c r="CB32" s="27"/>
    </row>
    <row r="33" spans="1:80" ht="30" customHeight="1" x14ac:dyDescent="0.25">
      <c r="B33" s="162"/>
      <c r="C33" s="162"/>
      <c r="D33" s="162"/>
      <c r="E33" s="163"/>
      <c r="F33" s="163"/>
      <c r="G33" s="163"/>
      <c r="H33" s="1413"/>
      <c r="I33" s="1413"/>
      <c r="J33" s="1413"/>
      <c r="K33" s="168"/>
      <c r="L33" s="160"/>
      <c r="M33" s="160"/>
      <c r="N33" s="160"/>
      <c r="O33" s="160"/>
      <c r="P33" s="160"/>
      <c r="Q33" s="1414"/>
      <c r="R33" s="1414"/>
      <c r="S33" s="1414"/>
      <c r="T33" s="1414"/>
      <c r="U33" s="1414"/>
      <c r="V33" s="1414"/>
      <c r="W33" s="169"/>
      <c r="X33" s="1409"/>
      <c r="Y33" s="1409"/>
      <c r="Z33" s="1409"/>
      <c r="AA33" s="1409"/>
      <c r="AB33" s="1409"/>
      <c r="AC33" s="1415"/>
      <c r="AD33" s="1415"/>
      <c r="AE33" s="1415"/>
      <c r="AF33" s="1415"/>
      <c r="AG33" s="1415"/>
      <c r="AH33" s="1415"/>
      <c r="AI33" s="166"/>
      <c r="AJ33" s="1416"/>
      <c r="AK33" s="1416"/>
      <c r="AL33" s="1416"/>
      <c r="AM33" s="1416"/>
      <c r="AN33" s="1416"/>
      <c r="AO33" s="1417"/>
      <c r="AP33" s="1417"/>
      <c r="AQ33" s="1417"/>
      <c r="AR33" s="1417"/>
      <c r="AS33" s="1417"/>
      <c r="AT33" s="1402"/>
      <c r="AU33" s="1402"/>
      <c r="AV33" s="1402"/>
      <c r="AW33" s="1402"/>
      <c r="BI33" s="50"/>
      <c r="BJ33" s="50"/>
      <c r="BM33" s="51"/>
      <c r="BN33" s="51"/>
      <c r="BO33" s="51"/>
      <c r="BP33" s="51"/>
      <c r="BQ33" s="51"/>
      <c r="BR33" s="51"/>
      <c r="BS33" s="27"/>
      <c r="BT33" s="27"/>
      <c r="BU33" s="27"/>
      <c r="BW33" s="27"/>
      <c r="BX33" s="27"/>
      <c r="BY33" s="27"/>
      <c r="BZ33" s="27"/>
      <c r="CA33" s="27"/>
      <c r="CB33" s="27"/>
    </row>
    <row r="34" spans="1:80" ht="15" customHeight="1" x14ac:dyDescent="0.25">
      <c r="B34" s="162"/>
      <c r="C34" s="162"/>
      <c r="D34" s="162"/>
      <c r="E34" s="163"/>
      <c r="F34" s="163"/>
      <c r="G34" s="163"/>
      <c r="H34" s="168"/>
      <c r="I34" s="168"/>
      <c r="J34" s="168"/>
      <c r="K34" s="168"/>
      <c r="L34" s="160"/>
      <c r="M34" s="160"/>
      <c r="N34" s="160"/>
      <c r="O34" s="160"/>
      <c r="P34" s="160"/>
      <c r="Q34" s="1414"/>
      <c r="R34" s="1414"/>
      <c r="S34" s="1414"/>
      <c r="T34" s="1414"/>
      <c r="U34" s="1414"/>
      <c r="V34" s="1414"/>
      <c r="W34" s="169"/>
      <c r="X34" s="1409"/>
      <c r="Y34" s="1409"/>
      <c r="Z34" s="1409"/>
      <c r="AA34" s="1409"/>
      <c r="AB34" s="1409"/>
      <c r="AC34" s="1415"/>
      <c r="AD34" s="1415"/>
      <c r="AE34" s="1415"/>
      <c r="AF34" s="1415"/>
      <c r="AG34" s="1415"/>
      <c r="AH34" s="1415"/>
      <c r="AI34" s="166"/>
      <c r="AJ34" s="1416"/>
      <c r="AK34" s="1416"/>
      <c r="AL34" s="1416"/>
      <c r="AM34" s="1416"/>
      <c r="AN34" s="1416"/>
      <c r="AO34" s="1403">
        <f>AO32*1.5</f>
        <v>15</v>
      </c>
      <c r="AP34" s="1403"/>
      <c r="AQ34" s="1403"/>
      <c r="AR34" s="1403"/>
      <c r="AS34" s="1403"/>
      <c r="AT34" s="1403"/>
      <c r="AU34" s="1403"/>
      <c r="AV34" s="1404" t="s">
        <v>121</v>
      </c>
      <c r="AW34" s="1404"/>
      <c r="BI34" s="50"/>
      <c r="BJ34" s="50"/>
      <c r="BM34" s="27"/>
      <c r="BN34" s="27"/>
      <c r="BO34" s="27"/>
      <c r="BP34" s="27"/>
      <c r="BQ34" s="27"/>
      <c r="BR34" s="27"/>
      <c r="BS34" s="27"/>
      <c r="BT34" s="27"/>
      <c r="BU34" s="27"/>
      <c r="BW34" s="27"/>
      <c r="BX34" s="27"/>
      <c r="BY34" s="27"/>
      <c r="BZ34" s="27"/>
      <c r="CA34" s="27"/>
      <c r="CB34" s="27"/>
    </row>
    <row r="35" spans="1:80" ht="54.75" customHeight="1" x14ac:dyDescent="0.25">
      <c r="B35" s="162"/>
      <c r="C35" s="162"/>
      <c r="D35" s="162"/>
      <c r="E35" s="163"/>
      <c r="F35" s="163"/>
      <c r="G35" s="163"/>
      <c r="H35" s="1405" cm="1">
        <f t="array" aca="1" ref="H35" ca="1">SUM(COUNTIF(INDIRECT({"B7","G7","L7","Q7","V7","AA7","AF7","AK7","AP7","AU7","B13","G13","L13","Q13","V13","AA13","AF13","AK13","AP13","AU13","B19","G19","L19","Q19","V19","AA19"}),"&gt;0"))</f>
        <v>18</v>
      </c>
      <c r="I35" s="1405"/>
      <c r="J35" s="1405"/>
      <c r="K35" s="168"/>
      <c r="L35" s="160"/>
      <c r="M35" s="160"/>
      <c r="N35" s="160"/>
      <c r="O35" s="160"/>
      <c r="P35" s="160"/>
      <c r="Q35" s="2537"/>
      <c r="R35" s="1417"/>
      <c r="S35" s="1417"/>
      <c r="T35" s="1417"/>
      <c r="U35" s="1417"/>
      <c r="V35" s="1417"/>
      <c r="W35" s="169"/>
      <c r="X35" s="1409"/>
      <c r="Y35" s="1409"/>
      <c r="Z35" s="1409"/>
      <c r="AA35" s="1409"/>
      <c r="AB35" s="1409"/>
      <c r="AC35" s="1415"/>
      <c r="AD35" s="1415"/>
      <c r="AE35" s="1415"/>
      <c r="AF35" s="1415"/>
      <c r="AG35" s="1415"/>
      <c r="AH35" s="1415"/>
      <c r="AI35" s="166"/>
      <c r="AJ35" s="1416"/>
      <c r="AK35" s="1416"/>
      <c r="AL35" s="1416"/>
      <c r="AM35" s="1416"/>
      <c r="AN35" s="1416"/>
      <c r="AO35" s="1403"/>
      <c r="AP35" s="1403"/>
      <c r="AQ35" s="1403"/>
      <c r="AR35" s="1403"/>
      <c r="AS35" s="1403"/>
      <c r="AT35" s="1403"/>
      <c r="AU35" s="1403"/>
      <c r="AV35" s="1404"/>
      <c r="AW35" s="1404"/>
      <c r="BI35" s="50"/>
      <c r="BJ35" s="50"/>
      <c r="BM35" s="27"/>
      <c r="BN35" s="27"/>
      <c r="BO35" s="27"/>
      <c r="BP35" s="27"/>
      <c r="BQ35" s="27"/>
      <c r="BR35" s="27"/>
      <c r="BS35" s="27"/>
      <c r="BT35" s="27"/>
      <c r="BU35" s="27"/>
      <c r="BW35" s="27"/>
      <c r="BX35" s="27"/>
      <c r="BY35" s="27"/>
      <c r="BZ35" s="27"/>
      <c r="CA35" s="27"/>
      <c r="CB35" s="27"/>
    </row>
    <row r="36" spans="1:80" ht="65.25" customHeight="1" x14ac:dyDescent="0.25">
      <c r="B36" s="162"/>
      <c r="C36" s="162"/>
      <c r="D36" s="162"/>
      <c r="E36" s="162"/>
      <c r="F36" s="162"/>
      <c r="G36" s="164"/>
      <c r="H36" s="1408"/>
      <c r="I36" s="1408"/>
      <c r="J36" s="1408"/>
      <c r="K36" s="168"/>
      <c r="L36" s="160"/>
      <c r="M36" s="160"/>
      <c r="N36" s="160"/>
      <c r="O36" s="160"/>
      <c r="P36" s="160"/>
      <c r="Q36" s="1417"/>
      <c r="R36" s="1417"/>
      <c r="S36" s="1417"/>
      <c r="T36" s="1417"/>
      <c r="U36" s="1417"/>
      <c r="V36" s="1417"/>
      <c r="W36" s="169"/>
      <c r="X36" s="1409"/>
      <c r="Y36" s="1409"/>
      <c r="Z36" s="1409"/>
      <c r="AA36" s="1409"/>
      <c r="AB36" s="1409"/>
      <c r="AC36" s="1415"/>
      <c r="AD36" s="1415"/>
      <c r="AE36" s="1415"/>
      <c r="AF36" s="1415"/>
      <c r="AG36" s="1415"/>
      <c r="AH36" s="1415"/>
      <c r="AI36" s="166"/>
      <c r="AJ36" s="1416"/>
      <c r="AK36" s="1416"/>
      <c r="AL36" s="1416"/>
      <c r="AM36" s="1416"/>
      <c r="AN36" s="1416"/>
      <c r="AO36" s="1403"/>
      <c r="AP36" s="1403"/>
      <c r="AQ36" s="1403"/>
      <c r="AR36" s="1403"/>
      <c r="AS36" s="1403"/>
      <c r="AT36" s="1403"/>
      <c r="AU36" s="1403"/>
      <c r="AV36" s="1404"/>
      <c r="AW36" s="1404"/>
      <c r="BI36" s="50"/>
      <c r="BJ36" s="50"/>
      <c r="BM36" s="27"/>
      <c r="BN36" s="27"/>
      <c r="BO36" s="27"/>
      <c r="BP36" s="27"/>
      <c r="BQ36" s="27"/>
      <c r="BR36" s="27"/>
      <c r="BS36" s="27"/>
      <c r="BT36" s="27"/>
      <c r="BU36" s="27"/>
      <c r="BW36" s="27"/>
      <c r="BX36" s="27"/>
      <c r="BY36" s="27"/>
      <c r="BZ36" s="27"/>
      <c r="CA36" s="27"/>
      <c r="CB36" s="27"/>
    </row>
    <row r="37" spans="1:80" ht="15" customHeight="1" x14ac:dyDescent="0.25">
      <c r="B37" s="162"/>
      <c r="C37" s="162"/>
      <c r="D37" s="162"/>
      <c r="E37" s="162"/>
      <c r="F37" s="162"/>
      <c r="G37" s="164"/>
      <c r="H37" s="1408"/>
      <c r="I37" s="1408"/>
      <c r="J37" s="1408"/>
      <c r="K37" s="164"/>
      <c r="L37" s="165"/>
      <c r="M37" s="165"/>
      <c r="N37" s="165"/>
      <c r="O37" s="165"/>
      <c r="P37" s="165"/>
      <c r="Q37" s="1417"/>
      <c r="R37" s="1417"/>
      <c r="S37" s="1417"/>
      <c r="T37" s="1417"/>
      <c r="U37" s="1417"/>
      <c r="V37" s="1417"/>
      <c r="W37" s="165"/>
      <c r="X37" s="1409" t="s">
        <v>257</v>
      </c>
      <c r="Y37" s="1409"/>
      <c r="Z37" s="1409"/>
      <c r="AA37" s="1409"/>
      <c r="AB37" s="1409"/>
      <c r="AC37" s="1410">
        <f>AC32-AD45</f>
        <v>2.0000000000024443E-3</v>
      </c>
      <c r="AD37" s="1410"/>
      <c r="AE37" s="1410"/>
      <c r="AF37" s="1410"/>
      <c r="AG37" s="1410"/>
      <c r="AH37" s="1410"/>
      <c r="AI37" s="166"/>
      <c r="AJ37" s="1416"/>
      <c r="AK37" s="1416"/>
      <c r="AL37" s="1416"/>
      <c r="AM37" s="1416"/>
      <c r="AN37" s="1416"/>
      <c r="AO37" s="1403"/>
      <c r="AP37" s="1403"/>
      <c r="AQ37" s="1403"/>
      <c r="AR37" s="1403"/>
      <c r="AS37" s="1403"/>
      <c r="AT37" s="1403"/>
      <c r="AU37" s="1403"/>
      <c r="AV37" s="1404"/>
      <c r="AW37" s="1404"/>
      <c r="BI37" s="53"/>
      <c r="BJ37" s="53"/>
    </row>
    <row r="38" spans="1:80" ht="28.5" customHeight="1" x14ac:dyDescent="0.25">
      <c r="B38" s="162"/>
      <c r="C38" s="162"/>
      <c r="D38" s="162"/>
      <c r="E38" s="162"/>
      <c r="F38" s="162"/>
      <c r="G38" s="164"/>
      <c r="H38" s="1411"/>
      <c r="I38" s="1411"/>
      <c r="J38" s="1411"/>
      <c r="K38" s="168"/>
      <c r="L38" s="165"/>
      <c r="M38" s="165"/>
      <c r="N38" s="165"/>
      <c r="O38" s="165"/>
      <c r="P38" s="165"/>
      <c r="Q38" s="1417"/>
      <c r="R38" s="1417"/>
      <c r="S38" s="1417"/>
      <c r="T38" s="1417"/>
      <c r="U38" s="1417"/>
      <c r="V38" s="1417"/>
      <c r="W38" s="165"/>
      <c r="X38" s="1409"/>
      <c r="Y38" s="1409"/>
      <c r="Z38" s="1409"/>
      <c r="AA38" s="1409"/>
      <c r="AB38" s="1409"/>
      <c r="AC38" s="1410"/>
      <c r="AD38" s="1410"/>
      <c r="AE38" s="1410"/>
      <c r="AF38" s="1410"/>
      <c r="AG38" s="1410"/>
      <c r="AH38" s="1410"/>
      <c r="AI38" s="166"/>
      <c r="AJ38" s="1416"/>
      <c r="AK38" s="1416"/>
      <c r="AL38" s="1416"/>
      <c r="AM38" s="1416"/>
      <c r="AN38" s="1416"/>
      <c r="AO38" s="1403"/>
      <c r="AP38" s="1403"/>
      <c r="AQ38" s="1403"/>
      <c r="AR38" s="1403"/>
      <c r="AS38" s="1403"/>
      <c r="AT38" s="1403"/>
      <c r="AU38" s="1403"/>
      <c r="AV38" s="1404"/>
      <c r="AW38" s="1404"/>
      <c r="BI38" s="53"/>
      <c r="BJ38" s="53"/>
    </row>
    <row r="39" spans="1:80" ht="15" customHeight="1" x14ac:dyDescent="0.25">
      <c r="B39" s="162"/>
      <c r="C39" s="162"/>
      <c r="D39" s="162"/>
      <c r="E39" s="162"/>
      <c r="F39" s="162"/>
      <c r="G39" s="164"/>
      <c r="H39" s="1411"/>
      <c r="I39" s="1411"/>
      <c r="J39" s="1411"/>
      <c r="K39" s="168"/>
      <c r="L39" s="165"/>
      <c r="M39" s="165"/>
      <c r="N39" s="165"/>
      <c r="O39" s="165"/>
      <c r="P39" s="165"/>
      <c r="Q39" s="1417"/>
      <c r="R39" s="1417"/>
      <c r="S39" s="1417"/>
      <c r="T39" s="1417"/>
      <c r="U39" s="1417"/>
      <c r="V39" s="1417"/>
      <c r="W39" s="165"/>
      <c r="X39" s="1409"/>
      <c r="Y39" s="1409"/>
      <c r="Z39" s="1409"/>
      <c r="AA39" s="1409"/>
      <c r="AB39" s="1409"/>
      <c r="AC39" s="1410"/>
      <c r="AD39" s="1410"/>
      <c r="AE39" s="1410"/>
      <c r="AF39" s="1410"/>
      <c r="AG39" s="1410"/>
      <c r="AH39" s="1410"/>
      <c r="AI39" s="166"/>
      <c r="AJ39" s="1416"/>
      <c r="AK39" s="1416"/>
      <c r="AL39" s="1416"/>
      <c r="AM39" s="1416"/>
      <c r="AN39" s="1416"/>
      <c r="AO39" s="1403"/>
      <c r="AP39" s="1403"/>
      <c r="AQ39" s="1403"/>
      <c r="AR39" s="1403"/>
      <c r="AS39" s="1403"/>
      <c r="AT39" s="1403"/>
      <c r="AU39" s="1403"/>
      <c r="AV39" s="1404"/>
      <c r="AW39" s="1404"/>
      <c r="BI39" s="53"/>
      <c r="BJ39" s="53"/>
    </row>
    <row r="40" spans="1:80" ht="42.75" customHeight="1" x14ac:dyDescent="0.35">
      <c r="A40" s="54"/>
      <c r="B40" s="162"/>
      <c r="C40" s="162"/>
      <c r="D40" s="162"/>
      <c r="E40" s="162"/>
      <c r="F40" s="162"/>
      <c r="G40" s="164"/>
      <c r="H40" s="1411"/>
      <c r="I40" s="1411"/>
      <c r="J40" s="1411"/>
      <c r="K40" s="168"/>
      <c r="L40" s="165"/>
      <c r="M40" s="165"/>
      <c r="N40" s="165"/>
      <c r="O40" s="165"/>
      <c r="P40" s="165"/>
      <c r="Q40" s="1417"/>
      <c r="R40" s="1417"/>
      <c r="S40" s="1417"/>
      <c r="T40" s="1417"/>
      <c r="U40" s="1417"/>
      <c r="V40" s="1417"/>
      <c r="W40" s="165"/>
      <c r="X40" s="1409"/>
      <c r="Y40" s="1409"/>
      <c r="Z40" s="1409"/>
      <c r="AA40" s="1409"/>
      <c r="AB40" s="1409"/>
      <c r="AC40" s="1410"/>
      <c r="AD40" s="1410"/>
      <c r="AE40" s="1410"/>
      <c r="AF40" s="1410"/>
      <c r="AG40" s="1410"/>
      <c r="AH40" s="1410"/>
      <c r="AI40" s="166"/>
      <c r="AJ40" s="1416"/>
      <c r="AK40" s="1416"/>
      <c r="AL40" s="1416"/>
      <c r="AM40" s="1416"/>
      <c r="AN40" s="1416"/>
      <c r="AO40" s="1403"/>
      <c r="AP40" s="1403"/>
      <c r="AQ40" s="1403"/>
      <c r="AR40" s="1403"/>
      <c r="AS40" s="1403"/>
      <c r="AT40" s="1403"/>
      <c r="AU40" s="1403"/>
      <c r="AV40" s="1404"/>
      <c r="AW40" s="1404"/>
      <c r="BI40" s="53"/>
      <c r="BJ40" s="53"/>
    </row>
    <row r="41" spans="1:80" ht="38.25" customHeight="1" x14ac:dyDescent="0.35">
      <c r="A41" s="54"/>
      <c r="B41" s="162"/>
      <c r="C41" s="162"/>
      <c r="D41" s="162"/>
      <c r="E41" s="162"/>
      <c r="F41" s="162"/>
      <c r="G41" s="164"/>
      <c r="H41" s="1412"/>
      <c r="I41" s="1412"/>
      <c r="J41" s="1412"/>
      <c r="K41" s="168"/>
      <c r="L41" s="175"/>
      <c r="M41" s="175"/>
      <c r="N41" s="175"/>
      <c r="O41" s="175"/>
      <c r="P41" s="175"/>
      <c r="Q41" s="1417"/>
      <c r="R41" s="1417"/>
      <c r="S41" s="1417"/>
      <c r="T41" s="1417"/>
      <c r="U41" s="1417"/>
      <c r="V41" s="1417"/>
      <c r="W41" s="176"/>
      <c r="X41" s="1409"/>
      <c r="Y41" s="1409"/>
      <c r="Z41" s="1409"/>
      <c r="AA41" s="1409"/>
      <c r="AB41" s="1409"/>
      <c r="AC41" s="1410"/>
      <c r="AD41" s="1410"/>
      <c r="AE41" s="1410"/>
      <c r="AF41" s="1410"/>
      <c r="AG41" s="1410"/>
      <c r="AH41" s="1410"/>
      <c r="AI41" s="166"/>
      <c r="AJ41" s="1416"/>
      <c r="AK41" s="1416"/>
      <c r="AL41" s="1416"/>
      <c r="AM41" s="1416"/>
      <c r="AN41" s="1416"/>
      <c r="AO41" s="1418"/>
      <c r="AP41" s="1418"/>
      <c r="AQ41" s="1418"/>
      <c r="AR41" s="1418"/>
      <c r="AS41" s="1418"/>
      <c r="AT41" s="1418"/>
      <c r="AU41" s="1418"/>
      <c r="AV41" s="1418"/>
      <c r="AW41" s="1418"/>
      <c r="AX41" s="54"/>
      <c r="AY41" s="54"/>
      <c r="BI41" s="170"/>
      <c r="BJ41" s="170"/>
    </row>
    <row r="42" spans="1:80" ht="60" customHeight="1" x14ac:dyDescent="0.35">
      <c r="H42" s="1412"/>
      <c r="I42" s="1412"/>
      <c r="J42" s="1412"/>
      <c r="L42" s="175"/>
      <c r="M42" s="175"/>
      <c r="N42" s="175"/>
      <c r="O42" s="175"/>
      <c r="P42" s="175"/>
      <c r="Q42" s="1417"/>
      <c r="R42" s="1417"/>
      <c r="S42" s="1417"/>
      <c r="T42" s="1417"/>
      <c r="U42" s="1417"/>
      <c r="V42" s="1417"/>
      <c r="W42" s="176"/>
      <c r="X42" s="1409"/>
      <c r="Y42" s="1409"/>
      <c r="Z42" s="1409"/>
      <c r="AA42" s="1409"/>
      <c r="AB42" s="1409"/>
      <c r="AC42" s="1410"/>
      <c r="AD42" s="1410"/>
      <c r="AE42" s="1410"/>
      <c r="AF42" s="1410"/>
      <c r="AG42" s="1410"/>
      <c r="AH42" s="1410"/>
      <c r="AI42" s="166"/>
      <c r="AJ42" s="1416"/>
      <c r="AK42" s="1416"/>
      <c r="AL42" s="1416"/>
      <c r="AM42" s="1416"/>
      <c r="AN42" s="1416"/>
      <c r="AO42" s="1418"/>
      <c r="AP42" s="1418"/>
      <c r="AQ42" s="1418"/>
      <c r="AR42" s="1418"/>
      <c r="AS42" s="1418"/>
      <c r="AT42" s="1418"/>
      <c r="AU42" s="1418"/>
      <c r="AV42" s="1418"/>
      <c r="AW42" s="1418"/>
      <c r="AX42" s="54"/>
      <c r="AY42" s="54"/>
      <c r="BI42" s="170"/>
      <c r="BJ42" s="170"/>
    </row>
    <row r="43" spans="1:80" ht="15" customHeight="1" x14ac:dyDescent="0.35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1"/>
      <c r="AI43" s="171"/>
      <c r="AJ43" s="171"/>
      <c r="AK43" s="171"/>
      <c r="AL43" s="171"/>
      <c r="AM43" s="171"/>
      <c r="AN43" s="171"/>
      <c r="AO43" s="172"/>
      <c r="AP43" s="172"/>
      <c r="AQ43" s="172"/>
      <c r="AR43" s="172"/>
      <c r="AS43" s="172"/>
      <c r="AT43" s="172"/>
      <c r="AU43" s="172"/>
      <c r="AV43" s="172"/>
      <c r="AW43" s="172"/>
    </row>
    <row r="44" spans="1:80" ht="15.75" customHeight="1" thickBot="1" x14ac:dyDescent="0.4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3"/>
      <c r="Y44" s="171"/>
      <c r="Z44" s="171"/>
      <c r="AA44" s="171"/>
      <c r="AB44" s="171"/>
      <c r="AC44" s="171"/>
      <c r="AD44" s="171"/>
      <c r="AE44" s="171"/>
      <c r="AF44" s="171"/>
      <c r="AG44" s="171"/>
      <c r="AH44" s="171"/>
      <c r="AI44" s="171"/>
      <c r="AJ44" s="171"/>
      <c r="AK44" s="171"/>
      <c r="AL44" s="171"/>
      <c r="AM44" s="171"/>
      <c r="AN44" s="171"/>
      <c r="AO44" s="172"/>
      <c r="AP44" s="172"/>
      <c r="AQ44" s="172"/>
      <c r="AR44" s="172"/>
      <c r="AS44" s="172"/>
      <c r="AT44" s="172"/>
      <c r="AU44" s="172"/>
      <c r="AV44" s="172"/>
      <c r="AW44" s="172"/>
    </row>
    <row r="45" spans="1:80" ht="15.75" thickTop="1" x14ac:dyDescent="0.25">
      <c r="J45" t="s">
        <v>16</v>
      </c>
      <c r="AD45" s="775">
        <v>58.08</v>
      </c>
      <c r="AE45" s="776"/>
      <c r="AF45" s="776"/>
      <c r="AG45" s="776"/>
      <c r="AH45" s="777"/>
      <c r="AL45" s="727" t="s">
        <v>122</v>
      </c>
      <c r="AM45" s="727"/>
      <c r="AN45" s="727"/>
      <c r="AO45" s="727" t="s">
        <v>123</v>
      </c>
      <c r="AP45" s="727"/>
      <c r="AQ45" s="727"/>
      <c r="AR45" s="727" t="s">
        <v>124</v>
      </c>
      <c r="AS45" s="727"/>
      <c r="AT45" s="727" t="s">
        <v>125</v>
      </c>
      <c r="AU45" s="727"/>
      <c r="AY45" s="739" t="s">
        <v>126</v>
      </c>
      <c r="AZ45" s="740"/>
      <c r="BA45" s="740"/>
      <c r="BB45" s="740"/>
      <c r="BC45" s="740"/>
      <c r="BD45" s="740"/>
      <c r="BE45" s="740"/>
      <c r="BF45" s="740"/>
      <c r="BG45" s="740"/>
      <c r="BH45" s="741"/>
    </row>
    <row r="46" spans="1:80" x14ac:dyDescent="0.25">
      <c r="AD46" s="778"/>
      <c r="AE46" s="779"/>
      <c r="AF46" s="779"/>
      <c r="AG46" s="779"/>
      <c r="AH46" s="780"/>
      <c r="AL46" s="727"/>
      <c r="AM46" s="727"/>
      <c r="AN46" s="727"/>
      <c r="AO46" s="727"/>
      <c r="AP46" s="727"/>
      <c r="AQ46" s="727"/>
      <c r="AR46" s="727"/>
      <c r="AS46" s="727"/>
      <c r="AT46" s="727"/>
      <c r="AU46" s="727"/>
      <c r="AY46" s="750"/>
      <c r="AZ46" s="751"/>
      <c r="BA46" s="751"/>
      <c r="BB46" s="751"/>
      <c r="BC46" s="751"/>
      <c r="BD46" s="751"/>
      <c r="BE46" s="751"/>
      <c r="BF46" s="751"/>
      <c r="BG46" s="751"/>
      <c r="BH46" s="752"/>
    </row>
    <row r="47" spans="1:80" x14ac:dyDescent="0.25">
      <c r="AA47" s="56"/>
      <c r="AD47" s="778"/>
      <c r="AE47" s="779"/>
      <c r="AF47" s="779"/>
      <c r="AG47" s="779"/>
      <c r="AH47" s="780"/>
      <c r="AL47" s="727"/>
      <c r="AM47" s="727"/>
      <c r="AN47" s="727"/>
      <c r="AO47" s="727"/>
      <c r="AP47" s="727"/>
      <c r="AQ47" s="727"/>
      <c r="AR47" s="727"/>
      <c r="AS47" s="727"/>
      <c r="AT47" s="727"/>
      <c r="AU47" s="727"/>
      <c r="AY47" s="742"/>
      <c r="AZ47" s="743"/>
      <c r="BA47" s="743"/>
      <c r="BB47" s="743"/>
      <c r="BC47" s="743"/>
      <c r="BD47" s="743"/>
      <c r="BE47" s="743"/>
      <c r="BF47" s="743"/>
      <c r="BG47" s="743"/>
      <c r="BH47" s="744"/>
    </row>
    <row r="48" spans="1:80" x14ac:dyDescent="0.25">
      <c r="K48" t="s">
        <v>258</v>
      </c>
      <c r="AD48" s="778"/>
      <c r="AE48" s="779"/>
      <c r="AF48" s="779"/>
      <c r="AG48" s="779"/>
      <c r="AH48" s="780"/>
      <c r="AL48" s="727">
        <v>1260</v>
      </c>
      <c r="AM48" s="727"/>
      <c r="AN48" s="727"/>
      <c r="AO48" s="727">
        <f ca="1">AT70</f>
        <v>1260</v>
      </c>
      <c r="AP48" s="727"/>
      <c r="AQ48" s="727"/>
      <c r="AR48" s="1689">
        <f>AC32</f>
        <v>58.082000000000001</v>
      </c>
      <c r="AS48" s="1689"/>
      <c r="AT48" s="1689">
        <f>AC32+AO34</f>
        <v>73.081999999999994</v>
      </c>
      <c r="AU48" s="1689"/>
      <c r="AY48" s="727" t="s">
        <v>128</v>
      </c>
      <c r="AZ48" s="727"/>
      <c r="BA48" s="727"/>
      <c r="BB48" s="727"/>
      <c r="BC48" s="727"/>
      <c r="BD48" s="727"/>
      <c r="BE48" s="727"/>
      <c r="BF48" s="727"/>
      <c r="BG48" s="727"/>
      <c r="BH48" s="727"/>
    </row>
    <row r="49" spans="7:60" x14ac:dyDescent="0.25">
      <c r="G49" t="s">
        <v>16</v>
      </c>
      <c r="AD49" s="778"/>
      <c r="AE49" s="779"/>
      <c r="AF49" s="779"/>
      <c r="AG49" s="779"/>
      <c r="AH49" s="780"/>
      <c r="AL49" s="727"/>
      <c r="AM49" s="727"/>
      <c r="AN49" s="727"/>
      <c r="AO49" s="727"/>
      <c r="AP49" s="727"/>
      <c r="AQ49" s="727"/>
      <c r="AR49" s="1689"/>
      <c r="AS49" s="1689"/>
      <c r="AT49" s="1689"/>
      <c r="AU49" s="1689"/>
      <c r="AY49" s="727"/>
      <c r="AZ49" s="727"/>
      <c r="BA49" s="727"/>
      <c r="BB49" s="727"/>
      <c r="BC49" s="727"/>
      <c r="BD49" s="727"/>
      <c r="BE49" s="727"/>
      <c r="BF49" s="727"/>
      <c r="BG49" s="727"/>
      <c r="BH49" s="727"/>
    </row>
    <row r="50" spans="7:60" ht="15" customHeight="1" x14ac:dyDescent="0.25">
      <c r="AD50" s="778"/>
      <c r="AE50" s="779"/>
      <c r="AF50" s="779"/>
      <c r="AG50" s="779"/>
      <c r="AH50" s="780"/>
      <c r="AL50" s="727"/>
      <c r="AM50" s="727"/>
      <c r="AN50" s="727"/>
      <c r="AO50" s="727"/>
      <c r="AP50" s="727"/>
      <c r="AQ50" s="727"/>
      <c r="AR50" s="1689"/>
      <c r="AS50" s="1689"/>
      <c r="AT50" s="1689"/>
      <c r="AU50" s="1689"/>
      <c r="AY50" s="728">
        <f ca="1">AR48/((60*3.1415/59)*(AO48/3.281))</f>
        <v>4.7341383434092325E-2</v>
      </c>
      <c r="AZ50" s="729"/>
      <c r="BA50" s="729"/>
      <c r="BB50" s="729"/>
      <c r="BC50" s="729"/>
      <c r="BD50" s="729"/>
      <c r="BE50" s="729"/>
      <c r="BF50" s="729"/>
      <c r="BG50" s="729"/>
      <c r="BH50" s="730"/>
    </row>
    <row r="51" spans="7:60" ht="15.75" customHeight="1" thickBot="1" x14ac:dyDescent="0.3">
      <c r="AD51" s="781"/>
      <c r="AE51" s="782"/>
      <c r="AF51" s="782"/>
      <c r="AG51" s="782"/>
      <c r="AH51" s="783"/>
      <c r="AL51" s="727"/>
      <c r="AM51" s="727"/>
      <c r="AN51" s="727"/>
      <c r="AO51" s="727"/>
      <c r="AP51" s="727"/>
      <c r="AQ51" s="727"/>
      <c r="AR51" s="1689"/>
      <c r="AS51" s="1689"/>
      <c r="AT51" s="1689"/>
      <c r="AU51" s="1689"/>
      <c r="AY51" s="731"/>
      <c r="AZ51" s="732"/>
      <c r="BA51" s="732"/>
      <c r="BB51" s="732"/>
      <c r="BC51" s="732"/>
      <c r="BD51" s="732"/>
      <c r="BE51" s="732"/>
      <c r="BF51" s="732"/>
      <c r="BG51" s="732"/>
      <c r="BH51" s="733"/>
    </row>
    <row r="52" spans="7:60" ht="15.75" customHeight="1" thickTop="1" x14ac:dyDescent="0.25">
      <c r="AY52" s="734"/>
      <c r="AZ52" s="735"/>
      <c r="BA52" s="735"/>
      <c r="BB52" s="735"/>
      <c r="BC52" s="735"/>
      <c r="BD52" s="735"/>
      <c r="BE52" s="735"/>
      <c r="BF52" s="735"/>
      <c r="BG52" s="735"/>
      <c r="BH52" s="736"/>
    </row>
    <row r="53" spans="7:60" x14ac:dyDescent="0.25">
      <c r="AY53" s="739" t="s">
        <v>129</v>
      </c>
      <c r="AZ53" s="740"/>
      <c r="BA53" s="740"/>
      <c r="BB53" s="740"/>
      <c r="BC53" s="740"/>
      <c r="BD53" s="740"/>
      <c r="BE53" s="740"/>
      <c r="BF53" s="740"/>
      <c r="BG53" s="740"/>
      <c r="BH53" s="741"/>
    </row>
    <row r="54" spans="7:60" x14ac:dyDescent="0.25">
      <c r="AY54" s="742"/>
      <c r="AZ54" s="743"/>
      <c r="BA54" s="743"/>
      <c r="BB54" s="743"/>
      <c r="BC54" s="743"/>
      <c r="BD54" s="743"/>
      <c r="BE54" s="743"/>
      <c r="BF54" s="743"/>
      <c r="BG54" s="743"/>
      <c r="BH54" s="744"/>
    </row>
    <row r="55" spans="7:60" x14ac:dyDescent="0.25">
      <c r="AN55" s="727">
        <v>70</v>
      </c>
      <c r="AO55" s="727"/>
      <c r="AP55" s="727"/>
      <c r="AQ55" s="746" cm="1">
        <f t="array" aca="1" ref="AQ55" ca="1">SUM(COUNTIF(INDIRECT({"B7","G7","L7","Q7","V7","AA7","AF7","AK7","AP7","AU7","B13","G13","L13","Q13","V13","AA13","AF13","AK13","AP13","AU13","B19","G19","L19","Q19","V19","AA19"}),"&gt;0"))</f>
        <v>18</v>
      </c>
      <c r="AR55" s="746"/>
      <c r="AS55" s="746"/>
      <c r="AT55" s="747">
        <f ca="1">AQ55*AN55</f>
        <v>1260</v>
      </c>
      <c r="AU55" s="748"/>
      <c r="AV55" s="748"/>
      <c r="AW55" s="749"/>
      <c r="AY55" s="739" t="s">
        <v>130</v>
      </c>
      <c r="AZ55" s="740"/>
      <c r="BA55" s="740"/>
      <c r="BB55" s="740"/>
      <c r="BC55" s="740"/>
      <c r="BD55" s="740"/>
      <c r="BE55" s="740"/>
      <c r="BF55" s="740"/>
      <c r="BG55" s="740"/>
      <c r="BH55" s="741"/>
    </row>
    <row r="56" spans="7:60" x14ac:dyDescent="0.25">
      <c r="AN56" s="727"/>
      <c r="AO56" s="727"/>
      <c r="AP56" s="727"/>
      <c r="AQ56" s="746"/>
      <c r="AR56" s="746"/>
      <c r="AS56" s="746"/>
      <c r="AT56" s="747"/>
      <c r="AU56" s="748"/>
      <c r="AV56" s="748"/>
      <c r="AW56" s="749"/>
      <c r="AY56" s="750"/>
      <c r="AZ56" s="751"/>
      <c r="BA56" s="751"/>
      <c r="BB56" s="751"/>
      <c r="BC56" s="751"/>
      <c r="BD56" s="751"/>
      <c r="BE56" s="751"/>
      <c r="BF56" s="751"/>
      <c r="BG56" s="751"/>
      <c r="BH56" s="752"/>
    </row>
    <row r="57" spans="7:60" ht="15" customHeight="1" x14ac:dyDescent="0.25">
      <c r="AN57" s="727"/>
      <c r="AO57" s="727"/>
      <c r="AP57" s="727"/>
      <c r="AQ57" s="746"/>
      <c r="AR57" s="746"/>
      <c r="AS57" s="746"/>
      <c r="AT57" s="747"/>
      <c r="AU57" s="748"/>
      <c r="AV57" s="748"/>
      <c r="AW57" s="749"/>
      <c r="AY57" s="750"/>
      <c r="AZ57" s="751"/>
      <c r="BA57" s="751"/>
      <c r="BB57" s="751"/>
      <c r="BC57" s="751"/>
      <c r="BD57" s="751"/>
      <c r="BE57" s="751"/>
      <c r="BF57" s="751"/>
      <c r="BG57" s="751"/>
      <c r="BH57" s="752"/>
    </row>
    <row r="58" spans="7:60" x14ac:dyDescent="0.25">
      <c r="AN58" s="727"/>
      <c r="AO58" s="727"/>
      <c r="AP58" s="727"/>
      <c r="AQ58" s="746"/>
      <c r="AR58" s="746"/>
      <c r="AS58" s="746"/>
      <c r="AT58" s="747"/>
      <c r="AU58" s="748"/>
      <c r="AV58" s="748"/>
      <c r="AW58" s="749"/>
      <c r="AY58" s="742"/>
      <c r="AZ58" s="743"/>
      <c r="BA58" s="743"/>
      <c r="BB58" s="743"/>
      <c r="BC58" s="743"/>
      <c r="BD58" s="743"/>
      <c r="BE58" s="743"/>
      <c r="BF58" s="743"/>
      <c r="BG58" s="743"/>
      <c r="BH58" s="744"/>
    </row>
    <row r="59" spans="7:60" x14ac:dyDescent="0.25">
      <c r="AN59" s="727"/>
      <c r="AO59" s="727"/>
      <c r="AP59" s="727"/>
      <c r="AQ59" s="746"/>
      <c r="AR59" s="746"/>
      <c r="AS59" s="746"/>
      <c r="AT59" s="747"/>
      <c r="AU59" s="748"/>
      <c r="AV59" s="748"/>
      <c r="AW59" s="749"/>
      <c r="AY59" s="728">
        <f ca="1">AT48/((60*3.1415/59)*(AO48/3.281))</f>
        <v>5.9567559383807978E-2</v>
      </c>
      <c r="AZ59" s="729"/>
      <c r="BA59" s="729"/>
      <c r="BB59" s="729"/>
      <c r="BC59" s="729"/>
      <c r="BD59" s="729"/>
      <c r="BE59" s="729"/>
      <c r="BF59" s="729"/>
      <c r="BG59" s="729"/>
      <c r="BH59" s="730"/>
    </row>
    <row r="60" spans="7:60" x14ac:dyDescent="0.25">
      <c r="AN60" s="727"/>
      <c r="AO60" s="727"/>
      <c r="AP60" s="727"/>
      <c r="AQ60" s="746"/>
      <c r="AR60" s="746"/>
      <c r="AS60" s="746"/>
      <c r="AT60" s="747"/>
      <c r="AU60" s="748"/>
      <c r="AV60" s="748"/>
      <c r="AW60" s="749"/>
      <c r="AY60" s="731"/>
      <c r="AZ60" s="732"/>
      <c r="BA60" s="732"/>
      <c r="BB60" s="732"/>
      <c r="BC60" s="732"/>
      <c r="BD60" s="732"/>
      <c r="BE60" s="732"/>
      <c r="BF60" s="732"/>
      <c r="BG60" s="732"/>
      <c r="BH60" s="733"/>
    </row>
    <row r="61" spans="7:60" ht="15" customHeight="1" x14ac:dyDescent="0.25">
      <c r="AN61" s="727"/>
      <c r="AO61" s="727"/>
      <c r="AP61" s="727"/>
      <c r="AQ61" s="746"/>
      <c r="AR61" s="746"/>
      <c r="AS61" s="746"/>
      <c r="AT61" s="747"/>
      <c r="AU61" s="748"/>
      <c r="AV61" s="748"/>
      <c r="AW61" s="749"/>
      <c r="AY61" s="731"/>
      <c r="AZ61" s="732"/>
      <c r="BA61" s="732"/>
      <c r="BB61" s="732"/>
      <c r="BC61" s="732"/>
      <c r="BD61" s="732"/>
      <c r="BE61" s="732"/>
      <c r="BF61" s="732"/>
      <c r="BG61" s="732"/>
      <c r="BH61" s="733"/>
    </row>
    <row r="62" spans="7:60" ht="15" customHeight="1" x14ac:dyDescent="0.25">
      <c r="AN62" s="727"/>
      <c r="AO62" s="727"/>
      <c r="AP62" s="727"/>
      <c r="AQ62" s="746"/>
      <c r="AR62" s="746"/>
      <c r="AS62" s="746"/>
      <c r="AT62" s="747"/>
      <c r="AU62" s="748"/>
      <c r="AV62" s="748"/>
      <c r="AW62" s="749"/>
      <c r="AY62" s="731"/>
      <c r="AZ62" s="732"/>
      <c r="BA62" s="732"/>
      <c r="BB62" s="732"/>
      <c r="BC62" s="732"/>
      <c r="BD62" s="732"/>
      <c r="BE62" s="732"/>
      <c r="BF62" s="732"/>
      <c r="BG62" s="732"/>
      <c r="BH62" s="733"/>
    </row>
    <row r="63" spans="7:60" ht="15" customHeight="1" x14ac:dyDescent="0.25">
      <c r="AN63" s="727"/>
      <c r="AO63" s="727"/>
      <c r="AP63" s="727"/>
      <c r="AQ63" s="746"/>
      <c r="AR63" s="746"/>
      <c r="AS63" s="746"/>
      <c r="AT63" s="747"/>
      <c r="AU63" s="748"/>
      <c r="AV63" s="748"/>
      <c r="AW63" s="749"/>
      <c r="AY63" s="734"/>
      <c r="AZ63" s="735"/>
      <c r="BA63" s="735"/>
      <c r="BB63" s="735"/>
      <c r="BC63" s="735"/>
      <c r="BD63" s="735"/>
      <c r="BE63" s="735"/>
      <c r="BF63" s="735"/>
      <c r="BG63" s="735"/>
      <c r="BH63" s="736"/>
    </row>
    <row r="64" spans="7:60" ht="15" customHeight="1" x14ac:dyDescent="0.25">
      <c r="AN64" s="727"/>
      <c r="AO64" s="727"/>
      <c r="AP64" s="727"/>
      <c r="AQ64" s="746"/>
      <c r="AR64" s="746"/>
      <c r="AS64" s="746"/>
      <c r="AT64" s="747"/>
      <c r="AU64" s="748"/>
      <c r="AV64" s="748"/>
      <c r="AW64" s="749"/>
    </row>
    <row r="65" spans="40:49" ht="15" customHeight="1" x14ac:dyDescent="0.25">
      <c r="AN65" s="727"/>
      <c r="AO65" s="727"/>
      <c r="AP65" s="727"/>
      <c r="AQ65" s="746"/>
      <c r="AR65" s="746"/>
      <c r="AS65" s="746"/>
      <c r="AT65" s="747"/>
      <c r="AU65" s="748"/>
      <c r="AV65" s="748"/>
      <c r="AW65" s="749"/>
    </row>
    <row r="66" spans="40:49" ht="15" customHeight="1" x14ac:dyDescent="0.25">
      <c r="AN66" s="727"/>
      <c r="AO66" s="727"/>
      <c r="AP66" s="727"/>
      <c r="AQ66" s="746"/>
      <c r="AR66" s="746"/>
      <c r="AS66" s="746"/>
      <c r="AT66" s="747"/>
      <c r="AU66" s="748"/>
      <c r="AV66" s="748"/>
      <c r="AW66" s="749"/>
    </row>
    <row r="67" spans="40:49" ht="15" customHeight="1" x14ac:dyDescent="0.25">
      <c r="AN67" s="727"/>
      <c r="AO67" s="727"/>
      <c r="AP67" s="727"/>
      <c r="AQ67" s="746"/>
      <c r="AR67" s="746"/>
      <c r="AS67" s="746"/>
      <c r="AT67" s="747"/>
      <c r="AU67" s="748"/>
      <c r="AV67" s="748"/>
      <c r="AW67" s="749"/>
    </row>
    <row r="68" spans="40:49" ht="15" customHeight="1" x14ac:dyDescent="0.25">
      <c r="AN68" s="727"/>
      <c r="AO68" s="727"/>
      <c r="AP68" s="727"/>
      <c r="AQ68" s="746"/>
      <c r="AR68" s="746"/>
      <c r="AS68" s="746"/>
      <c r="AT68" s="747"/>
      <c r="AU68" s="748"/>
      <c r="AV68" s="748"/>
      <c r="AW68" s="749"/>
    </row>
    <row r="69" spans="40:49" ht="15" customHeight="1" x14ac:dyDescent="0.25">
      <c r="AN69" s="727"/>
      <c r="AO69" s="727"/>
      <c r="AP69" s="727"/>
      <c r="AQ69" s="746"/>
      <c r="AR69" s="746"/>
      <c r="AS69" s="746"/>
      <c r="AT69" s="747"/>
      <c r="AU69" s="748"/>
      <c r="AV69" s="748"/>
      <c r="AW69" s="749"/>
    </row>
    <row r="70" spans="40:49" ht="15" customHeight="1" x14ac:dyDescent="0.25">
      <c r="AQ70" s="1254">
        <f ca="1">AQ55+AQ58+AQ61+AQ64+AQ67</f>
        <v>18</v>
      </c>
      <c r="AR70" s="1254"/>
      <c r="AS70" s="1254"/>
      <c r="AT70" s="747">
        <f ca="1">AT55+AT58+AT61</f>
        <v>1260</v>
      </c>
      <c r="AU70" s="748"/>
      <c r="AV70" s="748"/>
      <c r="AW70" s="749"/>
    </row>
    <row r="71" spans="40:49" ht="15" customHeight="1" x14ac:dyDescent="0.25">
      <c r="AQ71" s="1254"/>
      <c r="AR71" s="1254"/>
      <c r="AS71" s="1254"/>
      <c r="AT71" s="747"/>
      <c r="AU71" s="748"/>
      <c r="AV71" s="748"/>
      <c r="AW71" s="749"/>
    </row>
    <row r="72" spans="40:49" ht="15" customHeight="1" x14ac:dyDescent="0.25">
      <c r="AQ72" s="1254"/>
      <c r="AR72" s="1254"/>
      <c r="AS72" s="1254"/>
      <c r="AT72" s="747"/>
      <c r="AU72" s="748"/>
      <c r="AV72" s="748"/>
      <c r="AW72" s="749"/>
    </row>
    <row r="73" spans="40:49" ht="15" customHeight="1" x14ac:dyDescent="0.25"/>
    <row r="74" spans="40:49" ht="15" customHeight="1" x14ac:dyDescent="0.25"/>
    <row r="75" spans="40:49" ht="15" customHeight="1" x14ac:dyDescent="0.25"/>
    <row r="76" spans="40:49" ht="15" customHeight="1" x14ac:dyDescent="0.25"/>
    <row r="77" spans="40:49" ht="15" customHeight="1" x14ac:dyDescent="0.25">
      <c r="AS77" s="27"/>
      <c r="AT77" s="27"/>
      <c r="AU77" s="27"/>
    </row>
  </sheetData>
  <mergeCells count="312">
    <mergeCell ref="BB9:BJ11"/>
    <mergeCell ref="AQ70:AS72"/>
    <mergeCell ref="AT70:AW72"/>
    <mergeCell ref="AY59:BH63"/>
    <mergeCell ref="AN61:AP63"/>
    <mergeCell ref="AQ61:AS63"/>
    <mergeCell ref="AT61:AW63"/>
    <mergeCell ref="AN64:AP66"/>
    <mergeCell ref="AQ64:AS66"/>
    <mergeCell ref="AT64:AW66"/>
    <mergeCell ref="AY53:BH54"/>
    <mergeCell ref="AN55:AP57"/>
    <mergeCell ref="AQ55:AS57"/>
    <mergeCell ref="AT55:AW57"/>
    <mergeCell ref="AY55:BH58"/>
    <mergeCell ref="AN58:AP60"/>
    <mergeCell ref="AQ58:AS60"/>
    <mergeCell ref="AT58:AW60"/>
    <mergeCell ref="AN67:AP69"/>
    <mergeCell ref="AQ67:AS69"/>
    <mergeCell ref="AT67:AW69"/>
    <mergeCell ref="AT32:AW33"/>
    <mergeCell ref="AO34:AU40"/>
    <mergeCell ref="AV34:AW40"/>
    <mergeCell ref="AD45:AH51"/>
    <mergeCell ref="AL45:AN47"/>
    <mergeCell ref="AO45:AQ47"/>
    <mergeCell ref="AR45:AS47"/>
    <mergeCell ref="AT45:AU47"/>
    <mergeCell ref="AY45:BH47"/>
    <mergeCell ref="AL48:AN51"/>
    <mergeCell ref="AO48:AQ51"/>
    <mergeCell ref="AR48:AS51"/>
    <mergeCell ref="AT48:AU51"/>
    <mergeCell ref="AY48:BH49"/>
    <mergeCell ref="AY50:BH52"/>
    <mergeCell ref="AY27:BA29"/>
    <mergeCell ref="BD27:BF29"/>
    <mergeCell ref="A30:A31"/>
    <mergeCell ref="B30:E30"/>
    <mergeCell ref="F30:F31"/>
    <mergeCell ref="G30:J30"/>
    <mergeCell ref="K30:K31"/>
    <mergeCell ref="L30:O30"/>
    <mergeCell ref="P30:P31"/>
    <mergeCell ref="Q30:T30"/>
    <mergeCell ref="AT30:AT31"/>
    <mergeCell ref="AU30:AX30"/>
    <mergeCell ref="AY30:AY31"/>
    <mergeCell ref="AZ30:BC30"/>
    <mergeCell ref="BD30:BD31"/>
    <mergeCell ref="BE30:BH30"/>
    <mergeCell ref="U30:U31"/>
    <mergeCell ref="V30:Y30"/>
    <mergeCell ref="Z30:Z31"/>
    <mergeCell ref="AA30:AD30"/>
    <mergeCell ref="K27:M29"/>
    <mergeCell ref="P27:R29"/>
    <mergeCell ref="U27:W29"/>
    <mergeCell ref="Z27:AB29"/>
    <mergeCell ref="AJ32:AN42"/>
    <mergeCell ref="AO32:AS33"/>
    <mergeCell ref="AO41:AW42"/>
    <mergeCell ref="H35:J35"/>
    <mergeCell ref="Q35:V42"/>
    <mergeCell ref="H36:J37"/>
    <mergeCell ref="X37:AB42"/>
    <mergeCell ref="AC37:AH42"/>
    <mergeCell ref="H38:J40"/>
    <mergeCell ref="H41:J42"/>
    <mergeCell ref="H32:J33"/>
    <mergeCell ref="Q32:V34"/>
    <mergeCell ref="X32:AB36"/>
    <mergeCell ref="AC32:AH36"/>
    <mergeCell ref="AE27:AG29"/>
    <mergeCell ref="AE30:AE31"/>
    <mergeCell ref="A24:A25"/>
    <mergeCell ref="B24:E24"/>
    <mergeCell ref="F24:F25"/>
    <mergeCell ref="G24:J24"/>
    <mergeCell ref="K24:K25"/>
    <mergeCell ref="L24:O24"/>
    <mergeCell ref="AW26:AX26"/>
    <mergeCell ref="A26:C26"/>
    <mergeCell ref="D26:E26"/>
    <mergeCell ref="F26:H26"/>
    <mergeCell ref="I26:J26"/>
    <mergeCell ref="K26:M26"/>
    <mergeCell ref="N26:O26"/>
    <mergeCell ref="AT27:AV29"/>
    <mergeCell ref="AF30:AI30"/>
    <mergeCell ref="A27:C29"/>
    <mergeCell ref="F27:H29"/>
    <mergeCell ref="P24:P25"/>
    <mergeCell ref="Q24:T24"/>
    <mergeCell ref="U24:U25"/>
    <mergeCell ref="V24:Y24"/>
    <mergeCell ref="Z24:Z25"/>
    <mergeCell ref="P26:R26"/>
    <mergeCell ref="S26:T26"/>
    <mergeCell ref="U26:W26"/>
    <mergeCell ref="X26:Y26"/>
    <mergeCell ref="Z26:AB26"/>
    <mergeCell ref="AC26:AD26"/>
    <mergeCell ref="BD24:BD25"/>
    <mergeCell ref="BD26:BF26"/>
    <mergeCell ref="BE24:BH24"/>
    <mergeCell ref="AE24:AE25"/>
    <mergeCell ref="AF24:AI24"/>
    <mergeCell ref="AJ24:AJ25"/>
    <mergeCell ref="AK24:AN24"/>
    <mergeCell ref="AO24:AO25"/>
    <mergeCell ref="AP24:AS24"/>
    <mergeCell ref="BG26:BH26"/>
    <mergeCell ref="BB26:BC26"/>
    <mergeCell ref="AE26:AG26"/>
    <mergeCell ref="AH26:AI26"/>
    <mergeCell ref="AT26:AV26"/>
    <mergeCell ref="AY26:BA26"/>
    <mergeCell ref="AZ24:BC24"/>
    <mergeCell ref="AT24:AT25"/>
    <mergeCell ref="AU24:AX24"/>
    <mergeCell ref="AY24:AY25"/>
    <mergeCell ref="AE21:AG23"/>
    <mergeCell ref="AJ21:AL23"/>
    <mergeCell ref="AO21:AQ23"/>
    <mergeCell ref="AT21:AV23"/>
    <mergeCell ref="AY21:BA23"/>
    <mergeCell ref="BD21:BF23"/>
    <mergeCell ref="A21:C23"/>
    <mergeCell ref="F21:H23"/>
    <mergeCell ref="K21:M23"/>
    <mergeCell ref="P21:R23"/>
    <mergeCell ref="U21:W23"/>
    <mergeCell ref="Z21:AB23"/>
    <mergeCell ref="AA24:AD24"/>
    <mergeCell ref="AT20:AV20"/>
    <mergeCell ref="AW20:AX20"/>
    <mergeCell ref="AY20:BA20"/>
    <mergeCell ref="BB20:BC20"/>
    <mergeCell ref="BD20:BF20"/>
    <mergeCell ref="BG20:BH20"/>
    <mergeCell ref="AE20:AG20"/>
    <mergeCell ref="AH20:AI20"/>
    <mergeCell ref="AJ20:AL20"/>
    <mergeCell ref="AM20:AN20"/>
    <mergeCell ref="AO20:AQ20"/>
    <mergeCell ref="AR20:AS20"/>
    <mergeCell ref="P20:R20"/>
    <mergeCell ref="S20:T20"/>
    <mergeCell ref="U20:W20"/>
    <mergeCell ref="X20:Y20"/>
    <mergeCell ref="Z20:AB20"/>
    <mergeCell ref="AC20:AD20"/>
    <mergeCell ref="A20:C20"/>
    <mergeCell ref="D20:E20"/>
    <mergeCell ref="F20:H20"/>
    <mergeCell ref="I20:J20"/>
    <mergeCell ref="K20:M20"/>
    <mergeCell ref="N20:O20"/>
    <mergeCell ref="BD15:BF17"/>
    <mergeCell ref="A18:A19"/>
    <mergeCell ref="B18:E18"/>
    <mergeCell ref="AY18:AY19"/>
    <mergeCell ref="AZ18:BC18"/>
    <mergeCell ref="BD18:BD19"/>
    <mergeCell ref="BE18:BH18"/>
    <mergeCell ref="AW14:AX14"/>
    <mergeCell ref="AY14:BA14"/>
    <mergeCell ref="BB14:BC14"/>
    <mergeCell ref="BD14:BF14"/>
    <mergeCell ref="BG14:BH14"/>
    <mergeCell ref="A15:E17"/>
    <mergeCell ref="AJ15:AL17"/>
    <mergeCell ref="AO15:AQ17"/>
    <mergeCell ref="AT15:AV17"/>
    <mergeCell ref="AY15:BA17"/>
    <mergeCell ref="A14:C14"/>
    <mergeCell ref="D14:E14"/>
    <mergeCell ref="AH14:AI14"/>
    <mergeCell ref="AJ14:AL14"/>
    <mergeCell ref="AM14:AN14"/>
    <mergeCell ref="AO14:AQ14"/>
    <mergeCell ref="AR14:AS14"/>
    <mergeCell ref="BD12:BD13"/>
    <mergeCell ref="BE12:BH12"/>
    <mergeCell ref="AY12:AY13"/>
    <mergeCell ref="AZ12:BC12"/>
    <mergeCell ref="A9:B11"/>
    <mergeCell ref="F9:G11"/>
    <mergeCell ref="K9:L11"/>
    <mergeCell ref="P9:Q11"/>
    <mergeCell ref="AT14:AV14"/>
    <mergeCell ref="AE12:AE13"/>
    <mergeCell ref="AF12:AI12"/>
    <mergeCell ref="AJ12:AJ13"/>
    <mergeCell ref="AK12:AN12"/>
    <mergeCell ref="P12:P13"/>
    <mergeCell ref="Q12:T12"/>
    <mergeCell ref="U12:U13"/>
    <mergeCell ref="V12:Y12"/>
    <mergeCell ref="Z12:Z13"/>
    <mergeCell ref="AA12:AD12"/>
    <mergeCell ref="AY9:BA11"/>
    <mergeCell ref="C11:E11"/>
    <mergeCell ref="H11:J11"/>
    <mergeCell ref="M11:O11"/>
    <mergeCell ref="R11:T11"/>
    <mergeCell ref="W11:Y11"/>
    <mergeCell ref="AB11:AD11"/>
    <mergeCell ref="AG11:AI11"/>
    <mergeCell ref="AL11:AN11"/>
    <mergeCell ref="A8:C8"/>
    <mergeCell ref="D8:E8"/>
    <mergeCell ref="F8:H8"/>
    <mergeCell ref="A12:A13"/>
    <mergeCell ref="B12:E12"/>
    <mergeCell ref="F12:F13"/>
    <mergeCell ref="G12:J12"/>
    <mergeCell ref="K12:K13"/>
    <mergeCell ref="L12:O12"/>
    <mergeCell ref="I8:J8"/>
    <mergeCell ref="K8:M8"/>
    <mergeCell ref="N8:O8"/>
    <mergeCell ref="U9:V11"/>
    <mergeCell ref="Z9:AA11"/>
    <mergeCell ref="AE9:AF11"/>
    <mergeCell ref="AJ9:AK11"/>
    <mergeCell ref="Z8:AB8"/>
    <mergeCell ref="AC8:AD8"/>
    <mergeCell ref="AK6:AN6"/>
    <mergeCell ref="AO6:AO7"/>
    <mergeCell ref="AP6:AS6"/>
    <mergeCell ref="AE8:AG8"/>
    <mergeCell ref="AH8:AI8"/>
    <mergeCell ref="AJ8:AL8"/>
    <mergeCell ref="P6:P7"/>
    <mergeCell ref="Q6:T6"/>
    <mergeCell ref="U6:U7"/>
    <mergeCell ref="V6:Y6"/>
    <mergeCell ref="Z6:Z7"/>
    <mergeCell ref="AA6:AD6"/>
    <mergeCell ref="BG8:BH8"/>
    <mergeCell ref="AM8:AN8"/>
    <mergeCell ref="A6:A7"/>
    <mergeCell ref="B6:E6"/>
    <mergeCell ref="F6:F7"/>
    <mergeCell ref="G6:J6"/>
    <mergeCell ref="K6:K7"/>
    <mergeCell ref="L6:O6"/>
    <mergeCell ref="AT6:AT7"/>
    <mergeCell ref="AU6:AX6"/>
    <mergeCell ref="AY6:AY7"/>
    <mergeCell ref="AZ6:BC6"/>
    <mergeCell ref="BD6:BD7"/>
    <mergeCell ref="BD8:BF8"/>
    <mergeCell ref="BE6:BH6"/>
    <mergeCell ref="AE6:AE7"/>
    <mergeCell ref="AF6:AI6"/>
    <mergeCell ref="AJ6:AJ7"/>
    <mergeCell ref="AY8:BA8"/>
    <mergeCell ref="BB8:BC8"/>
    <mergeCell ref="P8:R8"/>
    <mergeCell ref="S8:T8"/>
    <mergeCell ref="U8:W8"/>
    <mergeCell ref="X8:Y8"/>
    <mergeCell ref="W5:Y5"/>
    <mergeCell ref="AB5:AD5"/>
    <mergeCell ref="AG5:AI5"/>
    <mergeCell ref="A3:B5"/>
    <mergeCell ref="F3:G5"/>
    <mergeCell ref="K3:L5"/>
    <mergeCell ref="P3:Q5"/>
    <mergeCell ref="U3:V5"/>
    <mergeCell ref="Z3:AA5"/>
    <mergeCell ref="C5:E5"/>
    <mergeCell ref="H5:J5"/>
    <mergeCell ref="M5:O5"/>
    <mergeCell ref="R5:T5"/>
    <mergeCell ref="AL5:AN5"/>
    <mergeCell ref="AQ5:AS5"/>
    <mergeCell ref="AV5:AX5"/>
    <mergeCell ref="AE3:AF5"/>
    <mergeCell ref="AJ3:AK5"/>
    <mergeCell ref="AO3:AP5"/>
    <mergeCell ref="AT3:AU5"/>
    <mergeCell ref="AY3:BA5"/>
    <mergeCell ref="BD3:BF5"/>
    <mergeCell ref="AT2:AV2"/>
    <mergeCell ref="AW2:AX2"/>
    <mergeCell ref="AY2:BA2"/>
    <mergeCell ref="BB2:BC2"/>
    <mergeCell ref="BD2:BF2"/>
    <mergeCell ref="BG2:BH2"/>
    <mergeCell ref="AE2:AG2"/>
    <mergeCell ref="AH2:AI2"/>
    <mergeCell ref="AJ2:AL2"/>
    <mergeCell ref="AM2:AN2"/>
    <mergeCell ref="AO2:AQ2"/>
    <mergeCell ref="AR2:AS2"/>
    <mergeCell ref="P2:R2"/>
    <mergeCell ref="S2:T2"/>
    <mergeCell ref="U2:W2"/>
    <mergeCell ref="X2:Y2"/>
    <mergeCell ref="Z2:AB2"/>
    <mergeCell ref="AC2:AD2"/>
    <mergeCell ref="A2:C2"/>
    <mergeCell ref="D2:E2"/>
    <mergeCell ref="F2:H2"/>
    <mergeCell ref="I2:J2"/>
    <mergeCell ref="K2:M2"/>
    <mergeCell ref="N2:O2"/>
  </mergeCells>
  <pageMargins left="0.21" right="0" top="0.5" bottom="0" header="0.3" footer="0.3"/>
  <pageSetup scale="44" orientation="landscape" r:id="rId1"/>
  <colBreaks count="1" manualBreakCount="1">
    <brk id="60" max="50" man="1"/>
  </colBreaks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B0DD5-DB17-4764-91E4-76E500A2557C}">
  <sheetPr codeName="Sheet4">
    <tabColor rgb="FFFFC000"/>
  </sheetPr>
  <dimension ref="A1:CL108"/>
  <sheetViews>
    <sheetView view="pageBreakPreview" zoomScale="55" zoomScaleNormal="115" zoomScaleSheetLayoutView="55" workbookViewId="0">
      <selection activeCell="O31" sqref="O31:R31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140625" customWidth="1"/>
    <col min="47" max="47" width="10.71093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4.140625" customWidth="1"/>
    <col min="62" max="62" width="10.7109375" customWidth="1"/>
    <col min="63" max="63" width="4.28515625" customWidth="1"/>
    <col min="64" max="65" width="5.5703125" customWidth="1"/>
    <col min="66" max="66" width="4.140625" customWidth="1"/>
    <col min="67" max="67" width="10.7109375" customWidth="1"/>
    <col min="68" max="68" width="4.28515625" customWidth="1"/>
    <col min="69" max="70" width="5.5703125" customWidth="1"/>
    <col min="71" max="71" width="1" customWidth="1"/>
    <col min="72" max="72" width="56.7109375" customWidth="1"/>
    <col min="73" max="73" width="13" customWidth="1"/>
    <col min="74" max="74" width="7" customWidth="1"/>
  </cols>
  <sheetData>
    <row r="1" spans="1:83" ht="75" customHeight="1" x14ac:dyDescent="0.25"/>
    <row r="2" spans="1:83" ht="75" customHeight="1" x14ac:dyDescent="0.25"/>
    <row r="3" spans="1:83" ht="15" customHeight="1" x14ac:dyDescent="0.25">
      <c r="A3" s="3576" t="s">
        <v>110</v>
      </c>
      <c r="B3" s="3576"/>
      <c r="C3" s="3230">
        <f>B8/((36*3.1415/59)*(65/3.281))</f>
        <v>0.14512282757297876</v>
      </c>
      <c r="D3" s="3230"/>
      <c r="E3" s="3230"/>
      <c r="F3" s="3576" t="s">
        <v>110</v>
      </c>
      <c r="G3" s="3576"/>
      <c r="H3" s="3230">
        <f>G8/((36*3.1415/59)*(65/3.281))</f>
        <v>0.27355034164908426</v>
      </c>
      <c r="I3" s="3230"/>
      <c r="J3" s="3230"/>
      <c r="K3" s="3576" t="s">
        <v>110</v>
      </c>
      <c r="L3" s="3576"/>
      <c r="M3" s="3230">
        <f>L8/((36*3.1415/59)*(65/3.281))</f>
        <v>0.16653180213600394</v>
      </c>
      <c r="N3" s="3230"/>
      <c r="O3" s="3230"/>
      <c r="P3" s="3576" t="s">
        <v>110</v>
      </c>
      <c r="Q3" s="3576"/>
      <c r="R3" s="3230">
        <f>Q8/((36*3.1415/59)*(65/3.281))</f>
        <v>0.17187746245124885</v>
      </c>
      <c r="S3" s="3230"/>
      <c r="T3" s="3230"/>
      <c r="U3" s="3576" t="s">
        <v>110</v>
      </c>
      <c r="V3" s="3576"/>
      <c r="W3" s="3230">
        <f>V8/((36*3.1415/59)*(65/3.281))</f>
        <v>2.6333302045541417E-8</v>
      </c>
      <c r="X3" s="3230"/>
      <c r="Y3" s="3230"/>
      <c r="Z3" s="3576" t="s">
        <v>110</v>
      </c>
      <c r="AA3" s="3576"/>
      <c r="AB3" s="3230">
        <f>AA8/((36*3.1415/59)*(65/3.281))</f>
        <v>2.6333302045541421E-11</v>
      </c>
      <c r="AC3" s="3230"/>
      <c r="AD3" s="3230"/>
      <c r="AE3" s="3576" t="s">
        <v>110</v>
      </c>
      <c r="AF3" s="3576"/>
      <c r="AG3" s="3230">
        <f>AF8/((36*3.1415/59)*(65/3.281))</f>
        <v>0.15249615214573037</v>
      </c>
      <c r="AH3" s="3230"/>
      <c r="AI3" s="3230"/>
      <c r="AJ3" s="3576" t="s">
        <v>110</v>
      </c>
      <c r="AK3" s="3576"/>
      <c r="AL3" s="3230">
        <f>AK8/((36*3.1415/59)*(65/3.281))</f>
        <v>4.8821941992433796E-2</v>
      </c>
      <c r="AM3" s="3230"/>
      <c r="AN3" s="3230"/>
      <c r="AO3" s="3576" t="s">
        <v>110</v>
      </c>
      <c r="AP3" s="3576"/>
      <c r="AQ3" s="3230">
        <f>AP8/((36*3.1415/59)*(65/3.281))</f>
        <v>2.6333302045541422E-6</v>
      </c>
      <c r="AR3" s="3230"/>
      <c r="AS3" s="3230"/>
      <c r="AT3" s="3576" t="s">
        <v>110</v>
      </c>
      <c r="AU3" s="3576"/>
      <c r="AV3" s="3230">
        <f>AU8/((36*3.1415/59)*(65/3.281))</f>
        <v>8.8953894309838924E-2</v>
      </c>
      <c r="AW3" s="3230"/>
      <c r="AX3" s="3230"/>
      <c r="AY3" s="3576" t="s">
        <v>110</v>
      </c>
      <c r="AZ3" s="3576"/>
      <c r="BA3" s="3230">
        <f>AZ8/((36*3.1415/59)*(65/3.281))</f>
        <v>1.6721646798918802E-2</v>
      </c>
      <c r="BB3" s="3230"/>
      <c r="BC3" s="3230"/>
      <c r="BD3" s="3576" t="s">
        <v>110</v>
      </c>
      <c r="BE3" s="3576"/>
      <c r="BF3" s="3230">
        <f>BE8/((36*3.1415/59)*(65/3.281))</f>
        <v>4.1448617419682199E-2</v>
      </c>
      <c r="BG3" s="3230"/>
      <c r="BH3" s="3230"/>
      <c r="BI3" s="3576" t="s">
        <v>110</v>
      </c>
      <c r="BJ3" s="3576"/>
      <c r="BK3" s="3230">
        <f>BJ8/((36*3.1415/59)*(65/3.281))</f>
        <v>4.0790284868543657E-2</v>
      </c>
      <c r="BL3" s="3230"/>
      <c r="BM3" s="3230"/>
      <c r="BN3" s="3576" t="s">
        <v>110</v>
      </c>
      <c r="BO3" s="3576"/>
      <c r="BP3" s="3230">
        <f>BO8/((36*3.1415/59)*(65/3.281))</f>
        <v>7.4891911017519797E-2</v>
      </c>
      <c r="BQ3" s="3230"/>
      <c r="BR3" s="3230"/>
    </row>
    <row r="4" spans="1:83" ht="15" customHeight="1" x14ac:dyDescent="0.25">
      <c r="A4" s="3576"/>
      <c r="B4" s="3576"/>
      <c r="C4" s="3230"/>
      <c r="D4" s="3230"/>
      <c r="E4" s="3230"/>
      <c r="F4" s="3576"/>
      <c r="G4" s="3576"/>
      <c r="H4" s="3230"/>
      <c r="I4" s="3230"/>
      <c r="J4" s="3230"/>
      <c r="K4" s="3576"/>
      <c r="L4" s="3576"/>
      <c r="M4" s="3230"/>
      <c r="N4" s="3230"/>
      <c r="O4" s="3230"/>
      <c r="P4" s="3576"/>
      <c r="Q4" s="3576"/>
      <c r="R4" s="3230"/>
      <c r="S4" s="3230"/>
      <c r="T4" s="3230"/>
      <c r="U4" s="3576"/>
      <c r="V4" s="3576"/>
      <c r="W4" s="3230"/>
      <c r="X4" s="3230"/>
      <c r="Y4" s="3230"/>
      <c r="Z4" s="3576"/>
      <c r="AA4" s="3576"/>
      <c r="AB4" s="3230"/>
      <c r="AC4" s="3230"/>
      <c r="AD4" s="3230"/>
      <c r="AE4" s="3576"/>
      <c r="AF4" s="3576"/>
      <c r="AG4" s="3230"/>
      <c r="AH4" s="3230"/>
      <c r="AI4" s="3230"/>
      <c r="AJ4" s="3576"/>
      <c r="AK4" s="3576"/>
      <c r="AL4" s="3230"/>
      <c r="AM4" s="3230"/>
      <c r="AN4" s="3230"/>
      <c r="AO4" s="3576"/>
      <c r="AP4" s="3576"/>
      <c r="AQ4" s="3230"/>
      <c r="AR4" s="3230"/>
      <c r="AS4" s="3230"/>
      <c r="AT4" s="3576"/>
      <c r="AU4" s="3576"/>
      <c r="AV4" s="3230"/>
      <c r="AW4" s="3230"/>
      <c r="AX4" s="3230"/>
      <c r="AY4" s="3576"/>
      <c r="AZ4" s="3576"/>
      <c r="BA4" s="3230"/>
      <c r="BB4" s="3230"/>
      <c r="BC4" s="3230"/>
      <c r="BD4" s="3576"/>
      <c r="BE4" s="3576"/>
      <c r="BF4" s="3230"/>
      <c r="BG4" s="3230"/>
      <c r="BH4" s="3230"/>
      <c r="BI4" s="3576"/>
      <c r="BJ4" s="3576"/>
      <c r="BK4" s="3230"/>
      <c r="BL4" s="3230"/>
      <c r="BM4" s="3230"/>
      <c r="BN4" s="3576"/>
      <c r="BO4" s="3576"/>
      <c r="BP4" s="3230"/>
      <c r="BQ4" s="3230"/>
      <c r="BR4" s="3230"/>
    </row>
    <row r="5" spans="1:83" ht="15" customHeight="1" x14ac:dyDescent="0.25">
      <c r="A5" s="3576"/>
      <c r="B5" s="3576"/>
      <c r="C5" s="3230"/>
      <c r="D5" s="3230"/>
      <c r="E5" s="3230"/>
      <c r="F5" s="3576"/>
      <c r="G5" s="3576"/>
      <c r="H5" s="3230"/>
      <c r="I5" s="3230"/>
      <c r="J5" s="3230"/>
      <c r="K5" s="3576"/>
      <c r="L5" s="3576"/>
      <c r="M5" s="3230"/>
      <c r="N5" s="3230"/>
      <c r="O5" s="3230"/>
      <c r="P5" s="3576"/>
      <c r="Q5" s="3576"/>
      <c r="R5" s="3230"/>
      <c r="S5" s="3230"/>
      <c r="T5" s="3230"/>
      <c r="U5" s="3576"/>
      <c r="V5" s="3576"/>
      <c r="W5" s="3230"/>
      <c r="X5" s="3230"/>
      <c r="Y5" s="3230"/>
      <c r="Z5" s="3576"/>
      <c r="AA5" s="3576"/>
      <c r="AB5" s="3230"/>
      <c r="AC5" s="3230"/>
      <c r="AD5" s="3230"/>
      <c r="AE5" s="3576"/>
      <c r="AF5" s="3576"/>
      <c r="AG5" s="3230"/>
      <c r="AH5" s="3230"/>
      <c r="AI5" s="3230"/>
      <c r="AJ5" s="3576"/>
      <c r="AK5" s="3576"/>
      <c r="AL5" s="3230"/>
      <c r="AM5" s="3230"/>
      <c r="AN5" s="3230"/>
      <c r="AO5" s="3576"/>
      <c r="AP5" s="3576"/>
      <c r="AQ5" s="3230"/>
      <c r="AR5" s="3230"/>
      <c r="AS5" s="3230"/>
      <c r="AT5" s="3576"/>
      <c r="AU5" s="3576"/>
      <c r="AV5" s="3230"/>
      <c r="AW5" s="3230"/>
      <c r="AX5" s="3230"/>
      <c r="AY5" s="3576"/>
      <c r="AZ5" s="3576"/>
      <c r="BA5" s="3230"/>
      <c r="BB5" s="3230"/>
      <c r="BC5" s="3230"/>
      <c r="BD5" s="3576"/>
      <c r="BE5" s="3576"/>
      <c r="BF5" s="3230"/>
      <c r="BG5" s="3230"/>
      <c r="BH5" s="3230"/>
      <c r="BI5" s="3576"/>
      <c r="BJ5" s="3576"/>
      <c r="BK5" s="3230"/>
      <c r="BL5" s="3230"/>
      <c r="BM5" s="3230"/>
      <c r="BN5" s="3576"/>
      <c r="BO5" s="3576"/>
      <c r="BP5" s="3230"/>
      <c r="BQ5" s="3230"/>
      <c r="BR5" s="3230"/>
    </row>
    <row r="6" spans="1:83" ht="24.95" customHeight="1" x14ac:dyDescent="0.25">
      <c r="A6" s="2043" t="s">
        <v>111</v>
      </c>
      <c r="B6" s="2043"/>
      <c r="C6" s="2043" t="s">
        <v>25</v>
      </c>
      <c r="D6" s="2043"/>
      <c r="E6" s="2043"/>
      <c r="F6" s="2043" t="s">
        <v>111</v>
      </c>
      <c r="G6" s="2043"/>
      <c r="H6" s="2043" t="s">
        <v>25</v>
      </c>
      <c r="I6" s="2043"/>
      <c r="J6" s="2043"/>
      <c r="K6" s="2043" t="s">
        <v>111</v>
      </c>
      <c r="L6" s="2043"/>
      <c r="M6" s="2043" t="s">
        <v>25</v>
      </c>
      <c r="N6" s="2043"/>
      <c r="O6" s="2043"/>
      <c r="P6" s="2043" t="s">
        <v>111</v>
      </c>
      <c r="Q6" s="2043"/>
      <c r="R6" s="2043" t="s">
        <v>25</v>
      </c>
      <c r="S6" s="2043"/>
      <c r="T6" s="2043"/>
      <c r="U6" s="2043" t="s">
        <v>111</v>
      </c>
      <c r="V6" s="2043"/>
      <c r="W6" s="2043" t="s">
        <v>25</v>
      </c>
      <c r="X6" s="2043"/>
      <c r="Y6" s="2043"/>
      <c r="Z6" s="2043" t="s">
        <v>111</v>
      </c>
      <c r="AA6" s="2043"/>
      <c r="AB6" s="2043" t="s">
        <v>25</v>
      </c>
      <c r="AC6" s="2043"/>
      <c r="AD6" s="2043"/>
      <c r="AE6" s="2043" t="s">
        <v>111</v>
      </c>
      <c r="AF6" s="2043"/>
      <c r="AG6" s="2043" t="s">
        <v>25</v>
      </c>
      <c r="AH6" s="2043"/>
      <c r="AI6" s="2043"/>
      <c r="AJ6" s="2043" t="s">
        <v>111</v>
      </c>
      <c r="AK6" s="2043"/>
      <c r="AL6" s="2043" t="s">
        <v>25</v>
      </c>
      <c r="AM6" s="2043"/>
      <c r="AN6" s="2043"/>
      <c r="AO6" s="2043" t="s">
        <v>111</v>
      </c>
      <c r="AP6" s="2043"/>
      <c r="AQ6" s="2043" t="s">
        <v>25</v>
      </c>
      <c r="AR6" s="2043"/>
      <c r="AS6" s="2043"/>
      <c r="AT6" s="2043" t="s">
        <v>111</v>
      </c>
      <c r="AU6" s="2043"/>
      <c r="AV6" s="2043" t="s">
        <v>25</v>
      </c>
      <c r="AW6" s="2043"/>
      <c r="AX6" s="2043"/>
      <c r="AY6" s="2043" t="s">
        <v>111</v>
      </c>
      <c r="AZ6" s="2043"/>
      <c r="BA6" s="2043" t="s">
        <v>25</v>
      </c>
      <c r="BB6" s="2043"/>
      <c r="BC6" s="2043"/>
      <c r="BD6" s="2043" t="s">
        <v>111</v>
      </c>
      <c r="BE6" s="2043"/>
      <c r="BF6" s="2043" t="s">
        <v>25</v>
      </c>
      <c r="BG6" s="2043"/>
      <c r="BH6" s="2043"/>
      <c r="BI6" s="2043" t="s">
        <v>111</v>
      </c>
      <c r="BJ6" s="2043"/>
      <c r="BK6" s="2043" t="s">
        <v>25</v>
      </c>
      <c r="BL6" s="2043"/>
      <c r="BM6" s="2043"/>
      <c r="BN6" s="2043" t="s">
        <v>111</v>
      </c>
      <c r="BO6" s="2043"/>
      <c r="BP6" s="2043" t="s">
        <v>25</v>
      </c>
      <c r="BQ6" s="2043"/>
      <c r="BR6" s="2043"/>
    </row>
    <row r="7" spans="1:83" s="22" customFormat="1" ht="80.099999999999994" customHeight="1" x14ac:dyDescent="1.35">
      <c r="A7" s="3231" t="s">
        <v>165</v>
      </c>
      <c r="B7" s="3562">
        <v>1</v>
      </c>
      <c r="C7" s="3562"/>
      <c r="D7" s="3562"/>
      <c r="E7" s="3562"/>
      <c r="F7" s="3231" t="s">
        <v>165</v>
      </c>
      <c r="G7" s="3562">
        <v>2</v>
      </c>
      <c r="H7" s="3562"/>
      <c r="I7" s="3562"/>
      <c r="J7" s="3562"/>
      <c r="K7" s="3231" t="s">
        <v>165</v>
      </c>
      <c r="L7" s="3562">
        <v>3</v>
      </c>
      <c r="M7" s="3562"/>
      <c r="N7" s="3562"/>
      <c r="O7" s="3562"/>
      <c r="P7" s="3231" t="s">
        <v>165</v>
      </c>
      <c r="Q7" s="3562">
        <v>4</v>
      </c>
      <c r="R7" s="3562"/>
      <c r="S7" s="3562"/>
      <c r="T7" s="3562"/>
      <c r="U7" s="3231" t="s">
        <v>165</v>
      </c>
      <c r="V7" s="3562">
        <v>5</v>
      </c>
      <c r="W7" s="3562"/>
      <c r="X7" s="3562"/>
      <c r="Y7" s="3562"/>
      <c r="Z7" s="3231" t="s">
        <v>165</v>
      </c>
      <c r="AA7" s="3562">
        <v>6</v>
      </c>
      <c r="AB7" s="3562"/>
      <c r="AC7" s="3562"/>
      <c r="AD7" s="3562"/>
      <c r="AE7" s="3231" t="s">
        <v>165</v>
      </c>
      <c r="AF7" s="3562">
        <v>7</v>
      </c>
      <c r="AG7" s="3562"/>
      <c r="AH7" s="3562"/>
      <c r="AI7" s="3562"/>
      <c r="AJ7" s="3231" t="s">
        <v>165</v>
      </c>
      <c r="AK7" s="3562">
        <v>8</v>
      </c>
      <c r="AL7" s="3562"/>
      <c r="AM7" s="3562"/>
      <c r="AN7" s="3562"/>
      <c r="AO7" s="3231" t="s">
        <v>165</v>
      </c>
      <c r="AP7" s="3562">
        <v>9</v>
      </c>
      <c r="AQ7" s="3562"/>
      <c r="AR7" s="3562"/>
      <c r="AS7" s="3562"/>
      <c r="AT7" s="3231" t="s">
        <v>165</v>
      </c>
      <c r="AU7" s="3562">
        <v>10</v>
      </c>
      <c r="AV7" s="3562"/>
      <c r="AW7" s="3562"/>
      <c r="AX7" s="3562"/>
      <c r="AY7" s="3231" t="s">
        <v>165</v>
      </c>
      <c r="AZ7" s="3562">
        <v>11</v>
      </c>
      <c r="BA7" s="3562"/>
      <c r="BB7" s="3562"/>
      <c r="BC7" s="3562"/>
      <c r="BD7" s="3231" t="s">
        <v>165</v>
      </c>
      <c r="BE7" s="3562">
        <v>12</v>
      </c>
      <c r="BF7" s="3562"/>
      <c r="BG7" s="3562"/>
      <c r="BH7" s="3562"/>
      <c r="BI7" s="3231" t="s">
        <v>165</v>
      </c>
      <c r="BJ7" s="3562">
        <v>13</v>
      </c>
      <c r="BK7" s="3562"/>
      <c r="BL7" s="3562"/>
      <c r="BM7" s="3562"/>
      <c r="BN7" s="3231" t="s">
        <v>165</v>
      </c>
      <c r="BO7" s="3562">
        <v>14</v>
      </c>
      <c r="BP7" s="3562"/>
      <c r="BQ7" s="3562"/>
      <c r="BR7" s="3562"/>
    </row>
    <row r="8" spans="1:83" ht="27" customHeight="1" x14ac:dyDescent="0.25">
      <c r="A8" s="3231"/>
      <c r="B8" s="122">
        <v>5.5110000000000001</v>
      </c>
      <c r="C8" s="123" t="s">
        <v>113</v>
      </c>
      <c r="D8" s="124"/>
      <c r="E8" s="125" t="s">
        <v>114</v>
      </c>
      <c r="F8" s="3231"/>
      <c r="G8" s="122">
        <v>10.388</v>
      </c>
      <c r="H8" s="123" t="s">
        <v>113</v>
      </c>
      <c r="I8" s="124"/>
      <c r="J8" s="125" t="s">
        <v>114</v>
      </c>
      <c r="K8" s="3231"/>
      <c r="L8" s="122">
        <v>6.3239999999999998</v>
      </c>
      <c r="M8" s="123" t="s">
        <v>113</v>
      </c>
      <c r="N8" s="124"/>
      <c r="O8" s="125" t="s">
        <v>114</v>
      </c>
      <c r="P8" s="3231"/>
      <c r="Q8" s="122">
        <v>6.5270000000000001</v>
      </c>
      <c r="R8" s="123" t="s">
        <v>113</v>
      </c>
      <c r="S8" s="124">
        <v>1</v>
      </c>
      <c r="T8" s="125" t="s">
        <v>114</v>
      </c>
      <c r="U8" s="3231"/>
      <c r="V8" s="122">
        <v>9.9999999999999995E-7</v>
      </c>
      <c r="W8" s="123" t="s">
        <v>113</v>
      </c>
      <c r="X8" s="124"/>
      <c r="Y8" s="125" t="s">
        <v>114</v>
      </c>
      <c r="Z8" s="3231"/>
      <c r="AA8" s="122">
        <v>1.0000000000000001E-9</v>
      </c>
      <c r="AB8" s="123" t="s">
        <v>113</v>
      </c>
      <c r="AC8" s="124"/>
      <c r="AD8" s="125" t="s">
        <v>114</v>
      </c>
      <c r="AE8" s="3231"/>
      <c r="AF8" s="122">
        <v>5.7910000000000004</v>
      </c>
      <c r="AG8" s="123" t="s">
        <v>113</v>
      </c>
      <c r="AH8" s="124">
        <v>1</v>
      </c>
      <c r="AI8" s="125" t="s">
        <v>114</v>
      </c>
      <c r="AJ8" s="3231"/>
      <c r="AK8" s="122">
        <v>1.8540000000000001</v>
      </c>
      <c r="AL8" s="123" t="s">
        <v>113</v>
      </c>
      <c r="AM8" s="124"/>
      <c r="AN8" s="125" t="s">
        <v>114</v>
      </c>
      <c r="AO8" s="3231"/>
      <c r="AP8" s="122">
        <v>1E-4</v>
      </c>
      <c r="AQ8" s="123" t="s">
        <v>113</v>
      </c>
      <c r="AR8" s="124"/>
      <c r="AS8" s="125" t="s">
        <v>114</v>
      </c>
      <c r="AT8" s="3231"/>
      <c r="AU8" s="122">
        <v>3.3780000000000001</v>
      </c>
      <c r="AV8" s="123" t="s">
        <v>113</v>
      </c>
      <c r="AW8" s="124">
        <v>1</v>
      </c>
      <c r="AX8" s="125" t="s">
        <v>114</v>
      </c>
      <c r="AY8" s="3231"/>
      <c r="AZ8" s="122">
        <v>0.63500000000000001</v>
      </c>
      <c r="BA8" s="123" t="s">
        <v>113</v>
      </c>
      <c r="BB8" s="124"/>
      <c r="BC8" s="125" t="s">
        <v>114</v>
      </c>
      <c r="BD8" s="3231"/>
      <c r="BE8" s="122">
        <v>1.5740000000000001</v>
      </c>
      <c r="BF8" s="123" t="s">
        <v>113</v>
      </c>
      <c r="BG8" s="124"/>
      <c r="BH8" s="125" t="s">
        <v>114</v>
      </c>
      <c r="BI8" s="3231"/>
      <c r="BJ8" s="122">
        <v>1.5489999999999999</v>
      </c>
      <c r="BK8" s="123" t="s">
        <v>113</v>
      </c>
      <c r="BL8" s="124"/>
      <c r="BM8" s="125" t="s">
        <v>114</v>
      </c>
      <c r="BN8" s="3231"/>
      <c r="BO8" s="122">
        <v>2.8439999999999999</v>
      </c>
      <c r="BP8" s="123" t="s">
        <v>113</v>
      </c>
      <c r="BQ8" s="124">
        <v>1</v>
      </c>
      <c r="BR8" s="125" t="s">
        <v>114</v>
      </c>
      <c r="BW8" s="27"/>
      <c r="BX8" s="27"/>
      <c r="BY8" s="27"/>
      <c r="BZ8" s="27"/>
      <c r="CA8" s="27"/>
      <c r="CB8" s="27"/>
      <c r="CC8" s="27"/>
      <c r="CD8" s="27"/>
      <c r="CE8" s="27"/>
    </row>
    <row r="9" spans="1:83" ht="15" customHeight="1" x14ac:dyDescent="0.25">
      <c r="A9" s="3576" t="s">
        <v>110</v>
      </c>
      <c r="B9" s="3576"/>
      <c r="C9" s="3230">
        <f>B14/((36*3.1415/59)*(65/3.281))</f>
        <v>8.6899896750286688E-3</v>
      </c>
      <c r="D9" s="3230"/>
      <c r="E9" s="3230"/>
      <c r="F9" s="3576" t="s">
        <v>110</v>
      </c>
      <c r="G9" s="3576"/>
      <c r="H9" s="3230">
        <f>G14/((36*3.1415/59)*(65/3.281))</f>
        <v>2.6333302045541421E-5</v>
      </c>
      <c r="I9" s="3230"/>
      <c r="J9" s="3230"/>
      <c r="K9" s="3576" t="s">
        <v>110</v>
      </c>
      <c r="L9" s="3576"/>
      <c r="M9" s="3230">
        <f>L14/((36*3.1415/59)*(65/3.281))</f>
        <v>0.20197642668930268</v>
      </c>
      <c r="N9" s="3230"/>
      <c r="O9" s="3230"/>
      <c r="P9" s="3576" t="s">
        <v>110</v>
      </c>
      <c r="Q9" s="3576"/>
      <c r="R9" s="3230">
        <f>Q14/((36*3.1415/59)*(65/3.281))</f>
        <v>6.888791815113636E-2</v>
      </c>
      <c r="S9" s="3230"/>
      <c r="T9" s="3230"/>
      <c r="U9" s="3576" t="s">
        <v>110</v>
      </c>
      <c r="V9" s="3576"/>
      <c r="W9" s="3230">
        <f>V14/((36*3.1415/59)*(65/3.281))</f>
        <v>7.2916913364104191E-2</v>
      </c>
      <c r="X9" s="3230"/>
      <c r="Y9" s="3230"/>
      <c r="Z9" s="3576" t="s">
        <v>110</v>
      </c>
      <c r="AA9" s="3576"/>
      <c r="AB9" s="3230">
        <f>AA14/((36*3.1415/59)*(65/3.281))</f>
        <v>5.3509269756540162E-2</v>
      </c>
      <c r="AC9" s="3230"/>
      <c r="AD9" s="3230"/>
      <c r="AE9" s="3576" t="s">
        <v>110</v>
      </c>
      <c r="AF9" s="3576"/>
      <c r="AG9" s="3230">
        <f>AF14/((36*3.1415/59)*(65/3.281))</f>
        <v>5.5510600712001312E-2</v>
      </c>
      <c r="AH9" s="3230"/>
      <c r="AI9" s="3230"/>
      <c r="AJ9" s="3576" t="s">
        <v>110</v>
      </c>
      <c r="AK9" s="3576"/>
      <c r="AL9" s="3230">
        <f>AK14/((36*3.1415/59)*(65/3.281))</f>
        <v>0.10032988079351281</v>
      </c>
      <c r="AM9" s="3230"/>
      <c r="AN9" s="3230"/>
      <c r="AO9" s="3576" t="s">
        <v>110</v>
      </c>
      <c r="AP9" s="3576"/>
      <c r="AQ9" s="3230">
        <f>AP14/((36*3.1415/59)*(65/3.281))</f>
        <v>2.2725639665302246E-2</v>
      </c>
      <c r="AR9" s="3230"/>
      <c r="AS9" s="3230"/>
      <c r="AT9" s="3576" t="s">
        <v>110</v>
      </c>
      <c r="AU9" s="3576"/>
      <c r="AV9" s="3230">
        <f>AU14/((36*3.1415/59)*(65/3.281))</f>
        <v>0.10164654589578988</v>
      </c>
      <c r="AW9" s="3230"/>
      <c r="AX9" s="3230"/>
      <c r="AY9" s="3576" t="s">
        <v>110</v>
      </c>
      <c r="AZ9" s="3576"/>
      <c r="BA9" s="3230">
        <f>AZ14/((36*3.1415/59)*(65/3.281))</f>
        <v>3.3443293597837605E-2</v>
      </c>
      <c r="BB9" s="3230"/>
      <c r="BC9" s="3230"/>
      <c r="BD9" s="3576" t="s">
        <v>110</v>
      </c>
      <c r="BE9" s="3576"/>
      <c r="BF9" s="3230">
        <f>BE14/((36*3.1415/59)*(65/3.281))</f>
        <v>1.6036980945734722E-2</v>
      </c>
      <c r="BG9" s="3230"/>
      <c r="BH9" s="3230"/>
      <c r="BI9" s="3576" t="s">
        <v>110</v>
      </c>
      <c r="BJ9" s="3576"/>
      <c r="BK9" s="3230">
        <f>BJ14/((36*3.1415/59)*(65/3.281))</f>
        <v>1.8722977754379949E-2</v>
      </c>
      <c r="BL9" s="3230"/>
      <c r="BM9" s="3230"/>
      <c r="BN9" s="3576" t="s">
        <v>110</v>
      </c>
      <c r="BO9" s="3576"/>
      <c r="BP9" s="3230">
        <f>BO14/((36*3.1415/59)*(65/3.281))</f>
        <v>2.6333302045541422E-6</v>
      </c>
      <c r="BQ9" s="3230"/>
      <c r="BR9" s="3230"/>
    </row>
    <row r="10" spans="1:83" ht="15" customHeight="1" x14ac:dyDescent="0.25">
      <c r="A10" s="3576"/>
      <c r="B10" s="3576"/>
      <c r="C10" s="3230"/>
      <c r="D10" s="3230"/>
      <c r="E10" s="3230"/>
      <c r="F10" s="3576"/>
      <c r="G10" s="3576"/>
      <c r="H10" s="3230"/>
      <c r="I10" s="3230"/>
      <c r="J10" s="3230"/>
      <c r="K10" s="3576"/>
      <c r="L10" s="3576"/>
      <c r="M10" s="3230"/>
      <c r="N10" s="3230"/>
      <c r="O10" s="3230"/>
      <c r="P10" s="3576"/>
      <c r="Q10" s="3576"/>
      <c r="R10" s="3230"/>
      <c r="S10" s="3230"/>
      <c r="T10" s="3230"/>
      <c r="U10" s="3576"/>
      <c r="V10" s="3576"/>
      <c r="W10" s="3230"/>
      <c r="X10" s="3230"/>
      <c r="Y10" s="3230"/>
      <c r="Z10" s="3576"/>
      <c r="AA10" s="3576"/>
      <c r="AB10" s="3230"/>
      <c r="AC10" s="3230"/>
      <c r="AD10" s="3230"/>
      <c r="AE10" s="3576"/>
      <c r="AF10" s="3576"/>
      <c r="AG10" s="3230"/>
      <c r="AH10" s="3230"/>
      <c r="AI10" s="3230"/>
      <c r="AJ10" s="3576"/>
      <c r="AK10" s="3576"/>
      <c r="AL10" s="3230"/>
      <c r="AM10" s="3230"/>
      <c r="AN10" s="3230"/>
      <c r="AO10" s="3576"/>
      <c r="AP10" s="3576"/>
      <c r="AQ10" s="3230"/>
      <c r="AR10" s="3230"/>
      <c r="AS10" s="3230"/>
      <c r="AT10" s="3576"/>
      <c r="AU10" s="3576"/>
      <c r="AV10" s="3230"/>
      <c r="AW10" s="3230"/>
      <c r="AX10" s="3230"/>
      <c r="AY10" s="3576"/>
      <c r="AZ10" s="3576"/>
      <c r="BA10" s="3230"/>
      <c r="BB10" s="3230"/>
      <c r="BC10" s="3230"/>
      <c r="BD10" s="3576"/>
      <c r="BE10" s="3576"/>
      <c r="BF10" s="3230"/>
      <c r="BG10" s="3230"/>
      <c r="BH10" s="3230"/>
      <c r="BI10" s="3576"/>
      <c r="BJ10" s="3576"/>
      <c r="BK10" s="3230"/>
      <c r="BL10" s="3230"/>
      <c r="BM10" s="3230"/>
      <c r="BN10" s="3576"/>
      <c r="BO10" s="3576"/>
      <c r="BP10" s="3230"/>
      <c r="BQ10" s="3230"/>
      <c r="BR10" s="3230"/>
    </row>
    <row r="11" spans="1:83" ht="15" customHeight="1" x14ac:dyDescent="0.25">
      <c r="A11" s="3576"/>
      <c r="B11" s="3576"/>
      <c r="C11" s="3230"/>
      <c r="D11" s="3230"/>
      <c r="E11" s="3230"/>
      <c r="F11" s="3576"/>
      <c r="G11" s="3576"/>
      <c r="H11" s="3230"/>
      <c r="I11" s="3230"/>
      <c r="J11" s="3230"/>
      <c r="K11" s="3576"/>
      <c r="L11" s="3576"/>
      <c r="M11" s="3230"/>
      <c r="N11" s="3230"/>
      <c r="O11" s="3230"/>
      <c r="P11" s="3576"/>
      <c r="Q11" s="3576"/>
      <c r="R11" s="3230"/>
      <c r="S11" s="3230"/>
      <c r="T11" s="3230"/>
      <c r="U11" s="3576"/>
      <c r="V11" s="3576"/>
      <c r="W11" s="3230"/>
      <c r="X11" s="3230"/>
      <c r="Y11" s="3230"/>
      <c r="Z11" s="3576"/>
      <c r="AA11" s="3576"/>
      <c r="AB11" s="3230"/>
      <c r="AC11" s="3230"/>
      <c r="AD11" s="3230"/>
      <c r="AE11" s="3576"/>
      <c r="AF11" s="3576"/>
      <c r="AG11" s="3230"/>
      <c r="AH11" s="3230"/>
      <c r="AI11" s="3230"/>
      <c r="AJ11" s="3576"/>
      <c r="AK11" s="3576"/>
      <c r="AL11" s="3230"/>
      <c r="AM11" s="3230"/>
      <c r="AN11" s="3230"/>
      <c r="AO11" s="3576"/>
      <c r="AP11" s="3576"/>
      <c r="AQ11" s="3230"/>
      <c r="AR11" s="3230"/>
      <c r="AS11" s="3230"/>
      <c r="AT11" s="3576"/>
      <c r="AU11" s="3576"/>
      <c r="AV11" s="3230"/>
      <c r="AW11" s="3230"/>
      <c r="AX11" s="3230"/>
      <c r="AY11" s="3576"/>
      <c r="AZ11" s="3576"/>
      <c r="BA11" s="3230"/>
      <c r="BB11" s="3230"/>
      <c r="BC11" s="3230"/>
      <c r="BD11" s="3576"/>
      <c r="BE11" s="3576"/>
      <c r="BF11" s="3230"/>
      <c r="BG11" s="3230"/>
      <c r="BH11" s="3230"/>
      <c r="BI11" s="3576"/>
      <c r="BJ11" s="3576"/>
      <c r="BK11" s="3230"/>
      <c r="BL11" s="3230"/>
      <c r="BM11" s="3230"/>
      <c r="BN11" s="3576"/>
      <c r="BO11" s="3576"/>
      <c r="BP11" s="3230"/>
      <c r="BQ11" s="3230"/>
      <c r="BR11" s="3230"/>
    </row>
    <row r="12" spans="1:83" ht="24.95" customHeight="1" x14ac:dyDescent="0.25">
      <c r="A12" s="2043" t="s">
        <v>111</v>
      </c>
      <c r="B12" s="2043"/>
      <c r="C12" s="2043" t="s">
        <v>25</v>
      </c>
      <c r="D12" s="2043"/>
      <c r="E12" s="2043"/>
      <c r="F12" s="2043" t="s">
        <v>111</v>
      </c>
      <c r="G12" s="2043"/>
      <c r="H12" s="2043" t="s">
        <v>25</v>
      </c>
      <c r="I12" s="2043"/>
      <c r="J12" s="2043"/>
      <c r="K12" s="2043" t="s">
        <v>111</v>
      </c>
      <c r="L12" s="2043"/>
      <c r="M12" s="2043" t="s">
        <v>25</v>
      </c>
      <c r="N12" s="2043"/>
      <c r="O12" s="2043"/>
      <c r="P12" s="2043" t="s">
        <v>111</v>
      </c>
      <c r="Q12" s="2043"/>
      <c r="R12" s="2043" t="s">
        <v>25</v>
      </c>
      <c r="S12" s="2043"/>
      <c r="T12" s="2043"/>
      <c r="U12" s="2043" t="s">
        <v>111</v>
      </c>
      <c r="V12" s="2043"/>
      <c r="W12" s="2043" t="s">
        <v>25</v>
      </c>
      <c r="X12" s="2043"/>
      <c r="Y12" s="2043"/>
      <c r="Z12" s="2043" t="s">
        <v>111</v>
      </c>
      <c r="AA12" s="2043"/>
      <c r="AB12" s="2043" t="s">
        <v>25</v>
      </c>
      <c r="AC12" s="2043"/>
      <c r="AD12" s="2043"/>
      <c r="AE12" s="2043" t="s">
        <v>111</v>
      </c>
      <c r="AF12" s="2043"/>
      <c r="AG12" s="2043" t="s">
        <v>25</v>
      </c>
      <c r="AH12" s="2043"/>
      <c r="AI12" s="2043"/>
      <c r="AJ12" s="2043" t="s">
        <v>111</v>
      </c>
      <c r="AK12" s="2043"/>
      <c r="AL12" s="2043" t="s">
        <v>25</v>
      </c>
      <c r="AM12" s="2043"/>
      <c r="AN12" s="2043"/>
      <c r="AO12" s="2043" t="s">
        <v>111</v>
      </c>
      <c r="AP12" s="2043"/>
      <c r="AQ12" s="2043" t="s">
        <v>25</v>
      </c>
      <c r="AR12" s="2043"/>
      <c r="AS12" s="2043"/>
      <c r="AT12" s="2043" t="s">
        <v>111</v>
      </c>
      <c r="AU12" s="2043"/>
      <c r="AV12" s="2043" t="s">
        <v>25</v>
      </c>
      <c r="AW12" s="2043"/>
      <c r="AX12" s="2043"/>
      <c r="AY12" s="2043" t="s">
        <v>111</v>
      </c>
      <c r="AZ12" s="2043"/>
      <c r="BA12" s="2043" t="s">
        <v>25</v>
      </c>
      <c r="BB12" s="2043"/>
      <c r="BC12" s="2043"/>
      <c r="BD12" s="2043" t="s">
        <v>111</v>
      </c>
      <c r="BE12" s="2043"/>
      <c r="BF12" s="2043" t="s">
        <v>25</v>
      </c>
      <c r="BG12" s="2043"/>
      <c r="BH12" s="2043"/>
      <c r="BI12" s="2043" t="s">
        <v>111</v>
      </c>
      <c r="BJ12" s="2043"/>
      <c r="BK12" s="2043" t="s">
        <v>25</v>
      </c>
      <c r="BL12" s="2043"/>
      <c r="BM12" s="2043"/>
      <c r="BN12" s="2043" t="s">
        <v>111</v>
      </c>
      <c r="BO12" s="2043"/>
      <c r="BP12" s="2043" t="s">
        <v>25</v>
      </c>
      <c r="BQ12" s="2043"/>
      <c r="BR12" s="2043"/>
    </row>
    <row r="13" spans="1:83" s="22" customFormat="1" ht="80.099999999999994" customHeight="1" x14ac:dyDescent="1.35">
      <c r="A13" s="3231" t="s">
        <v>165</v>
      </c>
      <c r="B13" s="3562">
        <v>15</v>
      </c>
      <c r="C13" s="3562"/>
      <c r="D13" s="3562"/>
      <c r="E13" s="3562"/>
      <c r="F13" s="3231" t="s">
        <v>165</v>
      </c>
      <c r="G13" s="3562">
        <v>16</v>
      </c>
      <c r="H13" s="3562"/>
      <c r="I13" s="3562"/>
      <c r="J13" s="3562"/>
      <c r="K13" s="3231" t="s">
        <v>165</v>
      </c>
      <c r="L13" s="3562">
        <v>17</v>
      </c>
      <c r="M13" s="3562"/>
      <c r="N13" s="3562"/>
      <c r="O13" s="3562"/>
      <c r="P13" s="3231" t="s">
        <v>165</v>
      </c>
      <c r="Q13" s="3562">
        <v>18</v>
      </c>
      <c r="R13" s="3562"/>
      <c r="S13" s="3562"/>
      <c r="T13" s="3562"/>
      <c r="U13" s="3231" t="s">
        <v>165</v>
      </c>
      <c r="V13" s="3562">
        <v>19</v>
      </c>
      <c r="W13" s="3562"/>
      <c r="X13" s="3562"/>
      <c r="Y13" s="3562"/>
      <c r="Z13" s="3231" t="s">
        <v>165</v>
      </c>
      <c r="AA13" s="3562">
        <v>20</v>
      </c>
      <c r="AB13" s="3562"/>
      <c r="AC13" s="3562"/>
      <c r="AD13" s="3562"/>
      <c r="AE13" s="3231" t="s">
        <v>165</v>
      </c>
      <c r="AF13" s="3562">
        <v>21</v>
      </c>
      <c r="AG13" s="3562"/>
      <c r="AH13" s="3562"/>
      <c r="AI13" s="3562"/>
      <c r="AJ13" s="3231" t="s">
        <v>165</v>
      </c>
      <c r="AK13" s="3562">
        <v>22</v>
      </c>
      <c r="AL13" s="3562"/>
      <c r="AM13" s="3562"/>
      <c r="AN13" s="3562"/>
      <c r="AO13" s="3231" t="s">
        <v>165</v>
      </c>
      <c r="AP13" s="3562">
        <v>23</v>
      </c>
      <c r="AQ13" s="3562"/>
      <c r="AR13" s="3562"/>
      <c r="AS13" s="3562"/>
      <c r="AT13" s="3231" t="s">
        <v>165</v>
      </c>
      <c r="AU13" s="3562">
        <v>24</v>
      </c>
      <c r="AV13" s="3562"/>
      <c r="AW13" s="3562"/>
      <c r="AX13" s="3562"/>
      <c r="AY13" s="3231" t="s">
        <v>165</v>
      </c>
      <c r="AZ13" s="3562">
        <v>25</v>
      </c>
      <c r="BA13" s="3562"/>
      <c r="BB13" s="3562"/>
      <c r="BC13" s="3562"/>
      <c r="BD13" s="3231" t="s">
        <v>165</v>
      </c>
      <c r="BE13" s="3562">
        <v>26</v>
      </c>
      <c r="BF13" s="3562"/>
      <c r="BG13" s="3562"/>
      <c r="BH13" s="3562"/>
      <c r="BI13" s="3231" t="s">
        <v>165</v>
      </c>
      <c r="BJ13" s="3562">
        <v>27</v>
      </c>
      <c r="BK13" s="3562"/>
      <c r="BL13" s="3562"/>
      <c r="BM13" s="3562"/>
      <c r="BN13" s="3231" t="s">
        <v>165</v>
      </c>
      <c r="BO13" s="3562">
        <v>28</v>
      </c>
      <c r="BP13" s="3562"/>
      <c r="BQ13" s="3562"/>
      <c r="BR13" s="3562"/>
    </row>
    <row r="14" spans="1:83" ht="27" customHeight="1" x14ac:dyDescent="0.25">
      <c r="A14" s="3231"/>
      <c r="B14" s="122">
        <v>0.33</v>
      </c>
      <c r="C14" s="123" t="s">
        <v>113</v>
      </c>
      <c r="D14" s="124"/>
      <c r="E14" s="125" t="s">
        <v>114</v>
      </c>
      <c r="F14" s="3231"/>
      <c r="G14" s="122">
        <v>1E-3</v>
      </c>
      <c r="H14" s="123" t="s">
        <v>113</v>
      </c>
      <c r="I14" s="124"/>
      <c r="J14" s="125" t="s">
        <v>114</v>
      </c>
      <c r="K14" s="3231"/>
      <c r="L14" s="122">
        <v>7.67</v>
      </c>
      <c r="M14" s="123" t="s">
        <v>113</v>
      </c>
      <c r="N14" s="124">
        <v>1</v>
      </c>
      <c r="O14" s="125" t="s">
        <v>114</v>
      </c>
      <c r="P14" s="3231"/>
      <c r="Q14" s="122">
        <v>2.6160000000000001</v>
      </c>
      <c r="R14" s="123" t="s">
        <v>113</v>
      </c>
      <c r="S14" s="124"/>
      <c r="T14" s="125" t="s">
        <v>114</v>
      </c>
      <c r="U14" s="3231"/>
      <c r="V14" s="122">
        <v>2.7690000000000001</v>
      </c>
      <c r="W14" s="123" t="s">
        <v>113</v>
      </c>
      <c r="X14" s="124">
        <v>1</v>
      </c>
      <c r="Y14" s="125" t="s">
        <v>114</v>
      </c>
      <c r="Z14" s="3231"/>
      <c r="AA14" s="122">
        <v>2.032</v>
      </c>
      <c r="AB14" s="123" t="s">
        <v>113</v>
      </c>
      <c r="AC14" s="124"/>
      <c r="AD14" s="125" t="s">
        <v>114</v>
      </c>
      <c r="AE14" s="3231"/>
      <c r="AF14" s="122">
        <v>2.1080000000000001</v>
      </c>
      <c r="AG14" s="123" t="s">
        <v>113</v>
      </c>
      <c r="AH14" s="124">
        <v>1</v>
      </c>
      <c r="AI14" s="125" t="s">
        <v>114</v>
      </c>
      <c r="AJ14" s="3231"/>
      <c r="AK14" s="122">
        <v>3.81</v>
      </c>
      <c r="AL14" s="123" t="s">
        <v>113</v>
      </c>
      <c r="AM14" s="124"/>
      <c r="AN14" s="125" t="s">
        <v>114</v>
      </c>
      <c r="AO14" s="3231"/>
      <c r="AP14" s="122">
        <v>0.86299999999999999</v>
      </c>
      <c r="AQ14" s="123" t="s">
        <v>113</v>
      </c>
      <c r="AR14" s="124"/>
      <c r="AS14" s="125" t="s">
        <v>114</v>
      </c>
      <c r="AT14" s="3231"/>
      <c r="AU14" s="122">
        <v>3.86</v>
      </c>
      <c r="AV14" s="123" t="s">
        <v>113</v>
      </c>
      <c r="AW14" s="124">
        <v>1</v>
      </c>
      <c r="AX14" s="125" t="s">
        <v>114</v>
      </c>
      <c r="AY14" s="3231"/>
      <c r="AZ14" s="122">
        <v>1.27</v>
      </c>
      <c r="BA14" s="123" t="s">
        <v>113</v>
      </c>
      <c r="BB14" s="124"/>
      <c r="BC14" s="125" t="s">
        <v>114</v>
      </c>
      <c r="BD14" s="3231"/>
      <c r="BE14" s="122">
        <v>0.60899999999999999</v>
      </c>
      <c r="BF14" s="123" t="s">
        <v>113</v>
      </c>
      <c r="BG14" s="124"/>
      <c r="BH14" s="125" t="s">
        <v>114</v>
      </c>
      <c r="BI14" s="3231"/>
      <c r="BJ14" s="122">
        <v>0.71099999999999997</v>
      </c>
      <c r="BK14" s="123" t="s">
        <v>113</v>
      </c>
      <c r="BL14" s="124">
        <v>1</v>
      </c>
      <c r="BM14" s="125" t="s">
        <v>114</v>
      </c>
      <c r="BN14" s="3231"/>
      <c r="BO14" s="122">
        <v>1E-4</v>
      </c>
      <c r="BP14" s="123" t="s">
        <v>113</v>
      </c>
      <c r="BQ14" s="124"/>
      <c r="BR14" s="125" t="s">
        <v>114</v>
      </c>
      <c r="BW14" s="27"/>
      <c r="BX14" s="27"/>
      <c r="BY14" s="27"/>
      <c r="BZ14" s="27"/>
      <c r="CA14" s="27"/>
      <c r="CB14" s="27"/>
      <c r="CC14" s="27"/>
      <c r="CD14" s="27"/>
      <c r="CE14" s="27"/>
    </row>
    <row r="15" spans="1:83" ht="15" customHeight="1" x14ac:dyDescent="0.25">
      <c r="A15" s="3576" t="s">
        <v>110</v>
      </c>
      <c r="B15" s="3576"/>
      <c r="C15" s="3230">
        <f>B20/((36*3.1415/59)*(65/3.281))</f>
        <v>2.6333302045541422E-6</v>
      </c>
      <c r="D15" s="3230"/>
      <c r="E15" s="3230"/>
      <c r="F15" s="3576" t="s">
        <v>110</v>
      </c>
      <c r="G15" s="3576"/>
      <c r="H15" s="3230">
        <f>G20/((36*3.1415/59)*(65/3.281))</f>
        <v>4.8821941992433796E-2</v>
      </c>
      <c r="I15" s="3230"/>
      <c r="J15" s="3230"/>
      <c r="K15" s="3576" t="s">
        <v>110</v>
      </c>
      <c r="L15" s="3576"/>
      <c r="M15" s="3230">
        <f>L20/((36*3.1415/59)*(65/3.281))</f>
        <v>2.2725639665302246E-2</v>
      </c>
      <c r="N15" s="3230"/>
      <c r="O15" s="3230"/>
      <c r="P15" s="3576" t="s">
        <v>110</v>
      </c>
      <c r="Q15" s="3576"/>
      <c r="R15" s="3230">
        <f>Q20/((36*3.1415/59)*(65/3.281))</f>
        <v>4.0131952317405122E-2</v>
      </c>
      <c r="S15" s="3230"/>
      <c r="T15" s="3230"/>
      <c r="U15" s="3576" t="s">
        <v>110</v>
      </c>
      <c r="V15" s="3576"/>
      <c r="W15" s="3230">
        <f>V20/((36*3.1415/59)*(65/3.281))</f>
        <v>2.6333302045541422E-6</v>
      </c>
      <c r="X15" s="3230"/>
      <c r="Y15" s="3230"/>
      <c r="Z15" s="3576" t="s">
        <v>110</v>
      </c>
      <c r="AA15" s="3576"/>
      <c r="AB15" s="3230">
        <f>AA20/((36*3.1415/59)*(65/3.281))</f>
        <v>0.11102120142400262</v>
      </c>
      <c r="AC15" s="3230"/>
      <c r="AD15" s="3230"/>
      <c r="AE15" s="3576" t="s">
        <v>110</v>
      </c>
      <c r="AF15" s="3576"/>
      <c r="AG15" s="3230">
        <f>AF20/((36*3.1415/59)*(65/3.281))</f>
        <v>2.6333302045541422E-6</v>
      </c>
      <c r="AH15" s="3230"/>
      <c r="AI15" s="3230"/>
      <c r="AJ15" s="3576" t="s">
        <v>110</v>
      </c>
      <c r="AK15" s="3576"/>
      <c r="AL15" s="3230">
        <f>AK20/((36*3.1415/59)*(65/3.281))</f>
        <v>2.6333302045541422E-6</v>
      </c>
      <c r="AM15" s="3230"/>
      <c r="AN15" s="3230"/>
      <c r="AO15" s="3576" t="s">
        <v>110</v>
      </c>
      <c r="AP15" s="3576"/>
      <c r="AQ15" s="3230">
        <f>AP20/((36*3.1415/59)*(65/3.281))</f>
        <v>4.4792946779465957E-2</v>
      </c>
      <c r="AR15" s="3230"/>
      <c r="AS15" s="3230"/>
      <c r="AT15" s="3576" t="s">
        <v>110</v>
      </c>
      <c r="AU15" s="3576"/>
      <c r="AV15" s="3230">
        <f>AU20/((36*3.1415/59)*(65/3.281))</f>
        <v>2.1382641260979635E-2</v>
      </c>
      <c r="AW15" s="3230"/>
      <c r="AX15" s="3230"/>
      <c r="AY15" s="121"/>
      <c r="AZ15" s="121"/>
      <c r="BA15" s="121"/>
      <c r="BB15" s="31"/>
      <c r="BC15" s="121"/>
      <c r="BD15" s="121"/>
      <c r="BE15" s="121"/>
      <c r="BF15" s="121"/>
      <c r="BG15" s="121"/>
      <c r="BH15" s="31"/>
      <c r="BI15" s="121"/>
      <c r="BJ15" s="121"/>
      <c r="BK15" s="121"/>
      <c r="BL15" s="121"/>
      <c r="BM15" s="121"/>
      <c r="BN15" s="31"/>
      <c r="BO15" s="121"/>
      <c r="BP15" s="121"/>
      <c r="BQ15" s="121"/>
      <c r="BR15" s="121"/>
    </row>
    <row r="16" spans="1:83" ht="15" customHeight="1" x14ac:dyDescent="0.25">
      <c r="A16" s="3576"/>
      <c r="B16" s="3576"/>
      <c r="C16" s="3230"/>
      <c r="D16" s="3230"/>
      <c r="E16" s="3230"/>
      <c r="F16" s="3576"/>
      <c r="G16" s="3576"/>
      <c r="H16" s="3230"/>
      <c r="I16" s="3230"/>
      <c r="J16" s="3230"/>
      <c r="K16" s="3576"/>
      <c r="L16" s="3576"/>
      <c r="M16" s="3230"/>
      <c r="N16" s="3230"/>
      <c r="O16" s="3230"/>
      <c r="P16" s="3576"/>
      <c r="Q16" s="3576"/>
      <c r="R16" s="3230"/>
      <c r="S16" s="3230"/>
      <c r="T16" s="3230"/>
      <c r="U16" s="3576"/>
      <c r="V16" s="3576"/>
      <c r="W16" s="3230"/>
      <c r="X16" s="3230"/>
      <c r="Y16" s="3230"/>
      <c r="Z16" s="3576"/>
      <c r="AA16" s="3576"/>
      <c r="AB16" s="3230"/>
      <c r="AC16" s="3230"/>
      <c r="AD16" s="3230"/>
      <c r="AE16" s="3576"/>
      <c r="AF16" s="3576"/>
      <c r="AG16" s="3230"/>
      <c r="AH16" s="3230"/>
      <c r="AI16" s="3230"/>
      <c r="AJ16" s="3576"/>
      <c r="AK16" s="3576"/>
      <c r="AL16" s="3230"/>
      <c r="AM16" s="3230"/>
      <c r="AN16" s="3230"/>
      <c r="AO16" s="3576"/>
      <c r="AP16" s="3576"/>
      <c r="AQ16" s="3230"/>
      <c r="AR16" s="3230"/>
      <c r="AS16" s="3230"/>
      <c r="AT16" s="3576"/>
      <c r="AU16" s="3576"/>
      <c r="AV16" s="3230"/>
      <c r="AW16" s="3230"/>
      <c r="AX16" s="3230"/>
      <c r="AY16" s="34"/>
      <c r="AZ16" s="35"/>
      <c r="BA16" s="31"/>
      <c r="BB16" s="32"/>
      <c r="BC16" s="33"/>
      <c r="BD16" s="34"/>
      <c r="BE16" s="34"/>
      <c r="BF16" s="35"/>
      <c r="BG16" s="31"/>
      <c r="BH16" s="32"/>
      <c r="BI16" s="33"/>
      <c r="BJ16" s="34"/>
      <c r="BK16" s="34"/>
      <c r="BL16" s="35"/>
      <c r="BM16" s="31"/>
      <c r="BN16" s="32"/>
      <c r="BO16" s="33"/>
      <c r="BP16" s="34"/>
      <c r="BQ16" s="34"/>
      <c r="BR16" s="35"/>
    </row>
    <row r="17" spans="1:83" ht="15" customHeight="1" x14ac:dyDescent="0.25">
      <c r="A17" s="3576"/>
      <c r="B17" s="3576"/>
      <c r="C17" s="3230"/>
      <c r="D17" s="3230"/>
      <c r="E17" s="3230"/>
      <c r="F17" s="3576"/>
      <c r="G17" s="3576"/>
      <c r="H17" s="3230"/>
      <c r="I17" s="3230"/>
      <c r="J17" s="3230"/>
      <c r="K17" s="3576"/>
      <c r="L17" s="3576"/>
      <c r="M17" s="3230"/>
      <c r="N17" s="3230"/>
      <c r="O17" s="3230"/>
      <c r="P17" s="3576"/>
      <c r="Q17" s="3576"/>
      <c r="R17" s="3230"/>
      <c r="S17" s="3230"/>
      <c r="T17" s="3230"/>
      <c r="U17" s="3576"/>
      <c r="V17" s="3576"/>
      <c r="W17" s="3230"/>
      <c r="X17" s="3230"/>
      <c r="Y17" s="3230"/>
      <c r="Z17" s="3576"/>
      <c r="AA17" s="3576"/>
      <c r="AB17" s="3230"/>
      <c r="AC17" s="3230"/>
      <c r="AD17" s="3230"/>
      <c r="AE17" s="3576"/>
      <c r="AF17" s="3576"/>
      <c r="AG17" s="3230"/>
      <c r="AH17" s="3230"/>
      <c r="AI17" s="3230"/>
      <c r="AJ17" s="3576"/>
      <c r="AK17" s="3576"/>
      <c r="AL17" s="3230"/>
      <c r="AM17" s="3230"/>
      <c r="AN17" s="3230"/>
      <c r="AO17" s="3576"/>
      <c r="AP17" s="3576"/>
      <c r="AQ17" s="3230"/>
      <c r="AR17" s="3230"/>
      <c r="AS17" s="3230"/>
      <c r="AT17" s="3576"/>
      <c r="AU17" s="3576"/>
      <c r="AV17" s="3230"/>
      <c r="AW17" s="3230"/>
      <c r="AX17" s="3230"/>
      <c r="AY17" s="34"/>
      <c r="AZ17" s="35"/>
      <c r="BA17" s="31"/>
      <c r="BB17" s="32"/>
      <c r="BC17" s="33"/>
      <c r="BD17" s="34"/>
      <c r="BE17" s="34"/>
      <c r="BF17" s="35"/>
      <c r="BG17" s="31"/>
      <c r="BH17" s="32"/>
      <c r="BI17" s="33"/>
      <c r="BJ17" s="34"/>
      <c r="BK17" s="34"/>
      <c r="BL17" s="35"/>
      <c r="BM17" s="31"/>
      <c r="BN17" s="32"/>
      <c r="BO17" s="33"/>
      <c r="BP17" s="34"/>
      <c r="BQ17" s="34"/>
      <c r="BR17" s="35"/>
    </row>
    <row r="18" spans="1:83" ht="24.95" customHeight="1" x14ac:dyDescent="0.25">
      <c r="A18" s="2043" t="s">
        <v>111</v>
      </c>
      <c r="B18" s="2043"/>
      <c r="C18" s="2043" t="s">
        <v>25</v>
      </c>
      <c r="D18" s="2043"/>
      <c r="E18" s="2043"/>
      <c r="F18" s="2043" t="s">
        <v>111</v>
      </c>
      <c r="G18" s="2043"/>
      <c r="H18" s="2043" t="s">
        <v>25</v>
      </c>
      <c r="I18" s="2043"/>
      <c r="J18" s="2043"/>
      <c r="K18" s="2043" t="s">
        <v>111</v>
      </c>
      <c r="L18" s="2043"/>
      <c r="M18" s="2043" t="s">
        <v>25</v>
      </c>
      <c r="N18" s="2043"/>
      <c r="O18" s="2043"/>
      <c r="P18" s="2043" t="s">
        <v>111</v>
      </c>
      <c r="Q18" s="2043"/>
      <c r="R18" s="2043" t="s">
        <v>25</v>
      </c>
      <c r="S18" s="2043"/>
      <c r="T18" s="2043"/>
      <c r="U18" s="2043" t="s">
        <v>111</v>
      </c>
      <c r="V18" s="2043"/>
      <c r="W18" s="2043" t="s">
        <v>25</v>
      </c>
      <c r="X18" s="2043"/>
      <c r="Y18" s="2043"/>
      <c r="Z18" s="2043" t="s">
        <v>111</v>
      </c>
      <c r="AA18" s="2043"/>
      <c r="AB18" s="2043" t="s">
        <v>25</v>
      </c>
      <c r="AC18" s="2043"/>
      <c r="AD18" s="2043"/>
      <c r="AE18" s="2043" t="s">
        <v>111</v>
      </c>
      <c r="AF18" s="2043"/>
      <c r="AG18" s="2043" t="s">
        <v>25</v>
      </c>
      <c r="AH18" s="2043"/>
      <c r="AI18" s="2043"/>
      <c r="AJ18" s="2043" t="s">
        <v>111</v>
      </c>
      <c r="AK18" s="2043"/>
      <c r="AL18" s="2043" t="s">
        <v>25</v>
      </c>
      <c r="AM18" s="2043"/>
      <c r="AN18" s="2043"/>
      <c r="AO18" s="2043" t="s">
        <v>111</v>
      </c>
      <c r="AP18" s="2043"/>
      <c r="AQ18" s="2043" t="s">
        <v>25</v>
      </c>
      <c r="AR18" s="2043"/>
      <c r="AS18" s="2043"/>
      <c r="AT18" s="2043" t="s">
        <v>111</v>
      </c>
      <c r="AU18" s="2043"/>
      <c r="AV18" s="2043" t="s">
        <v>25</v>
      </c>
      <c r="AW18" s="2043"/>
      <c r="AX18" s="2043"/>
      <c r="AY18" s="121"/>
      <c r="AZ18" s="121"/>
      <c r="BA18" s="121"/>
      <c r="BB18" s="31"/>
      <c r="BC18" s="121"/>
      <c r="BD18" s="121"/>
      <c r="BE18" s="121"/>
      <c r="BF18" s="121"/>
      <c r="BG18" s="121"/>
      <c r="BH18" s="31"/>
      <c r="BI18" s="121"/>
      <c r="BJ18" s="121"/>
      <c r="BK18" s="121"/>
      <c r="BL18" s="121"/>
      <c r="BM18" s="121"/>
      <c r="BN18" s="31"/>
      <c r="BO18" s="121"/>
      <c r="BP18" s="121"/>
      <c r="BQ18" s="121"/>
      <c r="BR18" s="121"/>
    </row>
    <row r="19" spans="1:83" s="22" customFormat="1" ht="80.099999999999994" customHeight="1" x14ac:dyDescent="1.35">
      <c r="A19" s="3231" t="s">
        <v>165</v>
      </c>
      <c r="B19" s="3562">
        <v>29</v>
      </c>
      <c r="C19" s="3562"/>
      <c r="D19" s="3562"/>
      <c r="E19" s="3562"/>
      <c r="F19" s="3231" t="s">
        <v>165</v>
      </c>
      <c r="G19" s="3562">
        <v>30</v>
      </c>
      <c r="H19" s="3562"/>
      <c r="I19" s="3562"/>
      <c r="J19" s="3562"/>
      <c r="K19" s="3231" t="s">
        <v>165</v>
      </c>
      <c r="L19" s="3562">
        <v>31</v>
      </c>
      <c r="M19" s="3562"/>
      <c r="N19" s="3562"/>
      <c r="O19" s="3562"/>
      <c r="P19" s="3231" t="s">
        <v>165</v>
      </c>
      <c r="Q19" s="3562">
        <v>32</v>
      </c>
      <c r="R19" s="3562"/>
      <c r="S19" s="3562"/>
      <c r="T19" s="3562"/>
      <c r="U19" s="3231" t="s">
        <v>165</v>
      </c>
      <c r="V19" s="3562">
        <v>33</v>
      </c>
      <c r="W19" s="3562"/>
      <c r="X19" s="3562"/>
      <c r="Y19" s="3562"/>
      <c r="Z19" s="3231" t="s">
        <v>165</v>
      </c>
      <c r="AA19" s="3562">
        <v>34</v>
      </c>
      <c r="AB19" s="3562"/>
      <c r="AC19" s="3562"/>
      <c r="AD19" s="3562"/>
      <c r="AE19" s="3231" t="s">
        <v>165</v>
      </c>
      <c r="AF19" s="3562">
        <v>35</v>
      </c>
      <c r="AG19" s="3562"/>
      <c r="AH19" s="3562"/>
      <c r="AI19" s="3562"/>
      <c r="AJ19" s="3231" t="s">
        <v>165</v>
      </c>
      <c r="AK19" s="3562">
        <v>36</v>
      </c>
      <c r="AL19" s="3562"/>
      <c r="AM19" s="3562"/>
      <c r="AN19" s="3562"/>
      <c r="AO19" s="3231" t="s">
        <v>165</v>
      </c>
      <c r="AP19" s="3562">
        <v>37</v>
      </c>
      <c r="AQ19" s="3562"/>
      <c r="AR19" s="3562"/>
      <c r="AS19" s="3562"/>
      <c r="AT19" s="3231" t="s">
        <v>165</v>
      </c>
      <c r="AU19" s="3562">
        <v>38</v>
      </c>
      <c r="AV19" s="3562"/>
      <c r="AW19" s="3562"/>
      <c r="AX19" s="3562"/>
      <c r="AY19" s="34"/>
      <c r="AZ19" s="35"/>
      <c r="BA19" s="31"/>
      <c r="BB19" s="32"/>
      <c r="BC19" s="33"/>
      <c r="BD19" s="34"/>
      <c r="BE19" s="34"/>
      <c r="BF19" s="35"/>
      <c r="BG19" s="31"/>
      <c r="BH19" s="32"/>
      <c r="BI19" s="33"/>
      <c r="BJ19" s="34"/>
      <c r="BK19" s="34"/>
      <c r="BL19" s="35"/>
      <c r="BM19" s="31"/>
      <c r="BN19" s="32"/>
      <c r="BO19" s="33"/>
      <c r="BP19" s="34"/>
      <c r="BQ19" s="34"/>
      <c r="BR19" s="35"/>
    </row>
    <row r="20" spans="1:83" ht="26.25" x14ac:dyDescent="0.25">
      <c r="A20" s="3231"/>
      <c r="B20" s="122">
        <v>1E-4</v>
      </c>
      <c r="C20" s="123" t="s">
        <v>113</v>
      </c>
      <c r="D20" s="124"/>
      <c r="E20" s="125" t="s">
        <v>114</v>
      </c>
      <c r="F20" s="3231"/>
      <c r="G20" s="122">
        <v>1.8540000000000001</v>
      </c>
      <c r="H20" s="123" t="s">
        <v>113</v>
      </c>
      <c r="I20" s="124"/>
      <c r="J20" s="125" t="s">
        <v>114</v>
      </c>
      <c r="K20" s="3231"/>
      <c r="L20" s="122">
        <v>0.86299999999999999</v>
      </c>
      <c r="M20" s="123" t="s">
        <v>113</v>
      </c>
      <c r="N20" s="124">
        <v>1</v>
      </c>
      <c r="O20" s="125" t="s">
        <v>114</v>
      </c>
      <c r="P20" s="3231"/>
      <c r="Q20" s="122">
        <v>1.524</v>
      </c>
      <c r="R20" s="123" t="s">
        <v>113</v>
      </c>
      <c r="S20" s="124"/>
      <c r="T20" s="125" t="s">
        <v>114</v>
      </c>
      <c r="U20" s="3231"/>
      <c r="V20" s="122">
        <v>1E-4</v>
      </c>
      <c r="W20" s="123" t="s">
        <v>113</v>
      </c>
      <c r="X20" s="124"/>
      <c r="Y20" s="125" t="s">
        <v>114</v>
      </c>
      <c r="Z20" s="3231"/>
      <c r="AA20" s="122">
        <v>4.2160000000000002</v>
      </c>
      <c r="AB20" s="123" t="s">
        <v>113</v>
      </c>
      <c r="AC20" s="124">
        <v>1</v>
      </c>
      <c r="AD20" s="125" t="s">
        <v>114</v>
      </c>
      <c r="AE20" s="3231"/>
      <c r="AF20" s="122">
        <v>1E-4</v>
      </c>
      <c r="AG20" s="123" t="s">
        <v>113</v>
      </c>
      <c r="AH20" s="124"/>
      <c r="AI20" s="125" t="s">
        <v>114</v>
      </c>
      <c r="AJ20" s="3231"/>
      <c r="AK20" s="122">
        <v>1E-4</v>
      </c>
      <c r="AL20" s="123" t="s">
        <v>113</v>
      </c>
      <c r="AM20" s="124"/>
      <c r="AN20" s="125" t="s">
        <v>114</v>
      </c>
      <c r="AO20" s="3231"/>
      <c r="AP20" s="122">
        <v>1.7010000000000001</v>
      </c>
      <c r="AQ20" s="123" t="s">
        <v>113</v>
      </c>
      <c r="AR20" s="124">
        <v>1</v>
      </c>
      <c r="AS20" s="125" t="s">
        <v>114</v>
      </c>
      <c r="AT20" s="3231"/>
      <c r="AU20" s="122">
        <v>0.81200000000000006</v>
      </c>
      <c r="AV20" s="123" t="s">
        <v>113</v>
      </c>
      <c r="AW20" s="124"/>
      <c r="AX20" s="125" t="s">
        <v>114</v>
      </c>
      <c r="AY20" s="34"/>
      <c r="AZ20" s="35"/>
      <c r="BA20" s="31"/>
      <c r="BB20" s="32"/>
      <c r="BC20" s="33"/>
      <c r="BD20" s="34"/>
      <c r="BE20" s="34"/>
      <c r="BF20" s="35"/>
      <c r="BG20" s="31"/>
      <c r="BH20" s="32"/>
      <c r="BI20" s="33"/>
      <c r="BJ20" s="34"/>
      <c r="BK20" s="34"/>
      <c r="BL20" s="35"/>
      <c r="BM20" s="31"/>
      <c r="BN20" s="32"/>
      <c r="BO20" s="33"/>
      <c r="BP20" s="34"/>
      <c r="BQ20" s="34"/>
      <c r="BR20" s="35"/>
      <c r="BW20" s="27"/>
      <c r="BX20" s="27"/>
      <c r="BY20" s="27"/>
      <c r="BZ20" s="27"/>
      <c r="CA20" s="27"/>
      <c r="CB20" s="27"/>
      <c r="CC20" s="27"/>
      <c r="CD20" s="27"/>
      <c r="CE20" s="27"/>
    </row>
    <row r="21" spans="1:83" ht="26.1" customHeight="1" x14ac:dyDescent="0.25">
      <c r="A21" s="121"/>
      <c r="B21" s="121"/>
      <c r="C21" s="121"/>
      <c r="D21" s="31"/>
      <c r="E21" s="121"/>
      <c r="F21" s="121"/>
      <c r="G21" s="121"/>
      <c r="H21" s="121"/>
      <c r="I21" s="121"/>
      <c r="J21" s="31"/>
      <c r="K21" s="121"/>
      <c r="L21" s="121"/>
      <c r="M21" s="121"/>
      <c r="N21" s="121"/>
      <c r="O21" s="121"/>
      <c r="P21" s="31"/>
      <c r="Q21" s="121"/>
      <c r="R21" s="121"/>
      <c r="S21" s="121"/>
      <c r="T21" s="121"/>
      <c r="U21" s="121"/>
      <c r="V21" s="31"/>
      <c r="W21" s="121"/>
      <c r="X21" s="121"/>
      <c r="Y21" s="121"/>
      <c r="Z21" s="121"/>
      <c r="AA21" s="121"/>
      <c r="AB21" s="31"/>
      <c r="AC21" s="121"/>
      <c r="AD21" s="121"/>
      <c r="AE21" s="121"/>
      <c r="AF21" s="121"/>
      <c r="AG21" s="121"/>
      <c r="AH21" s="31"/>
      <c r="AI21" s="121"/>
      <c r="AJ21" s="121"/>
      <c r="AK21" s="121"/>
      <c r="AL21" s="121"/>
      <c r="AM21" s="121"/>
      <c r="AN21" s="31"/>
      <c r="AO21" s="121"/>
      <c r="AP21" s="121"/>
      <c r="AQ21" s="121"/>
      <c r="AR21" s="121"/>
      <c r="AS21" s="121"/>
      <c r="AT21" s="31"/>
      <c r="AU21" s="121"/>
      <c r="AV21" s="121"/>
      <c r="AW21" s="121"/>
      <c r="AX21" s="121"/>
      <c r="AY21" s="121"/>
      <c r="AZ21" s="121"/>
      <c r="BA21" s="121"/>
      <c r="BB21" s="31"/>
      <c r="BC21" s="121"/>
      <c r="BD21" s="121"/>
      <c r="BE21" s="121"/>
      <c r="BF21" s="121"/>
      <c r="BG21" s="121"/>
      <c r="BH21" s="31"/>
      <c r="BI21" s="121"/>
      <c r="BJ21" s="121"/>
      <c r="BK21" s="121"/>
      <c r="BL21" s="121"/>
      <c r="BM21" s="121"/>
      <c r="BN21" s="31"/>
      <c r="BO21" s="121"/>
      <c r="BP21" s="121"/>
      <c r="BQ21" s="121"/>
      <c r="BR21" s="121"/>
    </row>
    <row r="22" spans="1:83" ht="6.75" customHeight="1" x14ac:dyDescent="0.25">
      <c r="A22" s="34"/>
      <c r="B22" s="35"/>
      <c r="C22" s="31"/>
      <c r="D22" s="32"/>
      <c r="E22" s="33"/>
      <c r="F22" s="34"/>
      <c r="G22" s="34"/>
      <c r="H22" s="35"/>
      <c r="I22" s="31"/>
      <c r="J22" s="32"/>
      <c r="K22" s="33"/>
      <c r="L22" s="34"/>
      <c r="M22" s="34"/>
      <c r="N22" s="35"/>
      <c r="O22" s="31"/>
      <c r="P22" s="32"/>
      <c r="Q22" s="33"/>
      <c r="R22" s="34"/>
      <c r="S22" s="34"/>
      <c r="T22" s="35"/>
      <c r="U22" s="31"/>
      <c r="V22" s="32"/>
      <c r="W22" s="33"/>
      <c r="X22" s="34"/>
      <c r="Y22" s="34"/>
      <c r="Z22" s="35"/>
      <c r="AA22" s="31"/>
      <c r="AB22" s="32"/>
      <c r="AC22" s="33"/>
      <c r="AD22" s="34"/>
      <c r="AE22" s="34"/>
      <c r="AF22" s="35"/>
      <c r="AG22" s="31"/>
      <c r="AH22" s="32"/>
      <c r="AI22" s="33"/>
      <c r="AJ22" s="34"/>
      <c r="AK22" s="34"/>
      <c r="AL22" s="35"/>
      <c r="AM22" s="31"/>
      <c r="AN22" s="32"/>
      <c r="AO22" s="33"/>
      <c r="AP22" s="34"/>
      <c r="AQ22" s="34"/>
      <c r="AR22" s="35"/>
      <c r="AS22" s="31"/>
      <c r="AT22" s="32"/>
      <c r="AU22" s="33"/>
      <c r="AV22" s="34"/>
      <c r="AW22" s="34"/>
      <c r="AX22" s="35"/>
      <c r="AY22" s="34"/>
      <c r="AZ22" s="35"/>
      <c r="BA22" s="31"/>
      <c r="BB22" s="32"/>
      <c r="BC22" s="33"/>
      <c r="BD22" s="34"/>
      <c r="BE22" s="34"/>
      <c r="BF22" s="35"/>
      <c r="BG22" s="31"/>
      <c r="BH22" s="32"/>
      <c r="BI22" s="33"/>
      <c r="BJ22" s="34"/>
      <c r="BK22" s="34"/>
      <c r="BL22" s="35"/>
      <c r="BM22" s="31"/>
      <c r="BN22" s="32"/>
      <c r="BO22" s="33"/>
      <c r="BP22" s="34"/>
      <c r="BQ22" s="34"/>
      <c r="BR22" s="35"/>
    </row>
    <row r="23" spans="1:83" ht="21.95" customHeight="1" x14ac:dyDescent="0.25">
      <c r="A23" s="34"/>
      <c r="B23" s="35"/>
      <c r="C23" s="31"/>
      <c r="D23" s="32"/>
      <c r="E23" s="33"/>
      <c r="F23" s="34"/>
      <c r="G23" s="34"/>
      <c r="H23" s="35"/>
      <c r="I23" s="31"/>
      <c r="J23" s="32"/>
      <c r="K23" s="33"/>
      <c r="L23" s="34"/>
      <c r="M23" s="34"/>
      <c r="N23" s="35"/>
      <c r="O23" s="31"/>
      <c r="P23" s="32"/>
      <c r="Q23" s="33"/>
      <c r="R23" s="34"/>
      <c r="S23" s="34"/>
      <c r="T23" s="35"/>
      <c r="U23" s="31"/>
      <c r="V23" s="32"/>
      <c r="W23" s="33"/>
      <c r="X23" s="34"/>
      <c r="Y23" s="34"/>
      <c r="Z23" s="35"/>
      <c r="AA23" s="31"/>
      <c r="AB23" s="32"/>
      <c r="AC23" s="33"/>
      <c r="AD23" s="34"/>
      <c r="AE23" s="34"/>
      <c r="AF23" s="35"/>
      <c r="AG23" s="31"/>
      <c r="AH23" s="32"/>
      <c r="AI23" s="33"/>
      <c r="AJ23" s="34"/>
      <c r="AK23" s="34"/>
      <c r="AL23" s="35"/>
      <c r="AM23" s="31"/>
      <c r="AN23" s="32"/>
      <c r="AO23" s="33"/>
      <c r="AP23" s="34"/>
      <c r="AQ23" s="34"/>
      <c r="AR23" s="35"/>
      <c r="AS23" s="31"/>
      <c r="AT23" s="32"/>
      <c r="AU23" s="33"/>
      <c r="AV23" s="34"/>
      <c r="AW23" s="34"/>
      <c r="AX23" s="35"/>
      <c r="AY23" s="34"/>
      <c r="AZ23" s="35"/>
      <c r="BA23" s="31"/>
      <c r="BB23" s="32"/>
      <c r="BC23" s="33"/>
      <c r="BD23" s="34"/>
      <c r="BE23" s="34"/>
      <c r="BF23" s="35"/>
      <c r="BG23" s="31"/>
      <c r="BH23" s="32"/>
      <c r="BI23" s="33"/>
      <c r="BJ23" s="34"/>
      <c r="BK23" s="34"/>
      <c r="BL23" s="35"/>
      <c r="BM23" s="31"/>
      <c r="BN23" s="32"/>
      <c r="BO23" s="33"/>
      <c r="BP23" s="34"/>
      <c r="BQ23" s="34"/>
      <c r="BR23" s="35"/>
    </row>
    <row r="24" spans="1:83" ht="6" customHeight="1" thickBot="1" x14ac:dyDescent="0.3">
      <c r="A24" s="121"/>
      <c r="B24" s="121"/>
      <c r="C24" s="121"/>
      <c r="D24" s="31"/>
      <c r="E24" s="121"/>
      <c r="F24" s="121"/>
      <c r="G24" s="121"/>
      <c r="H24" s="121"/>
      <c r="I24" s="121"/>
      <c r="J24" s="31"/>
      <c r="K24" s="121"/>
      <c r="L24" s="121"/>
      <c r="M24" s="121"/>
      <c r="N24" s="121"/>
      <c r="O24" s="121"/>
      <c r="P24" s="31"/>
      <c r="Q24" s="121"/>
      <c r="R24" s="121"/>
      <c r="S24" s="121"/>
      <c r="T24" s="121"/>
      <c r="U24" s="121"/>
      <c r="V24" s="31"/>
      <c r="W24" s="121"/>
      <c r="X24" s="121"/>
      <c r="Y24" s="121"/>
      <c r="Z24" s="121"/>
      <c r="AA24" s="121"/>
      <c r="AB24" s="31"/>
      <c r="AC24" s="121"/>
      <c r="AD24" s="121"/>
      <c r="AE24" s="121"/>
      <c r="AF24" s="121"/>
      <c r="AG24" s="121"/>
      <c r="AH24" s="31"/>
      <c r="AI24" s="121"/>
      <c r="AJ24" s="121"/>
      <c r="AK24" s="121"/>
      <c r="AL24" s="121"/>
      <c r="AM24" s="121"/>
      <c r="AN24" s="31"/>
      <c r="AO24" s="121"/>
      <c r="AP24" s="121"/>
      <c r="AQ24" s="121"/>
      <c r="AR24" s="121"/>
      <c r="AS24" s="121"/>
      <c r="AT24" s="31"/>
      <c r="AU24" s="121"/>
      <c r="AV24" s="121"/>
      <c r="AW24" s="121"/>
      <c r="AX24" s="121"/>
      <c r="AY24" s="121"/>
      <c r="AZ24" s="121"/>
      <c r="BA24" s="121"/>
      <c r="BB24" s="31"/>
      <c r="BC24" s="121"/>
      <c r="BD24" s="121"/>
      <c r="BE24" s="121"/>
      <c r="BF24" s="121"/>
      <c r="BG24" s="121"/>
      <c r="BH24" s="31"/>
      <c r="BI24" s="121"/>
      <c r="BJ24" s="121"/>
      <c r="BK24" s="121"/>
      <c r="BL24" s="121"/>
      <c r="BM24" s="121"/>
      <c r="BN24" s="31"/>
      <c r="BO24" s="121"/>
      <c r="BP24" s="121"/>
      <c r="BQ24" s="121"/>
      <c r="BR24" s="121"/>
    </row>
    <row r="25" spans="1:83" s="22" customFormat="1" ht="80.099999999999994" customHeight="1" thickBot="1" x14ac:dyDescent="1.4">
      <c r="A25" s="34"/>
      <c r="B25" s="3577" t="s">
        <v>319</v>
      </c>
      <c r="C25" s="3578"/>
      <c r="D25" s="3578"/>
      <c r="E25" s="3578"/>
      <c r="F25" s="3578"/>
      <c r="G25" s="3578"/>
      <c r="H25" s="3578"/>
      <c r="I25" s="3578"/>
      <c r="J25" s="3578"/>
      <c r="K25" s="3578"/>
      <c r="L25" s="3578"/>
      <c r="M25" s="3578"/>
      <c r="N25" s="3578"/>
      <c r="O25" s="3578"/>
      <c r="P25" s="3578"/>
      <c r="Q25" s="3578"/>
      <c r="R25" s="3578"/>
      <c r="S25" s="3579"/>
      <c r="T25" s="35"/>
      <c r="U25" s="31"/>
      <c r="V25" s="32"/>
      <c r="W25" s="3580" t="s">
        <v>380</v>
      </c>
      <c r="X25" s="3581"/>
      <c r="Y25" s="3581"/>
      <c r="Z25" s="3581"/>
      <c r="AA25" s="3581"/>
      <c r="AB25" s="3581"/>
      <c r="AC25" s="3581"/>
      <c r="AD25" s="3581"/>
      <c r="AE25" s="3581"/>
      <c r="AF25" s="3581"/>
      <c r="AG25" s="3581"/>
      <c r="AH25" s="3581"/>
      <c r="AI25" s="3581"/>
      <c r="AJ25" s="3581"/>
      <c r="AK25" s="3581"/>
      <c r="AL25" s="3581"/>
      <c r="AM25" s="3581"/>
      <c r="AN25" s="3582"/>
      <c r="AO25" s="33"/>
      <c r="AP25" s="34"/>
      <c r="AQ25" s="34"/>
      <c r="AR25" s="35"/>
      <c r="AS25" s="31"/>
      <c r="AT25" s="32"/>
      <c r="AU25" s="33"/>
      <c r="AV25" s="34"/>
      <c r="AW25" s="34"/>
      <c r="AX25" s="35"/>
      <c r="AY25" s="34"/>
      <c r="AZ25" s="35"/>
      <c r="BA25" s="31"/>
      <c r="BB25" s="32"/>
      <c r="BC25" s="33"/>
      <c r="BD25" s="34"/>
      <c r="BE25" s="34"/>
      <c r="BF25" s="35"/>
      <c r="BG25" s="31"/>
      <c r="BH25" s="32"/>
      <c r="BI25" s="33"/>
      <c r="BJ25" s="34"/>
      <c r="BK25" s="34"/>
      <c r="BL25" s="35"/>
      <c r="BM25" s="31"/>
      <c r="BN25" s="32"/>
      <c r="BO25" s="33"/>
      <c r="BP25" s="34"/>
      <c r="BQ25" s="34"/>
      <c r="BR25" s="35"/>
    </row>
    <row r="26" spans="1:83" ht="27" customHeight="1" x14ac:dyDescent="0.25">
      <c r="A26" s="34"/>
      <c r="B26" s="35"/>
      <c r="C26" s="31"/>
      <c r="D26" s="32"/>
      <c r="E26" s="33"/>
      <c r="F26" s="34"/>
      <c r="G26" s="34"/>
      <c r="H26" s="35"/>
      <c r="I26" s="31"/>
      <c r="J26" s="32"/>
      <c r="K26" s="33"/>
      <c r="L26" s="34"/>
      <c r="M26" s="34"/>
      <c r="N26" s="35"/>
      <c r="O26" s="31"/>
      <c r="P26" s="32"/>
      <c r="Q26" s="33"/>
      <c r="R26" s="34"/>
      <c r="S26" s="34"/>
      <c r="T26" s="35"/>
      <c r="U26" s="31"/>
      <c r="V26" s="32"/>
      <c r="W26" s="33"/>
      <c r="X26" s="34"/>
      <c r="Y26" s="34"/>
      <c r="Z26" s="35"/>
      <c r="AA26" s="31"/>
      <c r="AB26" s="32"/>
      <c r="AC26" s="33"/>
      <c r="AD26" s="34"/>
      <c r="AE26" s="34"/>
      <c r="AF26" s="35"/>
      <c r="AG26" s="31"/>
      <c r="AH26" s="32"/>
      <c r="AI26" s="33"/>
      <c r="AJ26" s="34"/>
      <c r="AK26" s="34"/>
      <c r="AL26" s="35"/>
      <c r="AM26" s="31"/>
      <c r="AN26" s="32"/>
      <c r="AO26" s="33"/>
      <c r="AP26" s="34"/>
      <c r="AQ26" s="34"/>
      <c r="AR26" s="35"/>
      <c r="AS26" s="31"/>
      <c r="AT26" s="32"/>
      <c r="AU26" s="33"/>
      <c r="AV26" s="34"/>
      <c r="AW26" s="34"/>
      <c r="AX26" s="35"/>
      <c r="AY26" s="34"/>
      <c r="AZ26" s="35"/>
      <c r="BA26" s="31"/>
      <c r="BB26" s="32"/>
      <c r="BC26" s="33"/>
      <c r="BD26" s="34"/>
      <c r="BE26" s="34"/>
      <c r="BF26" s="35"/>
      <c r="BG26" s="31"/>
      <c r="BH26" s="32"/>
      <c r="BI26" s="33"/>
      <c r="BJ26" s="34"/>
      <c r="BK26" s="34"/>
      <c r="BL26" s="35"/>
      <c r="BM26" s="31"/>
      <c r="BN26" s="32"/>
      <c r="BO26" s="33"/>
      <c r="BP26" s="34"/>
      <c r="BQ26" s="34"/>
      <c r="BR26" s="35"/>
      <c r="BW26" s="27"/>
      <c r="BX26" s="27"/>
      <c r="BY26" s="27"/>
      <c r="BZ26" s="27"/>
      <c r="CA26" s="27"/>
      <c r="CB26" s="27"/>
      <c r="CC26" s="27"/>
      <c r="CD26" s="27"/>
      <c r="CE26" s="27"/>
    </row>
    <row r="27" spans="1:83" ht="26.1" customHeight="1" x14ac:dyDescent="0.25">
      <c r="A27" s="121"/>
      <c r="B27" s="121"/>
      <c r="C27" s="121"/>
      <c r="D27" s="31"/>
      <c r="E27" s="121"/>
      <c r="F27" s="121"/>
      <c r="G27" s="121"/>
      <c r="H27" s="121"/>
      <c r="I27" s="121"/>
      <c r="J27" s="31"/>
      <c r="K27" s="121"/>
      <c r="L27" s="121"/>
      <c r="M27" s="121"/>
      <c r="N27" s="121"/>
      <c r="O27" s="121"/>
      <c r="P27" s="31"/>
      <c r="Q27" s="121"/>
      <c r="R27" s="121"/>
      <c r="S27" s="121"/>
      <c r="T27" s="121"/>
      <c r="U27" s="121"/>
      <c r="V27" s="31"/>
      <c r="W27" s="121"/>
      <c r="X27" s="121"/>
      <c r="Y27" s="121"/>
      <c r="Z27" s="121"/>
      <c r="AA27" s="121"/>
      <c r="AB27" s="31"/>
      <c r="AC27" s="121"/>
      <c r="AD27" s="121"/>
      <c r="AE27" s="121"/>
      <c r="AF27" s="121"/>
      <c r="AG27" s="121"/>
      <c r="AH27" s="31"/>
      <c r="AI27" s="121"/>
      <c r="AJ27" s="121"/>
      <c r="AK27" s="121"/>
      <c r="AL27" s="121"/>
      <c r="AM27" s="121"/>
      <c r="AN27" s="31"/>
      <c r="AO27" s="121"/>
      <c r="AP27" s="121"/>
      <c r="AQ27" s="121"/>
      <c r="AR27" s="121"/>
      <c r="AS27" s="121"/>
      <c r="AT27" s="31"/>
      <c r="AU27" s="121"/>
      <c r="AV27" s="121"/>
      <c r="AW27" s="121"/>
      <c r="AX27" s="121"/>
      <c r="AY27" s="121"/>
      <c r="AZ27" s="121"/>
      <c r="BA27" s="121"/>
      <c r="BB27" s="31"/>
      <c r="BC27" s="121"/>
      <c r="BD27" s="121"/>
      <c r="BE27" s="121"/>
      <c r="BF27" s="121"/>
      <c r="BG27" s="121"/>
      <c r="BH27" s="31"/>
      <c r="BI27" s="121"/>
      <c r="BJ27" s="121"/>
      <c r="BK27" s="121"/>
      <c r="BL27" s="121"/>
      <c r="BM27" s="121"/>
      <c r="BN27" s="31"/>
      <c r="BO27" s="121"/>
      <c r="BP27" s="121"/>
      <c r="BQ27" s="121"/>
      <c r="BR27" s="121"/>
    </row>
    <row r="28" spans="1:83" ht="6.75" customHeight="1" x14ac:dyDescent="0.25">
      <c r="A28" s="34"/>
      <c r="B28" s="35"/>
      <c r="C28" s="31"/>
      <c r="D28" s="32"/>
      <c r="E28" s="33"/>
      <c r="F28" s="34"/>
      <c r="G28" s="34"/>
      <c r="H28" s="35"/>
      <c r="I28" s="31"/>
      <c r="J28" s="32"/>
      <c r="K28" s="33"/>
      <c r="L28" s="34"/>
      <c r="M28" s="34"/>
      <c r="N28" s="35"/>
      <c r="O28" s="31"/>
      <c r="P28" s="32"/>
      <c r="Q28" s="33"/>
      <c r="R28" s="34"/>
      <c r="S28" s="34"/>
      <c r="T28" s="35"/>
      <c r="U28" s="31"/>
      <c r="V28" s="32"/>
      <c r="W28" s="33"/>
      <c r="X28" s="34"/>
      <c r="Y28" s="34"/>
      <c r="Z28" s="35"/>
      <c r="AA28" s="31"/>
      <c r="AB28" s="32"/>
      <c r="AC28" s="33"/>
      <c r="AD28" s="34"/>
      <c r="AE28" s="34"/>
      <c r="AF28" s="35"/>
      <c r="AG28" s="31"/>
      <c r="AH28" s="32"/>
      <c r="AI28" s="33"/>
      <c r="AJ28" s="34"/>
      <c r="AK28" s="34"/>
      <c r="AL28" s="35"/>
      <c r="AM28" s="31"/>
      <c r="AN28" s="32"/>
      <c r="AO28" s="33"/>
      <c r="AP28" s="34"/>
      <c r="AQ28" s="34"/>
      <c r="AR28" s="35"/>
      <c r="AS28" s="31"/>
      <c r="AT28" s="32"/>
      <c r="AU28" s="33"/>
      <c r="AV28" s="34"/>
      <c r="AW28" s="34"/>
      <c r="AX28" s="35"/>
      <c r="AY28" s="34"/>
      <c r="AZ28" s="35"/>
      <c r="BA28" s="31"/>
      <c r="BB28" s="32"/>
      <c r="BC28" s="33"/>
      <c r="BD28" s="34"/>
      <c r="BE28" s="34"/>
      <c r="BF28" s="35"/>
      <c r="BG28" s="31"/>
      <c r="BH28" s="32"/>
      <c r="BI28" s="33"/>
      <c r="BJ28" s="34"/>
      <c r="BK28" s="34"/>
      <c r="BL28" s="35"/>
      <c r="BM28" s="31"/>
      <c r="BN28" s="32"/>
      <c r="BO28" s="33"/>
      <c r="BP28" s="34"/>
      <c r="BQ28" s="34"/>
      <c r="BR28" s="35"/>
    </row>
    <row r="29" spans="1:83" ht="21.95" customHeight="1" x14ac:dyDescent="0.25">
      <c r="A29" s="34"/>
      <c r="B29" s="35"/>
      <c r="C29" s="31"/>
      <c r="D29" s="32"/>
      <c r="E29" s="33"/>
      <c r="F29" s="34"/>
      <c r="G29" s="34"/>
      <c r="H29" s="35"/>
      <c r="I29" s="31"/>
      <c r="J29" s="32"/>
      <c r="K29" s="33"/>
      <c r="L29" s="34"/>
      <c r="M29" s="34"/>
      <c r="N29" s="35"/>
      <c r="O29" s="31"/>
      <c r="P29" s="32"/>
      <c r="Q29" s="33"/>
      <c r="R29" s="34"/>
      <c r="S29" s="34"/>
      <c r="T29" s="35"/>
      <c r="U29" s="31"/>
      <c r="V29" s="32"/>
      <c r="W29" s="33"/>
      <c r="X29" s="34"/>
      <c r="Y29" s="34"/>
      <c r="Z29" s="35"/>
      <c r="AA29" s="31"/>
      <c r="AB29" s="32"/>
      <c r="AC29" s="33"/>
      <c r="AD29" s="34"/>
      <c r="AE29" s="34"/>
      <c r="AF29" s="35"/>
      <c r="AG29" s="31"/>
      <c r="AH29" s="32"/>
      <c r="AI29" s="33"/>
      <c r="AJ29" s="34"/>
      <c r="AK29" s="34"/>
      <c r="AL29" s="35"/>
      <c r="AM29" s="31"/>
      <c r="AN29" s="32"/>
      <c r="AO29" s="33"/>
      <c r="AP29" s="34"/>
      <c r="AQ29" s="34"/>
      <c r="AR29" s="35"/>
      <c r="AS29" s="31"/>
      <c r="AT29" s="32"/>
      <c r="AU29" s="33"/>
      <c r="AV29" s="34"/>
      <c r="AW29" s="34"/>
      <c r="AX29" s="35"/>
      <c r="AY29" s="34"/>
      <c r="AZ29" s="35"/>
      <c r="BA29" s="31"/>
      <c r="BB29" s="32"/>
      <c r="BC29" s="33"/>
      <c r="BD29" s="34"/>
      <c r="BE29" s="34"/>
      <c r="BF29" s="35"/>
      <c r="BG29" s="31"/>
      <c r="BH29" s="32"/>
      <c r="BI29" s="33"/>
      <c r="BJ29" s="34"/>
      <c r="BK29" s="34"/>
      <c r="BL29" s="35"/>
      <c r="BM29" s="31"/>
      <c r="BN29" s="32"/>
      <c r="BO29" s="33"/>
      <c r="BP29" s="34"/>
      <c r="BQ29" s="34"/>
      <c r="BR29" s="35"/>
    </row>
    <row r="30" spans="1:83" ht="6" customHeight="1" x14ac:dyDescent="0.25">
      <c r="A30" s="121"/>
      <c r="B30" s="121"/>
      <c r="C30" s="121"/>
      <c r="D30" s="31"/>
      <c r="E30" s="121"/>
      <c r="F30" s="121"/>
      <c r="G30" s="121"/>
      <c r="H30" s="121"/>
      <c r="I30" s="121"/>
      <c r="J30" s="31"/>
      <c r="K30" s="121"/>
      <c r="L30" s="121"/>
      <c r="M30" s="121"/>
      <c r="N30" s="121"/>
      <c r="O30" s="121"/>
      <c r="P30" s="31"/>
      <c r="Q30" s="121"/>
      <c r="R30" s="121"/>
      <c r="S30" s="121"/>
      <c r="T30" s="121"/>
      <c r="U30" s="121"/>
      <c r="V30" s="31"/>
      <c r="W30" s="121"/>
      <c r="X30" s="121"/>
      <c r="Y30" s="121"/>
      <c r="Z30" s="121"/>
      <c r="AA30" s="121"/>
      <c r="AB30" s="31"/>
      <c r="AC30" s="121"/>
      <c r="AD30" s="121"/>
      <c r="AE30" s="121"/>
      <c r="AF30" s="121"/>
      <c r="AG30" s="121"/>
      <c r="AH30" s="31"/>
      <c r="AI30" s="121"/>
      <c r="AJ30" s="121"/>
      <c r="AK30" s="121"/>
      <c r="AL30" s="121"/>
      <c r="AM30" s="121"/>
      <c r="AN30" s="31"/>
      <c r="AO30" s="121"/>
      <c r="AP30" s="121"/>
      <c r="AQ30" s="121"/>
      <c r="AR30" s="121"/>
      <c r="AS30" s="121"/>
      <c r="AT30" s="31"/>
      <c r="AU30" s="121"/>
      <c r="AV30" s="121"/>
      <c r="AW30" s="121"/>
      <c r="AX30" s="121"/>
      <c r="AY30" s="121"/>
      <c r="AZ30" s="121"/>
      <c r="BA30" s="121"/>
      <c r="BB30" s="31"/>
      <c r="BC30" s="121"/>
      <c r="BD30" s="121"/>
      <c r="BE30" s="121"/>
      <c r="BF30" s="121"/>
      <c r="BG30" s="121"/>
      <c r="BH30" s="31"/>
      <c r="BI30" s="121"/>
      <c r="BJ30" s="121"/>
      <c r="BK30" s="121"/>
      <c r="BL30" s="121"/>
      <c r="BM30" s="121"/>
      <c r="BN30" s="31"/>
      <c r="BO30" s="121"/>
      <c r="BP30" s="121"/>
      <c r="BQ30" s="121"/>
      <c r="BR30" s="121"/>
    </row>
    <row r="31" spans="1:83" s="22" customFormat="1" ht="80.099999999999994" customHeight="1" x14ac:dyDescent="1.35">
      <c r="A31" s="34"/>
      <c r="B31" s="35"/>
      <c r="C31" s="31"/>
      <c r="D31" s="32"/>
      <c r="E31" s="33"/>
      <c r="F31" s="34"/>
      <c r="G31" s="34"/>
      <c r="H31" s="35"/>
      <c r="I31" s="31"/>
      <c r="J31" s="1797">
        <v>38</v>
      </c>
      <c r="K31" s="1797"/>
      <c r="L31" s="1797"/>
      <c r="M31" s="1797"/>
      <c r="N31" s="35"/>
      <c r="O31" s="31"/>
      <c r="P31" s="32"/>
      <c r="Q31" s="33"/>
      <c r="R31" s="34"/>
      <c r="S31" s="34"/>
      <c r="T31" s="35"/>
      <c r="U31" s="31"/>
      <c r="V31" s="32"/>
      <c r="W31" s="33"/>
      <c r="X31" s="34"/>
      <c r="Y31" s="34"/>
      <c r="Z31" s="35"/>
      <c r="AA31" s="31"/>
      <c r="AB31" s="32"/>
      <c r="AC31" s="33"/>
      <c r="AD31" s="34"/>
      <c r="AE31" s="34"/>
      <c r="AF31" s="35"/>
      <c r="AG31" s="31"/>
      <c r="AH31" s="32"/>
      <c r="AI31" s="33"/>
      <c r="AJ31" s="34"/>
      <c r="AK31" s="34"/>
      <c r="AL31" s="35"/>
      <c r="AM31" s="31"/>
      <c r="AN31" s="32"/>
      <c r="AO31" s="33"/>
      <c r="AP31" s="34"/>
      <c r="AQ31" s="34"/>
      <c r="AR31" s="35"/>
      <c r="AS31" s="31"/>
      <c r="AT31" s="32"/>
      <c r="AU31" s="33"/>
      <c r="AV31" s="34"/>
      <c r="AW31" s="34"/>
      <c r="AX31" s="35"/>
      <c r="AY31" s="34"/>
      <c r="AZ31" s="35"/>
      <c r="BA31" s="31"/>
      <c r="BB31" s="32"/>
      <c r="BC31" s="33"/>
      <c r="BD31" s="34"/>
      <c r="BE31" s="34"/>
      <c r="BF31" s="35"/>
      <c r="BG31" s="31"/>
      <c r="BH31" s="32"/>
      <c r="BI31" s="33"/>
      <c r="BJ31" s="34"/>
      <c r="BK31" s="34"/>
      <c r="BL31" s="35"/>
      <c r="BM31" s="31"/>
      <c r="BN31" s="32"/>
      <c r="BO31" s="33"/>
      <c r="BP31" s="34"/>
      <c r="BQ31" s="34"/>
      <c r="BR31" s="35"/>
    </row>
    <row r="32" spans="1:83" ht="26.25" x14ac:dyDescent="0.25">
      <c r="A32" s="34"/>
      <c r="B32" s="35"/>
      <c r="C32" s="31"/>
      <c r="D32" s="32"/>
      <c r="E32" s="33"/>
      <c r="F32" s="34"/>
      <c r="G32" s="34"/>
      <c r="H32" s="35"/>
      <c r="I32" s="31"/>
      <c r="J32" s="1801">
        <v>38</v>
      </c>
      <c r="K32" s="1801"/>
      <c r="L32" s="1801"/>
      <c r="M32" s="1801"/>
      <c r="N32" s="35"/>
      <c r="O32" s="31"/>
      <c r="P32" s="32"/>
      <c r="Q32" s="33"/>
      <c r="R32" s="34"/>
      <c r="S32" s="34"/>
      <c r="T32" s="35"/>
      <c r="U32" s="33"/>
      <c r="V32" s="34"/>
      <c r="W32" s="34"/>
      <c r="X32" s="33"/>
      <c r="Y32" s="34"/>
      <c r="Z32" s="34"/>
      <c r="AA32" s="33"/>
      <c r="AB32" s="34"/>
      <c r="AC32" s="34"/>
      <c r="AD32" s="33"/>
      <c r="AE32" s="34"/>
      <c r="AF32" s="34"/>
      <c r="AG32" s="33"/>
      <c r="AH32" s="34"/>
      <c r="AI32" s="34"/>
      <c r="AJ32" s="33"/>
      <c r="AK32" s="34"/>
      <c r="AL32" s="34"/>
      <c r="AM32" s="33"/>
      <c r="AN32" s="34"/>
      <c r="AO32" s="34"/>
      <c r="AP32" s="33"/>
      <c r="AQ32" s="34"/>
      <c r="AR32" s="34"/>
      <c r="AS32" s="33"/>
      <c r="AT32" s="34"/>
      <c r="AU32" s="34"/>
      <c r="AV32" s="33"/>
      <c r="AW32" s="34"/>
      <c r="AX32" s="34"/>
      <c r="AY32" s="33"/>
      <c r="AZ32" s="34"/>
      <c r="BA32" s="34"/>
      <c r="BB32" s="33"/>
      <c r="BC32" s="34"/>
      <c r="BD32" s="34"/>
      <c r="BE32" s="33"/>
      <c r="BF32" s="34"/>
      <c r="BG32" s="34"/>
      <c r="BH32" s="33"/>
      <c r="BI32" s="34"/>
      <c r="BJ32" s="34"/>
      <c r="BK32" s="33"/>
      <c r="BL32" s="34"/>
      <c r="BM32" s="34"/>
      <c r="BN32" s="33"/>
      <c r="BO32" s="34"/>
      <c r="BP32" s="34"/>
      <c r="BQ32" s="33"/>
      <c r="BR32" s="34"/>
      <c r="BW32" s="27"/>
      <c r="BX32" s="27"/>
      <c r="BY32" s="27"/>
      <c r="BZ32" s="27"/>
      <c r="CA32" s="27"/>
      <c r="CB32" s="27"/>
      <c r="CC32" s="27"/>
      <c r="CD32" s="27"/>
      <c r="CE32" s="27"/>
    </row>
    <row r="33" spans="1:83" ht="26.1" customHeight="1" x14ac:dyDescent="0.25">
      <c r="A33" s="30"/>
      <c r="B33" s="29"/>
      <c r="C33" s="28"/>
      <c r="D33" s="28"/>
      <c r="E33" s="28"/>
      <c r="F33" s="30"/>
      <c r="G33" s="29"/>
      <c r="H33" s="28"/>
      <c r="I33" s="28"/>
      <c r="J33" s="1801"/>
      <c r="K33" s="1801"/>
      <c r="L33" s="1801"/>
      <c r="M33" s="1801"/>
      <c r="N33" s="28"/>
      <c r="O33" s="28"/>
      <c r="P33" s="30"/>
      <c r="Q33" s="29"/>
      <c r="R33" s="28"/>
      <c r="S33" s="28"/>
      <c r="T33" s="28"/>
      <c r="U33" s="29"/>
      <c r="V33" s="28"/>
      <c r="W33" s="28"/>
      <c r="X33" s="29"/>
      <c r="Y33" s="28"/>
      <c r="Z33" s="28"/>
      <c r="AA33" s="29"/>
      <c r="AB33" s="28"/>
      <c r="AC33" s="28"/>
      <c r="AD33" s="29"/>
      <c r="AE33" s="28"/>
      <c r="AF33" s="28"/>
      <c r="AG33" s="29"/>
      <c r="AH33" s="28"/>
      <c r="AI33" s="28"/>
      <c r="AJ33" s="29"/>
      <c r="AK33" s="28"/>
      <c r="AL33" s="28"/>
      <c r="AM33" s="29"/>
      <c r="AN33" s="28"/>
      <c r="AO33" s="28"/>
      <c r="AP33" s="29"/>
      <c r="AQ33" s="28"/>
      <c r="AR33" s="28"/>
      <c r="AS33" s="29"/>
      <c r="AT33" s="28"/>
      <c r="AU33" s="28"/>
      <c r="AV33" s="29"/>
      <c r="AW33" s="28"/>
      <c r="AX33" s="28"/>
      <c r="AY33" s="29"/>
      <c r="AZ33" s="28"/>
      <c r="BA33" s="28"/>
      <c r="BB33" s="29"/>
      <c r="BC33" s="28"/>
      <c r="BD33" s="28"/>
      <c r="BE33" s="29"/>
      <c r="BF33" s="28"/>
      <c r="BG33" s="28"/>
      <c r="BH33" s="29"/>
      <c r="BI33" s="28"/>
      <c r="BJ33" s="28"/>
      <c r="BK33" s="29"/>
      <c r="BL33" s="28"/>
      <c r="BM33" s="28"/>
      <c r="BN33" s="29"/>
      <c r="BO33" s="28"/>
      <c r="BP33" s="28"/>
      <c r="BQ33" s="29"/>
      <c r="BR33" s="28"/>
    </row>
    <row r="34" spans="1:83" ht="6.75" customHeight="1" x14ac:dyDescent="0.25">
      <c r="A34" s="29"/>
      <c r="B34" s="29"/>
      <c r="C34" s="28"/>
      <c r="D34" s="28"/>
      <c r="E34" s="28"/>
      <c r="F34" s="29"/>
      <c r="G34" s="29"/>
      <c r="H34" s="28"/>
      <c r="I34" s="28"/>
      <c r="J34" s="1801"/>
      <c r="K34" s="1801"/>
      <c r="L34" s="1801"/>
      <c r="M34" s="1801"/>
      <c r="N34" s="28"/>
      <c r="O34" s="28"/>
      <c r="P34" s="29"/>
      <c r="Q34" s="29"/>
      <c r="R34" s="28"/>
      <c r="S34" s="28"/>
      <c r="T34" s="28"/>
      <c r="U34" s="28"/>
      <c r="V34" s="29"/>
      <c r="W34" s="29"/>
      <c r="X34" s="28"/>
      <c r="Y34" s="28"/>
      <c r="Z34" s="28"/>
      <c r="AA34" s="29"/>
      <c r="AB34" s="29"/>
      <c r="AC34" s="28"/>
      <c r="AD34" s="28"/>
      <c r="AE34" s="28"/>
      <c r="AF34" s="29"/>
      <c r="AG34" s="29"/>
      <c r="AH34" s="28"/>
      <c r="AI34" s="28"/>
      <c r="AJ34" s="28"/>
      <c r="AK34" s="29"/>
      <c r="AL34" s="29"/>
      <c r="AM34" s="28"/>
      <c r="AN34" s="28"/>
      <c r="AO34" s="28"/>
      <c r="AP34" s="29"/>
      <c r="AQ34" s="29"/>
      <c r="AR34" s="28"/>
      <c r="AS34" s="28"/>
      <c r="AT34" s="28"/>
      <c r="AU34" s="29"/>
      <c r="AV34" s="29"/>
      <c r="AW34" s="28"/>
      <c r="AX34" s="28"/>
      <c r="AY34" s="28"/>
      <c r="AZ34" s="29"/>
      <c r="BA34" s="29"/>
      <c r="BB34" s="28"/>
      <c r="BC34" s="28"/>
      <c r="BD34" s="28"/>
      <c r="BE34" s="28"/>
      <c r="BF34" s="29"/>
      <c r="BG34" s="29"/>
      <c r="BH34" s="28"/>
      <c r="BI34" s="28"/>
      <c r="BJ34" s="28"/>
      <c r="BK34" s="29"/>
      <c r="BL34" s="29"/>
      <c r="BM34" s="28"/>
      <c r="BN34" s="28"/>
      <c r="BO34" s="28"/>
      <c r="BP34" s="29"/>
      <c r="BQ34" s="29"/>
      <c r="BR34" s="28"/>
    </row>
    <row r="35" spans="1:83" ht="21.95" customHeight="1" x14ac:dyDescent="0.25">
      <c r="A35" s="121"/>
      <c r="B35" s="121"/>
      <c r="C35" s="31"/>
      <c r="D35" s="121"/>
      <c r="E35" s="121"/>
      <c r="F35" s="121"/>
      <c r="G35" s="121"/>
      <c r="H35" s="31"/>
      <c r="I35" s="121"/>
      <c r="J35" s="1801"/>
      <c r="K35" s="1801"/>
      <c r="L35" s="1801"/>
      <c r="M35" s="1801"/>
      <c r="N35" s="121"/>
      <c r="O35" s="121"/>
      <c r="P35" s="121"/>
      <c r="Q35" s="121"/>
      <c r="R35" s="31"/>
      <c r="S35" s="121"/>
      <c r="T35" s="121"/>
      <c r="U35" s="28"/>
      <c r="V35" s="30"/>
      <c r="W35" s="29"/>
      <c r="X35" s="28"/>
      <c r="Y35" s="28"/>
      <c r="Z35" s="28"/>
      <c r="AA35" s="30"/>
      <c r="AB35" s="29"/>
      <c r="AC35" s="28"/>
      <c r="AD35" s="28"/>
      <c r="AE35" s="28"/>
      <c r="AF35" s="30"/>
      <c r="AG35" s="29"/>
      <c r="AH35" s="28"/>
      <c r="AI35" s="28"/>
      <c r="AJ35" s="28"/>
      <c r="AK35" s="30"/>
      <c r="AL35" s="29"/>
      <c r="AM35" s="28"/>
      <c r="AN35" s="28"/>
      <c r="AO35" s="28"/>
      <c r="AP35" s="30"/>
      <c r="AQ35" s="29"/>
      <c r="AR35" s="28"/>
      <c r="AS35" s="28"/>
      <c r="AT35" s="28"/>
      <c r="AU35" s="30"/>
      <c r="AV35" s="29"/>
      <c r="AW35" s="28"/>
      <c r="AX35" s="28"/>
      <c r="AY35" s="28"/>
      <c r="AZ35" s="30"/>
      <c r="BA35" s="29"/>
      <c r="BB35" s="28"/>
      <c r="BC35" s="28"/>
      <c r="BD35" s="28"/>
      <c r="BE35" s="28"/>
      <c r="BF35" s="30"/>
      <c r="BG35" s="29"/>
      <c r="BH35" s="28"/>
      <c r="BI35" s="28"/>
      <c r="BJ35" s="28"/>
      <c r="BK35" s="30"/>
      <c r="BL35" s="29"/>
      <c r="BM35" s="28"/>
      <c r="BN35" s="28"/>
      <c r="BO35" s="28"/>
      <c r="BP35" s="30"/>
      <c r="BQ35" s="29"/>
      <c r="BR35" s="28"/>
    </row>
    <row r="36" spans="1:83" ht="6" customHeight="1" x14ac:dyDescent="0.25">
      <c r="A36" s="35"/>
      <c r="B36" s="31"/>
      <c r="C36" s="32"/>
      <c r="D36" s="33"/>
      <c r="E36" s="34"/>
      <c r="F36" s="35"/>
      <c r="G36" s="31"/>
      <c r="H36" s="32"/>
      <c r="I36" s="33"/>
      <c r="J36" s="34"/>
      <c r="K36" s="35"/>
      <c r="L36" s="31"/>
      <c r="M36" s="32"/>
      <c r="N36" s="33"/>
      <c r="O36" s="34"/>
      <c r="P36" s="35"/>
      <c r="Q36" s="31"/>
      <c r="R36" s="32"/>
      <c r="S36" s="33"/>
      <c r="T36" s="34"/>
      <c r="U36" s="28"/>
      <c r="V36" s="697" t="s">
        <v>116</v>
      </c>
      <c r="W36" s="697"/>
      <c r="X36" s="697"/>
      <c r="Y36" s="697"/>
      <c r="Z36" s="697"/>
      <c r="AA36" s="697"/>
      <c r="AB36" s="697"/>
      <c r="AC36" s="697"/>
      <c r="AD36" s="697"/>
      <c r="AE36" s="697"/>
      <c r="AF36" s="697"/>
      <c r="AG36" s="697"/>
      <c r="AH36" s="697" t="s">
        <v>117</v>
      </c>
      <c r="AI36" s="697"/>
      <c r="AJ36" s="697"/>
      <c r="AK36" s="697"/>
      <c r="AL36" s="697"/>
      <c r="AM36" s="697"/>
      <c r="AN36" s="697"/>
      <c r="AO36" s="697"/>
      <c r="AP36" s="697"/>
      <c r="AQ36" s="697"/>
      <c r="AR36" s="697"/>
      <c r="AS36" s="698" t="s">
        <v>118</v>
      </c>
      <c r="AT36" s="698"/>
      <c r="AU36" s="698"/>
      <c r="AV36" s="698"/>
      <c r="AW36" s="698"/>
      <c r="AX36" s="698"/>
      <c r="AY36" s="698"/>
      <c r="AZ36" s="698"/>
      <c r="BA36" s="698"/>
      <c r="BB36" s="698"/>
      <c r="BC36" s="698"/>
      <c r="BD36" s="698"/>
      <c r="BE36" s="699" t="s">
        <v>119</v>
      </c>
      <c r="BF36" s="699"/>
      <c r="BG36" s="699"/>
      <c r="BH36" s="699"/>
      <c r="BI36" s="699"/>
      <c r="BJ36" s="1924">
        <f>D8+I8+N8+S8+X8+AC8+AH8+AM8+AR8+AW8+BB8+BG8+BL8+D14+I14+N14+S14+X14+AC14+AH14+AM14+AR14+AW14+BB14+BG14+BL14+D20+I20+N20+S20+X20+AC20+AH20+AM20+AR20+AW20+BQ8+BQ14</f>
        <v>12</v>
      </c>
      <c r="BK36" s="1925"/>
      <c r="BL36" s="1925"/>
      <c r="BM36" s="1925"/>
      <c r="BN36" s="701" t="s">
        <v>120</v>
      </c>
      <c r="BO36" s="701"/>
      <c r="BP36" s="701"/>
      <c r="BQ36" s="29"/>
      <c r="BR36" s="28"/>
    </row>
    <row r="37" spans="1:83" s="22" customFormat="1" ht="80.099999999999994" customHeight="1" x14ac:dyDescent="1.35">
      <c r="A37" s="35"/>
      <c r="B37" s="31"/>
      <c r="C37" s="32"/>
      <c r="D37" s="33"/>
      <c r="E37" s="34"/>
      <c r="F37" s="35"/>
      <c r="G37" s="31"/>
      <c r="H37" s="32"/>
      <c r="I37" s="33"/>
      <c r="J37" s="34"/>
      <c r="K37" s="35"/>
      <c r="L37" s="31"/>
      <c r="M37" s="32"/>
      <c r="N37" s="33"/>
      <c r="O37" s="34"/>
      <c r="P37" s="35"/>
      <c r="Q37" s="31"/>
      <c r="R37" s="32"/>
      <c r="S37" s="33"/>
      <c r="T37" s="34"/>
      <c r="U37" s="121"/>
      <c r="V37" s="697"/>
      <c r="W37" s="697"/>
      <c r="X37" s="697"/>
      <c r="Y37" s="697"/>
      <c r="Z37" s="697"/>
      <c r="AA37" s="697"/>
      <c r="AB37" s="697"/>
      <c r="AC37" s="697"/>
      <c r="AD37" s="697"/>
      <c r="AE37" s="697"/>
      <c r="AF37" s="697"/>
      <c r="AG37" s="697"/>
      <c r="AH37" s="697"/>
      <c r="AI37" s="697"/>
      <c r="AJ37" s="697"/>
      <c r="AK37" s="697"/>
      <c r="AL37" s="697"/>
      <c r="AM37" s="697"/>
      <c r="AN37" s="697"/>
      <c r="AO37" s="697"/>
      <c r="AP37" s="697"/>
      <c r="AQ37" s="697"/>
      <c r="AR37" s="697"/>
      <c r="AS37" s="698"/>
      <c r="AT37" s="698"/>
      <c r="AU37" s="698"/>
      <c r="AV37" s="698"/>
      <c r="AW37" s="698"/>
      <c r="AX37" s="698"/>
      <c r="AY37" s="698"/>
      <c r="AZ37" s="698"/>
      <c r="BA37" s="698"/>
      <c r="BB37" s="698"/>
      <c r="BC37" s="698"/>
      <c r="BD37" s="698"/>
      <c r="BE37" s="699"/>
      <c r="BF37" s="699"/>
      <c r="BG37" s="699"/>
      <c r="BH37" s="699"/>
      <c r="BI37" s="699"/>
      <c r="BJ37" s="1925"/>
      <c r="BK37" s="1925"/>
      <c r="BL37" s="1925"/>
      <c r="BM37" s="1925"/>
      <c r="BN37" s="701"/>
      <c r="BO37" s="701"/>
      <c r="BP37" s="701"/>
      <c r="BQ37" s="121"/>
      <c r="BR37" s="31"/>
    </row>
    <row r="38" spans="1:83" ht="26.25" customHeight="1" x14ac:dyDescent="0.25">
      <c r="A38" s="34"/>
      <c r="B38" s="35"/>
      <c r="C38" s="31"/>
      <c r="D38" s="32"/>
      <c r="E38" s="33"/>
      <c r="F38" s="34"/>
      <c r="G38" s="34"/>
      <c r="H38" s="35"/>
      <c r="I38" s="31"/>
      <c r="J38" s="32"/>
      <c r="K38" s="33"/>
      <c r="L38" s="34"/>
      <c r="M38" s="34"/>
      <c r="N38" s="35"/>
      <c r="O38" s="31"/>
      <c r="P38" s="32"/>
      <c r="Q38" s="33"/>
      <c r="R38" s="34"/>
      <c r="S38" s="34"/>
      <c r="T38" s="35"/>
      <c r="U38" s="31"/>
      <c r="V38" s="697"/>
      <c r="W38" s="697"/>
      <c r="X38" s="697"/>
      <c r="Y38" s="697"/>
      <c r="Z38" s="697"/>
      <c r="AA38" s="697"/>
      <c r="AB38" s="697"/>
      <c r="AC38" s="697"/>
      <c r="AD38" s="697"/>
      <c r="AE38" s="697"/>
      <c r="AF38" s="697"/>
      <c r="AG38" s="697"/>
      <c r="AH38" s="697"/>
      <c r="AI38" s="697"/>
      <c r="AJ38" s="697"/>
      <c r="AK38" s="697"/>
      <c r="AL38" s="697"/>
      <c r="AM38" s="697"/>
      <c r="AN38" s="697"/>
      <c r="AO38" s="697"/>
      <c r="AP38" s="697"/>
      <c r="AQ38" s="697"/>
      <c r="AR38" s="697"/>
      <c r="AS38" s="698"/>
      <c r="AT38" s="698"/>
      <c r="AU38" s="698"/>
      <c r="AV38" s="698"/>
      <c r="AW38" s="698"/>
      <c r="AX38" s="698"/>
      <c r="AY38" s="698"/>
      <c r="AZ38" s="698"/>
      <c r="BA38" s="698"/>
      <c r="BB38" s="698"/>
      <c r="BC38" s="698"/>
      <c r="BD38" s="698"/>
      <c r="BE38" s="699"/>
      <c r="BF38" s="699"/>
      <c r="BG38" s="699"/>
      <c r="BH38" s="699"/>
      <c r="BI38" s="699"/>
      <c r="BJ38" s="1925"/>
      <c r="BK38" s="1925"/>
      <c r="BL38" s="1925"/>
      <c r="BM38" s="1925"/>
      <c r="BN38" s="701"/>
      <c r="BO38" s="701"/>
      <c r="BP38" s="701"/>
      <c r="BQ38" s="32"/>
      <c r="BR38" s="33"/>
      <c r="BW38" s="27"/>
      <c r="BX38" s="27"/>
      <c r="BY38" s="27"/>
      <c r="BZ38" s="27"/>
      <c r="CA38" s="27"/>
      <c r="CB38" s="27"/>
      <c r="CC38" s="27"/>
      <c r="CD38" s="27"/>
      <c r="CE38" s="27"/>
    </row>
    <row r="39" spans="1:83" ht="26.1" customHeight="1" x14ac:dyDescent="0.25">
      <c r="A39" s="34"/>
      <c r="B39" s="35"/>
      <c r="C39" s="31"/>
      <c r="D39" s="32"/>
      <c r="E39" s="33"/>
      <c r="F39" s="34"/>
      <c r="G39" s="34"/>
      <c r="H39" s="35"/>
      <c r="I39" s="31"/>
      <c r="J39" s="32"/>
      <c r="K39" s="33"/>
      <c r="L39" s="34"/>
      <c r="M39" s="34"/>
      <c r="N39" s="35"/>
      <c r="O39" s="31"/>
      <c r="P39" s="32"/>
      <c r="Q39" s="33"/>
      <c r="R39" s="34"/>
      <c r="S39" s="34"/>
      <c r="T39" s="35"/>
      <c r="U39" s="31"/>
      <c r="V39" s="697"/>
      <c r="W39" s="697"/>
      <c r="X39" s="697"/>
      <c r="Y39" s="697"/>
      <c r="Z39" s="697"/>
      <c r="AA39" s="697"/>
      <c r="AB39" s="697"/>
      <c r="AC39" s="697"/>
      <c r="AD39" s="697"/>
      <c r="AE39" s="697"/>
      <c r="AF39" s="697"/>
      <c r="AG39" s="697"/>
      <c r="AH39" s="697"/>
      <c r="AI39" s="697"/>
      <c r="AJ39" s="697"/>
      <c r="AK39" s="697"/>
      <c r="AL39" s="697"/>
      <c r="AM39" s="697"/>
      <c r="AN39" s="697"/>
      <c r="AO39" s="697"/>
      <c r="AP39" s="697"/>
      <c r="AQ39" s="697"/>
      <c r="AR39" s="697"/>
      <c r="AS39" s="698"/>
      <c r="AT39" s="698"/>
      <c r="AU39" s="698"/>
      <c r="AV39" s="698"/>
      <c r="AW39" s="698"/>
      <c r="AX39" s="698"/>
      <c r="AY39" s="698"/>
      <c r="AZ39" s="698"/>
      <c r="BA39" s="698"/>
      <c r="BB39" s="698"/>
      <c r="BC39" s="698"/>
      <c r="BD39" s="698"/>
      <c r="BE39" s="699"/>
      <c r="BF39" s="699"/>
      <c r="BG39" s="699"/>
      <c r="BH39" s="699"/>
      <c r="BI39" s="699"/>
      <c r="BJ39" s="1925"/>
      <c r="BK39" s="1925"/>
      <c r="BL39" s="1925"/>
      <c r="BM39" s="1925"/>
      <c r="BN39" s="701"/>
      <c r="BO39" s="701"/>
      <c r="BP39" s="701"/>
      <c r="BQ39" s="32"/>
      <c r="BR39" s="33"/>
    </row>
    <row r="40" spans="1:83" ht="6.75" customHeight="1" x14ac:dyDescent="0.25">
      <c r="A40" s="28"/>
      <c r="B40" s="28"/>
      <c r="C40" s="28"/>
      <c r="D40" s="29"/>
      <c r="E40" s="29"/>
      <c r="F40" s="28"/>
      <c r="G40" s="28"/>
      <c r="H40" s="28"/>
      <c r="I40" s="29"/>
      <c r="J40" s="29"/>
      <c r="K40" s="28"/>
      <c r="L40" s="28"/>
      <c r="M40" s="28"/>
      <c r="N40" s="29"/>
      <c r="O40" s="29"/>
      <c r="P40" s="28"/>
      <c r="Q40" s="28"/>
      <c r="R40" s="28"/>
      <c r="S40" s="29"/>
      <c r="T40" s="29"/>
      <c r="U40" s="28"/>
      <c r="V40" s="705"/>
      <c r="W40" s="705"/>
      <c r="X40" s="705"/>
      <c r="Y40" s="705"/>
      <c r="Z40" s="705"/>
      <c r="AA40" s="705"/>
      <c r="AB40" s="705"/>
      <c r="AC40" s="705"/>
      <c r="AD40" s="705"/>
      <c r="AE40" s="705"/>
      <c r="AF40" s="705"/>
      <c r="AG40" s="705"/>
      <c r="AH40" s="706"/>
      <c r="AI40" s="706"/>
      <c r="AJ40" s="706"/>
      <c r="AK40" s="706"/>
      <c r="AL40" s="706"/>
      <c r="AM40" s="706"/>
      <c r="AN40" s="706"/>
      <c r="AO40" s="706"/>
      <c r="AP40" s="706"/>
      <c r="AQ40" s="706"/>
      <c r="AR40" s="706"/>
      <c r="AS40" s="707">
        <f>B8+G8+L8+Q8+V8+AA8+AF8+AK8+AP8+AU8+AZ8+BE8+BJ8+BO8+B14+G14+L14+Q14+V14+AA14+AF14+AK14+AP14+AU14+AZ14+BE14+BJ14+BO14+B20+G20+L20+Q20+V20+AA20+AF20+AK20+AP20+AU20</f>
        <v>85.994601000999978</v>
      </c>
      <c r="AT40" s="707"/>
      <c r="AU40" s="707"/>
      <c r="AV40" s="707"/>
      <c r="AW40" s="707"/>
      <c r="AX40" s="707"/>
      <c r="AY40" s="707"/>
      <c r="AZ40" s="707"/>
      <c r="BA40" s="707"/>
      <c r="BB40" s="707"/>
      <c r="BC40" s="707"/>
      <c r="BD40" s="707"/>
      <c r="BE40" s="699"/>
      <c r="BF40" s="699"/>
      <c r="BG40" s="699"/>
      <c r="BH40" s="699"/>
      <c r="BI40" s="699"/>
      <c r="BJ40" s="1925"/>
      <c r="BK40" s="1925"/>
      <c r="BL40" s="1925"/>
      <c r="BM40" s="1925"/>
      <c r="BN40" s="701"/>
      <c r="BO40" s="701"/>
      <c r="BP40" s="701"/>
      <c r="BQ40" s="29"/>
      <c r="BR40" s="29"/>
    </row>
    <row r="41" spans="1:83" ht="21.95" customHeight="1" x14ac:dyDescent="0.25">
      <c r="A41" s="28"/>
      <c r="B41" s="28"/>
      <c r="C41" s="28"/>
      <c r="D41" s="30"/>
      <c r="E41" s="29"/>
      <c r="F41" s="28"/>
      <c r="G41" s="28"/>
      <c r="H41" s="28"/>
      <c r="I41" s="30"/>
      <c r="J41" s="29"/>
      <c r="K41" s="28"/>
      <c r="L41" s="28"/>
      <c r="M41" s="28"/>
      <c r="N41" s="30"/>
      <c r="O41" s="29"/>
      <c r="P41" s="28"/>
      <c r="Q41" s="28"/>
      <c r="R41" s="28"/>
      <c r="S41" s="30"/>
      <c r="T41" s="29"/>
      <c r="U41" s="28"/>
      <c r="V41" s="705"/>
      <c r="W41" s="705"/>
      <c r="X41" s="705"/>
      <c r="Y41" s="705"/>
      <c r="Z41" s="705"/>
      <c r="AA41" s="705"/>
      <c r="AB41" s="705"/>
      <c r="AC41" s="705"/>
      <c r="AD41" s="705"/>
      <c r="AE41" s="705"/>
      <c r="AF41" s="705"/>
      <c r="AG41" s="705"/>
      <c r="AH41" s="706"/>
      <c r="AI41" s="706"/>
      <c r="AJ41" s="706"/>
      <c r="AK41" s="706"/>
      <c r="AL41" s="706"/>
      <c r="AM41" s="706"/>
      <c r="AN41" s="706"/>
      <c r="AO41" s="706"/>
      <c r="AP41" s="706"/>
      <c r="AQ41" s="706"/>
      <c r="AR41" s="706"/>
      <c r="AS41" s="707"/>
      <c r="AT41" s="707"/>
      <c r="AU41" s="707"/>
      <c r="AV41" s="707"/>
      <c r="AW41" s="707"/>
      <c r="AX41" s="707"/>
      <c r="AY41" s="707"/>
      <c r="AZ41" s="707"/>
      <c r="BA41" s="707"/>
      <c r="BB41" s="707"/>
      <c r="BC41" s="707"/>
      <c r="BD41" s="707"/>
      <c r="BE41" s="699"/>
      <c r="BF41" s="699"/>
      <c r="BG41" s="699"/>
      <c r="BH41" s="699"/>
      <c r="BI41" s="699"/>
      <c r="BJ41" s="1925"/>
      <c r="BK41" s="1925"/>
      <c r="BL41" s="1925"/>
      <c r="BM41" s="1925"/>
      <c r="BN41" s="701"/>
      <c r="BO41" s="701"/>
      <c r="BP41" s="701"/>
      <c r="BQ41" s="30"/>
      <c r="BR41" s="29"/>
    </row>
    <row r="42" spans="1:83" ht="6" customHeight="1" x14ac:dyDescent="0.25">
      <c r="A42" s="28"/>
      <c r="B42" s="28"/>
      <c r="C42" s="28"/>
      <c r="D42" s="29"/>
      <c r="E42" s="29"/>
      <c r="F42" s="28"/>
      <c r="G42" s="28"/>
      <c r="H42" s="28"/>
      <c r="I42" s="29"/>
      <c r="J42" s="29"/>
      <c r="K42" s="28"/>
      <c r="L42" s="28"/>
      <c r="M42" s="28"/>
      <c r="N42" s="29"/>
      <c r="O42" s="29"/>
      <c r="P42" s="28"/>
      <c r="Q42" s="28"/>
      <c r="R42" s="28"/>
      <c r="S42" s="29"/>
      <c r="T42" s="29"/>
      <c r="U42" s="28"/>
      <c r="V42" s="705"/>
      <c r="W42" s="705"/>
      <c r="X42" s="705"/>
      <c r="Y42" s="705"/>
      <c r="Z42" s="705"/>
      <c r="AA42" s="705"/>
      <c r="AB42" s="705"/>
      <c r="AC42" s="705"/>
      <c r="AD42" s="705"/>
      <c r="AE42" s="705"/>
      <c r="AF42" s="705"/>
      <c r="AG42" s="705"/>
      <c r="AH42" s="706"/>
      <c r="AI42" s="706"/>
      <c r="AJ42" s="706"/>
      <c r="AK42" s="706"/>
      <c r="AL42" s="706"/>
      <c r="AM42" s="706"/>
      <c r="AN42" s="706"/>
      <c r="AO42" s="706"/>
      <c r="AP42" s="706"/>
      <c r="AQ42" s="706"/>
      <c r="AR42" s="706"/>
      <c r="AS42" s="707"/>
      <c r="AT42" s="707"/>
      <c r="AU42" s="707"/>
      <c r="AV42" s="707"/>
      <c r="AW42" s="707"/>
      <c r="AX42" s="707"/>
      <c r="AY42" s="707"/>
      <c r="AZ42" s="707"/>
      <c r="BA42" s="707"/>
      <c r="BB42" s="707"/>
      <c r="BC42" s="707"/>
      <c r="BD42" s="707"/>
      <c r="BE42" s="699"/>
      <c r="BF42" s="699"/>
      <c r="BG42" s="699"/>
      <c r="BH42" s="699"/>
      <c r="BI42" s="699"/>
      <c r="BJ42" s="708">
        <f>BJ36*1.5</f>
        <v>18</v>
      </c>
      <c r="BK42" s="708"/>
      <c r="BL42" s="708"/>
      <c r="BM42" s="708"/>
      <c r="BN42" s="708"/>
      <c r="BO42" s="708"/>
      <c r="BP42" s="708"/>
      <c r="BQ42" s="29"/>
      <c r="BR42" s="29"/>
    </row>
    <row r="43" spans="1:83" s="22" customFormat="1" ht="80.099999999999994" customHeight="1" x14ac:dyDescent="1.35">
      <c r="A43" s="31"/>
      <c r="B43" s="121"/>
      <c r="C43" s="121"/>
      <c r="D43" s="121"/>
      <c r="E43" s="121"/>
      <c r="F43" s="702" cm="1">
        <f t="array" aca="1" ref="F43" ca="1">SUM(COUNTIF(INDIRECT({"B7","G7","L7","Q7","V7","AA7","AF7","AK7","AP7","AU7","AZ7","BE7","BJ7","BO7","B13","G13","L13","Q13","V13","AA13","AF13","AK13","AP13","AU13","AZ13","BE13","BJ13","BO13","B19","G19","L19","Q19","V19","AA19","AF19","AK19","AP19","AU19"}),"&gt;0"))</f>
        <v>38</v>
      </c>
      <c r="G43" s="702"/>
      <c r="H43" s="121"/>
      <c r="I43" s="121"/>
      <c r="J43" s="121"/>
      <c r="K43" s="31"/>
      <c r="L43" s="121"/>
      <c r="M43" s="121"/>
      <c r="N43" s="121"/>
      <c r="O43" s="121"/>
      <c r="P43" s="31"/>
      <c r="Q43" s="121"/>
      <c r="R43" s="121"/>
      <c r="S43" s="121"/>
      <c r="T43" s="121"/>
      <c r="U43" s="31"/>
      <c r="V43" s="705"/>
      <c r="W43" s="705"/>
      <c r="X43" s="705"/>
      <c r="Y43" s="705"/>
      <c r="Z43" s="705"/>
      <c r="AA43" s="705"/>
      <c r="AB43" s="705"/>
      <c r="AC43" s="705"/>
      <c r="AD43" s="705"/>
      <c r="AE43" s="705"/>
      <c r="AF43" s="705"/>
      <c r="AG43" s="705"/>
      <c r="AH43" s="706"/>
      <c r="AI43" s="706"/>
      <c r="AJ43" s="706"/>
      <c r="AK43" s="706"/>
      <c r="AL43" s="706"/>
      <c r="AM43" s="706"/>
      <c r="AN43" s="706"/>
      <c r="AO43" s="706"/>
      <c r="AP43" s="706"/>
      <c r="AQ43" s="706"/>
      <c r="AR43" s="706"/>
      <c r="AS43" s="707"/>
      <c r="AT43" s="707"/>
      <c r="AU43" s="707"/>
      <c r="AV43" s="707"/>
      <c r="AW43" s="707"/>
      <c r="AX43" s="707"/>
      <c r="AY43" s="707"/>
      <c r="AZ43" s="707"/>
      <c r="BA43" s="707"/>
      <c r="BB43" s="707"/>
      <c r="BC43" s="707"/>
      <c r="BD43" s="707"/>
      <c r="BE43" s="699"/>
      <c r="BF43" s="699"/>
      <c r="BG43" s="699"/>
      <c r="BH43" s="699"/>
      <c r="BI43" s="699"/>
      <c r="BJ43" s="708"/>
      <c r="BK43" s="708"/>
      <c r="BL43" s="708"/>
      <c r="BM43" s="708"/>
      <c r="BN43" s="708"/>
      <c r="BO43" s="708"/>
      <c r="BP43" s="708"/>
      <c r="BQ43" s="121"/>
      <c r="BR43" s="121"/>
    </row>
    <row r="44" spans="1:83" ht="26.25" customHeight="1" x14ac:dyDescent="0.25">
      <c r="A44" s="34"/>
      <c r="B44" s="35"/>
      <c r="C44" s="31"/>
      <c r="D44" s="32"/>
      <c r="E44" s="33"/>
      <c r="F44" s="703" cm="1">
        <f t="array" aca="1" ref="F44" ca="1">SUM(COUNTIF(INDIRECT({"B8","G8","L8","Q8","V8","AA8","AF8","AK8","AP8","AU8","AZ8","BE8","BJ8","BO8","B14","G14","L14","Q14","V14","AA14","AF14","AK14","AP14","AU14","AZ14","BE14","BJ14","BO14","B20","G20","L20","Q20","V20","AA20","AF20","AK20","AP20","AU20"}),"&gt;0"))</f>
        <v>38</v>
      </c>
      <c r="G44" s="703"/>
      <c r="H44" s="31"/>
      <c r="I44" s="32"/>
      <c r="J44" s="33"/>
      <c r="K44" s="34"/>
      <c r="L44" s="35"/>
      <c r="M44" s="31"/>
      <c r="N44" s="32"/>
      <c r="O44" s="33"/>
      <c r="P44" s="34"/>
      <c r="Q44" s="35"/>
      <c r="R44" s="31"/>
      <c r="S44" s="32"/>
      <c r="T44" s="33"/>
      <c r="U44" s="34"/>
      <c r="V44" s="705"/>
      <c r="W44" s="705"/>
      <c r="X44" s="705"/>
      <c r="Y44" s="705"/>
      <c r="Z44" s="705"/>
      <c r="AA44" s="705"/>
      <c r="AB44" s="705"/>
      <c r="AC44" s="705"/>
      <c r="AD44" s="705"/>
      <c r="AE44" s="705"/>
      <c r="AF44" s="705"/>
      <c r="AG44" s="705"/>
      <c r="AH44" s="706"/>
      <c r="AI44" s="706"/>
      <c r="AJ44" s="706"/>
      <c r="AK44" s="706"/>
      <c r="AL44" s="706"/>
      <c r="AM44" s="706"/>
      <c r="AN44" s="706"/>
      <c r="AO44" s="706"/>
      <c r="AP44" s="706"/>
      <c r="AQ44" s="706"/>
      <c r="AR44" s="706"/>
      <c r="AS44" s="707"/>
      <c r="AT44" s="707"/>
      <c r="AU44" s="707"/>
      <c r="AV44" s="707"/>
      <c r="AW44" s="707"/>
      <c r="AX44" s="707"/>
      <c r="AY44" s="707"/>
      <c r="AZ44" s="707"/>
      <c r="BA44" s="707"/>
      <c r="BB44" s="707"/>
      <c r="BC44" s="707"/>
      <c r="BD44" s="707"/>
      <c r="BE44" s="699"/>
      <c r="BF44" s="699"/>
      <c r="BG44" s="699"/>
      <c r="BH44" s="699"/>
      <c r="BI44" s="699"/>
      <c r="BJ44" s="708"/>
      <c r="BK44" s="708"/>
      <c r="BL44" s="708"/>
      <c r="BM44" s="708"/>
      <c r="BN44" s="708"/>
      <c r="BO44" s="708"/>
      <c r="BP44" s="708"/>
      <c r="BQ44" s="31"/>
      <c r="BR44" s="32"/>
      <c r="BW44" s="27"/>
      <c r="BX44" s="27"/>
      <c r="BY44" s="27"/>
      <c r="BZ44" s="27"/>
      <c r="CA44" s="27"/>
      <c r="CB44" s="27"/>
      <c r="CC44" s="27"/>
      <c r="CD44" s="27"/>
      <c r="CE44" s="27"/>
    </row>
    <row r="45" spans="1:83" ht="26.1" customHeight="1" x14ac:dyDescent="0.25">
      <c r="A45" s="34"/>
      <c r="B45" s="35"/>
      <c r="C45" s="31"/>
      <c r="D45" s="32"/>
      <c r="E45" s="33"/>
      <c r="F45" s="703"/>
      <c r="G45" s="703"/>
      <c r="H45" s="31"/>
      <c r="I45" s="32"/>
      <c r="J45" s="33"/>
      <c r="K45" s="34"/>
      <c r="L45" s="35"/>
      <c r="M45" s="31"/>
      <c r="N45" s="32"/>
      <c r="O45" s="33"/>
      <c r="P45" s="34"/>
      <c r="Q45" s="35"/>
      <c r="R45" s="31"/>
      <c r="S45" s="32"/>
      <c r="T45" s="33"/>
      <c r="U45" s="34"/>
      <c r="V45" s="705"/>
      <c r="W45" s="705"/>
      <c r="X45" s="705"/>
      <c r="Y45" s="705"/>
      <c r="Z45" s="705"/>
      <c r="AA45" s="705"/>
      <c r="AB45" s="705"/>
      <c r="AC45" s="705"/>
      <c r="AD45" s="705"/>
      <c r="AE45" s="705"/>
      <c r="AF45" s="705"/>
      <c r="AG45" s="705"/>
      <c r="AH45" s="706"/>
      <c r="AI45" s="706"/>
      <c r="AJ45" s="706"/>
      <c r="AK45" s="706"/>
      <c r="AL45" s="706"/>
      <c r="AM45" s="706"/>
      <c r="AN45" s="706"/>
      <c r="AO45" s="706"/>
      <c r="AP45" s="706"/>
      <c r="AQ45" s="706"/>
      <c r="AR45" s="706"/>
      <c r="AS45" s="707"/>
      <c r="AT45" s="707"/>
      <c r="AU45" s="707"/>
      <c r="AV45" s="707"/>
      <c r="AW45" s="707"/>
      <c r="AX45" s="707"/>
      <c r="AY45" s="707"/>
      <c r="AZ45" s="707"/>
      <c r="BA45" s="707"/>
      <c r="BB45" s="707"/>
      <c r="BC45" s="707"/>
      <c r="BD45" s="707"/>
      <c r="BE45" s="699"/>
      <c r="BF45" s="699"/>
      <c r="BG45" s="699"/>
      <c r="BH45" s="699"/>
      <c r="BI45" s="699"/>
      <c r="BJ45" s="708"/>
      <c r="BK45" s="708"/>
      <c r="BL45" s="708"/>
      <c r="BM45" s="708"/>
      <c r="BN45" s="708"/>
      <c r="BO45" s="708"/>
      <c r="BP45" s="708"/>
      <c r="BQ45" s="31"/>
      <c r="BR45" s="32"/>
    </row>
    <row r="46" spans="1:83" ht="6.75" customHeight="1" x14ac:dyDescent="0.25">
      <c r="A46" s="28"/>
      <c r="B46" s="28"/>
      <c r="C46" s="28"/>
      <c r="D46" s="29"/>
      <c r="E46" s="29"/>
      <c r="F46" s="703"/>
      <c r="G46" s="703"/>
      <c r="H46" s="28"/>
      <c r="I46" s="29"/>
      <c r="J46" s="29"/>
      <c r="K46" s="28"/>
      <c r="L46" s="28"/>
      <c r="M46" s="28"/>
      <c r="N46" s="29"/>
      <c r="O46" s="29"/>
      <c r="P46" s="28"/>
      <c r="Q46" s="28"/>
      <c r="R46" s="28"/>
      <c r="S46" s="29"/>
      <c r="T46" s="29"/>
      <c r="U46" s="28"/>
      <c r="V46" s="705"/>
      <c r="W46" s="705"/>
      <c r="X46" s="705"/>
      <c r="Y46" s="705"/>
      <c r="Z46" s="705"/>
      <c r="AA46" s="705"/>
      <c r="AB46" s="705"/>
      <c r="AC46" s="705"/>
      <c r="AD46" s="705"/>
      <c r="AE46" s="705"/>
      <c r="AF46" s="705"/>
      <c r="AG46" s="705"/>
      <c r="AH46" s="706"/>
      <c r="AI46" s="706"/>
      <c r="AJ46" s="706"/>
      <c r="AK46" s="706"/>
      <c r="AL46" s="706"/>
      <c r="AM46" s="706"/>
      <c r="AN46" s="706"/>
      <c r="AO46" s="706"/>
      <c r="AP46" s="706"/>
      <c r="AQ46" s="706"/>
      <c r="AR46" s="706"/>
      <c r="AS46" s="707"/>
      <c r="AT46" s="707"/>
      <c r="AU46" s="707"/>
      <c r="AV46" s="707"/>
      <c r="AW46" s="707"/>
      <c r="AX46" s="707"/>
      <c r="AY46" s="707"/>
      <c r="AZ46" s="707"/>
      <c r="BA46" s="707"/>
      <c r="BB46" s="707"/>
      <c r="BC46" s="707"/>
      <c r="BD46" s="707"/>
      <c r="BE46" s="699"/>
      <c r="BF46" s="699"/>
      <c r="BG46" s="699"/>
      <c r="BH46" s="699"/>
      <c r="BI46" s="699"/>
      <c r="BJ46" s="699" t="s">
        <v>121</v>
      </c>
      <c r="BK46" s="699"/>
      <c r="BL46" s="699"/>
      <c r="BM46" s="699"/>
      <c r="BN46" s="699"/>
      <c r="BO46" s="699"/>
      <c r="BP46" s="699"/>
      <c r="BQ46" s="31"/>
      <c r="BR46" s="32"/>
    </row>
    <row r="47" spans="1:83" ht="21.95" customHeight="1" x14ac:dyDescent="0.25">
      <c r="A47" s="28"/>
      <c r="B47" s="28"/>
      <c r="C47" s="28"/>
      <c r="D47" s="30"/>
      <c r="E47" s="29"/>
      <c r="F47" s="703"/>
      <c r="G47" s="703"/>
      <c r="H47" s="28"/>
      <c r="I47" s="30"/>
      <c r="J47" s="29"/>
      <c r="K47" s="28"/>
      <c r="L47" s="28"/>
      <c r="M47" s="28"/>
      <c r="N47" s="30"/>
      <c r="O47" s="29"/>
      <c r="P47" s="28"/>
      <c r="Q47" s="28"/>
      <c r="R47" s="28"/>
      <c r="S47" s="30"/>
      <c r="T47" s="29"/>
      <c r="U47" s="28"/>
      <c r="V47" s="705"/>
      <c r="W47" s="705"/>
      <c r="X47" s="705"/>
      <c r="Y47" s="705"/>
      <c r="Z47" s="705"/>
      <c r="AA47" s="705"/>
      <c r="AB47" s="705"/>
      <c r="AC47" s="705"/>
      <c r="AD47" s="705"/>
      <c r="AE47" s="705"/>
      <c r="AF47" s="705"/>
      <c r="AG47" s="705"/>
      <c r="AH47" s="706"/>
      <c r="AI47" s="706"/>
      <c r="AJ47" s="706"/>
      <c r="AK47" s="706"/>
      <c r="AL47" s="706"/>
      <c r="AM47" s="706"/>
      <c r="AN47" s="706"/>
      <c r="AO47" s="706"/>
      <c r="AP47" s="706"/>
      <c r="AQ47" s="706"/>
      <c r="AR47" s="706"/>
      <c r="AS47" s="707"/>
      <c r="AT47" s="707"/>
      <c r="AU47" s="707"/>
      <c r="AV47" s="707"/>
      <c r="AW47" s="707"/>
      <c r="AX47" s="707"/>
      <c r="AY47" s="707"/>
      <c r="AZ47" s="707"/>
      <c r="BA47" s="707"/>
      <c r="BB47" s="707"/>
      <c r="BC47" s="707"/>
      <c r="BD47" s="707"/>
      <c r="BE47" s="699"/>
      <c r="BF47" s="699"/>
      <c r="BG47" s="699"/>
      <c r="BH47" s="699"/>
      <c r="BI47" s="699"/>
      <c r="BJ47" s="699"/>
      <c r="BK47" s="699"/>
      <c r="BL47" s="699"/>
      <c r="BM47" s="699"/>
      <c r="BN47" s="699"/>
      <c r="BO47" s="699"/>
      <c r="BP47" s="699"/>
      <c r="BQ47" s="30"/>
      <c r="BR47" s="29"/>
    </row>
    <row r="48" spans="1:83" ht="6" customHeight="1" x14ac:dyDescent="0.25">
      <c r="A48" s="28"/>
      <c r="B48" s="28"/>
      <c r="C48" s="28"/>
      <c r="D48" s="29"/>
      <c r="E48" s="29"/>
      <c r="F48" s="28"/>
      <c r="G48" s="28"/>
      <c r="H48" s="28"/>
      <c r="I48" s="29"/>
      <c r="J48" s="29"/>
      <c r="K48" s="28"/>
      <c r="L48" s="28"/>
      <c r="M48" s="28"/>
      <c r="N48" s="29"/>
      <c r="O48" s="29"/>
      <c r="P48" s="28"/>
      <c r="Q48" s="28"/>
      <c r="R48" s="28"/>
      <c r="S48" s="29"/>
      <c r="T48" s="29"/>
      <c r="U48" s="28"/>
      <c r="V48" s="28"/>
      <c r="W48" s="28"/>
      <c r="X48" s="29"/>
      <c r="Y48" s="29"/>
      <c r="Z48" s="28"/>
      <c r="AA48" s="28"/>
      <c r="AB48" s="28"/>
      <c r="AC48" s="29"/>
      <c r="AD48" s="29"/>
      <c r="AE48" s="28"/>
      <c r="AF48" s="28"/>
      <c r="AG48" s="28"/>
      <c r="AH48" s="29"/>
      <c r="AI48" s="29"/>
      <c r="AJ48" s="28"/>
      <c r="AK48" s="28"/>
      <c r="AL48" s="28"/>
      <c r="AM48" s="29"/>
      <c r="AN48" s="29"/>
      <c r="AO48" s="28"/>
      <c r="AP48" s="28"/>
      <c r="AQ48" s="28"/>
      <c r="AR48" s="29"/>
      <c r="AS48" s="29"/>
      <c r="AT48" s="28"/>
      <c r="AU48" s="28"/>
      <c r="AV48" s="28"/>
      <c r="AW48" s="29"/>
      <c r="AX48" s="29"/>
      <c r="AY48" s="28"/>
      <c r="AZ48" s="28"/>
      <c r="BA48" s="28"/>
      <c r="BB48" s="29"/>
      <c r="BC48" s="29"/>
      <c r="BD48" s="28"/>
      <c r="BE48" s="28"/>
      <c r="BF48" s="28"/>
      <c r="BG48" s="29"/>
      <c r="BH48" s="29"/>
      <c r="BI48" s="28"/>
      <c r="BJ48" s="699"/>
      <c r="BK48" s="699"/>
      <c r="BL48" s="699"/>
      <c r="BM48" s="699"/>
      <c r="BN48" s="699"/>
      <c r="BO48" s="699"/>
      <c r="BP48" s="699"/>
      <c r="BQ48" s="29"/>
      <c r="BR48" s="29"/>
    </row>
    <row r="49" spans="1:83" s="22" customFormat="1" ht="80.099999999999994" customHeight="1" x14ac:dyDescent="1.35">
      <c r="A49" s="31"/>
      <c r="B49" s="121"/>
      <c r="C49" s="121"/>
      <c r="D49" s="121"/>
      <c r="E49" s="121"/>
      <c r="F49" s="31"/>
      <c r="G49" s="121"/>
      <c r="H49" s="121"/>
      <c r="I49" s="121"/>
      <c r="J49" s="121"/>
      <c r="K49" s="31"/>
      <c r="L49" s="121"/>
      <c r="M49" s="121"/>
      <c r="N49" s="121"/>
      <c r="O49" s="121"/>
      <c r="P49" s="31"/>
      <c r="Q49" s="121"/>
      <c r="R49" s="121"/>
      <c r="S49" s="121"/>
      <c r="T49" s="121"/>
      <c r="U49" s="31"/>
      <c r="V49" s="121"/>
      <c r="W49" s="121"/>
      <c r="X49" s="121"/>
      <c r="Y49" s="121"/>
      <c r="Z49" s="31"/>
      <c r="AA49" s="121"/>
      <c r="AB49" s="121"/>
      <c r="AC49" s="121"/>
      <c r="AD49" s="121"/>
      <c r="AE49" s="31"/>
      <c r="AF49" s="121"/>
      <c r="AG49" s="121"/>
      <c r="AH49" s="121"/>
      <c r="AI49" s="121"/>
      <c r="AJ49" s="31"/>
      <c r="AK49" s="121"/>
      <c r="AL49" s="121"/>
      <c r="AM49" s="121"/>
      <c r="AN49" s="121"/>
      <c r="AO49" s="31"/>
      <c r="AP49" s="121"/>
      <c r="AQ49" s="121"/>
      <c r="AR49" s="121"/>
      <c r="AS49" s="121"/>
      <c r="AT49" s="31"/>
      <c r="AU49" s="121"/>
      <c r="AV49" s="121"/>
      <c r="AW49" s="121"/>
      <c r="AX49" s="121"/>
      <c r="AY49" s="31"/>
      <c r="AZ49" s="121"/>
      <c r="BA49" s="121"/>
      <c r="BB49" s="121"/>
      <c r="BC49" s="121"/>
      <c r="BD49" s="31"/>
      <c r="BE49" s="121"/>
      <c r="BF49" s="121"/>
      <c r="BG49" s="121"/>
      <c r="BH49" s="121"/>
      <c r="BI49" s="31"/>
      <c r="BJ49" s="121"/>
      <c r="BK49" s="121"/>
      <c r="BL49" s="121"/>
      <c r="BM49" s="121"/>
      <c r="BN49" s="31"/>
      <c r="BO49" s="121"/>
      <c r="BP49" s="121"/>
      <c r="BQ49" s="121"/>
      <c r="BR49" s="121"/>
    </row>
    <row r="50" spans="1:83" ht="25.5" customHeight="1" x14ac:dyDescent="0.25">
      <c r="A50" s="31"/>
      <c r="B50" s="32"/>
      <c r="C50" s="33"/>
      <c r="D50" s="34"/>
      <c r="E50" s="35"/>
      <c r="F50" s="31"/>
      <c r="G50" s="32"/>
      <c r="H50" s="33"/>
      <c r="I50" s="34"/>
      <c r="J50" s="35"/>
      <c r="K50" s="31"/>
      <c r="L50" s="32"/>
      <c r="M50" s="33"/>
      <c r="N50" s="34"/>
      <c r="O50" s="35"/>
      <c r="P50" s="31"/>
      <c r="Q50" s="32"/>
      <c r="R50" s="33"/>
      <c r="S50" s="34"/>
      <c r="T50" s="35"/>
      <c r="U50" s="31"/>
      <c r="V50" s="32"/>
      <c r="W50" s="33"/>
      <c r="X50" s="34"/>
      <c r="Y50" s="35"/>
      <c r="Z50" s="31"/>
      <c r="AA50" s="32"/>
      <c r="AB50" s="33"/>
      <c r="AC50" s="34"/>
      <c r="AD50" s="35"/>
      <c r="AE50" s="31"/>
      <c r="AF50" s="32"/>
      <c r="AG50" s="33"/>
      <c r="AH50" s="34"/>
      <c r="AI50" s="35"/>
      <c r="AJ50" s="31"/>
      <c r="AK50" s="32"/>
      <c r="AL50" s="33"/>
      <c r="AM50" s="34"/>
      <c r="AN50" s="35"/>
      <c r="AO50" s="31"/>
      <c r="AP50" s="32"/>
      <c r="AQ50" s="33"/>
      <c r="AR50" s="34"/>
      <c r="AS50" s="35"/>
      <c r="AT50" s="31"/>
      <c r="AU50" s="32"/>
      <c r="AV50" s="33"/>
      <c r="AW50" s="34"/>
      <c r="AX50" s="35"/>
      <c r="AY50" s="31"/>
      <c r="AZ50" s="32"/>
      <c r="BA50" s="33"/>
      <c r="BB50" s="34"/>
      <c r="BC50" s="35"/>
      <c r="BD50" s="31"/>
      <c r="BE50" s="32"/>
      <c r="BF50" s="33"/>
      <c r="BG50" s="34"/>
      <c r="BH50" s="35"/>
      <c r="BI50" s="31"/>
      <c r="BJ50" s="32"/>
      <c r="BK50" s="33"/>
      <c r="BL50" s="34"/>
      <c r="BM50" s="35"/>
      <c r="BN50" s="31"/>
      <c r="BO50" s="32"/>
      <c r="BP50" s="33"/>
      <c r="BQ50" s="34"/>
      <c r="BR50" s="35"/>
      <c r="BW50" s="27"/>
      <c r="BX50" s="27"/>
      <c r="BY50" s="27"/>
      <c r="BZ50" s="27"/>
      <c r="CA50" s="27"/>
      <c r="CB50" s="27"/>
      <c r="CC50" s="27"/>
      <c r="CD50" s="27"/>
      <c r="CE50" s="27"/>
    </row>
    <row r="51" spans="1:83" ht="26.1" hidden="1" customHeight="1" thickTop="1" x14ac:dyDescent="0.25">
      <c r="A51" s="672"/>
      <c r="B51" s="672"/>
      <c r="C51" s="672"/>
      <c r="D51" s="673"/>
      <c r="E51" s="673"/>
      <c r="F51" s="672"/>
      <c r="G51" s="672"/>
      <c r="H51" s="672"/>
      <c r="I51" s="673"/>
      <c r="J51" s="673"/>
      <c r="K51" s="672"/>
      <c r="L51" s="672"/>
      <c r="M51" s="672"/>
      <c r="N51" s="673"/>
      <c r="O51" s="673"/>
      <c r="P51" s="672"/>
      <c r="Q51" s="672"/>
      <c r="R51" s="672"/>
      <c r="S51" s="673"/>
      <c r="T51" s="673"/>
      <c r="U51" s="674"/>
      <c r="V51" s="674"/>
      <c r="W51" s="674"/>
      <c r="X51" s="675"/>
      <c r="Y51" s="675"/>
      <c r="Z51" s="44"/>
      <c r="AA51" s="44"/>
      <c r="AB51" s="44"/>
      <c r="AC51" s="69"/>
      <c r="AD51" s="69"/>
      <c r="AE51" s="44"/>
      <c r="AF51" s="44"/>
      <c r="AG51" s="44"/>
      <c r="AH51" s="69"/>
      <c r="AI51" s="69"/>
      <c r="AJ51" s="44"/>
      <c r="AK51" s="44"/>
      <c r="AL51" s="44"/>
      <c r="AM51" s="69"/>
      <c r="AN51" s="69"/>
      <c r="AO51" s="44"/>
      <c r="AP51" s="44"/>
      <c r="AQ51" s="44"/>
      <c r="AR51" s="69"/>
      <c r="AS51" s="69"/>
      <c r="AT51" s="44"/>
      <c r="AU51" s="44"/>
      <c r="AV51" s="44"/>
      <c r="AW51" s="69"/>
      <c r="AX51" s="69"/>
      <c r="AY51" s="44"/>
      <c r="AZ51" s="44"/>
      <c r="BA51" s="44"/>
      <c r="BB51" s="69"/>
      <c r="BC51" s="69"/>
      <c r="BD51" s="44"/>
      <c r="BE51" s="44"/>
      <c r="BF51" s="44"/>
      <c r="BG51" s="69"/>
      <c r="BH51" s="69"/>
      <c r="BI51" s="674"/>
      <c r="BJ51" s="674"/>
      <c r="BK51" s="674"/>
      <c r="BL51" s="675"/>
      <c r="BM51" s="675"/>
      <c r="BN51" s="674"/>
      <c r="BO51" s="674"/>
      <c r="BP51" s="674"/>
      <c r="BQ51" s="675"/>
      <c r="BR51" s="675"/>
    </row>
    <row r="52" spans="1:83" ht="6.75" hidden="1" customHeight="1" x14ac:dyDescent="0.25">
      <c r="A52" s="676"/>
      <c r="B52" s="676"/>
      <c r="C52" s="676"/>
      <c r="D52" s="29"/>
      <c r="E52" s="29"/>
      <c r="F52" s="676"/>
      <c r="G52" s="676"/>
      <c r="H52" s="676"/>
      <c r="I52" s="29"/>
      <c r="J52" s="29"/>
      <c r="K52" s="676"/>
      <c r="L52" s="676"/>
      <c r="M52" s="676"/>
      <c r="N52" s="29"/>
      <c r="O52" s="29"/>
      <c r="P52" s="676"/>
      <c r="Q52" s="676"/>
      <c r="R52" s="676"/>
      <c r="S52" s="29"/>
      <c r="T52" s="29"/>
      <c r="U52" s="676"/>
      <c r="V52" s="676"/>
      <c r="W52" s="676"/>
      <c r="X52" s="29"/>
      <c r="Y52" s="29"/>
      <c r="Z52" s="47"/>
      <c r="AA52" s="47"/>
      <c r="AB52" s="47"/>
      <c r="AC52" s="29"/>
      <c r="AD52" s="29"/>
      <c r="AE52" s="47"/>
      <c r="AF52" s="47"/>
      <c r="AG52" s="47"/>
      <c r="AH52" s="29"/>
      <c r="AI52" s="29"/>
      <c r="AJ52" s="47"/>
      <c r="AK52" s="47"/>
      <c r="AL52" s="47"/>
      <c r="AM52" s="29"/>
      <c r="AN52" s="29"/>
      <c r="AO52" s="47"/>
      <c r="AP52" s="47"/>
      <c r="AQ52" s="47"/>
      <c r="AR52" s="29"/>
      <c r="AS52" s="29"/>
      <c r="AT52" s="47"/>
      <c r="AU52" s="47"/>
      <c r="AV52" s="47"/>
      <c r="AW52" s="29"/>
      <c r="AX52" s="29"/>
      <c r="AY52" s="47"/>
      <c r="AZ52" s="47"/>
      <c r="BA52" s="47"/>
      <c r="BB52" s="29"/>
      <c r="BC52" s="29"/>
      <c r="BD52" s="47"/>
      <c r="BE52" s="47"/>
      <c r="BF52" s="47"/>
      <c r="BG52" s="29"/>
      <c r="BH52" s="29"/>
      <c r="BI52" s="676"/>
      <c r="BJ52" s="676"/>
      <c r="BK52" s="676"/>
      <c r="BL52" s="29"/>
      <c r="BM52" s="29"/>
      <c r="BN52" s="676"/>
      <c r="BO52" s="676"/>
      <c r="BP52" s="676"/>
      <c r="BQ52" s="29"/>
      <c r="BR52" s="29"/>
    </row>
    <row r="53" spans="1:83" ht="21.95" hidden="1" customHeight="1" x14ac:dyDescent="0.25">
      <c r="A53" s="676"/>
      <c r="B53" s="676"/>
      <c r="C53" s="676"/>
      <c r="D53" s="30"/>
      <c r="E53" s="29"/>
      <c r="F53" s="676"/>
      <c r="G53" s="676"/>
      <c r="H53" s="676"/>
      <c r="I53" s="30"/>
      <c r="J53" s="29"/>
      <c r="K53" s="676"/>
      <c r="L53" s="676"/>
      <c r="M53" s="676"/>
      <c r="N53" s="30"/>
      <c r="O53" s="29"/>
      <c r="P53" s="676"/>
      <c r="Q53" s="676"/>
      <c r="R53" s="676"/>
      <c r="S53" s="30"/>
      <c r="T53" s="29"/>
      <c r="U53" s="676"/>
      <c r="V53" s="676"/>
      <c r="W53" s="676"/>
      <c r="X53" s="30"/>
      <c r="Y53" s="29"/>
      <c r="Z53" s="47"/>
      <c r="AA53" s="47"/>
      <c r="AB53" s="47"/>
      <c r="AC53" s="30"/>
      <c r="AD53" s="29"/>
      <c r="AE53" s="47"/>
      <c r="AF53" s="47"/>
      <c r="AG53" s="47"/>
      <c r="AH53" s="30"/>
      <c r="AI53" s="29"/>
      <c r="AJ53" s="47"/>
      <c r="AK53" s="47"/>
      <c r="AL53" s="47"/>
      <c r="AM53" s="30"/>
      <c r="AN53" s="29"/>
      <c r="AO53" s="47"/>
      <c r="AP53" s="47"/>
      <c r="AQ53" s="47"/>
      <c r="AR53" s="30"/>
      <c r="AS53" s="29"/>
      <c r="AT53" s="47"/>
      <c r="AU53" s="47"/>
      <c r="AV53" s="47"/>
      <c r="AW53" s="30"/>
      <c r="AX53" s="29"/>
      <c r="AY53" s="47"/>
      <c r="AZ53" s="47"/>
      <c r="BA53" s="47"/>
      <c r="BB53" s="30"/>
      <c r="BC53" s="29"/>
      <c r="BD53" s="47"/>
      <c r="BE53" s="47"/>
      <c r="BF53" s="47"/>
      <c r="BG53" s="30"/>
      <c r="BH53" s="29"/>
      <c r="BI53" s="676"/>
      <c r="BJ53" s="676"/>
      <c r="BK53" s="676"/>
      <c r="BL53" s="30"/>
      <c r="BM53" s="29"/>
      <c r="BN53" s="676"/>
      <c r="BO53" s="676"/>
      <c r="BP53" s="676"/>
      <c r="BQ53" s="30"/>
      <c r="BR53" s="29"/>
    </row>
    <row r="54" spans="1:83" ht="6" hidden="1" customHeight="1" x14ac:dyDescent="0.25">
      <c r="A54" s="676"/>
      <c r="B54" s="676"/>
      <c r="C54" s="676"/>
      <c r="D54" s="675"/>
      <c r="E54" s="675"/>
      <c r="F54" s="676"/>
      <c r="G54" s="676"/>
      <c r="H54" s="676"/>
      <c r="I54" s="675"/>
      <c r="J54" s="675"/>
      <c r="K54" s="676"/>
      <c r="L54" s="676"/>
      <c r="M54" s="676"/>
      <c r="N54" s="675"/>
      <c r="O54" s="675"/>
      <c r="P54" s="676"/>
      <c r="Q54" s="676"/>
      <c r="R54" s="676"/>
      <c r="S54" s="675"/>
      <c r="T54" s="675"/>
      <c r="U54" s="676"/>
      <c r="V54" s="676"/>
      <c r="W54" s="676"/>
      <c r="X54" s="675"/>
      <c r="Y54" s="675"/>
      <c r="Z54" s="47"/>
      <c r="AA54" s="47"/>
      <c r="AB54" s="47"/>
      <c r="AC54" s="69"/>
      <c r="AD54" s="69"/>
      <c r="AE54" s="47"/>
      <c r="AF54" s="47"/>
      <c r="AG54" s="47"/>
      <c r="AH54" s="69"/>
      <c r="AI54" s="69"/>
      <c r="AJ54" s="47"/>
      <c r="AK54" s="47"/>
      <c r="AL54" s="47"/>
      <c r="AM54" s="69"/>
      <c r="AN54" s="69"/>
      <c r="AO54" s="47"/>
      <c r="AP54" s="47"/>
      <c r="AQ54" s="47"/>
      <c r="AR54" s="69"/>
      <c r="AS54" s="69"/>
      <c r="AT54" s="47"/>
      <c r="AU54" s="47"/>
      <c r="AV54" s="47"/>
      <c r="AW54" s="69"/>
      <c r="AX54" s="69"/>
      <c r="AY54" s="47"/>
      <c r="AZ54" s="47"/>
      <c r="BA54" s="47"/>
      <c r="BB54" s="69"/>
      <c r="BC54" s="69"/>
      <c r="BD54" s="47"/>
      <c r="BE54" s="47"/>
      <c r="BF54" s="47"/>
      <c r="BG54" s="69"/>
      <c r="BH54" s="69"/>
      <c r="BI54" s="676"/>
      <c r="BJ54" s="676"/>
      <c r="BK54" s="676"/>
      <c r="BL54" s="675"/>
      <c r="BM54" s="675"/>
      <c r="BN54" s="676"/>
      <c r="BO54" s="676"/>
      <c r="BP54" s="676"/>
      <c r="BQ54" s="675"/>
      <c r="BR54" s="675"/>
    </row>
    <row r="55" spans="1:83" ht="59.25" hidden="1" customHeight="1" thickBot="1" x14ac:dyDescent="0.3">
      <c r="A55" s="677"/>
      <c r="B55" s="678"/>
      <c r="C55" s="678"/>
      <c r="D55" s="678"/>
      <c r="E55" s="678"/>
      <c r="F55" s="677"/>
      <c r="G55" s="678"/>
      <c r="H55" s="678"/>
      <c r="I55" s="678"/>
      <c r="J55" s="678"/>
      <c r="K55" s="677"/>
      <c r="L55" s="678"/>
      <c r="M55" s="678"/>
      <c r="N55" s="678"/>
      <c r="O55" s="678"/>
      <c r="P55" s="677"/>
      <c r="Q55" s="678"/>
      <c r="R55" s="678"/>
      <c r="S55" s="678"/>
      <c r="T55" s="678"/>
      <c r="U55" s="677"/>
      <c r="V55" s="678"/>
      <c r="W55" s="678"/>
      <c r="X55" s="678"/>
      <c r="Y55" s="678"/>
      <c r="Z55" s="70"/>
      <c r="AA55" s="71"/>
      <c r="AB55" s="71"/>
      <c r="AC55" s="71"/>
      <c r="AD55" s="71"/>
      <c r="AE55" s="70"/>
      <c r="AF55" s="71"/>
      <c r="AG55" s="71"/>
      <c r="AH55" s="71"/>
      <c r="AI55" s="71"/>
      <c r="AJ55" s="70"/>
      <c r="AK55" s="71"/>
      <c r="AL55" s="71"/>
      <c r="AM55" s="71"/>
      <c r="AN55" s="71"/>
      <c r="AO55" s="70"/>
      <c r="AP55" s="71"/>
      <c r="AQ55" s="71"/>
      <c r="AR55" s="71"/>
      <c r="AS55" s="71"/>
      <c r="AT55" s="70"/>
      <c r="AU55" s="71"/>
      <c r="AV55" s="71"/>
      <c r="AW55" s="71"/>
      <c r="AX55" s="71"/>
      <c r="AY55" s="70"/>
      <c r="AZ55" s="71"/>
      <c r="BA55" s="71"/>
      <c r="BB55" s="71"/>
      <c r="BC55" s="71"/>
      <c r="BD55" s="70"/>
      <c r="BE55" s="71"/>
      <c r="BF55" s="71"/>
      <c r="BG55" s="71"/>
      <c r="BH55" s="71"/>
      <c r="BI55" s="677"/>
      <c r="BJ55" s="678"/>
      <c r="BK55" s="678"/>
      <c r="BL55" s="678"/>
      <c r="BM55" s="678"/>
      <c r="BN55" s="677"/>
      <c r="BO55" s="678"/>
      <c r="BP55" s="678"/>
      <c r="BQ55" s="678"/>
      <c r="BR55" s="678"/>
    </row>
    <row r="56" spans="1:83" ht="27" hidden="1" customHeight="1" thickBot="1" x14ac:dyDescent="0.3">
      <c r="A56" s="677"/>
      <c r="B56" s="32"/>
      <c r="C56" s="33"/>
      <c r="D56" s="34"/>
      <c r="E56" s="35"/>
      <c r="F56" s="677"/>
      <c r="G56" s="32"/>
      <c r="H56" s="33"/>
      <c r="I56" s="34"/>
      <c r="J56" s="35"/>
      <c r="K56" s="677"/>
      <c r="L56" s="32"/>
      <c r="M56" s="33"/>
      <c r="N56" s="34"/>
      <c r="O56" s="35"/>
      <c r="P56" s="677"/>
      <c r="Q56" s="32"/>
      <c r="R56" s="33"/>
      <c r="S56" s="34"/>
      <c r="T56" s="35"/>
      <c r="U56" s="677"/>
      <c r="V56" s="32"/>
      <c r="W56" s="33"/>
      <c r="X56" s="34"/>
      <c r="Y56" s="35"/>
      <c r="Z56" s="70"/>
      <c r="AA56" s="32"/>
      <c r="AB56" s="33"/>
      <c r="AC56" s="34"/>
      <c r="AD56" s="35"/>
      <c r="AE56" s="70"/>
      <c r="AF56" s="32"/>
      <c r="AG56" s="33"/>
      <c r="AH56" s="34"/>
      <c r="AI56" s="35"/>
      <c r="AJ56" s="70"/>
      <c r="AK56" s="32"/>
      <c r="AL56" s="33"/>
      <c r="AM56" s="34"/>
      <c r="AN56" s="35"/>
      <c r="AO56" s="70"/>
      <c r="AP56" s="32"/>
      <c r="AQ56" s="33"/>
      <c r="AR56" s="34"/>
      <c r="AS56" s="35"/>
      <c r="AT56" s="70"/>
      <c r="AU56" s="32"/>
      <c r="AV56" s="33"/>
      <c r="AW56" s="34"/>
      <c r="AX56" s="35"/>
      <c r="AY56" s="70"/>
      <c r="AZ56" s="32"/>
      <c r="BA56" s="33"/>
      <c r="BB56" s="34"/>
      <c r="BC56" s="35"/>
      <c r="BD56" s="70"/>
      <c r="BE56" s="32"/>
      <c r="BF56" s="33"/>
      <c r="BG56" s="34"/>
      <c r="BH56" s="35"/>
      <c r="BI56" s="677"/>
      <c r="BJ56" s="32"/>
      <c r="BK56" s="33"/>
      <c r="BL56" s="34"/>
      <c r="BM56" s="35"/>
      <c r="BN56" s="677"/>
      <c r="BO56" s="32"/>
      <c r="BP56" s="33"/>
      <c r="BQ56" s="34"/>
      <c r="BR56" s="35"/>
      <c r="BW56" s="27"/>
      <c r="BX56" s="27"/>
      <c r="BY56" s="27"/>
      <c r="BZ56" s="27"/>
      <c r="CA56" s="27"/>
      <c r="CB56" s="27"/>
      <c r="CC56" s="27"/>
      <c r="CD56" s="27"/>
      <c r="CE56" s="27"/>
    </row>
    <row r="57" spans="1:83" ht="26.1" hidden="1" customHeight="1" x14ac:dyDescent="0.25">
      <c r="A57" s="674"/>
      <c r="B57" s="674"/>
      <c r="C57" s="674"/>
      <c r="D57" s="675"/>
      <c r="E57" s="675"/>
      <c r="F57" s="674"/>
      <c r="G57" s="674"/>
      <c r="H57" s="674"/>
      <c r="I57" s="675"/>
      <c r="J57" s="675"/>
      <c r="K57" s="674"/>
      <c r="L57" s="674"/>
      <c r="M57" s="674"/>
      <c r="N57" s="675"/>
      <c r="O57" s="675"/>
      <c r="P57" s="674"/>
      <c r="Q57" s="674"/>
      <c r="R57" s="674"/>
      <c r="S57" s="675"/>
      <c r="T57" s="675"/>
      <c r="U57" s="674"/>
      <c r="V57" s="674"/>
      <c r="W57" s="674"/>
      <c r="X57" s="675"/>
      <c r="Y57" s="675"/>
      <c r="Z57" s="44"/>
      <c r="AA57" s="44"/>
      <c r="AB57" s="44"/>
      <c r="AC57" s="69"/>
      <c r="AD57" s="69"/>
      <c r="AE57" s="44"/>
      <c r="AF57" s="44"/>
      <c r="AG57" s="44"/>
      <c r="AH57" s="69"/>
      <c r="AI57" s="69"/>
      <c r="AJ57" s="44"/>
      <c r="AK57" s="44"/>
      <c r="AL57" s="44"/>
      <c r="AM57" s="69"/>
      <c r="AN57" s="69"/>
      <c r="AO57" s="44"/>
      <c r="AP57" s="44"/>
      <c r="AQ57" s="44"/>
      <c r="AR57" s="69"/>
      <c r="AS57" s="69"/>
      <c r="AT57" s="44"/>
      <c r="AU57" s="44"/>
      <c r="AV57" s="44"/>
      <c r="AW57" s="69"/>
      <c r="AX57" s="69"/>
      <c r="AY57" s="44"/>
      <c r="AZ57" s="44"/>
      <c r="BA57" s="44"/>
      <c r="BB57" s="69"/>
      <c r="BC57" s="69"/>
      <c r="BD57" s="44"/>
      <c r="BE57" s="44"/>
      <c r="BF57" s="44"/>
      <c r="BG57" s="69"/>
      <c r="BH57" s="69"/>
      <c r="BI57" s="674"/>
      <c r="BJ57" s="674"/>
      <c r="BK57" s="674"/>
      <c r="BL57" s="675"/>
      <c r="BM57" s="675"/>
      <c r="BN57" s="674"/>
      <c r="BO57" s="674"/>
      <c r="BP57" s="674"/>
      <c r="BQ57" s="675"/>
      <c r="BR57" s="675"/>
    </row>
    <row r="58" spans="1:83" ht="6.75" hidden="1" customHeight="1" x14ac:dyDescent="0.25">
      <c r="A58" s="676"/>
      <c r="B58" s="676"/>
      <c r="C58" s="676"/>
      <c r="D58" s="29"/>
      <c r="E58" s="29"/>
      <c r="F58" s="676"/>
      <c r="G58" s="676"/>
      <c r="H58" s="676"/>
      <c r="I58" s="29"/>
      <c r="J58" s="29"/>
      <c r="K58" s="676"/>
      <c r="L58" s="676"/>
      <c r="M58" s="676"/>
      <c r="N58" s="29"/>
      <c r="O58" s="29"/>
      <c r="P58" s="676"/>
      <c r="Q58" s="676"/>
      <c r="R58" s="676"/>
      <c r="S58" s="29"/>
      <c r="T58" s="29"/>
      <c r="U58" s="676"/>
      <c r="V58" s="676"/>
      <c r="W58" s="676"/>
      <c r="X58" s="29"/>
      <c r="Y58" s="29"/>
      <c r="Z58" s="47"/>
      <c r="AA58" s="47"/>
      <c r="AB58" s="47"/>
      <c r="AC58" s="29"/>
      <c r="AD58" s="29"/>
      <c r="AE58" s="47"/>
      <c r="AF58" s="47"/>
      <c r="AG58" s="47"/>
      <c r="AH58" s="29"/>
      <c r="AI58" s="29"/>
      <c r="AJ58" s="47"/>
      <c r="AK58" s="47"/>
      <c r="AL58" s="47"/>
      <c r="AM58" s="29"/>
      <c r="AN58" s="29"/>
      <c r="AO58" s="47"/>
      <c r="AP58" s="47"/>
      <c r="AQ58" s="47"/>
      <c r="AR58" s="29"/>
      <c r="AS58" s="29"/>
      <c r="AT58" s="47"/>
      <c r="AU58" s="47"/>
      <c r="AV58" s="47"/>
      <c r="AW58" s="29"/>
      <c r="AX58" s="29"/>
      <c r="AY58" s="47"/>
      <c r="AZ58" s="47"/>
      <c r="BA58" s="47"/>
      <c r="BB58" s="29"/>
      <c r="BC58" s="29"/>
      <c r="BD58" s="47"/>
      <c r="BE58" s="47"/>
      <c r="BF58" s="47"/>
      <c r="BG58" s="29"/>
      <c r="BH58" s="29"/>
      <c r="BI58" s="676"/>
      <c r="BJ58" s="676"/>
      <c r="BK58" s="676"/>
      <c r="BL58" s="29"/>
      <c r="BM58" s="29"/>
      <c r="BN58" s="676"/>
      <c r="BO58" s="676"/>
      <c r="BP58" s="676"/>
      <c r="BQ58" s="29"/>
      <c r="BR58" s="29"/>
    </row>
    <row r="59" spans="1:83" ht="21.95" hidden="1" customHeight="1" x14ac:dyDescent="0.25">
      <c r="A59" s="676"/>
      <c r="B59" s="676"/>
      <c r="C59" s="676"/>
      <c r="D59" s="30"/>
      <c r="E59" s="29"/>
      <c r="F59" s="676"/>
      <c r="G59" s="676"/>
      <c r="H59" s="676"/>
      <c r="I59" s="30"/>
      <c r="J59" s="29"/>
      <c r="K59" s="676"/>
      <c r="L59" s="676"/>
      <c r="M59" s="676"/>
      <c r="N59" s="30"/>
      <c r="O59" s="29"/>
      <c r="P59" s="676"/>
      <c r="Q59" s="676"/>
      <c r="R59" s="676"/>
      <c r="S59" s="30"/>
      <c r="T59" s="29"/>
      <c r="U59" s="676"/>
      <c r="V59" s="676"/>
      <c r="W59" s="676"/>
      <c r="X59" s="30"/>
      <c r="Y59" s="29"/>
      <c r="Z59" s="47"/>
      <c r="AA59" s="47"/>
      <c r="AB59" s="47"/>
      <c r="AC59" s="30"/>
      <c r="AD59" s="29"/>
      <c r="AE59" s="47"/>
      <c r="AF59" s="47"/>
      <c r="AG59" s="47"/>
      <c r="AH59" s="30"/>
      <c r="AI59" s="29"/>
      <c r="AJ59" s="47"/>
      <c r="AK59" s="47"/>
      <c r="AL59" s="47"/>
      <c r="AM59" s="30"/>
      <c r="AN59" s="29"/>
      <c r="AO59" s="47"/>
      <c r="AP59" s="47"/>
      <c r="AQ59" s="47"/>
      <c r="AR59" s="30"/>
      <c r="AS59" s="29"/>
      <c r="AT59" s="47"/>
      <c r="AU59" s="47"/>
      <c r="AV59" s="47"/>
      <c r="AW59" s="30"/>
      <c r="AX59" s="29"/>
      <c r="AY59" s="47"/>
      <c r="AZ59" s="47"/>
      <c r="BA59" s="47"/>
      <c r="BB59" s="30"/>
      <c r="BC59" s="29"/>
      <c r="BD59" s="47"/>
      <c r="BE59" s="47"/>
      <c r="BF59" s="47"/>
      <c r="BG59" s="30"/>
      <c r="BH59" s="29"/>
      <c r="BI59" s="676"/>
      <c r="BJ59" s="676"/>
      <c r="BK59" s="676"/>
      <c r="BL59" s="30"/>
      <c r="BM59" s="29"/>
      <c r="BN59" s="676"/>
      <c r="BO59" s="676"/>
      <c r="BP59" s="676"/>
      <c r="BQ59" s="30"/>
      <c r="BR59" s="29"/>
    </row>
    <row r="60" spans="1:83" ht="6" hidden="1" customHeight="1" x14ac:dyDescent="0.25">
      <c r="A60" s="676"/>
      <c r="B60" s="676"/>
      <c r="C60" s="676"/>
      <c r="D60" s="675"/>
      <c r="E60" s="675"/>
      <c r="F60" s="676"/>
      <c r="G60" s="676"/>
      <c r="H60" s="676"/>
      <c r="I60" s="675"/>
      <c r="J60" s="675"/>
      <c r="K60" s="676"/>
      <c r="L60" s="676"/>
      <c r="M60" s="676"/>
      <c r="N60" s="675"/>
      <c r="O60" s="675"/>
      <c r="P60" s="676"/>
      <c r="Q60" s="676"/>
      <c r="R60" s="676"/>
      <c r="S60" s="675"/>
      <c r="T60" s="675"/>
      <c r="U60" s="676"/>
      <c r="V60" s="676"/>
      <c r="W60" s="676"/>
      <c r="X60" s="675"/>
      <c r="Y60" s="675"/>
      <c r="Z60" s="47"/>
      <c r="AA60" s="47"/>
      <c r="AB60" s="47"/>
      <c r="AC60" s="69"/>
      <c r="AD60" s="69"/>
      <c r="AE60" s="47"/>
      <c r="AF60" s="47"/>
      <c r="AG60" s="47"/>
      <c r="AH60" s="69"/>
      <c r="AI60" s="69"/>
      <c r="AJ60" s="47"/>
      <c r="AK60" s="47"/>
      <c r="AL60" s="47"/>
      <c r="AM60" s="69"/>
      <c r="AN60" s="69"/>
      <c r="AO60" s="47"/>
      <c r="AP60" s="47"/>
      <c r="AQ60" s="47"/>
      <c r="AR60" s="69"/>
      <c r="AS60" s="69"/>
      <c r="AT60" s="47"/>
      <c r="AU60" s="47"/>
      <c r="AV60" s="47"/>
      <c r="AW60" s="69"/>
      <c r="AX60" s="69"/>
      <c r="AY60" s="47"/>
      <c r="AZ60" s="47"/>
      <c r="BA60" s="47"/>
      <c r="BB60" s="69"/>
      <c r="BC60" s="69"/>
      <c r="BD60" s="47"/>
      <c r="BE60" s="47"/>
      <c r="BF60" s="47"/>
      <c r="BG60" s="69"/>
      <c r="BH60" s="69"/>
      <c r="BI60" s="676"/>
      <c r="BJ60" s="676"/>
      <c r="BK60" s="676"/>
      <c r="BL60" s="675"/>
      <c r="BM60" s="675"/>
      <c r="BN60" s="676"/>
      <c r="BO60" s="676"/>
      <c r="BP60" s="676"/>
      <c r="BQ60" s="675"/>
      <c r="BR60" s="675"/>
    </row>
    <row r="61" spans="1:83" ht="59.25" hidden="1" customHeight="1" thickBot="1" x14ac:dyDescent="0.3">
      <c r="A61" s="677"/>
      <c r="B61" s="678"/>
      <c r="C61" s="678"/>
      <c r="D61" s="678"/>
      <c r="E61" s="678"/>
      <c r="F61" s="677"/>
      <c r="G61" s="678"/>
      <c r="H61" s="678"/>
      <c r="I61" s="678"/>
      <c r="J61" s="678"/>
      <c r="K61" s="677"/>
      <c r="L61" s="678"/>
      <c r="M61" s="678"/>
      <c r="N61" s="678"/>
      <c r="O61" s="678"/>
      <c r="P61" s="677"/>
      <c r="Q61" s="678"/>
      <c r="R61" s="678"/>
      <c r="S61" s="678"/>
      <c r="T61" s="678"/>
      <c r="U61" s="677"/>
      <c r="V61" s="678"/>
      <c r="W61" s="678"/>
      <c r="X61" s="678"/>
      <c r="Y61" s="678"/>
      <c r="Z61" s="70"/>
      <c r="AA61" s="71"/>
      <c r="AB61" s="71"/>
      <c r="AC61" s="71"/>
      <c r="AD61" s="71"/>
      <c r="AE61" s="70"/>
      <c r="AF61" s="71"/>
      <c r="AG61" s="71"/>
      <c r="AH61" s="71"/>
      <c r="AI61" s="71"/>
      <c r="AJ61" s="70"/>
      <c r="AK61" s="71"/>
      <c r="AL61" s="71"/>
      <c r="AM61" s="71"/>
      <c r="AN61" s="71"/>
      <c r="AO61" s="70"/>
      <c r="AP61" s="71"/>
      <c r="AQ61" s="71"/>
      <c r="AR61" s="71"/>
      <c r="AS61" s="71"/>
      <c r="AT61" s="70"/>
      <c r="AU61" s="71"/>
      <c r="AV61" s="71"/>
      <c r="AW61" s="71"/>
      <c r="AX61" s="71"/>
      <c r="AY61" s="70"/>
      <c r="AZ61" s="71"/>
      <c r="BA61" s="71"/>
      <c r="BB61" s="71"/>
      <c r="BC61" s="71"/>
      <c r="BD61" s="70"/>
      <c r="BE61" s="71"/>
      <c r="BF61" s="71"/>
      <c r="BG61" s="71"/>
      <c r="BH61" s="71"/>
      <c r="BI61" s="677"/>
      <c r="BJ61" s="678"/>
      <c r="BK61" s="678"/>
      <c r="BL61" s="678"/>
      <c r="BM61" s="678"/>
      <c r="BN61" s="677"/>
      <c r="BO61" s="678"/>
      <c r="BP61" s="678"/>
      <c r="BQ61" s="678"/>
      <c r="BR61" s="678"/>
    </row>
    <row r="62" spans="1:83" ht="27" hidden="1" customHeight="1" thickBot="1" x14ac:dyDescent="0.3">
      <c r="A62" s="677"/>
      <c r="B62" s="32"/>
      <c r="C62" s="33"/>
      <c r="D62" s="34"/>
      <c r="E62" s="35"/>
      <c r="F62" s="677"/>
      <c r="G62" s="32"/>
      <c r="H62" s="33"/>
      <c r="I62" s="34"/>
      <c r="J62" s="35"/>
      <c r="K62" s="677"/>
      <c r="L62" s="32"/>
      <c r="M62" s="33"/>
      <c r="N62" s="34"/>
      <c r="O62" s="35"/>
      <c r="P62" s="677"/>
      <c r="Q62" s="32"/>
      <c r="R62" s="33"/>
      <c r="S62" s="34"/>
      <c r="T62" s="35"/>
      <c r="U62" s="677"/>
      <c r="V62" s="32"/>
      <c r="W62" s="33"/>
      <c r="X62" s="34"/>
      <c r="Y62" s="35"/>
      <c r="Z62" s="70"/>
      <c r="AA62" s="32"/>
      <c r="AB62" s="33"/>
      <c r="AC62" s="34"/>
      <c r="AD62" s="35"/>
      <c r="AE62" s="70"/>
      <c r="AF62" s="32"/>
      <c r="AG62" s="33"/>
      <c r="AH62" s="34"/>
      <c r="AI62" s="35"/>
      <c r="AJ62" s="70"/>
      <c r="AK62" s="32"/>
      <c r="AL62" s="33"/>
      <c r="AM62" s="34"/>
      <c r="AN62" s="35"/>
      <c r="AO62" s="70"/>
      <c r="AP62" s="32"/>
      <c r="AQ62" s="33"/>
      <c r="AR62" s="34"/>
      <c r="AS62" s="35"/>
      <c r="AT62" s="70"/>
      <c r="AU62" s="32"/>
      <c r="AV62" s="33"/>
      <c r="AW62" s="34"/>
      <c r="AX62" s="35"/>
      <c r="AY62" s="70"/>
      <c r="AZ62" s="32"/>
      <c r="BA62" s="33"/>
      <c r="BB62" s="34"/>
      <c r="BC62" s="35"/>
      <c r="BD62" s="70"/>
      <c r="BE62" s="32"/>
      <c r="BF62" s="33"/>
      <c r="BG62" s="34"/>
      <c r="BH62" s="35"/>
      <c r="BI62" s="677"/>
      <c r="BJ62" s="32"/>
      <c r="BK62" s="33"/>
      <c r="BL62" s="34"/>
      <c r="BM62" s="35"/>
      <c r="BN62" s="677"/>
      <c r="BO62" s="32"/>
      <c r="BP62" s="33"/>
      <c r="BQ62" s="34"/>
      <c r="BR62" s="35"/>
      <c r="BW62" s="27"/>
      <c r="BX62" s="27"/>
      <c r="BY62" s="27"/>
      <c r="BZ62" s="27"/>
      <c r="CA62" s="27"/>
      <c r="CB62" s="27"/>
      <c r="CC62" s="27"/>
      <c r="CD62" s="27"/>
      <c r="CE62" s="27"/>
    </row>
    <row r="63" spans="1:83" s="42" customFormat="1" ht="30" hidden="1" customHeight="1" thickTop="1" x14ac:dyDescent="0.25">
      <c r="A63" s="37"/>
      <c r="B63" s="38"/>
      <c r="C63" s="39"/>
      <c r="D63" s="40"/>
      <c r="E63" s="41"/>
      <c r="F63" s="37"/>
      <c r="G63" s="38"/>
      <c r="H63" s="39"/>
      <c r="I63" s="40"/>
      <c r="J63" s="41"/>
      <c r="K63" s="37"/>
      <c r="L63" s="38"/>
      <c r="M63" s="39"/>
      <c r="N63" s="40"/>
      <c r="O63" s="41"/>
      <c r="P63" s="37"/>
      <c r="Q63" s="38"/>
      <c r="R63" s="39"/>
      <c r="S63" s="40"/>
      <c r="T63" s="41"/>
      <c r="U63" s="37"/>
      <c r="V63" s="38"/>
      <c r="W63" s="38"/>
      <c r="X63" s="39"/>
      <c r="Y63" s="40"/>
      <c r="Z63" s="41"/>
      <c r="AA63" s="37"/>
      <c r="AB63" s="38"/>
      <c r="AC63" s="39"/>
      <c r="AD63" s="40"/>
      <c r="AE63" s="41"/>
      <c r="AF63" s="38"/>
      <c r="AG63" s="39"/>
      <c r="AH63" s="40"/>
      <c r="AI63" s="41"/>
      <c r="AJ63" s="37"/>
      <c r="AK63" s="38"/>
      <c r="AL63" s="39"/>
      <c r="AM63" s="40"/>
      <c r="AN63" s="41"/>
      <c r="AO63" s="38"/>
      <c r="AP63" s="39"/>
      <c r="AQ63" s="40"/>
      <c r="AR63" s="41"/>
      <c r="AS63" s="37"/>
      <c r="AT63" s="38"/>
      <c r="AU63" s="39"/>
      <c r="AV63" s="40"/>
      <c r="AW63" s="41"/>
      <c r="AX63" s="38"/>
      <c r="AY63" s="39"/>
      <c r="AZ63" s="40"/>
      <c r="BA63" s="41"/>
      <c r="BB63" s="37"/>
      <c r="BC63" s="38"/>
      <c r="BD63" s="39"/>
      <c r="BE63" s="40"/>
      <c r="BF63" s="41"/>
      <c r="BG63" s="38"/>
      <c r="BH63" s="39"/>
      <c r="BI63" s="40"/>
      <c r="BJ63" s="41"/>
      <c r="BK63" s="37"/>
      <c r="BL63" s="38"/>
      <c r="BM63" s="39"/>
      <c r="BN63" s="40"/>
      <c r="BO63" s="41"/>
      <c r="BP63" s="38"/>
      <c r="BQ63" s="39"/>
      <c r="BR63" s="40"/>
      <c r="BW63" s="43"/>
      <c r="BX63" s="43"/>
      <c r="BY63" s="43"/>
      <c r="BZ63" s="43"/>
      <c r="CA63" s="43"/>
      <c r="CB63" s="43"/>
      <c r="CC63" s="43"/>
      <c r="CD63" s="43"/>
      <c r="CE63" s="43"/>
    </row>
    <row r="64" spans="1:83" ht="21.95" hidden="1" customHeight="1" x14ac:dyDescent="0.25">
      <c r="A64" s="674"/>
      <c r="B64" s="674"/>
      <c r="C64" s="674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45"/>
      <c r="BD64" s="45"/>
      <c r="BE64" s="45"/>
      <c r="BF64" s="45"/>
      <c r="BG64" s="45"/>
      <c r="BH64" s="45"/>
      <c r="BI64" s="45"/>
      <c r="BJ64" s="45"/>
      <c r="BK64" s="45"/>
      <c r="BL64" s="45"/>
      <c r="BM64" s="45"/>
      <c r="BN64" s="45"/>
      <c r="BO64" s="45"/>
      <c r="BP64" s="45"/>
      <c r="BQ64" s="45"/>
      <c r="BR64" s="45"/>
    </row>
    <row r="65" spans="1:90" ht="6.75" customHeight="1" x14ac:dyDescent="0.25">
      <c r="A65" s="676"/>
      <c r="B65" s="676"/>
      <c r="C65" s="676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5"/>
      <c r="AW65" s="45"/>
      <c r="AX65" s="45"/>
      <c r="AY65" s="45"/>
      <c r="AZ65" s="45"/>
      <c r="BA65" s="45"/>
      <c r="BB65" s="45"/>
      <c r="BC65" s="45"/>
      <c r="BD65" s="45"/>
      <c r="BE65" s="45"/>
      <c r="BF65" s="45"/>
      <c r="BG65" s="45"/>
      <c r="BH65" s="45"/>
      <c r="BI65" s="45"/>
      <c r="BJ65" s="45"/>
      <c r="BK65" s="45"/>
      <c r="BL65" s="45"/>
      <c r="BM65" s="45"/>
      <c r="BN65" s="45"/>
      <c r="BO65" s="45"/>
      <c r="BP65" s="45"/>
      <c r="BQ65" s="45"/>
      <c r="BR65" s="45"/>
    </row>
    <row r="66" spans="1:90" ht="37.5" hidden="1" customHeight="1" x14ac:dyDescent="0.25">
      <c r="A66" s="676"/>
      <c r="B66" s="676"/>
      <c r="C66" s="676"/>
      <c r="D66" s="49"/>
      <c r="E66" s="49"/>
      <c r="F66" s="49"/>
      <c r="G66" s="49"/>
      <c r="H66" s="49"/>
      <c r="I66" s="49"/>
      <c r="J66" s="49"/>
      <c r="K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5"/>
      <c r="BF66" s="45"/>
      <c r="BG66" s="45"/>
      <c r="BH66" s="45"/>
      <c r="BI66" s="45"/>
      <c r="BJ66" s="45"/>
      <c r="BK66" s="45"/>
      <c r="BL66" s="45"/>
      <c r="BM66" s="45"/>
      <c r="BN66" s="45"/>
      <c r="BO66" s="45"/>
      <c r="BP66" s="45"/>
      <c r="BQ66" s="45"/>
      <c r="BR66" s="45"/>
    </row>
    <row r="67" spans="1:90" ht="6" hidden="1" customHeight="1" x14ac:dyDescent="0.25">
      <c r="A67" s="676"/>
      <c r="B67" s="676"/>
      <c r="C67" s="676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  <c r="AT67" s="45"/>
      <c r="AU67" s="45"/>
      <c r="AV67" s="45"/>
      <c r="AW67" s="45"/>
      <c r="AX67" s="45"/>
      <c r="AY67" s="45"/>
      <c r="AZ67" s="45"/>
      <c r="BA67" s="45"/>
      <c r="BB67" s="45"/>
      <c r="BC67" s="45"/>
      <c r="BD67" s="45"/>
      <c r="BE67" s="45"/>
      <c r="BF67" s="45"/>
      <c r="BG67" s="45"/>
      <c r="BH67" s="45"/>
      <c r="BI67" s="45"/>
      <c r="BJ67" s="45"/>
      <c r="BK67" s="45"/>
      <c r="BL67" s="45"/>
      <c r="BM67" s="45"/>
      <c r="BN67" s="45"/>
      <c r="BO67" s="45"/>
      <c r="BP67" s="45"/>
      <c r="BQ67" s="45"/>
      <c r="BR67" s="45"/>
    </row>
    <row r="68" spans="1:90" ht="30" hidden="1" customHeight="1" x14ac:dyDescent="0.25">
      <c r="B68" s="17"/>
      <c r="D68" s="45"/>
      <c r="E68" s="45"/>
      <c r="F68" s="45"/>
      <c r="G68" s="45"/>
      <c r="H68" s="45"/>
      <c r="I68" s="45"/>
      <c r="J68" s="45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49"/>
      <c r="BC68" s="49"/>
      <c r="BD68" s="49"/>
      <c r="BE68" s="49"/>
      <c r="BF68" s="49"/>
      <c r="BG68" s="49"/>
      <c r="BH68" s="49"/>
      <c r="BI68" s="49"/>
      <c r="BJ68" s="49"/>
      <c r="BK68" s="49"/>
      <c r="BL68" s="49"/>
      <c r="BM68" s="49"/>
      <c r="BN68" s="49"/>
      <c r="BO68" s="49"/>
      <c r="BP68" s="49"/>
      <c r="BQ68" s="49"/>
      <c r="BR68" s="49"/>
      <c r="BS68" s="50"/>
      <c r="BT68" s="50"/>
      <c r="BW68" s="51"/>
      <c r="BX68" s="51"/>
      <c r="BY68" s="51"/>
      <c r="BZ68" s="51"/>
      <c r="CA68" s="51"/>
      <c r="CB68" s="51"/>
      <c r="CC68" s="27"/>
      <c r="CD68" s="27"/>
      <c r="CE68" s="27"/>
      <c r="CG68" s="27"/>
      <c r="CH68" s="27"/>
      <c r="CI68" s="27"/>
      <c r="CJ68" s="27"/>
      <c r="CK68" s="27"/>
      <c r="CL68" s="27"/>
    </row>
    <row r="69" spans="1:90" ht="34.5" hidden="1" customHeight="1" x14ac:dyDescent="0.25"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5"/>
      <c r="AW69" s="45"/>
      <c r="AX69" s="45"/>
      <c r="AY69" s="45"/>
      <c r="AZ69" s="45"/>
      <c r="BA69" s="45"/>
      <c r="BB69" s="45"/>
      <c r="BC69" s="45"/>
      <c r="BD69" s="45"/>
      <c r="BE69" s="45"/>
      <c r="BF69" s="45"/>
      <c r="BG69" s="45"/>
      <c r="BH69" s="45"/>
      <c r="BI69" s="45"/>
      <c r="BJ69" s="45"/>
      <c r="BK69" s="45"/>
      <c r="BL69" s="45"/>
      <c r="BM69" s="45"/>
      <c r="BN69" s="45"/>
      <c r="BO69" s="45"/>
      <c r="BP69" s="45"/>
      <c r="BQ69" s="45"/>
      <c r="BR69" s="45"/>
      <c r="BS69" s="50"/>
      <c r="BT69" s="50"/>
      <c r="BW69" s="27"/>
      <c r="BX69" s="27"/>
      <c r="BY69" s="27"/>
      <c r="BZ69" s="27"/>
      <c r="CA69" s="27"/>
      <c r="CB69" s="27"/>
      <c r="CC69" s="27"/>
      <c r="CD69" s="27"/>
      <c r="CE69" s="27"/>
      <c r="CG69" s="27"/>
      <c r="CH69" s="27"/>
      <c r="CI69" s="27"/>
      <c r="CJ69" s="27"/>
      <c r="CK69" s="27"/>
      <c r="CL69" s="27"/>
    </row>
    <row r="70" spans="1:90" ht="15" hidden="1" customHeight="1" x14ac:dyDescent="0.25">
      <c r="G70" s="45"/>
      <c r="H70" s="45"/>
      <c r="I70" s="45"/>
      <c r="J70" s="52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5"/>
      <c r="AW70" s="45"/>
      <c r="AX70" s="45"/>
      <c r="AY70" s="45"/>
      <c r="AZ70" s="45"/>
      <c r="BA70" s="45"/>
      <c r="BB70" s="45"/>
      <c r="BC70" s="45"/>
      <c r="BD70" s="45"/>
      <c r="BE70" s="45"/>
      <c r="BF70" s="45"/>
      <c r="BG70" s="45"/>
      <c r="BH70" s="45"/>
      <c r="BI70" s="45"/>
      <c r="BJ70" s="45"/>
      <c r="BK70" s="45"/>
      <c r="BL70" s="45"/>
      <c r="BM70" s="45"/>
      <c r="BN70" s="45"/>
      <c r="BO70" s="45"/>
      <c r="BP70" s="45"/>
      <c r="BQ70" s="45"/>
      <c r="BR70" s="45"/>
      <c r="BS70" s="50"/>
      <c r="BT70" s="50"/>
      <c r="BW70" s="27"/>
      <c r="BX70" s="27"/>
      <c r="BY70" s="27"/>
      <c r="BZ70" s="27"/>
      <c r="CA70" s="27"/>
      <c r="CB70" s="27"/>
      <c r="CC70" s="27"/>
      <c r="CD70" s="27"/>
      <c r="CE70" s="27"/>
      <c r="CG70" s="27"/>
      <c r="CH70" s="27"/>
      <c r="CI70" s="27"/>
      <c r="CJ70" s="27"/>
      <c r="CK70" s="27"/>
      <c r="CL70" s="27"/>
    </row>
    <row r="71" spans="1:90" ht="16.5" customHeight="1" x14ac:dyDescent="0.25">
      <c r="G71" s="45"/>
      <c r="H71" s="45"/>
      <c r="I71" s="45"/>
      <c r="J71" s="52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38"/>
      <c r="X71" s="39"/>
      <c r="Y71" s="40"/>
      <c r="Z71" s="41"/>
      <c r="AA71" s="37"/>
      <c r="AB71" s="38"/>
      <c r="AC71" s="39"/>
      <c r="AD71" s="40"/>
      <c r="AE71" s="41"/>
      <c r="AF71" s="38"/>
      <c r="AG71" s="39"/>
      <c r="AH71" s="40"/>
      <c r="AI71" s="41"/>
      <c r="AJ71" s="37"/>
      <c r="AK71" s="38"/>
      <c r="AL71" s="39"/>
      <c r="AM71" s="40"/>
      <c r="AN71" s="41"/>
      <c r="AO71" s="38"/>
      <c r="AP71" s="39"/>
      <c r="AQ71" s="40"/>
      <c r="AR71" s="41"/>
      <c r="AS71" s="37"/>
      <c r="AT71" s="38"/>
      <c r="AU71" s="39"/>
      <c r="AV71" s="40"/>
      <c r="AW71" s="41"/>
      <c r="AX71" s="38"/>
      <c r="AY71" s="39"/>
      <c r="AZ71" s="40"/>
      <c r="BA71" s="41"/>
      <c r="BB71" s="37"/>
      <c r="BC71" s="38"/>
      <c r="BD71" s="39"/>
      <c r="BE71" s="40"/>
      <c r="BF71" s="41"/>
      <c r="BG71" s="38"/>
      <c r="BH71" s="39"/>
      <c r="BI71" s="40"/>
      <c r="BJ71" s="41"/>
      <c r="BK71" s="37"/>
      <c r="BL71" s="38"/>
      <c r="BM71" s="39"/>
      <c r="BN71" s="40"/>
      <c r="BO71" s="41"/>
      <c r="BP71" s="38"/>
      <c r="BQ71" s="39"/>
      <c r="BR71" s="40"/>
      <c r="BS71" s="50"/>
      <c r="BT71" s="50"/>
      <c r="BW71" s="27"/>
      <c r="BX71" s="27"/>
      <c r="BY71" s="27"/>
      <c r="BZ71" s="27"/>
      <c r="CA71" s="27"/>
      <c r="CB71" s="27"/>
      <c r="CC71" s="27"/>
      <c r="CD71" s="27"/>
      <c r="CE71" s="27"/>
      <c r="CG71" s="27"/>
      <c r="CH71" s="27"/>
      <c r="CI71" s="27"/>
      <c r="CJ71" s="27"/>
      <c r="CK71" s="27"/>
      <c r="CL71" s="27"/>
    </row>
    <row r="72" spans="1:90" ht="15" hidden="1" customHeight="1" x14ac:dyDescent="0.25">
      <c r="G72" s="49"/>
      <c r="H72" s="49"/>
      <c r="I72" s="49"/>
      <c r="J72" s="52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  <c r="BC72" s="45"/>
      <c r="BD72" s="45"/>
      <c r="BE72" s="45"/>
      <c r="BF72" s="45"/>
      <c r="BG72" s="45"/>
      <c r="BH72" s="45"/>
      <c r="BI72" s="45"/>
      <c r="BJ72" s="45"/>
      <c r="BK72" s="45"/>
      <c r="BL72" s="45"/>
      <c r="BM72" s="45"/>
      <c r="BN72" s="45"/>
      <c r="BO72" s="45"/>
      <c r="BP72" s="45"/>
      <c r="BQ72" s="45"/>
      <c r="BR72" s="45"/>
      <c r="BS72" s="53"/>
      <c r="BT72" s="53"/>
    </row>
    <row r="73" spans="1:90" ht="22.5" hidden="1" customHeight="1" x14ac:dyDescent="0.25">
      <c r="G73" s="45"/>
      <c r="H73" s="45"/>
      <c r="I73" s="45"/>
      <c r="J73" s="52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45"/>
      <c r="AW73" s="45"/>
      <c r="AX73" s="45"/>
      <c r="AY73" s="45"/>
      <c r="AZ73" s="45"/>
      <c r="BA73" s="45"/>
      <c r="BB73" s="45"/>
      <c r="BC73" s="45"/>
      <c r="BD73" s="45"/>
      <c r="BE73" s="45"/>
      <c r="BF73" s="45"/>
      <c r="BG73" s="45"/>
      <c r="BH73" s="45"/>
      <c r="BI73" s="45"/>
      <c r="BJ73" s="45"/>
      <c r="BK73" s="45"/>
      <c r="BL73" s="45"/>
      <c r="BM73" s="45"/>
      <c r="BN73" s="45"/>
      <c r="BO73" s="45"/>
      <c r="BP73" s="45"/>
      <c r="BQ73" s="45"/>
      <c r="BR73" s="45"/>
      <c r="BS73" s="53"/>
      <c r="BT73" s="53"/>
    </row>
    <row r="74" spans="1:90" ht="23.25" x14ac:dyDescent="0.35">
      <c r="A74" s="54"/>
      <c r="E74" s="54"/>
      <c r="F74" s="54"/>
      <c r="G74" s="54"/>
      <c r="H74" s="54"/>
      <c r="I74" s="54"/>
      <c r="J74" s="54"/>
      <c r="K74" s="54"/>
    </row>
    <row r="75" spans="1:90" ht="24" thickBot="1" x14ac:dyDescent="0.4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X75" s="55"/>
    </row>
    <row r="76" spans="1:90" ht="15.75" customHeight="1" thickTop="1" x14ac:dyDescent="0.25">
      <c r="AD76" s="775">
        <v>85.99</v>
      </c>
      <c r="AE76" s="776"/>
      <c r="AF76" s="776"/>
      <c r="AG76" s="776"/>
      <c r="AH76" s="777"/>
      <c r="AL76" s="727" t="s">
        <v>122</v>
      </c>
      <c r="AM76" s="727"/>
      <c r="AN76" s="727"/>
      <c r="AO76" s="727" t="s">
        <v>123</v>
      </c>
      <c r="AP76" s="727"/>
      <c r="AQ76" s="727"/>
      <c r="AR76" s="727" t="s">
        <v>124</v>
      </c>
      <c r="AS76" s="727"/>
      <c r="AT76" s="727" t="s">
        <v>125</v>
      </c>
      <c r="AU76" s="727"/>
      <c r="AY76" s="739" t="s">
        <v>126</v>
      </c>
      <c r="AZ76" s="740"/>
      <c r="BA76" s="740"/>
      <c r="BB76" s="740"/>
      <c r="BC76" s="740"/>
      <c r="BD76" s="740"/>
      <c r="BE76" s="740"/>
      <c r="BF76" s="740"/>
      <c r="BG76" s="740"/>
      <c r="BH76" s="741"/>
      <c r="BI76" s="13"/>
      <c r="BJ76" s="13"/>
      <c r="BK76" s="13"/>
      <c r="BL76" s="13"/>
      <c r="BM76" s="13"/>
      <c r="BN76" s="13"/>
      <c r="BO76" s="13"/>
      <c r="BP76" s="13"/>
      <c r="BQ76" s="13"/>
      <c r="BR76" s="13"/>
    </row>
    <row r="77" spans="1:90" ht="15" customHeight="1" x14ac:dyDescent="0.25">
      <c r="O77" s="114" t="s">
        <v>127</v>
      </c>
      <c r="P77" s="114"/>
      <c r="Q77" s="114"/>
      <c r="R77" s="114"/>
      <c r="S77" s="114"/>
      <c r="T77" s="114"/>
      <c r="U77" s="114"/>
      <c r="V77" s="114"/>
      <c r="AD77" s="778"/>
      <c r="AE77" s="779"/>
      <c r="AF77" s="779"/>
      <c r="AG77" s="779"/>
      <c r="AH77" s="780"/>
      <c r="AL77" s="727"/>
      <c r="AM77" s="727"/>
      <c r="AN77" s="727"/>
      <c r="AO77" s="727"/>
      <c r="AP77" s="727"/>
      <c r="AQ77" s="727"/>
      <c r="AR77" s="727"/>
      <c r="AS77" s="727"/>
      <c r="AT77" s="727"/>
      <c r="AU77" s="727"/>
      <c r="AY77" s="750"/>
      <c r="AZ77" s="751"/>
      <c r="BA77" s="751"/>
      <c r="BB77" s="751"/>
      <c r="BC77" s="751"/>
      <c r="BD77" s="751"/>
      <c r="BE77" s="751"/>
      <c r="BF77" s="751"/>
      <c r="BG77" s="751"/>
      <c r="BH77" s="752"/>
      <c r="BI77" s="13"/>
      <c r="BJ77" s="13"/>
      <c r="BK77" s="13"/>
      <c r="BL77" s="13"/>
      <c r="BM77" s="13"/>
      <c r="BN77" s="13"/>
      <c r="BO77" s="13"/>
      <c r="BP77" s="13"/>
      <c r="BQ77" s="13"/>
      <c r="BR77" s="13"/>
    </row>
    <row r="78" spans="1:90" ht="15" customHeight="1" x14ac:dyDescent="0.25">
      <c r="O78" s="114"/>
      <c r="P78" s="114"/>
      <c r="Q78" s="114"/>
      <c r="R78" s="114"/>
      <c r="S78" s="114"/>
      <c r="T78" s="114"/>
      <c r="U78" s="114"/>
      <c r="V78" s="114"/>
      <c r="AA78" s="56"/>
      <c r="AD78" s="778"/>
      <c r="AE78" s="779"/>
      <c r="AF78" s="779"/>
      <c r="AG78" s="779"/>
      <c r="AH78" s="780"/>
      <c r="AL78" s="727"/>
      <c r="AM78" s="727"/>
      <c r="AN78" s="727"/>
      <c r="AO78" s="727"/>
      <c r="AP78" s="727"/>
      <c r="AQ78" s="727"/>
      <c r="AR78" s="727"/>
      <c r="AS78" s="727"/>
      <c r="AT78" s="727"/>
      <c r="AU78" s="727"/>
      <c r="AY78" s="742"/>
      <c r="AZ78" s="743"/>
      <c r="BA78" s="743"/>
      <c r="BB78" s="743"/>
      <c r="BC78" s="743"/>
      <c r="BD78" s="743"/>
      <c r="BE78" s="743"/>
      <c r="BF78" s="743"/>
      <c r="BG78" s="743"/>
      <c r="BH78" s="744"/>
      <c r="BI78" s="13"/>
      <c r="BJ78" s="13"/>
      <c r="BK78" s="13"/>
      <c r="BL78" s="13"/>
      <c r="BM78" s="13"/>
      <c r="BN78" s="13"/>
      <c r="BO78" s="13"/>
      <c r="BP78" s="13"/>
      <c r="BQ78" s="13"/>
      <c r="BR78" s="13"/>
    </row>
    <row r="79" spans="1:90" ht="15" customHeight="1" x14ac:dyDescent="0.25">
      <c r="O79" s="114"/>
      <c r="P79" s="114"/>
      <c r="Q79" s="114"/>
      <c r="R79" s="114"/>
      <c r="S79" s="114"/>
      <c r="T79" s="114"/>
      <c r="U79" s="114"/>
      <c r="V79" s="114"/>
      <c r="AD79" s="778"/>
      <c r="AE79" s="779"/>
      <c r="AF79" s="779"/>
      <c r="AG79" s="779"/>
      <c r="AH79" s="780"/>
      <c r="AL79" s="774">
        <v>2470</v>
      </c>
      <c r="AM79" s="774"/>
      <c r="AN79" s="774"/>
      <c r="AO79" s="774">
        <f ca="1">AT95</f>
        <v>2470</v>
      </c>
      <c r="AP79" s="774"/>
      <c r="AQ79" s="774"/>
      <c r="AR79" s="726">
        <f>AS40</f>
        <v>85.994601000999978</v>
      </c>
      <c r="AS79" s="726"/>
      <c r="AT79" s="726">
        <f>AS40+BJ42</f>
        <v>103.99460100099998</v>
      </c>
      <c r="AU79" s="726"/>
      <c r="AY79" s="727" t="s">
        <v>128</v>
      </c>
      <c r="AZ79" s="727"/>
      <c r="BA79" s="727"/>
      <c r="BB79" s="727"/>
      <c r="BC79" s="727"/>
      <c r="BD79" s="727"/>
      <c r="BE79" s="727"/>
      <c r="BF79" s="727"/>
      <c r="BG79" s="727"/>
      <c r="BH79" s="727"/>
      <c r="BI79" s="13"/>
      <c r="BJ79" s="13"/>
      <c r="BK79" s="13"/>
      <c r="BL79" s="13"/>
      <c r="BM79" s="13"/>
      <c r="BN79" s="13"/>
      <c r="BO79" s="13"/>
      <c r="BP79" s="13"/>
      <c r="BQ79" s="13"/>
      <c r="BR79" s="13"/>
    </row>
    <row r="80" spans="1:90" ht="15" customHeight="1" x14ac:dyDescent="0.25">
      <c r="O80" s="114"/>
      <c r="P80" s="114"/>
      <c r="Q80" s="114"/>
      <c r="R80" s="114"/>
      <c r="S80" s="114"/>
      <c r="T80" s="114"/>
      <c r="U80" s="114"/>
      <c r="V80" s="114"/>
      <c r="AD80" s="778"/>
      <c r="AE80" s="779"/>
      <c r="AF80" s="779"/>
      <c r="AG80" s="779"/>
      <c r="AH80" s="780"/>
      <c r="AL80" s="774"/>
      <c r="AM80" s="774"/>
      <c r="AN80" s="774"/>
      <c r="AO80" s="774"/>
      <c r="AP80" s="774"/>
      <c r="AQ80" s="774"/>
      <c r="AR80" s="726"/>
      <c r="AS80" s="726"/>
      <c r="AT80" s="726"/>
      <c r="AU80" s="726"/>
      <c r="AY80" s="727"/>
      <c r="AZ80" s="727"/>
      <c r="BA80" s="727"/>
      <c r="BB80" s="727"/>
      <c r="BC80" s="727"/>
      <c r="BD80" s="727"/>
      <c r="BE80" s="727"/>
      <c r="BF80" s="727"/>
      <c r="BG80" s="727"/>
      <c r="BH80" s="727"/>
      <c r="BI80" s="13"/>
      <c r="BJ80" s="13"/>
      <c r="BK80" s="13"/>
      <c r="BL80" s="13"/>
      <c r="BM80" s="13"/>
      <c r="BN80" s="13"/>
      <c r="BO80" s="13"/>
      <c r="BP80" s="13"/>
      <c r="BQ80" s="13"/>
      <c r="BR80" s="13"/>
    </row>
    <row r="81" spans="15:70" ht="15" customHeight="1" x14ac:dyDescent="0.25">
      <c r="O81" s="114"/>
      <c r="P81" s="114"/>
      <c r="Q81" s="114"/>
      <c r="R81" s="114"/>
      <c r="S81" s="114"/>
      <c r="T81" s="114"/>
      <c r="U81" s="114"/>
      <c r="V81" s="114"/>
      <c r="AD81" s="778"/>
      <c r="AE81" s="779"/>
      <c r="AF81" s="779"/>
      <c r="AG81" s="779"/>
      <c r="AH81" s="780"/>
      <c r="AL81" s="774"/>
      <c r="AM81" s="774"/>
      <c r="AN81" s="774"/>
      <c r="AO81" s="774"/>
      <c r="AP81" s="774"/>
      <c r="AQ81" s="774"/>
      <c r="AR81" s="726"/>
      <c r="AS81" s="726"/>
      <c r="AT81" s="726"/>
      <c r="AU81" s="726"/>
      <c r="AY81" s="728">
        <f ca="1">AR79/((36*3.1415/59)*(AO79/3.281))</f>
        <v>5.95926790117145E-2</v>
      </c>
      <c r="AZ81" s="729"/>
      <c r="BA81" s="729"/>
      <c r="BB81" s="729"/>
      <c r="BC81" s="729"/>
      <c r="BD81" s="729"/>
      <c r="BE81" s="729"/>
      <c r="BF81" s="729"/>
      <c r="BG81" s="729"/>
      <c r="BH81" s="730"/>
      <c r="BI81" s="57"/>
      <c r="BJ81" s="57"/>
      <c r="BK81" s="57"/>
      <c r="BL81" s="57"/>
      <c r="BM81" s="57"/>
      <c r="BN81" s="57"/>
      <c r="BO81" s="57"/>
      <c r="BP81" s="57"/>
      <c r="BQ81" s="57"/>
      <c r="BR81" s="57"/>
    </row>
    <row r="82" spans="15:70" ht="15.75" customHeight="1" thickBot="1" x14ac:dyDescent="0.3">
      <c r="AD82" s="781"/>
      <c r="AE82" s="782"/>
      <c r="AF82" s="782"/>
      <c r="AG82" s="782"/>
      <c r="AH82" s="783"/>
      <c r="AL82" s="774"/>
      <c r="AM82" s="774"/>
      <c r="AN82" s="774"/>
      <c r="AO82" s="774"/>
      <c r="AP82" s="774"/>
      <c r="AQ82" s="774"/>
      <c r="AR82" s="726"/>
      <c r="AS82" s="726"/>
      <c r="AT82" s="726"/>
      <c r="AU82" s="726"/>
      <c r="AY82" s="731"/>
      <c r="AZ82" s="732"/>
      <c r="BA82" s="732"/>
      <c r="BB82" s="732"/>
      <c r="BC82" s="732"/>
      <c r="BD82" s="732"/>
      <c r="BE82" s="732"/>
      <c r="BF82" s="732"/>
      <c r="BG82" s="732"/>
      <c r="BH82" s="733"/>
      <c r="BI82" s="57"/>
      <c r="BJ82" s="57"/>
      <c r="BK82" s="57"/>
      <c r="BL82" s="57"/>
      <c r="BM82" s="57"/>
      <c r="BN82" s="57"/>
      <c r="BO82" s="57"/>
      <c r="BP82" s="57"/>
      <c r="BQ82" s="57"/>
      <c r="BR82" s="57"/>
    </row>
    <row r="83" spans="15:70" ht="15.75" customHeight="1" thickTop="1" x14ac:dyDescent="0.25">
      <c r="AY83" s="734"/>
      <c r="AZ83" s="735"/>
      <c r="BA83" s="735"/>
      <c r="BB83" s="735"/>
      <c r="BC83" s="735"/>
      <c r="BD83" s="735"/>
      <c r="BE83" s="735"/>
      <c r="BF83" s="735"/>
      <c r="BG83" s="735"/>
      <c r="BH83" s="736"/>
      <c r="BI83" s="57"/>
      <c r="BJ83" s="57"/>
      <c r="BK83" s="57"/>
      <c r="BL83" s="57"/>
      <c r="BM83" s="57"/>
      <c r="BN83" s="57"/>
      <c r="BO83" s="57"/>
      <c r="BP83" s="57"/>
      <c r="BQ83" s="57"/>
      <c r="BR83" s="57"/>
    </row>
    <row r="84" spans="15:70" x14ac:dyDescent="0.25">
      <c r="AY84" s="739" t="s">
        <v>129</v>
      </c>
      <c r="AZ84" s="740"/>
      <c r="BA84" s="740"/>
      <c r="BB84" s="740"/>
      <c r="BC84" s="740"/>
      <c r="BD84" s="740"/>
      <c r="BE84" s="740"/>
      <c r="BF84" s="740"/>
      <c r="BG84" s="740"/>
      <c r="BH84" s="741"/>
      <c r="BI84" s="13"/>
      <c r="BJ84" s="13"/>
      <c r="BK84" s="13"/>
      <c r="BL84" s="13"/>
      <c r="BM84" s="13"/>
      <c r="BN84" s="13"/>
      <c r="BO84" s="13"/>
      <c r="BP84" s="13"/>
      <c r="BQ84" s="13"/>
      <c r="BR84" s="13"/>
    </row>
    <row r="85" spans="15:70" x14ac:dyDescent="0.25">
      <c r="AY85" s="742"/>
      <c r="AZ85" s="743"/>
      <c r="BA85" s="743"/>
      <c r="BB85" s="743"/>
      <c r="BC85" s="743"/>
      <c r="BD85" s="743"/>
      <c r="BE85" s="743"/>
      <c r="BF85" s="743"/>
      <c r="BG85" s="743"/>
      <c r="BH85" s="744"/>
      <c r="BI85" s="13"/>
      <c r="BJ85" s="13"/>
      <c r="BK85" s="13"/>
      <c r="BL85" s="13"/>
      <c r="BM85" s="13"/>
      <c r="BN85" s="13"/>
      <c r="BO85" s="13"/>
      <c r="BP85" s="13"/>
      <c r="BQ85" s="13"/>
      <c r="BR85" s="13"/>
    </row>
    <row r="86" spans="15:70" ht="15" customHeight="1" x14ac:dyDescent="0.25">
      <c r="AN86" s="1255">
        <v>65</v>
      </c>
      <c r="AO86" s="1255"/>
      <c r="AP86" s="1255"/>
      <c r="AQ86" s="746" cm="1">
        <f t="array" aca="1" ref="AQ86" ca="1">SUM(COUNTIF(INDIRECT({"B8","G8","L8","Q8","V8","AA8","AF8","AK8","AP8","AU8","AZ8","BE8","BJ8","BO8","B14","G14","L14","Q14","V14","AA14","AF14","AK14","AP14","AU14","AZ14","BE14","BJ14","BO14","B20","G20","L20","Q20","V20","AA20","AF20","AK20","AP20","AU20"}),"&gt;0"))</f>
        <v>38</v>
      </c>
      <c r="AR86" s="746"/>
      <c r="AS86" s="746"/>
      <c r="AT86" s="747">
        <f ca="1">AQ86*AN86</f>
        <v>2470</v>
      </c>
      <c r="AU86" s="748"/>
      <c r="AV86" s="748"/>
      <c r="AW86" s="749"/>
      <c r="AY86" s="739" t="s">
        <v>130</v>
      </c>
      <c r="AZ86" s="740"/>
      <c r="BA86" s="740"/>
      <c r="BB86" s="740"/>
      <c r="BC86" s="740"/>
      <c r="BD86" s="740"/>
      <c r="BE86" s="740"/>
      <c r="BF86" s="740"/>
      <c r="BG86" s="740"/>
      <c r="BH86" s="741"/>
      <c r="BI86" s="13"/>
      <c r="BJ86" s="13"/>
      <c r="BK86" s="13"/>
      <c r="BL86" s="13"/>
      <c r="BM86" s="13"/>
      <c r="BN86" s="13"/>
      <c r="BO86" s="13"/>
      <c r="BP86" s="13"/>
      <c r="BQ86" s="13"/>
      <c r="BR86" s="13"/>
    </row>
    <row r="87" spans="15:70" ht="15" customHeight="1" x14ac:dyDescent="0.25">
      <c r="AN87" s="1255"/>
      <c r="AO87" s="1255"/>
      <c r="AP87" s="1255"/>
      <c r="AQ87" s="746"/>
      <c r="AR87" s="746"/>
      <c r="AS87" s="746"/>
      <c r="AT87" s="747"/>
      <c r="AU87" s="748"/>
      <c r="AV87" s="748"/>
      <c r="AW87" s="749"/>
      <c r="AY87" s="750"/>
      <c r="AZ87" s="751"/>
      <c r="BA87" s="751"/>
      <c r="BB87" s="751"/>
      <c r="BC87" s="751"/>
      <c r="BD87" s="751"/>
      <c r="BE87" s="751"/>
      <c r="BF87" s="751"/>
      <c r="BG87" s="751"/>
      <c r="BH87" s="752"/>
      <c r="BI87" s="13"/>
      <c r="BJ87" s="13"/>
      <c r="BK87" s="13"/>
      <c r="BL87" s="13"/>
      <c r="BM87" s="13"/>
      <c r="BN87" s="13"/>
      <c r="BO87" s="13"/>
      <c r="BP87" s="13"/>
      <c r="BQ87" s="13"/>
      <c r="BR87" s="13"/>
    </row>
    <row r="88" spans="15:70" ht="15" customHeight="1" x14ac:dyDescent="0.25">
      <c r="AN88" s="1255"/>
      <c r="AO88" s="1255"/>
      <c r="AP88" s="1255"/>
      <c r="AQ88" s="746"/>
      <c r="AR88" s="746"/>
      <c r="AS88" s="746"/>
      <c r="AT88" s="747"/>
      <c r="AU88" s="748"/>
      <c r="AV88" s="748"/>
      <c r="AW88" s="749"/>
      <c r="AY88" s="750"/>
      <c r="AZ88" s="751"/>
      <c r="BA88" s="751"/>
      <c r="BB88" s="751"/>
      <c r="BC88" s="751"/>
      <c r="BD88" s="751"/>
      <c r="BE88" s="751"/>
      <c r="BF88" s="751"/>
      <c r="BG88" s="751"/>
      <c r="BH88" s="752"/>
      <c r="BI88" s="13"/>
      <c r="BJ88" s="13"/>
      <c r="BK88" s="13"/>
      <c r="BL88" s="13"/>
      <c r="BM88" s="13"/>
      <c r="BN88" s="13"/>
      <c r="BO88" s="13"/>
      <c r="BP88" s="13"/>
      <c r="BQ88" s="13"/>
      <c r="BR88" s="13"/>
    </row>
    <row r="89" spans="15:70" ht="15" customHeight="1" x14ac:dyDescent="0.25">
      <c r="AN89" s="727"/>
      <c r="AO89" s="727"/>
      <c r="AP89" s="727"/>
      <c r="AQ89" s="746"/>
      <c r="AR89" s="746"/>
      <c r="AS89" s="746"/>
      <c r="AT89" s="747"/>
      <c r="AU89" s="748"/>
      <c r="AV89" s="748"/>
      <c r="AW89" s="749"/>
      <c r="AY89" s="742"/>
      <c r="AZ89" s="743"/>
      <c r="BA89" s="743"/>
      <c r="BB89" s="743"/>
      <c r="BC89" s="743"/>
      <c r="BD89" s="743"/>
      <c r="BE89" s="743"/>
      <c r="BF89" s="743"/>
      <c r="BG89" s="743"/>
      <c r="BH89" s="744"/>
      <c r="BI89" s="13"/>
      <c r="BJ89" s="13"/>
      <c r="BK89" s="13"/>
      <c r="BL89" s="13"/>
      <c r="BM89" s="13"/>
      <c r="BN89" s="13"/>
      <c r="BO89" s="13"/>
      <c r="BP89" s="13"/>
      <c r="BQ89" s="13"/>
      <c r="BR89" s="13"/>
    </row>
    <row r="90" spans="15:70" ht="26.25" x14ac:dyDescent="0.25">
      <c r="AN90" s="727"/>
      <c r="AO90" s="727"/>
      <c r="AP90" s="727"/>
      <c r="AQ90" s="746"/>
      <c r="AR90" s="746"/>
      <c r="AS90" s="746"/>
      <c r="AT90" s="747"/>
      <c r="AU90" s="748"/>
      <c r="AV90" s="748"/>
      <c r="AW90" s="749"/>
      <c r="AY90" s="728">
        <f ca="1">AT79/((36*3.1415/59)*(AO79/3.281))</f>
        <v>7.2066348401707808E-2</v>
      </c>
      <c r="AZ90" s="729"/>
      <c r="BA90" s="729"/>
      <c r="BB90" s="729"/>
      <c r="BC90" s="729"/>
      <c r="BD90" s="729"/>
      <c r="BE90" s="729"/>
      <c r="BF90" s="729"/>
      <c r="BG90" s="729"/>
      <c r="BH90" s="730"/>
      <c r="BI90" s="57"/>
      <c r="BJ90" s="57"/>
      <c r="BK90" s="57"/>
      <c r="BL90" s="57"/>
      <c r="BM90" s="57"/>
      <c r="BN90" s="57"/>
      <c r="BO90" s="57"/>
      <c r="BP90" s="57"/>
      <c r="BQ90" s="57"/>
      <c r="BR90" s="57"/>
    </row>
    <row r="91" spans="15:70" ht="26.25" x14ac:dyDescent="0.25">
      <c r="AN91" s="727"/>
      <c r="AO91" s="727"/>
      <c r="AP91" s="727"/>
      <c r="AQ91" s="746"/>
      <c r="AR91" s="746"/>
      <c r="AS91" s="746"/>
      <c r="AT91" s="747"/>
      <c r="AU91" s="748"/>
      <c r="AV91" s="748"/>
      <c r="AW91" s="749"/>
      <c r="AY91" s="731"/>
      <c r="AZ91" s="732"/>
      <c r="BA91" s="732"/>
      <c r="BB91" s="732"/>
      <c r="BC91" s="732"/>
      <c r="BD91" s="732"/>
      <c r="BE91" s="732"/>
      <c r="BF91" s="732"/>
      <c r="BG91" s="732"/>
      <c r="BH91" s="733"/>
      <c r="BI91" s="57"/>
      <c r="BJ91" s="57"/>
      <c r="BK91" s="57"/>
      <c r="BL91" s="57"/>
      <c r="BM91" s="57"/>
      <c r="BN91" s="57"/>
      <c r="BO91" s="57"/>
      <c r="BP91" s="57"/>
      <c r="BQ91" s="57"/>
      <c r="BR91" s="57"/>
    </row>
    <row r="92" spans="15:70" ht="15" customHeight="1" x14ac:dyDescent="0.25">
      <c r="AN92" s="727"/>
      <c r="AO92" s="727"/>
      <c r="AP92" s="727"/>
      <c r="AQ92" s="746"/>
      <c r="AR92" s="746"/>
      <c r="AS92" s="746"/>
      <c r="AT92" s="747"/>
      <c r="AU92" s="748"/>
      <c r="AV92" s="748"/>
      <c r="AW92" s="749"/>
      <c r="AY92" s="731"/>
      <c r="AZ92" s="732"/>
      <c r="BA92" s="732"/>
      <c r="BB92" s="732"/>
      <c r="BC92" s="732"/>
      <c r="BD92" s="732"/>
      <c r="BE92" s="732"/>
      <c r="BF92" s="732"/>
      <c r="BG92" s="732"/>
      <c r="BH92" s="733"/>
      <c r="BI92" s="57"/>
      <c r="BJ92" s="57"/>
      <c r="BK92" s="57"/>
      <c r="BL92" s="57"/>
      <c r="BM92" s="57"/>
      <c r="BN92" s="57"/>
      <c r="BO92" s="57"/>
      <c r="BP92" s="57"/>
      <c r="BQ92" s="57"/>
      <c r="BR92" s="57"/>
    </row>
    <row r="93" spans="15:70" ht="15" customHeight="1" x14ac:dyDescent="0.25">
      <c r="AN93" s="727"/>
      <c r="AO93" s="727"/>
      <c r="AP93" s="727"/>
      <c r="AQ93" s="746"/>
      <c r="AR93" s="746"/>
      <c r="AS93" s="746"/>
      <c r="AT93" s="747"/>
      <c r="AU93" s="748"/>
      <c r="AV93" s="748"/>
      <c r="AW93" s="749"/>
      <c r="AY93" s="731"/>
      <c r="AZ93" s="732"/>
      <c r="BA93" s="732"/>
      <c r="BB93" s="732"/>
      <c r="BC93" s="732"/>
      <c r="BD93" s="732"/>
      <c r="BE93" s="732"/>
      <c r="BF93" s="732"/>
      <c r="BG93" s="732"/>
      <c r="BH93" s="733"/>
      <c r="BI93" s="57"/>
      <c r="BJ93" s="57"/>
      <c r="BK93" s="57"/>
      <c r="BL93" s="57"/>
      <c r="BM93" s="57"/>
      <c r="BN93" s="57"/>
      <c r="BO93" s="57"/>
      <c r="BP93" s="57"/>
      <c r="BQ93" s="57"/>
      <c r="BR93" s="57"/>
    </row>
    <row r="94" spans="15:70" ht="15" customHeight="1" x14ac:dyDescent="0.25">
      <c r="AN94" s="727"/>
      <c r="AO94" s="727"/>
      <c r="AP94" s="727"/>
      <c r="AQ94" s="746"/>
      <c r="AR94" s="746"/>
      <c r="AS94" s="746"/>
      <c r="AT94" s="747"/>
      <c r="AU94" s="748"/>
      <c r="AV94" s="748"/>
      <c r="AW94" s="749"/>
      <c r="AY94" s="734"/>
      <c r="AZ94" s="735"/>
      <c r="BA94" s="735"/>
      <c r="BB94" s="735"/>
      <c r="BC94" s="735"/>
      <c r="BD94" s="735"/>
      <c r="BE94" s="735"/>
      <c r="BF94" s="735"/>
      <c r="BG94" s="735"/>
      <c r="BH94" s="736"/>
      <c r="BI94" s="57"/>
      <c r="BJ94" s="57"/>
      <c r="BK94" s="57"/>
      <c r="BL94" s="57"/>
      <c r="BM94" s="57"/>
      <c r="BN94" s="57"/>
      <c r="BO94" s="57"/>
      <c r="BP94" s="57"/>
      <c r="BQ94" s="57"/>
      <c r="BR94" s="57"/>
    </row>
    <row r="95" spans="15:70" ht="15" customHeight="1" x14ac:dyDescent="0.25">
      <c r="AQ95" s="1254">
        <f ca="1">AQ92+AQ89+AQ86</f>
        <v>38</v>
      </c>
      <c r="AR95" s="1254"/>
      <c r="AS95" s="1254"/>
      <c r="AT95" s="747">
        <f ca="1">AT89+AT92+AT86</f>
        <v>2470</v>
      </c>
      <c r="AU95" s="748"/>
      <c r="AV95" s="748"/>
      <c r="AW95" s="749"/>
    </row>
    <row r="96" spans="15:70" ht="15" customHeight="1" x14ac:dyDescent="0.25">
      <c r="AQ96" s="1254"/>
      <c r="AR96" s="1254"/>
      <c r="AS96" s="1254"/>
      <c r="AT96" s="747"/>
      <c r="AU96" s="748"/>
      <c r="AV96" s="748"/>
      <c r="AW96" s="749"/>
    </row>
    <row r="97" spans="43:49" ht="15" customHeight="1" x14ac:dyDescent="0.25">
      <c r="AQ97" s="1254"/>
      <c r="AR97" s="1254"/>
      <c r="AS97" s="1254"/>
      <c r="AT97" s="747"/>
      <c r="AU97" s="748"/>
      <c r="AV97" s="748"/>
      <c r="AW97" s="749"/>
    </row>
    <row r="99" spans="43:49" ht="15" customHeight="1" x14ac:dyDescent="0.25"/>
    <row r="100" spans="43:49" ht="15" customHeight="1" x14ac:dyDescent="0.25"/>
    <row r="101" spans="43:49" ht="15" customHeight="1" x14ac:dyDescent="0.25"/>
    <row r="102" spans="43:49" ht="15" customHeight="1" x14ac:dyDescent="0.25"/>
    <row r="103" spans="43:49" ht="15" customHeight="1" x14ac:dyDescent="0.25"/>
    <row r="104" spans="43:49" ht="15" customHeight="1" x14ac:dyDescent="0.25"/>
    <row r="105" spans="43:49" ht="15" customHeight="1" x14ac:dyDescent="0.25"/>
    <row r="106" spans="43:49" ht="15" customHeight="1" x14ac:dyDescent="0.25"/>
    <row r="107" spans="43:49" ht="15" customHeight="1" x14ac:dyDescent="0.25"/>
    <row r="108" spans="43:49" ht="15" customHeight="1" x14ac:dyDescent="0.25">
      <c r="AS108" s="27"/>
      <c r="AT108" s="27"/>
      <c r="AU108" s="27"/>
    </row>
  </sheetData>
  <mergeCells count="357">
    <mergeCell ref="AQ92:AS94"/>
    <mergeCell ref="AT92:AW94"/>
    <mergeCell ref="AY81:BH83"/>
    <mergeCell ref="AQ95:AS97"/>
    <mergeCell ref="AT95:AW97"/>
    <mergeCell ref="AY84:BH85"/>
    <mergeCell ref="AN86:AP88"/>
    <mergeCell ref="AQ86:AS88"/>
    <mergeCell ref="AT86:AW88"/>
    <mergeCell ref="AY86:BH89"/>
    <mergeCell ref="AN89:AP91"/>
    <mergeCell ref="AQ89:AS91"/>
    <mergeCell ref="AT89:AW91"/>
    <mergeCell ref="AY90:BH94"/>
    <mergeCell ref="AN92:AP94"/>
    <mergeCell ref="A64:C64"/>
    <mergeCell ref="A65:C67"/>
    <mergeCell ref="AD76:AH82"/>
    <mergeCell ref="AL76:AN78"/>
    <mergeCell ref="AO76:AQ78"/>
    <mergeCell ref="AR76:AS78"/>
    <mergeCell ref="AY76:BH78"/>
    <mergeCell ref="AL79:AN82"/>
    <mergeCell ref="AO79:AQ82"/>
    <mergeCell ref="AR79:AS82"/>
    <mergeCell ref="AT79:AU82"/>
    <mergeCell ref="AY79:BH80"/>
    <mergeCell ref="BL60:BM60"/>
    <mergeCell ref="BQ60:BR60"/>
    <mergeCell ref="U58:W60"/>
    <mergeCell ref="BI58:BK60"/>
    <mergeCell ref="BN58:BP60"/>
    <mergeCell ref="AT76:AU78"/>
    <mergeCell ref="L61:O61"/>
    <mergeCell ref="P61:P62"/>
    <mergeCell ref="Q61:T61"/>
    <mergeCell ref="U61:U62"/>
    <mergeCell ref="V61:Y61"/>
    <mergeCell ref="BJ61:BM61"/>
    <mergeCell ref="BN61:BN62"/>
    <mergeCell ref="BO61:BR61"/>
    <mergeCell ref="D60:E60"/>
    <mergeCell ref="I60:J60"/>
    <mergeCell ref="S57:T57"/>
    <mergeCell ref="U57:W57"/>
    <mergeCell ref="X57:Y57"/>
    <mergeCell ref="BI57:BK57"/>
    <mergeCell ref="N57:O57"/>
    <mergeCell ref="P57:R57"/>
    <mergeCell ref="A61:A62"/>
    <mergeCell ref="B61:E61"/>
    <mergeCell ref="F61:F62"/>
    <mergeCell ref="G61:J61"/>
    <mergeCell ref="K61:K62"/>
    <mergeCell ref="A58:C60"/>
    <mergeCell ref="F58:H60"/>
    <mergeCell ref="K58:M60"/>
    <mergeCell ref="P58:R60"/>
    <mergeCell ref="BI61:BI62"/>
    <mergeCell ref="N60:O60"/>
    <mergeCell ref="S60:T60"/>
    <mergeCell ref="X60:Y60"/>
    <mergeCell ref="A57:C57"/>
    <mergeCell ref="D57:E57"/>
    <mergeCell ref="F57:H57"/>
    <mergeCell ref="I57:J57"/>
    <mergeCell ref="K57:M57"/>
    <mergeCell ref="BQ57:BR57"/>
    <mergeCell ref="A55:A56"/>
    <mergeCell ref="B55:E55"/>
    <mergeCell ref="F55:F56"/>
    <mergeCell ref="G55:J55"/>
    <mergeCell ref="K55:K56"/>
    <mergeCell ref="L55:O55"/>
    <mergeCell ref="P55:P56"/>
    <mergeCell ref="Q55:T55"/>
    <mergeCell ref="U55:U56"/>
    <mergeCell ref="V55:Y55"/>
    <mergeCell ref="BI55:BI56"/>
    <mergeCell ref="BL57:BM57"/>
    <mergeCell ref="BN57:BP57"/>
    <mergeCell ref="BJ55:BM55"/>
    <mergeCell ref="BN55:BN56"/>
    <mergeCell ref="BO55:BR55"/>
    <mergeCell ref="BL51:BM51"/>
    <mergeCell ref="BN51:BP51"/>
    <mergeCell ref="BQ51:BR51"/>
    <mergeCell ref="BQ54:BR54"/>
    <mergeCell ref="A52:C54"/>
    <mergeCell ref="F52:H54"/>
    <mergeCell ref="K52:M54"/>
    <mergeCell ref="P52:R54"/>
    <mergeCell ref="U52:W54"/>
    <mergeCell ref="BI52:BK54"/>
    <mergeCell ref="BN52:BP54"/>
    <mergeCell ref="D54:E54"/>
    <mergeCell ref="I54:J54"/>
    <mergeCell ref="N54:O54"/>
    <mergeCell ref="S54:T54"/>
    <mergeCell ref="X54:Y54"/>
    <mergeCell ref="BL54:BM54"/>
    <mergeCell ref="S51:T51"/>
    <mergeCell ref="U51:W51"/>
    <mergeCell ref="X51:Y51"/>
    <mergeCell ref="BI51:BK51"/>
    <mergeCell ref="A51:C51"/>
    <mergeCell ref="D51:E51"/>
    <mergeCell ref="F51:H51"/>
    <mergeCell ref="BJ46:BP48"/>
    <mergeCell ref="AT19:AT20"/>
    <mergeCell ref="AU19:AX19"/>
    <mergeCell ref="V36:AG39"/>
    <mergeCell ref="AH36:AR39"/>
    <mergeCell ref="AS36:BD39"/>
    <mergeCell ref="BE36:BI47"/>
    <mergeCell ref="AE19:AE20"/>
    <mergeCell ref="AF19:AI19"/>
    <mergeCell ref="AJ19:AJ20"/>
    <mergeCell ref="AK19:AN19"/>
    <mergeCell ref="BJ36:BM41"/>
    <mergeCell ref="BN36:BP41"/>
    <mergeCell ref="V40:AG47"/>
    <mergeCell ref="AH40:AR47"/>
    <mergeCell ref="AS40:BD47"/>
    <mergeCell ref="BJ42:BP45"/>
    <mergeCell ref="AP19:AS19"/>
    <mergeCell ref="W25:AN25"/>
    <mergeCell ref="I51:J51"/>
    <mergeCell ref="K51:M51"/>
    <mergeCell ref="F43:G43"/>
    <mergeCell ref="F44:G47"/>
    <mergeCell ref="N51:O51"/>
    <mergeCell ref="P51:R51"/>
    <mergeCell ref="AT18:AU18"/>
    <mergeCell ref="AV18:AX18"/>
    <mergeCell ref="W15:Y17"/>
    <mergeCell ref="Z15:AA17"/>
    <mergeCell ref="AQ18:AS18"/>
    <mergeCell ref="J31:M31"/>
    <mergeCell ref="J32:M35"/>
    <mergeCell ref="B25:S25"/>
    <mergeCell ref="C18:E18"/>
    <mergeCell ref="F18:G18"/>
    <mergeCell ref="H18:J18"/>
    <mergeCell ref="K18:L18"/>
    <mergeCell ref="M18:O18"/>
    <mergeCell ref="P18:Q18"/>
    <mergeCell ref="R18:T18"/>
    <mergeCell ref="U18:V18"/>
    <mergeCell ref="A19:A20"/>
    <mergeCell ref="B19:E19"/>
    <mergeCell ref="F19:F20"/>
    <mergeCell ref="G19:J19"/>
    <mergeCell ref="K19:K20"/>
    <mergeCell ref="L19:O19"/>
    <mergeCell ref="AO19:AO20"/>
    <mergeCell ref="R15:T17"/>
    <mergeCell ref="U15:V17"/>
    <mergeCell ref="P19:P20"/>
    <mergeCell ref="Q19:T19"/>
    <mergeCell ref="U19:U20"/>
    <mergeCell ref="V19:Y19"/>
    <mergeCell ref="Z19:Z20"/>
    <mergeCell ref="AA19:AD19"/>
    <mergeCell ref="W18:Y18"/>
    <mergeCell ref="Z18:AA18"/>
    <mergeCell ref="AB18:AD18"/>
    <mergeCell ref="AE18:AF18"/>
    <mergeCell ref="AG18:AI18"/>
    <mergeCell ref="AJ18:AK18"/>
    <mergeCell ref="AL18:AN18"/>
    <mergeCell ref="AO18:AP18"/>
    <mergeCell ref="A18:B18"/>
    <mergeCell ref="BE13:BH13"/>
    <mergeCell ref="BI13:BI14"/>
    <mergeCell ref="BJ13:BM13"/>
    <mergeCell ref="BN13:BN14"/>
    <mergeCell ref="BO13:BR13"/>
    <mergeCell ref="AB15:AD17"/>
    <mergeCell ref="AE15:AF17"/>
    <mergeCell ref="AG15:AI17"/>
    <mergeCell ref="AJ15:AK17"/>
    <mergeCell ref="AL15:AN17"/>
    <mergeCell ref="AO15:AP17"/>
    <mergeCell ref="AQ15:AS17"/>
    <mergeCell ref="AT15:AU17"/>
    <mergeCell ref="AV15:AX17"/>
    <mergeCell ref="BP12:BR12"/>
    <mergeCell ref="A13:A14"/>
    <mergeCell ref="B13:E13"/>
    <mergeCell ref="F13:F14"/>
    <mergeCell ref="G13:J13"/>
    <mergeCell ref="K13:K14"/>
    <mergeCell ref="L13:O13"/>
    <mergeCell ref="P13:P14"/>
    <mergeCell ref="Q13:T13"/>
    <mergeCell ref="U13:U14"/>
    <mergeCell ref="V13:Y13"/>
    <mergeCell ref="Z13:Z14"/>
    <mergeCell ref="AA13:AD13"/>
    <mergeCell ref="AE13:AE14"/>
    <mergeCell ref="AF13:AI13"/>
    <mergeCell ref="AJ13:AJ14"/>
    <mergeCell ref="AK13:AN13"/>
    <mergeCell ref="AO13:AO14"/>
    <mergeCell ref="AP13:AS13"/>
    <mergeCell ref="AT13:AT14"/>
    <mergeCell ref="AU13:AX13"/>
    <mergeCell ref="AY13:AY14"/>
    <mergeCell ref="AZ13:BC13"/>
    <mergeCell ref="BD13:BD14"/>
    <mergeCell ref="AT12:AU12"/>
    <mergeCell ref="AV12:AX12"/>
    <mergeCell ref="AY12:AZ12"/>
    <mergeCell ref="BA12:BC12"/>
    <mergeCell ref="BD12:BE12"/>
    <mergeCell ref="BF12:BH12"/>
    <mergeCell ref="BI12:BJ12"/>
    <mergeCell ref="BK12:BM12"/>
    <mergeCell ref="BN12:BO12"/>
    <mergeCell ref="BD9:BE11"/>
    <mergeCell ref="BF9:BH11"/>
    <mergeCell ref="BI9:BJ11"/>
    <mergeCell ref="BK9:BM11"/>
    <mergeCell ref="BN9:BO11"/>
    <mergeCell ref="BP9:BR11"/>
    <mergeCell ref="A12:B12"/>
    <mergeCell ref="C12:E12"/>
    <mergeCell ref="F12:G12"/>
    <mergeCell ref="H12:J12"/>
    <mergeCell ref="K12:L12"/>
    <mergeCell ref="M12:O12"/>
    <mergeCell ref="P12:Q12"/>
    <mergeCell ref="R12:T12"/>
    <mergeCell ref="U12:V12"/>
    <mergeCell ref="W12:Y12"/>
    <mergeCell ref="Z12:AA12"/>
    <mergeCell ref="AB12:AD12"/>
    <mergeCell ref="AE12:AF12"/>
    <mergeCell ref="AG12:AI12"/>
    <mergeCell ref="AJ12:AK12"/>
    <mergeCell ref="AL12:AN12"/>
    <mergeCell ref="AO12:AP12"/>
    <mergeCell ref="AQ12:AS12"/>
    <mergeCell ref="BN7:BN8"/>
    <mergeCell ref="BO7:BR7"/>
    <mergeCell ref="A9:B11"/>
    <mergeCell ref="C9:E11"/>
    <mergeCell ref="F9:G11"/>
    <mergeCell ref="H9:J11"/>
    <mergeCell ref="K9:L11"/>
    <mergeCell ref="M9:O11"/>
    <mergeCell ref="P9:Q11"/>
    <mergeCell ref="R9:T11"/>
    <mergeCell ref="U9:V11"/>
    <mergeCell ref="W9:Y11"/>
    <mergeCell ref="Z9:AA11"/>
    <mergeCell ref="AB9:AD11"/>
    <mergeCell ref="AE9:AF11"/>
    <mergeCell ref="AG9:AI11"/>
    <mergeCell ref="AJ9:AK11"/>
    <mergeCell ref="AL9:AN11"/>
    <mergeCell ref="AO9:AP11"/>
    <mergeCell ref="AQ9:AS11"/>
    <mergeCell ref="AT9:AU11"/>
    <mergeCell ref="AV9:AX11"/>
    <mergeCell ref="AY9:AZ11"/>
    <mergeCell ref="BA9:BC11"/>
    <mergeCell ref="AP7:AS7"/>
    <mergeCell ref="AT7:AT8"/>
    <mergeCell ref="AU7:AX7"/>
    <mergeCell ref="AY7:AY8"/>
    <mergeCell ref="AZ7:BC7"/>
    <mergeCell ref="BD7:BD8"/>
    <mergeCell ref="BE7:BH7"/>
    <mergeCell ref="BI7:BI8"/>
    <mergeCell ref="BJ7:BM7"/>
    <mergeCell ref="BA6:BC6"/>
    <mergeCell ref="BD6:BE6"/>
    <mergeCell ref="BF6:BH6"/>
    <mergeCell ref="BI6:BJ6"/>
    <mergeCell ref="BK6:BM6"/>
    <mergeCell ref="BN6:BO6"/>
    <mergeCell ref="BP6:BR6"/>
    <mergeCell ref="A7:A8"/>
    <mergeCell ref="B7:E7"/>
    <mergeCell ref="F7:F8"/>
    <mergeCell ref="G7:J7"/>
    <mergeCell ref="K7:K8"/>
    <mergeCell ref="L7:O7"/>
    <mergeCell ref="P7:P8"/>
    <mergeCell ref="Q7:T7"/>
    <mergeCell ref="U7:U8"/>
    <mergeCell ref="V7:Y7"/>
    <mergeCell ref="Z7:Z8"/>
    <mergeCell ref="AA7:AD7"/>
    <mergeCell ref="AE7:AE8"/>
    <mergeCell ref="AF7:AI7"/>
    <mergeCell ref="AJ7:AJ8"/>
    <mergeCell ref="AK7:AN7"/>
    <mergeCell ref="AO7:AO8"/>
    <mergeCell ref="BK3:BM5"/>
    <mergeCell ref="BN3:BO5"/>
    <mergeCell ref="BP3:BR5"/>
    <mergeCell ref="A6:B6"/>
    <mergeCell ref="C6:E6"/>
    <mergeCell ref="F6:G6"/>
    <mergeCell ref="H6:J6"/>
    <mergeCell ref="K6:L6"/>
    <mergeCell ref="M6:O6"/>
    <mergeCell ref="P6:Q6"/>
    <mergeCell ref="R6:T6"/>
    <mergeCell ref="U6:V6"/>
    <mergeCell ref="W6:Y6"/>
    <mergeCell ref="Z6:AA6"/>
    <mergeCell ref="AB6:AD6"/>
    <mergeCell ref="AE6:AF6"/>
    <mergeCell ref="AG6:AI6"/>
    <mergeCell ref="AJ6:AK6"/>
    <mergeCell ref="AL6:AN6"/>
    <mergeCell ref="AO6:AP6"/>
    <mergeCell ref="AQ6:AS6"/>
    <mergeCell ref="AT6:AU6"/>
    <mergeCell ref="AV6:AX6"/>
    <mergeCell ref="AY6:AZ6"/>
    <mergeCell ref="AO3:AP5"/>
    <mergeCell ref="AQ3:AS5"/>
    <mergeCell ref="AT3:AU5"/>
    <mergeCell ref="AV3:AX5"/>
    <mergeCell ref="AY3:AZ5"/>
    <mergeCell ref="BA3:BC5"/>
    <mergeCell ref="BD3:BE5"/>
    <mergeCell ref="BF3:BH5"/>
    <mergeCell ref="BI3:BJ5"/>
    <mergeCell ref="R3:T5"/>
    <mergeCell ref="U3:V5"/>
    <mergeCell ref="W3:Y5"/>
    <mergeCell ref="Z3:AA5"/>
    <mergeCell ref="AB3:AD5"/>
    <mergeCell ref="AE3:AF5"/>
    <mergeCell ref="AG3:AI5"/>
    <mergeCell ref="AJ3:AK5"/>
    <mergeCell ref="AL3:AN5"/>
    <mergeCell ref="A3:B5"/>
    <mergeCell ref="C3:E5"/>
    <mergeCell ref="F3:G5"/>
    <mergeCell ref="H3:J5"/>
    <mergeCell ref="K3:L5"/>
    <mergeCell ref="M3:O5"/>
    <mergeCell ref="P3:Q5"/>
    <mergeCell ref="A15:B17"/>
    <mergeCell ref="C15:E17"/>
    <mergeCell ref="F15:G17"/>
    <mergeCell ref="H15:J17"/>
    <mergeCell ref="K15:L17"/>
    <mergeCell ref="M15:O17"/>
    <mergeCell ref="P15:Q17"/>
  </mergeCells>
  <pageMargins left="0.5" right="0" top="0.65" bottom="0" header="0.3" footer="0.3"/>
  <pageSetup paperSize="8" scale="46" orientation="landscape" r:id="rId1"/>
  <colBreaks count="1" manualBreakCount="1">
    <brk id="70" max="50" man="1"/>
  </colBreaks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6066B-AD20-4CA8-A570-DDB67048C7CD}">
  <sheetPr>
    <pageSetUpPr fitToPage="1"/>
  </sheetPr>
  <dimension ref="A1:CB77"/>
  <sheetViews>
    <sheetView view="pageBreakPreview" zoomScale="70" zoomScaleNormal="70" zoomScaleSheetLayoutView="70" zoomScalePageLayoutView="55" workbookViewId="0">
      <selection activeCell="T64" sqref="T64:V67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140625" customWidth="1"/>
    <col min="47" max="47" width="10.71093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1" customWidth="1"/>
    <col min="62" max="62" width="56.7109375" customWidth="1"/>
    <col min="63" max="63" width="13" customWidth="1"/>
    <col min="64" max="64" width="7" customWidth="1"/>
  </cols>
  <sheetData>
    <row r="1" spans="1:80" ht="213" customHeight="1" thickBot="1" x14ac:dyDescent="0.3"/>
    <row r="2" spans="1:80" ht="39.950000000000003" customHeight="1" thickTop="1" x14ac:dyDescent="0.25">
      <c r="A2" s="3587" t="s">
        <v>250</v>
      </c>
      <c r="B2" s="3588"/>
      <c r="C2" s="3588"/>
      <c r="D2" s="3585">
        <f>B7/((60*3.1415/59)*(56/3.281))</f>
        <v>0.17653375453794443</v>
      </c>
      <c r="E2" s="3586"/>
      <c r="F2" s="3587" t="s">
        <v>250</v>
      </c>
      <c r="G2" s="3588"/>
      <c r="H2" s="3588"/>
      <c r="I2" s="3585">
        <f t="shared" ref="I2" si="0">G7/((60*3.1415/59)*(56/3.281))</f>
        <v>4.4252643849995832E-2</v>
      </c>
      <c r="J2" s="3586"/>
      <c r="K2" s="3587" t="s">
        <v>250</v>
      </c>
      <c r="L2" s="3588"/>
      <c r="M2" s="3588"/>
      <c r="N2" s="3585">
        <f t="shared" ref="N2" si="1">L7/((60*3.1415/59)*(56/3.281))</f>
        <v>0.10433207246689859</v>
      </c>
      <c r="O2" s="3586"/>
      <c r="P2" s="3587" t="s">
        <v>250</v>
      </c>
      <c r="Q2" s="3588"/>
      <c r="R2" s="3588"/>
      <c r="S2" s="3585">
        <f t="shared" ref="S2" si="2">Q7/((60*3.1415/59)*(56/3.281))</f>
        <v>2.8407519819164336E-2</v>
      </c>
      <c r="T2" s="3586"/>
      <c r="U2" s="3587" t="s">
        <v>250</v>
      </c>
      <c r="V2" s="3588"/>
      <c r="W2" s="3588"/>
      <c r="X2" s="3585">
        <f t="shared" ref="X2" si="3">V7/((60*3.1415/59)*(56/3.281))</f>
        <v>1.8339263924573492E-6</v>
      </c>
      <c r="Y2" s="3586"/>
      <c r="Z2" s="3587" t="s">
        <v>250</v>
      </c>
      <c r="AA2" s="3588"/>
      <c r="AB2" s="3588"/>
      <c r="AC2" s="3585">
        <f t="shared" ref="AC2" si="4">AA7/((60*3.1415/59)*(56/3.281))</f>
        <v>1.1168611730065257E-2</v>
      </c>
      <c r="AD2" s="3586"/>
      <c r="AE2" s="3587" t="s">
        <v>250</v>
      </c>
      <c r="AF2" s="3588"/>
      <c r="AG2" s="3588"/>
      <c r="AH2" s="3585">
        <f t="shared" ref="AH2" si="5">AF7/((60*3.1415/59)*(56/3.281))</f>
        <v>2.3290865184208333E-3</v>
      </c>
      <c r="AI2" s="3586"/>
      <c r="AJ2" s="3587" t="s">
        <v>250</v>
      </c>
      <c r="AK2" s="3588"/>
      <c r="AL2" s="3588"/>
      <c r="AM2" s="3585">
        <f t="shared" ref="AM2" si="6">AK7/((60*3.1415/59)*(56/3.281))</f>
        <v>2.8407519819164336E-2</v>
      </c>
      <c r="AN2" s="3586"/>
      <c r="AO2" s="3587" t="s">
        <v>250</v>
      </c>
      <c r="AP2" s="3588"/>
      <c r="AQ2" s="3588"/>
      <c r="AR2" s="3585">
        <f t="shared" ref="AR2" si="7">AP7/((60*3.1415/59)*(56/3.281))</f>
        <v>1.8339263924573492E-5</v>
      </c>
      <c r="AS2" s="3586"/>
      <c r="AT2" s="3587" t="s">
        <v>250</v>
      </c>
      <c r="AU2" s="3588"/>
      <c r="AV2" s="3588"/>
      <c r="AW2" s="3585">
        <f t="shared" ref="AW2" si="8">AU7/((60*3.1415/59)*(56/3.281))</f>
        <v>8.569938031953192E-2</v>
      </c>
      <c r="AX2" s="3586"/>
      <c r="AY2" s="674"/>
      <c r="AZ2" s="674"/>
      <c r="BA2" s="674"/>
      <c r="BB2" s="1300"/>
      <c r="BC2" s="1300"/>
      <c r="BD2" s="674"/>
      <c r="BE2" s="674"/>
      <c r="BF2" s="674"/>
      <c r="BG2" s="1300"/>
      <c r="BH2" s="1300"/>
      <c r="BM2" s="27"/>
      <c r="BN2" s="27"/>
      <c r="BO2" s="27"/>
      <c r="BP2" s="27"/>
      <c r="BQ2" s="27"/>
      <c r="BR2" s="27"/>
      <c r="BW2" s="27"/>
      <c r="BX2" s="27"/>
      <c r="BY2" s="27"/>
      <c r="BZ2" s="27"/>
      <c r="CA2" s="27"/>
      <c r="CB2" s="27"/>
    </row>
    <row r="3" spans="1:80" ht="9.9499999999999993" hidden="1" customHeight="1" x14ac:dyDescent="0.25">
      <c r="A3" s="1680" t="s">
        <v>25</v>
      </c>
      <c r="B3" s="1681"/>
      <c r="C3" s="128"/>
      <c r="D3" s="128"/>
      <c r="E3" s="129"/>
      <c r="F3" s="1680" t="s">
        <v>25</v>
      </c>
      <c r="G3" s="1681"/>
      <c r="H3" s="128"/>
      <c r="I3" s="128"/>
      <c r="J3" s="129"/>
      <c r="K3" s="1680" t="s">
        <v>25</v>
      </c>
      <c r="L3" s="1681"/>
      <c r="M3" s="128"/>
      <c r="N3" s="128"/>
      <c r="O3" s="129"/>
      <c r="P3" s="1680" t="s">
        <v>25</v>
      </c>
      <c r="Q3" s="1681"/>
      <c r="R3" s="128"/>
      <c r="S3" s="128"/>
      <c r="T3" s="129"/>
      <c r="U3" s="1680" t="s">
        <v>25</v>
      </c>
      <c r="V3" s="1681"/>
      <c r="W3" s="128"/>
      <c r="X3" s="128"/>
      <c r="Y3" s="129"/>
      <c r="Z3" s="1680" t="s">
        <v>25</v>
      </c>
      <c r="AA3" s="1681"/>
      <c r="AB3" s="128"/>
      <c r="AC3" s="128"/>
      <c r="AD3" s="129"/>
      <c r="AE3" s="1680" t="s">
        <v>25</v>
      </c>
      <c r="AF3" s="1681"/>
      <c r="AG3" s="128"/>
      <c r="AH3" s="128"/>
      <c r="AI3" s="129"/>
      <c r="AJ3" s="1680" t="s">
        <v>25</v>
      </c>
      <c r="AK3" s="1681"/>
      <c r="AL3" s="128"/>
      <c r="AM3" s="128"/>
      <c r="AN3" s="129"/>
      <c r="AO3" s="1680" t="s">
        <v>25</v>
      </c>
      <c r="AP3" s="1681"/>
      <c r="AQ3" s="128"/>
      <c r="AR3" s="128"/>
      <c r="AS3" s="129"/>
      <c r="AT3" s="1680" t="s">
        <v>25</v>
      </c>
      <c r="AU3" s="1681"/>
      <c r="AV3" s="128"/>
      <c r="AW3" s="128"/>
      <c r="AX3" s="129"/>
      <c r="AY3" s="676"/>
      <c r="AZ3" s="676"/>
      <c r="BA3" s="676"/>
      <c r="BB3" s="36"/>
      <c r="BC3" s="36"/>
      <c r="BD3" s="676"/>
      <c r="BE3" s="676"/>
      <c r="BF3" s="676"/>
      <c r="BG3" s="36"/>
      <c r="BH3" s="36"/>
    </row>
    <row r="4" spans="1:80" ht="24.95" hidden="1" customHeight="1" x14ac:dyDescent="0.25">
      <c r="A4" s="1683"/>
      <c r="B4" s="1684"/>
      <c r="C4" s="130"/>
      <c r="D4" s="130"/>
      <c r="E4" s="131"/>
      <c r="F4" s="1683"/>
      <c r="G4" s="1684"/>
      <c r="H4" s="130"/>
      <c r="I4" s="130"/>
      <c r="J4" s="131"/>
      <c r="K4" s="1683"/>
      <c r="L4" s="1684"/>
      <c r="M4" s="130"/>
      <c r="N4" s="130"/>
      <c r="O4" s="131"/>
      <c r="P4" s="1683"/>
      <c r="Q4" s="1684"/>
      <c r="R4" s="130"/>
      <c r="S4" s="130"/>
      <c r="T4" s="131"/>
      <c r="U4" s="1683"/>
      <c r="V4" s="1684"/>
      <c r="W4" s="130"/>
      <c r="X4" s="130"/>
      <c r="Y4" s="131"/>
      <c r="Z4" s="1683"/>
      <c r="AA4" s="1684"/>
      <c r="AB4" s="130"/>
      <c r="AC4" s="130"/>
      <c r="AD4" s="131"/>
      <c r="AE4" s="1683"/>
      <c r="AF4" s="1684"/>
      <c r="AG4" s="130"/>
      <c r="AH4" s="130"/>
      <c r="AI4" s="131"/>
      <c r="AJ4" s="1683"/>
      <c r="AK4" s="1684"/>
      <c r="AL4" s="130"/>
      <c r="AM4" s="130"/>
      <c r="AN4" s="131"/>
      <c r="AO4" s="1683"/>
      <c r="AP4" s="1684"/>
      <c r="AQ4" s="130"/>
      <c r="AR4" s="130"/>
      <c r="AS4" s="131"/>
      <c r="AT4" s="1683"/>
      <c r="AU4" s="1684"/>
      <c r="AV4" s="130"/>
      <c r="AW4" s="130"/>
      <c r="AX4" s="131"/>
      <c r="AY4" s="676"/>
      <c r="AZ4" s="676"/>
      <c r="BA4" s="676"/>
      <c r="BB4" s="36"/>
      <c r="BC4" s="36"/>
      <c r="BD4" s="676"/>
      <c r="BE4" s="676"/>
      <c r="BF4" s="676"/>
      <c r="BG4" s="36"/>
      <c r="BH4" s="36"/>
    </row>
    <row r="5" spans="1:80" ht="25.5" customHeight="1" x14ac:dyDescent="0.25">
      <c r="A5" s="1686"/>
      <c r="B5" s="1687"/>
      <c r="C5" s="3494" t="s">
        <v>111</v>
      </c>
      <c r="D5" s="1687"/>
      <c r="E5" s="1688"/>
      <c r="F5" s="1686"/>
      <c r="G5" s="1687"/>
      <c r="H5" s="3494" t="s">
        <v>111</v>
      </c>
      <c r="I5" s="1687"/>
      <c r="J5" s="1688"/>
      <c r="K5" s="1686"/>
      <c r="L5" s="1687"/>
      <c r="M5" s="3494" t="s">
        <v>111</v>
      </c>
      <c r="N5" s="1687"/>
      <c r="O5" s="1688"/>
      <c r="P5" s="1686"/>
      <c r="Q5" s="1687"/>
      <c r="R5" s="3494" t="s">
        <v>111</v>
      </c>
      <c r="S5" s="1687"/>
      <c r="T5" s="1688"/>
      <c r="U5" s="1686"/>
      <c r="V5" s="1687"/>
      <c r="W5" s="3494" t="s">
        <v>111</v>
      </c>
      <c r="X5" s="1687"/>
      <c r="Y5" s="1688"/>
      <c r="Z5" s="1686"/>
      <c r="AA5" s="1687"/>
      <c r="AB5" s="3494" t="s">
        <v>111</v>
      </c>
      <c r="AC5" s="1687"/>
      <c r="AD5" s="1688"/>
      <c r="AE5" s="1686"/>
      <c r="AF5" s="1687"/>
      <c r="AG5" s="3494" t="s">
        <v>111</v>
      </c>
      <c r="AH5" s="1687"/>
      <c r="AI5" s="1688"/>
      <c r="AJ5" s="1686"/>
      <c r="AK5" s="1687"/>
      <c r="AL5" s="3494" t="s">
        <v>111</v>
      </c>
      <c r="AM5" s="1687"/>
      <c r="AN5" s="1688"/>
      <c r="AO5" s="1686"/>
      <c r="AP5" s="1687"/>
      <c r="AQ5" s="3494" t="s">
        <v>111</v>
      </c>
      <c r="AR5" s="1687"/>
      <c r="AS5" s="1688"/>
      <c r="AT5" s="1686"/>
      <c r="AU5" s="1687"/>
      <c r="AV5" s="3494" t="s">
        <v>111</v>
      </c>
      <c r="AW5" s="1687"/>
      <c r="AX5" s="1688"/>
      <c r="AY5" s="676"/>
      <c r="AZ5" s="676"/>
      <c r="BA5" s="676"/>
      <c r="BB5" s="36"/>
      <c r="BC5" s="36"/>
      <c r="BD5" s="676"/>
      <c r="BE5" s="676"/>
      <c r="BF5" s="676"/>
      <c r="BG5" s="36"/>
      <c r="BH5" s="36"/>
    </row>
    <row r="6" spans="1:80" ht="72" customHeight="1" x14ac:dyDescent="0.25">
      <c r="A6" s="3583" t="s">
        <v>251</v>
      </c>
      <c r="B6" s="1714">
        <v>1</v>
      </c>
      <c r="C6" s="1715"/>
      <c r="D6" s="1715"/>
      <c r="E6" s="174" t="s">
        <v>261</v>
      </c>
      <c r="F6" s="3583" t="s">
        <v>251</v>
      </c>
      <c r="G6" s="1714">
        <v>2</v>
      </c>
      <c r="H6" s="1715"/>
      <c r="I6" s="1715"/>
      <c r="J6" s="174" t="s">
        <v>261</v>
      </c>
      <c r="K6" s="3583" t="s">
        <v>251</v>
      </c>
      <c r="L6" s="1714">
        <v>3</v>
      </c>
      <c r="M6" s="1715"/>
      <c r="N6" s="1715"/>
      <c r="O6" s="174" t="s">
        <v>261</v>
      </c>
      <c r="P6" s="3583" t="s">
        <v>251</v>
      </c>
      <c r="Q6" s="1714">
        <v>4</v>
      </c>
      <c r="R6" s="1715"/>
      <c r="S6" s="1715"/>
      <c r="T6" s="174" t="s">
        <v>261</v>
      </c>
      <c r="U6" s="3583" t="s">
        <v>251</v>
      </c>
      <c r="V6" s="1714">
        <v>5</v>
      </c>
      <c r="W6" s="1715"/>
      <c r="X6" s="1715"/>
      <c r="Y6" s="174" t="s">
        <v>261</v>
      </c>
      <c r="Z6" s="3583" t="s">
        <v>251</v>
      </c>
      <c r="AA6" s="1714">
        <v>6</v>
      </c>
      <c r="AB6" s="1715"/>
      <c r="AC6" s="1715"/>
      <c r="AD6" s="174" t="s">
        <v>261</v>
      </c>
      <c r="AE6" s="3583" t="s">
        <v>251</v>
      </c>
      <c r="AF6" s="1714">
        <v>7</v>
      </c>
      <c r="AG6" s="1715"/>
      <c r="AH6" s="1715"/>
      <c r="AI6" s="174" t="s">
        <v>261</v>
      </c>
      <c r="AJ6" s="3583" t="s">
        <v>251</v>
      </c>
      <c r="AK6" s="1714">
        <v>8</v>
      </c>
      <c r="AL6" s="1715"/>
      <c r="AM6" s="1715"/>
      <c r="AN6" s="174" t="s">
        <v>261</v>
      </c>
      <c r="AO6" s="3583" t="s">
        <v>251</v>
      </c>
      <c r="AP6" s="1714">
        <v>9</v>
      </c>
      <c r="AQ6" s="1715"/>
      <c r="AR6" s="1715"/>
      <c r="AS6" s="174" t="s">
        <v>261</v>
      </c>
      <c r="AT6" s="3583" t="s">
        <v>251</v>
      </c>
      <c r="AU6" s="1714">
        <v>10</v>
      </c>
      <c r="AV6" s="1715"/>
      <c r="AW6" s="1715"/>
      <c r="AX6" s="174" t="s">
        <v>261</v>
      </c>
      <c r="AY6" s="1859"/>
      <c r="AZ6" s="719"/>
      <c r="BA6" s="719"/>
      <c r="BB6" s="719"/>
      <c r="BC6" s="719"/>
      <c r="BD6" s="719"/>
      <c r="BE6" s="719"/>
      <c r="BF6" s="719"/>
      <c r="BG6" s="719"/>
      <c r="BH6" s="719"/>
      <c r="BI6" s="719"/>
      <c r="BJ6" s="719"/>
      <c r="BM6" s="27"/>
      <c r="BN6" s="27"/>
      <c r="BO6" s="27"/>
      <c r="BP6" s="27"/>
      <c r="BQ6" s="27"/>
      <c r="BR6" s="27"/>
      <c r="BW6" s="27"/>
      <c r="BX6" s="27"/>
      <c r="BY6" s="27"/>
      <c r="BZ6" s="27"/>
      <c r="CA6" s="27"/>
      <c r="CB6" s="27"/>
    </row>
    <row r="7" spans="1:80" ht="35.1" customHeight="1" thickBot="1" x14ac:dyDescent="0.3">
      <c r="A7" s="3584"/>
      <c r="B7" s="133">
        <v>9.6259999999999994</v>
      </c>
      <c r="C7" s="134" t="s">
        <v>113</v>
      </c>
      <c r="D7" s="135">
        <v>1</v>
      </c>
      <c r="E7" s="136" t="s">
        <v>114</v>
      </c>
      <c r="F7" s="3584"/>
      <c r="G7" s="133">
        <v>2.4129999999999998</v>
      </c>
      <c r="H7" s="134" t="s">
        <v>113</v>
      </c>
      <c r="I7" s="135"/>
      <c r="J7" s="136" t="s">
        <v>114</v>
      </c>
      <c r="K7" s="3584"/>
      <c r="L7" s="133">
        <v>5.6890000000000001</v>
      </c>
      <c r="M7" s="134" t="s">
        <v>113</v>
      </c>
      <c r="N7" s="135"/>
      <c r="O7" s="136" t="s">
        <v>114</v>
      </c>
      <c r="P7" s="3584"/>
      <c r="Q7" s="133">
        <v>1.5489999999999999</v>
      </c>
      <c r="R7" s="134" t="s">
        <v>113</v>
      </c>
      <c r="S7" s="135">
        <v>1</v>
      </c>
      <c r="T7" s="136" t="s">
        <v>114</v>
      </c>
      <c r="U7" s="3584"/>
      <c r="V7" s="133">
        <v>1E-4</v>
      </c>
      <c r="W7" s="134" t="s">
        <v>113</v>
      </c>
      <c r="X7" s="135"/>
      <c r="Y7" s="136" t="s">
        <v>114</v>
      </c>
      <c r="Z7" s="3584"/>
      <c r="AA7" s="133">
        <v>0.60899999999999999</v>
      </c>
      <c r="AB7" s="134" t="s">
        <v>113</v>
      </c>
      <c r="AC7" s="135">
        <v>1</v>
      </c>
      <c r="AD7" s="136" t="s">
        <v>114</v>
      </c>
      <c r="AE7" s="3584"/>
      <c r="AF7" s="133">
        <v>0.127</v>
      </c>
      <c r="AG7" s="134" t="s">
        <v>113</v>
      </c>
      <c r="AH7" s="135"/>
      <c r="AI7" s="136" t="s">
        <v>114</v>
      </c>
      <c r="AJ7" s="3584"/>
      <c r="AK7" s="133">
        <v>1.5489999999999999</v>
      </c>
      <c r="AL7" s="134" t="s">
        <v>113</v>
      </c>
      <c r="AM7" s="135">
        <v>1</v>
      </c>
      <c r="AN7" s="136" t="s">
        <v>114</v>
      </c>
      <c r="AO7" s="3584"/>
      <c r="AP7" s="133">
        <v>1E-3</v>
      </c>
      <c r="AQ7" s="134" t="s">
        <v>113</v>
      </c>
      <c r="AR7" s="135"/>
      <c r="AS7" s="136" t="s">
        <v>114</v>
      </c>
      <c r="AT7" s="3584"/>
      <c r="AU7" s="133">
        <v>4.673</v>
      </c>
      <c r="AV7" s="134" t="s">
        <v>113</v>
      </c>
      <c r="AW7" s="135">
        <v>1</v>
      </c>
      <c r="AX7" s="136" t="s">
        <v>114</v>
      </c>
      <c r="AY7" s="1859"/>
      <c r="AZ7" s="719"/>
      <c r="BA7" s="719"/>
      <c r="BB7" s="719"/>
      <c r="BC7" s="719"/>
      <c r="BD7" s="719"/>
      <c r="BE7" s="719"/>
      <c r="BF7" s="719"/>
      <c r="BG7" s="719"/>
      <c r="BH7" s="719"/>
      <c r="BI7" s="719"/>
      <c r="BJ7" s="719"/>
      <c r="BM7" s="27"/>
      <c r="BN7" s="27"/>
      <c r="BO7" s="27"/>
      <c r="BP7" s="27"/>
      <c r="BQ7" s="27"/>
      <c r="BR7" s="27"/>
      <c r="BW7" s="27"/>
      <c r="BX7" s="27"/>
      <c r="BY7" s="27"/>
      <c r="BZ7" s="27"/>
      <c r="CA7" s="27"/>
      <c r="CB7" s="27"/>
    </row>
    <row r="8" spans="1:80" ht="39" customHeight="1" thickTop="1" x14ac:dyDescent="0.25">
      <c r="A8" s="3587" t="s">
        <v>250</v>
      </c>
      <c r="B8" s="3588"/>
      <c r="C8" s="3588"/>
      <c r="D8" s="3585">
        <f t="shared" ref="D8" si="9">B13/((60*3.1415/59)*(56/3.281))</f>
        <v>2.5143130840590257E-2</v>
      </c>
      <c r="E8" s="3586"/>
      <c r="F8" s="3587" t="s">
        <v>250</v>
      </c>
      <c r="G8" s="3588"/>
      <c r="H8" s="3588"/>
      <c r="I8" s="3585">
        <f t="shared" ref="I8" si="10">G13/((60*3.1415/59)*(56/3.281))</f>
        <v>5.5751362330703413E-3</v>
      </c>
      <c r="J8" s="3586"/>
      <c r="K8" s="3587" t="s">
        <v>250</v>
      </c>
      <c r="L8" s="3588"/>
      <c r="M8" s="3588"/>
      <c r="N8" s="3585">
        <f t="shared" ref="N8" si="11">L13/((60*3.1415/59)*(56/3.281))</f>
        <v>7.5924552647734248E-2</v>
      </c>
      <c r="O8" s="3586"/>
      <c r="P8" s="3587" t="s">
        <v>250</v>
      </c>
      <c r="Q8" s="3588"/>
      <c r="R8" s="3588"/>
      <c r="S8" s="3585">
        <f t="shared" ref="S8" si="12">Q13/((60*3.1415/59)*(56/3.281))</f>
        <v>8.8395252116444233E-3</v>
      </c>
      <c r="T8" s="3586"/>
      <c r="U8" s="3587" t="s">
        <v>250</v>
      </c>
      <c r="V8" s="3588"/>
      <c r="W8" s="3588"/>
      <c r="X8" s="3585">
        <f t="shared" ref="X8" si="13">V13/((60*3.1415/59)*(56/3.281))</f>
        <v>5.4504292383832413E-2</v>
      </c>
      <c r="Y8" s="3586"/>
      <c r="Z8" s="3587" t="s">
        <v>250</v>
      </c>
      <c r="AA8" s="3588"/>
      <c r="AB8" s="3588"/>
      <c r="AC8" s="3585">
        <f t="shared" ref="AC8" si="14">AA13/((60*3.1415/59)*(56/3.281))</f>
        <v>1.8339263924573492E-6</v>
      </c>
      <c r="AD8" s="3586"/>
      <c r="AE8" s="3587" t="s">
        <v>250</v>
      </c>
      <c r="AF8" s="3588"/>
      <c r="AG8" s="3588"/>
      <c r="AH8" s="3585">
        <f t="shared" ref="AH8" si="15">AF13/((60*3.1415/59)*(56/3.281))</f>
        <v>7.0367755678588495E-2</v>
      </c>
      <c r="AI8" s="3586"/>
      <c r="AJ8" s="3587" t="s">
        <v>250</v>
      </c>
      <c r="AK8" s="3588"/>
      <c r="AL8" s="3588"/>
      <c r="AM8" s="3585">
        <f t="shared" ref="AM8" si="16">AK13/((60*3.1415/59)*(56/3.281))</f>
        <v>5.2156866601487009E-2</v>
      </c>
      <c r="AN8" s="3586"/>
      <c r="AO8" s="3587" t="s">
        <v>250</v>
      </c>
      <c r="AP8" s="3588"/>
      <c r="AQ8" s="3588"/>
      <c r="AR8" s="3585">
        <f t="shared" ref="AR8" si="17">AP13/((60*3.1415/59)*(56/3.281))</f>
        <v>0.11830659157742358</v>
      </c>
      <c r="AS8" s="3586"/>
      <c r="AT8" s="3587" t="s">
        <v>250</v>
      </c>
      <c r="AU8" s="3588"/>
      <c r="AV8" s="3588"/>
      <c r="AW8" s="3585">
        <f t="shared" ref="AW8" si="18">AU13/((60*3.1415/59)*(56/3.281))</f>
        <v>0.11924189403757683</v>
      </c>
      <c r="AX8" s="3586"/>
      <c r="AY8" s="1859"/>
      <c r="AZ8" s="719"/>
      <c r="BA8" s="719"/>
      <c r="BB8" s="719"/>
      <c r="BC8" s="719"/>
      <c r="BD8" s="719"/>
      <c r="BE8" s="719"/>
      <c r="BF8" s="719"/>
      <c r="BG8" s="719"/>
      <c r="BH8" s="719"/>
      <c r="BI8" s="719"/>
      <c r="BJ8" s="719"/>
      <c r="BM8" s="27"/>
      <c r="BN8" s="27"/>
      <c r="BO8" s="27"/>
      <c r="BP8" s="27"/>
      <c r="BQ8" s="27"/>
      <c r="BR8" s="27"/>
      <c r="BW8" s="27"/>
      <c r="BX8" s="27"/>
      <c r="BY8" s="27"/>
      <c r="BZ8" s="27"/>
      <c r="CA8" s="27"/>
      <c r="CB8" s="27"/>
    </row>
    <row r="9" spans="1:80" ht="9.9499999999999993" hidden="1" customHeight="1" x14ac:dyDescent="0.25">
      <c r="A9" s="1680" t="s">
        <v>25</v>
      </c>
      <c r="B9" s="1681"/>
      <c r="C9" s="128"/>
      <c r="D9" s="128"/>
      <c r="E9" s="129"/>
      <c r="F9" s="1680" t="s">
        <v>25</v>
      </c>
      <c r="G9" s="1681"/>
      <c r="H9" s="128"/>
      <c r="I9" s="128"/>
      <c r="J9" s="129"/>
      <c r="K9" s="1680" t="s">
        <v>25</v>
      </c>
      <c r="L9" s="1681"/>
      <c r="M9" s="128"/>
      <c r="N9" s="128"/>
      <c r="O9" s="129"/>
      <c r="P9" s="1680" t="s">
        <v>25</v>
      </c>
      <c r="Q9" s="1681"/>
      <c r="R9" s="128"/>
      <c r="S9" s="128"/>
      <c r="T9" s="129"/>
      <c r="U9" s="1680" t="s">
        <v>25</v>
      </c>
      <c r="V9" s="1681"/>
      <c r="W9" s="128"/>
      <c r="X9" s="128"/>
      <c r="Y9" s="129"/>
      <c r="Z9" s="1680" t="s">
        <v>25</v>
      </c>
      <c r="AA9" s="1681"/>
      <c r="AB9" s="128"/>
      <c r="AC9" s="128"/>
      <c r="AD9" s="129"/>
      <c r="AE9" s="1680" t="s">
        <v>25</v>
      </c>
      <c r="AF9" s="1681"/>
      <c r="AG9" s="128"/>
      <c r="AH9" s="128"/>
      <c r="AI9" s="129"/>
      <c r="AJ9" s="1680" t="s">
        <v>25</v>
      </c>
      <c r="AK9" s="1681"/>
      <c r="AL9" s="128"/>
      <c r="AM9" s="128"/>
      <c r="AN9" s="129"/>
      <c r="AO9" s="1680" t="s">
        <v>25</v>
      </c>
      <c r="AP9" s="1681"/>
      <c r="AQ9" s="128"/>
      <c r="AR9" s="128"/>
      <c r="AS9" s="129"/>
      <c r="AT9" s="1680" t="s">
        <v>25</v>
      </c>
      <c r="AU9" s="1681"/>
      <c r="AV9" s="128"/>
      <c r="AW9" s="128"/>
      <c r="AX9" s="129"/>
      <c r="AY9" s="715"/>
      <c r="AZ9" s="713"/>
      <c r="BA9" s="713"/>
      <c r="BB9" s="713"/>
      <c r="BC9" s="713"/>
      <c r="BD9" s="713"/>
      <c r="BE9" s="713"/>
      <c r="BF9" s="713"/>
      <c r="BG9" s="713"/>
      <c r="BH9" s="713"/>
      <c r="BI9" s="713"/>
      <c r="BJ9" s="713"/>
    </row>
    <row r="10" spans="1:80" ht="24.95" hidden="1" customHeight="1" x14ac:dyDescent="0.25">
      <c r="A10" s="1683"/>
      <c r="B10" s="1684"/>
      <c r="C10" s="130"/>
      <c r="D10" s="130"/>
      <c r="E10" s="131"/>
      <c r="F10" s="1683"/>
      <c r="G10" s="1684"/>
      <c r="H10" s="130"/>
      <c r="I10" s="130"/>
      <c r="J10" s="131"/>
      <c r="K10" s="1683"/>
      <c r="L10" s="1684"/>
      <c r="M10" s="130"/>
      <c r="N10" s="130"/>
      <c r="O10" s="131"/>
      <c r="P10" s="1683"/>
      <c r="Q10" s="1684"/>
      <c r="R10" s="130"/>
      <c r="S10" s="130"/>
      <c r="T10" s="131"/>
      <c r="U10" s="1683"/>
      <c r="V10" s="1684"/>
      <c r="W10" s="130"/>
      <c r="X10" s="130"/>
      <c r="Y10" s="131"/>
      <c r="Z10" s="1683"/>
      <c r="AA10" s="1684"/>
      <c r="AB10" s="130"/>
      <c r="AC10" s="130"/>
      <c r="AD10" s="131"/>
      <c r="AE10" s="1683"/>
      <c r="AF10" s="1684"/>
      <c r="AG10" s="130"/>
      <c r="AH10" s="130"/>
      <c r="AI10" s="131"/>
      <c r="AJ10" s="1683"/>
      <c r="AK10" s="1684"/>
      <c r="AL10" s="130"/>
      <c r="AM10" s="130"/>
      <c r="AN10" s="131"/>
      <c r="AO10" s="1683"/>
      <c r="AP10" s="1684"/>
      <c r="AQ10" s="130"/>
      <c r="AR10" s="130"/>
      <c r="AS10" s="131"/>
      <c r="AT10" s="1683"/>
      <c r="AU10" s="1684"/>
      <c r="AV10" s="130"/>
      <c r="AW10" s="130"/>
      <c r="AX10" s="131"/>
      <c r="AY10" s="715"/>
      <c r="AZ10" s="713"/>
      <c r="BA10" s="713"/>
      <c r="BB10" s="713"/>
      <c r="BC10" s="713"/>
      <c r="BD10" s="713"/>
      <c r="BE10" s="713"/>
      <c r="BF10" s="713"/>
      <c r="BG10" s="713"/>
      <c r="BH10" s="713"/>
      <c r="BI10" s="713"/>
      <c r="BJ10" s="713"/>
    </row>
    <row r="11" spans="1:80" ht="25.5" customHeight="1" x14ac:dyDescent="0.25">
      <c r="A11" s="1686"/>
      <c r="B11" s="1687"/>
      <c r="C11" s="3494" t="s">
        <v>111</v>
      </c>
      <c r="D11" s="1687"/>
      <c r="E11" s="1688"/>
      <c r="F11" s="1686"/>
      <c r="G11" s="1687"/>
      <c r="H11" s="3494" t="s">
        <v>111</v>
      </c>
      <c r="I11" s="1687"/>
      <c r="J11" s="1688"/>
      <c r="K11" s="1686"/>
      <c r="L11" s="1687"/>
      <c r="M11" s="3494" t="s">
        <v>111</v>
      </c>
      <c r="N11" s="1687"/>
      <c r="O11" s="1688"/>
      <c r="P11" s="1686"/>
      <c r="Q11" s="1687"/>
      <c r="R11" s="3494" t="s">
        <v>111</v>
      </c>
      <c r="S11" s="1687"/>
      <c r="T11" s="1688"/>
      <c r="U11" s="1686"/>
      <c r="V11" s="1687"/>
      <c r="W11" s="3494" t="s">
        <v>111</v>
      </c>
      <c r="X11" s="1687"/>
      <c r="Y11" s="1688"/>
      <c r="Z11" s="1686"/>
      <c r="AA11" s="1687"/>
      <c r="AB11" s="3494" t="s">
        <v>111</v>
      </c>
      <c r="AC11" s="1687"/>
      <c r="AD11" s="1688"/>
      <c r="AE11" s="1686"/>
      <c r="AF11" s="1687"/>
      <c r="AG11" s="3494" t="s">
        <v>111</v>
      </c>
      <c r="AH11" s="1687"/>
      <c r="AI11" s="1688"/>
      <c r="AJ11" s="1686"/>
      <c r="AK11" s="1687"/>
      <c r="AL11" s="3494" t="s">
        <v>111</v>
      </c>
      <c r="AM11" s="1687"/>
      <c r="AN11" s="1688"/>
      <c r="AO11" s="1686"/>
      <c r="AP11" s="1687"/>
      <c r="AQ11" s="3494" t="s">
        <v>111</v>
      </c>
      <c r="AR11" s="1687"/>
      <c r="AS11" s="1688"/>
      <c r="AT11" s="1686"/>
      <c r="AU11" s="1687"/>
      <c r="AV11" s="3494" t="s">
        <v>111</v>
      </c>
      <c r="AW11" s="1687"/>
      <c r="AX11" s="1688"/>
      <c r="AY11" s="715"/>
      <c r="AZ11" s="713"/>
      <c r="BA11" s="713"/>
      <c r="BB11" s="713"/>
      <c r="BC11" s="713"/>
      <c r="BD11" s="713"/>
      <c r="BE11" s="713"/>
      <c r="BF11" s="713"/>
      <c r="BG11" s="713"/>
      <c r="BH11" s="713"/>
      <c r="BI11" s="713"/>
      <c r="BJ11" s="713"/>
    </row>
    <row r="12" spans="1:80" ht="72" customHeight="1" x14ac:dyDescent="0.25">
      <c r="A12" s="3583" t="s">
        <v>251</v>
      </c>
      <c r="B12" s="1714">
        <v>11</v>
      </c>
      <c r="C12" s="1715"/>
      <c r="D12" s="1715"/>
      <c r="E12" s="174" t="s">
        <v>261</v>
      </c>
      <c r="F12" s="3583" t="s">
        <v>251</v>
      </c>
      <c r="G12" s="1714">
        <v>12</v>
      </c>
      <c r="H12" s="1715"/>
      <c r="I12" s="1715"/>
      <c r="J12" s="174" t="s">
        <v>261</v>
      </c>
      <c r="K12" s="3583" t="s">
        <v>251</v>
      </c>
      <c r="L12" s="1714">
        <v>13</v>
      </c>
      <c r="M12" s="1715"/>
      <c r="N12" s="1715"/>
      <c r="O12" s="174" t="s">
        <v>261</v>
      </c>
      <c r="P12" s="3583" t="s">
        <v>251</v>
      </c>
      <c r="Q12" s="1714">
        <v>14</v>
      </c>
      <c r="R12" s="1715"/>
      <c r="S12" s="1715"/>
      <c r="T12" s="174" t="s">
        <v>261</v>
      </c>
      <c r="U12" s="3583" t="s">
        <v>251</v>
      </c>
      <c r="V12" s="1714">
        <v>15</v>
      </c>
      <c r="W12" s="1715"/>
      <c r="X12" s="1715"/>
      <c r="Y12" s="174" t="s">
        <v>261</v>
      </c>
      <c r="Z12" s="3583" t="s">
        <v>251</v>
      </c>
      <c r="AA12" s="1714">
        <v>16</v>
      </c>
      <c r="AB12" s="1715"/>
      <c r="AC12" s="1715"/>
      <c r="AD12" s="174" t="s">
        <v>261</v>
      </c>
      <c r="AE12" s="3583" t="s">
        <v>251</v>
      </c>
      <c r="AF12" s="1714">
        <v>17</v>
      </c>
      <c r="AG12" s="1715"/>
      <c r="AH12" s="1715"/>
      <c r="AI12" s="174" t="s">
        <v>261</v>
      </c>
      <c r="AJ12" s="3583" t="s">
        <v>251</v>
      </c>
      <c r="AK12" s="1714">
        <v>18</v>
      </c>
      <c r="AL12" s="1715"/>
      <c r="AM12" s="1715"/>
      <c r="AN12" s="174" t="s">
        <v>261</v>
      </c>
      <c r="AO12" s="3583" t="s">
        <v>251</v>
      </c>
      <c r="AP12" s="1714">
        <v>19</v>
      </c>
      <c r="AQ12" s="1715"/>
      <c r="AR12" s="1715"/>
      <c r="AS12" s="174" t="s">
        <v>261</v>
      </c>
      <c r="AT12" s="3583" t="s">
        <v>251</v>
      </c>
      <c r="AU12" s="1714">
        <v>20</v>
      </c>
      <c r="AV12" s="1715"/>
      <c r="AW12" s="1715"/>
      <c r="AX12" s="174" t="s">
        <v>261</v>
      </c>
      <c r="AY12" s="715"/>
      <c r="AZ12" s="713"/>
      <c r="BA12" s="713"/>
      <c r="BB12" s="713"/>
      <c r="BC12" s="713"/>
      <c r="BD12" s="713"/>
      <c r="BE12" s="713"/>
      <c r="BF12" s="713"/>
      <c r="BG12" s="713"/>
      <c r="BH12" s="713"/>
      <c r="BI12" s="713"/>
      <c r="BJ12" s="713"/>
      <c r="BM12" s="51"/>
      <c r="BN12" s="51"/>
      <c r="BO12" s="51"/>
      <c r="BP12" s="51"/>
      <c r="BQ12" s="51"/>
      <c r="BR12" s="51"/>
      <c r="BW12" s="27"/>
      <c r="BX12" s="27"/>
      <c r="BY12" s="27"/>
      <c r="BZ12" s="27"/>
      <c r="CA12" s="27"/>
      <c r="CB12" s="27"/>
    </row>
    <row r="13" spans="1:80" ht="35.1" customHeight="1" thickBot="1" x14ac:dyDescent="0.3">
      <c r="A13" s="3584"/>
      <c r="B13" s="133">
        <v>1.371</v>
      </c>
      <c r="C13" s="134" t="s">
        <v>113</v>
      </c>
      <c r="D13" s="135"/>
      <c r="E13" s="136" t="s">
        <v>114</v>
      </c>
      <c r="F13" s="3584"/>
      <c r="G13" s="133">
        <v>0.30399999999999999</v>
      </c>
      <c r="H13" s="134" t="s">
        <v>113</v>
      </c>
      <c r="I13" s="135"/>
      <c r="J13" s="136" t="s">
        <v>114</v>
      </c>
      <c r="K13" s="3584"/>
      <c r="L13" s="133">
        <v>4.1399999999999997</v>
      </c>
      <c r="M13" s="134" t="s">
        <v>113</v>
      </c>
      <c r="N13" s="135">
        <v>1</v>
      </c>
      <c r="O13" s="136" t="s">
        <v>114</v>
      </c>
      <c r="P13" s="3584"/>
      <c r="Q13" s="133">
        <v>0.48199999999999998</v>
      </c>
      <c r="R13" s="134" t="s">
        <v>113</v>
      </c>
      <c r="S13" s="135"/>
      <c r="T13" s="136" t="s">
        <v>114</v>
      </c>
      <c r="U13" s="3584"/>
      <c r="V13" s="133">
        <v>2.972</v>
      </c>
      <c r="W13" s="134" t="s">
        <v>113</v>
      </c>
      <c r="X13" s="135">
        <v>1</v>
      </c>
      <c r="Y13" s="136" t="s">
        <v>114</v>
      </c>
      <c r="Z13" s="3584"/>
      <c r="AA13" s="133">
        <v>1E-4</v>
      </c>
      <c r="AB13" s="134" t="s">
        <v>113</v>
      </c>
      <c r="AC13" s="135"/>
      <c r="AD13" s="136" t="s">
        <v>114</v>
      </c>
      <c r="AE13" s="3584"/>
      <c r="AF13" s="133">
        <v>3.8370000000000002</v>
      </c>
      <c r="AG13" s="134" t="s">
        <v>113</v>
      </c>
      <c r="AH13" s="135">
        <v>1</v>
      </c>
      <c r="AI13" s="136" t="s">
        <v>114</v>
      </c>
      <c r="AJ13" s="3584"/>
      <c r="AK13" s="133">
        <v>2.8439999999999999</v>
      </c>
      <c r="AL13" s="134" t="s">
        <v>113</v>
      </c>
      <c r="AM13" s="135"/>
      <c r="AN13" s="136" t="s">
        <v>114</v>
      </c>
      <c r="AO13" s="3584"/>
      <c r="AP13" s="133">
        <v>6.4509999999999996</v>
      </c>
      <c r="AQ13" s="134" t="s">
        <v>113</v>
      </c>
      <c r="AR13" s="135"/>
      <c r="AS13" s="136" t="s">
        <v>114</v>
      </c>
      <c r="AT13" s="3584"/>
      <c r="AU13" s="133">
        <v>6.5019999999999998</v>
      </c>
      <c r="AV13" s="134" t="s">
        <v>113</v>
      </c>
      <c r="AW13" s="135">
        <v>1</v>
      </c>
      <c r="AX13" s="136" t="s">
        <v>114</v>
      </c>
      <c r="AY13" s="715"/>
      <c r="AZ13" s="713"/>
      <c r="BA13" s="713"/>
      <c r="BB13" s="713"/>
      <c r="BC13" s="713"/>
      <c r="BD13" s="713"/>
      <c r="BE13" s="713"/>
      <c r="BF13" s="713"/>
      <c r="BG13" s="713"/>
      <c r="BH13" s="713"/>
      <c r="BI13" s="713"/>
      <c r="BJ13" s="713"/>
      <c r="BM13" s="51"/>
      <c r="BN13" s="51"/>
      <c r="BO13" s="51"/>
      <c r="BP13" s="51"/>
      <c r="BQ13" s="51"/>
      <c r="BR13" s="51"/>
      <c r="BW13" s="27"/>
      <c r="BX13" s="27"/>
      <c r="BY13" s="27"/>
      <c r="BZ13" s="27"/>
      <c r="CA13" s="27"/>
      <c r="CB13" s="27"/>
    </row>
    <row r="14" spans="1:80" ht="39.950000000000003" hidden="1" customHeight="1" thickTop="1" x14ac:dyDescent="0.25">
      <c r="A14" s="1695" t="s">
        <v>250</v>
      </c>
      <c r="B14" s="1696"/>
      <c r="C14" s="1696"/>
      <c r="D14" s="1697">
        <f>B19/((42*3.1415/59)*(30/3.281))</f>
        <v>0</v>
      </c>
      <c r="E14" s="1698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Z14" s="44"/>
      <c r="AA14" s="44"/>
      <c r="AB14" s="44"/>
      <c r="AC14" s="44"/>
      <c r="AD14" s="44"/>
      <c r="AE14" s="44"/>
      <c r="AF14" s="44"/>
      <c r="AG14" s="44"/>
      <c r="AH14" s="1300"/>
      <c r="AI14" s="1300"/>
      <c r="AJ14" s="674"/>
      <c r="AK14" s="674"/>
      <c r="AL14" s="674"/>
      <c r="AM14" s="1300"/>
      <c r="AN14" s="1300"/>
      <c r="AO14" s="674"/>
      <c r="AP14" s="674"/>
      <c r="AQ14" s="674"/>
      <c r="AR14" s="1300"/>
      <c r="AS14" s="1300"/>
      <c r="AT14" s="1389"/>
      <c r="AU14" s="1389"/>
      <c r="AV14" s="1389"/>
      <c r="AW14" s="1390"/>
      <c r="AX14" s="1390"/>
      <c r="AY14" s="674"/>
      <c r="AZ14" s="674"/>
      <c r="BA14" s="674"/>
      <c r="BB14" s="1300"/>
      <c r="BC14" s="1300"/>
      <c r="BD14" s="674"/>
      <c r="BE14" s="674"/>
      <c r="BF14" s="674"/>
      <c r="BG14" s="1300"/>
      <c r="BH14" s="1300"/>
      <c r="BM14" s="51"/>
      <c r="BN14" s="51"/>
      <c r="BO14" s="51"/>
      <c r="BP14" s="51"/>
      <c r="BQ14" s="51"/>
      <c r="BR14" s="51"/>
      <c r="BW14" s="27"/>
      <c r="BX14" s="27"/>
      <c r="BY14" s="27"/>
      <c r="BZ14" s="27"/>
      <c r="CA14" s="27"/>
      <c r="CB14" s="27"/>
    </row>
    <row r="15" spans="1:80" ht="9.9499999999999993" hidden="1" customHeight="1" x14ac:dyDescent="0.25">
      <c r="A15" s="1379" t="s">
        <v>252</v>
      </c>
      <c r="B15" s="1380"/>
      <c r="C15" s="1380"/>
      <c r="D15" s="1380"/>
      <c r="E15" s="1381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Z15" s="47"/>
      <c r="AA15" s="47"/>
      <c r="AB15" s="47"/>
      <c r="AC15" s="47"/>
      <c r="AD15" s="47"/>
      <c r="AE15" s="47"/>
      <c r="AF15" s="47"/>
      <c r="AG15" s="47"/>
      <c r="AH15" s="36"/>
      <c r="AI15" s="36"/>
      <c r="AJ15" s="676"/>
      <c r="AK15" s="676"/>
      <c r="AL15" s="676"/>
      <c r="AM15" s="36"/>
      <c r="AN15" s="36"/>
      <c r="AO15" s="676"/>
      <c r="AP15" s="676"/>
      <c r="AQ15" s="676"/>
      <c r="AR15" s="36"/>
      <c r="AS15" s="36"/>
      <c r="AT15" s="1388"/>
      <c r="AU15" s="1388"/>
      <c r="AV15" s="1388"/>
      <c r="AW15" s="139"/>
      <c r="AX15" s="139"/>
      <c r="AY15" s="676"/>
      <c r="AZ15" s="676"/>
      <c r="BA15" s="676"/>
      <c r="BB15" s="36"/>
      <c r="BC15" s="36"/>
      <c r="BD15" s="676"/>
      <c r="BE15" s="676"/>
      <c r="BF15" s="676"/>
      <c r="BG15" s="36"/>
      <c r="BH15" s="36"/>
    </row>
    <row r="16" spans="1:80" ht="24.95" hidden="1" customHeight="1" x14ac:dyDescent="0.25">
      <c r="A16" s="1382"/>
      <c r="B16" s="1383"/>
      <c r="C16" s="1383"/>
      <c r="D16" s="1383"/>
      <c r="E16" s="1384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Z16" s="47"/>
      <c r="AA16" s="47"/>
      <c r="AB16" s="47"/>
      <c r="AC16" s="47"/>
      <c r="AD16" s="47"/>
      <c r="AE16" s="47"/>
      <c r="AF16" s="47"/>
      <c r="AG16" s="47"/>
      <c r="AH16" s="140"/>
      <c r="AI16" s="36"/>
      <c r="AJ16" s="676"/>
      <c r="AK16" s="676"/>
      <c r="AL16" s="676"/>
      <c r="AM16" s="140"/>
      <c r="AN16" s="36"/>
      <c r="AO16" s="676"/>
      <c r="AP16" s="676"/>
      <c r="AQ16" s="676"/>
      <c r="AR16" s="140"/>
      <c r="AS16" s="36"/>
      <c r="AT16" s="1388"/>
      <c r="AU16" s="1388"/>
      <c r="AV16" s="1388"/>
      <c r="AW16" s="141"/>
      <c r="AX16" s="139"/>
      <c r="AY16" s="676"/>
      <c r="AZ16" s="676"/>
      <c r="BA16" s="676"/>
      <c r="BB16" s="36"/>
      <c r="BC16" s="36"/>
      <c r="BD16" s="676"/>
      <c r="BE16" s="676"/>
      <c r="BF16" s="676"/>
      <c r="BG16" s="36"/>
      <c r="BH16" s="36"/>
    </row>
    <row r="17" spans="1:80" ht="9.9499999999999993" hidden="1" customHeight="1" x14ac:dyDescent="0.25">
      <c r="A17" s="1385"/>
      <c r="B17" s="1386"/>
      <c r="C17" s="1386"/>
      <c r="D17" s="1386"/>
      <c r="E17" s="138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Z17" s="47"/>
      <c r="AA17" s="47"/>
      <c r="AB17" s="47"/>
      <c r="AC17" s="47"/>
      <c r="AD17" s="47"/>
      <c r="AE17" s="47"/>
      <c r="AF17" s="47"/>
      <c r="AG17" s="47"/>
      <c r="AH17" s="36"/>
      <c r="AI17" s="36"/>
      <c r="AJ17" s="676"/>
      <c r="AK17" s="676"/>
      <c r="AL17" s="676"/>
      <c r="AM17" s="36"/>
      <c r="AN17" s="36"/>
      <c r="AO17" s="676"/>
      <c r="AP17" s="676"/>
      <c r="AQ17" s="676"/>
      <c r="AR17" s="36"/>
      <c r="AS17" s="36"/>
      <c r="AT17" s="1388"/>
      <c r="AU17" s="1388"/>
      <c r="AV17" s="1388"/>
      <c r="AW17" s="139"/>
      <c r="AX17" s="139"/>
      <c r="AY17" s="676"/>
      <c r="AZ17" s="676"/>
      <c r="BA17" s="676"/>
      <c r="BB17" s="36"/>
      <c r="BC17" s="36"/>
      <c r="BD17" s="676"/>
      <c r="BE17" s="676"/>
      <c r="BF17" s="676"/>
      <c r="BG17" s="36"/>
      <c r="BH17" s="36"/>
    </row>
    <row r="18" spans="1:80" ht="72" hidden="1" customHeight="1" x14ac:dyDescent="0.25">
      <c r="A18" s="1374" t="s">
        <v>253</v>
      </c>
      <c r="B18" s="1376"/>
      <c r="C18" s="1377"/>
      <c r="D18" s="1377"/>
      <c r="E18" s="1378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3"/>
      <c r="AU18" s="143"/>
      <c r="AV18" s="143"/>
      <c r="AW18" s="143"/>
      <c r="AX18" s="143"/>
      <c r="AY18" s="677"/>
      <c r="AZ18" s="1332"/>
      <c r="BA18" s="1332"/>
      <c r="BB18" s="1332"/>
      <c r="BC18" s="1332"/>
      <c r="BD18" s="677"/>
      <c r="BE18" s="1332" t="s">
        <v>16</v>
      </c>
      <c r="BF18" s="1332"/>
      <c r="BG18" s="1332"/>
      <c r="BH18" s="1332"/>
      <c r="BM18" s="51"/>
      <c r="BN18" s="51"/>
      <c r="BO18" s="51"/>
      <c r="BP18" s="51"/>
      <c r="BQ18" s="51"/>
      <c r="BR18" s="51"/>
      <c r="BW18" s="27"/>
      <c r="BX18" s="27"/>
      <c r="BY18" s="27"/>
      <c r="BZ18" s="27"/>
      <c r="CA18" s="27"/>
      <c r="CB18" s="27"/>
    </row>
    <row r="19" spans="1:80" ht="35.1" hidden="1" customHeight="1" thickBot="1" x14ac:dyDescent="0.3">
      <c r="A19" s="1375"/>
      <c r="B19" s="144"/>
      <c r="C19" s="145" t="s">
        <v>113</v>
      </c>
      <c r="D19" s="146"/>
      <c r="E19" s="147" t="s">
        <v>114</v>
      </c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148"/>
      <c r="AU19" s="148"/>
      <c r="AV19" s="148"/>
      <c r="AW19" s="148"/>
      <c r="AX19" s="148"/>
      <c r="AY19" s="677"/>
      <c r="AZ19" s="137"/>
      <c r="BA19" s="33"/>
      <c r="BB19" s="138"/>
      <c r="BC19" s="35"/>
      <c r="BD19" s="677"/>
      <c r="BE19" s="137"/>
      <c r="BF19" s="33"/>
      <c r="BG19" s="138"/>
      <c r="BH19" s="35"/>
      <c r="BM19" s="51"/>
      <c r="BN19" s="51"/>
      <c r="BO19" s="51"/>
      <c r="BP19" s="51"/>
      <c r="BQ19" s="51"/>
      <c r="BR19" s="51"/>
      <c r="BW19" s="27"/>
      <c r="BX19" s="27"/>
      <c r="BY19" s="27"/>
      <c r="BZ19" s="27"/>
      <c r="CA19" s="27"/>
      <c r="CB19" s="27"/>
    </row>
    <row r="20" spans="1:80" ht="27" hidden="1" thickTop="1" x14ac:dyDescent="0.25">
      <c r="A20" s="1396"/>
      <c r="B20" s="1396"/>
      <c r="C20" s="1396"/>
      <c r="D20" s="1397"/>
      <c r="E20" s="1397"/>
      <c r="F20" s="674"/>
      <c r="G20" s="674"/>
      <c r="H20" s="674"/>
      <c r="I20" s="1300"/>
      <c r="J20" s="1300"/>
      <c r="K20" s="674"/>
      <c r="L20" s="674"/>
      <c r="M20" s="674"/>
      <c r="N20" s="1300"/>
      <c r="O20" s="1300"/>
      <c r="P20" s="674"/>
      <c r="Q20" s="674"/>
      <c r="R20" s="674"/>
      <c r="S20" s="1300"/>
      <c r="T20" s="1300"/>
      <c r="U20" s="674"/>
      <c r="V20" s="674"/>
      <c r="W20" s="674"/>
      <c r="X20" s="1300"/>
      <c r="Y20" s="1300"/>
      <c r="Z20" s="674"/>
      <c r="AA20" s="674"/>
      <c r="AB20" s="674"/>
      <c r="AC20" s="1300"/>
      <c r="AD20" s="1300"/>
      <c r="AE20" s="674"/>
      <c r="AF20" s="674"/>
      <c r="AG20" s="674"/>
      <c r="AH20" s="1300"/>
      <c r="AI20" s="1300"/>
      <c r="AJ20" s="674"/>
      <c r="AK20" s="674"/>
      <c r="AL20" s="674"/>
      <c r="AM20" s="1300"/>
      <c r="AN20" s="1300"/>
      <c r="AO20" s="674"/>
      <c r="AP20" s="674"/>
      <c r="AQ20" s="674"/>
      <c r="AR20" s="1300"/>
      <c r="AS20" s="1300"/>
      <c r="AT20" s="1389"/>
      <c r="AU20" s="1389"/>
      <c r="AV20" s="1389"/>
      <c r="AW20" s="1390"/>
      <c r="AX20" s="1390"/>
      <c r="AY20" s="674"/>
      <c r="AZ20" s="674"/>
      <c r="BA20" s="674"/>
      <c r="BB20" s="1300"/>
      <c r="BC20" s="1300"/>
      <c r="BD20" s="674"/>
      <c r="BE20" s="674"/>
      <c r="BF20" s="674"/>
      <c r="BG20" s="1300"/>
      <c r="BH20" s="1300"/>
      <c r="BM20" s="51"/>
      <c r="BN20" s="51"/>
      <c r="BO20" s="51"/>
      <c r="BP20" s="51"/>
      <c r="BQ20" s="51"/>
      <c r="BR20" s="51"/>
      <c r="BW20" s="27"/>
      <c r="BX20" s="27"/>
      <c r="BY20" s="27"/>
      <c r="BZ20" s="27"/>
      <c r="CA20" s="27"/>
      <c r="CB20" s="27"/>
    </row>
    <row r="21" spans="1:80" ht="19.5" hidden="1" thickTop="1" x14ac:dyDescent="0.25">
      <c r="A21" s="1395"/>
      <c r="B21" s="1395"/>
      <c r="C21" s="1395"/>
      <c r="D21" s="149"/>
      <c r="E21" s="149"/>
      <c r="F21" s="676"/>
      <c r="G21" s="676"/>
      <c r="H21" s="676"/>
      <c r="I21" s="36"/>
      <c r="J21" s="36"/>
      <c r="K21" s="676"/>
      <c r="L21" s="676"/>
      <c r="M21" s="676"/>
      <c r="N21" s="36"/>
      <c r="O21" s="36"/>
      <c r="P21" s="676"/>
      <c r="Q21" s="676"/>
      <c r="R21" s="676"/>
      <c r="S21" s="36"/>
      <c r="T21" s="36"/>
      <c r="U21" s="676"/>
      <c r="V21" s="676"/>
      <c r="W21" s="676"/>
      <c r="X21" s="36"/>
      <c r="Y21" s="36"/>
      <c r="Z21" s="676"/>
      <c r="AA21" s="676"/>
      <c r="AB21" s="676"/>
      <c r="AC21" s="36"/>
      <c r="AD21" s="36"/>
      <c r="AE21" s="676"/>
      <c r="AF21" s="676"/>
      <c r="AG21" s="676"/>
      <c r="AH21" s="36"/>
      <c r="AI21" s="36"/>
      <c r="AJ21" s="676"/>
      <c r="AK21" s="676"/>
      <c r="AL21" s="676"/>
      <c r="AM21" s="36"/>
      <c r="AN21" s="36"/>
      <c r="AO21" s="676"/>
      <c r="AP21" s="676"/>
      <c r="AQ21" s="676"/>
      <c r="AR21" s="36"/>
      <c r="AS21" s="36"/>
      <c r="AT21" s="1388"/>
      <c r="AU21" s="1388"/>
      <c r="AV21" s="1388"/>
      <c r="AW21" s="139"/>
      <c r="AX21" s="139"/>
      <c r="AY21" s="676"/>
      <c r="AZ21" s="676"/>
      <c r="BA21" s="676"/>
      <c r="BB21" s="36"/>
      <c r="BC21" s="36"/>
      <c r="BD21" s="676"/>
      <c r="BE21" s="676"/>
      <c r="BF21" s="676"/>
      <c r="BG21" s="36"/>
      <c r="BH21" s="36"/>
    </row>
    <row r="22" spans="1:80" ht="36.75" hidden="1" thickTop="1" x14ac:dyDescent="0.25">
      <c r="A22" s="1395"/>
      <c r="B22" s="1395"/>
      <c r="C22" s="1395"/>
      <c r="D22" s="150"/>
      <c r="E22" s="149"/>
      <c r="F22" s="676"/>
      <c r="G22" s="676"/>
      <c r="H22" s="676"/>
      <c r="I22" s="140"/>
      <c r="J22" s="36"/>
      <c r="K22" s="676"/>
      <c r="L22" s="676"/>
      <c r="M22" s="676"/>
      <c r="N22" s="140"/>
      <c r="O22" s="36"/>
      <c r="P22" s="676"/>
      <c r="Q22" s="676"/>
      <c r="R22" s="676"/>
      <c r="S22" s="140"/>
      <c r="T22" s="36"/>
      <c r="U22" s="676"/>
      <c r="V22" s="676"/>
      <c r="W22" s="676"/>
      <c r="X22" s="140"/>
      <c r="Y22" s="36"/>
      <c r="Z22" s="676"/>
      <c r="AA22" s="676"/>
      <c r="AB22" s="676"/>
      <c r="AC22" s="140"/>
      <c r="AD22" s="36"/>
      <c r="AE22" s="676"/>
      <c r="AF22" s="676"/>
      <c r="AG22" s="676"/>
      <c r="AH22" s="140"/>
      <c r="AI22" s="36"/>
      <c r="AJ22" s="676"/>
      <c r="AK22" s="676"/>
      <c r="AL22" s="676"/>
      <c r="AM22" s="140"/>
      <c r="AN22" s="36"/>
      <c r="AO22" s="676"/>
      <c r="AP22" s="676"/>
      <c r="AQ22" s="676"/>
      <c r="AR22" s="140"/>
      <c r="AS22" s="36"/>
      <c r="AT22" s="1388"/>
      <c r="AU22" s="1388"/>
      <c r="AV22" s="1388"/>
      <c r="AW22" s="141"/>
      <c r="AX22" s="139"/>
      <c r="AY22" s="676"/>
      <c r="AZ22" s="676"/>
      <c r="BA22" s="676"/>
      <c r="BB22" s="36"/>
      <c r="BC22" s="36"/>
      <c r="BD22" s="676"/>
      <c r="BE22" s="676"/>
      <c r="BF22" s="676"/>
      <c r="BG22" s="36"/>
      <c r="BH22" s="36"/>
    </row>
    <row r="23" spans="1:80" ht="19.5" hidden="1" thickTop="1" x14ac:dyDescent="0.25">
      <c r="A23" s="1395"/>
      <c r="B23" s="1395"/>
      <c r="C23" s="1395"/>
      <c r="D23" s="149"/>
      <c r="E23" s="149"/>
      <c r="F23" s="676"/>
      <c r="G23" s="676"/>
      <c r="H23" s="676"/>
      <c r="I23" s="36"/>
      <c r="J23" s="36"/>
      <c r="K23" s="676"/>
      <c r="L23" s="676"/>
      <c r="M23" s="676"/>
      <c r="N23" s="36"/>
      <c r="O23" s="36"/>
      <c r="P23" s="676"/>
      <c r="Q23" s="676"/>
      <c r="R23" s="676"/>
      <c r="S23" s="36"/>
      <c r="T23" s="36"/>
      <c r="U23" s="676"/>
      <c r="V23" s="676"/>
      <c r="W23" s="676"/>
      <c r="X23" s="36"/>
      <c r="Y23" s="36"/>
      <c r="Z23" s="676"/>
      <c r="AA23" s="676"/>
      <c r="AB23" s="676"/>
      <c r="AC23" s="36"/>
      <c r="AD23" s="36"/>
      <c r="AE23" s="676"/>
      <c r="AF23" s="676"/>
      <c r="AG23" s="676"/>
      <c r="AH23" s="36"/>
      <c r="AI23" s="36"/>
      <c r="AJ23" s="676"/>
      <c r="AK23" s="676"/>
      <c r="AL23" s="676"/>
      <c r="AM23" s="36"/>
      <c r="AN23" s="36"/>
      <c r="AO23" s="676"/>
      <c r="AP23" s="676"/>
      <c r="AQ23" s="676"/>
      <c r="AR23" s="36"/>
      <c r="AS23" s="36"/>
      <c r="AT23" s="1388"/>
      <c r="AU23" s="1388"/>
      <c r="AV23" s="1388"/>
      <c r="AW23" s="139"/>
      <c r="AX23" s="139"/>
      <c r="AY23" s="676"/>
      <c r="AZ23" s="676"/>
      <c r="BA23" s="676"/>
      <c r="BB23" s="36"/>
      <c r="BC23" s="36"/>
      <c r="BD23" s="676"/>
      <c r="BE23" s="676"/>
      <c r="BF23" s="676"/>
      <c r="BG23" s="36"/>
      <c r="BH23" s="36"/>
    </row>
    <row r="24" spans="1:80" ht="78" hidden="1" thickTop="1" x14ac:dyDescent="0.25">
      <c r="A24" s="1398"/>
      <c r="B24" s="1399"/>
      <c r="C24" s="1399"/>
      <c r="D24" s="1399"/>
      <c r="E24" s="1399"/>
      <c r="F24" s="1370"/>
      <c r="G24" s="1371"/>
      <c r="H24" s="1371"/>
      <c r="I24" s="1371"/>
      <c r="J24" s="1371"/>
      <c r="K24" s="1370"/>
      <c r="L24" s="1371"/>
      <c r="M24" s="1371"/>
      <c r="N24" s="1371"/>
      <c r="O24" s="1371"/>
      <c r="P24" s="1370"/>
      <c r="Q24" s="1371"/>
      <c r="R24" s="1371"/>
      <c r="S24" s="1371"/>
      <c r="T24" s="1371"/>
      <c r="U24" s="1370"/>
      <c r="V24" s="1371"/>
      <c r="W24" s="1371"/>
      <c r="X24" s="1371"/>
      <c r="Y24" s="1371"/>
      <c r="Z24" s="1370"/>
      <c r="AA24" s="1371"/>
      <c r="AB24" s="1371"/>
      <c r="AC24" s="1371"/>
      <c r="AD24" s="1371"/>
      <c r="AE24" s="1370"/>
      <c r="AF24" s="1371"/>
      <c r="AG24" s="1371"/>
      <c r="AH24" s="1371"/>
      <c r="AI24" s="1371"/>
      <c r="AJ24" s="1370"/>
      <c r="AK24" s="1371"/>
      <c r="AL24" s="1371"/>
      <c r="AM24" s="1371"/>
      <c r="AN24" s="1371"/>
      <c r="AO24" s="1370"/>
      <c r="AP24" s="1371"/>
      <c r="AQ24" s="1371"/>
      <c r="AR24" s="1371"/>
      <c r="AS24" s="1371"/>
      <c r="AT24" s="1439"/>
      <c r="AU24" s="1440"/>
      <c r="AV24" s="1440"/>
      <c r="AW24" s="1440"/>
      <c r="AX24" s="1440"/>
      <c r="AY24" s="677"/>
      <c r="AZ24" s="1332"/>
      <c r="BA24" s="1332"/>
      <c r="BB24" s="1332"/>
      <c r="BC24" s="1332"/>
      <c r="BD24" s="677"/>
      <c r="BE24" s="1332"/>
      <c r="BF24" s="1332"/>
      <c r="BG24" s="1332"/>
      <c r="BH24" s="1332"/>
      <c r="BM24" s="51"/>
      <c r="BN24" s="51"/>
      <c r="BO24" s="51"/>
      <c r="BP24" s="51"/>
      <c r="BQ24" s="51"/>
      <c r="BR24" s="51"/>
      <c r="BW24" s="27"/>
      <c r="BX24" s="27"/>
      <c r="BY24" s="27"/>
      <c r="BZ24" s="27"/>
      <c r="CA24" s="27"/>
      <c r="CB24" s="27"/>
    </row>
    <row r="25" spans="1:80" ht="27" hidden="1" thickTop="1" x14ac:dyDescent="0.25">
      <c r="A25" s="1398"/>
      <c r="B25" s="151"/>
      <c r="C25" s="152"/>
      <c r="D25" s="153"/>
      <c r="E25" s="154"/>
      <c r="F25" s="1370"/>
      <c r="G25" s="32"/>
      <c r="H25" s="33"/>
      <c r="I25" s="34"/>
      <c r="J25" s="35"/>
      <c r="K25" s="1370"/>
      <c r="L25" s="32"/>
      <c r="M25" s="33"/>
      <c r="N25" s="34"/>
      <c r="O25" s="35"/>
      <c r="P25" s="1370"/>
      <c r="Q25" s="32"/>
      <c r="R25" s="33"/>
      <c r="S25" s="34"/>
      <c r="T25" s="35"/>
      <c r="U25" s="1370"/>
      <c r="V25" s="32"/>
      <c r="W25" s="33"/>
      <c r="X25" s="34"/>
      <c r="Y25" s="35"/>
      <c r="Z25" s="1370"/>
      <c r="AA25" s="32"/>
      <c r="AB25" s="33"/>
      <c r="AC25" s="34"/>
      <c r="AD25" s="35"/>
      <c r="AE25" s="1370"/>
      <c r="AF25" s="32"/>
      <c r="AG25" s="33"/>
      <c r="AH25" s="34"/>
      <c r="AI25" s="35"/>
      <c r="AJ25" s="1370"/>
      <c r="AK25" s="32"/>
      <c r="AL25" s="33"/>
      <c r="AM25" s="34"/>
      <c r="AN25" s="35"/>
      <c r="AO25" s="1370"/>
      <c r="AP25" s="32"/>
      <c r="AQ25" s="33"/>
      <c r="AR25" s="34"/>
      <c r="AS25" s="35"/>
      <c r="AT25" s="1439"/>
      <c r="AU25" s="155"/>
      <c r="AV25" s="148"/>
      <c r="AW25" s="156"/>
      <c r="AX25" s="157"/>
      <c r="AY25" s="677"/>
      <c r="AZ25" s="137"/>
      <c r="BA25" s="33"/>
      <c r="BB25" s="138"/>
      <c r="BC25" s="35"/>
      <c r="BD25" s="677"/>
      <c r="BE25" s="137"/>
      <c r="BF25" s="33"/>
      <c r="BG25" s="138"/>
      <c r="BH25" s="35"/>
      <c r="BM25" s="51"/>
      <c r="BN25" s="51"/>
      <c r="BO25" s="51"/>
      <c r="BP25" s="51"/>
      <c r="BQ25" s="51"/>
      <c r="BR25" s="51"/>
      <c r="BW25" s="27"/>
      <c r="BX25" s="27"/>
      <c r="BY25" s="27"/>
      <c r="BZ25" s="27"/>
      <c r="CA25" s="27"/>
      <c r="CB25" s="27"/>
    </row>
    <row r="26" spans="1:80" ht="27" hidden="1" thickTop="1" x14ac:dyDescent="0.25">
      <c r="A26" s="1396"/>
      <c r="B26" s="1396"/>
      <c r="C26" s="1396"/>
      <c r="D26" s="1397"/>
      <c r="E26" s="1397"/>
      <c r="F26" s="674"/>
      <c r="G26" s="674"/>
      <c r="H26" s="674"/>
      <c r="I26" s="1300"/>
      <c r="J26" s="1300"/>
      <c r="K26" s="674"/>
      <c r="L26" s="674"/>
      <c r="M26" s="674"/>
      <c r="N26" s="1300"/>
      <c r="O26" s="1300"/>
      <c r="P26" s="674"/>
      <c r="Q26" s="674"/>
      <c r="R26" s="674"/>
      <c r="S26" s="1300"/>
      <c r="T26" s="1300"/>
      <c r="U26" s="674"/>
      <c r="V26" s="674"/>
      <c r="W26" s="674"/>
      <c r="X26" s="1300"/>
      <c r="Y26" s="1300"/>
      <c r="Z26" s="674"/>
      <c r="AA26" s="674"/>
      <c r="AB26" s="674"/>
      <c r="AC26" s="1300"/>
      <c r="AD26" s="1300"/>
      <c r="AE26" s="674"/>
      <c r="AF26" s="674"/>
      <c r="AG26" s="674"/>
      <c r="AH26" s="1300"/>
      <c r="AI26" s="1300"/>
      <c r="AJ26" s="44"/>
      <c r="AK26" s="44"/>
      <c r="AP26" s="44"/>
      <c r="AQ26" s="44"/>
      <c r="AT26" s="1389"/>
      <c r="AU26" s="1389"/>
      <c r="AV26" s="1389"/>
      <c r="AW26" s="1390"/>
      <c r="AX26" s="1390"/>
      <c r="AY26" s="674"/>
      <c r="AZ26" s="674"/>
      <c r="BA26" s="674"/>
      <c r="BB26" s="1300"/>
      <c r="BC26" s="1300"/>
      <c r="BD26" s="674"/>
      <c r="BE26" s="674"/>
      <c r="BF26" s="674"/>
      <c r="BG26" s="1300"/>
      <c r="BH26" s="1300"/>
      <c r="BM26" s="51"/>
      <c r="BN26" s="51"/>
      <c r="BO26" s="51"/>
      <c r="BP26" s="51"/>
      <c r="BQ26" s="51"/>
      <c r="BR26" s="51"/>
      <c r="BW26" s="27"/>
      <c r="BX26" s="27"/>
      <c r="BY26" s="27"/>
      <c r="BZ26" s="27"/>
      <c r="CA26" s="27"/>
      <c r="CB26" s="27"/>
    </row>
    <row r="27" spans="1:80" ht="21.75" hidden="1" thickTop="1" x14ac:dyDescent="0.25">
      <c r="A27" s="1395"/>
      <c r="B27" s="1395"/>
      <c r="C27" s="1395"/>
      <c r="D27" s="149"/>
      <c r="E27" s="149"/>
      <c r="F27" s="676"/>
      <c r="G27" s="676"/>
      <c r="H27" s="676"/>
      <c r="I27" s="36"/>
      <c r="J27" s="36"/>
      <c r="K27" s="676"/>
      <c r="L27" s="676"/>
      <c r="M27" s="676"/>
      <c r="N27" s="36"/>
      <c r="O27" s="36"/>
      <c r="P27" s="676"/>
      <c r="Q27" s="676"/>
      <c r="R27" s="676"/>
      <c r="S27" s="36"/>
      <c r="T27" s="36"/>
      <c r="U27" s="676"/>
      <c r="V27" s="676"/>
      <c r="W27" s="676"/>
      <c r="X27" s="36"/>
      <c r="Y27" s="36"/>
      <c r="Z27" s="676"/>
      <c r="AA27" s="676"/>
      <c r="AB27" s="676"/>
      <c r="AC27" s="36"/>
      <c r="AD27" s="36"/>
      <c r="AE27" s="676"/>
      <c r="AF27" s="676"/>
      <c r="AG27" s="676"/>
      <c r="AH27" s="36"/>
      <c r="AI27" s="36"/>
      <c r="AJ27" s="47"/>
      <c r="AK27" s="47"/>
      <c r="AP27" s="47"/>
      <c r="AQ27" s="47"/>
      <c r="AT27" s="1388"/>
      <c r="AU27" s="1388"/>
      <c r="AV27" s="1388"/>
      <c r="AW27" s="139"/>
      <c r="AX27" s="139"/>
      <c r="AY27" s="676"/>
      <c r="AZ27" s="676"/>
      <c r="BA27" s="676"/>
      <c r="BB27" s="36"/>
      <c r="BC27" s="36"/>
      <c r="BD27" s="676"/>
      <c r="BE27" s="676"/>
      <c r="BF27" s="676"/>
      <c r="BG27" s="36"/>
      <c r="BH27" s="36"/>
    </row>
    <row r="28" spans="1:80" ht="36.75" hidden="1" thickTop="1" x14ac:dyDescent="0.25">
      <c r="A28" s="1395"/>
      <c r="B28" s="1395"/>
      <c r="C28" s="1395"/>
      <c r="D28" s="150"/>
      <c r="E28" s="149"/>
      <c r="F28" s="676"/>
      <c r="G28" s="676"/>
      <c r="H28" s="676"/>
      <c r="I28" s="140"/>
      <c r="J28" s="36"/>
      <c r="K28" s="676"/>
      <c r="L28" s="676"/>
      <c r="M28" s="676"/>
      <c r="N28" s="140"/>
      <c r="O28" s="36"/>
      <c r="P28" s="676"/>
      <c r="Q28" s="676"/>
      <c r="R28" s="676"/>
      <c r="S28" s="140"/>
      <c r="T28" s="36"/>
      <c r="U28" s="676"/>
      <c r="V28" s="676"/>
      <c r="W28" s="676"/>
      <c r="X28" s="140"/>
      <c r="Y28" s="36"/>
      <c r="Z28" s="676"/>
      <c r="AA28" s="676"/>
      <c r="AB28" s="676"/>
      <c r="AC28" s="140"/>
      <c r="AD28" s="36"/>
      <c r="AE28" s="676"/>
      <c r="AF28" s="676"/>
      <c r="AG28" s="676"/>
      <c r="AH28" s="36"/>
      <c r="AI28" s="36"/>
      <c r="AJ28" s="47"/>
      <c r="AK28" s="47"/>
      <c r="AP28" s="47"/>
      <c r="AQ28" s="47"/>
      <c r="AT28" s="1388"/>
      <c r="AU28" s="1388"/>
      <c r="AV28" s="1388"/>
      <c r="AW28" s="139"/>
      <c r="AX28" s="139"/>
      <c r="AY28" s="676"/>
      <c r="AZ28" s="676"/>
      <c r="BA28" s="676"/>
      <c r="BB28" s="36"/>
      <c r="BC28" s="36"/>
      <c r="BD28" s="676"/>
      <c r="BE28" s="676"/>
      <c r="BF28" s="676"/>
      <c r="BG28" s="36"/>
      <c r="BH28" s="36"/>
    </row>
    <row r="29" spans="1:80" ht="21.75" hidden="1" thickTop="1" x14ac:dyDescent="0.25">
      <c r="A29" s="1395"/>
      <c r="B29" s="1395"/>
      <c r="C29" s="1395"/>
      <c r="D29" s="149"/>
      <c r="E29" s="149"/>
      <c r="F29" s="676"/>
      <c r="G29" s="676"/>
      <c r="H29" s="676"/>
      <c r="I29" s="36"/>
      <c r="J29" s="36"/>
      <c r="K29" s="676"/>
      <c r="L29" s="676"/>
      <c r="M29" s="676"/>
      <c r="N29" s="36"/>
      <c r="O29" s="36"/>
      <c r="P29" s="676"/>
      <c r="Q29" s="676"/>
      <c r="R29" s="676"/>
      <c r="S29" s="36"/>
      <c r="T29" s="36"/>
      <c r="U29" s="676"/>
      <c r="V29" s="676"/>
      <c r="W29" s="676"/>
      <c r="X29" s="36"/>
      <c r="Y29" s="36"/>
      <c r="Z29" s="676"/>
      <c r="AA29" s="676"/>
      <c r="AB29" s="676"/>
      <c r="AC29" s="36"/>
      <c r="AD29" s="36"/>
      <c r="AE29" s="676"/>
      <c r="AF29" s="676"/>
      <c r="AG29" s="676"/>
      <c r="AH29" s="36"/>
      <c r="AI29" s="36"/>
      <c r="AJ29" s="47"/>
      <c r="AK29" s="47"/>
      <c r="AP29" s="47"/>
      <c r="AQ29" s="47"/>
      <c r="AR29" s="36"/>
      <c r="AS29" s="36"/>
      <c r="AT29" s="1388"/>
      <c r="AU29" s="1388"/>
      <c r="AV29" s="1388"/>
      <c r="AW29" s="139"/>
      <c r="AX29" s="139"/>
      <c r="AY29" s="676"/>
      <c r="AZ29" s="676"/>
      <c r="BA29" s="676"/>
      <c r="BB29" s="36"/>
      <c r="BC29" s="36"/>
      <c r="BD29" s="676"/>
      <c r="BE29" s="676"/>
      <c r="BF29" s="676"/>
      <c r="BG29" s="36"/>
      <c r="BH29" s="36"/>
    </row>
    <row r="30" spans="1:80" ht="78" hidden="1" thickTop="1" x14ac:dyDescent="0.25">
      <c r="A30" s="1400"/>
      <c r="B30" s="1401"/>
      <c r="C30" s="1401"/>
      <c r="D30" s="1401"/>
      <c r="E30" s="1401"/>
      <c r="F30" s="1370"/>
      <c r="G30" s="1371"/>
      <c r="H30" s="1371"/>
      <c r="I30" s="1371"/>
      <c r="J30" s="1371"/>
      <c r="K30" s="1370"/>
      <c r="L30" s="1371"/>
      <c r="M30" s="1371"/>
      <c r="N30" s="1371"/>
      <c r="O30" s="1371"/>
      <c r="P30" s="1370"/>
      <c r="Q30" s="1371"/>
      <c r="R30" s="1371"/>
      <c r="S30" s="1371"/>
      <c r="T30" s="1371"/>
      <c r="U30" s="1370"/>
      <c r="V30" s="1371"/>
      <c r="W30" s="1371"/>
      <c r="X30" s="1371"/>
      <c r="Y30" s="1371"/>
      <c r="Z30" s="1370"/>
      <c r="AA30" s="1371"/>
      <c r="AB30" s="1371"/>
      <c r="AC30" s="1371"/>
      <c r="AD30" s="1371"/>
      <c r="AE30" s="677"/>
      <c r="AF30" s="1332"/>
      <c r="AG30" s="1332"/>
      <c r="AH30" s="1332"/>
      <c r="AI30" s="1332"/>
      <c r="AJ30" s="70"/>
      <c r="AR30" s="132"/>
      <c r="AS30" s="132"/>
      <c r="AT30" s="677"/>
      <c r="AU30" s="1332"/>
      <c r="AV30" s="1332"/>
      <c r="AW30" s="1332"/>
      <c r="AX30" s="1332"/>
      <c r="AY30" s="677"/>
      <c r="AZ30" s="1332"/>
      <c r="BA30" s="1332"/>
      <c r="BB30" s="1332"/>
      <c r="BC30" s="1332"/>
      <c r="BD30" s="677" t="s">
        <v>254</v>
      </c>
      <c r="BE30" s="1332"/>
      <c r="BF30" s="1332"/>
      <c r="BG30" s="1332"/>
      <c r="BH30" s="1332"/>
      <c r="BM30" s="51"/>
      <c r="BN30" s="51"/>
      <c r="BO30" s="51"/>
      <c r="BP30" s="51"/>
      <c r="BQ30" s="51"/>
      <c r="BR30" s="51"/>
      <c r="BW30" s="27"/>
      <c r="BX30" s="27"/>
      <c r="BY30" s="27"/>
      <c r="BZ30" s="27"/>
      <c r="CA30" s="27"/>
      <c r="CB30" s="27"/>
    </row>
    <row r="31" spans="1:80" ht="138.75" customHeight="1" thickTop="1" x14ac:dyDescent="0.25">
      <c r="A31" s="1400"/>
      <c r="B31" s="158"/>
      <c r="C31" s="159"/>
      <c r="D31" s="160"/>
      <c r="E31" s="161"/>
      <c r="F31" s="1370"/>
      <c r="G31" s="32"/>
      <c r="H31" s="33"/>
      <c r="I31" s="34"/>
      <c r="J31" s="35"/>
      <c r="K31" s="1370"/>
      <c r="L31" s="32"/>
      <c r="M31" s="33"/>
      <c r="N31" s="34"/>
      <c r="O31" s="35"/>
      <c r="P31" s="1370"/>
      <c r="Q31" s="32"/>
      <c r="R31" s="33"/>
      <c r="S31" s="34"/>
      <c r="T31" s="35"/>
      <c r="U31" s="1370"/>
      <c r="V31" s="32"/>
      <c r="W31" s="33"/>
      <c r="X31" s="34"/>
      <c r="Y31" s="35"/>
      <c r="Z31" s="1370"/>
      <c r="AA31" s="32"/>
      <c r="AB31" s="33"/>
      <c r="AC31" s="34"/>
      <c r="AD31" s="35"/>
      <c r="AE31" s="677"/>
      <c r="AF31" s="137"/>
      <c r="AG31" s="33"/>
      <c r="AH31" s="138"/>
      <c r="AI31" s="35"/>
      <c r="AJ31" s="70"/>
      <c r="AK31" s="137"/>
      <c r="AL31" s="33"/>
      <c r="AM31" s="138"/>
      <c r="AN31" s="35"/>
      <c r="AO31" s="70"/>
      <c r="AP31" s="137"/>
      <c r="AQ31" s="33"/>
      <c r="AR31" s="138"/>
      <c r="AS31" s="35"/>
      <c r="AT31" s="677"/>
      <c r="AU31" s="137"/>
      <c r="AV31" s="33"/>
      <c r="AW31" s="138"/>
      <c r="AX31" s="35"/>
      <c r="AY31" s="677"/>
      <c r="AZ31" s="137" t="s">
        <v>16</v>
      </c>
      <c r="BA31" s="33"/>
      <c r="BB31" s="138"/>
      <c r="BC31" s="35"/>
      <c r="BD31" s="677"/>
      <c r="BE31" s="137" t="s">
        <v>15</v>
      </c>
      <c r="BF31" s="33"/>
      <c r="BG31" s="138"/>
      <c r="BH31" s="35"/>
      <c r="BM31" s="51"/>
      <c r="BN31" s="51"/>
      <c r="BO31" s="51"/>
      <c r="BP31" s="51"/>
      <c r="BQ31" s="51"/>
      <c r="BR31" s="51"/>
      <c r="BW31" s="27"/>
      <c r="BX31" s="27"/>
      <c r="BY31" s="27"/>
      <c r="BZ31" s="27"/>
      <c r="CA31" s="27"/>
      <c r="CB31" s="27"/>
    </row>
    <row r="32" spans="1:80" ht="61.5" customHeight="1" x14ac:dyDescent="0.25">
      <c r="A32" s="31"/>
      <c r="B32" s="162"/>
      <c r="C32" s="162"/>
      <c r="D32" s="162"/>
      <c r="F32" s="163"/>
      <c r="G32" s="163"/>
      <c r="H32" s="1413" cm="1">
        <f t="array" aca="1" ref="H32" ca="1">SUM(COUNTIF(INDIRECT({"B6","G6","L6","Q6","V6","AA6","AF6","AK6","AP6","AU6","B12","G12","L12","Q12","V12","AA12","AF12","AK12","AP12","AU12","B18","G18","L18","Q18","V18","AA18"}),"&gt;0"))</f>
        <v>20</v>
      </c>
      <c r="I32" s="1413"/>
      <c r="J32" s="1413"/>
      <c r="K32" s="164"/>
      <c r="L32" s="160"/>
      <c r="M32" s="160"/>
      <c r="N32" s="160"/>
      <c r="O32" s="160"/>
      <c r="P32" s="160"/>
      <c r="Q32" s="1414" t="s">
        <v>255</v>
      </c>
      <c r="R32" s="1414"/>
      <c r="S32" s="1414"/>
      <c r="T32" s="1414"/>
      <c r="U32" s="1414"/>
      <c r="V32" s="1414"/>
      <c r="W32" s="165"/>
      <c r="X32" s="1409" t="s">
        <v>256</v>
      </c>
      <c r="Y32" s="1409"/>
      <c r="Z32" s="1409"/>
      <c r="AA32" s="1409"/>
      <c r="AB32" s="1409"/>
      <c r="AC32" s="1691">
        <f>B7+G7+L7+Q7+V7+AA7+AF7+AK7+AP7+AU7+AU13+AP13+AK13+AF13+AA13+V13+Q13+L13+G13+B13+B19</f>
        <v>55.139200000000017</v>
      </c>
      <c r="AD32" s="1691"/>
      <c r="AE32" s="1691"/>
      <c r="AF32" s="1691"/>
      <c r="AG32" s="1691"/>
      <c r="AH32" s="1691"/>
      <c r="AI32" s="166"/>
      <c r="AJ32" s="1416" t="s">
        <v>119</v>
      </c>
      <c r="AK32" s="1416"/>
      <c r="AL32" s="1416"/>
      <c r="AM32" s="1416"/>
      <c r="AN32" s="1416"/>
      <c r="AO32" s="1417">
        <f>D7+I7+N7+S7+X7+AC7+AH7+AM7+AR7+AW7+AW13+AR13+AM13+AH13+AC13+X13+S13+N13+I13+D13+D19</f>
        <v>9</v>
      </c>
      <c r="AP32" s="1417"/>
      <c r="AQ32" s="1417"/>
      <c r="AR32" s="1417"/>
      <c r="AS32" s="1417"/>
      <c r="AT32" s="1402" t="s">
        <v>120</v>
      </c>
      <c r="AU32" s="1402"/>
      <c r="AV32" s="1402"/>
      <c r="AW32" s="1402"/>
      <c r="AX32" s="127"/>
      <c r="AY32" s="72"/>
      <c r="AZ32" s="72"/>
      <c r="BA32" s="72"/>
      <c r="BB32" s="72"/>
      <c r="BC32" s="72"/>
      <c r="BD32" s="72"/>
      <c r="BE32" t="s">
        <v>16</v>
      </c>
      <c r="BF32" s="167"/>
      <c r="BG32" s="167"/>
      <c r="BH32" s="167"/>
      <c r="BM32" s="51"/>
      <c r="BN32" s="51"/>
      <c r="BO32" s="51"/>
      <c r="BP32" s="51"/>
      <c r="BQ32" s="51"/>
      <c r="BR32" s="51"/>
      <c r="BW32" s="27"/>
      <c r="BX32" s="27"/>
      <c r="BY32" s="27"/>
      <c r="BZ32" s="27"/>
      <c r="CA32" s="27"/>
      <c r="CB32" s="27"/>
    </row>
    <row r="33" spans="1:80" ht="30" customHeight="1" x14ac:dyDescent="0.25">
      <c r="B33" s="162"/>
      <c r="C33" s="162"/>
      <c r="D33" s="162"/>
      <c r="E33" s="163"/>
      <c r="F33" s="163"/>
      <c r="G33" s="163"/>
      <c r="H33" s="1413"/>
      <c r="I33" s="1413"/>
      <c r="J33" s="1413"/>
      <c r="K33" s="168"/>
      <c r="L33" s="160"/>
      <c r="M33" s="160"/>
      <c r="N33" s="160"/>
      <c r="O33" s="160"/>
      <c r="P33" s="160"/>
      <c r="Q33" s="1414"/>
      <c r="R33" s="1414"/>
      <c r="S33" s="1414"/>
      <c r="T33" s="1414"/>
      <c r="U33" s="1414"/>
      <c r="V33" s="1414"/>
      <c r="W33" s="169"/>
      <c r="X33" s="1409"/>
      <c r="Y33" s="1409"/>
      <c r="Z33" s="1409"/>
      <c r="AA33" s="1409"/>
      <c r="AB33" s="1409"/>
      <c r="AC33" s="1691"/>
      <c r="AD33" s="1691"/>
      <c r="AE33" s="1691"/>
      <c r="AF33" s="1691"/>
      <c r="AG33" s="1691"/>
      <c r="AH33" s="1691"/>
      <c r="AI33" s="166"/>
      <c r="AJ33" s="1416"/>
      <c r="AK33" s="1416"/>
      <c r="AL33" s="1416"/>
      <c r="AM33" s="1416"/>
      <c r="AN33" s="1416"/>
      <c r="AO33" s="1417"/>
      <c r="AP33" s="1417"/>
      <c r="AQ33" s="1417"/>
      <c r="AR33" s="1417"/>
      <c r="AS33" s="1417"/>
      <c r="AT33" s="1402"/>
      <c r="AU33" s="1402"/>
      <c r="AV33" s="1402"/>
      <c r="AW33" s="1402"/>
      <c r="BI33" s="50"/>
      <c r="BJ33" s="50"/>
      <c r="BM33" s="51"/>
      <c r="BN33" s="51"/>
      <c r="BO33" s="51"/>
      <c r="BP33" s="51"/>
      <c r="BQ33" s="51"/>
      <c r="BR33" s="51"/>
      <c r="BS33" s="27"/>
      <c r="BT33" s="27"/>
      <c r="BU33" s="27"/>
      <c r="BW33" s="27"/>
      <c r="BX33" s="27"/>
      <c r="BY33" s="27"/>
      <c r="BZ33" s="27"/>
      <c r="CA33" s="27"/>
      <c r="CB33" s="27"/>
    </row>
    <row r="34" spans="1:80" ht="15" customHeight="1" x14ac:dyDescent="0.25">
      <c r="B34" s="162"/>
      <c r="C34" s="162"/>
      <c r="D34" s="162"/>
      <c r="E34" s="163"/>
      <c r="F34" s="163"/>
      <c r="G34" s="163"/>
      <c r="H34" s="168"/>
      <c r="I34" s="168"/>
      <c r="J34" s="168"/>
      <c r="K34" s="168"/>
      <c r="L34" s="160"/>
      <c r="M34" s="160"/>
      <c r="N34" s="160"/>
      <c r="O34" s="160"/>
      <c r="P34" s="160"/>
      <c r="Q34" s="1414"/>
      <c r="R34" s="1414"/>
      <c r="S34" s="1414"/>
      <c r="T34" s="1414"/>
      <c r="U34" s="1414"/>
      <c r="V34" s="1414"/>
      <c r="W34" s="169"/>
      <c r="X34" s="1409"/>
      <c r="Y34" s="1409"/>
      <c r="Z34" s="1409"/>
      <c r="AA34" s="1409"/>
      <c r="AB34" s="1409"/>
      <c r="AC34" s="1691"/>
      <c r="AD34" s="1691"/>
      <c r="AE34" s="1691"/>
      <c r="AF34" s="1691"/>
      <c r="AG34" s="1691"/>
      <c r="AH34" s="1691"/>
      <c r="AI34" s="166"/>
      <c r="AJ34" s="1416"/>
      <c r="AK34" s="1416"/>
      <c r="AL34" s="1416"/>
      <c r="AM34" s="1416"/>
      <c r="AN34" s="1416"/>
      <c r="AO34" s="1403">
        <f>AO32*1.5</f>
        <v>13.5</v>
      </c>
      <c r="AP34" s="1403"/>
      <c r="AQ34" s="1403"/>
      <c r="AR34" s="1403"/>
      <c r="AS34" s="1403"/>
      <c r="AT34" s="1403"/>
      <c r="AU34" s="1403"/>
      <c r="AV34" s="1404" t="s">
        <v>121</v>
      </c>
      <c r="AW34" s="1404"/>
      <c r="BI34" s="50"/>
      <c r="BJ34" s="50"/>
      <c r="BM34" s="27"/>
      <c r="BN34" s="27"/>
      <c r="BO34" s="27"/>
      <c r="BP34" s="27"/>
      <c r="BQ34" s="27"/>
      <c r="BR34" s="27"/>
      <c r="BS34" s="27"/>
      <c r="BT34" s="27"/>
      <c r="BU34" s="27"/>
      <c r="BW34" s="27"/>
      <c r="BX34" s="27"/>
      <c r="BY34" s="27"/>
      <c r="BZ34" s="27"/>
      <c r="CA34" s="27"/>
      <c r="CB34" s="27"/>
    </row>
    <row r="35" spans="1:80" ht="54.75" customHeight="1" x14ac:dyDescent="0.25">
      <c r="B35" s="162"/>
      <c r="C35" s="162"/>
      <c r="D35" s="162"/>
      <c r="E35" s="163"/>
      <c r="F35" s="163"/>
      <c r="G35" s="163"/>
      <c r="H35" s="1405" cm="1">
        <f t="array" aca="1" ref="H35" ca="1">SUM(COUNTIF(INDIRECT({"B7","G7","L7","Q7","V7","AA7","AF7","AK7","AP7","AU7","B13","G13","L13","Q13","V13","AA13","AF13","AK13","AP13","AU13","B19","G19","L19","Q19","V19","AA19"}),"&gt;0"))</f>
        <v>20</v>
      </c>
      <c r="I35" s="1405"/>
      <c r="J35" s="1405"/>
      <c r="K35" s="168"/>
      <c r="L35" s="160"/>
      <c r="M35" s="160"/>
      <c r="N35" s="160"/>
      <c r="O35" s="160"/>
      <c r="P35" s="160"/>
      <c r="Q35" s="2076" t="s">
        <v>13</v>
      </c>
      <c r="R35" s="2076"/>
      <c r="S35" s="2076"/>
      <c r="T35" s="2076"/>
      <c r="U35" s="2076"/>
      <c r="V35" s="2076"/>
      <c r="W35" s="169"/>
      <c r="X35" s="1409"/>
      <c r="Y35" s="1409"/>
      <c r="Z35" s="1409"/>
      <c r="AA35" s="1409"/>
      <c r="AB35" s="1409"/>
      <c r="AC35" s="1691"/>
      <c r="AD35" s="1691"/>
      <c r="AE35" s="1691"/>
      <c r="AF35" s="1691"/>
      <c r="AG35" s="1691"/>
      <c r="AH35" s="1691"/>
      <c r="AI35" s="166"/>
      <c r="AJ35" s="1416"/>
      <c r="AK35" s="1416"/>
      <c r="AL35" s="1416"/>
      <c r="AM35" s="1416"/>
      <c r="AN35" s="1416"/>
      <c r="AO35" s="1403"/>
      <c r="AP35" s="1403"/>
      <c r="AQ35" s="1403"/>
      <c r="AR35" s="1403"/>
      <c r="AS35" s="1403"/>
      <c r="AT35" s="1403"/>
      <c r="AU35" s="1403"/>
      <c r="AV35" s="1404"/>
      <c r="AW35" s="1404"/>
      <c r="BI35" s="50"/>
      <c r="BJ35" s="50"/>
      <c r="BM35" s="27"/>
      <c r="BN35" s="27"/>
      <c r="BO35" s="27"/>
      <c r="BP35" s="27"/>
      <c r="BQ35" s="27"/>
      <c r="BR35" s="27"/>
      <c r="BS35" s="27"/>
      <c r="BT35" s="27"/>
      <c r="BU35" s="27"/>
      <c r="BW35" s="27"/>
      <c r="BX35" s="27"/>
      <c r="BY35" s="27"/>
      <c r="BZ35" s="27"/>
      <c r="CA35" s="27"/>
      <c r="CB35" s="27"/>
    </row>
    <row r="36" spans="1:80" ht="65.25" customHeight="1" x14ac:dyDescent="0.25">
      <c r="B36" s="162"/>
      <c r="C36" s="162"/>
      <c r="D36" s="162"/>
      <c r="E36" s="162"/>
      <c r="F36" s="162"/>
      <c r="G36" s="164"/>
      <c r="H36" s="1408"/>
      <c r="I36" s="1408"/>
      <c r="J36" s="1408"/>
      <c r="K36" s="168"/>
      <c r="L36" s="160"/>
      <c r="M36" s="160"/>
      <c r="N36" s="160"/>
      <c r="O36" s="160"/>
      <c r="P36" s="160"/>
      <c r="Q36" s="2076"/>
      <c r="R36" s="2076"/>
      <c r="S36" s="2076"/>
      <c r="T36" s="2076"/>
      <c r="U36" s="2076"/>
      <c r="V36" s="2076"/>
      <c r="W36" s="169"/>
      <c r="X36" s="1409"/>
      <c r="Y36" s="1409"/>
      <c r="Z36" s="1409"/>
      <c r="AA36" s="1409"/>
      <c r="AB36" s="1409"/>
      <c r="AC36" s="1691"/>
      <c r="AD36" s="1691"/>
      <c r="AE36" s="1691"/>
      <c r="AF36" s="1691"/>
      <c r="AG36" s="1691"/>
      <c r="AH36" s="1691"/>
      <c r="AI36" s="166"/>
      <c r="AJ36" s="1416"/>
      <c r="AK36" s="1416"/>
      <c r="AL36" s="1416"/>
      <c r="AM36" s="1416"/>
      <c r="AN36" s="1416"/>
      <c r="AO36" s="1403"/>
      <c r="AP36" s="1403"/>
      <c r="AQ36" s="1403"/>
      <c r="AR36" s="1403"/>
      <c r="AS36" s="1403"/>
      <c r="AT36" s="1403"/>
      <c r="AU36" s="1403"/>
      <c r="AV36" s="1404"/>
      <c r="AW36" s="1404"/>
      <c r="BI36" s="50"/>
      <c r="BJ36" s="50"/>
      <c r="BM36" s="27"/>
      <c r="BN36" s="27"/>
      <c r="BO36" s="27"/>
      <c r="BP36" s="27"/>
      <c r="BQ36" s="27"/>
      <c r="BR36" s="27"/>
      <c r="BS36" s="27"/>
      <c r="BT36" s="27"/>
      <c r="BU36" s="27"/>
      <c r="BW36" s="27"/>
      <c r="BX36" s="27"/>
      <c r="BY36" s="27"/>
      <c r="BZ36" s="27"/>
      <c r="CA36" s="27"/>
      <c r="CB36" s="27"/>
    </row>
    <row r="37" spans="1:80" ht="15" customHeight="1" x14ac:dyDescent="0.25">
      <c r="B37" s="162"/>
      <c r="C37" s="162"/>
      <c r="D37" s="162"/>
      <c r="E37" s="162"/>
      <c r="F37" s="162"/>
      <c r="G37" s="164"/>
      <c r="H37" s="1408"/>
      <c r="I37" s="1408"/>
      <c r="J37" s="1408"/>
      <c r="K37" s="164"/>
      <c r="L37" s="165"/>
      <c r="M37" s="165"/>
      <c r="N37" s="165"/>
      <c r="O37" s="165"/>
      <c r="P37" s="165"/>
      <c r="Q37" s="2076"/>
      <c r="R37" s="2076"/>
      <c r="S37" s="2076"/>
      <c r="T37" s="2076"/>
      <c r="U37" s="2076"/>
      <c r="V37" s="2076"/>
      <c r="W37" s="165"/>
      <c r="X37" s="1409" t="s">
        <v>257</v>
      </c>
      <c r="Y37" s="1409"/>
      <c r="Z37" s="1409"/>
      <c r="AA37" s="1409"/>
      <c r="AB37" s="1409"/>
      <c r="AC37" s="1410">
        <f>AC32-AD45</f>
        <v>-7.9999999998392468E-4</v>
      </c>
      <c r="AD37" s="1410"/>
      <c r="AE37" s="1410"/>
      <c r="AF37" s="1410"/>
      <c r="AG37" s="1410"/>
      <c r="AH37" s="1410"/>
      <c r="AI37" s="166"/>
      <c r="AJ37" s="1416"/>
      <c r="AK37" s="1416"/>
      <c r="AL37" s="1416"/>
      <c r="AM37" s="1416"/>
      <c r="AN37" s="1416"/>
      <c r="AO37" s="1403"/>
      <c r="AP37" s="1403"/>
      <c r="AQ37" s="1403"/>
      <c r="AR37" s="1403"/>
      <c r="AS37" s="1403"/>
      <c r="AT37" s="1403"/>
      <c r="AU37" s="1403"/>
      <c r="AV37" s="1404"/>
      <c r="AW37" s="1404"/>
      <c r="BI37" s="53"/>
      <c r="BJ37" s="53"/>
    </row>
    <row r="38" spans="1:80" ht="28.5" customHeight="1" x14ac:dyDescent="0.25">
      <c r="B38" s="162"/>
      <c r="C38" s="162"/>
      <c r="D38" s="162"/>
      <c r="E38" s="162"/>
      <c r="F38" s="162"/>
      <c r="G38" s="164"/>
      <c r="H38" s="1411"/>
      <c r="I38" s="1411"/>
      <c r="J38" s="1411"/>
      <c r="K38" s="168"/>
      <c r="L38" s="165"/>
      <c r="M38" s="165"/>
      <c r="N38" s="165"/>
      <c r="O38" s="165"/>
      <c r="P38" s="165"/>
      <c r="Q38" s="2076"/>
      <c r="R38" s="2076"/>
      <c r="S38" s="2076"/>
      <c r="T38" s="2076"/>
      <c r="U38" s="2076"/>
      <c r="V38" s="2076"/>
      <c r="W38" s="165"/>
      <c r="X38" s="1409"/>
      <c r="Y38" s="1409"/>
      <c r="Z38" s="1409"/>
      <c r="AA38" s="1409"/>
      <c r="AB38" s="1409"/>
      <c r="AC38" s="1410"/>
      <c r="AD38" s="1410"/>
      <c r="AE38" s="1410"/>
      <c r="AF38" s="1410"/>
      <c r="AG38" s="1410"/>
      <c r="AH38" s="1410"/>
      <c r="AI38" s="166"/>
      <c r="AJ38" s="1416"/>
      <c r="AK38" s="1416"/>
      <c r="AL38" s="1416"/>
      <c r="AM38" s="1416"/>
      <c r="AN38" s="1416"/>
      <c r="AO38" s="1403"/>
      <c r="AP38" s="1403"/>
      <c r="AQ38" s="1403"/>
      <c r="AR38" s="1403"/>
      <c r="AS38" s="1403"/>
      <c r="AT38" s="1403"/>
      <c r="AU38" s="1403"/>
      <c r="AV38" s="1404"/>
      <c r="AW38" s="1404"/>
      <c r="BI38" s="53"/>
      <c r="BJ38" s="53"/>
    </row>
    <row r="39" spans="1:80" ht="15" customHeight="1" x14ac:dyDescent="0.25">
      <c r="B39" s="162"/>
      <c r="C39" s="162"/>
      <c r="D39" s="162"/>
      <c r="E39" s="162"/>
      <c r="F39" s="162"/>
      <c r="G39" s="164"/>
      <c r="H39" s="1411"/>
      <c r="I39" s="1411"/>
      <c r="J39" s="1411"/>
      <c r="K39" s="168"/>
      <c r="L39" s="165"/>
      <c r="M39" s="165"/>
      <c r="N39" s="165"/>
      <c r="O39" s="165"/>
      <c r="P39" s="165"/>
      <c r="Q39" s="2076"/>
      <c r="R39" s="2076"/>
      <c r="S39" s="2076"/>
      <c r="T39" s="2076"/>
      <c r="U39" s="2076"/>
      <c r="V39" s="2076"/>
      <c r="W39" s="165"/>
      <c r="X39" s="1409"/>
      <c r="Y39" s="1409"/>
      <c r="Z39" s="1409"/>
      <c r="AA39" s="1409"/>
      <c r="AB39" s="1409"/>
      <c r="AC39" s="1410"/>
      <c r="AD39" s="1410"/>
      <c r="AE39" s="1410"/>
      <c r="AF39" s="1410"/>
      <c r="AG39" s="1410"/>
      <c r="AH39" s="1410"/>
      <c r="AI39" s="166"/>
      <c r="AJ39" s="1416"/>
      <c r="AK39" s="1416"/>
      <c r="AL39" s="1416"/>
      <c r="AM39" s="1416"/>
      <c r="AN39" s="1416"/>
      <c r="AO39" s="1403"/>
      <c r="AP39" s="1403"/>
      <c r="AQ39" s="1403"/>
      <c r="AR39" s="1403"/>
      <c r="AS39" s="1403"/>
      <c r="AT39" s="1403"/>
      <c r="AU39" s="1403"/>
      <c r="AV39" s="1404"/>
      <c r="AW39" s="1404"/>
      <c r="BI39" s="53"/>
      <c r="BJ39" s="53"/>
    </row>
    <row r="40" spans="1:80" ht="42.75" customHeight="1" x14ac:dyDescent="0.35">
      <c r="A40" s="54"/>
      <c r="B40" s="162"/>
      <c r="C40" s="162"/>
      <c r="D40" s="162"/>
      <c r="E40" s="162"/>
      <c r="F40" s="162"/>
      <c r="G40" s="164"/>
      <c r="H40" s="1411"/>
      <c r="I40" s="1411"/>
      <c r="J40" s="1411"/>
      <c r="K40" s="168"/>
      <c r="L40" s="165"/>
      <c r="M40" s="165"/>
      <c r="N40" s="165"/>
      <c r="O40" s="165"/>
      <c r="P40" s="165"/>
      <c r="Q40" s="2076"/>
      <c r="R40" s="2076"/>
      <c r="S40" s="2076"/>
      <c r="T40" s="2076"/>
      <c r="U40" s="2076"/>
      <c r="V40" s="2076"/>
      <c r="W40" s="165"/>
      <c r="X40" s="1409"/>
      <c r="Y40" s="1409"/>
      <c r="Z40" s="1409"/>
      <c r="AA40" s="1409"/>
      <c r="AB40" s="1409"/>
      <c r="AC40" s="1410"/>
      <c r="AD40" s="1410"/>
      <c r="AE40" s="1410"/>
      <c r="AF40" s="1410"/>
      <c r="AG40" s="1410"/>
      <c r="AH40" s="1410"/>
      <c r="AI40" s="166"/>
      <c r="AJ40" s="1416"/>
      <c r="AK40" s="1416"/>
      <c r="AL40" s="1416"/>
      <c r="AM40" s="1416"/>
      <c r="AN40" s="1416"/>
      <c r="AO40" s="1403"/>
      <c r="AP40" s="1403"/>
      <c r="AQ40" s="1403"/>
      <c r="AR40" s="1403"/>
      <c r="AS40" s="1403"/>
      <c r="AT40" s="1403"/>
      <c r="AU40" s="1403"/>
      <c r="AV40" s="1404"/>
      <c r="AW40" s="1404"/>
      <c r="BI40" s="53"/>
      <c r="BJ40" s="53"/>
    </row>
    <row r="41" spans="1:80" ht="38.25" customHeight="1" x14ac:dyDescent="0.35">
      <c r="A41" s="54"/>
      <c r="B41" s="162"/>
      <c r="C41" s="162"/>
      <c r="D41" s="162"/>
      <c r="E41" s="162"/>
      <c r="F41" s="162"/>
      <c r="G41" s="164"/>
      <c r="H41" s="1412"/>
      <c r="I41" s="1412"/>
      <c r="J41" s="1412"/>
      <c r="K41" s="168"/>
      <c r="L41" s="175"/>
      <c r="M41" s="175"/>
      <c r="N41" s="175"/>
      <c r="O41" s="175"/>
      <c r="P41" s="175"/>
      <c r="Q41" s="2076"/>
      <c r="R41" s="2076"/>
      <c r="S41" s="2076"/>
      <c r="T41" s="2076"/>
      <c r="U41" s="2076"/>
      <c r="V41" s="2076"/>
      <c r="W41" s="176"/>
      <c r="X41" s="1409"/>
      <c r="Y41" s="1409"/>
      <c r="Z41" s="1409"/>
      <c r="AA41" s="1409"/>
      <c r="AB41" s="1409"/>
      <c r="AC41" s="1410"/>
      <c r="AD41" s="1410"/>
      <c r="AE41" s="1410"/>
      <c r="AF41" s="1410"/>
      <c r="AG41" s="1410"/>
      <c r="AH41" s="1410"/>
      <c r="AI41" s="166"/>
      <c r="AJ41" s="1416"/>
      <c r="AK41" s="1416"/>
      <c r="AL41" s="1416"/>
      <c r="AM41" s="1416"/>
      <c r="AN41" s="1416"/>
      <c r="AO41" s="1418"/>
      <c r="AP41" s="1418"/>
      <c r="AQ41" s="1418"/>
      <c r="AR41" s="1418"/>
      <c r="AS41" s="1418"/>
      <c r="AT41" s="1418"/>
      <c r="AU41" s="1418"/>
      <c r="AV41" s="1418"/>
      <c r="AW41" s="1418"/>
      <c r="AX41" s="54"/>
      <c r="AY41" s="54"/>
      <c r="BI41" s="170"/>
      <c r="BJ41" s="170"/>
    </row>
    <row r="42" spans="1:80" ht="60" customHeight="1" x14ac:dyDescent="0.35">
      <c r="H42" s="1412"/>
      <c r="I42" s="1412"/>
      <c r="J42" s="1412"/>
      <c r="L42" s="175"/>
      <c r="M42" s="175"/>
      <c r="N42" s="175"/>
      <c r="O42" s="175"/>
      <c r="P42" s="175"/>
      <c r="Q42" s="2076"/>
      <c r="R42" s="2076"/>
      <c r="S42" s="2076"/>
      <c r="T42" s="2076"/>
      <c r="U42" s="2076"/>
      <c r="V42" s="2076"/>
      <c r="W42" s="176"/>
      <c r="X42" s="1409"/>
      <c r="Y42" s="1409"/>
      <c r="Z42" s="1409"/>
      <c r="AA42" s="1409"/>
      <c r="AB42" s="1409"/>
      <c r="AC42" s="1410"/>
      <c r="AD42" s="1410"/>
      <c r="AE42" s="1410"/>
      <c r="AF42" s="1410"/>
      <c r="AG42" s="1410"/>
      <c r="AH42" s="1410"/>
      <c r="AI42" s="166"/>
      <c r="AJ42" s="1416"/>
      <c r="AK42" s="1416"/>
      <c r="AL42" s="1416"/>
      <c r="AM42" s="1416"/>
      <c r="AN42" s="1416"/>
      <c r="AO42" s="1418"/>
      <c r="AP42" s="1418"/>
      <c r="AQ42" s="1418"/>
      <c r="AR42" s="1418"/>
      <c r="AS42" s="1418"/>
      <c r="AT42" s="1418"/>
      <c r="AU42" s="1418"/>
      <c r="AV42" s="1418"/>
      <c r="AW42" s="1418"/>
      <c r="AX42" s="54"/>
      <c r="AY42" s="54"/>
      <c r="BI42" s="170"/>
      <c r="BJ42" s="170"/>
    </row>
    <row r="43" spans="1:80" ht="15" customHeight="1" x14ac:dyDescent="0.35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1"/>
      <c r="AI43" s="171"/>
      <c r="AJ43" s="171"/>
      <c r="AK43" s="171"/>
      <c r="AL43" s="171"/>
      <c r="AM43" s="171"/>
      <c r="AN43" s="171"/>
      <c r="AO43" s="172"/>
      <c r="AP43" s="172"/>
      <c r="AQ43" s="172"/>
      <c r="AR43" s="172"/>
      <c r="AS43" s="172"/>
      <c r="AT43" s="172"/>
      <c r="AU43" s="172"/>
      <c r="AV43" s="172"/>
      <c r="AW43" s="172"/>
    </row>
    <row r="44" spans="1:80" ht="15.75" customHeight="1" thickBot="1" x14ac:dyDescent="0.4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3"/>
      <c r="Y44" s="171"/>
      <c r="Z44" s="171"/>
      <c r="AA44" s="171"/>
      <c r="AB44" s="171"/>
      <c r="AC44" s="171"/>
      <c r="AD44" s="171"/>
      <c r="AE44" s="171"/>
      <c r="AF44" s="171"/>
      <c r="AG44" s="171"/>
      <c r="AH44" s="171"/>
      <c r="AI44" s="171"/>
      <c r="AJ44" s="171"/>
      <c r="AK44" s="171"/>
      <c r="AL44" s="171"/>
      <c r="AM44" s="171"/>
      <c r="AN44" s="171"/>
      <c r="AO44" s="172"/>
      <c r="AP44" s="172"/>
      <c r="AQ44" s="172"/>
      <c r="AR44" s="172"/>
      <c r="AS44" s="172"/>
      <c r="AT44" s="172"/>
      <c r="AU44" s="172"/>
      <c r="AV44" s="172"/>
      <c r="AW44" s="172"/>
    </row>
    <row r="45" spans="1:80" ht="15.75" thickTop="1" x14ac:dyDescent="0.25">
      <c r="J45" t="s">
        <v>16</v>
      </c>
      <c r="AD45" s="775">
        <v>55.14</v>
      </c>
      <c r="AE45" s="776"/>
      <c r="AF45" s="776"/>
      <c r="AG45" s="776"/>
      <c r="AH45" s="777"/>
      <c r="AL45" s="727" t="s">
        <v>122</v>
      </c>
      <c r="AM45" s="727"/>
      <c r="AN45" s="727"/>
      <c r="AO45" s="727" t="s">
        <v>123</v>
      </c>
      <c r="AP45" s="727"/>
      <c r="AQ45" s="727"/>
      <c r="AR45" s="727" t="s">
        <v>124</v>
      </c>
      <c r="AS45" s="727"/>
      <c r="AT45" s="727" t="s">
        <v>125</v>
      </c>
      <c r="AU45" s="727"/>
      <c r="AY45" s="739" t="s">
        <v>126</v>
      </c>
      <c r="AZ45" s="740"/>
      <c r="BA45" s="740"/>
      <c r="BB45" s="740"/>
      <c r="BC45" s="740"/>
      <c r="BD45" s="740"/>
      <c r="BE45" s="740"/>
      <c r="BF45" s="740"/>
      <c r="BG45" s="740"/>
      <c r="BH45" s="741"/>
    </row>
    <row r="46" spans="1:80" x14ac:dyDescent="0.25">
      <c r="AD46" s="778"/>
      <c r="AE46" s="779"/>
      <c r="AF46" s="779"/>
      <c r="AG46" s="779"/>
      <c r="AH46" s="780"/>
      <c r="AL46" s="727"/>
      <c r="AM46" s="727"/>
      <c r="AN46" s="727"/>
      <c r="AO46" s="727"/>
      <c r="AP46" s="727"/>
      <c r="AQ46" s="727"/>
      <c r="AR46" s="727"/>
      <c r="AS46" s="727"/>
      <c r="AT46" s="727"/>
      <c r="AU46" s="727"/>
      <c r="AY46" s="750"/>
      <c r="AZ46" s="751"/>
      <c r="BA46" s="751"/>
      <c r="BB46" s="751"/>
      <c r="BC46" s="751"/>
      <c r="BD46" s="751"/>
      <c r="BE46" s="751"/>
      <c r="BF46" s="751"/>
      <c r="BG46" s="751"/>
      <c r="BH46" s="752"/>
    </row>
    <row r="47" spans="1:80" x14ac:dyDescent="0.25">
      <c r="AA47" s="56"/>
      <c r="AD47" s="778"/>
      <c r="AE47" s="779"/>
      <c r="AF47" s="779"/>
      <c r="AG47" s="779"/>
      <c r="AH47" s="780"/>
      <c r="AL47" s="727"/>
      <c r="AM47" s="727"/>
      <c r="AN47" s="727"/>
      <c r="AO47" s="727"/>
      <c r="AP47" s="727"/>
      <c r="AQ47" s="727"/>
      <c r="AR47" s="727"/>
      <c r="AS47" s="727"/>
      <c r="AT47" s="727"/>
      <c r="AU47" s="727"/>
      <c r="AY47" s="742"/>
      <c r="AZ47" s="743"/>
      <c r="BA47" s="743"/>
      <c r="BB47" s="743"/>
      <c r="BC47" s="743"/>
      <c r="BD47" s="743"/>
      <c r="BE47" s="743"/>
      <c r="BF47" s="743"/>
      <c r="BG47" s="743"/>
      <c r="BH47" s="744"/>
    </row>
    <row r="48" spans="1:80" x14ac:dyDescent="0.25">
      <c r="K48" t="s">
        <v>258</v>
      </c>
      <c r="AD48" s="778"/>
      <c r="AE48" s="779"/>
      <c r="AF48" s="779"/>
      <c r="AG48" s="779"/>
      <c r="AH48" s="780"/>
      <c r="AL48" s="727">
        <v>1120</v>
      </c>
      <c r="AM48" s="727"/>
      <c r="AN48" s="727"/>
      <c r="AO48" s="727">
        <f ca="1">AT70</f>
        <v>1120</v>
      </c>
      <c r="AP48" s="727"/>
      <c r="AQ48" s="727"/>
      <c r="AR48" s="1689">
        <f>AC32</f>
        <v>55.139200000000017</v>
      </c>
      <c r="AS48" s="1689"/>
      <c r="AT48" s="1689">
        <f>AC32+AO34</f>
        <v>68.639200000000017</v>
      </c>
      <c r="AU48" s="1689"/>
      <c r="AY48" s="727" t="s">
        <v>128</v>
      </c>
      <c r="AZ48" s="727"/>
      <c r="BA48" s="727"/>
      <c r="BB48" s="727"/>
      <c r="BC48" s="727"/>
      <c r="BD48" s="727"/>
      <c r="BE48" s="727"/>
      <c r="BF48" s="727"/>
      <c r="BG48" s="727"/>
      <c r="BH48" s="727"/>
    </row>
    <row r="49" spans="7:60" x14ac:dyDescent="0.25">
      <c r="G49" t="s">
        <v>16</v>
      </c>
      <c r="AD49" s="778"/>
      <c r="AE49" s="779"/>
      <c r="AF49" s="779"/>
      <c r="AG49" s="779"/>
      <c r="AH49" s="780"/>
      <c r="AL49" s="727"/>
      <c r="AM49" s="727"/>
      <c r="AN49" s="727"/>
      <c r="AO49" s="727"/>
      <c r="AP49" s="727"/>
      <c r="AQ49" s="727"/>
      <c r="AR49" s="1689"/>
      <c r="AS49" s="1689"/>
      <c r="AT49" s="1689"/>
      <c r="AU49" s="1689"/>
      <c r="AY49" s="727"/>
      <c r="AZ49" s="727"/>
      <c r="BA49" s="727"/>
      <c r="BB49" s="727"/>
      <c r="BC49" s="727"/>
      <c r="BD49" s="727"/>
      <c r="BE49" s="727"/>
      <c r="BF49" s="727"/>
      <c r="BG49" s="727"/>
      <c r="BH49" s="727"/>
    </row>
    <row r="50" spans="7:60" ht="15" customHeight="1" x14ac:dyDescent="0.25">
      <c r="AD50" s="778"/>
      <c r="AE50" s="779"/>
      <c r="AF50" s="779"/>
      <c r="AG50" s="779"/>
      <c r="AH50" s="780"/>
      <c r="AL50" s="727"/>
      <c r="AM50" s="727"/>
      <c r="AN50" s="727"/>
      <c r="AO50" s="727"/>
      <c r="AP50" s="727"/>
      <c r="AQ50" s="727"/>
      <c r="AR50" s="1689"/>
      <c r="AS50" s="1689"/>
      <c r="AT50" s="1689"/>
      <c r="AU50" s="1689"/>
      <c r="AY50" s="728">
        <f ca="1">AR48/((60*3.1415/59)*(AO48/3.281))</f>
        <v>5.0560617069492143E-2</v>
      </c>
      <c r="AZ50" s="729"/>
      <c r="BA50" s="729"/>
      <c r="BB50" s="729"/>
      <c r="BC50" s="729"/>
      <c r="BD50" s="729"/>
      <c r="BE50" s="729"/>
      <c r="BF50" s="729"/>
      <c r="BG50" s="729"/>
      <c r="BH50" s="730"/>
    </row>
    <row r="51" spans="7:60" ht="15.75" customHeight="1" thickBot="1" x14ac:dyDescent="0.3">
      <c r="AD51" s="781"/>
      <c r="AE51" s="782"/>
      <c r="AF51" s="782"/>
      <c r="AG51" s="782"/>
      <c r="AH51" s="783"/>
      <c r="AL51" s="727"/>
      <c r="AM51" s="727"/>
      <c r="AN51" s="727"/>
      <c r="AO51" s="727"/>
      <c r="AP51" s="727"/>
      <c r="AQ51" s="727"/>
      <c r="AR51" s="1689"/>
      <c r="AS51" s="1689"/>
      <c r="AT51" s="1689"/>
      <c r="AU51" s="1689"/>
      <c r="AY51" s="731"/>
      <c r="AZ51" s="732"/>
      <c r="BA51" s="732"/>
      <c r="BB51" s="732"/>
      <c r="BC51" s="732"/>
      <c r="BD51" s="732"/>
      <c r="BE51" s="732"/>
      <c r="BF51" s="732"/>
      <c r="BG51" s="732"/>
      <c r="BH51" s="733"/>
    </row>
    <row r="52" spans="7:60" ht="15.75" customHeight="1" thickTop="1" x14ac:dyDescent="0.25">
      <c r="AY52" s="734"/>
      <c r="AZ52" s="735"/>
      <c r="BA52" s="735"/>
      <c r="BB52" s="735"/>
      <c r="BC52" s="735"/>
      <c r="BD52" s="735"/>
      <c r="BE52" s="735"/>
      <c r="BF52" s="735"/>
      <c r="BG52" s="735"/>
      <c r="BH52" s="736"/>
    </row>
    <row r="53" spans="7:60" x14ac:dyDescent="0.25">
      <c r="AY53" s="739" t="s">
        <v>129</v>
      </c>
      <c r="AZ53" s="740"/>
      <c r="BA53" s="740"/>
      <c r="BB53" s="740"/>
      <c r="BC53" s="740"/>
      <c r="BD53" s="740"/>
      <c r="BE53" s="740"/>
      <c r="BF53" s="740"/>
      <c r="BG53" s="740"/>
      <c r="BH53" s="741"/>
    </row>
    <row r="54" spans="7:60" x14ac:dyDescent="0.25">
      <c r="AY54" s="742"/>
      <c r="AZ54" s="743"/>
      <c r="BA54" s="743"/>
      <c r="BB54" s="743"/>
      <c r="BC54" s="743"/>
      <c r="BD54" s="743"/>
      <c r="BE54" s="743"/>
      <c r="BF54" s="743"/>
      <c r="BG54" s="743"/>
      <c r="BH54" s="744"/>
    </row>
    <row r="55" spans="7:60" x14ac:dyDescent="0.25">
      <c r="AN55" s="727">
        <v>56</v>
      </c>
      <c r="AO55" s="727"/>
      <c r="AP55" s="727"/>
      <c r="AQ55" s="746" cm="1">
        <f t="array" aca="1" ref="AQ55" ca="1">SUM(COUNTIF(INDIRECT({"B7","G7","L7","Q7","V7","AA7","AF7","AK7","AP7","AU7","B13","G13","L13","Q13","V13","AA13","AF13","AK13","AP13","AU13","B19","G19","L19","Q19","V19","AA19"}),"&gt;0"))</f>
        <v>20</v>
      </c>
      <c r="AR55" s="746"/>
      <c r="AS55" s="746"/>
      <c r="AT55" s="747">
        <f ca="1">AQ55*AN55</f>
        <v>1120</v>
      </c>
      <c r="AU55" s="748"/>
      <c r="AV55" s="748"/>
      <c r="AW55" s="749"/>
      <c r="AY55" s="739" t="s">
        <v>130</v>
      </c>
      <c r="AZ55" s="740"/>
      <c r="BA55" s="740"/>
      <c r="BB55" s="740"/>
      <c r="BC55" s="740"/>
      <c r="BD55" s="740"/>
      <c r="BE55" s="740"/>
      <c r="BF55" s="740"/>
      <c r="BG55" s="740"/>
      <c r="BH55" s="741"/>
    </row>
    <row r="56" spans="7:60" x14ac:dyDescent="0.25">
      <c r="AN56" s="727"/>
      <c r="AO56" s="727"/>
      <c r="AP56" s="727"/>
      <c r="AQ56" s="746"/>
      <c r="AR56" s="746"/>
      <c r="AS56" s="746"/>
      <c r="AT56" s="747"/>
      <c r="AU56" s="748"/>
      <c r="AV56" s="748"/>
      <c r="AW56" s="749"/>
      <c r="AY56" s="750"/>
      <c r="AZ56" s="751"/>
      <c r="BA56" s="751"/>
      <c r="BB56" s="751"/>
      <c r="BC56" s="751"/>
      <c r="BD56" s="751"/>
      <c r="BE56" s="751"/>
      <c r="BF56" s="751"/>
      <c r="BG56" s="751"/>
      <c r="BH56" s="752"/>
    </row>
    <row r="57" spans="7:60" ht="15" customHeight="1" x14ac:dyDescent="0.25">
      <c r="AN57" s="727"/>
      <c r="AO57" s="727"/>
      <c r="AP57" s="727"/>
      <c r="AQ57" s="746"/>
      <c r="AR57" s="746"/>
      <c r="AS57" s="746"/>
      <c r="AT57" s="747"/>
      <c r="AU57" s="748"/>
      <c r="AV57" s="748"/>
      <c r="AW57" s="749"/>
      <c r="AY57" s="750"/>
      <c r="AZ57" s="751"/>
      <c r="BA57" s="751"/>
      <c r="BB57" s="751"/>
      <c r="BC57" s="751"/>
      <c r="BD57" s="751"/>
      <c r="BE57" s="751"/>
      <c r="BF57" s="751"/>
      <c r="BG57" s="751"/>
      <c r="BH57" s="752"/>
    </row>
    <row r="58" spans="7:60" x14ac:dyDescent="0.25">
      <c r="AN58" s="727"/>
      <c r="AO58" s="727"/>
      <c r="AP58" s="727"/>
      <c r="AQ58" s="746"/>
      <c r="AR58" s="746"/>
      <c r="AS58" s="746"/>
      <c r="AT58" s="747"/>
      <c r="AU58" s="748"/>
      <c r="AV58" s="748"/>
      <c r="AW58" s="749"/>
      <c r="AY58" s="742"/>
      <c r="AZ58" s="743"/>
      <c r="BA58" s="743"/>
      <c r="BB58" s="743"/>
      <c r="BC58" s="743"/>
      <c r="BD58" s="743"/>
      <c r="BE58" s="743"/>
      <c r="BF58" s="743"/>
      <c r="BG58" s="743"/>
      <c r="BH58" s="744"/>
    </row>
    <row r="59" spans="7:60" x14ac:dyDescent="0.25">
      <c r="AN59" s="727"/>
      <c r="AO59" s="727"/>
      <c r="AP59" s="727"/>
      <c r="AQ59" s="746"/>
      <c r="AR59" s="746"/>
      <c r="AS59" s="746"/>
      <c r="AT59" s="747"/>
      <c r="AU59" s="748"/>
      <c r="AV59" s="748"/>
      <c r="AW59" s="749"/>
      <c r="AY59" s="728">
        <f ca="1">AT48/((60*3.1415/59)*(AO48/3.281))</f>
        <v>6.2939620218579254E-2</v>
      </c>
      <c r="AZ59" s="729"/>
      <c r="BA59" s="729"/>
      <c r="BB59" s="729"/>
      <c r="BC59" s="729"/>
      <c r="BD59" s="729"/>
      <c r="BE59" s="729"/>
      <c r="BF59" s="729"/>
      <c r="BG59" s="729"/>
      <c r="BH59" s="730"/>
    </row>
    <row r="60" spans="7:60" x14ac:dyDescent="0.25">
      <c r="AN60" s="727"/>
      <c r="AO60" s="727"/>
      <c r="AP60" s="727"/>
      <c r="AQ60" s="746"/>
      <c r="AR60" s="746"/>
      <c r="AS60" s="746"/>
      <c r="AT60" s="747"/>
      <c r="AU60" s="748"/>
      <c r="AV60" s="748"/>
      <c r="AW60" s="749"/>
      <c r="AY60" s="731"/>
      <c r="AZ60" s="732"/>
      <c r="BA60" s="732"/>
      <c r="BB60" s="732"/>
      <c r="BC60" s="732"/>
      <c r="BD60" s="732"/>
      <c r="BE60" s="732"/>
      <c r="BF60" s="732"/>
      <c r="BG60" s="732"/>
      <c r="BH60" s="733"/>
    </row>
    <row r="61" spans="7:60" ht="15" customHeight="1" x14ac:dyDescent="0.25">
      <c r="AN61" s="727"/>
      <c r="AO61" s="727"/>
      <c r="AP61" s="727"/>
      <c r="AQ61" s="746"/>
      <c r="AR61" s="746"/>
      <c r="AS61" s="746"/>
      <c r="AT61" s="747"/>
      <c r="AU61" s="748"/>
      <c r="AV61" s="748"/>
      <c r="AW61" s="749"/>
      <c r="AY61" s="731"/>
      <c r="AZ61" s="732"/>
      <c r="BA61" s="732"/>
      <c r="BB61" s="732"/>
      <c r="BC61" s="732"/>
      <c r="BD61" s="732"/>
      <c r="BE61" s="732"/>
      <c r="BF61" s="732"/>
      <c r="BG61" s="732"/>
      <c r="BH61" s="733"/>
    </row>
    <row r="62" spans="7:60" ht="15" customHeight="1" x14ac:dyDescent="0.25">
      <c r="AN62" s="727"/>
      <c r="AO62" s="727"/>
      <c r="AP62" s="727"/>
      <c r="AQ62" s="746"/>
      <c r="AR62" s="746"/>
      <c r="AS62" s="746"/>
      <c r="AT62" s="747"/>
      <c r="AU62" s="748"/>
      <c r="AV62" s="748"/>
      <c r="AW62" s="749"/>
      <c r="AY62" s="731"/>
      <c r="AZ62" s="732"/>
      <c r="BA62" s="732"/>
      <c r="BB62" s="732"/>
      <c r="BC62" s="732"/>
      <c r="BD62" s="732"/>
      <c r="BE62" s="732"/>
      <c r="BF62" s="732"/>
      <c r="BG62" s="732"/>
      <c r="BH62" s="733"/>
    </row>
    <row r="63" spans="7:60" ht="15" customHeight="1" x14ac:dyDescent="0.25">
      <c r="AN63" s="727"/>
      <c r="AO63" s="727"/>
      <c r="AP63" s="727"/>
      <c r="AQ63" s="746"/>
      <c r="AR63" s="746"/>
      <c r="AS63" s="746"/>
      <c r="AT63" s="747"/>
      <c r="AU63" s="748"/>
      <c r="AV63" s="748"/>
      <c r="AW63" s="749"/>
      <c r="AY63" s="734"/>
      <c r="AZ63" s="735"/>
      <c r="BA63" s="735"/>
      <c r="BB63" s="735"/>
      <c r="BC63" s="735"/>
      <c r="BD63" s="735"/>
      <c r="BE63" s="735"/>
      <c r="BF63" s="735"/>
      <c r="BG63" s="735"/>
      <c r="BH63" s="736"/>
    </row>
    <row r="64" spans="7:60" ht="15" customHeight="1" x14ac:dyDescent="0.25">
      <c r="AN64" s="727"/>
      <c r="AO64" s="727"/>
      <c r="AP64" s="727"/>
      <c r="AQ64" s="746"/>
      <c r="AR64" s="746"/>
      <c r="AS64" s="746"/>
      <c r="AT64" s="747"/>
      <c r="AU64" s="748"/>
      <c r="AV64" s="748"/>
      <c r="AW64" s="749"/>
    </row>
    <row r="65" spans="40:49" ht="15" customHeight="1" x14ac:dyDescent="0.25">
      <c r="AN65" s="727"/>
      <c r="AO65" s="727"/>
      <c r="AP65" s="727"/>
      <c r="AQ65" s="746"/>
      <c r="AR65" s="746"/>
      <c r="AS65" s="746"/>
      <c r="AT65" s="747"/>
      <c r="AU65" s="748"/>
      <c r="AV65" s="748"/>
      <c r="AW65" s="749"/>
    </row>
    <row r="66" spans="40:49" ht="15" customHeight="1" x14ac:dyDescent="0.25">
      <c r="AN66" s="727"/>
      <c r="AO66" s="727"/>
      <c r="AP66" s="727"/>
      <c r="AQ66" s="746"/>
      <c r="AR66" s="746"/>
      <c r="AS66" s="746"/>
      <c r="AT66" s="747"/>
      <c r="AU66" s="748"/>
      <c r="AV66" s="748"/>
      <c r="AW66" s="749"/>
    </row>
    <row r="67" spans="40:49" ht="15" customHeight="1" x14ac:dyDescent="0.25">
      <c r="AN67" s="727"/>
      <c r="AO67" s="727"/>
      <c r="AP67" s="727"/>
      <c r="AQ67" s="746"/>
      <c r="AR67" s="746"/>
      <c r="AS67" s="746"/>
      <c r="AT67" s="747"/>
      <c r="AU67" s="748"/>
      <c r="AV67" s="748"/>
      <c r="AW67" s="749"/>
    </row>
    <row r="68" spans="40:49" ht="15" customHeight="1" x14ac:dyDescent="0.25">
      <c r="AN68" s="727"/>
      <c r="AO68" s="727"/>
      <c r="AP68" s="727"/>
      <c r="AQ68" s="746"/>
      <c r="AR68" s="746"/>
      <c r="AS68" s="746"/>
      <c r="AT68" s="747"/>
      <c r="AU68" s="748"/>
      <c r="AV68" s="748"/>
      <c r="AW68" s="749"/>
    </row>
    <row r="69" spans="40:49" ht="15" customHeight="1" x14ac:dyDescent="0.25">
      <c r="AN69" s="727"/>
      <c r="AO69" s="727"/>
      <c r="AP69" s="727"/>
      <c r="AQ69" s="746"/>
      <c r="AR69" s="746"/>
      <c r="AS69" s="746"/>
      <c r="AT69" s="747"/>
      <c r="AU69" s="748"/>
      <c r="AV69" s="748"/>
      <c r="AW69" s="749"/>
    </row>
    <row r="70" spans="40:49" ht="15" customHeight="1" x14ac:dyDescent="0.25">
      <c r="AQ70" s="1254">
        <f ca="1">AQ55+AQ58+AQ61+AQ64+AQ67</f>
        <v>20</v>
      </c>
      <c r="AR70" s="1254"/>
      <c r="AS70" s="1254"/>
      <c r="AT70" s="747">
        <f ca="1">AT55+AT58+AT61</f>
        <v>1120</v>
      </c>
      <c r="AU70" s="748"/>
      <c r="AV70" s="748"/>
      <c r="AW70" s="749"/>
    </row>
    <row r="71" spans="40:49" ht="15" customHeight="1" x14ac:dyDescent="0.25">
      <c r="AQ71" s="1254"/>
      <c r="AR71" s="1254"/>
      <c r="AS71" s="1254"/>
      <c r="AT71" s="747"/>
      <c r="AU71" s="748"/>
      <c r="AV71" s="748"/>
      <c r="AW71" s="749"/>
    </row>
    <row r="72" spans="40:49" ht="15" customHeight="1" x14ac:dyDescent="0.25">
      <c r="AQ72" s="1254"/>
      <c r="AR72" s="1254"/>
      <c r="AS72" s="1254"/>
      <c r="AT72" s="747"/>
      <c r="AU72" s="748"/>
      <c r="AV72" s="748"/>
      <c r="AW72" s="749"/>
    </row>
    <row r="73" spans="40:49" ht="15" customHeight="1" x14ac:dyDescent="0.25"/>
    <row r="74" spans="40:49" ht="15" customHeight="1" x14ac:dyDescent="0.25"/>
    <row r="75" spans="40:49" ht="15" customHeight="1" x14ac:dyDescent="0.25"/>
    <row r="76" spans="40:49" ht="15" customHeight="1" x14ac:dyDescent="0.25"/>
    <row r="77" spans="40:49" ht="15" customHeight="1" x14ac:dyDescent="0.25">
      <c r="AS77" s="27"/>
      <c r="AT77" s="27"/>
      <c r="AU77" s="27"/>
    </row>
  </sheetData>
  <mergeCells count="312">
    <mergeCell ref="P2:R2"/>
    <mergeCell ref="S2:T2"/>
    <mergeCell ref="U2:W2"/>
    <mergeCell ref="X2:Y2"/>
    <mergeCell ref="Z2:AB2"/>
    <mergeCell ref="AC2:AD2"/>
    <mergeCell ref="A2:C2"/>
    <mergeCell ref="D2:E2"/>
    <mergeCell ref="F2:H2"/>
    <mergeCell ref="I2:J2"/>
    <mergeCell ref="K2:M2"/>
    <mergeCell ref="N2:O2"/>
    <mergeCell ref="AT3:AU5"/>
    <mergeCell ref="AT2:AV2"/>
    <mergeCell ref="AW2:AX2"/>
    <mergeCell ref="AY2:BA2"/>
    <mergeCell ref="BB2:BC2"/>
    <mergeCell ref="BD2:BF2"/>
    <mergeCell ref="BG2:BH2"/>
    <mergeCell ref="AE2:AG2"/>
    <mergeCell ref="AH2:AI2"/>
    <mergeCell ref="AJ2:AL2"/>
    <mergeCell ref="AM2:AN2"/>
    <mergeCell ref="AO2:AQ2"/>
    <mergeCell ref="AR2:AS2"/>
    <mergeCell ref="V6:X6"/>
    <mergeCell ref="AA6:AC6"/>
    <mergeCell ref="P6:P7"/>
    <mergeCell ref="AY3:BA5"/>
    <mergeCell ref="BD3:BF5"/>
    <mergeCell ref="A3:B5"/>
    <mergeCell ref="F3:G5"/>
    <mergeCell ref="K3:L5"/>
    <mergeCell ref="P3:Q5"/>
    <mergeCell ref="U3:V5"/>
    <mergeCell ref="Z3:AA5"/>
    <mergeCell ref="C5:E5"/>
    <mergeCell ref="H5:J5"/>
    <mergeCell ref="M5:O5"/>
    <mergeCell ref="R5:T5"/>
    <mergeCell ref="W5:Y5"/>
    <mergeCell ref="AB5:AD5"/>
    <mergeCell ref="AG5:AI5"/>
    <mergeCell ref="AL5:AN5"/>
    <mergeCell ref="AQ5:AS5"/>
    <mergeCell ref="AV5:AX5"/>
    <mergeCell ref="AE3:AF5"/>
    <mergeCell ref="AJ3:AK5"/>
    <mergeCell ref="AO3:AP5"/>
    <mergeCell ref="A8:C8"/>
    <mergeCell ref="D8:E8"/>
    <mergeCell ref="F8:H8"/>
    <mergeCell ref="I8:J8"/>
    <mergeCell ref="K8:M8"/>
    <mergeCell ref="N8:O8"/>
    <mergeCell ref="AT6:AT7"/>
    <mergeCell ref="AE6:AE7"/>
    <mergeCell ref="AJ6:AJ7"/>
    <mergeCell ref="AO6:AO7"/>
    <mergeCell ref="AF6:AH6"/>
    <mergeCell ref="AK6:AM6"/>
    <mergeCell ref="AP6:AR6"/>
    <mergeCell ref="AT8:AV8"/>
    <mergeCell ref="AU6:AW6"/>
    <mergeCell ref="U6:U7"/>
    <mergeCell ref="Z6:Z7"/>
    <mergeCell ref="A6:A7"/>
    <mergeCell ref="F6:F7"/>
    <mergeCell ref="K6:K7"/>
    <mergeCell ref="B6:D6"/>
    <mergeCell ref="G6:I6"/>
    <mergeCell ref="L6:N6"/>
    <mergeCell ref="Q6:S6"/>
    <mergeCell ref="AW8:AX8"/>
    <mergeCell ref="AE8:AG8"/>
    <mergeCell ref="AH8:AI8"/>
    <mergeCell ref="AJ8:AL8"/>
    <mergeCell ref="AM8:AN8"/>
    <mergeCell ref="AO8:AQ8"/>
    <mergeCell ref="AR8:AS8"/>
    <mergeCell ref="P8:R8"/>
    <mergeCell ref="S8:T8"/>
    <mergeCell ref="U8:W8"/>
    <mergeCell ref="X8:Y8"/>
    <mergeCell ref="Z8:AB8"/>
    <mergeCell ref="AC8:AD8"/>
    <mergeCell ref="AG11:AI11"/>
    <mergeCell ref="AL11:AN11"/>
    <mergeCell ref="AQ11:AS11"/>
    <mergeCell ref="AV11:AX11"/>
    <mergeCell ref="AE9:AF11"/>
    <mergeCell ref="AJ9:AK11"/>
    <mergeCell ref="AO9:AP11"/>
    <mergeCell ref="AT9:AU11"/>
    <mergeCell ref="P12:P13"/>
    <mergeCell ref="AA12:AC12"/>
    <mergeCell ref="AB11:AD11"/>
    <mergeCell ref="U12:U13"/>
    <mergeCell ref="Z12:Z13"/>
    <mergeCell ref="AT12:AT13"/>
    <mergeCell ref="AU12:AW12"/>
    <mergeCell ref="A9:B11"/>
    <mergeCell ref="F9:G11"/>
    <mergeCell ref="K9:L11"/>
    <mergeCell ref="P9:Q11"/>
    <mergeCell ref="U9:V11"/>
    <mergeCell ref="Z9:AA11"/>
    <mergeCell ref="C11:E11"/>
    <mergeCell ref="H11:J11"/>
    <mergeCell ref="M11:O11"/>
    <mergeCell ref="R11:T11"/>
    <mergeCell ref="W11:Y11"/>
    <mergeCell ref="A12:A13"/>
    <mergeCell ref="F12:F13"/>
    <mergeCell ref="K12:K13"/>
    <mergeCell ref="B12:D12"/>
    <mergeCell ref="G12:I12"/>
    <mergeCell ref="L12:N12"/>
    <mergeCell ref="Q12:S12"/>
    <mergeCell ref="V12:X12"/>
    <mergeCell ref="AO14:AQ14"/>
    <mergeCell ref="AE12:AE13"/>
    <mergeCell ref="AJ12:AJ13"/>
    <mergeCell ref="AO12:AO13"/>
    <mergeCell ref="AF12:AH12"/>
    <mergeCell ref="AK12:AM12"/>
    <mergeCell ref="AP12:AR12"/>
    <mergeCell ref="A18:A19"/>
    <mergeCell ref="B18:E18"/>
    <mergeCell ref="AY18:AY19"/>
    <mergeCell ref="AZ18:BC18"/>
    <mergeCell ref="BD18:BD19"/>
    <mergeCell ref="BE18:BH18"/>
    <mergeCell ref="BG14:BH14"/>
    <mergeCell ref="A15:E17"/>
    <mergeCell ref="AJ15:AL17"/>
    <mergeCell ref="AO15:AQ17"/>
    <mergeCell ref="AT15:AV17"/>
    <mergeCell ref="AY15:BA17"/>
    <mergeCell ref="BD15:BF17"/>
    <mergeCell ref="AR14:AS14"/>
    <mergeCell ref="AT14:AV14"/>
    <mergeCell ref="AW14:AX14"/>
    <mergeCell ref="AY14:BA14"/>
    <mergeCell ref="BB14:BC14"/>
    <mergeCell ref="BD14:BF14"/>
    <mergeCell ref="A14:C14"/>
    <mergeCell ref="D14:E14"/>
    <mergeCell ref="AH14:AI14"/>
    <mergeCell ref="AJ14:AL14"/>
    <mergeCell ref="AM14:AN14"/>
    <mergeCell ref="P20:R20"/>
    <mergeCell ref="S20:T20"/>
    <mergeCell ref="U20:W20"/>
    <mergeCell ref="X20:Y20"/>
    <mergeCell ref="Z20:AB20"/>
    <mergeCell ref="AC20:AD20"/>
    <mergeCell ref="A20:C20"/>
    <mergeCell ref="D20:E20"/>
    <mergeCell ref="F20:H20"/>
    <mergeCell ref="I20:J20"/>
    <mergeCell ref="K20:M20"/>
    <mergeCell ref="N20:O20"/>
    <mergeCell ref="AT20:AV20"/>
    <mergeCell ref="AW20:AX20"/>
    <mergeCell ref="AY20:BA20"/>
    <mergeCell ref="BB20:BC20"/>
    <mergeCell ref="BD20:BF20"/>
    <mergeCell ref="BG20:BH20"/>
    <mergeCell ref="AE20:AG20"/>
    <mergeCell ref="AH20:AI20"/>
    <mergeCell ref="AJ20:AL20"/>
    <mergeCell ref="AM20:AN20"/>
    <mergeCell ref="AO20:AQ20"/>
    <mergeCell ref="AR20:AS20"/>
    <mergeCell ref="AE21:AG23"/>
    <mergeCell ref="AJ21:AL23"/>
    <mergeCell ref="AO21:AQ23"/>
    <mergeCell ref="AT21:AV23"/>
    <mergeCell ref="AY21:BA23"/>
    <mergeCell ref="BD21:BF23"/>
    <mergeCell ref="A21:C23"/>
    <mergeCell ref="F21:H23"/>
    <mergeCell ref="K21:M23"/>
    <mergeCell ref="P21:R23"/>
    <mergeCell ref="U21:W23"/>
    <mergeCell ref="Z21:AB23"/>
    <mergeCell ref="BD24:BD25"/>
    <mergeCell ref="BD26:BF26"/>
    <mergeCell ref="BE24:BH24"/>
    <mergeCell ref="AE24:AE25"/>
    <mergeCell ref="AF24:AI24"/>
    <mergeCell ref="AJ24:AJ25"/>
    <mergeCell ref="AK24:AN24"/>
    <mergeCell ref="AO24:AO25"/>
    <mergeCell ref="AP24:AS24"/>
    <mergeCell ref="BG26:BH26"/>
    <mergeCell ref="BB26:BC26"/>
    <mergeCell ref="A26:C26"/>
    <mergeCell ref="D26:E26"/>
    <mergeCell ref="F26:H26"/>
    <mergeCell ref="I26:J26"/>
    <mergeCell ref="K26:M26"/>
    <mergeCell ref="N26:O26"/>
    <mergeCell ref="AT24:AT25"/>
    <mergeCell ref="AU24:AX24"/>
    <mergeCell ref="AY24:AY25"/>
    <mergeCell ref="P24:P25"/>
    <mergeCell ref="Q24:T24"/>
    <mergeCell ref="U24:U25"/>
    <mergeCell ref="V24:Y24"/>
    <mergeCell ref="Z24:Z25"/>
    <mergeCell ref="AA24:AD24"/>
    <mergeCell ref="A24:A25"/>
    <mergeCell ref="B24:E24"/>
    <mergeCell ref="F24:F25"/>
    <mergeCell ref="G24:J24"/>
    <mergeCell ref="K24:K25"/>
    <mergeCell ref="L24:O24"/>
    <mergeCell ref="AW26:AX26"/>
    <mergeCell ref="AY26:BA26"/>
    <mergeCell ref="AZ24:BC24"/>
    <mergeCell ref="K27:M29"/>
    <mergeCell ref="P27:R29"/>
    <mergeCell ref="U27:W29"/>
    <mergeCell ref="Z27:AB29"/>
    <mergeCell ref="AE27:AG29"/>
    <mergeCell ref="AT27:AV29"/>
    <mergeCell ref="AE26:AG26"/>
    <mergeCell ref="AH26:AI26"/>
    <mergeCell ref="AT26:AV26"/>
    <mergeCell ref="P26:R26"/>
    <mergeCell ref="S26:T26"/>
    <mergeCell ref="U26:W26"/>
    <mergeCell ref="X26:Y26"/>
    <mergeCell ref="Z26:AB26"/>
    <mergeCell ref="AC26:AD26"/>
    <mergeCell ref="AY27:BA29"/>
    <mergeCell ref="BD27:BF29"/>
    <mergeCell ref="A30:A31"/>
    <mergeCell ref="B30:E30"/>
    <mergeCell ref="F30:F31"/>
    <mergeCell ref="G30:J30"/>
    <mergeCell ref="K30:K31"/>
    <mergeCell ref="L30:O30"/>
    <mergeCell ref="P30:P31"/>
    <mergeCell ref="Q30:T30"/>
    <mergeCell ref="AT30:AT31"/>
    <mergeCell ref="AU30:AX30"/>
    <mergeCell ref="AY30:AY31"/>
    <mergeCell ref="AZ30:BC30"/>
    <mergeCell ref="BD30:BD31"/>
    <mergeCell ref="BE30:BH30"/>
    <mergeCell ref="U30:U31"/>
    <mergeCell ref="V30:Y30"/>
    <mergeCell ref="Z30:Z31"/>
    <mergeCell ref="AA30:AD30"/>
    <mergeCell ref="AE30:AE31"/>
    <mergeCell ref="AF30:AI30"/>
    <mergeCell ref="A27:C29"/>
    <mergeCell ref="F27:H29"/>
    <mergeCell ref="AV34:AW40"/>
    <mergeCell ref="H35:J35"/>
    <mergeCell ref="H36:J37"/>
    <mergeCell ref="X37:AB42"/>
    <mergeCell ref="AC37:AH42"/>
    <mergeCell ref="H38:J40"/>
    <mergeCell ref="H41:J42"/>
    <mergeCell ref="H32:J33"/>
    <mergeCell ref="Q32:V34"/>
    <mergeCell ref="X32:AB36"/>
    <mergeCell ref="AC32:AH36"/>
    <mergeCell ref="AJ32:AN42"/>
    <mergeCell ref="AO32:AS33"/>
    <mergeCell ref="AO41:AW42"/>
    <mergeCell ref="Q35:V42"/>
    <mergeCell ref="AD45:AH51"/>
    <mergeCell ref="AL45:AN47"/>
    <mergeCell ref="AO45:AQ47"/>
    <mergeCell ref="AR45:AS47"/>
    <mergeCell ref="AT45:AU47"/>
    <mergeCell ref="AY45:BH47"/>
    <mergeCell ref="AL48:AN51"/>
    <mergeCell ref="AO48:AQ51"/>
    <mergeCell ref="AR48:AS51"/>
    <mergeCell ref="AT48:AU51"/>
    <mergeCell ref="AY48:BH49"/>
    <mergeCell ref="AY50:BH52"/>
    <mergeCell ref="AY6:BJ8"/>
    <mergeCell ref="AY9:BJ13"/>
    <mergeCell ref="AQ70:AS72"/>
    <mergeCell ref="AT70:AW72"/>
    <mergeCell ref="AY59:BH63"/>
    <mergeCell ref="AN61:AP63"/>
    <mergeCell ref="AQ61:AS63"/>
    <mergeCell ref="AT61:AW63"/>
    <mergeCell ref="AN64:AP66"/>
    <mergeCell ref="AQ64:AS66"/>
    <mergeCell ref="AT64:AW66"/>
    <mergeCell ref="AY53:BH54"/>
    <mergeCell ref="AN55:AP57"/>
    <mergeCell ref="AQ55:AS57"/>
    <mergeCell ref="AT55:AW57"/>
    <mergeCell ref="AY55:BH58"/>
    <mergeCell ref="AN58:AP60"/>
    <mergeCell ref="AQ58:AS60"/>
    <mergeCell ref="AT58:AW60"/>
    <mergeCell ref="AN67:AP69"/>
    <mergeCell ref="AQ67:AS69"/>
    <mergeCell ref="AT67:AW69"/>
    <mergeCell ref="AT32:AW33"/>
    <mergeCell ref="AO34:AU40"/>
  </mergeCells>
  <pageMargins left="0.21" right="0" top="0.5" bottom="0" header="0.3" footer="0.3"/>
  <pageSetup scale="44" orientation="landscape" r:id="rId1"/>
  <colBreaks count="1" manualBreakCount="1">
    <brk id="60" max="50" man="1"/>
  </colBreaks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54B3-B8F5-414D-B8CA-7F7E212A9443}">
  <sheetPr codeName="Sheet9">
    <tabColor rgb="FFEE0000"/>
  </sheetPr>
  <dimension ref="A1:M90"/>
  <sheetViews>
    <sheetView topLeftCell="A11" zoomScaleNormal="100" workbookViewId="0">
      <selection activeCell="T8" sqref="T8"/>
    </sheetView>
  </sheetViews>
  <sheetFormatPr defaultRowHeight="15" x14ac:dyDescent="0.25"/>
  <cols>
    <col min="1" max="1" width="30.5703125" bestFit="1" customWidth="1"/>
    <col min="2" max="2" width="13.140625" customWidth="1"/>
    <col min="3" max="3" width="18.140625" customWidth="1"/>
  </cols>
  <sheetData>
    <row r="1" spans="1:13" ht="30" customHeight="1" x14ac:dyDescent="0.25">
      <c r="A1" s="12" t="s">
        <v>138</v>
      </c>
      <c r="B1" s="12"/>
      <c r="C1" s="12"/>
    </row>
    <row r="2" spans="1:13" ht="35.25" customHeight="1" x14ac:dyDescent="0.25">
      <c r="A2" s="13"/>
      <c r="B2" s="14"/>
      <c r="C2" s="14"/>
      <c r="D2" s="13" t="s">
        <v>311</v>
      </c>
      <c r="E2" s="13" t="s">
        <v>316</v>
      </c>
      <c r="F2" s="13" t="s">
        <v>321</v>
      </c>
      <c r="G2" s="13" t="s">
        <v>322</v>
      </c>
      <c r="H2" s="13" t="s">
        <v>331</v>
      </c>
      <c r="I2" s="13" t="s">
        <v>348</v>
      </c>
      <c r="J2" s="13" t="s">
        <v>359</v>
      </c>
      <c r="K2" s="13" t="s">
        <v>383</v>
      </c>
      <c r="L2" s="13" t="s">
        <v>387</v>
      </c>
      <c r="M2" s="13"/>
    </row>
    <row r="3" spans="1:13" ht="24.95" customHeight="1" x14ac:dyDescent="0.25">
      <c r="A3" s="13"/>
      <c r="B3" s="15"/>
      <c r="C3" s="15"/>
    </row>
    <row r="4" spans="1:13" x14ac:dyDescent="0.25">
      <c r="A4" s="16"/>
      <c r="B4" s="15"/>
      <c r="C4" s="15"/>
    </row>
    <row r="5" spans="1:13" x14ac:dyDescent="0.25">
      <c r="A5" s="16" t="s">
        <v>274</v>
      </c>
      <c r="B5" s="15"/>
      <c r="C5" s="15"/>
      <c r="D5" s="17" t="e">
        <f>#REF!</f>
        <v>#REF!</v>
      </c>
      <c r="E5" s="17" t="e">
        <f>#REF!</f>
        <v>#REF!</v>
      </c>
      <c r="F5" s="17" t="e">
        <f>#REF!</f>
        <v>#REF!</v>
      </c>
      <c r="G5" s="17" t="e">
        <f>#REF!</f>
        <v>#REF!</v>
      </c>
      <c r="H5" s="17" t="e">
        <f>#REF!</f>
        <v>#REF!</v>
      </c>
      <c r="I5" s="17" t="e">
        <f>#REF!</f>
        <v>#REF!</v>
      </c>
      <c r="J5" s="17" t="e">
        <f>#REF!</f>
        <v>#REF!</v>
      </c>
      <c r="K5" s="17" t="e">
        <f>#REF!</f>
        <v>#REF!</v>
      </c>
      <c r="L5" s="17" t="e">
        <f>#REF!</f>
        <v>#REF!</v>
      </c>
      <c r="M5" s="17"/>
    </row>
    <row r="6" spans="1:13" ht="28.5" customHeight="1" x14ac:dyDescent="0.25">
      <c r="A6" s="16" t="s">
        <v>139</v>
      </c>
      <c r="B6" s="15"/>
      <c r="C6" s="15"/>
      <c r="D6" s="17" t="e">
        <f>#REF!</f>
        <v>#REF!</v>
      </c>
      <c r="E6" s="17" t="e">
        <f>#REF!</f>
        <v>#REF!</v>
      </c>
      <c r="F6" s="17" t="e">
        <f>#REF!</f>
        <v>#REF!</v>
      </c>
      <c r="G6" s="17" t="e">
        <f>#REF!</f>
        <v>#REF!</v>
      </c>
      <c r="H6" s="17" t="e">
        <f>#REF!</f>
        <v>#REF!</v>
      </c>
      <c r="I6" s="17" t="e">
        <f>#REF!</f>
        <v>#REF!</v>
      </c>
      <c r="J6" s="17" t="e">
        <f>#REF!</f>
        <v>#REF!</v>
      </c>
      <c r="K6" s="17" t="e">
        <f>#REF!</f>
        <v>#REF!</v>
      </c>
      <c r="L6" s="17" t="e">
        <f>#REF!</f>
        <v>#REF!</v>
      </c>
      <c r="M6" s="17"/>
    </row>
    <row r="7" spans="1:13" ht="28.5" customHeight="1" x14ac:dyDescent="0.25">
      <c r="A7" s="16" t="s">
        <v>287</v>
      </c>
      <c r="B7" s="15"/>
      <c r="C7" s="15"/>
      <c r="D7" s="17" t="e">
        <f>#REF!</f>
        <v>#REF!</v>
      </c>
      <c r="E7" s="17" t="e">
        <f>#REF!</f>
        <v>#REF!</v>
      </c>
      <c r="F7" s="17" t="e">
        <f>#REF!</f>
        <v>#REF!</v>
      </c>
      <c r="G7" s="17" t="e">
        <f>#REF!</f>
        <v>#REF!</v>
      </c>
      <c r="H7" s="17" t="e">
        <f>#REF!</f>
        <v>#REF!</v>
      </c>
      <c r="I7" s="17" t="e">
        <f>#REF!</f>
        <v>#REF!</v>
      </c>
      <c r="J7" s="17" t="e">
        <f>#REF!</f>
        <v>#REF!</v>
      </c>
      <c r="K7" s="17" t="e">
        <f>#REF!</f>
        <v>#REF!</v>
      </c>
      <c r="L7" s="17" t="e">
        <f>#REF!</f>
        <v>#REF!</v>
      </c>
      <c r="M7" s="17"/>
    </row>
    <row r="8" spans="1:13" ht="28.5" customHeight="1" x14ac:dyDescent="0.25">
      <c r="A8" s="16" t="s">
        <v>268</v>
      </c>
      <c r="B8" s="15"/>
      <c r="C8" s="15"/>
      <c r="D8" s="17"/>
      <c r="E8" s="17"/>
      <c r="F8" s="17"/>
      <c r="G8" s="17"/>
      <c r="H8" s="17"/>
      <c r="I8" s="17"/>
      <c r="J8" s="17"/>
      <c r="K8" s="17"/>
      <c r="L8" s="17" t="e">
        <f>#REF!</f>
        <v>#REF!</v>
      </c>
      <c r="M8" s="17"/>
    </row>
    <row r="9" spans="1:13" ht="28.5" customHeight="1" x14ac:dyDescent="0.25">
      <c r="A9" s="16" t="s">
        <v>284</v>
      </c>
      <c r="B9" s="15"/>
      <c r="C9" s="15"/>
      <c r="D9" s="17" t="e">
        <f>#REF!</f>
        <v>#REF!</v>
      </c>
      <c r="E9" s="17" t="e">
        <f>#REF!</f>
        <v>#REF!</v>
      </c>
      <c r="F9" s="17" t="e">
        <f>#REF!</f>
        <v>#REF!</v>
      </c>
      <c r="G9" s="17" t="e">
        <f>#REF!</f>
        <v>#REF!</v>
      </c>
      <c r="H9" s="17" t="e">
        <f>#REF!</f>
        <v>#REF!</v>
      </c>
      <c r="I9" s="17" t="e">
        <f>#REF!</f>
        <v>#REF!</v>
      </c>
      <c r="J9" s="17" t="e">
        <f>#REF!</f>
        <v>#REF!</v>
      </c>
      <c r="K9" s="17" t="e">
        <f>#REF!</f>
        <v>#REF!</v>
      </c>
      <c r="L9" s="17" t="e">
        <f>#REF!</f>
        <v>#REF!</v>
      </c>
      <c r="M9" s="17"/>
    </row>
    <row r="10" spans="1:13" ht="28.5" customHeight="1" x14ac:dyDescent="0.25">
      <c r="A10" s="16" t="s">
        <v>18</v>
      </c>
      <c r="B10" s="15"/>
      <c r="C10" s="15"/>
      <c r="D10" s="17" t="e">
        <f>#REF!</f>
        <v>#REF!</v>
      </c>
      <c r="E10" s="17" t="e">
        <f>#REF!</f>
        <v>#REF!</v>
      </c>
      <c r="F10" s="17" t="e">
        <f>#REF!</f>
        <v>#REF!</v>
      </c>
      <c r="G10" s="17" t="e">
        <f>#REF!</f>
        <v>#REF!</v>
      </c>
      <c r="H10" s="17" t="e">
        <f>#REF!</f>
        <v>#REF!</v>
      </c>
      <c r="I10" s="17" t="e">
        <f>#REF!</f>
        <v>#REF!</v>
      </c>
      <c r="J10" s="17" t="e">
        <f>#REF!</f>
        <v>#REF!</v>
      </c>
      <c r="K10" s="17" t="e">
        <f>#REF!</f>
        <v>#REF!</v>
      </c>
      <c r="L10" s="17" t="e">
        <f>#REF!</f>
        <v>#REF!</v>
      </c>
      <c r="M10" s="17"/>
    </row>
    <row r="11" spans="1:13" ht="24.95" customHeight="1" x14ac:dyDescent="0.25">
      <c r="A11" s="18" t="s">
        <v>140</v>
      </c>
      <c r="B11" s="15"/>
      <c r="C11" s="15"/>
      <c r="D11" s="17" t="e">
        <f>#REF!</f>
        <v>#REF!</v>
      </c>
      <c r="E11" s="17" t="e">
        <f>#REF!</f>
        <v>#REF!</v>
      </c>
      <c r="F11" s="17" t="e">
        <f>#REF!</f>
        <v>#REF!</v>
      </c>
      <c r="G11" s="17" t="e">
        <f>#REF!</f>
        <v>#REF!</v>
      </c>
      <c r="H11" s="17" t="e">
        <f>#REF!</f>
        <v>#REF!</v>
      </c>
      <c r="I11" s="17" t="e">
        <f>#REF!</f>
        <v>#REF!</v>
      </c>
      <c r="J11" s="17" t="e">
        <f>#REF!</f>
        <v>#REF!</v>
      </c>
      <c r="K11" s="17" t="e">
        <f>#REF!</f>
        <v>#REF!</v>
      </c>
      <c r="L11" s="17" t="e">
        <f>#REF!</f>
        <v>#REF!</v>
      </c>
      <c r="M11" s="17"/>
    </row>
    <row r="12" spans="1:13" ht="45" x14ac:dyDescent="0.25">
      <c r="A12" s="19" t="s">
        <v>141</v>
      </c>
      <c r="B12" s="20" t="s">
        <v>142</v>
      </c>
      <c r="C12" s="20" t="s">
        <v>143</v>
      </c>
    </row>
    <row r="13" spans="1:13" x14ac:dyDescent="0.25">
      <c r="A13" s="21" t="s">
        <v>144</v>
      </c>
      <c r="B13" s="17">
        <v>4.6300000000000001E-2</v>
      </c>
      <c r="C13" s="17">
        <v>0.12870000000000001</v>
      </c>
    </row>
    <row r="14" spans="1:13" x14ac:dyDescent="0.25">
      <c r="A14" s="21" t="s">
        <v>145</v>
      </c>
      <c r="B14" s="17">
        <v>5.0200000000000002E-2</v>
      </c>
      <c r="C14" s="17">
        <v>0.13189999999999999</v>
      </c>
    </row>
    <row r="15" spans="1:13" ht="27.75" customHeight="1" x14ac:dyDescent="0.25">
      <c r="A15" s="21" t="s">
        <v>146</v>
      </c>
      <c r="B15" s="17">
        <v>2.9899999999999999E-2</v>
      </c>
      <c r="C15" s="17">
        <v>0.11169999999999999</v>
      </c>
    </row>
    <row r="16" spans="1:13" x14ac:dyDescent="0.25">
      <c r="A16" s="21" t="s">
        <v>147</v>
      </c>
      <c r="B16" s="17">
        <v>2.5700000000000001E-2</v>
      </c>
      <c r="C16" s="17">
        <v>4.24E-2</v>
      </c>
    </row>
    <row r="17" spans="1:3" x14ac:dyDescent="0.25">
      <c r="A17" s="21" t="s">
        <v>148</v>
      </c>
      <c r="B17" s="17">
        <v>4.4900000000000002E-2</v>
      </c>
      <c r="C17" s="17">
        <v>6.1499999999999999E-2</v>
      </c>
    </row>
    <row r="18" spans="1:3" x14ac:dyDescent="0.25">
      <c r="A18" s="10" t="s">
        <v>149</v>
      </c>
      <c r="B18" s="17">
        <v>6.0100000000000001E-2</v>
      </c>
      <c r="C18" s="17">
        <v>7.5600000000000001E-2</v>
      </c>
    </row>
    <row r="19" spans="1:3" x14ac:dyDescent="0.25">
      <c r="A19" s="10" t="s">
        <v>150</v>
      </c>
      <c r="B19" s="17">
        <v>3.4000000000000002E-2</v>
      </c>
      <c r="C19" s="17">
        <v>5.0700000000000002E-2</v>
      </c>
    </row>
    <row r="20" spans="1:3" ht="28.5" customHeight="1" x14ac:dyDescent="0.25">
      <c r="A20" s="21" t="s">
        <v>151</v>
      </c>
      <c r="B20" s="17">
        <v>1.78E-2</v>
      </c>
      <c r="C20" s="17">
        <v>2.3300000000000001E-2</v>
      </c>
    </row>
    <row r="21" spans="1:3" ht="25.5" customHeight="1" x14ac:dyDescent="0.25">
      <c r="A21" s="21" t="s">
        <v>152</v>
      </c>
      <c r="B21" s="17">
        <v>1.2800000000000001E-2</v>
      </c>
      <c r="C21" s="17">
        <v>2.1600000000000001E-2</v>
      </c>
    </row>
    <row r="22" spans="1:3" x14ac:dyDescent="0.25">
      <c r="A22" s="10" t="s">
        <v>153</v>
      </c>
      <c r="B22" s="17">
        <v>1.7500000000000002E-2</v>
      </c>
      <c r="C22" s="17">
        <v>3.04E-2</v>
      </c>
    </row>
    <row r="23" spans="1:3" x14ac:dyDescent="0.25">
      <c r="A23" s="21" t="s">
        <v>56</v>
      </c>
      <c r="B23" s="17">
        <v>2.4899999999999999E-2</v>
      </c>
      <c r="C23" s="17">
        <v>3.3500000000000002E-2</v>
      </c>
    </row>
    <row r="24" spans="1:3" x14ac:dyDescent="0.25">
      <c r="A24" s="21" t="s">
        <v>154</v>
      </c>
      <c r="B24" s="17">
        <v>0.02</v>
      </c>
      <c r="C24" s="17">
        <v>3.1E-2</v>
      </c>
    </row>
    <row r="25" spans="1:3" x14ac:dyDescent="0.25">
      <c r="A25" s="21" t="s">
        <v>155</v>
      </c>
      <c r="B25" s="17">
        <v>1.8499999999999999E-2</v>
      </c>
      <c r="C25" s="17">
        <v>3.0300000000000001E-2</v>
      </c>
    </row>
    <row r="26" spans="1:3" x14ac:dyDescent="0.25">
      <c r="A26" s="21" t="s">
        <v>60</v>
      </c>
      <c r="B26" s="17">
        <v>3.2500000000000001E-2</v>
      </c>
      <c r="C26" s="17">
        <v>4.36E-2</v>
      </c>
    </row>
    <row r="27" spans="1:3" x14ac:dyDescent="0.25">
      <c r="A27" s="21" t="s">
        <v>61</v>
      </c>
      <c r="B27" s="17">
        <v>4.4900000000000002E-2</v>
      </c>
      <c r="C27" s="17">
        <v>5.62E-2</v>
      </c>
    </row>
    <row r="28" spans="1:3" x14ac:dyDescent="0.25">
      <c r="A28" s="21" t="s">
        <v>63</v>
      </c>
      <c r="B28" s="17">
        <v>3.49E-2</v>
      </c>
      <c r="C28" s="17">
        <v>4.9299999999999997E-2</v>
      </c>
    </row>
    <row r="29" spans="1:3" x14ac:dyDescent="0.25">
      <c r="A29" s="10" t="s">
        <v>69</v>
      </c>
      <c r="B29" s="17">
        <v>1.8499999999999999E-2</v>
      </c>
      <c r="C29" s="17">
        <v>2.7400000000000001E-2</v>
      </c>
    </row>
    <row r="30" spans="1:3" x14ac:dyDescent="0.25">
      <c r="A30" s="10" t="s">
        <v>55</v>
      </c>
      <c r="B30" s="17">
        <v>1.84E-2</v>
      </c>
      <c r="C30" s="17">
        <v>0.03</v>
      </c>
    </row>
    <row r="31" spans="1:3" x14ac:dyDescent="0.25">
      <c r="A31" s="21" t="s">
        <v>62</v>
      </c>
      <c r="B31" s="17">
        <v>2.6700000000000002E-2</v>
      </c>
      <c r="C31" s="17">
        <v>3.5499999999999997E-2</v>
      </c>
    </row>
    <row r="32" spans="1:3" x14ac:dyDescent="0.25">
      <c r="A32" s="21" t="s">
        <v>64</v>
      </c>
      <c r="B32" s="17">
        <v>9.3399999999999997E-2</v>
      </c>
      <c r="C32" s="17">
        <v>0.1147</v>
      </c>
    </row>
    <row r="33" spans="1:3" x14ac:dyDescent="0.25">
      <c r="A33" s="21" t="s">
        <v>65</v>
      </c>
      <c r="B33" s="17">
        <v>3.3000000000000002E-2</v>
      </c>
      <c r="C33" s="17"/>
    </row>
    <row r="34" spans="1:3" ht="15" customHeight="1" x14ac:dyDescent="0.25">
      <c r="A34" s="21" t="s">
        <v>156</v>
      </c>
      <c r="B34" s="17">
        <v>6.4199999999999993E-2</v>
      </c>
      <c r="C34" s="17">
        <v>0.14679999999999999</v>
      </c>
    </row>
    <row r="35" spans="1:3" ht="15" customHeight="1" x14ac:dyDescent="0.25">
      <c r="A35" s="21" t="s">
        <v>66</v>
      </c>
      <c r="B35" s="17">
        <v>6.7500000000000004E-2</v>
      </c>
      <c r="C35" s="17">
        <v>8.2899999999999988E-2</v>
      </c>
    </row>
    <row r="36" spans="1:3" ht="15.75" customHeight="1" x14ac:dyDescent="0.25">
      <c r="A36" s="21" t="s">
        <v>67</v>
      </c>
      <c r="B36" s="17">
        <v>1.15E-2</v>
      </c>
      <c r="C36" s="17">
        <v>2.1899999999999999E-2</v>
      </c>
    </row>
    <row r="37" spans="1:3" x14ac:dyDescent="0.25">
      <c r="A37" s="21" t="s">
        <v>157</v>
      </c>
      <c r="B37" s="17">
        <v>6.9000000000000006E-2</v>
      </c>
      <c r="C37" s="17">
        <v>8.5800000000000001E-2</v>
      </c>
    </row>
    <row r="38" spans="1:3" x14ac:dyDescent="0.25">
      <c r="A38" s="21" t="s">
        <v>70</v>
      </c>
      <c r="B38" s="17">
        <v>1.1599999999999999E-2</v>
      </c>
      <c r="C38" s="17">
        <v>1.8100000000000002E-2</v>
      </c>
    </row>
    <row r="39" spans="1:3" x14ac:dyDescent="0.25">
      <c r="A39" s="21" t="s">
        <v>71</v>
      </c>
      <c r="B39" s="17">
        <v>5.6100000000000004E-2</v>
      </c>
      <c r="C39" s="17">
        <v>7.0699999999999999E-2</v>
      </c>
    </row>
    <row r="40" spans="1:3" x14ac:dyDescent="0.25">
      <c r="A40" s="21" t="s">
        <v>74</v>
      </c>
      <c r="B40" s="17">
        <v>4.2099999999999999E-2</v>
      </c>
      <c r="C40" s="17">
        <v>4.8099999999999997E-2</v>
      </c>
    </row>
    <row r="41" spans="1:3" x14ac:dyDescent="0.25">
      <c r="A41" s="21" t="s">
        <v>75</v>
      </c>
      <c r="B41" s="17">
        <v>9.7000000000000003E-3</v>
      </c>
      <c r="C41" s="17">
        <v>1.5100000000000001E-2</v>
      </c>
    </row>
    <row r="42" spans="1:3" x14ac:dyDescent="0.25">
      <c r="A42" s="21" t="s">
        <v>73</v>
      </c>
      <c r="B42" s="17">
        <v>1.6799999999999999E-2</v>
      </c>
      <c r="C42" s="17">
        <v>2.7900000000000001E-2</v>
      </c>
    </row>
    <row r="43" spans="1:3" x14ac:dyDescent="0.25">
      <c r="A43" s="21" t="s">
        <v>78</v>
      </c>
      <c r="B43" s="17">
        <v>3.6699999999999997E-2</v>
      </c>
      <c r="C43" s="17">
        <v>4.7699999999999992E-2</v>
      </c>
    </row>
    <row r="44" spans="1:3" x14ac:dyDescent="0.25">
      <c r="A44" s="21" t="s">
        <v>158</v>
      </c>
      <c r="B44" s="17">
        <v>3.27E-2</v>
      </c>
      <c r="C44" s="17">
        <v>6.13E-2</v>
      </c>
    </row>
    <row r="45" spans="1:3" x14ac:dyDescent="0.25">
      <c r="A45" s="21" t="s">
        <v>72</v>
      </c>
      <c r="B45" s="17">
        <v>8.8000000000000005E-3</v>
      </c>
      <c r="C45" s="17">
        <v>2.1000000000000001E-2</v>
      </c>
    </row>
    <row r="46" spans="1:3" x14ac:dyDescent="0.25">
      <c r="A46" s="21" t="s">
        <v>76</v>
      </c>
      <c r="B46" s="17">
        <v>3.1400000000000004E-2</v>
      </c>
      <c r="C46" s="17">
        <v>4.3099999999999999E-2</v>
      </c>
    </row>
    <row r="47" spans="1:3" x14ac:dyDescent="0.25">
      <c r="A47" s="21" t="s">
        <v>159</v>
      </c>
      <c r="B47" s="17">
        <v>0.12740000000000001</v>
      </c>
      <c r="C47" s="17">
        <v>0.14080000000000001</v>
      </c>
    </row>
    <row r="48" spans="1:3" x14ac:dyDescent="0.25">
      <c r="A48" s="21" t="s">
        <v>160</v>
      </c>
      <c r="B48" s="17">
        <v>8.1099999999999992E-2</v>
      </c>
      <c r="C48" s="17">
        <v>9.4499999999999987E-2</v>
      </c>
    </row>
    <row r="49" spans="1:3" x14ac:dyDescent="0.25">
      <c r="A49" s="21" t="s">
        <v>79</v>
      </c>
      <c r="B49" s="17">
        <v>1.3000000000000001E-2</v>
      </c>
      <c r="C49" s="17">
        <v>1.9199999999999998E-2</v>
      </c>
    </row>
    <row r="50" spans="1:3" x14ac:dyDescent="0.25">
      <c r="A50" s="21" t="s">
        <v>161</v>
      </c>
      <c r="B50" s="17">
        <v>1.06E-2</v>
      </c>
      <c r="C50" s="17">
        <v>2.46E-2</v>
      </c>
    </row>
    <row r="51" spans="1:3" x14ac:dyDescent="0.25">
      <c r="A51" s="21" t="s">
        <v>81</v>
      </c>
      <c r="B51" s="17">
        <v>1.78E-2</v>
      </c>
      <c r="C51" s="17">
        <v>3.2899999999999999E-2</v>
      </c>
    </row>
    <row r="52" spans="1:3" x14ac:dyDescent="0.25">
      <c r="A52" s="21" t="s">
        <v>82</v>
      </c>
      <c r="B52" s="17">
        <v>1.0800000000000001E-2</v>
      </c>
      <c r="C52" s="17">
        <v>2.1299999999999999E-2</v>
      </c>
    </row>
    <row r="53" spans="1:3" x14ac:dyDescent="0.25">
      <c r="A53" s="21" t="s">
        <v>83</v>
      </c>
      <c r="B53" s="17">
        <v>1.49E-2</v>
      </c>
      <c r="C53" s="17">
        <v>2.3799999999999998E-2</v>
      </c>
    </row>
    <row r="54" spans="1:3" x14ac:dyDescent="0.25">
      <c r="A54" s="21" t="s">
        <v>162</v>
      </c>
      <c r="B54" s="17">
        <v>1.5600000000000001E-2</v>
      </c>
      <c r="C54" s="17">
        <v>2.8399999999999998E-2</v>
      </c>
    </row>
    <row r="55" spans="1:3" x14ac:dyDescent="0.25">
      <c r="A55" s="21" t="s">
        <v>84</v>
      </c>
      <c r="B55" s="17">
        <v>7.4999999999999997E-3</v>
      </c>
      <c r="C55" s="17">
        <v>1.5699999999999999E-2</v>
      </c>
    </row>
    <row r="56" spans="1:3" x14ac:dyDescent="0.25">
      <c r="A56" s="21" t="s">
        <v>85</v>
      </c>
      <c r="B56" s="17">
        <v>9.01E-2</v>
      </c>
      <c r="C56" s="17">
        <v>9.8500000000000004E-2</v>
      </c>
    </row>
    <row r="57" spans="1:3" x14ac:dyDescent="0.25">
      <c r="A57" s="21" t="s">
        <v>89</v>
      </c>
      <c r="B57" s="17">
        <v>1.5599999999999999E-2</v>
      </c>
      <c r="C57" s="17">
        <v>2.4799999999999999E-2</v>
      </c>
    </row>
    <row r="58" spans="1:3" x14ac:dyDescent="0.25">
      <c r="A58" s="21" t="s">
        <v>88</v>
      </c>
      <c r="B58" s="17">
        <v>3.4599999999999999E-2</v>
      </c>
      <c r="C58" s="17">
        <v>4.3099999999999999E-2</v>
      </c>
    </row>
    <row r="59" spans="1:3" x14ac:dyDescent="0.25">
      <c r="A59" s="21" t="s">
        <v>87</v>
      </c>
      <c r="B59" s="17">
        <v>1.89E-2</v>
      </c>
      <c r="C59" s="17">
        <v>3.0599999999999999E-2</v>
      </c>
    </row>
    <row r="60" spans="1:3" x14ac:dyDescent="0.25">
      <c r="A60" s="21" t="s">
        <v>86</v>
      </c>
      <c r="B60" s="17">
        <v>4.2000000000000003E-2</v>
      </c>
      <c r="C60" s="17">
        <v>5.4800000000000001E-2</v>
      </c>
    </row>
    <row r="61" spans="1:3" x14ac:dyDescent="0.25">
      <c r="A61" s="21" t="s">
        <v>90</v>
      </c>
      <c r="B61" s="17">
        <v>2.2499999999999999E-2</v>
      </c>
      <c r="C61" s="17">
        <v>2.6600000000000002E-2</v>
      </c>
    </row>
    <row r="62" spans="1:3" x14ac:dyDescent="0.25">
      <c r="A62" s="21" t="s">
        <v>91</v>
      </c>
      <c r="B62" s="17">
        <v>7.5399999999999995E-2</v>
      </c>
      <c r="C62" s="17">
        <v>9.1400000000000009E-2</v>
      </c>
    </row>
    <row r="63" spans="1:3" x14ac:dyDescent="0.25">
      <c r="A63" s="21" t="s">
        <v>92</v>
      </c>
      <c r="B63" s="17">
        <v>5.8999999999999999E-3</v>
      </c>
      <c r="C63" s="17">
        <v>1.24E-2</v>
      </c>
    </row>
    <row r="64" spans="1:3" x14ac:dyDescent="0.25">
      <c r="A64" s="21" t="s">
        <v>93</v>
      </c>
      <c r="B64" s="17">
        <v>4.36E-2</v>
      </c>
      <c r="C64" s="17">
        <v>5.0700000000000002E-2</v>
      </c>
    </row>
    <row r="65" spans="1:3" x14ac:dyDescent="0.25">
      <c r="A65" s="21" t="s">
        <v>94</v>
      </c>
      <c r="B65" s="17">
        <v>9.9700000000000011E-2</v>
      </c>
      <c r="C65" s="17">
        <v>0.18140000000000001</v>
      </c>
    </row>
    <row r="66" spans="1:3" x14ac:dyDescent="0.25">
      <c r="A66" s="21" t="s">
        <v>95</v>
      </c>
      <c r="B66" s="17">
        <v>2.3099999999999999E-2</v>
      </c>
      <c r="C66" s="17">
        <v>3.15E-2</v>
      </c>
    </row>
    <row r="67" spans="1:3" x14ac:dyDescent="0.25">
      <c r="A67" s="21" t="s">
        <v>96</v>
      </c>
      <c r="B67" s="17">
        <v>1.2699999999999999E-2</v>
      </c>
      <c r="C67" s="17">
        <v>1.9800000000000002E-2</v>
      </c>
    </row>
    <row r="68" spans="1:3" x14ac:dyDescent="0.25">
      <c r="A68" s="21" t="s">
        <v>97</v>
      </c>
      <c r="B68" s="17">
        <v>0.17379999999999998</v>
      </c>
      <c r="C68" s="17">
        <v>0.1893</v>
      </c>
    </row>
    <row r="69" spans="1:3" x14ac:dyDescent="0.25">
      <c r="A69" s="21" t="s">
        <v>98</v>
      </c>
      <c r="B69" s="17">
        <v>8.5800000000000001E-2</v>
      </c>
      <c r="C69" s="17">
        <v>9.5799999999999996E-2</v>
      </c>
    </row>
    <row r="70" spans="1:3" x14ac:dyDescent="0.25">
      <c r="A70" s="21" t="s">
        <v>163</v>
      </c>
      <c r="B70" s="17">
        <v>1.1200000000000002E-2</v>
      </c>
      <c r="C70" s="17">
        <v>1.9299999999999998E-2</v>
      </c>
    </row>
    <row r="71" spans="1:3" x14ac:dyDescent="0.25">
      <c r="A71" s="21" t="s">
        <v>239</v>
      </c>
      <c r="B71" s="17">
        <v>1.32E-2</v>
      </c>
      <c r="C71" s="17">
        <v>2.1100000000000001E-2</v>
      </c>
    </row>
    <row r="72" spans="1:3" x14ac:dyDescent="0.25">
      <c r="A72" s="21" t="s">
        <v>240</v>
      </c>
      <c r="B72" s="17">
        <v>1.11E-2</v>
      </c>
      <c r="C72" s="17">
        <v>2.35E-2</v>
      </c>
    </row>
    <row r="73" spans="1:3" x14ac:dyDescent="0.25">
      <c r="A73" s="21" t="s">
        <v>241</v>
      </c>
      <c r="B73" s="17">
        <v>3.4200000000000001E-2</v>
      </c>
      <c r="C73" s="17">
        <v>4.3799999999999999E-2</v>
      </c>
    </row>
    <row r="74" spans="1:3" x14ac:dyDescent="0.25">
      <c r="A74" s="21" t="s">
        <v>33</v>
      </c>
      <c r="B74" s="17">
        <v>3.15E-2</v>
      </c>
      <c r="C74" s="17">
        <v>0.11169999999999999</v>
      </c>
    </row>
    <row r="75" spans="1:3" x14ac:dyDescent="0.25">
      <c r="A75" s="21" t="s">
        <v>242</v>
      </c>
      <c r="B75" s="17">
        <v>5.3499999999999999E-2</v>
      </c>
      <c r="C75" s="17">
        <v>0.12820000000000001</v>
      </c>
    </row>
    <row r="76" spans="1:3" x14ac:dyDescent="0.25">
      <c r="A76" s="21" t="s">
        <v>243</v>
      </c>
      <c r="B76" s="17">
        <v>5.7300000000000004E-2</v>
      </c>
      <c r="C76" s="17">
        <v>0.1323</v>
      </c>
    </row>
    <row r="77" spans="1:3" x14ac:dyDescent="0.25">
      <c r="A77" s="21" t="s">
        <v>244</v>
      </c>
      <c r="B77" s="17">
        <v>6.0000000000000001E-3</v>
      </c>
      <c r="C77" s="17">
        <v>1.32E-2</v>
      </c>
    </row>
    <row r="78" spans="1:3" x14ac:dyDescent="0.25">
      <c r="A78" s="21" t="s">
        <v>105</v>
      </c>
      <c r="B78" s="17">
        <v>0.13150000000000001</v>
      </c>
      <c r="C78" s="17">
        <v>0.14779999999999999</v>
      </c>
    </row>
    <row r="79" spans="1:3" x14ac:dyDescent="0.25">
      <c r="A79" s="21" t="s">
        <v>245</v>
      </c>
      <c r="B79" s="17">
        <v>2.9700000000000001E-2</v>
      </c>
      <c r="C79" s="17">
        <v>7.2000000000000008E-2</v>
      </c>
    </row>
    <row r="80" spans="1:3" x14ac:dyDescent="0.25">
      <c r="A80" s="21" t="s">
        <v>34</v>
      </c>
      <c r="B80" s="17">
        <v>3.85E-2</v>
      </c>
      <c r="C80" s="17">
        <v>5.0599999999999999E-2</v>
      </c>
    </row>
    <row r="81" spans="1:3" x14ac:dyDescent="0.25">
      <c r="A81" s="21" t="s">
        <v>164</v>
      </c>
      <c r="B81" s="17">
        <v>6.3899999999999998E-2</v>
      </c>
      <c r="C81" s="17">
        <v>6.3899999999999998E-2</v>
      </c>
    </row>
    <row r="82" spans="1:3" x14ac:dyDescent="0.25">
      <c r="A82" s="21" t="s">
        <v>246</v>
      </c>
      <c r="B82" s="17">
        <v>7.9399999999999998E-2</v>
      </c>
      <c r="C82" s="17">
        <v>9.0299999999999991E-2</v>
      </c>
    </row>
    <row r="83" spans="1:3" x14ac:dyDescent="0.25">
      <c r="A83" s="21" t="s">
        <v>247</v>
      </c>
      <c r="B83" s="17">
        <v>1.1299999999999999E-2</v>
      </c>
      <c r="C83" s="17">
        <v>1.9699999999999999E-2</v>
      </c>
    </row>
    <row r="84" spans="1:3" x14ac:dyDescent="0.25">
      <c r="A84" s="16" t="s">
        <v>43</v>
      </c>
      <c r="B84" s="17">
        <v>7.5899999999999995E-2</v>
      </c>
      <c r="C84" s="17">
        <v>0.1603</v>
      </c>
    </row>
    <row r="85" spans="1:3" x14ac:dyDescent="0.25">
      <c r="A85" s="21" t="s">
        <v>248</v>
      </c>
      <c r="B85" s="17">
        <v>1.9400000000000001E-2</v>
      </c>
      <c r="C85" s="17">
        <v>1.4800000000000001E-2</v>
      </c>
    </row>
    <row r="86" spans="1:3" x14ac:dyDescent="0.25">
      <c r="A86" s="21" t="s">
        <v>33</v>
      </c>
      <c r="B86" s="17">
        <v>2.9100000000000001E-2</v>
      </c>
      <c r="C86" s="17">
        <v>4.2599999999999999E-2</v>
      </c>
    </row>
    <row r="87" spans="1:3" x14ac:dyDescent="0.25">
      <c r="A87" s="21" t="s">
        <v>223</v>
      </c>
      <c r="B87" s="17">
        <v>6.6E-3</v>
      </c>
      <c r="C87" s="17">
        <v>1.8600000000000002E-2</v>
      </c>
    </row>
    <row r="88" spans="1:3" x14ac:dyDescent="0.25">
      <c r="A88" s="21" t="s">
        <v>286</v>
      </c>
      <c r="B88" s="17">
        <v>4.7300000000000002E-2</v>
      </c>
      <c r="C88" s="17">
        <v>5.96E-2</v>
      </c>
    </row>
    <row r="89" spans="1:3" x14ac:dyDescent="0.25">
      <c r="A89" s="21" t="s">
        <v>285</v>
      </c>
      <c r="B89" s="17">
        <v>5.96E-2</v>
      </c>
      <c r="C89" s="17">
        <v>7.2099999999999997E-2</v>
      </c>
    </row>
    <row r="90" spans="1:3" x14ac:dyDescent="0.25">
      <c r="A90" s="21" t="s">
        <v>260</v>
      </c>
      <c r="B90" s="17">
        <v>5.0599999999999999E-2</v>
      </c>
      <c r="C90" s="17">
        <v>6.2899999999999998E-2</v>
      </c>
    </row>
  </sheetData>
  <pageMargins left="0.7" right="0.7" top="0.75" bottom="0.75" header="0.3" footer="0.3"/>
  <pageSetup orientation="portrait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1FA33-8BE4-4AE6-9F80-9D0F9A9309CA}">
  <sheetPr codeName="Sheet10">
    <tabColor rgb="FFFFC000"/>
  </sheetPr>
  <dimension ref="A1:CL107"/>
  <sheetViews>
    <sheetView view="pageBreakPreview" zoomScale="40" zoomScaleNormal="115" zoomScaleSheetLayoutView="40" workbookViewId="0">
      <selection activeCell="O31" sqref="O31:R31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140625" customWidth="1"/>
    <col min="47" max="47" width="10.71093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4.140625" customWidth="1"/>
    <col min="62" max="62" width="10.7109375" customWidth="1"/>
    <col min="63" max="63" width="4.28515625" customWidth="1"/>
    <col min="64" max="65" width="5.5703125" customWidth="1"/>
    <col min="66" max="66" width="4.140625" customWidth="1"/>
    <col min="67" max="67" width="10.7109375" customWidth="1"/>
    <col min="68" max="68" width="4.28515625" customWidth="1"/>
    <col min="69" max="70" width="5.5703125" customWidth="1"/>
    <col min="71" max="71" width="1" customWidth="1"/>
    <col min="72" max="72" width="56.7109375" customWidth="1"/>
    <col min="73" max="73" width="13" customWidth="1"/>
    <col min="74" max="74" width="7" customWidth="1"/>
  </cols>
  <sheetData>
    <row r="1" spans="1:83" ht="75" customHeight="1" thickBot="1" x14ac:dyDescent="0.3"/>
    <row r="2" spans="1:83" ht="26.1" customHeight="1" thickTop="1" x14ac:dyDescent="0.25">
      <c r="A2" s="645" t="s">
        <v>110</v>
      </c>
      <c r="B2" s="646"/>
      <c r="C2" s="1260">
        <f>B7/((72*3.1415/59)*(50/3.281))</f>
        <v>6.2595575627354239E-2</v>
      </c>
      <c r="D2" s="1260"/>
      <c r="E2" s="1261"/>
      <c r="F2" s="645" t="s">
        <v>110</v>
      </c>
      <c r="G2" s="646"/>
      <c r="H2" s="1260">
        <f t="shared" ref="H2" si="0">G7/((72*3.1415/59)*(50/3.281))</f>
        <v>0.20084672803154899</v>
      </c>
      <c r="I2" s="1260"/>
      <c r="J2" s="1261"/>
      <c r="K2" s="645" t="s">
        <v>110</v>
      </c>
      <c r="L2" s="646"/>
      <c r="M2" s="1260">
        <f t="shared" ref="M2" si="1">L7/((72*3.1415/59)*(50/3.281))</f>
        <v>0.15519663227050065</v>
      </c>
      <c r="N2" s="1260"/>
      <c r="O2" s="1261"/>
      <c r="P2" s="645" t="s">
        <v>110</v>
      </c>
      <c r="Q2" s="646"/>
      <c r="R2" s="1260">
        <f t="shared" ref="R2" si="2">Q7/((72*3.1415/59)*(50/3.281))</f>
        <v>0.20302054211540843</v>
      </c>
      <c r="S2" s="1260"/>
      <c r="T2" s="1261"/>
      <c r="U2" s="645" t="s">
        <v>110</v>
      </c>
      <c r="V2" s="646"/>
      <c r="W2" s="1260">
        <f t="shared" ref="W2" si="3">V7/((72*3.1415/59)*(50/3.281))</f>
        <v>0.10694480626735282</v>
      </c>
      <c r="X2" s="1260"/>
      <c r="Y2" s="1261"/>
      <c r="Z2" s="645" t="s">
        <v>110</v>
      </c>
      <c r="AA2" s="646"/>
      <c r="AB2" s="1260">
        <f t="shared" ref="AB2" si="4">AA7/((72*3.1415/59)*(50/3.281))</f>
        <v>0.1326026591154261</v>
      </c>
      <c r="AC2" s="1260"/>
      <c r="AD2" s="1261"/>
      <c r="AE2" s="645" t="s">
        <v>110</v>
      </c>
      <c r="AF2" s="646"/>
      <c r="AG2" s="1260">
        <f t="shared" ref="AG2" si="5">AF7/((72*3.1415/59)*(50/3.281))</f>
        <v>0.16346397244769839</v>
      </c>
      <c r="AH2" s="1260"/>
      <c r="AI2" s="1261"/>
      <c r="AJ2" s="645" t="s">
        <v>110</v>
      </c>
      <c r="AK2" s="646"/>
      <c r="AL2" s="1260">
        <f t="shared" ref="AL2" si="6">AK7/((72*3.1415/59)*(50/3.281))</f>
        <v>4.782390984490778E-2</v>
      </c>
      <c r="AM2" s="1260"/>
      <c r="AN2" s="1261"/>
      <c r="AO2" s="645" t="s">
        <v>110</v>
      </c>
      <c r="AP2" s="646"/>
      <c r="AQ2" s="1260">
        <f t="shared" ref="AQ2" si="7">AP7/((72*3.1415/59)*(50/3.281))</f>
        <v>8.3905800307708639E-2</v>
      </c>
      <c r="AR2" s="1260"/>
      <c r="AS2" s="1261"/>
      <c r="AT2" s="645" t="s">
        <v>110</v>
      </c>
      <c r="AU2" s="646"/>
      <c r="AV2" s="1260">
        <f t="shared" ref="AV2" si="8">AU7/((72*3.1415/59)*(50/3.281))</f>
        <v>0.12868294710594727</v>
      </c>
      <c r="AW2" s="1260"/>
      <c r="AX2" s="1261"/>
      <c r="AY2" s="645" t="s">
        <v>110</v>
      </c>
      <c r="AZ2" s="646"/>
      <c r="BA2" s="1260">
        <f t="shared" ref="BA2" si="9">AZ7/((72*3.1415/59)*(50/3.281))</f>
        <v>0.11086451827683166</v>
      </c>
      <c r="BB2" s="1260"/>
      <c r="BC2" s="1261"/>
      <c r="BD2" s="645" t="s">
        <v>110</v>
      </c>
      <c r="BE2" s="646"/>
      <c r="BF2" s="1260">
        <f t="shared" ref="BF2" si="10">BE7/((72*3.1415/59)*(50/3.281))</f>
        <v>0.10477099218349338</v>
      </c>
      <c r="BG2" s="1260"/>
      <c r="BH2" s="1261"/>
      <c r="BI2" s="645" t="s">
        <v>110</v>
      </c>
      <c r="BJ2" s="646"/>
      <c r="BK2" s="1260">
        <f t="shared" ref="BK2" si="11">BJ7/((72*3.1415/59)*(50/3.281))</f>
        <v>3.5636857658231207E-2</v>
      </c>
      <c r="BL2" s="1260"/>
      <c r="BM2" s="1261"/>
      <c r="BN2" s="645" t="s">
        <v>110</v>
      </c>
      <c r="BO2" s="646"/>
      <c r="BP2" s="1260">
        <f t="shared" ref="BP2" si="12">BO7/((72*3.1415/59)*(50/3.281))</f>
        <v>1.7116646329601925E-7</v>
      </c>
      <c r="BQ2" s="1260"/>
      <c r="BR2" s="1261"/>
    </row>
    <row r="3" spans="1:83" ht="6.75" customHeight="1" x14ac:dyDescent="0.25">
      <c r="A3" s="1256"/>
      <c r="B3" s="1257"/>
      <c r="C3" s="1262"/>
      <c r="D3" s="1262"/>
      <c r="E3" s="1263"/>
      <c r="F3" s="1256"/>
      <c r="G3" s="1257"/>
      <c r="H3" s="1262"/>
      <c r="I3" s="1262"/>
      <c r="J3" s="1263"/>
      <c r="K3" s="1256"/>
      <c r="L3" s="1257"/>
      <c r="M3" s="1262"/>
      <c r="N3" s="1262"/>
      <c r="O3" s="1263"/>
      <c r="P3" s="1256"/>
      <c r="Q3" s="1257"/>
      <c r="R3" s="1262"/>
      <c r="S3" s="1262"/>
      <c r="T3" s="1263"/>
      <c r="U3" s="1256"/>
      <c r="V3" s="1257"/>
      <c r="W3" s="1262"/>
      <c r="X3" s="1262"/>
      <c r="Y3" s="1263"/>
      <c r="Z3" s="1256"/>
      <c r="AA3" s="1257"/>
      <c r="AB3" s="1262"/>
      <c r="AC3" s="1262"/>
      <c r="AD3" s="1263"/>
      <c r="AE3" s="1256"/>
      <c r="AF3" s="1257"/>
      <c r="AG3" s="1262"/>
      <c r="AH3" s="1262"/>
      <c r="AI3" s="1263"/>
      <c r="AJ3" s="1256"/>
      <c r="AK3" s="1257"/>
      <c r="AL3" s="1262"/>
      <c r="AM3" s="1262"/>
      <c r="AN3" s="1263"/>
      <c r="AO3" s="1256"/>
      <c r="AP3" s="1257"/>
      <c r="AQ3" s="1262"/>
      <c r="AR3" s="1262"/>
      <c r="AS3" s="1263"/>
      <c r="AT3" s="1256"/>
      <c r="AU3" s="1257"/>
      <c r="AV3" s="1262"/>
      <c r="AW3" s="1262"/>
      <c r="AX3" s="1263"/>
      <c r="AY3" s="1256"/>
      <c r="AZ3" s="1257"/>
      <c r="BA3" s="1262"/>
      <c r="BB3" s="1262"/>
      <c r="BC3" s="1263"/>
      <c r="BD3" s="1256"/>
      <c r="BE3" s="1257"/>
      <c r="BF3" s="1262"/>
      <c r="BG3" s="1262"/>
      <c r="BH3" s="1263"/>
      <c r="BI3" s="1256"/>
      <c r="BJ3" s="1257"/>
      <c r="BK3" s="1262"/>
      <c r="BL3" s="1262"/>
      <c r="BM3" s="1263"/>
      <c r="BN3" s="1256"/>
      <c r="BO3" s="1257"/>
      <c r="BP3" s="1262"/>
      <c r="BQ3" s="1262"/>
      <c r="BR3" s="1263"/>
    </row>
    <row r="4" spans="1:83" ht="21.95" customHeight="1" x14ac:dyDescent="0.25">
      <c r="A4" s="1256"/>
      <c r="B4" s="1257"/>
      <c r="C4" s="1262"/>
      <c r="D4" s="1262"/>
      <c r="E4" s="1263"/>
      <c r="F4" s="1256"/>
      <c r="G4" s="1257"/>
      <c r="H4" s="1262"/>
      <c r="I4" s="1262"/>
      <c r="J4" s="1263"/>
      <c r="K4" s="1256"/>
      <c r="L4" s="1257"/>
      <c r="M4" s="1262"/>
      <c r="N4" s="1262"/>
      <c r="O4" s="1263"/>
      <c r="P4" s="1256"/>
      <c r="Q4" s="1257"/>
      <c r="R4" s="1262"/>
      <c r="S4" s="1262"/>
      <c r="T4" s="1263"/>
      <c r="U4" s="1256"/>
      <c r="V4" s="1257"/>
      <c r="W4" s="1262"/>
      <c r="X4" s="1262"/>
      <c r="Y4" s="1263"/>
      <c r="Z4" s="1256"/>
      <c r="AA4" s="1257"/>
      <c r="AB4" s="1262"/>
      <c r="AC4" s="1262"/>
      <c r="AD4" s="1263"/>
      <c r="AE4" s="1256"/>
      <c r="AF4" s="1257"/>
      <c r="AG4" s="1262"/>
      <c r="AH4" s="1262"/>
      <c r="AI4" s="1263"/>
      <c r="AJ4" s="1256"/>
      <c r="AK4" s="1257"/>
      <c r="AL4" s="1262"/>
      <c r="AM4" s="1262"/>
      <c r="AN4" s="1263"/>
      <c r="AO4" s="1256"/>
      <c r="AP4" s="1257"/>
      <c r="AQ4" s="1262"/>
      <c r="AR4" s="1262"/>
      <c r="AS4" s="1263"/>
      <c r="AT4" s="1256"/>
      <c r="AU4" s="1257"/>
      <c r="AV4" s="1262"/>
      <c r="AW4" s="1262"/>
      <c r="AX4" s="1263"/>
      <c r="AY4" s="1256"/>
      <c r="AZ4" s="1257"/>
      <c r="BA4" s="1262"/>
      <c r="BB4" s="1262"/>
      <c r="BC4" s="1263"/>
      <c r="BD4" s="1256"/>
      <c r="BE4" s="1257"/>
      <c r="BF4" s="1262"/>
      <c r="BG4" s="1262"/>
      <c r="BH4" s="1263"/>
      <c r="BI4" s="1256"/>
      <c r="BJ4" s="1257"/>
      <c r="BK4" s="1262"/>
      <c r="BL4" s="1262"/>
      <c r="BM4" s="1263"/>
      <c r="BN4" s="1256"/>
      <c r="BO4" s="1257"/>
      <c r="BP4" s="1262"/>
      <c r="BQ4" s="1262"/>
      <c r="BR4" s="1263"/>
    </row>
    <row r="5" spans="1:83" ht="6" customHeight="1" x14ac:dyDescent="0.25">
      <c r="A5" s="1258"/>
      <c r="B5" s="1259"/>
      <c r="C5" s="1264"/>
      <c r="D5" s="1264"/>
      <c r="E5" s="1265"/>
      <c r="F5" s="1258"/>
      <c r="G5" s="1259"/>
      <c r="H5" s="1264"/>
      <c r="I5" s="1264"/>
      <c r="J5" s="1265"/>
      <c r="K5" s="1258"/>
      <c r="L5" s="1259"/>
      <c r="M5" s="1264"/>
      <c r="N5" s="1264"/>
      <c r="O5" s="1265"/>
      <c r="P5" s="1258"/>
      <c r="Q5" s="1259"/>
      <c r="R5" s="1264"/>
      <c r="S5" s="1264"/>
      <c r="T5" s="1265"/>
      <c r="U5" s="1258"/>
      <c r="V5" s="1259"/>
      <c r="W5" s="1264"/>
      <c r="X5" s="1264"/>
      <c r="Y5" s="1265"/>
      <c r="Z5" s="1258"/>
      <c r="AA5" s="1259"/>
      <c r="AB5" s="1264"/>
      <c r="AC5" s="1264"/>
      <c r="AD5" s="1265"/>
      <c r="AE5" s="1258"/>
      <c r="AF5" s="1259"/>
      <c r="AG5" s="1264"/>
      <c r="AH5" s="1264"/>
      <c r="AI5" s="1265"/>
      <c r="AJ5" s="1258"/>
      <c r="AK5" s="1259"/>
      <c r="AL5" s="1264"/>
      <c r="AM5" s="1264"/>
      <c r="AN5" s="1265"/>
      <c r="AO5" s="1258"/>
      <c r="AP5" s="1259"/>
      <c r="AQ5" s="1264"/>
      <c r="AR5" s="1264"/>
      <c r="AS5" s="1265"/>
      <c r="AT5" s="1258"/>
      <c r="AU5" s="1259"/>
      <c r="AV5" s="1264"/>
      <c r="AW5" s="1264"/>
      <c r="AX5" s="1265"/>
      <c r="AY5" s="1258"/>
      <c r="AZ5" s="1259"/>
      <c r="BA5" s="1264"/>
      <c r="BB5" s="1264"/>
      <c r="BC5" s="1265"/>
      <c r="BD5" s="1258"/>
      <c r="BE5" s="1259"/>
      <c r="BF5" s="1264"/>
      <c r="BG5" s="1264"/>
      <c r="BH5" s="1265"/>
      <c r="BI5" s="1258"/>
      <c r="BJ5" s="1259"/>
      <c r="BK5" s="1264"/>
      <c r="BL5" s="1264"/>
      <c r="BM5" s="1265"/>
      <c r="BN5" s="1258"/>
      <c r="BO5" s="1259"/>
      <c r="BP5" s="1264"/>
      <c r="BQ5" s="1264"/>
      <c r="BR5" s="1265"/>
    </row>
    <row r="6" spans="1:83" s="22" customFormat="1" ht="80.099999999999994" customHeight="1" x14ac:dyDescent="1.35">
      <c r="A6" s="639" t="s">
        <v>131</v>
      </c>
      <c r="B6" s="588">
        <v>1</v>
      </c>
      <c r="C6" s="589"/>
      <c r="D6" s="589"/>
      <c r="E6" s="590"/>
      <c r="F6" s="639" t="s">
        <v>131</v>
      </c>
      <c r="G6" s="588">
        <v>2</v>
      </c>
      <c r="H6" s="589"/>
      <c r="I6" s="589"/>
      <c r="J6" s="590"/>
      <c r="K6" s="639" t="s">
        <v>131</v>
      </c>
      <c r="L6" s="588">
        <v>3</v>
      </c>
      <c r="M6" s="589"/>
      <c r="N6" s="589"/>
      <c r="O6" s="590"/>
      <c r="P6" s="639" t="s">
        <v>131</v>
      </c>
      <c r="Q6" s="588">
        <v>4</v>
      </c>
      <c r="R6" s="589"/>
      <c r="S6" s="589"/>
      <c r="T6" s="590"/>
      <c r="U6" s="639" t="s">
        <v>131</v>
      </c>
      <c r="V6" s="588">
        <v>5</v>
      </c>
      <c r="W6" s="589"/>
      <c r="X6" s="589"/>
      <c r="Y6" s="590"/>
      <c r="Z6" s="639" t="s">
        <v>131</v>
      </c>
      <c r="AA6" s="588">
        <v>7</v>
      </c>
      <c r="AB6" s="589"/>
      <c r="AC6" s="589"/>
      <c r="AD6" s="590"/>
      <c r="AE6" s="639" t="s">
        <v>131</v>
      </c>
      <c r="AF6" s="588">
        <v>8</v>
      </c>
      <c r="AG6" s="589"/>
      <c r="AH6" s="589"/>
      <c r="AI6" s="590"/>
      <c r="AJ6" s="639" t="s">
        <v>131</v>
      </c>
      <c r="AK6" s="588">
        <v>9</v>
      </c>
      <c r="AL6" s="589"/>
      <c r="AM6" s="589"/>
      <c r="AN6" s="590"/>
      <c r="AO6" s="639" t="s">
        <v>131</v>
      </c>
      <c r="AP6" s="588">
        <v>10</v>
      </c>
      <c r="AQ6" s="589"/>
      <c r="AR6" s="589"/>
      <c r="AS6" s="590"/>
      <c r="AT6" s="639" t="s">
        <v>131</v>
      </c>
      <c r="AU6" s="588">
        <v>11</v>
      </c>
      <c r="AV6" s="589"/>
      <c r="AW6" s="589"/>
      <c r="AX6" s="590"/>
      <c r="AY6" s="639" t="s">
        <v>131</v>
      </c>
      <c r="AZ6" s="588">
        <v>12</v>
      </c>
      <c r="BA6" s="589"/>
      <c r="BB6" s="589"/>
      <c r="BC6" s="590"/>
      <c r="BD6" s="639" t="s">
        <v>131</v>
      </c>
      <c r="BE6" s="588">
        <v>14</v>
      </c>
      <c r="BF6" s="589"/>
      <c r="BG6" s="589"/>
      <c r="BH6" s="590"/>
      <c r="BI6" s="639" t="s">
        <v>131</v>
      </c>
      <c r="BJ6" s="588">
        <v>15</v>
      </c>
      <c r="BK6" s="589"/>
      <c r="BL6" s="589"/>
      <c r="BM6" s="590"/>
      <c r="BN6" s="639" t="s">
        <v>131</v>
      </c>
      <c r="BO6" s="588">
        <v>16</v>
      </c>
      <c r="BP6" s="589"/>
      <c r="BQ6" s="589"/>
      <c r="BR6" s="590"/>
    </row>
    <row r="7" spans="1:83" ht="27" customHeight="1" thickBot="1" x14ac:dyDescent="0.3">
      <c r="A7" s="640"/>
      <c r="B7" s="61">
        <v>3.657</v>
      </c>
      <c r="C7" s="62" t="s">
        <v>113</v>
      </c>
      <c r="D7" s="63"/>
      <c r="E7" s="64" t="s">
        <v>114</v>
      </c>
      <c r="F7" s="640"/>
      <c r="G7" s="61">
        <v>11.734</v>
      </c>
      <c r="H7" s="62" t="s">
        <v>113</v>
      </c>
      <c r="I7" s="63">
        <v>1</v>
      </c>
      <c r="J7" s="64" t="s">
        <v>114</v>
      </c>
      <c r="K7" s="640"/>
      <c r="L7" s="61">
        <v>9.0670000000000002</v>
      </c>
      <c r="M7" s="62" t="s">
        <v>113</v>
      </c>
      <c r="N7" s="63">
        <v>1</v>
      </c>
      <c r="O7" s="64" t="s">
        <v>114</v>
      </c>
      <c r="P7" s="640"/>
      <c r="Q7" s="61">
        <v>11.861000000000001</v>
      </c>
      <c r="R7" s="62" t="s">
        <v>113</v>
      </c>
      <c r="S7" s="63"/>
      <c r="T7" s="64" t="s">
        <v>114</v>
      </c>
      <c r="U7" s="640"/>
      <c r="V7" s="61">
        <v>6.2480000000000002</v>
      </c>
      <c r="W7" s="62" t="s">
        <v>113</v>
      </c>
      <c r="X7" s="63">
        <v>1</v>
      </c>
      <c r="Y7" s="64" t="s">
        <v>114</v>
      </c>
      <c r="Z7" s="640"/>
      <c r="AA7" s="61">
        <v>7.7469999999999999</v>
      </c>
      <c r="AB7" s="62" t="s">
        <v>113</v>
      </c>
      <c r="AC7" s="63">
        <v>1</v>
      </c>
      <c r="AD7" s="64" t="s">
        <v>114</v>
      </c>
      <c r="AE7" s="640"/>
      <c r="AF7" s="61">
        <v>9.5500000000000007</v>
      </c>
      <c r="AG7" s="62" t="s">
        <v>113</v>
      </c>
      <c r="AH7" s="63">
        <v>1</v>
      </c>
      <c r="AI7" s="64" t="s">
        <v>114</v>
      </c>
      <c r="AJ7" s="640"/>
      <c r="AK7" s="61">
        <v>2.794</v>
      </c>
      <c r="AL7" s="62" t="s">
        <v>113</v>
      </c>
      <c r="AM7" s="63"/>
      <c r="AN7" s="64" t="s">
        <v>114</v>
      </c>
      <c r="AO7" s="640"/>
      <c r="AP7" s="61">
        <v>4.9020000000000001</v>
      </c>
      <c r="AQ7" s="62" t="s">
        <v>113</v>
      </c>
      <c r="AR7" s="63">
        <v>1</v>
      </c>
      <c r="AS7" s="64" t="s">
        <v>114</v>
      </c>
      <c r="AT7" s="640"/>
      <c r="AU7" s="61">
        <v>7.5179999999999998</v>
      </c>
      <c r="AV7" s="62" t="s">
        <v>113</v>
      </c>
      <c r="AW7" s="63">
        <v>1</v>
      </c>
      <c r="AX7" s="64" t="s">
        <v>114</v>
      </c>
      <c r="AY7" s="640"/>
      <c r="AZ7" s="61">
        <v>6.4770000000000003</v>
      </c>
      <c r="BA7" s="62" t="s">
        <v>113</v>
      </c>
      <c r="BB7" s="63"/>
      <c r="BC7" s="64" t="s">
        <v>114</v>
      </c>
      <c r="BD7" s="640"/>
      <c r="BE7" s="61">
        <v>6.1210000000000004</v>
      </c>
      <c r="BF7" s="62" t="s">
        <v>113</v>
      </c>
      <c r="BG7" s="63">
        <v>1</v>
      </c>
      <c r="BH7" s="64" t="s">
        <v>114</v>
      </c>
      <c r="BI7" s="640"/>
      <c r="BJ7" s="61">
        <v>2.0819999999999999</v>
      </c>
      <c r="BK7" s="62" t="s">
        <v>113</v>
      </c>
      <c r="BL7" s="63"/>
      <c r="BM7" s="64" t="s">
        <v>114</v>
      </c>
      <c r="BN7" s="640"/>
      <c r="BO7" s="61">
        <v>1.0000000000000001E-5</v>
      </c>
      <c r="BP7" s="62" t="s">
        <v>113</v>
      </c>
      <c r="BQ7" s="63"/>
      <c r="BR7" s="64" t="s">
        <v>114</v>
      </c>
      <c r="BW7" s="27"/>
      <c r="BX7" s="27"/>
      <c r="BY7" s="27"/>
      <c r="BZ7" s="27"/>
      <c r="CA7" s="27"/>
      <c r="CB7" s="27"/>
      <c r="CC7" s="27"/>
      <c r="CD7" s="27"/>
      <c r="CE7" s="27"/>
    </row>
    <row r="8" spans="1:83" ht="26.1" customHeight="1" thickTop="1" x14ac:dyDescent="0.25">
      <c r="A8" s="645" t="s">
        <v>110</v>
      </c>
      <c r="B8" s="646"/>
      <c r="C8" s="1260">
        <f t="shared" ref="C8" si="13">B13/((72*3.1415/59)*(50/3.281))</f>
        <v>0.10911862035121227</v>
      </c>
      <c r="D8" s="1260"/>
      <c r="E8" s="1261"/>
      <c r="F8" s="645" t="s">
        <v>110</v>
      </c>
      <c r="G8" s="646"/>
      <c r="H8" s="1260">
        <f t="shared" ref="H8" si="14">G13/((72*3.1415/59)*(50/3.281))</f>
        <v>0.12390740277998832</v>
      </c>
      <c r="I8" s="1260"/>
      <c r="J8" s="1261"/>
      <c r="K8" s="645" t="s">
        <v>110</v>
      </c>
      <c r="L8" s="646"/>
      <c r="M8" s="1260">
        <f t="shared" ref="M8" si="15">L13/((72*3.1415/59)*(50/3.281))</f>
        <v>6.0764094470086832E-3</v>
      </c>
      <c r="N8" s="1260"/>
      <c r="O8" s="1261"/>
      <c r="P8" s="645" t="s">
        <v>110</v>
      </c>
      <c r="Q8" s="646"/>
      <c r="R8" s="1260">
        <f t="shared" ref="R8" si="16">Q13/((72*3.1415/59)*(50/3.281))</f>
        <v>0.11433919748174085</v>
      </c>
      <c r="S8" s="1260"/>
      <c r="T8" s="1261"/>
      <c r="U8" s="645" t="s">
        <v>110</v>
      </c>
      <c r="V8" s="646"/>
      <c r="W8" s="1260">
        <f t="shared" ref="W8" si="17">V13/((72*3.1415/59)*(50/3.281))</f>
        <v>3.520894149999116E-2</v>
      </c>
      <c r="X8" s="1260"/>
      <c r="Y8" s="1261"/>
      <c r="Z8" s="645" t="s">
        <v>110</v>
      </c>
      <c r="AA8" s="646"/>
      <c r="AB8" s="1260">
        <f t="shared" ref="AB8" si="18">AA13/((72*3.1415/59)*(50/3.281))</f>
        <v>3.695483942561055E-2</v>
      </c>
      <c r="AC8" s="1260"/>
      <c r="AD8" s="1261"/>
      <c r="AE8" s="645" t="s">
        <v>110</v>
      </c>
      <c r="AF8" s="646"/>
      <c r="AG8" s="1260">
        <f t="shared" ref="AG8" si="19">AF13/((72*3.1415/59)*(50/3.281))</f>
        <v>2.7814550285603128E-2</v>
      </c>
      <c r="AH8" s="1260"/>
      <c r="AI8" s="1261"/>
      <c r="AJ8" s="645" t="s">
        <v>110</v>
      </c>
      <c r="AK8" s="646"/>
      <c r="AL8" s="1260">
        <f t="shared" ref="AL8" si="20">AK13/((72*3.1415/59)*(50/3.281))</f>
        <v>1.9564326754735E-2</v>
      </c>
      <c r="AM8" s="1260"/>
      <c r="AN8" s="1261"/>
      <c r="AO8" s="645" t="s">
        <v>110</v>
      </c>
      <c r="AP8" s="646"/>
      <c r="AQ8" s="1260">
        <f t="shared" ref="AQ8" si="21">AP13/((72*3.1415/59)*(50/3.281))</f>
        <v>1.8691377791925302E-2</v>
      </c>
      <c r="AR8" s="1260"/>
      <c r="AS8" s="1261"/>
      <c r="AT8" s="645" t="s">
        <v>110</v>
      </c>
      <c r="AU8" s="646"/>
      <c r="AV8" s="1260">
        <f t="shared" ref="AV8" si="22">AU13/((72*3.1415/59)*(50/3.281))</f>
        <v>5.2034604841989848E-3</v>
      </c>
      <c r="AW8" s="1260"/>
      <c r="AX8" s="1261"/>
      <c r="AY8" s="645" t="s">
        <v>110</v>
      </c>
      <c r="AZ8" s="646"/>
      <c r="BA8" s="1260">
        <f t="shared" ref="BA8" si="23">AZ13/((72*3.1415/59)*(50/3.281))</f>
        <v>1.4343749624206412E-2</v>
      </c>
      <c r="BB8" s="1260"/>
      <c r="BC8" s="1261"/>
      <c r="BD8" s="645" t="s">
        <v>110</v>
      </c>
      <c r="BE8" s="646"/>
      <c r="BF8" s="1260">
        <f t="shared" ref="BF8" si="24">BE13/((72*3.1415/59)*(50/3.281))</f>
        <v>3.4746792049091908E-3</v>
      </c>
      <c r="BG8" s="1260"/>
      <c r="BH8" s="1261"/>
      <c r="BI8" s="645" t="s">
        <v>110</v>
      </c>
      <c r="BJ8" s="646"/>
      <c r="BK8" s="1260">
        <f t="shared" ref="BK8" si="25">BJ13/((72*3.1415/59)*(50/3.281))</f>
        <v>1.8691377791925302E-2</v>
      </c>
      <c r="BL8" s="1260"/>
      <c r="BM8" s="1261"/>
      <c r="BN8" s="645" t="s">
        <v>110</v>
      </c>
      <c r="BO8" s="646"/>
      <c r="BP8" s="1260">
        <f t="shared" ref="BP8" si="26">BO13/((72*3.1415/59)*(50/3.281))</f>
        <v>1.7116646329601924E-8</v>
      </c>
      <c r="BQ8" s="1260"/>
      <c r="BR8" s="1261"/>
    </row>
    <row r="9" spans="1:83" ht="6.75" customHeight="1" x14ac:dyDescent="0.25">
      <c r="A9" s="1256"/>
      <c r="B9" s="1257"/>
      <c r="C9" s="1262"/>
      <c r="D9" s="1262"/>
      <c r="E9" s="1263"/>
      <c r="F9" s="1256"/>
      <c r="G9" s="1257"/>
      <c r="H9" s="1262"/>
      <c r="I9" s="1262"/>
      <c r="J9" s="1263"/>
      <c r="K9" s="1256"/>
      <c r="L9" s="1257"/>
      <c r="M9" s="1262"/>
      <c r="N9" s="1262"/>
      <c r="O9" s="1263"/>
      <c r="P9" s="1256"/>
      <c r="Q9" s="1257"/>
      <c r="R9" s="1262"/>
      <c r="S9" s="1262"/>
      <c r="T9" s="1263"/>
      <c r="U9" s="1256"/>
      <c r="V9" s="1257"/>
      <c r="W9" s="1262"/>
      <c r="X9" s="1262"/>
      <c r="Y9" s="1263"/>
      <c r="Z9" s="1256"/>
      <c r="AA9" s="1257"/>
      <c r="AB9" s="1262"/>
      <c r="AC9" s="1262"/>
      <c r="AD9" s="1263"/>
      <c r="AE9" s="1256"/>
      <c r="AF9" s="1257"/>
      <c r="AG9" s="1262"/>
      <c r="AH9" s="1262"/>
      <c r="AI9" s="1263"/>
      <c r="AJ9" s="1256"/>
      <c r="AK9" s="1257"/>
      <c r="AL9" s="1262"/>
      <c r="AM9" s="1262"/>
      <c r="AN9" s="1263"/>
      <c r="AO9" s="1256"/>
      <c r="AP9" s="1257"/>
      <c r="AQ9" s="1262"/>
      <c r="AR9" s="1262"/>
      <c r="AS9" s="1263"/>
      <c r="AT9" s="1256"/>
      <c r="AU9" s="1257"/>
      <c r="AV9" s="1262"/>
      <c r="AW9" s="1262"/>
      <c r="AX9" s="1263"/>
      <c r="AY9" s="1256"/>
      <c r="AZ9" s="1257"/>
      <c r="BA9" s="1262"/>
      <c r="BB9" s="1262"/>
      <c r="BC9" s="1263"/>
      <c r="BD9" s="1256"/>
      <c r="BE9" s="1257"/>
      <c r="BF9" s="1262"/>
      <c r="BG9" s="1262"/>
      <c r="BH9" s="1263"/>
      <c r="BI9" s="1256"/>
      <c r="BJ9" s="1257"/>
      <c r="BK9" s="1262"/>
      <c r="BL9" s="1262"/>
      <c r="BM9" s="1263"/>
      <c r="BN9" s="1256"/>
      <c r="BO9" s="1257"/>
      <c r="BP9" s="1262"/>
      <c r="BQ9" s="1262"/>
      <c r="BR9" s="1263"/>
    </row>
    <row r="10" spans="1:83" ht="21.95" customHeight="1" x14ac:dyDescent="0.25">
      <c r="A10" s="1256"/>
      <c r="B10" s="1257"/>
      <c r="C10" s="1262"/>
      <c r="D10" s="1262"/>
      <c r="E10" s="1263"/>
      <c r="F10" s="1256"/>
      <c r="G10" s="1257"/>
      <c r="H10" s="1262"/>
      <c r="I10" s="1262"/>
      <c r="J10" s="1263"/>
      <c r="K10" s="1256"/>
      <c r="L10" s="1257"/>
      <c r="M10" s="1262"/>
      <c r="N10" s="1262"/>
      <c r="O10" s="1263"/>
      <c r="P10" s="1256"/>
      <c r="Q10" s="1257"/>
      <c r="R10" s="1262"/>
      <c r="S10" s="1262"/>
      <c r="T10" s="1263"/>
      <c r="U10" s="1256"/>
      <c r="V10" s="1257"/>
      <c r="W10" s="1262"/>
      <c r="X10" s="1262"/>
      <c r="Y10" s="1263"/>
      <c r="Z10" s="1256"/>
      <c r="AA10" s="1257"/>
      <c r="AB10" s="1262"/>
      <c r="AC10" s="1262"/>
      <c r="AD10" s="1263"/>
      <c r="AE10" s="1256"/>
      <c r="AF10" s="1257"/>
      <c r="AG10" s="1262"/>
      <c r="AH10" s="1262"/>
      <c r="AI10" s="1263"/>
      <c r="AJ10" s="1256"/>
      <c r="AK10" s="1257"/>
      <c r="AL10" s="1262"/>
      <c r="AM10" s="1262"/>
      <c r="AN10" s="1263"/>
      <c r="AO10" s="1256"/>
      <c r="AP10" s="1257"/>
      <c r="AQ10" s="1262"/>
      <c r="AR10" s="1262"/>
      <c r="AS10" s="1263"/>
      <c r="AT10" s="1256"/>
      <c r="AU10" s="1257"/>
      <c r="AV10" s="1262"/>
      <c r="AW10" s="1262"/>
      <c r="AX10" s="1263"/>
      <c r="AY10" s="1256"/>
      <c r="AZ10" s="1257"/>
      <c r="BA10" s="1262"/>
      <c r="BB10" s="1262"/>
      <c r="BC10" s="1263"/>
      <c r="BD10" s="1256"/>
      <c r="BE10" s="1257"/>
      <c r="BF10" s="1262"/>
      <c r="BG10" s="1262"/>
      <c r="BH10" s="1263"/>
      <c r="BI10" s="1256"/>
      <c r="BJ10" s="1257"/>
      <c r="BK10" s="1262"/>
      <c r="BL10" s="1262"/>
      <c r="BM10" s="1263"/>
      <c r="BN10" s="1256"/>
      <c r="BO10" s="1257"/>
      <c r="BP10" s="1262"/>
      <c r="BQ10" s="1262"/>
      <c r="BR10" s="1263"/>
    </row>
    <row r="11" spans="1:83" ht="6" customHeight="1" x14ac:dyDescent="0.25">
      <c r="A11" s="1258"/>
      <c r="B11" s="1259"/>
      <c r="C11" s="1264"/>
      <c r="D11" s="1264"/>
      <c r="E11" s="1265"/>
      <c r="F11" s="1258"/>
      <c r="G11" s="1259"/>
      <c r="H11" s="1264"/>
      <c r="I11" s="1264"/>
      <c r="J11" s="1265"/>
      <c r="K11" s="1258"/>
      <c r="L11" s="1259"/>
      <c r="M11" s="1264"/>
      <c r="N11" s="1264"/>
      <c r="O11" s="1265"/>
      <c r="P11" s="1258"/>
      <c r="Q11" s="1259"/>
      <c r="R11" s="1264"/>
      <c r="S11" s="1264"/>
      <c r="T11" s="1265"/>
      <c r="U11" s="1258"/>
      <c r="V11" s="1259"/>
      <c r="W11" s="1264"/>
      <c r="X11" s="1264"/>
      <c r="Y11" s="1265"/>
      <c r="Z11" s="1258"/>
      <c r="AA11" s="1259"/>
      <c r="AB11" s="1264"/>
      <c r="AC11" s="1264"/>
      <c r="AD11" s="1265"/>
      <c r="AE11" s="1258"/>
      <c r="AF11" s="1259"/>
      <c r="AG11" s="1264"/>
      <c r="AH11" s="1264"/>
      <c r="AI11" s="1265"/>
      <c r="AJ11" s="1258"/>
      <c r="AK11" s="1259"/>
      <c r="AL11" s="1264"/>
      <c r="AM11" s="1264"/>
      <c r="AN11" s="1265"/>
      <c r="AO11" s="1258"/>
      <c r="AP11" s="1259"/>
      <c r="AQ11" s="1264"/>
      <c r="AR11" s="1264"/>
      <c r="AS11" s="1265"/>
      <c r="AT11" s="1258"/>
      <c r="AU11" s="1259"/>
      <c r="AV11" s="1264"/>
      <c r="AW11" s="1264"/>
      <c r="AX11" s="1265"/>
      <c r="AY11" s="1258"/>
      <c r="AZ11" s="1259"/>
      <c r="BA11" s="1264"/>
      <c r="BB11" s="1264"/>
      <c r="BC11" s="1265"/>
      <c r="BD11" s="1258"/>
      <c r="BE11" s="1259"/>
      <c r="BF11" s="1264"/>
      <c r="BG11" s="1264"/>
      <c r="BH11" s="1265"/>
      <c r="BI11" s="1258"/>
      <c r="BJ11" s="1259"/>
      <c r="BK11" s="1264"/>
      <c r="BL11" s="1264"/>
      <c r="BM11" s="1265"/>
      <c r="BN11" s="1258"/>
      <c r="BO11" s="1259"/>
      <c r="BP11" s="1264"/>
      <c r="BQ11" s="1264"/>
      <c r="BR11" s="1265"/>
    </row>
    <row r="12" spans="1:83" s="22" customFormat="1" ht="80.099999999999994" customHeight="1" x14ac:dyDescent="1.35">
      <c r="A12" s="639" t="s">
        <v>131</v>
      </c>
      <c r="B12" s="588">
        <v>18</v>
      </c>
      <c r="C12" s="589"/>
      <c r="D12" s="589"/>
      <c r="E12" s="590"/>
      <c r="F12" s="639" t="s">
        <v>131</v>
      </c>
      <c r="G12" s="588">
        <v>19</v>
      </c>
      <c r="H12" s="589"/>
      <c r="I12" s="589"/>
      <c r="J12" s="590"/>
      <c r="K12" s="639" t="s">
        <v>131</v>
      </c>
      <c r="L12" s="588">
        <v>21</v>
      </c>
      <c r="M12" s="589"/>
      <c r="N12" s="589"/>
      <c r="O12" s="590"/>
      <c r="P12" s="639" t="s">
        <v>131</v>
      </c>
      <c r="Q12" s="588">
        <v>23</v>
      </c>
      <c r="R12" s="589"/>
      <c r="S12" s="589"/>
      <c r="T12" s="590"/>
      <c r="U12" s="639" t="s">
        <v>131</v>
      </c>
      <c r="V12" s="588">
        <v>24</v>
      </c>
      <c r="W12" s="589"/>
      <c r="X12" s="589"/>
      <c r="Y12" s="590"/>
      <c r="Z12" s="639" t="s">
        <v>131</v>
      </c>
      <c r="AA12" s="588">
        <v>25</v>
      </c>
      <c r="AB12" s="589"/>
      <c r="AC12" s="589"/>
      <c r="AD12" s="590"/>
      <c r="AE12" s="639" t="s">
        <v>131</v>
      </c>
      <c r="AF12" s="588">
        <v>26</v>
      </c>
      <c r="AG12" s="589"/>
      <c r="AH12" s="589"/>
      <c r="AI12" s="590"/>
      <c r="AJ12" s="639" t="s">
        <v>131</v>
      </c>
      <c r="AK12" s="588">
        <v>27</v>
      </c>
      <c r="AL12" s="589"/>
      <c r="AM12" s="589"/>
      <c r="AN12" s="590"/>
      <c r="AO12" s="639" t="s">
        <v>131</v>
      </c>
      <c r="AP12" s="588">
        <v>28</v>
      </c>
      <c r="AQ12" s="589"/>
      <c r="AR12" s="589"/>
      <c r="AS12" s="590"/>
      <c r="AT12" s="639" t="s">
        <v>131</v>
      </c>
      <c r="AU12" s="588">
        <v>30</v>
      </c>
      <c r="AV12" s="589"/>
      <c r="AW12" s="589"/>
      <c r="AX12" s="590"/>
      <c r="AY12" s="639" t="s">
        <v>131</v>
      </c>
      <c r="AZ12" s="588">
        <v>31</v>
      </c>
      <c r="BA12" s="589"/>
      <c r="BB12" s="589"/>
      <c r="BC12" s="590"/>
      <c r="BD12" s="639" t="s">
        <v>131</v>
      </c>
      <c r="BE12" s="588">
        <v>32</v>
      </c>
      <c r="BF12" s="589"/>
      <c r="BG12" s="589"/>
      <c r="BH12" s="590"/>
      <c r="BI12" s="639" t="s">
        <v>131</v>
      </c>
      <c r="BJ12" s="588">
        <v>37</v>
      </c>
      <c r="BK12" s="589"/>
      <c r="BL12" s="589"/>
      <c r="BM12" s="590"/>
      <c r="BN12" s="639" t="s">
        <v>131</v>
      </c>
      <c r="BO12" s="588">
        <v>59</v>
      </c>
      <c r="BP12" s="589"/>
      <c r="BQ12" s="589"/>
      <c r="BR12" s="590"/>
    </row>
    <row r="13" spans="1:83" ht="27" customHeight="1" thickBot="1" x14ac:dyDescent="0.3">
      <c r="A13" s="640"/>
      <c r="B13" s="61">
        <v>6.375</v>
      </c>
      <c r="C13" s="62" t="s">
        <v>113</v>
      </c>
      <c r="D13" s="63"/>
      <c r="E13" s="64" t="s">
        <v>114</v>
      </c>
      <c r="F13" s="640"/>
      <c r="G13" s="61">
        <v>7.2389999999999999</v>
      </c>
      <c r="H13" s="62" t="s">
        <v>113</v>
      </c>
      <c r="I13" s="63">
        <v>1</v>
      </c>
      <c r="J13" s="64" t="s">
        <v>114</v>
      </c>
      <c r="K13" s="640"/>
      <c r="L13" s="61">
        <v>0.35499999999999998</v>
      </c>
      <c r="M13" s="62" t="s">
        <v>113</v>
      </c>
      <c r="N13" s="63"/>
      <c r="O13" s="64" t="s">
        <v>114</v>
      </c>
      <c r="P13" s="640"/>
      <c r="Q13" s="61">
        <v>6.68</v>
      </c>
      <c r="R13" s="62" t="s">
        <v>113</v>
      </c>
      <c r="S13" s="63">
        <v>1</v>
      </c>
      <c r="T13" s="64" t="s">
        <v>114</v>
      </c>
      <c r="U13" s="640"/>
      <c r="V13" s="61">
        <v>2.0569999999999999</v>
      </c>
      <c r="W13" s="62" t="s">
        <v>113</v>
      </c>
      <c r="X13" s="63"/>
      <c r="Y13" s="64" t="s">
        <v>114</v>
      </c>
      <c r="Z13" s="640"/>
      <c r="AA13" s="61">
        <v>2.1589999999999998</v>
      </c>
      <c r="AB13" s="62" t="s">
        <v>113</v>
      </c>
      <c r="AC13" s="63">
        <v>1</v>
      </c>
      <c r="AD13" s="64" t="s">
        <v>114</v>
      </c>
      <c r="AE13" s="640"/>
      <c r="AF13" s="61">
        <v>1.625</v>
      </c>
      <c r="AG13" s="62" t="s">
        <v>113</v>
      </c>
      <c r="AH13" s="63">
        <v>1</v>
      </c>
      <c r="AI13" s="64" t="s">
        <v>114</v>
      </c>
      <c r="AJ13" s="640"/>
      <c r="AK13" s="61">
        <v>1.143</v>
      </c>
      <c r="AL13" s="62" t="s">
        <v>113</v>
      </c>
      <c r="AM13" s="63"/>
      <c r="AN13" s="64" t="s">
        <v>114</v>
      </c>
      <c r="AO13" s="640"/>
      <c r="AP13" s="61">
        <v>1.0920000000000001</v>
      </c>
      <c r="AQ13" s="62" t="s">
        <v>113</v>
      </c>
      <c r="AR13" s="63">
        <v>1</v>
      </c>
      <c r="AS13" s="64" t="s">
        <v>114</v>
      </c>
      <c r="AT13" s="640"/>
      <c r="AU13" s="61">
        <v>0.30399999999999999</v>
      </c>
      <c r="AV13" s="62" t="s">
        <v>113</v>
      </c>
      <c r="AW13" s="63">
        <v>1</v>
      </c>
      <c r="AX13" s="64" t="s">
        <v>114</v>
      </c>
      <c r="AY13" s="640"/>
      <c r="AZ13" s="61">
        <v>0.83799999999999997</v>
      </c>
      <c r="BA13" s="62" t="s">
        <v>113</v>
      </c>
      <c r="BB13" s="63">
        <v>1</v>
      </c>
      <c r="BC13" s="64" t="s">
        <v>114</v>
      </c>
      <c r="BD13" s="640"/>
      <c r="BE13" s="61">
        <v>0.20300000000000001</v>
      </c>
      <c r="BF13" s="62" t="s">
        <v>113</v>
      </c>
      <c r="BG13" s="63"/>
      <c r="BH13" s="64" t="s">
        <v>114</v>
      </c>
      <c r="BI13" s="640"/>
      <c r="BJ13" s="61">
        <v>1.0920000000000001</v>
      </c>
      <c r="BK13" s="62" t="s">
        <v>113</v>
      </c>
      <c r="BL13" s="63"/>
      <c r="BM13" s="64" t="s">
        <v>114</v>
      </c>
      <c r="BN13" s="640"/>
      <c r="BO13" s="61">
        <v>9.9999999999999995E-7</v>
      </c>
      <c r="BP13" s="62" t="s">
        <v>113</v>
      </c>
      <c r="BQ13" s="63"/>
      <c r="BR13" s="64" t="s">
        <v>114</v>
      </c>
      <c r="BW13" s="27"/>
      <c r="BX13" s="27"/>
      <c r="BY13" s="27"/>
      <c r="BZ13" s="27"/>
      <c r="CA13" s="27"/>
      <c r="CB13" s="27"/>
      <c r="CC13" s="27"/>
      <c r="CD13" s="27"/>
      <c r="CE13" s="27"/>
    </row>
    <row r="14" spans="1:83" ht="26.1" customHeight="1" thickTop="1" x14ac:dyDescent="0.25">
      <c r="A14" s="645" t="s">
        <v>110</v>
      </c>
      <c r="B14" s="646"/>
      <c r="C14" s="1260">
        <f t="shared" ref="C14" si="27">B19/((72*3.1415/59)*(50/3.281))</f>
        <v>2.5640736201743682E-2</v>
      </c>
      <c r="D14" s="1260"/>
      <c r="E14" s="1261"/>
      <c r="F14" s="645" t="s">
        <v>110</v>
      </c>
      <c r="G14" s="646"/>
      <c r="H14" s="1260">
        <f t="shared" ref="H14" si="28">G19/((72*3.1415/59)*(50/3.281))</f>
        <v>4.7755443259589374E-3</v>
      </c>
      <c r="I14" s="1260"/>
      <c r="J14" s="1261"/>
      <c r="K14" s="645" t="s">
        <v>110</v>
      </c>
      <c r="L14" s="646"/>
      <c r="M14" s="1260">
        <f t="shared" ref="M14" si="29">L19/((72*3.1415/59)*(50/3.281))</f>
        <v>2.0865191875784748E-2</v>
      </c>
      <c r="N14" s="1260"/>
      <c r="O14" s="1261"/>
      <c r="P14" s="645" t="s">
        <v>110</v>
      </c>
      <c r="Q14" s="646"/>
      <c r="R14" s="1260">
        <f t="shared" ref="R14" si="30">Q19/((72*3.1415/59)*(50/3.281))</f>
        <v>2.0420159071215097E-2</v>
      </c>
      <c r="S14" s="1260"/>
      <c r="T14" s="1261"/>
      <c r="U14" s="645" t="s">
        <v>110</v>
      </c>
      <c r="V14" s="646"/>
      <c r="W14" s="1260">
        <f t="shared" ref="W14" si="31">V19/((72*3.1415/59)*(50/3.281))</f>
        <v>3.912865350947E-2</v>
      </c>
      <c r="X14" s="1260"/>
      <c r="Y14" s="1261"/>
      <c r="Z14" s="645" t="s">
        <v>110</v>
      </c>
      <c r="AA14" s="646"/>
      <c r="AB14" s="1260">
        <f t="shared" ref="AB14" si="32">AA19/((72*3.1415/59)*(50/3.281))</f>
        <v>7.9986088298229799E-2</v>
      </c>
      <c r="AC14" s="1260"/>
      <c r="AD14" s="1261"/>
      <c r="AE14" s="645" t="s">
        <v>110</v>
      </c>
      <c r="AF14" s="646"/>
      <c r="AG14" s="1260">
        <f t="shared" ref="AG14" si="33">AF19/((72*3.1415/59)*(50/3.281))</f>
        <v>3.4746792049091908E-3</v>
      </c>
      <c r="AH14" s="1260"/>
      <c r="AI14" s="1261"/>
      <c r="AJ14" s="645" t="s">
        <v>110</v>
      </c>
      <c r="AK14" s="646"/>
      <c r="AL14" s="1260">
        <f t="shared" ref="AL14" si="34">AK19/((72*3.1415/59)*(50/3.281))</f>
        <v>4.3476281677188892E-3</v>
      </c>
      <c r="AM14" s="1260"/>
      <c r="AN14" s="1261"/>
      <c r="AO14" s="645" t="s">
        <v>110</v>
      </c>
      <c r="AP14" s="646"/>
      <c r="AQ14" s="1260">
        <f t="shared" ref="AQ14" si="35">AP19/((72*3.1415/59)*(50/3.281))</f>
        <v>9.9961214564875233E-3</v>
      </c>
      <c r="AR14" s="1260"/>
      <c r="AS14" s="1261"/>
      <c r="AT14" s="645" t="s">
        <v>110</v>
      </c>
      <c r="AU14" s="646"/>
      <c r="AV14" s="1260">
        <f t="shared" ref="AV14" si="36">AU19/((72*3.1415/59)*(50/3.281))</f>
        <v>1.7116646329601925E-7</v>
      </c>
      <c r="AW14" s="1260"/>
      <c r="AX14" s="1261"/>
      <c r="AY14" s="645" t="s">
        <v>110</v>
      </c>
      <c r="AZ14" s="646"/>
      <c r="BA14" s="1260">
        <f t="shared" ref="BA14" si="37">AZ19/((72*3.1415/59)*(50/3.281))</f>
        <v>7.82230737262808E-3</v>
      </c>
      <c r="BB14" s="1260"/>
      <c r="BC14" s="1261"/>
      <c r="BD14" s="645" t="s">
        <v>110</v>
      </c>
      <c r="BE14" s="646"/>
      <c r="BF14" s="1260">
        <f t="shared" ref="BF14" si="38">BE19/((72*3.1415/59)*(50/3.281))</f>
        <v>1.7116646329601926E-6</v>
      </c>
      <c r="BG14" s="1260"/>
      <c r="BH14" s="1261"/>
      <c r="BI14" s="645" t="s">
        <v>110</v>
      </c>
      <c r="BJ14" s="646"/>
      <c r="BK14" s="1260">
        <f t="shared" ref="BK14" si="39">BJ19/((72*3.1415/59)*(50/3.281))</f>
        <v>2.216605699683449E-2</v>
      </c>
      <c r="BL14" s="1260"/>
      <c r="BM14" s="1261"/>
      <c r="BN14" s="645" t="s">
        <v>110</v>
      </c>
      <c r="BO14" s="646"/>
      <c r="BP14" s="1260">
        <f t="shared" ref="BP14" si="40">BO19/((72*3.1415/59)*(50/3.281))</f>
        <v>2.0865191875784748E-2</v>
      </c>
      <c r="BQ14" s="1260"/>
      <c r="BR14" s="1261"/>
    </row>
    <row r="15" spans="1:83" ht="6.75" customHeight="1" x14ac:dyDescent="0.25">
      <c r="A15" s="1256"/>
      <c r="B15" s="1257"/>
      <c r="C15" s="1262"/>
      <c r="D15" s="1262"/>
      <c r="E15" s="1263"/>
      <c r="F15" s="1256"/>
      <c r="G15" s="1257"/>
      <c r="H15" s="1262"/>
      <c r="I15" s="1262"/>
      <c r="J15" s="1263"/>
      <c r="K15" s="1256"/>
      <c r="L15" s="1257"/>
      <c r="M15" s="1262"/>
      <c r="N15" s="1262"/>
      <c r="O15" s="1263"/>
      <c r="P15" s="1256"/>
      <c r="Q15" s="1257"/>
      <c r="R15" s="1262"/>
      <c r="S15" s="1262"/>
      <c r="T15" s="1263"/>
      <c r="U15" s="1256"/>
      <c r="V15" s="1257"/>
      <c r="W15" s="1262"/>
      <c r="X15" s="1262"/>
      <c r="Y15" s="1263"/>
      <c r="Z15" s="1256"/>
      <c r="AA15" s="1257"/>
      <c r="AB15" s="1262"/>
      <c r="AC15" s="1262"/>
      <c r="AD15" s="1263"/>
      <c r="AE15" s="1256"/>
      <c r="AF15" s="1257"/>
      <c r="AG15" s="1262"/>
      <c r="AH15" s="1262"/>
      <c r="AI15" s="1263"/>
      <c r="AJ15" s="1256"/>
      <c r="AK15" s="1257"/>
      <c r="AL15" s="1262"/>
      <c r="AM15" s="1262"/>
      <c r="AN15" s="1263"/>
      <c r="AO15" s="1256"/>
      <c r="AP15" s="1257"/>
      <c r="AQ15" s="1262"/>
      <c r="AR15" s="1262"/>
      <c r="AS15" s="1263"/>
      <c r="AT15" s="1256"/>
      <c r="AU15" s="1257"/>
      <c r="AV15" s="1262"/>
      <c r="AW15" s="1262"/>
      <c r="AX15" s="1263"/>
      <c r="AY15" s="1256"/>
      <c r="AZ15" s="1257"/>
      <c r="BA15" s="1262"/>
      <c r="BB15" s="1262"/>
      <c r="BC15" s="1263"/>
      <c r="BD15" s="1256"/>
      <c r="BE15" s="1257"/>
      <c r="BF15" s="1262"/>
      <c r="BG15" s="1262"/>
      <c r="BH15" s="1263"/>
      <c r="BI15" s="1256"/>
      <c r="BJ15" s="1257"/>
      <c r="BK15" s="1262"/>
      <c r="BL15" s="1262"/>
      <c r="BM15" s="1263"/>
      <c r="BN15" s="1256"/>
      <c r="BO15" s="1257"/>
      <c r="BP15" s="1262"/>
      <c r="BQ15" s="1262"/>
      <c r="BR15" s="1263"/>
    </row>
    <row r="16" spans="1:83" ht="21.95" customHeight="1" x14ac:dyDescent="0.25">
      <c r="A16" s="1256"/>
      <c r="B16" s="1257"/>
      <c r="C16" s="1262"/>
      <c r="D16" s="1262"/>
      <c r="E16" s="1263"/>
      <c r="F16" s="1256"/>
      <c r="G16" s="1257"/>
      <c r="H16" s="1262"/>
      <c r="I16" s="1262"/>
      <c r="J16" s="1263"/>
      <c r="K16" s="1256"/>
      <c r="L16" s="1257"/>
      <c r="M16" s="1262"/>
      <c r="N16" s="1262"/>
      <c r="O16" s="1263"/>
      <c r="P16" s="1256"/>
      <c r="Q16" s="1257"/>
      <c r="R16" s="1262"/>
      <c r="S16" s="1262"/>
      <c r="T16" s="1263"/>
      <c r="U16" s="1256"/>
      <c r="V16" s="1257"/>
      <c r="W16" s="1262"/>
      <c r="X16" s="1262"/>
      <c r="Y16" s="1263"/>
      <c r="Z16" s="1256"/>
      <c r="AA16" s="1257"/>
      <c r="AB16" s="1262"/>
      <c r="AC16" s="1262"/>
      <c r="AD16" s="1263"/>
      <c r="AE16" s="1256"/>
      <c r="AF16" s="1257"/>
      <c r="AG16" s="1262"/>
      <c r="AH16" s="1262"/>
      <c r="AI16" s="1263"/>
      <c r="AJ16" s="1256"/>
      <c r="AK16" s="1257"/>
      <c r="AL16" s="1262"/>
      <c r="AM16" s="1262"/>
      <c r="AN16" s="1263"/>
      <c r="AO16" s="1256"/>
      <c r="AP16" s="1257"/>
      <c r="AQ16" s="1262"/>
      <c r="AR16" s="1262"/>
      <c r="AS16" s="1263"/>
      <c r="AT16" s="1256"/>
      <c r="AU16" s="1257"/>
      <c r="AV16" s="1262"/>
      <c r="AW16" s="1262"/>
      <c r="AX16" s="1263"/>
      <c r="AY16" s="1256"/>
      <c r="AZ16" s="1257"/>
      <c r="BA16" s="1262"/>
      <c r="BB16" s="1262"/>
      <c r="BC16" s="1263"/>
      <c r="BD16" s="1256"/>
      <c r="BE16" s="1257"/>
      <c r="BF16" s="1262"/>
      <c r="BG16" s="1262"/>
      <c r="BH16" s="1263"/>
      <c r="BI16" s="1256"/>
      <c r="BJ16" s="1257"/>
      <c r="BK16" s="1262"/>
      <c r="BL16" s="1262"/>
      <c r="BM16" s="1263"/>
      <c r="BN16" s="1256"/>
      <c r="BO16" s="1257"/>
      <c r="BP16" s="1262"/>
      <c r="BQ16" s="1262"/>
      <c r="BR16" s="1263"/>
    </row>
    <row r="17" spans="1:83" ht="6" customHeight="1" x14ac:dyDescent="0.25">
      <c r="A17" s="1258"/>
      <c r="B17" s="1259"/>
      <c r="C17" s="1264"/>
      <c r="D17" s="1264"/>
      <c r="E17" s="1265"/>
      <c r="F17" s="1258"/>
      <c r="G17" s="1259"/>
      <c r="H17" s="1264"/>
      <c r="I17" s="1264"/>
      <c r="J17" s="1265"/>
      <c r="K17" s="1258"/>
      <c r="L17" s="1259"/>
      <c r="M17" s="1264"/>
      <c r="N17" s="1264"/>
      <c r="O17" s="1265"/>
      <c r="P17" s="1258"/>
      <c r="Q17" s="1259"/>
      <c r="R17" s="1264"/>
      <c r="S17" s="1264"/>
      <c r="T17" s="1265"/>
      <c r="U17" s="1258"/>
      <c r="V17" s="1259"/>
      <c r="W17" s="1264"/>
      <c r="X17" s="1264"/>
      <c r="Y17" s="1265"/>
      <c r="Z17" s="1258"/>
      <c r="AA17" s="1259"/>
      <c r="AB17" s="1264"/>
      <c r="AC17" s="1264"/>
      <c r="AD17" s="1265"/>
      <c r="AE17" s="1258"/>
      <c r="AF17" s="1259"/>
      <c r="AG17" s="1264"/>
      <c r="AH17" s="1264"/>
      <c r="AI17" s="1265"/>
      <c r="AJ17" s="1258"/>
      <c r="AK17" s="1259"/>
      <c r="AL17" s="1264"/>
      <c r="AM17" s="1264"/>
      <c r="AN17" s="1265"/>
      <c r="AO17" s="1258"/>
      <c r="AP17" s="1259"/>
      <c r="AQ17" s="1264"/>
      <c r="AR17" s="1264"/>
      <c r="AS17" s="1265"/>
      <c r="AT17" s="1258"/>
      <c r="AU17" s="1259"/>
      <c r="AV17" s="1264"/>
      <c r="AW17" s="1264"/>
      <c r="AX17" s="1265"/>
      <c r="AY17" s="1258"/>
      <c r="AZ17" s="1259"/>
      <c r="BA17" s="1264"/>
      <c r="BB17" s="1264"/>
      <c r="BC17" s="1265"/>
      <c r="BD17" s="1258"/>
      <c r="BE17" s="1259"/>
      <c r="BF17" s="1264"/>
      <c r="BG17" s="1264"/>
      <c r="BH17" s="1265"/>
      <c r="BI17" s="1258"/>
      <c r="BJ17" s="1259"/>
      <c r="BK17" s="1264"/>
      <c r="BL17" s="1264"/>
      <c r="BM17" s="1265"/>
      <c r="BN17" s="1258"/>
      <c r="BO17" s="1259"/>
      <c r="BP17" s="1264"/>
      <c r="BQ17" s="1264"/>
      <c r="BR17" s="1265"/>
    </row>
    <row r="18" spans="1:83" s="22" customFormat="1" ht="80.099999999999994" customHeight="1" x14ac:dyDescent="1.35">
      <c r="A18" s="639" t="s">
        <v>131</v>
      </c>
      <c r="B18" s="588">
        <v>60</v>
      </c>
      <c r="C18" s="589"/>
      <c r="D18" s="589"/>
      <c r="E18" s="590"/>
      <c r="F18" s="639" t="s">
        <v>131</v>
      </c>
      <c r="G18" s="588">
        <v>62</v>
      </c>
      <c r="H18" s="589"/>
      <c r="I18" s="589"/>
      <c r="J18" s="590"/>
      <c r="K18" s="639" t="s">
        <v>131</v>
      </c>
      <c r="L18" s="588">
        <v>63</v>
      </c>
      <c r="M18" s="589"/>
      <c r="N18" s="589"/>
      <c r="O18" s="590"/>
      <c r="P18" s="639" t="s">
        <v>131</v>
      </c>
      <c r="Q18" s="588">
        <v>64</v>
      </c>
      <c r="R18" s="589"/>
      <c r="S18" s="589"/>
      <c r="T18" s="590"/>
      <c r="U18" s="639" t="s">
        <v>131</v>
      </c>
      <c r="V18" s="588">
        <v>65</v>
      </c>
      <c r="W18" s="589"/>
      <c r="X18" s="589"/>
      <c r="Y18" s="590"/>
      <c r="Z18" s="639" t="s">
        <v>131</v>
      </c>
      <c r="AA18" s="588">
        <v>66</v>
      </c>
      <c r="AB18" s="589"/>
      <c r="AC18" s="589"/>
      <c r="AD18" s="590"/>
      <c r="AE18" s="639" t="s">
        <v>131</v>
      </c>
      <c r="AF18" s="588">
        <v>67</v>
      </c>
      <c r="AG18" s="589"/>
      <c r="AH18" s="589"/>
      <c r="AI18" s="590"/>
      <c r="AJ18" s="639" t="s">
        <v>131</v>
      </c>
      <c r="AK18" s="588">
        <v>68</v>
      </c>
      <c r="AL18" s="589"/>
      <c r="AM18" s="589"/>
      <c r="AN18" s="590"/>
      <c r="AO18" s="639" t="s">
        <v>131</v>
      </c>
      <c r="AP18" s="588">
        <v>69</v>
      </c>
      <c r="AQ18" s="589"/>
      <c r="AR18" s="589"/>
      <c r="AS18" s="590"/>
      <c r="AT18" s="639" t="s">
        <v>131</v>
      </c>
      <c r="AU18" s="588">
        <v>70</v>
      </c>
      <c r="AV18" s="589"/>
      <c r="AW18" s="589"/>
      <c r="AX18" s="590"/>
      <c r="AY18" s="639" t="s">
        <v>131</v>
      </c>
      <c r="AZ18" s="588">
        <v>71</v>
      </c>
      <c r="BA18" s="589"/>
      <c r="BB18" s="589"/>
      <c r="BC18" s="590"/>
      <c r="BD18" s="639" t="s">
        <v>131</v>
      </c>
      <c r="BE18" s="588">
        <v>73</v>
      </c>
      <c r="BF18" s="589"/>
      <c r="BG18" s="589"/>
      <c r="BH18" s="590"/>
      <c r="BI18" s="639" t="s">
        <v>131</v>
      </c>
      <c r="BJ18" s="588">
        <v>74</v>
      </c>
      <c r="BK18" s="589"/>
      <c r="BL18" s="589"/>
      <c r="BM18" s="590"/>
      <c r="BN18" s="639" t="s">
        <v>131</v>
      </c>
      <c r="BO18" s="588">
        <v>75</v>
      </c>
      <c r="BP18" s="589"/>
      <c r="BQ18" s="589"/>
      <c r="BR18" s="590"/>
    </row>
    <row r="19" spans="1:83" ht="27" thickBot="1" x14ac:dyDescent="0.3">
      <c r="A19" s="640"/>
      <c r="B19" s="61">
        <v>1.498</v>
      </c>
      <c r="C19" s="62" t="s">
        <v>113</v>
      </c>
      <c r="D19" s="63">
        <v>1</v>
      </c>
      <c r="E19" s="64" t="s">
        <v>114</v>
      </c>
      <c r="F19" s="640"/>
      <c r="G19" s="61">
        <v>0.27900000000000003</v>
      </c>
      <c r="H19" s="62" t="s">
        <v>113</v>
      </c>
      <c r="I19" s="63">
        <v>1</v>
      </c>
      <c r="J19" s="64" t="s">
        <v>114</v>
      </c>
      <c r="K19" s="640"/>
      <c r="L19" s="61">
        <v>1.2190000000000001</v>
      </c>
      <c r="M19" s="62" t="s">
        <v>113</v>
      </c>
      <c r="N19" s="63">
        <v>1</v>
      </c>
      <c r="O19" s="64" t="s">
        <v>114</v>
      </c>
      <c r="P19" s="640"/>
      <c r="Q19" s="61">
        <v>1.1930000000000001</v>
      </c>
      <c r="R19" s="62" t="s">
        <v>113</v>
      </c>
      <c r="S19" s="63"/>
      <c r="T19" s="64" t="s">
        <v>114</v>
      </c>
      <c r="U19" s="640"/>
      <c r="V19" s="61">
        <v>2.286</v>
      </c>
      <c r="W19" s="62" t="s">
        <v>113</v>
      </c>
      <c r="X19" s="63">
        <v>1</v>
      </c>
      <c r="Y19" s="64" t="s">
        <v>114</v>
      </c>
      <c r="Z19" s="640"/>
      <c r="AA19" s="61">
        <v>4.673</v>
      </c>
      <c r="AB19" s="62" t="s">
        <v>113</v>
      </c>
      <c r="AC19" s="63">
        <v>1</v>
      </c>
      <c r="AD19" s="64" t="s">
        <v>114</v>
      </c>
      <c r="AE19" s="640"/>
      <c r="AF19" s="61">
        <v>0.20300000000000001</v>
      </c>
      <c r="AG19" s="62" t="s">
        <v>113</v>
      </c>
      <c r="AH19" s="63"/>
      <c r="AI19" s="64" t="s">
        <v>114</v>
      </c>
      <c r="AJ19" s="640"/>
      <c r="AK19" s="61">
        <v>0.254</v>
      </c>
      <c r="AL19" s="62" t="s">
        <v>113</v>
      </c>
      <c r="AM19" s="63">
        <v>1</v>
      </c>
      <c r="AN19" s="64" t="s">
        <v>114</v>
      </c>
      <c r="AO19" s="640"/>
      <c r="AP19" s="61">
        <v>0.58399999999999996</v>
      </c>
      <c r="AQ19" s="62" t="s">
        <v>113</v>
      </c>
      <c r="AR19" s="63">
        <v>1</v>
      </c>
      <c r="AS19" s="64" t="s">
        <v>114</v>
      </c>
      <c r="AT19" s="640"/>
      <c r="AU19" s="61">
        <v>1.0000000000000001E-5</v>
      </c>
      <c r="AV19" s="62" t="s">
        <v>113</v>
      </c>
      <c r="AW19" s="63"/>
      <c r="AX19" s="64" t="s">
        <v>114</v>
      </c>
      <c r="AY19" s="640"/>
      <c r="AZ19" s="61">
        <v>0.45700000000000002</v>
      </c>
      <c r="BA19" s="62" t="s">
        <v>113</v>
      </c>
      <c r="BB19" s="63">
        <v>1</v>
      </c>
      <c r="BC19" s="64" t="s">
        <v>114</v>
      </c>
      <c r="BD19" s="640"/>
      <c r="BE19" s="61">
        <v>1E-4</v>
      </c>
      <c r="BF19" s="62" t="s">
        <v>113</v>
      </c>
      <c r="BG19" s="63">
        <v>1</v>
      </c>
      <c r="BH19" s="64" t="s">
        <v>114</v>
      </c>
      <c r="BI19" s="640"/>
      <c r="BJ19" s="61">
        <v>1.2949999999999999</v>
      </c>
      <c r="BK19" s="62" t="s">
        <v>113</v>
      </c>
      <c r="BL19" s="63">
        <v>1</v>
      </c>
      <c r="BM19" s="64" t="s">
        <v>114</v>
      </c>
      <c r="BN19" s="640"/>
      <c r="BO19" s="61">
        <v>1.2190000000000001</v>
      </c>
      <c r="BP19" s="62" t="s">
        <v>113</v>
      </c>
      <c r="BQ19" s="63"/>
      <c r="BR19" s="64" t="s">
        <v>114</v>
      </c>
      <c r="BW19" s="27"/>
      <c r="BX19" s="27"/>
      <c r="BY19" s="27"/>
      <c r="BZ19" s="27"/>
      <c r="CA19" s="27"/>
      <c r="CB19" s="27"/>
      <c r="CC19" s="27"/>
      <c r="CD19" s="27"/>
      <c r="CE19" s="27"/>
    </row>
    <row r="20" spans="1:83" ht="26.1" customHeight="1" thickTop="1" x14ac:dyDescent="0.25">
      <c r="A20" s="645" t="s">
        <v>110</v>
      </c>
      <c r="B20" s="646"/>
      <c r="C20" s="1260">
        <f t="shared" ref="C20" si="41">B25/((72*3.1415/59)*(50/3.281))</f>
        <v>1.3042884503156667E-2</v>
      </c>
      <c r="D20" s="1260"/>
      <c r="E20" s="1261"/>
      <c r="F20" s="645" t="s">
        <v>110</v>
      </c>
      <c r="G20" s="646"/>
      <c r="H20" s="1260">
        <f t="shared" ref="H20" si="42">G25/((72*3.1415/59)*(50/3.281))</f>
        <v>5.648493288768635E-3</v>
      </c>
      <c r="I20" s="1260"/>
      <c r="J20" s="1261"/>
      <c r="K20" s="645" t="s">
        <v>110</v>
      </c>
      <c r="L20" s="646"/>
      <c r="M20" s="1260">
        <f t="shared" ref="M20" si="43">L25/((72*3.1415/59)*(50/3.281))</f>
        <v>1.3042884503156667E-2</v>
      </c>
      <c r="N20" s="1260"/>
      <c r="O20" s="1261"/>
      <c r="P20" s="645" t="s">
        <v>110</v>
      </c>
      <c r="Q20" s="646"/>
      <c r="R20" s="1260">
        <f t="shared" ref="R20" si="44">Q25/((72*3.1415/59)*(50/3.281))</f>
        <v>6.5214422515783334E-3</v>
      </c>
      <c r="S20" s="1260"/>
      <c r="T20" s="1261"/>
      <c r="U20" s="645" t="s">
        <v>110</v>
      </c>
      <c r="V20" s="646"/>
      <c r="W20" s="1260">
        <f t="shared" ref="W20" si="45">V25/((72*3.1415/59)*(50/3.281))</f>
        <v>3.4746792049091908E-3</v>
      </c>
      <c r="X20" s="1260"/>
      <c r="Y20" s="1261"/>
      <c r="Z20" s="645" t="s">
        <v>110</v>
      </c>
      <c r="AA20" s="646"/>
      <c r="AB20" s="1260">
        <f t="shared" ref="AB20" si="46">AA25/((72*3.1415/59)*(50/3.281))</f>
        <v>1.0869070419297222E-2</v>
      </c>
      <c r="AC20" s="1260"/>
      <c r="AD20" s="1261"/>
      <c r="AE20" s="645" t="s">
        <v>110</v>
      </c>
      <c r="AF20" s="646"/>
      <c r="AG20" s="1260">
        <f t="shared" ref="AG20" si="47">AF25/((72*3.1415/59)*(50/3.281))</f>
        <v>2.0865191875784748E-2</v>
      </c>
      <c r="AH20" s="1260"/>
      <c r="AI20" s="1261"/>
      <c r="AJ20" s="645" t="s">
        <v>110</v>
      </c>
      <c r="AK20" s="646"/>
      <c r="AL20" s="1260">
        <f t="shared" ref="AL20" si="48">AK25/((72*3.1415/59)*(50/3.281))</f>
        <v>1.564461474525616E-2</v>
      </c>
      <c r="AM20" s="1260"/>
      <c r="AN20" s="1261"/>
      <c r="AO20" s="645" t="s">
        <v>110</v>
      </c>
      <c r="AP20" s="646"/>
      <c r="AQ20" s="1260">
        <f t="shared" ref="AQ20" si="49">AP25/((72*3.1415/59)*(50/3.281))</f>
        <v>8.2502235308681265E-3</v>
      </c>
      <c r="AR20" s="1260"/>
      <c r="AS20" s="1261"/>
      <c r="AT20" s="645" t="s">
        <v>110</v>
      </c>
      <c r="AU20" s="646"/>
      <c r="AV20" s="1260">
        <f t="shared" ref="AV20" si="50">AU25/((72*3.1415/59)*(50/3.281))</f>
        <v>8.6952563354377784E-3</v>
      </c>
      <c r="AW20" s="1260"/>
      <c r="AX20" s="1261"/>
      <c r="AY20" s="645" t="s">
        <v>110</v>
      </c>
      <c r="AZ20" s="646"/>
      <c r="BA20" s="1260">
        <f t="shared" ref="BA20" si="51">AZ25/((72*3.1415/59)*(50/3.281))</f>
        <v>1.6072530903496206E-2</v>
      </c>
      <c r="BB20" s="1260"/>
      <c r="BC20" s="1261"/>
      <c r="BD20" s="645" t="s">
        <v>110</v>
      </c>
      <c r="BE20" s="646"/>
      <c r="BF20" s="1260">
        <f t="shared" ref="BF20" si="52">BE25/((72*3.1415/59)*(50/3.281))</f>
        <v>1.7116646329601926E-6</v>
      </c>
      <c r="BG20" s="1260"/>
      <c r="BH20" s="1261"/>
      <c r="BI20" s="645" t="s">
        <v>110</v>
      </c>
      <c r="BJ20" s="646"/>
      <c r="BK20" s="1260">
        <f t="shared" ref="BK20" si="53">BJ25/((72*3.1415/59)*(50/3.281))</f>
        <v>1.3042884503156667E-2</v>
      </c>
      <c r="BL20" s="1260"/>
      <c r="BM20" s="1261"/>
      <c r="BN20" s="645" t="s">
        <v>110</v>
      </c>
      <c r="BO20" s="646"/>
      <c r="BP20" s="1260">
        <f t="shared" ref="BP20" si="54">BO25/((72*3.1415/59)*(50/3.281))</f>
        <v>1.7116646329601926E-6</v>
      </c>
      <c r="BQ20" s="1260"/>
      <c r="BR20" s="1261"/>
    </row>
    <row r="21" spans="1:83" ht="6.75" customHeight="1" x14ac:dyDescent="0.25">
      <c r="A21" s="1256"/>
      <c r="B21" s="1257"/>
      <c r="C21" s="1262"/>
      <c r="D21" s="1262"/>
      <c r="E21" s="1263"/>
      <c r="F21" s="1256"/>
      <c r="G21" s="1257"/>
      <c r="H21" s="1262"/>
      <c r="I21" s="1262"/>
      <c r="J21" s="1263"/>
      <c r="K21" s="1256"/>
      <c r="L21" s="1257"/>
      <c r="M21" s="1262"/>
      <c r="N21" s="1262"/>
      <c r="O21" s="1263"/>
      <c r="P21" s="1256"/>
      <c r="Q21" s="1257"/>
      <c r="R21" s="1262"/>
      <c r="S21" s="1262"/>
      <c r="T21" s="1263"/>
      <c r="U21" s="1256"/>
      <c r="V21" s="1257"/>
      <c r="W21" s="1262"/>
      <c r="X21" s="1262"/>
      <c r="Y21" s="1263"/>
      <c r="Z21" s="1256"/>
      <c r="AA21" s="1257"/>
      <c r="AB21" s="1262"/>
      <c r="AC21" s="1262"/>
      <c r="AD21" s="1263"/>
      <c r="AE21" s="1256"/>
      <c r="AF21" s="1257"/>
      <c r="AG21" s="1262"/>
      <c r="AH21" s="1262"/>
      <c r="AI21" s="1263"/>
      <c r="AJ21" s="1256"/>
      <c r="AK21" s="1257"/>
      <c r="AL21" s="1262"/>
      <c r="AM21" s="1262"/>
      <c r="AN21" s="1263"/>
      <c r="AO21" s="1256"/>
      <c r="AP21" s="1257"/>
      <c r="AQ21" s="1262"/>
      <c r="AR21" s="1262"/>
      <c r="AS21" s="1263"/>
      <c r="AT21" s="1256"/>
      <c r="AU21" s="1257"/>
      <c r="AV21" s="1262"/>
      <c r="AW21" s="1262"/>
      <c r="AX21" s="1263"/>
      <c r="AY21" s="1256"/>
      <c r="AZ21" s="1257"/>
      <c r="BA21" s="1262"/>
      <c r="BB21" s="1262"/>
      <c r="BC21" s="1263"/>
      <c r="BD21" s="1256"/>
      <c r="BE21" s="1257"/>
      <c r="BF21" s="1262"/>
      <c r="BG21" s="1262"/>
      <c r="BH21" s="1263"/>
      <c r="BI21" s="1256"/>
      <c r="BJ21" s="1257"/>
      <c r="BK21" s="1262"/>
      <c r="BL21" s="1262"/>
      <c r="BM21" s="1263"/>
      <c r="BN21" s="1256"/>
      <c r="BO21" s="1257"/>
      <c r="BP21" s="1262"/>
      <c r="BQ21" s="1262"/>
      <c r="BR21" s="1263"/>
    </row>
    <row r="22" spans="1:83" ht="21.95" customHeight="1" x14ac:dyDescent="0.25">
      <c r="A22" s="1256"/>
      <c r="B22" s="1257"/>
      <c r="C22" s="1262"/>
      <c r="D22" s="1262"/>
      <c r="E22" s="1263"/>
      <c r="F22" s="1256"/>
      <c r="G22" s="1257"/>
      <c r="H22" s="1262"/>
      <c r="I22" s="1262"/>
      <c r="J22" s="1263"/>
      <c r="K22" s="1256"/>
      <c r="L22" s="1257"/>
      <c r="M22" s="1262"/>
      <c r="N22" s="1262"/>
      <c r="O22" s="1263"/>
      <c r="P22" s="1256"/>
      <c r="Q22" s="1257"/>
      <c r="R22" s="1262"/>
      <c r="S22" s="1262"/>
      <c r="T22" s="1263"/>
      <c r="U22" s="1256"/>
      <c r="V22" s="1257"/>
      <c r="W22" s="1262"/>
      <c r="X22" s="1262"/>
      <c r="Y22" s="1263"/>
      <c r="Z22" s="1256"/>
      <c r="AA22" s="1257"/>
      <c r="AB22" s="1262"/>
      <c r="AC22" s="1262"/>
      <c r="AD22" s="1263"/>
      <c r="AE22" s="1256"/>
      <c r="AF22" s="1257"/>
      <c r="AG22" s="1262"/>
      <c r="AH22" s="1262"/>
      <c r="AI22" s="1263"/>
      <c r="AJ22" s="1256"/>
      <c r="AK22" s="1257"/>
      <c r="AL22" s="1262"/>
      <c r="AM22" s="1262"/>
      <c r="AN22" s="1263"/>
      <c r="AO22" s="1256"/>
      <c r="AP22" s="1257"/>
      <c r="AQ22" s="1262"/>
      <c r="AR22" s="1262"/>
      <c r="AS22" s="1263"/>
      <c r="AT22" s="1256"/>
      <c r="AU22" s="1257"/>
      <c r="AV22" s="1262"/>
      <c r="AW22" s="1262"/>
      <c r="AX22" s="1263"/>
      <c r="AY22" s="1256"/>
      <c r="AZ22" s="1257"/>
      <c r="BA22" s="1262"/>
      <c r="BB22" s="1262"/>
      <c r="BC22" s="1263"/>
      <c r="BD22" s="1256"/>
      <c r="BE22" s="1257"/>
      <c r="BF22" s="1262"/>
      <c r="BG22" s="1262"/>
      <c r="BH22" s="1263"/>
      <c r="BI22" s="1256"/>
      <c r="BJ22" s="1257"/>
      <c r="BK22" s="1262"/>
      <c r="BL22" s="1262"/>
      <c r="BM22" s="1263"/>
      <c r="BN22" s="1256"/>
      <c r="BO22" s="1257"/>
      <c r="BP22" s="1262"/>
      <c r="BQ22" s="1262"/>
      <c r="BR22" s="1263"/>
    </row>
    <row r="23" spans="1:83" ht="6" customHeight="1" x14ac:dyDescent="0.25">
      <c r="A23" s="1258"/>
      <c r="B23" s="1259"/>
      <c r="C23" s="1264"/>
      <c r="D23" s="1264"/>
      <c r="E23" s="1265"/>
      <c r="F23" s="1258"/>
      <c r="G23" s="1259"/>
      <c r="H23" s="1264"/>
      <c r="I23" s="1264"/>
      <c r="J23" s="1265"/>
      <c r="K23" s="1258"/>
      <c r="L23" s="1259"/>
      <c r="M23" s="1264"/>
      <c r="N23" s="1264"/>
      <c r="O23" s="1265"/>
      <c r="P23" s="1258"/>
      <c r="Q23" s="1259"/>
      <c r="R23" s="1264"/>
      <c r="S23" s="1264"/>
      <c r="T23" s="1265"/>
      <c r="U23" s="1258"/>
      <c r="V23" s="1259"/>
      <c r="W23" s="1264"/>
      <c r="X23" s="1264"/>
      <c r="Y23" s="1265"/>
      <c r="Z23" s="1258"/>
      <c r="AA23" s="1259"/>
      <c r="AB23" s="1264"/>
      <c r="AC23" s="1264"/>
      <c r="AD23" s="1265"/>
      <c r="AE23" s="1258"/>
      <c r="AF23" s="1259"/>
      <c r="AG23" s="1264"/>
      <c r="AH23" s="1264"/>
      <c r="AI23" s="1265"/>
      <c r="AJ23" s="1258"/>
      <c r="AK23" s="1259"/>
      <c r="AL23" s="1264"/>
      <c r="AM23" s="1264"/>
      <c r="AN23" s="1265"/>
      <c r="AO23" s="1258"/>
      <c r="AP23" s="1259"/>
      <c r="AQ23" s="1264"/>
      <c r="AR23" s="1264"/>
      <c r="AS23" s="1265"/>
      <c r="AT23" s="1258"/>
      <c r="AU23" s="1259"/>
      <c r="AV23" s="1264"/>
      <c r="AW23" s="1264"/>
      <c r="AX23" s="1265"/>
      <c r="AY23" s="1258"/>
      <c r="AZ23" s="1259"/>
      <c r="BA23" s="1264"/>
      <c r="BB23" s="1264"/>
      <c r="BC23" s="1265"/>
      <c r="BD23" s="1258"/>
      <c r="BE23" s="1259"/>
      <c r="BF23" s="1264"/>
      <c r="BG23" s="1264"/>
      <c r="BH23" s="1265"/>
      <c r="BI23" s="1258"/>
      <c r="BJ23" s="1259"/>
      <c r="BK23" s="1264"/>
      <c r="BL23" s="1264"/>
      <c r="BM23" s="1265"/>
      <c r="BN23" s="1258"/>
      <c r="BO23" s="1259"/>
      <c r="BP23" s="1264"/>
      <c r="BQ23" s="1264"/>
      <c r="BR23" s="1265"/>
    </row>
    <row r="24" spans="1:83" s="22" customFormat="1" ht="80.099999999999994" customHeight="1" x14ac:dyDescent="1.35">
      <c r="A24" s="639" t="s">
        <v>131</v>
      </c>
      <c r="B24" s="588">
        <v>76</v>
      </c>
      <c r="C24" s="589"/>
      <c r="D24" s="589"/>
      <c r="E24" s="590"/>
      <c r="F24" s="639" t="s">
        <v>131</v>
      </c>
      <c r="G24" s="588">
        <v>77</v>
      </c>
      <c r="H24" s="589"/>
      <c r="I24" s="589"/>
      <c r="J24" s="590"/>
      <c r="K24" s="639" t="s">
        <v>131</v>
      </c>
      <c r="L24" s="588">
        <v>78</v>
      </c>
      <c r="M24" s="589"/>
      <c r="N24" s="589"/>
      <c r="O24" s="590"/>
      <c r="P24" s="639" t="s">
        <v>131</v>
      </c>
      <c r="Q24" s="588">
        <v>79</v>
      </c>
      <c r="R24" s="589"/>
      <c r="S24" s="589"/>
      <c r="T24" s="590"/>
      <c r="U24" s="639" t="s">
        <v>131</v>
      </c>
      <c r="V24" s="588">
        <v>80</v>
      </c>
      <c r="W24" s="589"/>
      <c r="X24" s="589"/>
      <c r="Y24" s="590"/>
      <c r="Z24" s="639" t="s">
        <v>131</v>
      </c>
      <c r="AA24" s="588">
        <v>81</v>
      </c>
      <c r="AB24" s="589"/>
      <c r="AC24" s="589"/>
      <c r="AD24" s="590"/>
      <c r="AE24" s="639" t="s">
        <v>131</v>
      </c>
      <c r="AF24" s="588">
        <v>82</v>
      </c>
      <c r="AG24" s="589"/>
      <c r="AH24" s="589"/>
      <c r="AI24" s="590"/>
      <c r="AJ24" s="639" t="s">
        <v>131</v>
      </c>
      <c r="AK24" s="588">
        <v>83</v>
      </c>
      <c r="AL24" s="589"/>
      <c r="AM24" s="589"/>
      <c r="AN24" s="590"/>
      <c r="AO24" s="639" t="s">
        <v>131</v>
      </c>
      <c r="AP24" s="588">
        <v>84</v>
      </c>
      <c r="AQ24" s="589"/>
      <c r="AR24" s="589"/>
      <c r="AS24" s="590"/>
      <c r="AT24" s="639" t="s">
        <v>131</v>
      </c>
      <c r="AU24" s="588">
        <v>85</v>
      </c>
      <c r="AV24" s="589"/>
      <c r="AW24" s="589"/>
      <c r="AX24" s="590"/>
      <c r="AY24" s="639" t="s">
        <v>131</v>
      </c>
      <c r="AZ24" s="588">
        <v>86</v>
      </c>
      <c r="BA24" s="589"/>
      <c r="BB24" s="589"/>
      <c r="BC24" s="590"/>
      <c r="BD24" s="639" t="s">
        <v>131</v>
      </c>
      <c r="BE24" s="588">
        <v>87</v>
      </c>
      <c r="BF24" s="589"/>
      <c r="BG24" s="589"/>
      <c r="BH24" s="590"/>
      <c r="BI24" s="639" t="s">
        <v>131</v>
      </c>
      <c r="BJ24" s="588">
        <v>88</v>
      </c>
      <c r="BK24" s="589"/>
      <c r="BL24" s="589"/>
      <c r="BM24" s="590"/>
      <c r="BN24" s="639" t="s">
        <v>131</v>
      </c>
      <c r="BO24" s="588">
        <v>89</v>
      </c>
      <c r="BP24" s="589"/>
      <c r="BQ24" s="589"/>
      <c r="BR24" s="590"/>
    </row>
    <row r="25" spans="1:83" ht="27" customHeight="1" thickBot="1" x14ac:dyDescent="0.3">
      <c r="A25" s="640"/>
      <c r="B25" s="61">
        <v>0.76200000000000001</v>
      </c>
      <c r="C25" s="62" t="s">
        <v>113</v>
      </c>
      <c r="D25" s="63">
        <v>1</v>
      </c>
      <c r="E25" s="64" t="s">
        <v>114</v>
      </c>
      <c r="F25" s="640"/>
      <c r="G25" s="61">
        <v>0.33</v>
      </c>
      <c r="H25" s="62" t="s">
        <v>113</v>
      </c>
      <c r="I25" s="63">
        <v>1</v>
      </c>
      <c r="J25" s="64" t="s">
        <v>114</v>
      </c>
      <c r="K25" s="640"/>
      <c r="L25" s="61">
        <v>0.76200000000000001</v>
      </c>
      <c r="M25" s="62" t="s">
        <v>113</v>
      </c>
      <c r="N25" s="63"/>
      <c r="O25" s="64" t="s">
        <v>114</v>
      </c>
      <c r="P25" s="640"/>
      <c r="Q25" s="61">
        <v>0.38100000000000001</v>
      </c>
      <c r="R25" s="62" t="s">
        <v>113</v>
      </c>
      <c r="S25" s="63">
        <v>1</v>
      </c>
      <c r="T25" s="64" t="s">
        <v>114</v>
      </c>
      <c r="U25" s="640"/>
      <c r="V25" s="61">
        <v>0.20300000000000001</v>
      </c>
      <c r="W25" s="62" t="s">
        <v>113</v>
      </c>
      <c r="X25" s="63">
        <v>1</v>
      </c>
      <c r="Y25" s="64" t="s">
        <v>114</v>
      </c>
      <c r="Z25" s="640"/>
      <c r="AA25" s="61">
        <v>0.63500000000000001</v>
      </c>
      <c r="AB25" s="62" t="s">
        <v>113</v>
      </c>
      <c r="AC25" s="63"/>
      <c r="AD25" s="64" t="s">
        <v>114</v>
      </c>
      <c r="AE25" s="640"/>
      <c r="AF25" s="61">
        <v>1.2190000000000001</v>
      </c>
      <c r="AG25" s="62" t="s">
        <v>113</v>
      </c>
      <c r="AH25" s="63">
        <v>1</v>
      </c>
      <c r="AI25" s="64" t="s">
        <v>114</v>
      </c>
      <c r="AJ25" s="640"/>
      <c r="AK25" s="61">
        <v>0.91400000000000003</v>
      </c>
      <c r="AL25" s="62" t="s">
        <v>113</v>
      </c>
      <c r="AM25" s="63"/>
      <c r="AN25" s="64" t="s">
        <v>114</v>
      </c>
      <c r="AO25" s="640"/>
      <c r="AP25" s="61">
        <v>0.48199999999999998</v>
      </c>
      <c r="AQ25" s="62" t="s">
        <v>113</v>
      </c>
      <c r="AR25" s="63"/>
      <c r="AS25" s="64" t="s">
        <v>114</v>
      </c>
      <c r="AT25" s="640"/>
      <c r="AU25" s="61">
        <v>0.50800000000000001</v>
      </c>
      <c r="AV25" s="62" t="s">
        <v>113</v>
      </c>
      <c r="AW25" s="63">
        <v>1</v>
      </c>
      <c r="AX25" s="64" t="s">
        <v>114</v>
      </c>
      <c r="AY25" s="640"/>
      <c r="AZ25" s="61">
        <v>0.93899999999999995</v>
      </c>
      <c r="BA25" s="62" t="s">
        <v>113</v>
      </c>
      <c r="BB25" s="63"/>
      <c r="BC25" s="64" t="s">
        <v>114</v>
      </c>
      <c r="BD25" s="640"/>
      <c r="BE25" s="61">
        <v>1E-4</v>
      </c>
      <c r="BF25" s="62" t="s">
        <v>113</v>
      </c>
      <c r="BG25" s="63"/>
      <c r="BH25" s="64" t="s">
        <v>114</v>
      </c>
      <c r="BI25" s="640"/>
      <c r="BJ25" s="61">
        <v>0.76200000000000001</v>
      </c>
      <c r="BK25" s="62" t="s">
        <v>113</v>
      </c>
      <c r="BL25" s="63">
        <v>1</v>
      </c>
      <c r="BM25" s="64" t="s">
        <v>114</v>
      </c>
      <c r="BN25" s="640"/>
      <c r="BO25" s="61">
        <v>1E-4</v>
      </c>
      <c r="BP25" s="62" t="s">
        <v>113</v>
      </c>
      <c r="BQ25" s="63"/>
      <c r="BR25" s="64" t="s">
        <v>114</v>
      </c>
      <c r="BW25" s="27"/>
      <c r="BX25" s="27"/>
      <c r="BY25" s="27"/>
      <c r="BZ25" s="27"/>
      <c r="CA25" s="27"/>
      <c r="CB25" s="27"/>
      <c r="CC25" s="27"/>
      <c r="CD25" s="27"/>
      <c r="CE25" s="27"/>
    </row>
    <row r="26" spans="1:83" ht="26.1" customHeight="1" thickTop="1" x14ac:dyDescent="0.25">
      <c r="A26" s="645" t="s">
        <v>110</v>
      </c>
      <c r="B26" s="646"/>
      <c r="C26" s="1260">
        <f t="shared" ref="C26" si="55">B31/((72*3.1415/59)*(50/3.281))</f>
        <v>6.9493584098183816E-3</v>
      </c>
      <c r="D26" s="1260"/>
      <c r="E26" s="1261"/>
      <c r="F26" s="645" t="s">
        <v>110</v>
      </c>
      <c r="G26" s="646"/>
      <c r="H26" s="1260">
        <f t="shared" ref="H26" si="56">G31/((72*3.1415/59)*(50/3.281))</f>
        <v>1.8246344987355653E-2</v>
      </c>
      <c r="I26" s="1260"/>
      <c r="J26" s="1261"/>
      <c r="K26" s="645" t="s">
        <v>110</v>
      </c>
      <c r="L26" s="646"/>
      <c r="M26" s="1260">
        <f t="shared" ref="M26" si="57">L31/((72*3.1415/59)*(50/3.281))</f>
        <v>5.2034604841989848E-3</v>
      </c>
      <c r="N26" s="1260"/>
      <c r="O26" s="1261"/>
      <c r="P26" s="645" t="s">
        <v>110</v>
      </c>
      <c r="Q26" s="646"/>
      <c r="R26" s="1260">
        <f t="shared" ref="R26" si="58">Q31/((72*3.1415/59)*(50/3.281))</f>
        <v>1.7116646329601925E-7</v>
      </c>
      <c r="S26" s="1260"/>
      <c r="T26" s="1261"/>
      <c r="U26" s="645" t="s">
        <v>110</v>
      </c>
      <c r="V26" s="646"/>
      <c r="W26" s="1260">
        <f t="shared" ref="W26" si="59">V31/((72*3.1415/59)*(50/3.281))</f>
        <v>1.4343749624206412E-2</v>
      </c>
      <c r="X26" s="1260"/>
      <c r="Y26" s="1261"/>
      <c r="Z26" s="645" t="s">
        <v>110</v>
      </c>
      <c r="AA26" s="646"/>
      <c r="AB26" s="1260">
        <f t="shared" ref="AB26" si="60">AA31/((72*3.1415/59)*(50/3.281))</f>
        <v>1.7116646329601925E-7</v>
      </c>
      <c r="AC26" s="1260"/>
      <c r="AD26" s="1261"/>
      <c r="AE26" s="645" t="s">
        <v>110</v>
      </c>
      <c r="AF26" s="646"/>
      <c r="AG26" s="1260">
        <f t="shared" ref="AG26" si="61">AF31/((72*3.1415/59)*(50/3.281))</f>
        <v>5.2034604841989848E-3</v>
      </c>
      <c r="AH26" s="1260"/>
      <c r="AI26" s="1261"/>
      <c r="AJ26" s="645" t="s">
        <v>110</v>
      </c>
      <c r="AK26" s="646"/>
      <c r="AL26" s="1260">
        <f t="shared" ref="AL26" si="62">AK31/((72*3.1415/59)*(50/3.281))</f>
        <v>4.3476281677188892E-3</v>
      </c>
      <c r="AM26" s="1260"/>
      <c r="AN26" s="1261"/>
      <c r="AO26" s="645" t="s">
        <v>110</v>
      </c>
      <c r="AP26" s="646"/>
      <c r="AQ26" s="1260">
        <f t="shared" ref="AQ26" si="63">AP31/((72*3.1415/59)*(50/3.281))</f>
        <v>1.7116646329601926E-6</v>
      </c>
      <c r="AR26" s="1260"/>
      <c r="AS26" s="1261"/>
      <c r="AT26" s="645" t="s">
        <v>110</v>
      </c>
      <c r="AU26" s="646"/>
      <c r="AV26" s="1260">
        <f t="shared" ref="AV26" si="64">AU31/((72*3.1415/59)*(50/3.281))</f>
        <v>9.5510886519178748E-3</v>
      </c>
      <c r="AW26" s="1260"/>
      <c r="AX26" s="1261"/>
      <c r="AY26" s="645" t="s">
        <v>110</v>
      </c>
      <c r="AZ26" s="646"/>
      <c r="BA26" s="1260">
        <f t="shared" ref="BA26" si="65">AZ31/((72*3.1415/59)*(50/3.281))</f>
        <v>5.6519166180345554E-2</v>
      </c>
      <c r="BB26" s="1260"/>
      <c r="BC26" s="1261"/>
      <c r="BD26" s="645" t="s">
        <v>110</v>
      </c>
      <c r="BE26" s="646"/>
      <c r="BF26" s="1260">
        <f t="shared" ref="BF26" si="66">BE31/((72*3.1415/59)*(50/3.281))</f>
        <v>7.82230737262808E-3</v>
      </c>
      <c r="BG26" s="1260"/>
      <c r="BH26" s="1261"/>
      <c r="BI26" s="645" t="s">
        <v>110</v>
      </c>
      <c r="BJ26" s="646"/>
      <c r="BK26" s="1260">
        <f t="shared" ref="BK26" si="67">BJ31/((72*3.1415/59)*(50/3.281))</f>
        <v>1.7322046085557149E-2</v>
      </c>
      <c r="BL26" s="1260"/>
      <c r="BM26" s="1261"/>
      <c r="BN26" s="1282" t="s">
        <v>132</v>
      </c>
      <c r="BO26" s="1283"/>
      <c r="BP26" s="1288">
        <f>BO31/((72*3.1415/59)*(45/3.281))</f>
        <v>0.12318279808536851</v>
      </c>
      <c r="BQ26" s="1288"/>
      <c r="BR26" s="1289"/>
    </row>
    <row r="27" spans="1:83" ht="6.75" customHeight="1" x14ac:dyDescent="0.25">
      <c r="A27" s="1256"/>
      <c r="B27" s="1257"/>
      <c r="C27" s="1262"/>
      <c r="D27" s="1262"/>
      <c r="E27" s="1263"/>
      <c r="F27" s="1256"/>
      <c r="G27" s="1257"/>
      <c r="H27" s="1262"/>
      <c r="I27" s="1262"/>
      <c r="J27" s="1263"/>
      <c r="K27" s="1256"/>
      <c r="L27" s="1257"/>
      <c r="M27" s="1262"/>
      <c r="N27" s="1262"/>
      <c r="O27" s="1263"/>
      <c r="P27" s="1256"/>
      <c r="Q27" s="1257"/>
      <c r="R27" s="1262"/>
      <c r="S27" s="1262"/>
      <c r="T27" s="1263"/>
      <c r="U27" s="1256"/>
      <c r="V27" s="1257"/>
      <c r="W27" s="1262"/>
      <c r="X27" s="1262"/>
      <c r="Y27" s="1263"/>
      <c r="Z27" s="1256"/>
      <c r="AA27" s="1257"/>
      <c r="AB27" s="1262"/>
      <c r="AC27" s="1262"/>
      <c r="AD27" s="1263"/>
      <c r="AE27" s="1256"/>
      <c r="AF27" s="1257"/>
      <c r="AG27" s="1262"/>
      <c r="AH27" s="1262"/>
      <c r="AI27" s="1263"/>
      <c r="AJ27" s="1256"/>
      <c r="AK27" s="1257"/>
      <c r="AL27" s="1262"/>
      <c r="AM27" s="1262"/>
      <c r="AN27" s="1263"/>
      <c r="AO27" s="1256"/>
      <c r="AP27" s="1257"/>
      <c r="AQ27" s="1262"/>
      <c r="AR27" s="1262"/>
      <c r="AS27" s="1263"/>
      <c r="AT27" s="1256"/>
      <c r="AU27" s="1257"/>
      <c r="AV27" s="1262"/>
      <c r="AW27" s="1262"/>
      <c r="AX27" s="1263"/>
      <c r="AY27" s="1256"/>
      <c r="AZ27" s="1257"/>
      <c r="BA27" s="1262"/>
      <c r="BB27" s="1262"/>
      <c r="BC27" s="1263"/>
      <c r="BD27" s="1256"/>
      <c r="BE27" s="1257"/>
      <c r="BF27" s="1262"/>
      <c r="BG27" s="1262"/>
      <c r="BH27" s="1263"/>
      <c r="BI27" s="1256"/>
      <c r="BJ27" s="1257"/>
      <c r="BK27" s="1262"/>
      <c r="BL27" s="1262"/>
      <c r="BM27" s="1263"/>
      <c r="BN27" s="1284"/>
      <c r="BO27" s="1285"/>
      <c r="BP27" s="1290"/>
      <c r="BQ27" s="1290"/>
      <c r="BR27" s="1291"/>
    </row>
    <row r="28" spans="1:83" ht="21.95" customHeight="1" x14ac:dyDescent="0.25">
      <c r="A28" s="1256"/>
      <c r="B28" s="1257"/>
      <c r="C28" s="1262"/>
      <c r="D28" s="1262"/>
      <c r="E28" s="1263"/>
      <c r="F28" s="1256"/>
      <c r="G28" s="1257"/>
      <c r="H28" s="1262"/>
      <c r="I28" s="1262"/>
      <c r="J28" s="1263"/>
      <c r="K28" s="1256"/>
      <c r="L28" s="1257"/>
      <c r="M28" s="1262"/>
      <c r="N28" s="1262"/>
      <c r="O28" s="1263"/>
      <c r="P28" s="1256"/>
      <c r="Q28" s="1257"/>
      <c r="R28" s="1262"/>
      <c r="S28" s="1262"/>
      <c r="T28" s="1263"/>
      <c r="U28" s="1256"/>
      <c r="V28" s="1257"/>
      <c r="W28" s="1262"/>
      <c r="X28" s="1262"/>
      <c r="Y28" s="1263"/>
      <c r="Z28" s="1256"/>
      <c r="AA28" s="1257"/>
      <c r="AB28" s="1262"/>
      <c r="AC28" s="1262"/>
      <c r="AD28" s="1263"/>
      <c r="AE28" s="1256"/>
      <c r="AF28" s="1257"/>
      <c r="AG28" s="1262"/>
      <c r="AH28" s="1262"/>
      <c r="AI28" s="1263"/>
      <c r="AJ28" s="1256"/>
      <c r="AK28" s="1257"/>
      <c r="AL28" s="1262"/>
      <c r="AM28" s="1262"/>
      <c r="AN28" s="1263"/>
      <c r="AO28" s="1256"/>
      <c r="AP28" s="1257"/>
      <c r="AQ28" s="1262"/>
      <c r="AR28" s="1262"/>
      <c r="AS28" s="1263"/>
      <c r="AT28" s="1256"/>
      <c r="AU28" s="1257"/>
      <c r="AV28" s="1262"/>
      <c r="AW28" s="1262"/>
      <c r="AX28" s="1263"/>
      <c r="AY28" s="1256"/>
      <c r="AZ28" s="1257"/>
      <c r="BA28" s="1262"/>
      <c r="BB28" s="1262"/>
      <c r="BC28" s="1263"/>
      <c r="BD28" s="1256"/>
      <c r="BE28" s="1257"/>
      <c r="BF28" s="1262"/>
      <c r="BG28" s="1262"/>
      <c r="BH28" s="1263"/>
      <c r="BI28" s="1256"/>
      <c r="BJ28" s="1257"/>
      <c r="BK28" s="1262"/>
      <c r="BL28" s="1262"/>
      <c r="BM28" s="1263"/>
      <c r="BN28" s="1284"/>
      <c r="BO28" s="1285"/>
      <c r="BP28" s="1290"/>
      <c r="BQ28" s="1290"/>
      <c r="BR28" s="1291"/>
    </row>
    <row r="29" spans="1:83" ht="6" customHeight="1" x14ac:dyDescent="0.25">
      <c r="A29" s="1258"/>
      <c r="B29" s="1259"/>
      <c r="C29" s="1264"/>
      <c r="D29" s="1264"/>
      <c r="E29" s="1265"/>
      <c r="F29" s="1258"/>
      <c r="G29" s="1259"/>
      <c r="H29" s="1264"/>
      <c r="I29" s="1264"/>
      <c r="J29" s="1265"/>
      <c r="K29" s="1258"/>
      <c r="L29" s="1259"/>
      <c r="M29" s="1264"/>
      <c r="N29" s="1264"/>
      <c r="O29" s="1265"/>
      <c r="P29" s="1258"/>
      <c r="Q29" s="1259"/>
      <c r="R29" s="1264"/>
      <c r="S29" s="1264"/>
      <c r="T29" s="1265"/>
      <c r="U29" s="1258"/>
      <c r="V29" s="1259"/>
      <c r="W29" s="1264"/>
      <c r="X29" s="1264"/>
      <c r="Y29" s="1265"/>
      <c r="Z29" s="1258"/>
      <c r="AA29" s="1259"/>
      <c r="AB29" s="1264"/>
      <c r="AC29" s="1264"/>
      <c r="AD29" s="1265"/>
      <c r="AE29" s="1258"/>
      <c r="AF29" s="1259"/>
      <c r="AG29" s="1264"/>
      <c r="AH29" s="1264"/>
      <c r="AI29" s="1265"/>
      <c r="AJ29" s="1258"/>
      <c r="AK29" s="1259"/>
      <c r="AL29" s="1264"/>
      <c r="AM29" s="1264"/>
      <c r="AN29" s="1265"/>
      <c r="AO29" s="1258"/>
      <c r="AP29" s="1259"/>
      <c r="AQ29" s="1264"/>
      <c r="AR29" s="1264"/>
      <c r="AS29" s="1265"/>
      <c r="AT29" s="1258"/>
      <c r="AU29" s="1259"/>
      <c r="AV29" s="1264"/>
      <c r="AW29" s="1264"/>
      <c r="AX29" s="1265"/>
      <c r="AY29" s="1258"/>
      <c r="AZ29" s="1259"/>
      <c r="BA29" s="1264"/>
      <c r="BB29" s="1264"/>
      <c r="BC29" s="1265"/>
      <c r="BD29" s="1258"/>
      <c r="BE29" s="1259"/>
      <c r="BF29" s="1264"/>
      <c r="BG29" s="1264"/>
      <c r="BH29" s="1265"/>
      <c r="BI29" s="1258"/>
      <c r="BJ29" s="1259"/>
      <c r="BK29" s="1264"/>
      <c r="BL29" s="1264"/>
      <c r="BM29" s="1265"/>
      <c r="BN29" s="1286"/>
      <c r="BO29" s="1287"/>
      <c r="BP29" s="1292"/>
      <c r="BQ29" s="1292"/>
      <c r="BR29" s="1293"/>
    </row>
    <row r="30" spans="1:83" s="22" customFormat="1" ht="80.099999999999994" customHeight="1" x14ac:dyDescent="1.35">
      <c r="A30" s="639" t="s">
        <v>131</v>
      </c>
      <c r="B30" s="588">
        <v>90</v>
      </c>
      <c r="C30" s="589"/>
      <c r="D30" s="589"/>
      <c r="E30" s="590"/>
      <c r="F30" s="639" t="s">
        <v>131</v>
      </c>
      <c r="G30" s="588">
        <v>91</v>
      </c>
      <c r="H30" s="589"/>
      <c r="I30" s="589"/>
      <c r="J30" s="590"/>
      <c r="K30" s="639" t="s">
        <v>131</v>
      </c>
      <c r="L30" s="588">
        <v>92</v>
      </c>
      <c r="M30" s="589"/>
      <c r="N30" s="589"/>
      <c r="O30" s="590"/>
      <c r="P30" s="639" t="s">
        <v>131</v>
      </c>
      <c r="Q30" s="588">
        <v>93</v>
      </c>
      <c r="R30" s="589"/>
      <c r="S30" s="589"/>
      <c r="T30" s="590"/>
      <c r="U30" s="639" t="s">
        <v>131</v>
      </c>
      <c r="V30" s="588">
        <v>94</v>
      </c>
      <c r="W30" s="589"/>
      <c r="X30" s="589"/>
      <c r="Y30" s="590"/>
      <c r="Z30" s="639" t="s">
        <v>131</v>
      </c>
      <c r="AA30" s="588">
        <v>95</v>
      </c>
      <c r="AB30" s="589"/>
      <c r="AC30" s="589"/>
      <c r="AD30" s="590"/>
      <c r="AE30" s="639" t="s">
        <v>131</v>
      </c>
      <c r="AF30" s="588">
        <v>96</v>
      </c>
      <c r="AG30" s="589"/>
      <c r="AH30" s="589"/>
      <c r="AI30" s="590"/>
      <c r="AJ30" s="639" t="s">
        <v>131</v>
      </c>
      <c r="AK30" s="588">
        <v>97</v>
      </c>
      <c r="AL30" s="589"/>
      <c r="AM30" s="589"/>
      <c r="AN30" s="590"/>
      <c r="AO30" s="639" t="s">
        <v>131</v>
      </c>
      <c r="AP30" s="588">
        <v>98</v>
      </c>
      <c r="AQ30" s="589"/>
      <c r="AR30" s="589"/>
      <c r="AS30" s="590"/>
      <c r="AT30" s="639" t="s">
        <v>131</v>
      </c>
      <c r="AU30" s="588">
        <v>99</v>
      </c>
      <c r="AV30" s="589"/>
      <c r="AW30" s="589"/>
      <c r="AX30" s="590"/>
      <c r="AY30" s="639" t="s">
        <v>131</v>
      </c>
      <c r="AZ30" s="1266">
        <v>100</v>
      </c>
      <c r="BA30" s="1267"/>
      <c r="BB30" s="1267"/>
      <c r="BC30" s="1268"/>
      <c r="BD30" s="639" t="s">
        <v>131</v>
      </c>
      <c r="BE30" s="1266">
        <v>101</v>
      </c>
      <c r="BF30" s="1267"/>
      <c r="BG30" s="1267"/>
      <c r="BH30" s="1268"/>
      <c r="BI30" s="639" t="s">
        <v>131</v>
      </c>
      <c r="BJ30" s="1266">
        <v>102</v>
      </c>
      <c r="BK30" s="1267"/>
      <c r="BL30" s="1267"/>
      <c r="BM30" s="1268"/>
      <c r="BN30" s="1294" t="s">
        <v>133</v>
      </c>
      <c r="BO30" s="588">
        <v>6</v>
      </c>
      <c r="BP30" s="589"/>
      <c r="BQ30" s="589"/>
      <c r="BR30" s="590"/>
    </row>
    <row r="31" spans="1:83" ht="27" thickBot="1" x14ac:dyDescent="0.3">
      <c r="A31" s="640"/>
      <c r="B31" s="61">
        <v>0.40600000000000003</v>
      </c>
      <c r="C31" s="62" t="s">
        <v>113</v>
      </c>
      <c r="D31" s="63">
        <v>1</v>
      </c>
      <c r="E31" s="64" t="s">
        <v>114</v>
      </c>
      <c r="F31" s="640"/>
      <c r="G31" s="61">
        <v>1.0660000000000001</v>
      </c>
      <c r="H31" s="62" t="s">
        <v>113</v>
      </c>
      <c r="I31" s="63">
        <v>1</v>
      </c>
      <c r="J31" s="64" t="s">
        <v>114</v>
      </c>
      <c r="K31" s="640"/>
      <c r="L31" s="61">
        <v>0.30399999999999999</v>
      </c>
      <c r="M31" s="62" t="s">
        <v>113</v>
      </c>
      <c r="N31" s="63"/>
      <c r="O31" s="64" t="s">
        <v>114</v>
      </c>
      <c r="P31" s="640"/>
      <c r="Q31" s="61">
        <v>1.0000000000000001E-5</v>
      </c>
      <c r="R31" s="62" t="s">
        <v>113</v>
      </c>
      <c r="S31" s="63">
        <v>1</v>
      </c>
      <c r="T31" s="64" t="s">
        <v>114</v>
      </c>
      <c r="U31" s="640"/>
      <c r="V31" s="61">
        <v>0.83799999999999997</v>
      </c>
      <c r="W31" s="62" t="s">
        <v>113</v>
      </c>
      <c r="X31" s="63">
        <v>1</v>
      </c>
      <c r="Y31" s="64" t="s">
        <v>114</v>
      </c>
      <c r="Z31" s="640"/>
      <c r="AA31" s="61">
        <v>1.0000000000000001E-5</v>
      </c>
      <c r="AB31" s="62" t="s">
        <v>113</v>
      </c>
      <c r="AC31" s="63"/>
      <c r="AD31" s="64" t="s">
        <v>114</v>
      </c>
      <c r="AE31" s="640"/>
      <c r="AF31" s="61">
        <v>0.30399999999999999</v>
      </c>
      <c r="AG31" s="62" t="s">
        <v>113</v>
      </c>
      <c r="AH31" s="63">
        <v>1</v>
      </c>
      <c r="AI31" s="64" t="s">
        <v>114</v>
      </c>
      <c r="AJ31" s="640"/>
      <c r="AK31" s="61">
        <v>0.254</v>
      </c>
      <c r="AL31" s="62" t="s">
        <v>113</v>
      </c>
      <c r="AM31" s="63">
        <v>1</v>
      </c>
      <c r="AN31" s="64" t="s">
        <v>114</v>
      </c>
      <c r="AO31" s="640"/>
      <c r="AP31" s="61">
        <v>1E-4</v>
      </c>
      <c r="AQ31" s="62" t="s">
        <v>113</v>
      </c>
      <c r="AR31" s="63"/>
      <c r="AS31" s="64" t="s">
        <v>114</v>
      </c>
      <c r="AT31" s="640"/>
      <c r="AU31" s="61">
        <v>0.55800000000000005</v>
      </c>
      <c r="AV31" s="62" t="s">
        <v>113</v>
      </c>
      <c r="AW31" s="63">
        <v>1</v>
      </c>
      <c r="AX31" s="64" t="s">
        <v>114</v>
      </c>
      <c r="AY31" s="640"/>
      <c r="AZ31" s="61">
        <v>3.302</v>
      </c>
      <c r="BA31" s="62" t="s">
        <v>113</v>
      </c>
      <c r="BB31" s="63">
        <v>1</v>
      </c>
      <c r="BC31" s="64" t="s">
        <v>114</v>
      </c>
      <c r="BD31" s="640"/>
      <c r="BE31" s="61">
        <v>0.45700000000000002</v>
      </c>
      <c r="BF31" s="62" t="s">
        <v>113</v>
      </c>
      <c r="BG31" s="63">
        <v>1</v>
      </c>
      <c r="BH31" s="64" t="s">
        <v>114</v>
      </c>
      <c r="BI31" s="640"/>
      <c r="BJ31" s="61">
        <v>1.012</v>
      </c>
      <c r="BK31" s="62" t="s">
        <v>113</v>
      </c>
      <c r="BL31" s="63"/>
      <c r="BM31" s="64" t="s">
        <v>114</v>
      </c>
      <c r="BN31" s="1295"/>
      <c r="BO31" s="61">
        <v>6.4770000000000003</v>
      </c>
      <c r="BP31" s="62" t="s">
        <v>113</v>
      </c>
      <c r="BQ31" s="63"/>
      <c r="BR31" s="64" t="s">
        <v>114</v>
      </c>
      <c r="BW31" s="27"/>
      <c r="BX31" s="27"/>
      <c r="BY31" s="27"/>
      <c r="BZ31" s="27"/>
      <c r="CA31" s="27"/>
      <c r="CB31" s="27"/>
      <c r="CC31" s="27"/>
      <c r="CD31" s="27"/>
      <c r="CE31" s="27"/>
    </row>
    <row r="32" spans="1:83" ht="26.1" customHeight="1" thickTop="1" x14ac:dyDescent="0.25">
      <c r="A32" s="1282" t="s">
        <v>132</v>
      </c>
      <c r="B32" s="1283"/>
      <c r="C32" s="1288">
        <f t="shared" ref="C32" si="68">B37/((72*3.1415/59)*(45/3.281))</f>
        <v>0.17051983443467872</v>
      </c>
      <c r="D32" s="1288"/>
      <c r="E32" s="1289"/>
      <c r="F32" s="1282" t="s">
        <v>132</v>
      </c>
      <c r="G32" s="1283"/>
      <c r="H32" s="1288">
        <f t="shared" ref="H32" si="69">G37/((72*3.1415/59)*(45/3.281))</f>
        <v>8.4042733478345441E-2</v>
      </c>
      <c r="I32" s="1288"/>
      <c r="J32" s="1289"/>
      <c r="K32" s="1282" t="s">
        <v>132</v>
      </c>
      <c r="L32" s="1283"/>
      <c r="M32" s="1288">
        <f t="shared" ref="M32" si="70">L37/((72*3.1415/59)*(45/3.281))</f>
        <v>0.12076744910330245</v>
      </c>
      <c r="N32" s="1288"/>
      <c r="O32" s="1289"/>
      <c r="P32" s="1282" t="s">
        <v>132</v>
      </c>
      <c r="Q32" s="1283"/>
      <c r="R32" s="1288">
        <f t="shared" ref="R32" si="71">Q37/((72*3.1415/59)*(45/3.281))</f>
        <v>0.11593675113917036</v>
      </c>
      <c r="S32" s="1288"/>
      <c r="T32" s="1289"/>
      <c r="U32" s="1282" t="s">
        <v>132</v>
      </c>
      <c r="V32" s="1283"/>
      <c r="W32" s="1288">
        <f t="shared" ref="W32" si="72">V37/((72*3.1415/59)*(45/3.281))</f>
        <v>1.110680161831947E-2</v>
      </c>
      <c r="X32" s="1288"/>
      <c r="Y32" s="1289"/>
      <c r="Z32" s="1282" t="s">
        <v>132</v>
      </c>
      <c r="AA32" s="1283"/>
      <c r="AB32" s="1288">
        <f t="shared" ref="AB32" si="73">AA37/((72*3.1415/59)*(45/3.281))</f>
        <v>1.3522150600385519E-2</v>
      </c>
      <c r="AC32" s="1288"/>
      <c r="AD32" s="1289"/>
      <c r="AE32" s="1282" t="s">
        <v>132</v>
      </c>
      <c r="AF32" s="1283"/>
      <c r="AG32" s="1288">
        <f t="shared" ref="AG32" si="74">AF37/((72*3.1415/59)*(45/3.281))</f>
        <v>2.7044301200771038E-2</v>
      </c>
      <c r="AH32" s="1288"/>
      <c r="AI32" s="1289"/>
      <c r="AJ32" s="1282" t="s">
        <v>132</v>
      </c>
      <c r="AK32" s="1283"/>
      <c r="AL32" s="1288">
        <f t="shared" ref="AL32" si="75">AK37/((72*3.1415/59)*(45/3.281))</f>
        <v>2.6568838802726542E-2</v>
      </c>
      <c r="AM32" s="1288"/>
      <c r="AN32" s="1289"/>
      <c r="AO32" s="1282" t="s">
        <v>132</v>
      </c>
      <c r="AP32" s="1283"/>
      <c r="AQ32" s="1288">
        <f t="shared" ref="AQ32" si="76">AP37/((72*3.1415/59)*(45/3.281))</f>
        <v>2.4628952218704987E-2</v>
      </c>
      <c r="AR32" s="1288"/>
      <c r="AS32" s="1289"/>
      <c r="AT32" s="1282" t="s">
        <v>132</v>
      </c>
      <c r="AU32" s="1283"/>
      <c r="AV32" s="1288">
        <f t="shared" ref="AV32" si="77">AU37/((72*3.1415/59)*(45/3.281))</f>
        <v>1.8352848564517618E-2</v>
      </c>
      <c r="AW32" s="1288"/>
      <c r="AX32" s="1289"/>
      <c r="AY32" s="1282" t="s">
        <v>132</v>
      </c>
      <c r="AZ32" s="1283"/>
      <c r="BA32" s="1288">
        <f t="shared" ref="BA32" si="78">AZ37/((72*3.1415/59)*(45/3.281))</f>
        <v>4.8306979641320989E-3</v>
      </c>
      <c r="BB32" s="1288"/>
      <c r="BC32" s="1289"/>
      <c r="BD32" s="1282" t="s">
        <v>132</v>
      </c>
      <c r="BE32" s="1283"/>
      <c r="BF32" s="1288">
        <f t="shared" ref="BF32" si="79">BE37/((72*3.1415/59)*(45/3.281))</f>
        <v>1.9018495921779913E-8</v>
      </c>
      <c r="BG32" s="1288"/>
      <c r="BH32" s="1289"/>
      <c r="BI32" s="1282" t="s">
        <v>132</v>
      </c>
      <c r="BJ32" s="1283"/>
      <c r="BK32" s="1288">
        <f t="shared" ref="BK32" si="80">BJ37/((72*3.1415/59)*(45/3.281))</f>
        <v>1.9018495921779916E-7</v>
      </c>
      <c r="BL32" s="1288"/>
      <c r="BM32" s="1289"/>
      <c r="BN32" s="1282" t="s">
        <v>132</v>
      </c>
      <c r="BO32" s="1283"/>
      <c r="BP32" s="1288">
        <f t="shared" ref="BP32" si="81">BO37/((72*3.1415/59)*(45/3.281))</f>
        <v>2.0768197546583669E-2</v>
      </c>
      <c r="BQ32" s="1288"/>
      <c r="BR32" s="1289"/>
    </row>
    <row r="33" spans="1:83" ht="6.75" customHeight="1" x14ac:dyDescent="0.25">
      <c r="A33" s="1284"/>
      <c r="B33" s="1285"/>
      <c r="C33" s="1290"/>
      <c r="D33" s="1290"/>
      <c r="E33" s="1291"/>
      <c r="F33" s="1284"/>
      <c r="G33" s="1285"/>
      <c r="H33" s="1290"/>
      <c r="I33" s="1290"/>
      <c r="J33" s="1291"/>
      <c r="K33" s="1284"/>
      <c r="L33" s="1285"/>
      <c r="M33" s="1290"/>
      <c r="N33" s="1290"/>
      <c r="O33" s="1291"/>
      <c r="P33" s="1284"/>
      <c r="Q33" s="1285"/>
      <c r="R33" s="1290"/>
      <c r="S33" s="1290"/>
      <c r="T33" s="1291"/>
      <c r="U33" s="1284"/>
      <c r="V33" s="1285"/>
      <c r="W33" s="1290"/>
      <c r="X33" s="1290"/>
      <c r="Y33" s="1291"/>
      <c r="Z33" s="1284"/>
      <c r="AA33" s="1285"/>
      <c r="AB33" s="1290"/>
      <c r="AC33" s="1290"/>
      <c r="AD33" s="1291"/>
      <c r="AE33" s="1284"/>
      <c r="AF33" s="1285"/>
      <c r="AG33" s="1290"/>
      <c r="AH33" s="1290"/>
      <c r="AI33" s="1291"/>
      <c r="AJ33" s="1284"/>
      <c r="AK33" s="1285"/>
      <c r="AL33" s="1290"/>
      <c r="AM33" s="1290"/>
      <c r="AN33" s="1291"/>
      <c r="AO33" s="1284"/>
      <c r="AP33" s="1285"/>
      <c r="AQ33" s="1290"/>
      <c r="AR33" s="1290"/>
      <c r="AS33" s="1291"/>
      <c r="AT33" s="1284"/>
      <c r="AU33" s="1285"/>
      <c r="AV33" s="1290"/>
      <c r="AW33" s="1290"/>
      <c r="AX33" s="1291"/>
      <c r="AY33" s="1284"/>
      <c r="AZ33" s="1285"/>
      <c r="BA33" s="1290"/>
      <c r="BB33" s="1290"/>
      <c r="BC33" s="1291"/>
      <c r="BD33" s="1284"/>
      <c r="BE33" s="1285"/>
      <c r="BF33" s="1290"/>
      <c r="BG33" s="1290"/>
      <c r="BH33" s="1291"/>
      <c r="BI33" s="1284"/>
      <c r="BJ33" s="1285"/>
      <c r="BK33" s="1290"/>
      <c r="BL33" s="1290"/>
      <c r="BM33" s="1291"/>
      <c r="BN33" s="1284"/>
      <c r="BO33" s="1285"/>
      <c r="BP33" s="1290"/>
      <c r="BQ33" s="1290"/>
      <c r="BR33" s="1291"/>
    </row>
    <row r="34" spans="1:83" ht="21.95" customHeight="1" x14ac:dyDescent="0.25">
      <c r="A34" s="1284"/>
      <c r="B34" s="1285"/>
      <c r="C34" s="1290"/>
      <c r="D34" s="1290"/>
      <c r="E34" s="1291"/>
      <c r="F34" s="1284"/>
      <c r="G34" s="1285"/>
      <c r="H34" s="1290"/>
      <c r="I34" s="1290"/>
      <c r="J34" s="1291"/>
      <c r="K34" s="1284"/>
      <c r="L34" s="1285"/>
      <c r="M34" s="1290"/>
      <c r="N34" s="1290"/>
      <c r="O34" s="1291"/>
      <c r="P34" s="1284"/>
      <c r="Q34" s="1285"/>
      <c r="R34" s="1290"/>
      <c r="S34" s="1290"/>
      <c r="T34" s="1291"/>
      <c r="U34" s="1284"/>
      <c r="V34" s="1285"/>
      <c r="W34" s="1290"/>
      <c r="X34" s="1290"/>
      <c r="Y34" s="1291"/>
      <c r="Z34" s="1284"/>
      <c r="AA34" s="1285"/>
      <c r="AB34" s="1290"/>
      <c r="AC34" s="1290"/>
      <c r="AD34" s="1291"/>
      <c r="AE34" s="1284"/>
      <c r="AF34" s="1285"/>
      <c r="AG34" s="1290"/>
      <c r="AH34" s="1290"/>
      <c r="AI34" s="1291"/>
      <c r="AJ34" s="1284"/>
      <c r="AK34" s="1285"/>
      <c r="AL34" s="1290"/>
      <c r="AM34" s="1290"/>
      <c r="AN34" s="1291"/>
      <c r="AO34" s="1284"/>
      <c r="AP34" s="1285"/>
      <c r="AQ34" s="1290"/>
      <c r="AR34" s="1290"/>
      <c r="AS34" s="1291"/>
      <c r="AT34" s="1284"/>
      <c r="AU34" s="1285"/>
      <c r="AV34" s="1290"/>
      <c r="AW34" s="1290"/>
      <c r="AX34" s="1291"/>
      <c r="AY34" s="1284"/>
      <c r="AZ34" s="1285"/>
      <c r="BA34" s="1290"/>
      <c r="BB34" s="1290"/>
      <c r="BC34" s="1291"/>
      <c r="BD34" s="1284"/>
      <c r="BE34" s="1285"/>
      <c r="BF34" s="1290"/>
      <c r="BG34" s="1290"/>
      <c r="BH34" s="1291"/>
      <c r="BI34" s="1284"/>
      <c r="BJ34" s="1285"/>
      <c r="BK34" s="1290"/>
      <c r="BL34" s="1290"/>
      <c r="BM34" s="1291"/>
      <c r="BN34" s="1284"/>
      <c r="BO34" s="1285"/>
      <c r="BP34" s="1290"/>
      <c r="BQ34" s="1290"/>
      <c r="BR34" s="1291"/>
    </row>
    <row r="35" spans="1:83" ht="6" customHeight="1" x14ac:dyDescent="0.25">
      <c r="A35" s="1286"/>
      <c r="B35" s="1287"/>
      <c r="C35" s="1292"/>
      <c r="D35" s="1292"/>
      <c r="E35" s="1293"/>
      <c r="F35" s="1286"/>
      <c r="G35" s="1287"/>
      <c r="H35" s="1292"/>
      <c r="I35" s="1292"/>
      <c r="J35" s="1293"/>
      <c r="K35" s="1286"/>
      <c r="L35" s="1287"/>
      <c r="M35" s="1292"/>
      <c r="N35" s="1292"/>
      <c r="O35" s="1293"/>
      <c r="P35" s="1286"/>
      <c r="Q35" s="1287"/>
      <c r="R35" s="1292"/>
      <c r="S35" s="1292"/>
      <c r="T35" s="1293"/>
      <c r="U35" s="1286"/>
      <c r="V35" s="1287"/>
      <c r="W35" s="1292"/>
      <c r="X35" s="1292"/>
      <c r="Y35" s="1293"/>
      <c r="Z35" s="1286"/>
      <c r="AA35" s="1287"/>
      <c r="AB35" s="1292"/>
      <c r="AC35" s="1292"/>
      <c r="AD35" s="1293"/>
      <c r="AE35" s="1286"/>
      <c r="AF35" s="1287"/>
      <c r="AG35" s="1292"/>
      <c r="AH35" s="1292"/>
      <c r="AI35" s="1293"/>
      <c r="AJ35" s="1286"/>
      <c r="AK35" s="1287"/>
      <c r="AL35" s="1292"/>
      <c r="AM35" s="1292"/>
      <c r="AN35" s="1293"/>
      <c r="AO35" s="1286"/>
      <c r="AP35" s="1287"/>
      <c r="AQ35" s="1292"/>
      <c r="AR35" s="1292"/>
      <c r="AS35" s="1293"/>
      <c r="AT35" s="1286"/>
      <c r="AU35" s="1287"/>
      <c r="AV35" s="1292"/>
      <c r="AW35" s="1292"/>
      <c r="AX35" s="1293"/>
      <c r="AY35" s="1286"/>
      <c r="AZ35" s="1287"/>
      <c r="BA35" s="1292"/>
      <c r="BB35" s="1292"/>
      <c r="BC35" s="1293"/>
      <c r="BD35" s="1286"/>
      <c r="BE35" s="1287"/>
      <c r="BF35" s="1292"/>
      <c r="BG35" s="1292"/>
      <c r="BH35" s="1293"/>
      <c r="BI35" s="1286"/>
      <c r="BJ35" s="1287"/>
      <c r="BK35" s="1292"/>
      <c r="BL35" s="1292"/>
      <c r="BM35" s="1293"/>
      <c r="BN35" s="1286"/>
      <c r="BO35" s="1287"/>
      <c r="BP35" s="1292"/>
      <c r="BQ35" s="1292"/>
      <c r="BR35" s="1293"/>
    </row>
    <row r="36" spans="1:83" s="22" customFormat="1" ht="80.099999999999994" customHeight="1" x14ac:dyDescent="1.35">
      <c r="A36" s="1294" t="s">
        <v>133</v>
      </c>
      <c r="B36" s="588">
        <v>13</v>
      </c>
      <c r="C36" s="589"/>
      <c r="D36" s="589"/>
      <c r="E36" s="590"/>
      <c r="F36" s="1294" t="s">
        <v>133</v>
      </c>
      <c r="G36" s="588">
        <v>17</v>
      </c>
      <c r="H36" s="589"/>
      <c r="I36" s="589"/>
      <c r="J36" s="590"/>
      <c r="K36" s="1294" t="s">
        <v>133</v>
      </c>
      <c r="L36" s="588">
        <v>20</v>
      </c>
      <c r="M36" s="589"/>
      <c r="N36" s="589"/>
      <c r="O36" s="590"/>
      <c r="P36" s="1294" t="s">
        <v>133</v>
      </c>
      <c r="Q36" s="588">
        <v>22</v>
      </c>
      <c r="R36" s="589"/>
      <c r="S36" s="589"/>
      <c r="T36" s="590"/>
      <c r="U36" s="1294" t="s">
        <v>133</v>
      </c>
      <c r="V36" s="588">
        <v>29</v>
      </c>
      <c r="W36" s="589"/>
      <c r="X36" s="589"/>
      <c r="Y36" s="590"/>
      <c r="Z36" s="1294" t="s">
        <v>133</v>
      </c>
      <c r="AA36" s="588">
        <v>33</v>
      </c>
      <c r="AB36" s="589"/>
      <c r="AC36" s="589"/>
      <c r="AD36" s="590"/>
      <c r="AE36" s="1294" t="s">
        <v>133</v>
      </c>
      <c r="AF36" s="588">
        <v>34</v>
      </c>
      <c r="AG36" s="589"/>
      <c r="AH36" s="589"/>
      <c r="AI36" s="590"/>
      <c r="AJ36" s="1294" t="s">
        <v>133</v>
      </c>
      <c r="AK36" s="588">
        <v>35</v>
      </c>
      <c r="AL36" s="589"/>
      <c r="AM36" s="589"/>
      <c r="AN36" s="590"/>
      <c r="AO36" s="1294" t="s">
        <v>133</v>
      </c>
      <c r="AP36" s="588">
        <v>36</v>
      </c>
      <c r="AQ36" s="589"/>
      <c r="AR36" s="589"/>
      <c r="AS36" s="590"/>
      <c r="AT36" s="1294" t="s">
        <v>133</v>
      </c>
      <c r="AU36" s="588">
        <v>38</v>
      </c>
      <c r="AV36" s="589"/>
      <c r="AW36" s="589"/>
      <c r="AX36" s="590"/>
      <c r="AY36" s="1294" t="s">
        <v>133</v>
      </c>
      <c r="AZ36" s="588">
        <v>39</v>
      </c>
      <c r="BA36" s="589"/>
      <c r="BB36" s="589"/>
      <c r="BC36" s="590"/>
      <c r="BD36" s="1294" t="s">
        <v>133</v>
      </c>
      <c r="BE36" s="588">
        <v>40</v>
      </c>
      <c r="BF36" s="589"/>
      <c r="BG36" s="589"/>
      <c r="BH36" s="590"/>
      <c r="BI36" s="1294" t="s">
        <v>133</v>
      </c>
      <c r="BJ36" s="588">
        <v>41</v>
      </c>
      <c r="BK36" s="589"/>
      <c r="BL36" s="589"/>
      <c r="BM36" s="590"/>
      <c r="BN36" s="1294" t="s">
        <v>133</v>
      </c>
      <c r="BO36" s="588">
        <v>42</v>
      </c>
      <c r="BP36" s="589"/>
      <c r="BQ36" s="589"/>
      <c r="BR36" s="590"/>
    </row>
    <row r="37" spans="1:83" ht="27" thickBot="1" x14ac:dyDescent="0.3">
      <c r="A37" s="1295"/>
      <c r="B37" s="61">
        <v>8.9659999999999993</v>
      </c>
      <c r="C37" s="62" t="s">
        <v>113</v>
      </c>
      <c r="D37" s="63">
        <v>1</v>
      </c>
      <c r="E37" s="64" t="s">
        <v>114</v>
      </c>
      <c r="F37" s="1295"/>
      <c r="G37" s="61">
        <v>4.4189999999999996</v>
      </c>
      <c r="H37" s="62" t="s">
        <v>113</v>
      </c>
      <c r="I37" s="63"/>
      <c r="J37" s="64" t="s">
        <v>114</v>
      </c>
      <c r="K37" s="1295"/>
      <c r="L37" s="61">
        <v>6.35</v>
      </c>
      <c r="M37" s="62" t="s">
        <v>113</v>
      </c>
      <c r="N37" s="63"/>
      <c r="O37" s="64" t="s">
        <v>114</v>
      </c>
      <c r="P37" s="1295"/>
      <c r="Q37" s="61">
        <v>6.0960000000000001</v>
      </c>
      <c r="R37" s="62" t="s">
        <v>113</v>
      </c>
      <c r="S37" s="63">
        <v>1</v>
      </c>
      <c r="T37" s="64" t="s">
        <v>114</v>
      </c>
      <c r="U37" s="1295"/>
      <c r="V37" s="61">
        <v>0.58399999999999996</v>
      </c>
      <c r="W37" s="62" t="s">
        <v>113</v>
      </c>
      <c r="X37" s="63"/>
      <c r="Y37" s="64" t="s">
        <v>114</v>
      </c>
      <c r="Z37" s="1295"/>
      <c r="AA37" s="61">
        <v>0.71099999999999997</v>
      </c>
      <c r="AB37" s="62" t="s">
        <v>113</v>
      </c>
      <c r="AC37" s="63">
        <v>1</v>
      </c>
      <c r="AD37" s="64" t="s">
        <v>114</v>
      </c>
      <c r="AE37" s="1295"/>
      <c r="AF37" s="61">
        <v>1.4219999999999999</v>
      </c>
      <c r="AG37" s="62" t="s">
        <v>113</v>
      </c>
      <c r="AH37" s="63">
        <v>1</v>
      </c>
      <c r="AI37" s="64" t="s">
        <v>114</v>
      </c>
      <c r="AJ37" s="1295"/>
      <c r="AK37" s="61">
        <v>1.397</v>
      </c>
      <c r="AL37" s="62" t="s">
        <v>113</v>
      </c>
      <c r="AM37" s="63"/>
      <c r="AN37" s="64" t="s">
        <v>114</v>
      </c>
      <c r="AO37" s="1295"/>
      <c r="AP37" s="61">
        <v>1.2949999999999999</v>
      </c>
      <c r="AQ37" s="62" t="s">
        <v>113</v>
      </c>
      <c r="AR37" s="63">
        <v>1</v>
      </c>
      <c r="AS37" s="64" t="s">
        <v>114</v>
      </c>
      <c r="AT37" s="1295"/>
      <c r="AU37" s="61">
        <v>0.96499999999999997</v>
      </c>
      <c r="AV37" s="62" t="s">
        <v>113</v>
      </c>
      <c r="AW37" s="63"/>
      <c r="AX37" s="64" t="s">
        <v>114</v>
      </c>
      <c r="AY37" s="1295"/>
      <c r="AZ37" s="61">
        <v>0.254</v>
      </c>
      <c r="BA37" s="62" t="s">
        <v>113</v>
      </c>
      <c r="BB37" s="63">
        <v>1</v>
      </c>
      <c r="BC37" s="64" t="s">
        <v>114</v>
      </c>
      <c r="BD37" s="1295"/>
      <c r="BE37" s="61">
        <v>9.9999999999999995E-7</v>
      </c>
      <c r="BF37" s="62" t="s">
        <v>113</v>
      </c>
      <c r="BG37" s="63"/>
      <c r="BH37" s="64" t="s">
        <v>114</v>
      </c>
      <c r="BI37" s="1295"/>
      <c r="BJ37" s="61">
        <v>1.0000000000000001E-5</v>
      </c>
      <c r="BK37" s="62" t="s">
        <v>113</v>
      </c>
      <c r="BL37" s="63">
        <v>1</v>
      </c>
      <c r="BM37" s="64" t="s">
        <v>114</v>
      </c>
      <c r="BN37" s="1295"/>
      <c r="BO37" s="61">
        <v>1.0920000000000001</v>
      </c>
      <c r="BP37" s="62" t="s">
        <v>113</v>
      </c>
      <c r="BQ37" s="63"/>
      <c r="BR37" s="64" t="s">
        <v>114</v>
      </c>
      <c r="BW37" s="27"/>
      <c r="BX37" s="27"/>
      <c r="BY37" s="27"/>
      <c r="BZ37" s="27"/>
      <c r="CA37" s="27"/>
      <c r="CB37" s="27"/>
      <c r="CC37" s="27"/>
      <c r="CD37" s="27"/>
      <c r="CE37" s="27"/>
    </row>
    <row r="38" spans="1:83" ht="26.1" customHeight="1" thickTop="1" x14ac:dyDescent="0.25">
      <c r="A38" s="1282" t="s">
        <v>132</v>
      </c>
      <c r="B38" s="1283"/>
      <c r="C38" s="1288">
        <f t="shared" ref="C38" si="82">B43/((72*3.1415/59)*(45/3.281))</f>
        <v>1.9018495921779915E-6</v>
      </c>
      <c r="D38" s="1288"/>
      <c r="E38" s="1289"/>
      <c r="F38" s="1282" t="s">
        <v>132</v>
      </c>
      <c r="G38" s="1283"/>
      <c r="H38" s="1288">
        <f t="shared" ref="H38" si="83">G43/((72*3.1415/59)*(45/3.281))</f>
        <v>2.6568838802726542E-2</v>
      </c>
      <c r="I38" s="1288"/>
      <c r="J38" s="1289"/>
      <c r="K38" s="1282" t="s">
        <v>132</v>
      </c>
      <c r="L38" s="1283"/>
      <c r="M38" s="1288">
        <f t="shared" ref="M38" si="84">L43/((72*3.1415/59)*(45/3.281))</f>
        <v>1.9018495921779916E-7</v>
      </c>
      <c r="N38" s="1288"/>
      <c r="O38" s="1289"/>
      <c r="P38" s="1282" t="s">
        <v>134</v>
      </c>
      <c r="Q38" s="1283"/>
      <c r="R38" s="1288">
        <f t="shared" ref="R38" si="85">Q43/((72*3.1415/59)*(45/3.281))</f>
        <v>1.9018495921779916E-7</v>
      </c>
      <c r="S38" s="1288"/>
      <c r="T38" s="1289"/>
      <c r="U38" s="1282" t="s">
        <v>132</v>
      </c>
      <c r="V38" s="1283"/>
      <c r="W38" s="1288">
        <f t="shared" ref="W38" si="86">V43/((72*3.1415/59)*(45/3.281))</f>
        <v>9.6613959282641979E-3</v>
      </c>
      <c r="X38" s="1288"/>
      <c r="Y38" s="1289"/>
      <c r="Z38" s="1282" t="s">
        <v>132</v>
      </c>
      <c r="AA38" s="1283"/>
      <c r="AB38" s="1288">
        <f>AA43/((72*3.1415/59)*(45/3.281))</f>
        <v>2.2689065634683439E-2</v>
      </c>
      <c r="AC38" s="1288"/>
      <c r="AD38" s="1289"/>
      <c r="AE38" s="1282" t="s">
        <v>132</v>
      </c>
      <c r="AF38" s="1283"/>
      <c r="AG38" s="1288">
        <f t="shared" ref="AG38" si="87">AF43/((72*3.1415/59)*(45/3.281))</f>
        <v>1.3027669706419243E-2</v>
      </c>
      <c r="AH38" s="1288"/>
      <c r="AI38" s="1289"/>
      <c r="AJ38" s="1282" t="s">
        <v>132</v>
      </c>
      <c r="AK38" s="1283"/>
      <c r="AL38" s="1288">
        <f t="shared" ref="AL38" si="88">AK43/((72*3.1415/59)*(45/3.281))</f>
        <v>8.691452636253422E-3</v>
      </c>
      <c r="AM38" s="1288"/>
      <c r="AN38" s="1289"/>
      <c r="AO38" s="1282" t="s">
        <v>132</v>
      </c>
      <c r="AP38" s="1283"/>
      <c r="AQ38" s="1288">
        <f t="shared" ref="AQ38" si="89">AP43/((72*3.1415/59)*(45/3.281))</f>
        <v>7.7215093442426462E-3</v>
      </c>
      <c r="AR38" s="1288"/>
      <c r="AS38" s="1289"/>
      <c r="AT38" s="1282" t="s">
        <v>132</v>
      </c>
      <c r="AU38" s="1283"/>
      <c r="AV38" s="1288">
        <f t="shared" ref="AV38" si="90">AU43/((72*3.1415/59)*(45/3.281))</f>
        <v>1.9018495921779915E-6</v>
      </c>
      <c r="AW38" s="1288"/>
      <c r="AX38" s="1289"/>
      <c r="AY38" s="1282" t="s">
        <v>132</v>
      </c>
      <c r="AZ38" s="1283"/>
      <c r="BA38" s="1288">
        <f t="shared" ref="BA38" si="91">AZ43/((72*3.1415/59)*(45/3.281))</f>
        <v>5.7816227602210937E-3</v>
      </c>
      <c r="BB38" s="1288"/>
      <c r="BC38" s="1289"/>
      <c r="BD38" s="1282" t="s">
        <v>132</v>
      </c>
      <c r="BE38" s="1283"/>
      <c r="BF38" s="1288">
        <f t="shared" ref="BF38" si="92">BE43/((72*3.1415/59)*(45/3.281))</f>
        <v>1.9018495921779913E-8</v>
      </c>
      <c r="BG38" s="1288"/>
      <c r="BH38" s="1289"/>
      <c r="BI38" s="1282" t="s">
        <v>132</v>
      </c>
      <c r="BJ38" s="1283"/>
      <c r="BK38" s="1288">
        <f t="shared" ref="BK38" si="93">BJ43/((72*3.1415/59)*(45/3.281))</f>
        <v>1.9018495921779916E-7</v>
      </c>
      <c r="BL38" s="1288"/>
      <c r="BM38" s="1289"/>
      <c r="BN38" s="1282" t="s">
        <v>132</v>
      </c>
      <c r="BO38" s="1283"/>
      <c r="BP38" s="1288">
        <f t="shared" ref="BP38" si="94">BO43/((72*3.1415/59)*(45/3.281))</f>
        <v>1.1582264016363968E-2</v>
      </c>
      <c r="BQ38" s="1288"/>
      <c r="BR38" s="1289"/>
    </row>
    <row r="39" spans="1:83" ht="6.75" customHeight="1" x14ac:dyDescent="0.25">
      <c r="A39" s="1284"/>
      <c r="B39" s="1285"/>
      <c r="C39" s="1290"/>
      <c r="D39" s="1290"/>
      <c r="E39" s="1291"/>
      <c r="F39" s="1284"/>
      <c r="G39" s="1285"/>
      <c r="H39" s="1290"/>
      <c r="I39" s="1290"/>
      <c r="J39" s="1291"/>
      <c r="K39" s="1284"/>
      <c r="L39" s="1285"/>
      <c r="M39" s="1290"/>
      <c r="N39" s="1290"/>
      <c r="O39" s="1291"/>
      <c r="P39" s="1284"/>
      <c r="Q39" s="1285"/>
      <c r="R39" s="1290"/>
      <c r="S39" s="1290"/>
      <c r="T39" s="1291"/>
      <c r="U39" s="1284"/>
      <c r="V39" s="1285"/>
      <c r="W39" s="1290"/>
      <c r="X39" s="1290"/>
      <c r="Y39" s="1291"/>
      <c r="Z39" s="1284"/>
      <c r="AA39" s="1285"/>
      <c r="AB39" s="1290"/>
      <c r="AC39" s="1290"/>
      <c r="AD39" s="1291"/>
      <c r="AE39" s="1284"/>
      <c r="AF39" s="1285"/>
      <c r="AG39" s="1290"/>
      <c r="AH39" s="1290"/>
      <c r="AI39" s="1291"/>
      <c r="AJ39" s="1284"/>
      <c r="AK39" s="1285"/>
      <c r="AL39" s="1290"/>
      <c r="AM39" s="1290"/>
      <c r="AN39" s="1291"/>
      <c r="AO39" s="1284"/>
      <c r="AP39" s="1285"/>
      <c r="AQ39" s="1290"/>
      <c r="AR39" s="1290"/>
      <c r="AS39" s="1291"/>
      <c r="AT39" s="1284"/>
      <c r="AU39" s="1285"/>
      <c r="AV39" s="1290"/>
      <c r="AW39" s="1290"/>
      <c r="AX39" s="1291"/>
      <c r="AY39" s="1284"/>
      <c r="AZ39" s="1285"/>
      <c r="BA39" s="1290"/>
      <c r="BB39" s="1290"/>
      <c r="BC39" s="1291"/>
      <c r="BD39" s="1284"/>
      <c r="BE39" s="1285"/>
      <c r="BF39" s="1290"/>
      <c r="BG39" s="1290"/>
      <c r="BH39" s="1291"/>
      <c r="BI39" s="1284"/>
      <c r="BJ39" s="1285"/>
      <c r="BK39" s="1290"/>
      <c r="BL39" s="1290"/>
      <c r="BM39" s="1291"/>
      <c r="BN39" s="1284"/>
      <c r="BO39" s="1285"/>
      <c r="BP39" s="1290"/>
      <c r="BQ39" s="1290"/>
      <c r="BR39" s="1291"/>
    </row>
    <row r="40" spans="1:83" ht="21.95" customHeight="1" x14ac:dyDescent="0.25">
      <c r="A40" s="1284"/>
      <c r="B40" s="1285"/>
      <c r="C40" s="1290"/>
      <c r="D40" s="1290"/>
      <c r="E40" s="1291"/>
      <c r="F40" s="1284"/>
      <c r="G40" s="1285"/>
      <c r="H40" s="1290"/>
      <c r="I40" s="1290"/>
      <c r="J40" s="1291"/>
      <c r="K40" s="1284"/>
      <c r="L40" s="1285"/>
      <c r="M40" s="1290"/>
      <c r="N40" s="1290"/>
      <c r="O40" s="1291"/>
      <c r="P40" s="1284"/>
      <c r="Q40" s="1285"/>
      <c r="R40" s="1290"/>
      <c r="S40" s="1290"/>
      <c r="T40" s="1291"/>
      <c r="U40" s="1284"/>
      <c r="V40" s="1285"/>
      <c r="W40" s="1290"/>
      <c r="X40" s="1290"/>
      <c r="Y40" s="1291"/>
      <c r="Z40" s="1284"/>
      <c r="AA40" s="1285"/>
      <c r="AB40" s="1290"/>
      <c r="AC40" s="1290"/>
      <c r="AD40" s="1291"/>
      <c r="AE40" s="1284"/>
      <c r="AF40" s="1285"/>
      <c r="AG40" s="1290"/>
      <c r="AH40" s="1290"/>
      <c r="AI40" s="1291"/>
      <c r="AJ40" s="1284"/>
      <c r="AK40" s="1285"/>
      <c r="AL40" s="1290"/>
      <c r="AM40" s="1290"/>
      <c r="AN40" s="1291"/>
      <c r="AO40" s="1284"/>
      <c r="AP40" s="1285"/>
      <c r="AQ40" s="1290"/>
      <c r="AR40" s="1290"/>
      <c r="AS40" s="1291"/>
      <c r="AT40" s="1284"/>
      <c r="AU40" s="1285"/>
      <c r="AV40" s="1290"/>
      <c r="AW40" s="1290"/>
      <c r="AX40" s="1291"/>
      <c r="AY40" s="1284"/>
      <c r="AZ40" s="1285"/>
      <c r="BA40" s="1290"/>
      <c r="BB40" s="1290"/>
      <c r="BC40" s="1291"/>
      <c r="BD40" s="1284"/>
      <c r="BE40" s="1285"/>
      <c r="BF40" s="1290"/>
      <c r="BG40" s="1290"/>
      <c r="BH40" s="1291"/>
      <c r="BI40" s="1284"/>
      <c r="BJ40" s="1285"/>
      <c r="BK40" s="1290"/>
      <c r="BL40" s="1290"/>
      <c r="BM40" s="1291"/>
      <c r="BN40" s="1284"/>
      <c r="BO40" s="1285"/>
      <c r="BP40" s="1290"/>
      <c r="BQ40" s="1290"/>
      <c r="BR40" s="1291"/>
    </row>
    <row r="41" spans="1:83" ht="6" customHeight="1" x14ac:dyDescent="0.25">
      <c r="A41" s="1286"/>
      <c r="B41" s="1287"/>
      <c r="C41" s="1292"/>
      <c r="D41" s="1292"/>
      <c r="E41" s="1293"/>
      <c r="F41" s="1286"/>
      <c r="G41" s="1287"/>
      <c r="H41" s="1292"/>
      <c r="I41" s="1292"/>
      <c r="J41" s="1293"/>
      <c r="K41" s="1286"/>
      <c r="L41" s="1287"/>
      <c r="M41" s="1292"/>
      <c r="N41" s="1292"/>
      <c r="O41" s="1293"/>
      <c r="P41" s="1286"/>
      <c r="Q41" s="1287"/>
      <c r="R41" s="1292"/>
      <c r="S41" s="1292"/>
      <c r="T41" s="1293"/>
      <c r="U41" s="1286"/>
      <c r="V41" s="1287"/>
      <c r="W41" s="1292"/>
      <c r="X41" s="1292"/>
      <c r="Y41" s="1293"/>
      <c r="Z41" s="1286"/>
      <c r="AA41" s="1287"/>
      <c r="AB41" s="1292"/>
      <c r="AC41" s="1292"/>
      <c r="AD41" s="1293"/>
      <c r="AE41" s="1286"/>
      <c r="AF41" s="1287"/>
      <c r="AG41" s="1292"/>
      <c r="AH41" s="1292"/>
      <c r="AI41" s="1293"/>
      <c r="AJ41" s="1286"/>
      <c r="AK41" s="1287"/>
      <c r="AL41" s="1292"/>
      <c r="AM41" s="1292"/>
      <c r="AN41" s="1293"/>
      <c r="AO41" s="1286"/>
      <c r="AP41" s="1287"/>
      <c r="AQ41" s="1292"/>
      <c r="AR41" s="1292"/>
      <c r="AS41" s="1293"/>
      <c r="AT41" s="1286"/>
      <c r="AU41" s="1287"/>
      <c r="AV41" s="1292"/>
      <c r="AW41" s="1292"/>
      <c r="AX41" s="1293"/>
      <c r="AY41" s="1286"/>
      <c r="AZ41" s="1287"/>
      <c r="BA41" s="1292"/>
      <c r="BB41" s="1292"/>
      <c r="BC41" s="1293"/>
      <c r="BD41" s="1286"/>
      <c r="BE41" s="1287"/>
      <c r="BF41" s="1292"/>
      <c r="BG41" s="1292"/>
      <c r="BH41" s="1293"/>
      <c r="BI41" s="1286"/>
      <c r="BJ41" s="1287"/>
      <c r="BK41" s="1292"/>
      <c r="BL41" s="1292"/>
      <c r="BM41" s="1293"/>
      <c r="BN41" s="1286"/>
      <c r="BO41" s="1287"/>
      <c r="BP41" s="1292"/>
      <c r="BQ41" s="1292"/>
      <c r="BR41" s="1293"/>
    </row>
    <row r="42" spans="1:83" s="22" customFormat="1" ht="80.099999999999994" customHeight="1" x14ac:dyDescent="1.35">
      <c r="A42" s="1294" t="s">
        <v>133</v>
      </c>
      <c r="B42" s="588">
        <v>43</v>
      </c>
      <c r="C42" s="589"/>
      <c r="D42" s="589"/>
      <c r="E42" s="590"/>
      <c r="F42" s="1294" t="s">
        <v>133</v>
      </c>
      <c r="G42" s="588">
        <v>44</v>
      </c>
      <c r="H42" s="589"/>
      <c r="I42" s="589"/>
      <c r="J42" s="590"/>
      <c r="K42" s="1294" t="s">
        <v>133</v>
      </c>
      <c r="L42" s="588">
        <v>45</v>
      </c>
      <c r="M42" s="589"/>
      <c r="N42" s="589"/>
      <c r="O42" s="590"/>
      <c r="P42" s="1294" t="s">
        <v>133</v>
      </c>
      <c r="Q42" s="588">
        <v>46</v>
      </c>
      <c r="R42" s="589"/>
      <c r="S42" s="589"/>
      <c r="T42" s="590"/>
      <c r="U42" s="1294" t="s">
        <v>133</v>
      </c>
      <c r="V42" s="588">
        <v>47</v>
      </c>
      <c r="W42" s="589"/>
      <c r="X42" s="589"/>
      <c r="Y42" s="590"/>
      <c r="Z42" s="1294" t="s">
        <v>133</v>
      </c>
      <c r="AA42" s="588">
        <v>48</v>
      </c>
      <c r="AB42" s="589"/>
      <c r="AC42" s="589"/>
      <c r="AD42" s="590"/>
      <c r="AE42" s="1294" t="s">
        <v>133</v>
      </c>
      <c r="AF42" s="588">
        <v>49</v>
      </c>
      <c r="AG42" s="589"/>
      <c r="AH42" s="589"/>
      <c r="AI42" s="590"/>
      <c r="AJ42" s="1294" t="s">
        <v>133</v>
      </c>
      <c r="AK42" s="588">
        <v>50</v>
      </c>
      <c r="AL42" s="589"/>
      <c r="AM42" s="589"/>
      <c r="AN42" s="590"/>
      <c r="AO42" s="1294" t="s">
        <v>133</v>
      </c>
      <c r="AP42" s="588">
        <v>51</v>
      </c>
      <c r="AQ42" s="589"/>
      <c r="AR42" s="589"/>
      <c r="AS42" s="590"/>
      <c r="AT42" s="1294" t="s">
        <v>133</v>
      </c>
      <c r="AU42" s="588">
        <v>52</v>
      </c>
      <c r="AV42" s="589"/>
      <c r="AW42" s="589"/>
      <c r="AX42" s="590"/>
      <c r="AY42" s="1294" t="s">
        <v>133</v>
      </c>
      <c r="AZ42" s="588">
        <v>53</v>
      </c>
      <c r="BA42" s="589"/>
      <c r="BB42" s="589"/>
      <c r="BC42" s="590"/>
      <c r="BD42" s="1294" t="s">
        <v>133</v>
      </c>
      <c r="BE42" s="588">
        <v>54</v>
      </c>
      <c r="BF42" s="589"/>
      <c r="BG42" s="589"/>
      <c r="BH42" s="590"/>
      <c r="BI42" s="1294" t="s">
        <v>133</v>
      </c>
      <c r="BJ42" s="588">
        <v>55</v>
      </c>
      <c r="BK42" s="589"/>
      <c r="BL42" s="589"/>
      <c r="BM42" s="590"/>
      <c r="BN42" s="1294" t="s">
        <v>133</v>
      </c>
      <c r="BO42" s="588">
        <v>56</v>
      </c>
      <c r="BP42" s="589"/>
      <c r="BQ42" s="589"/>
      <c r="BR42" s="590"/>
    </row>
    <row r="43" spans="1:83" ht="27" thickBot="1" x14ac:dyDescent="0.3">
      <c r="A43" s="1295"/>
      <c r="B43" s="61">
        <v>1E-4</v>
      </c>
      <c r="C43" s="62" t="s">
        <v>113</v>
      </c>
      <c r="D43" s="63">
        <v>1</v>
      </c>
      <c r="E43" s="64" t="s">
        <v>114</v>
      </c>
      <c r="F43" s="1295"/>
      <c r="G43" s="61">
        <v>1.397</v>
      </c>
      <c r="H43" s="62" t="s">
        <v>113</v>
      </c>
      <c r="I43" s="63">
        <v>1</v>
      </c>
      <c r="J43" s="64" t="s">
        <v>114</v>
      </c>
      <c r="K43" s="1295"/>
      <c r="L43" s="61">
        <v>1.0000000000000001E-5</v>
      </c>
      <c r="M43" s="62" t="s">
        <v>113</v>
      </c>
      <c r="N43" s="63"/>
      <c r="O43" s="64" t="s">
        <v>114</v>
      </c>
      <c r="P43" s="1295"/>
      <c r="Q43" s="61">
        <v>1.0000000000000001E-5</v>
      </c>
      <c r="R43" s="62" t="s">
        <v>113</v>
      </c>
      <c r="S43" s="63">
        <v>1</v>
      </c>
      <c r="T43" s="64" t="s">
        <v>114</v>
      </c>
      <c r="U43" s="1295"/>
      <c r="V43" s="61">
        <v>0.50800000000000001</v>
      </c>
      <c r="W43" s="62" t="s">
        <v>113</v>
      </c>
      <c r="X43" s="63"/>
      <c r="Y43" s="64" t="s">
        <v>114</v>
      </c>
      <c r="Z43" s="1295"/>
      <c r="AA43" s="61">
        <v>1.1930000000000001</v>
      </c>
      <c r="AB43" s="62" t="s">
        <v>113</v>
      </c>
      <c r="AC43" s="63">
        <v>1</v>
      </c>
      <c r="AD43" s="64" t="s">
        <v>114</v>
      </c>
      <c r="AE43" s="1295"/>
      <c r="AF43" s="61">
        <v>0.68500000000000005</v>
      </c>
      <c r="AG43" s="62" t="s">
        <v>113</v>
      </c>
      <c r="AH43" s="63"/>
      <c r="AI43" s="64" t="s">
        <v>114</v>
      </c>
      <c r="AJ43" s="1295"/>
      <c r="AK43" s="61">
        <v>0.45700000000000002</v>
      </c>
      <c r="AL43" s="62" t="s">
        <v>113</v>
      </c>
      <c r="AM43" s="63"/>
      <c r="AN43" s="64" t="s">
        <v>114</v>
      </c>
      <c r="AO43" s="1295"/>
      <c r="AP43" s="61">
        <v>0.40600000000000003</v>
      </c>
      <c r="AQ43" s="62" t="s">
        <v>113</v>
      </c>
      <c r="AR43" s="63">
        <v>1</v>
      </c>
      <c r="AS43" s="64" t="s">
        <v>114</v>
      </c>
      <c r="AT43" s="1295"/>
      <c r="AU43" s="61">
        <v>1E-4</v>
      </c>
      <c r="AV43" s="62" t="s">
        <v>113</v>
      </c>
      <c r="AW43" s="63"/>
      <c r="AX43" s="64" t="s">
        <v>114</v>
      </c>
      <c r="AY43" s="1295"/>
      <c r="AZ43" s="61">
        <v>0.30399999999999999</v>
      </c>
      <c r="BA43" s="62" t="s">
        <v>113</v>
      </c>
      <c r="BB43" s="63">
        <v>1</v>
      </c>
      <c r="BC43" s="64" t="s">
        <v>114</v>
      </c>
      <c r="BD43" s="1295"/>
      <c r="BE43" s="61">
        <v>9.9999999999999995E-7</v>
      </c>
      <c r="BF43" s="62" t="s">
        <v>113</v>
      </c>
      <c r="BG43" s="63"/>
      <c r="BH43" s="64" t="s">
        <v>114</v>
      </c>
      <c r="BI43" s="1295"/>
      <c r="BJ43" s="61">
        <v>1.0000000000000001E-5</v>
      </c>
      <c r="BK43" s="62" t="s">
        <v>113</v>
      </c>
      <c r="BL43" s="63">
        <v>1</v>
      </c>
      <c r="BM43" s="64" t="s">
        <v>114</v>
      </c>
      <c r="BN43" s="1295"/>
      <c r="BO43" s="61">
        <v>0.60899999999999999</v>
      </c>
      <c r="BP43" s="62" t="s">
        <v>113</v>
      </c>
      <c r="BQ43" s="63"/>
      <c r="BR43" s="64" t="s">
        <v>114</v>
      </c>
      <c r="BW43" s="27"/>
      <c r="BX43" s="27"/>
      <c r="BY43" s="27"/>
      <c r="BZ43" s="27"/>
      <c r="CA43" s="27"/>
      <c r="CB43" s="27"/>
      <c r="CC43" s="27"/>
      <c r="CD43" s="27"/>
      <c r="CE43" s="27"/>
    </row>
    <row r="44" spans="1:83" ht="26.1" customHeight="1" thickTop="1" x14ac:dyDescent="0.25">
      <c r="A44" s="1282" t="s">
        <v>132</v>
      </c>
      <c r="B44" s="1283"/>
      <c r="C44" s="1288">
        <f t="shared" ref="C44" si="95">B49/((72*3.1415/59)*(45/3.281))</f>
        <v>8.691452636253422E-3</v>
      </c>
      <c r="D44" s="1288"/>
      <c r="E44" s="1289"/>
      <c r="F44" s="1282" t="s">
        <v>132</v>
      </c>
      <c r="G44" s="1283"/>
      <c r="H44" s="1288">
        <f t="shared" ref="H44" si="96">G49/((72*3.1415/59)*(45/3.281))</f>
        <v>1.8352848564517618E-2</v>
      </c>
      <c r="I44" s="1288"/>
      <c r="J44" s="1289"/>
      <c r="K44" s="1282" t="s">
        <v>132</v>
      </c>
      <c r="L44" s="1283"/>
      <c r="M44" s="1288">
        <f t="shared" ref="M44" si="97">L49/((72*3.1415/59)*(45/3.281))</f>
        <v>1.0612320724353193E-2</v>
      </c>
      <c r="N44" s="1288"/>
      <c r="O44" s="1289"/>
      <c r="P44" s="1282" t="s">
        <v>132</v>
      </c>
      <c r="Q44" s="1283"/>
      <c r="R44" s="1288">
        <f t="shared" ref="R44" si="98">Q49/((72*3.1415/59)*(45/3.281))</f>
        <v>1.9018495921779915E-6</v>
      </c>
      <c r="S44" s="1288"/>
      <c r="T44" s="1289"/>
      <c r="U44" s="2422"/>
      <c r="V44" s="672"/>
      <c r="W44" s="672"/>
      <c r="X44" s="673"/>
      <c r="Y44" s="673"/>
      <c r="Z44" s="672"/>
      <c r="AA44" s="672"/>
      <c r="AB44" s="672"/>
      <c r="AC44" s="673"/>
      <c r="AD44" s="673"/>
      <c r="AE44" s="672"/>
      <c r="AF44" s="672"/>
      <c r="AG44" s="672"/>
      <c r="AH44" s="673"/>
      <c r="AI44" s="673"/>
      <c r="AJ44" s="672"/>
      <c r="AK44" s="672"/>
      <c r="AL44" s="672"/>
      <c r="AM44" s="673"/>
      <c r="AN44" s="673"/>
      <c r="AO44" s="672"/>
      <c r="AP44" s="672"/>
      <c r="AQ44" s="672"/>
      <c r="AR44" s="673"/>
      <c r="AS44" s="673"/>
      <c r="AT44" s="672"/>
      <c r="AU44" s="672"/>
      <c r="AV44" s="672"/>
      <c r="AW44" s="673"/>
      <c r="AX44" s="673"/>
      <c r="AY44" s="672"/>
      <c r="AZ44" s="672"/>
      <c r="BA44" s="672"/>
      <c r="BB44" s="673"/>
      <c r="BC44" s="673"/>
      <c r="BD44" s="672"/>
      <c r="BE44" s="672"/>
      <c r="BF44" s="672"/>
      <c r="BG44" s="673"/>
      <c r="BH44" s="673"/>
      <c r="BI44" s="672"/>
      <c r="BJ44" s="672"/>
      <c r="BK44" s="672"/>
      <c r="BL44" s="673"/>
      <c r="BM44" s="673"/>
      <c r="BN44" s="672"/>
      <c r="BO44" s="672"/>
      <c r="BP44" s="672"/>
      <c r="BQ44" s="673"/>
      <c r="BR44" s="673"/>
    </row>
    <row r="45" spans="1:83" ht="6.75" customHeight="1" x14ac:dyDescent="0.25">
      <c r="A45" s="1284"/>
      <c r="B45" s="1285"/>
      <c r="C45" s="1290"/>
      <c r="D45" s="1290"/>
      <c r="E45" s="1291"/>
      <c r="F45" s="1284"/>
      <c r="G45" s="1285"/>
      <c r="H45" s="1290"/>
      <c r="I45" s="1290"/>
      <c r="J45" s="1291"/>
      <c r="K45" s="1284"/>
      <c r="L45" s="1285"/>
      <c r="M45" s="1290"/>
      <c r="N45" s="1290"/>
      <c r="O45" s="1291"/>
      <c r="P45" s="1284"/>
      <c r="Q45" s="1285"/>
      <c r="R45" s="1290"/>
      <c r="S45" s="1290"/>
      <c r="T45" s="1291"/>
      <c r="U45" s="3589"/>
      <c r="V45" s="676"/>
      <c r="W45" s="676"/>
      <c r="X45" s="29"/>
      <c r="Y45" s="29"/>
      <c r="Z45" s="676"/>
      <c r="AA45" s="676"/>
      <c r="AB45" s="676"/>
      <c r="AC45" s="29"/>
      <c r="AD45" s="29"/>
      <c r="AE45" s="676"/>
      <c r="AF45" s="676"/>
      <c r="AG45" s="676"/>
      <c r="AH45" s="29"/>
      <c r="AI45" s="29"/>
      <c r="AJ45" s="676"/>
      <c r="AK45" s="676"/>
      <c r="AL45" s="676"/>
      <c r="AM45" s="29"/>
      <c r="AN45" s="29"/>
      <c r="AO45" s="676"/>
      <c r="AP45" s="676"/>
      <c r="AQ45" s="676"/>
      <c r="AR45" s="29"/>
      <c r="AS45" s="29"/>
      <c r="AT45" s="676"/>
      <c r="AU45" s="676"/>
      <c r="AV45" s="676"/>
      <c r="AW45" s="29"/>
      <c r="AX45" s="29"/>
      <c r="AY45" s="676"/>
      <c r="AZ45" s="676"/>
      <c r="BA45" s="676"/>
      <c r="BB45" s="29"/>
      <c r="BC45" s="29"/>
      <c r="BD45" s="676"/>
      <c r="BE45" s="676"/>
      <c r="BF45" s="676"/>
      <c r="BG45" s="29"/>
      <c r="BH45" s="29"/>
      <c r="BI45" s="676"/>
      <c r="BJ45" s="676"/>
      <c r="BK45" s="676"/>
      <c r="BL45" s="29"/>
      <c r="BM45" s="29"/>
      <c r="BN45" s="676"/>
      <c r="BO45" s="676"/>
      <c r="BP45" s="676"/>
      <c r="BQ45" s="29"/>
      <c r="BR45" s="29"/>
    </row>
    <row r="46" spans="1:83" ht="21.95" customHeight="1" x14ac:dyDescent="0.25">
      <c r="A46" s="1284"/>
      <c r="B46" s="1285"/>
      <c r="C46" s="1290"/>
      <c r="D46" s="1290"/>
      <c r="E46" s="1291"/>
      <c r="F46" s="1284"/>
      <c r="G46" s="1285"/>
      <c r="H46" s="1290"/>
      <c r="I46" s="1290"/>
      <c r="J46" s="1291"/>
      <c r="K46" s="1284"/>
      <c r="L46" s="1285"/>
      <c r="M46" s="1290"/>
      <c r="N46" s="1290"/>
      <c r="O46" s="1291"/>
      <c r="P46" s="1284"/>
      <c r="Q46" s="1285"/>
      <c r="R46" s="1290"/>
      <c r="S46" s="1290"/>
      <c r="T46" s="1291"/>
      <c r="U46" s="3589"/>
      <c r="V46" s="676"/>
      <c r="W46" s="676"/>
      <c r="X46" s="30"/>
      <c r="Y46" s="29"/>
      <c r="Z46" s="676"/>
      <c r="AA46" s="676"/>
      <c r="AB46" s="676"/>
      <c r="AC46" s="30"/>
      <c r="AD46" s="29"/>
      <c r="AE46" s="676"/>
      <c r="AF46" s="676"/>
      <c r="AG46" s="676"/>
      <c r="AH46" s="30"/>
      <c r="AI46" s="29"/>
      <c r="AJ46" s="676"/>
      <c r="AK46" s="676"/>
      <c r="AL46" s="676"/>
      <c r="AM46" s="30"/>
      <c r="AN46" s="29"/>
      <c r="AO46" s="676"/>
      <c r="AP46" s="676"/>
      <c r="AQ46" s="676"/>
      <c r="AR46" s="30"/>
      <c r="AS46" s="29"/>
      <c r="AT46" s="676"/>
      <c r="AU46" s="676"/>
      <c r="AV46" s="676"/>
      <c r="AW46" s="30"/>
      <c r="AX46" s="29"/>
      <c r="AY46" s="676"/>
      <c r="AZ46" s="676"/>
      <c r="BA46" s="676"/>
      <c r="BB46" s="30"/>
      <c r="BC46" s="29"/>
      <c r="BD46" s="676"/>
      <c r="BE46" s="676"/>
      <c r="BF46" s="676"/>
      <c r="BG46" s="30"/>
      <c r="BH46" s="29"/>
      <c r="BI46" s="676"/>
      <c r="BJ46" s="676"/>
      <c r="BK46" s="676"/>
      <c r="BL46" s="30"/>
      <c r="BM46" s="29"/>
      <c r="BN46" s="676"/>
      <c r="BO46" s="676"/>
      <c r="BP46" s="676"/>
      <c r="BQ46" s="30"/>
      <c r="BR46" s="29"/>
    </row>
    <row r="47" spans="1:83" ht="6" customHeight="1" x14ac:dyDescent="0.25">
      <c r="A47" s="1286"/>
      <c r="B47" s="1287"/>
      <c r="C47" s="1292"/>
      <c r="D47" s="1292"/>
      <c r="E47" s="1293"/>
      <c r="F47" s="1286"/>
      <c r="G47" s="1287"/>
      <c r="H47" s="1292"/>
      <c r="I47" s="1292"/>
      <c r="J47" s="1293"/>
      <c r="K47" s="1286"/>
      <c r="L47" s="1287"/>
      <c r="M47" s="1292"/>
      <c r="N47" s="1292"/>
      <c r="O47" s="1293"/>
      <c r="P47" s="1286"/>
      <c r="Q47" s="1287"/>
      <c r="R47" s="1292"/>
      <c r="S47" s="1292"/>
      <c r="T47" s="1293"/>
      <c r="U47" s="3589"/>
      <c r="V47" s="676"/>
      <c r="W47" s="676"/>
      <c r="X47" s="675"/>
      <c r="Y47" s="675"/>
      <c r="Z47" s="676"/>
      <c r="AA47" s="676"/>
      <c r="AB47" s="676"/>
      <c r="AC47" s="675"/>
      <c r="AD47" s="675"/>
      <c r="AE47" s="676"/>
      <c r="AF47" s="676"/>
      <c r="AG47" s="676"/>
      <c r="AH47" s="675"/>
      <c r="AI47" s="675"/>
      <c r="AJ47" s="676"/>
      <c r="AK47" s="676"/>
      <c r="AL47" s="676"/>
      <c r="AM47" s="675"/>
      <c r="AN47" s="675"/>
      <c r="AO47" s="676"/>
      <c r="AP47" s="676"/>
      <c r="AQ47" s="676"/>
      <c r="AR47" s="675"/>
      <c r="AS47" s="675"/>
      <c r="AT47" s="676"/>
      <c r="AU47" s="676"/>
      <c r="AV47" s="676"/>
      <c r="AW47" s="675"/>
      <c r="AX47" s="675"/>
      <c r="AY47" s="676"/>
      <c r="AZ47" s="676"/>
      <c r="BA47" s="676"/>
      <c r="BB47" s="675"/>
      <c r="BC47" s="675"/>
      <c r="BD47" s="676"/>
      <c r="BE47" s="676"/>
      <c r="BF47" s="676"/>
      <c r="BG47" s="675"/>
      <c r="BH47" s="675"/>
      <c r="BI47" s="676"/>
      <c r="BJ47" s="676"/>
      <c r="BK47" s="676"/>
      <c r="BL47" s="675"/>
      <c r="BM47" s="675"/>
      <c r="BN47" s="676"/>
      <c r="BO47" s="676"/>
      <c r="BP47" s="676"/>
      <c r="BQ47" s="675"/>
      <c r="BR47" s="675"/>
    </row>
    <row r="48" spans="1:83" s="22" customFormat="1" ht="80.099999999999994" customHeight="1" x14ac:dyDescent="1.35">
      <c r="A48" s="1294" t="s">
        <v>133</v>
      </c>
      <c r="B48" s="588">
        <v>57</v>
      </c>
      <c r="C48" s="589"/>
      <c r="D48" s="589"/>
      <c r="E48" s="590"/>
      <c r="F48" s="1294" t="s">
        <v>133</v>
      </c>
      <c r="G48" s="588">
        <v>58</v>
      </c>
      <c r="H48" s="589"/>
      <c r="I48" s="589"/>
      <c r="J48" s="590"/>
      <c r="K48" s="1294" t="s">
        <v>133</v>
      </c>
      <c r="L48" s="588">
        <v>61</v>
      </c>
      <c r="M48" s="589"/>
      <c r="N48" s="589"/>
      <c r="O48" s="590"/>
      <c r="P48" s="1294" t="s">
        <v>133</v>
      </c>
      <c r="Q48" s="588">
        <v>72</v>
      </c>
      <c r="R48" s="589"/>
      <c r="S48" s="589"/>
      <c r="T48" s="590"/>
      <c r="U48" s="3590"/>
      <c r="V48" s="717"/>
      <c r="W48" s="717"/>
      <c r="X48" s="717"/>
      <c r="Y48" s="717"/>
      <c r="Z48" s="677"/>
      <c r="AA48" s="717"/>
      <c r="AB48" s="717"/>
      <c r="AC48" s="717"/>
      <c r="AD48" s="717"/>
      <c r="AE48" s="677"/>
      <c r="AF48" s="717"/>
      <c r="AG48" s="717"/>
      <c r="AH48" s="717"/>
      <c r="AI48" s="717"/>
      <c r="AJ48" s="677"/>
      <c r="AK48" s="717"/>
      <c r="AL48" s="717"/>
      <c r="AM48" s="717"/>
      <c r="AN48" s="717"/>
      <c r="AO48" s="677"/>
      <c r="AP48" s="717"/>
      <c r="AQ48" s="717"/>
      <c r="AR48" s="717"/>
      <c r="AS48" s="717"/>
      <c r="AT48" s="677"/>
      <c r="AU48" s="717"/>
      <c r="AV48" s="717"/>
      <c r="AW48" s="717"/>
      <c r="AX48" s="717"/>
      <c r="AY48" s="677"/>
      <c r="AZ48" s="717"/>
      <c r="BA48" s="717"/>
      <c r="BB48" s="717"/>
      <c r="BC48" s="717"/>
      <c r="BD48" s="677"/>
      <c r="BE48" s="717"/>
      <c r="BF48" s="717"/>
      <c r="BG48" s="717"/>
      <c r="BH48" s="717"/>
      <c r="BI48" s="677"/>
      <c r="BJ48" s="717"/>
      <c r="BK48" s="717"/>
      <c r="BL48" s="717"/>
      <c r="BM48" s="717"/>
      <c r="BN48" s="677"/>
      <c r="BO48" s="717"/>
      <c r="BP48" s="717"/>
      <c r="BQ48" s="717"/>
      <c r="BR48" s="717"/>
    </row>
    <row r="49" spans="1:83" ht="27" thickBot="1" x14ac:dyDescent="0.3">
      <c r="A49" s="1295"/>
      <c r="B49" s="61">
        <v>0.45700000000000002</v>
      </c>
      <c r="C49" s="62" t="s">
        <v>113</v>
      </c>
      <c r="D49" s="63">
        <v>1</v>
      </c>
      <c r="E49" s="64" t="s">
        <v>114</v>
      </c>
      <c r="F49" s="1295"/>
      <c r="G49" s="61">
        <v>0.96499999999999997</v>
      </c>
      <c r="H49" s="62" t="s">
        <v>113</v>
      </c>
      <c r="I49" s="63">
        <v>1</v>
      </c>
      <c r="J49" s="64" t="s">
        <v>114</v>
      </c>
      <c r="K49" s="1295"/>
      <c r="L49" s="61">
        <v>0.55800000000000005</v>
      </c>
      <c r="M49" s="62" t="s">
        <v>113</v>
      </c>
      <c r="N49" s="63"/>
      <c r="O49" s="64" t="s">
        <v>114</v>
      </c>
      <c r="P49" s="1295"/>
      <c r="Q49" s="61">
        <v>1E-4</v>
      </c>
      <c r="R49" s="62" t="s">
        <v>113</v>
      </c>
      <c r="S49" s="63"/>
      <c r="T49" s="64" t="s">
        <v>114</v>
      </c>
      <c r="U49" s="3590"/>
      <c r="V49" s="32"/>
      <c r="W49" s="33"/>
      <c r="X49" s="34"/>
      <c r="Y49" s="35"/>
      <c r="Z49" s="677"/>
      <c r="AA49" s="32"/>
      <c r="AB49" s="33"/>
      <c r="AC49" s="34"/>
      <c r="AD49" s="35"/>
      <c r="AE49" s="677"/>
      <c r="AF49" s="32"/>
      <c r="AG49" s="33"/>
      <c r="AH49" s="34"/>
      <c r="AI49" s="35"/>
      <c r="AJ49" s="677"/>
      <c r="AK49" s="32"/>
      <c r="AL49" s="33"/>
      <c r="AM49" s="34"/>
      <c r="AN49" s="35"/>
      <c r="AO49" s="677"/>
      <c r="AP49" s="32"/>
      <c r="AQ49" s="33"/>
      <c r="AR49" s="34"/>
      <c r="AS49" s="35"/>
      <c r="AT49" s="677"/>
      <c r="AU49" s="32"/>
      <c r="AV49" s="33"/>
      <c r="AW49" s="34"/>
      <c r="AX49" s="35"/>
      <c r="AY49" s="677"/>
      <c r="AZ49" s="32"/>
      <c r="BA49" s="33"/>
      <c r="BB49" s="34"/>
      <c r="BC49" s="35"/>
      <c r="BD49" s="677"/>
      <c r="BE49" s="32"/>
      <c r="BF49" s="33"/>
      <c r="BG49" s="34"/>
      <c r="BH49" s="35"/>
      <c r="BI49" s="677"/>
      <c r="BJ49" s="32"/>
      <c r="BK49" s="33"/>
      <c r="BL49" s="34"/>
      <c r="BM49" s="35"/>
      <c r="BN49" s="677"/>
      <c r="BO49" s="32"/>
      <c r="BP49" s="33"/>
      <c r="BQ49" s="34"/>
      <c r="BR49" s="35"/>
      <c r="BW49" s="27"/>
      <c r="BX49" s="27"/>
      <c r="BY49" s="27"/>
      <c r="BZ49" s="27"/>
      <c r="CA49" s="27"/>
      <c r="CB49" s="27"/>
      <c r="CC49" s="27"/>
      <c r="CD49" s="27"/>
      <c r="CE49" s="27"/>
    </row>
    <row r="50" spans="1:83" ht="26.1" hidden="1" customHeight="1" thickTop="1" x14ac:dyDescent="0.25">
      <c r="A50" s="672"/>
      <c r="B50" s="672"/>
      <c r="C50" s="672"/>
      <c r="D50" s="673"/>
      <c r="E50" s="673"/>
      <c r="F50" s="672"/>
      <c r="G50" s="672"/>
      <c r="H50" s="672"/>
      <c r="I50" s="673"/>
      <c r="J50" s="673"/>
      <c r="K50" s="672"/>
      <c r="L50" s="672"/>
      <c r="M50" s="672"/>
      <c r="N50" s="673"/>
      <c r="O50" s="673"/>
      <c r="P50" s="672"/>
      <c r="Q50" s="672"/>
      <c r="R50" s="672"/>
      <c r="S50" s="673"/>
      <c r="T50" s="673"/>
      <c r="U50" s="674"/>
      <c r="V50" s="674"/>
      <c r="W50" s="674"/>
      <c r="X50" s="675"/>
      <c r="Y50" s="675"/>
      <c r="Z50" s="674"/>
      <c r="AA50" s="674"/>
      <c r="AB50" s="674"/>
      <c r="AC50" s="675"/>
      <c r="AD50" s="675"/>
      <c r="AE50" s="674"/>
      <c r="AF50" s="674"/>
      <c r="AG50" s="674"/>
      <c r="AH50" s="675"/>
      <c r="AI50" s="675"/>
      <c r="AJ50" s="674"/>
      <c r="AK50" s="674"/>
      <c r="AL50" s="674"/>
      <c r="AM50" s="675"/>
      <c r="AN50" s="675"/>
      <c r="AO50" s="674"/>
      <c r="AP50" s="674"/>
      <c r="AQ50" s="674"/>
      <c r="AR50" s="675"/>
      <c r="AS50" s="675"/>
      <c r="AT50" s="674"/>
      <c r="AU50" s="674"/>
      <c r="AV50" s="674"/>
      <c r="AW50" s="675"/>
      <c r="AX50" s="675"/>
      <c r="AY50" s="674"/>
      <c r="AZ50" s="674"/>
      <c r="BA50" s="674"/>
      <c r="BB50" s="675"/>
      <c r="BC50" s="675"/>
      <c r="BD50" s="674"/>
      <c r="BE50" s="674"/>
      <c r="BF50" s="674"/>
      <c r="BG50" s="675"/>
      <c r="BH50" s="675"/>
      <c r="BI50" s="674"/>
      <c r="BJ50" s="674"/>
      <c r="BK50" s="674"/>
      <c r="BL50" s="675"/>
      <c r="BM50" s="675"/>
      <c r="BN50" s="674"/>
      <c r="BO50" s="674"/>
      <c r="BP50" s="674"/>
      <c r="BQ50" s="675"/>
      <c r="BR50" s="675"/>
    </row>
    <row r="51" spans="1:83" ht="6.75" hidden="1" customHeight="1" x14ac:dyDescent="0.25">
      <c r="A51" s="676"/>
      <c r="B51" s="676"/>
      <c r="C51" s="676"/>
      <c r="D51" s="29"/>
      <c r="E51" s="29"/>
      <c r="F51" s="676"/>
      <c r="G51" s="676"/>
      <c r="H51" s="676"/>
      <c r="I51" s="29"/>
      <c r="J51" s="29"/>
      <c r="K51" s="676"/>
      <c r="L51" s="676"/>
      <c r="M51" s="676"/>
      <c r="N51" s="29"/>
      <c r="O51" s="29"/>
      <c r="P51" s="676"/>
      <c r="Q51" s="676"/>
      <c r="R51" s="676"/>
      <c r="S51" s="29"/>
      <c r="T51" s="29"/>
      <c r="U51" s="676"/>
      <c r="V51" s="676"/>
      <c r="W51" s="676"/>
      <c r="X51" s="29"/>
      <c r="Y51" s="29"/>
      <c r="Z51" s="676"/>
      <c r="AA51" s="676"/>
      <c r="AB51" s="676"/>
      <c r="AC51" s="29"/>
      <c r="AD51" s="29"/>
      <c r="AE51" s="676"/>
      <c r="AF51" s="676"/>
      <c r="AG51" s="676"/>
      <c r="AH51" s="29"/>
      <c r="AI51" s="29"/>
      <c r="AJ51" s="676"/>
      <c r="AK51" s="676"/>
      <c r="AL51" s="676"/>
      <c r="AM51" s="29"/>
      <c r="AN51" s="29"/>
      <c r="AO51" s="676"/>
      <c r="AP51" s="676"/>
      <c r="AQ51" s="676"/>
      <c r="AR51" s="29"/>
      <c r="AS51" s="29"/>
      <c r="AT51" s="676"/>
      <c r="AU51" s="676"/>
      <c r="AV51" s="676"/>
      <c r="AW51" s="29"/>
      <c r="AX51" s="29"/>
      <c r="AY51" s="676"/>
      <c r="AZ51" s="676"/>
      <c r="BA51" s="676"/>
      <c r="BB51" s="29"/>
      <c r="BC51" s="29"/>
      <c r="BD51" s="676"/>
      <c r="BE51" s="676"/>
      <c r="BF51" s="676"/>
      <c r="BG51" s="29"/>
      <c r="BH51" s="29"/>
      <c r="BI51" s="676"/>
      <c r="BJ51" s="676"/>
      <c r="BK51" s="676"/>
      <c r="BL51" s="29"/>
      <c r="BM51" s="29"/>
      <c r="BN51" s="676"/>
      <c r="BO51" s="676"/>
      <c r="BP51" s="676"/>
      <c r="BQ51" s="29"/>
      <c r="BR51" s="29"/>
    </row>
    <row r="52" spans="1:83" ht="21.95" hidden="1" customHeight="1" x14ac:dyDescent="0.25">
      <c r="A52" s="676"/>
      <c r="B52" s="676"/>
      <c r="C52" s="676"/>
      <c r="D52" s="30"/>
      <c r="E52" s="29"/>
      <c r="F52" s="676"/>
      <c r="G52" s="676"/>
      <c r="H52" s="676"/>
      <c r="I52" s="30"/>
      <c r="J52" s="29"/>
      <c r="K52" s="676"/>
      <c r="L52" s="676"/>
      <c r="M52" s="676"/>
      <c r="N52" s="30"/>
      <c r="O52" s="29"/>
      <c r="P52" s="676"/>
      <c r="Q52" s="676"/>
      <c r="R52" s="676"/>
      <c r="S52" s="30"/>
      <c r="T52" s="29"/>
      <c r="U52" s="676"/>
      <c r="V52" s="676"/>
      <c r="W52" s="676"/>
      <c r="X52" s="30"/>
      <c r="Y52" s="29"/>
      <c r="Z52" s="676"/>
      <c r="AA52" s="676"/>
      <c r="AB52" s="676"/>
      <c r="AC52" s="30"/>
      <c r="AD52" s="29"/>
      <c r="AE52" s="676"/>
      <c r="AF52" s="676"/>
      <c r="AG52" s="676"/>
      <c r="AH52" s="30"/>
      <c r="AI52" s="29"/>
      <c r="AJ52" s="676"/>
      <c r="AK52" s="676"/>
      <c r="AL52" s="676"/>
      <c r="AM52" s="30"/>
      <c r="AN52" s="29"/>
      <c r="AO52" s="676"/>
      <c r="AP52" s="676"/>
      <c r="AQ52" s="676"/>
      <c r="AR52" s="30"/>
      <c r="AS52" s="29"/>
      <c r="AT52" s="676"/>
      <c r="AU52" s="676"/>
      <c r="AV52" s="676"/>
      <c r="AW52" s="30"/>
      <c r="AX52" s="29"/>
      <c r="AY52" s="676"/>
      <c r="AZ52" s="676"/>
      <c r="BA52" s="676"/>
      <c r="BB52" s="30"/>
      <c r="BC52" s="29"/>
      <c r="BD52" s="676"/>
      <c r="BE52" s="676"/>
      <c r="BF52" s="676"/>
      <c r="BG52" s="30"/>
      <c r="BH52" s="29"/>
      <c r="BI52" s="676"/>
      <c r="BJ52" s="676"/>
      <c r="BK52" s="676"/>
      <c r="BL52" s="30"/>
      <c r="BM52" s="29"/>
      <c r="BN52" s="676"/>
      <c r="BO52" s="676"/>
      <c r="BP52" s="676"/>
      <c r="BQ52" s="30"/>
      <c r="BR52" s="29"/>
    </row>
    <row r="53" spans="1:83" ht="6" hidden="1" customHeight="1" x14ac:dyDescent="0.25">
      <c r="A53" s="676"/>
      <c r="B53" s="676"/>
      <c r="C53" s="676"/>
      <c r="D53" s="675"/>
      <c r="E53" s="675"/>
      <c r="F53" s="676"/>
      <c r="G53" s="676"/>
      <c r="H53" s="676"/>
      <c r="I53" s="675"/>
      <c r="J53" s="675"/>
      <c r="K53" s="676"/>
      <c r="L53" s="676"/>
      <c r="M53" s="676"/>
      <c r="N53" s="675"/>
      <c r="O53" s="675"/>
      <c r="P53" s="676"/>
      <c r="Q53" s="676"/>
      <c r="R53" s="676"/>
      <c r="S53" s="675"/>
      <c r="T53" s="675"/>
      <c r="U53" s="676"/>
      <c r="V53" s="676"/>
      <c r="W53" s="676"/>
      <c r="X53" s="675"/>
      <c r="Y53" s="675"/>
      <c r="Z53" s="676"/>
      <c r="AA53" s="676"/>
      <c r="AB53" s="676"/>
      <c r="AC53" s="675"/>
      <c r="AD53" s="675"/>
      <c r="AE53" s="676"/>
      <c r="AF53" s="676"/>
      <c r="AG53" s="676"/>
      <c r="AH53" s="675"/>
      <c r="AI53" s="675"/>
      <c r="AJ53" s="676"/>
      <c r="AK53" s="676"/>
      <c r="AL53" s="676"/>
      <c r="AM53" s="675"/>
      <c r="AN53" s="675"/>
      <c r="AO53" s="676"/>
      <c r="AP53" s="676"/>
      <c r="AQ53" s="676"/>
      <c r="AR53" s="675"/>
      <c r="AS53" s="675"/>
      <c r="AT53" s="676"/>
      <c r="AU53" s="676"/>
      <c r="AV53" s="676"/>
      <c r="AW53" s="675"/>
      <c r="AX53" s="675"/>
      <c r="AY53" s="676"/>
      <c r="AZ53" s="676"/>
      <c r="BA53" s="676"/>
      <c r="BB53" s="675"/>
      <c r="BC53" s="675"/>
      <c r="BD53" s="676"/>
      <c r="BE53" s="676"/>
      <c r="BF53" s="676"/>
      <c r="BG53" s="675"/>
      <c r="BH53" s="675"/>
      <c r="BI53" s="676"/>
      <c r="BJ53" s="676"/>
      <c r="BK53" s="676"/>
      <c r="BL53" s="675"/>
      <c r="BM53" s="675"/>
      <c r="BN53" s="676"/>
      <c r="BO53" s="676"/>
      <c r="BP53" s="676"/>
      <c r="BQ53" s="675"/>
      <c r="BR53" s="675"/>
    </row>
    <row r="54" spans="1:83" ht="60" hidden="1" thickTop="1" thickBot="1" x14ac:dyDescent="0.3">
      <c r="A54" s="677"/>
      <c r="B54" s="678"/>
      <c r="C54" s="678"/>
      <c r="D54" s="678"/>
      <c r="E54" s="678"/>
      <c r="F54" s="677"/>
      <c r="G54" s="678"/>
      <c r="H54" s="678"/>
      <c r="I54" s="678"/>
      <c r="J54" s="678"/>
      <c r="K54" s="677"/>
      <c r="L54" s="678"/>
      <c r="M54" s="678"/>
      <c r="N54" s="678"/>
      <c r="O54" s="678"/>
      <c r="P54" s="677"/>
      <c r="Q54" s="678"/>
      <c r="R54" s="678"/>
      <c r="S54" s="678"/>
      <c r="T54" s="678"/>
      <c r="U54" s="677"/>
      <c r="V54" s="678"/>
      <c r="W54" s="678"/>
      <c r="X54" s="678"/>
      <c r="Y54" s="678"/>
      <c r="Z54" s="677"/>
      <c r="AA54" s="678"/>
      <c r="AB54" s="678"/>
      <c r="AC54" s="678"/>
      <c r="AD54" s="678"/>
      <c r="AE54" s="677"/>
      <c r="AF54" s="678"/>
      <c r="AG54" s="678"/>
      <c r="AH54" s="678"/>
      <c r="AI54" s="678"/>
      <c r="AJ54" s="677"/>
      <c r="AK54" s="678"/>
      <c r="AL54" s="678"/>
      <c r="AM54" s="678"/>
      <c r="AN54" s="678"/>
      <c r="AO54" s="677"/>
      <c r="AP54" s="678"/>
      <c r="AQ54" s="678"/>
      <c r="AR54" s="678"/>
      <c r="AS54" s="678"/>
      <c r="AT54" s="677"/>
      <c r="AU54" s="678"/>
      <c r="AV54" s="678"/>
      <c r="AW54" s="678"/>
      <c r="AX54" s="678"/>
      <c r="AY54" s="677"/>
      <c r="AZ54" s="678"/>
      <c r="BA54" s="678"/>
      <c r="BB54" s="678"/>
      <c r="BC54" s="678"/>
      <c r="BD54" s="677"/>
      <c r="BE54" s="678"/>
      <c r="BF54" s="678"/>
      <c r="BG54" s="678"/>
      <c r="BH54" s="678"/>
      <c r="BI54" s="677"/>
      <c r="BJ54" s="678"/>
      <c r="BK54" s="678"/>
      <c r="BL54" s="678"/>
      <c r="BM54" s="678"/>
      <c r="BN54" s="677"/>
      <c r="BO54" s="678"/>
      <c r="BP54" s="678"/>
      <c r="BQ54" s="678"/>
      <c r="BR54" s="678"/>
    </row>
    <row r="55" spans="1:83" ht="27.75" hidden="1" thickTop="1" thickBot="1" x14ac:dyDescent="0.3">
      <c r="A55" s="677"/>
      <c r="B55" s="32"/>
      <c r="C55" s="33"/>
      <c r="D55" s="34"/>
      <c r="E55" s="35"/>
      <c r="F55" s="677"/>
      <c r="G55" s="32"/>
      <c r="H55" s="33"/>
      <c r="I55" s="34"/>
      <c r="J55" s="35"/>
      <c r="K55" s="677"/>
      <c r="L55" s="32"/>
      <c r="M55" s="33"/>
      <c r="N55" s="34"/>
      <c r="O55" s="35"/>
      <c r="P55" s="677"/>
      <c r="Q55" s="32"/>
      <c r="R55" s="33"/>
      <c r="S55" s="34"/>
      <c r="T55" s="35"/>
      <c r="U55" s="677"/>
      <c r="V55" s="32"/>
      <c r="W55" s="33"/>
      <c r="X55" s="34"/>
      <c r="Y55" s="35"/>
      <c r="Z55" s="677"/>
      <c r="AA55" s="32"/>
      <c r="AB55" s="33"/>
      <c r="AC55" s="34"/>
      <c r="AD55" s="35"/>
      <c r="AE55" s="677"/>
      <c r="AF55" s="32"/>
      <c r="AG55" s="33"/>
      <c r="AH55" s="34"/>
      <c r="AI55" s="35"/>
      <c r="AJ55" s="677"/>
      <c r="AK55" s="32"/>
      <c r="AL55" s="33"/>
      <c r="AM55" s="34"/>
      <c r="AN55" s="35"/>
      <c r="AO55" s="677"/>
      <c r="AP55" s="32"/>
      <c r="AQ55" s="33"/>
      <c r="AR55" s="34"/>
      <c r="AS55" s="35"/>
      <c r="AT55" s="677"/>
      <c r="AU55" s="32"/>
      <c r="AV55" s="33"/>
      <c r="AW55" s="34"/>
      <c r="AX55" s="35"/>
      <c r="AY55" s="677"/>
      <c r="AZ55" s="32"/>
      <c r="BA55" s="33"/>
      <c r="BB55" s="34"/>
      <c r="BC55" s="35"/>
      <c r="BD55" s="677"/>
      <c r="BE55" s="32"/>
      <c r="BF55" s="33"/>
      <c r="BG55" s="34"/>
      <c r="BH55" s="35"/>
      <c r="BI55" s="677"/>
      <c r="BJ55" s="32"/>
      <c r="BK55" s="33"/>
      <c r="BL55" s="34"/>
      <c r="BM55" s="35"/>
      <c r="BN55" s="677"/>
      <c r="BO55" s="32"/>
      <c r="BP55" s="33"/>
      <c r="BQ55" s="34"/>
      <c r="BR55" s="35"/>
      <c r="BW55" s="27"/>
      <c r="BX55" s="27"/>
      <c r="BY55" s="27"/>
      <c r="BZ55" s="27"/>
      <c r="CA55" s="27"/>
      <c r="CB55" s="27"/>
      <c r="CC55" s="27"/>
      <c r="CD55" s="27"/>
      <c r="CE55" s="27"/>
    </row>
    <row r="56" spans="1:83" ht="26.1" hidden="1" customHeight="1" x14ac:dyDescent="0.25">
      <c r="A56" s="674"/>
      <c r="B56" s="674"/>
      <c r="C56" s="674"/>
      <c r="D56" s="675"/>
      <c r="E56" s="675"/>
      <c r="F56" s="674"/>
      <c r="G56" s="674"/>
      <c r="H56" s="674"/>
      <c r="I56" s="675"/>
      <c r="J56" s="675"/>
      <c r="K56" s="674"/>
      <c r="L56" s="674"/>
      <c r="M56" s="674"/>
      <c r="N56" s="675"/>
      <c r="O56" s="675"/>
      <c r="P56" s="674"/>
      <c r="Q56" s="674"/>
      <c r="R56" s="674"/>
      <c r="S56" s="675"/>
      <c r="T56" s="675"/>
      <c r="U56" s="674"/>
      <c r="V56" s="674"/>
      <c r="W56" s="674"/>
      <c r="X56" s="675"/>
      <c r="Y56" s="675"/>
      <c r="Z56" s="674"/>
      <c r="AA56" s="674"/>
      <c r="AB56" s="674"/>
      <c r="AC56" s="675"/>
      <c r="AD56" s="675"/>
      <c r="AE56" s="674"/>
      <c r="AF56" s="674"/>
      <c r="AG56" s="674"/>
      <c r="AH56" s="675"/>
      <c r="AI56" s="675"/>
      <c r="AJ56" s="674"/>
      <c r="AK56" s="674"/>
      <c r="AL56" s="674"/>
      <c r="AM56" s="675"/>
      <c r="AN56" s="675"/>
      <c r="AO56" s="674"/>
      <c r="AP56" s="674"/>
      <c r="AQ56" s="674"/>
      <c r="AR56" s="675"/>
      <c r="AS56" s="675"/>
      <c r="AT56" s="674"/>
      <c r="AU56" s="674"/>
      <c r="AV56" s="674"/>
      <c r="AW56" s="675"/>
      <c r="AX56" s="675"/>
      <c r="AY56" s="674"/>
      <c r="AZ56" s="674"/>
      <c r="BA56" s="674"/>
      <c r="BB56" s="675"/>
      <c r="BC56" s="675"/>
      <c r="BD56" s="674"/>
      <c r="BE56" s="674"/>
      <c r="BF56" s="674"/>
      <c r="BG56" s="675"/>
      <c r="BH56" s="675"/>
      <c r="BI56" s="674"/>
      <c r="BJ56" s="674"/>
      <c r="BK56" s="674"/>
      <c r="BL56" s="675"/>
      <c r="BM56" s="675"/>
      <c r="BN56" s="674"/>
      <c r="BO56" s="674"/>
      <c r="BP56" s="674"/>
      <c r="BQ56" s="675"/>
      <c r="BR56" s="675"/>
    </row>
    <row r="57" spans="1:83" ht="6.75" hidden="1" customHeight="1" x14ac:dyDescent="0.25">
      <c r="A57" s="676"/>
      <c r="B57" s="676"/>
      <c r="C57" s="676"/>
      <c r="D57" s="29"/>
      <c r="E57" s="29"/>
      <c r="F57" s="676"/>
      <c r="G57" s="676"/>
      <c r="H57" s="676"/>
      <c r="I57" s="29"/>
      <c r="J57" s="29"/>
      <c r="K57" s="676"/>
      <c r="L57" s="676"/>
      <c r="M57" s="676"/>
      <c r="N57" s="29"/>
      <c r="O57" s="29"/>
      <c r="P57" s="676"/>
      <c r="Q57" s="676"/>
      <c r="R57" s="676"/>
      <c r="S57" s="29"/>
      <c r="T57" s="29"/>
      <c r="U57" s="676"/>
      <c r="V57" s="676"/>
      <c r="W57" s="676"/>
      <c r="X57" s="29"/>
      <c r="Y57" s="29"/>
      <c r="Z57" s="676"/>
      <c r="AA57" s="676"/>
      <c r="AB57" s="676"/>
      <c r="AC57" s="29"/>
      <c r="AD57" s="29"/>
      <c r="AE57" s="676"/>
      <c r="AF57" s="676"/>
      <c r="AG57" s="676"/>
      <c r="AH57" s="29"/>
      <c r="AI57" s="29"/>
      <c r="AJ57" s="676"/>
      <c r="AK57" s="676"/>
      <c r="AL57" s="676"/>
      <c r="AM57" s="29"/>
      <c r="AN57" s="29"/>
      <c r="AO57" s="676"/>
      <c r="AP57" s="676"/>
      <c r="AQ57" s="676"/>
      <c r="AR57" s="29"/>
      <c r="AS57" s="29"/>
      <c r="AT57" s="676"/>
      <c r="AU57" s="676"/>
      <c r="AV57" s="676"/>
      <c r="AW57" s="29"/>
      <c r="AX57" s="29"/>
      <c r="AY57" s="676"/>
      <c r="AZ57" s="676"/>
      <c r="BA57" s="676"/>
      <c r="BB57" s="29"/>
      <c r="BC57" s="29"/>
      <c r="BD57" s="676"/>
      <c r="BE57" s="676"/>
      <c r="BF57" s="676"/>
      <c r="BG57" s="29"/>
      <c r="BH57" s="29"/>
      <c r="BI57" s="676"/>
      <c r="BJ57" s="676"/>
      <c r="BK57" s="676"/>
      <c r="BL57" s="29"/>
      <c r="BM57" s="29"/>
      <c r="BN57" s="676"/>
      <c r="BO57" s="676"/>
      <c r="BP57" s="676"/>
      <c r="BQ57" s="29"/>
      <c r="BR57" s="29"/>
    </row>
    <row r="58" spans="1:83" ht="21.95" hidden="1" customHeight="1" x14ac:dyDescent="0.25">
      <c r="A58" s="676"/>
      <c r="B58" s="676"/>
      <c r="C58" s="676"/>
      <c r="D58" s="30"/>
      <c r="E58" s="29"/>
      <c r="F58" s="676"/>
      <c r="G58" s="676"/>
      <c r="H58" s="676"/>
      <c r="I58" s="30"/>
      <c r="J58" s="29"/>
      <c r="K58" s="676"/>
      <c r="L58" s="676"/>
      <c r="M58" s="676"/>
      <c r="N58" s="30"/>
      <c r="O58" s="29"/>
      <c r="P58" s="676"/>
      <c r="Q58" s="676"/>
      <c r="R58" s="676"/>
      <c r="S58" s="30"/>
      <c r="T58" s="29"/>
      <c r="U58" s="676"/>
      <c r="V58" s="676"/>
      <c r="W58" s="676"/>
      <c r="X58" s="30"/>
      <c r="Y58" s="29"/>
      <c r="Z58" s="676"/>
      <c r="AA58" s="676"/>
      <c r="AB58" s="676"/>
      <c r="AC58" s="30"/>
      <c r="AD58" s="29"/>
      <c r="AE58" s="676"/>
      <c r="AF58" s="676"/>
      <c r="AG58" s="676"/>
      <c r="AH58" s="30"/>
      <c r="AI58" s="29"/>
      <c r="AJ58" s="676"/>
      <c r="AK58" s="676"/>
      <c r="AL58" s="676"/>
      <c r="AM58" s="30"/>
      <c r="AN58" s="29"/>
      <c r="AO58" s="676"/>
      <c r="AP58" s="676"/>
      <c r="AQ58" s="676"/>
      <c r="AR58" s="30"/>
      <c r="AS58" s="29"/>
      <c r="AT58" s="676"/>
      <c r="AU58" s="676"/>
      <c r="AV58" s="676"/>
      <c r="AW58" s="30"/>
      <c r="AX58" s="29"/>
      <c r="AY58" s="676"/>
      <c r="AZ58" s="676"/>
      <c r="BA58" s="676"/>
      <c r="BB58" s="30"/>
      <c r="BC58" s="29"/>
      <c r="BD58" s="676"/>
      <c r="BE58" s="676"/>
      <c r="BF58" s="676"/>
      <c r="BG58" s="30"/>
      <c r="BH58" s="29"/>
      <c r="BI58" s="676"/>
      <c r="BJ58" s="676"/>
      <c r="BK58" s="676"/>
      <c r="BL58" s="30"/>
      <c r="BM58" s="29"/>
      <c r="BN58" s="676"/>
      <c r="BO58" s="676"/>
      <c r="BP58" s="676"/>
      <c r="BQ58" s="30"/>
      <c r="BR58" s="29"/>
    </row>
    <row r="59" spans="1:83" ht="6" hidden="1" customHeight="1" x14ac:dyDescent="0.25">
      <c r="A59" s="676"/>
      <c r="B59" s="676"/>
      <c r="C59" s="676"/>
      <c r="D59" s="675"/>
      <c r="E59" s="675"/>
      <c r="F59" s="676"/>
      <c r="G59" s="676"/>
      <c r="H59" s="676"/>
      <c r="I59" s="675"/>
      <c r="J59" s="675"/>
      <c r="K59" s="676"/>
      <c r="L59" s="676"/>
      <c r="M59" s="676"/>
      <c r="N59" s="675"/>
      <c r="O59" s="675"/>
      <c r="P59" s="676"/>
      <c r="Q59" s="676"/>
      <c r="R59" s="676"/>
      <c r="S59" s="675"/>
      <c r="T59" s="675"/>
      <c r="U59" s="676"/>
      <c r="V59" s="676"/>
      <c r="W59" s="676"/>
      <c r="X59" s="675"/>
      <c r="Y59" s="675"/>
      <c r="Z59" s="676"/>
      <c r="AA59" s="676"/>
      <c r="AB59" s="676"/>
      <c r="AC59" s="675"/>
      <c r="AD59" s="675"/>
      <c r="AE59" s="676"/>
      <c r="AF59" s="676"/>
      <c r="AG59" s="676"/>
      <c r="AH59" s="675"/>
      <c r="AI59" s="675"/>
      <c r="AJ59" s="676"/>
      <c r="AK59" s="676"/>
      <c r="AL59" s="676"/>
      <c r="AM59" s="675"/>
      <c r="AN59" s="675"/>
      <c r="AO59" s="676"/>
      <c r="AP59" s="676"/>
      <c r="AQ59" s="676"/>
      <c r="AR59" s="675"/>
      <c r="AS59" s="675"/>
      <c r="AT59" s="676"/>
      <c r="AU59" s="676"/>
      <c r="AV59" s="676"/>
      <c r="AW59" s="675"/>
      <c r="AX59" s="675"/>
      <c r="AY59" s="676"/>
      <c r="AZ59" s="676"/>
      <c r="BA59" s="676"/>
      <c r="BB59" s="675"/>
      <c r="BC59" s="675"/>
      <c r="BD59" s="676"/>
      <c r="BE59" s="676"/>
      <c r="BF59" s="676"/>
      <c r="BG59" s="675"/>
      <c r="BH59" s="675"/>
      <c r="BI59" s="676"/>
      <c r="BJ59" s="676"/>
      <c r="BK59" s="676"/>
      <c r="BL59" s="675"/>
      <c r="BM59" s="675"/>
      <c r="BN59" s="676"/>
      <c r="BO59" s="676"/>
      <c r="BP59" s="676"/>
      <c r="BQ59" s="675"/>
      <c r="BR59" s="675"/>
    </row>
    <row r="60" spans="1:83" ht="60" hidden="1" thickTop="1" thickBot="1" x14ac:dyDescent="0.3">
      <c r="A60" s="677"/>
      <c r="B60" s="678"/>
      <c r="C60" s="678"/>
      <c r="D60" s="678"/>
      <c r="E60" s="678"/>
      <c r="F60" s="677"/>
      <c r="G60" s="678"/>
      <c r="H60" s="678"/>
      <c r="I60" s="678"/>
      <c r="J60" s="678"/>
      <c r="K60" s="677"/>
      <c r="L60" s="678"/>
      <c r="M60" s="678"/>
      <c r="N60" s="678"/>
      <c r="O60" s="678"/>
      <c r="P60" s="677"/>
      <c r="Q60" s="678"/>
      <c r="R60" s="678"/>
      <c r="S60" s="678"/>
      <c r="T60" s="678"/>
      <c r="U60" s="677"/>
      <c r="V60" s="678"/>
      <c r="W60" s="678"/>
      <c r="X60" s="678"/>
      <c r="Y60" s="678"/>
      <c r="Z60" s="677"/>
      <c r="AA60" s="678"/>
      <c r="AB60" s="678"/>
      <c r="AC60" s="678"/>
      <c r="AD60" s="678"/>
      <c r="AE60" s="677"/>
      <c r="AF60" s="678"/>
      <c r="AG60" s="678"/>
      <c r="AH60" s="678"/>
      <c r="AI60" s="678"/>
      <c r="AJ60" s="677"/>
      <c r="AK60" s="678"/>
      <c r="AL60" s="678"/>
      <c r="AM60" s="678"/>
      <c r="AN60" s="678"/>
      <c r="AO60" s="677"/>
      <c r="AP60" s="678"/>
      <c r="AQ60" s="678"/>
      <c r="AR60" s="678"/>
      <c r="AS60" s="678"/>
      <c r="AT60" s="677"/>
      <c r="AU60" s="678"/>
      <c r="AV60" s="678"/>
      <c r="AW60" s="678"/>
      <c r="AX60" s="678"/>
      <c r="AY60" s="677"/>
      <c r="AZ60" s="678"/>
      <c r="BA60" s="678"/>
      <c r="BB60" s="678"/>
      <c r="BC60" s="678"/>
      <c r="BD60" s="677"/>
      <c r="BE60" s="678"/>
      <c r="BF60" s="678"/>
      <c r="BG60" s="678"/>
      <c r="BH60" s="678"/>
      <c r="BI60" s="677"/>
      <c r="BJ60" s="678"/>
      <c r="BK60" s="678"/>
      <c r="BL60" s="678"/>
      <c r="BM60" s="678"/>
      <c r="BN60" s="677"/>
      <c r="BO60" s="678"/>
      <c r="BP60" s="678"/>
      <c r="BQ60" s="678"/>
      <c r="BR60" s="678"/>
    </row>
    <row r="61" spans="1:83" ht="27.75" hidden="1" thickTop="1" thickBot="1" x14ac:dyDescent="0.3">
      <c r="A61" s="677"/>
      <c r="B61" s="32"/>
      <c r="C61" s="33"/>
      <c r="D61" s="34"/>
      <c r="E61" s="35"/>
      <c r="F61" s="677"/>
      <c r="G61" s="32"/>
      <c r="H61" s="33"/>
      <c r="I61" s="34"/>
      <c r="J61" s="35"/>
      <c r="K61" s="677"/>
      <c r="L61" s="32"/>
      <c r="M61" s="33"/>
      <c r="N61" s="34"/>
      <c r="O61" s="35"/>
      <c r="P61" s="677"/>
      <c r="Q61" s="32"/>
      <c r="R61" s="33"/>
      <c r="S61" s="34"/>
      <c r="T61" s="35"/>
      <c r="U61" s="677"/>
      <c r="V61" s="32"/>
      <c r="W61" s="33"/>
      <c r="X61" s="34"/>
      <c r="Y61" s="35"/>
      <c r="Z61" s="677"/>
      <c r="AA61" s="32"/>
      <c r="AB61" s="33"/>
      <c r="AC61" s="34"/>
      <c r="AD61" s="35"/>
      <c r="AE61" s="677"/>
      <c r="AF61" s="32"/>
      <c r="AG61" s="33"/>
      <c r="AH61" s="34"/>
      <c r="AI61" s="35"/>
      <c r="AJ61" s="677"/>
      <c r="AK61" s="32"/>
      <c r="AL61" s="33"/>
      <c r="AM61" s="34"/>
      <c r="AN61" s="35"/>
      <c r="AO61" s="677"/>
      <c r="AP61" s="32"/>
      <c r="AQ61" s="33"/>
      <c r="AR61" s="34"/>
      <c r="AS61" s="35"/>
      <c r="AT61" s="677"/>
      <c r="AU61" s="32"/>
      <c r="AV61" s="33"/>
      <c r="AW61" s="34"/>
      <c r="AX61" s="35"/>
      <c r="AY61" s="677"/>
      <c r="AZ61" s="32"/>
      <c r="BA61" s="33"/>
      <c r="BB61" s="34"/>
      <c r="BC61" s="35"/>
      <c r="BD61" s="677"/>
      <c r="BE61" s="32"/>
      <c r="BF61" s="33"/>
      <c r="BG61" s="34"/>
      <c r="BH61" s="35"/>
      <c r="BI61" s="677"/>
      <c r="BJ61" s="32"/>
      <c r="BK61" s="33"/>
      <c r="BL61" s="34"/>
      <c r="BM61" s="35"/>
      <c r="BN61" s="677"/>
      <c r="BO61" s="32"/>
      <c r="BP61" s="33"/>
      <c r="BQ61" s="34"/>
      <c r="BR61" s="35"/>
      <c r="BW61" s="27"/>
      <c r="BX61" s="27"/>
      <c r="BY61" s="27"/>
      <c r="BZ61" s="27"/>
      <c r="CA61" s="27"/>
      <c r="CB61" s="27"/>
      <c r="CC61" s="27"/>
      <c r="CD61" s="27"/>
      <c r="CE61" s="27"/>
    </row>
    <row r="62" spans="1:83" s="42" customFormat="1" ht="30" customHeight="1" thickTop="1" x14ac:dyDescent="0.25">
      <c r="A62" s="37"/>
      <c r="B62" s="38"/>
      <c r="C62" s="39"/>
      <c r="D62" s="40"/>
      <c r="E62" s="41"/>
      <c r="F62" s="37"/>
      <c r="G62" s="38"/>
      <c r="H62" s="39"/>
      <c r="I62" s="40"/>
      <c r="J62" s="41"/>
      <c r="K62" s="37"/>
      <c r="L62" s="38"/>
      <c r="M62" s="39"/>
      <c r="N62" s="40"/>
      <c r="O62" s="41"/>
      <c r="P62" s="37"/>
      <c r="Q62" s="38"/>
      <c r="R62" s="39"/>
      <c r="S62" s="40"/>
      <c r="T62" s="41"/>
      <c r="U62" s="37"/>
      <c r="V62" s="38"/>
      <c r="W62" s="39"/>
      <c r="X62" s="697" t="s">
        <v>116</v>
      </c>
      <c r="Y62" s="697"/>
      <c r="Z62" s="697"/>
      <c r="AA62" s="697"/>
      <c r="AB62" s="697"/>
      <c r="AC62" s="697"/>
      <c r="AD62" s="697"/>
      <c r="AE62" s="697"/>
      <c r="AF62" s="697"/>
      <c r="AG62" s="697"/>
      <c r="AH62" s="697"/>
      <c r="AI62" s="697"/>
      <c r="AJ62" s="37"/>
      <c r="AK62" s="38"/>
      <c r="AL62" s="39"/>
      <c r="AM62" s="40"/>
      <c r="AN62" s="41"/>
      <c r="AO62" s="37"/>
      <c r="AP62" s="38"/>
      <c r="AQ62" s="39"/>
      <c r="AR62" s="40"/>
      <c r="AS62" s="41"/>
      <c r="AT62" s="37"/>
      <c r="AU62" s="38"/>
      <c r="AV62" s="39"/>
      <c r="AW62" s="40"/>
      <c r="AX62" s="41"/>
      <c r="AY62" s="37"/>
      <c r="AZ62" s="38"/>
      <c r="BA62" s="39"/>
      <c r="BB62" s="40"/>
      <c r="BC62" s="41"/>
      <c r="BD62" s="37"/>
      <c r="BE62" s="38"/>
      <c r="BF62" s="39"/>
      <c r="BG62" s="40"/>
      <c r="BH62" s="41"/>
      <c r="BI62" s="37"/>
      <c r="BJ62" s="38"/>
      <c r="BK62" s="39"/>
      <c r="BL62" s="40"/>
      <c r="BM62" s="41"/>
      <c r="BN62" s="37"/>
      <c r="BO62" s="38"/>
      <c r="BP62" s="39"/>
      <c r="BQ62" s="40"/>
      <c r="BR62" s="41"/>
      <c r="BW62" s="43"/>
      <c r="BX62" s="43"/>
      <c r="BY62" s="43"/>
      <c r="BZ62" s="43"/>
      <c r="CA62" s="43"/>
      <c r="CB62" s="43"/>
      <c r="CC62" s="43"/>
      <c r="CD62" s="43"/>
      <c r="CE62" s="43"/>
    </row>
    <row r="63" spans="1:83" ht="21.95" customHeight="1" x14ac:dyDescent="0.25">
      <c r="A63" s="674"/>
      <c r="B63" s="674"/>
      <c r="C63" s="674"/>
      <c r="D63" s="675"/>
      <c r="E63" s="675"/>
      <c r="F63" s="44"/>
      <c r="G63" s="702" cm="1">
        <f t="array" aca="1" ref="G63" ca="1">SUM(COUNTIF(INDIRECT({"B6","G6","L6","Q6","V6","AA6","AF6","AK6","AP6","AU6","AZ6","BE6","BJ6","BO6","B12","G12","L12","Q12","V12","AA12","AF12","AK12","AP12","AU12","AZ12","BE12","BJ12","BO12","B18","G18","L18","Q18","V18","AA18","AF18","AK18","AP18","AU18","AZ18","BE18","BJ18","BO18","B24","G24","L24","Q24","V24","AA24","AF24","AK24","AP24","AU24","AZ24","BE24","BJ24","BO24","B30","G30","L30","Q30","V30","AA30","AF30","AK30","AP30","AU30","AZ30","BE30","BJ30","BO30","B36","G36","L36","Q36","V36","AA36","AF36","AK36","AP36","AU36","AZ36","BE36","BJ36","BO36","B42","G42","L42","Q42","V42","AA42","AF42","AK42","AP42","AU42","AZ42","BE42","BJ42","BO42","B48","G48","L48","Q48"}),"&gt;0"))</f>
        <v>102</v>
      </c>
      <c r="H63" s="702"/>
      <c r="I63" s="702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697"/>
      <c r="Y63" s="697"/>
      <c r="Z63" s="697"/>
      <c r="AA63" s="697"/>
      <c r="AB63" s="697"/>
      <c r="AC63" s="697"/>
      <c r="AD63" s="697"/>
      <c r="AE63" s="697"/>
      <c r="AF63" s="697"/>
      <c r="AG63" s="697"/>
      <c r="AH63" s="697"/>
      <c r="AI63" s="697"/>
      <c r="AJ63" s="697" t="s">
        <v>117</v>
      </c>
      <c r="AK63" s="697"/>
      <c r="AL63" s="697"/>
      <c r="AM63" s="697"/>
      <c r="AN63" s="697"/>
      <c r="AO63" s="697"/>
      <c r="AP63" s="697"/>
      <c r="AQ63" s="697"/>
      <c r="AR63" s="697"/>
      <c r="AS63" s="697"/>
      <c r="AT63" s="46"/>
      <c r="AU63" s="698" t="s">
        <v>118</v>
      </c>
      <c r="AV63" s="698"/>
      <c r="AW63" s="698"/>
      <c r="AX63" s="698"/>
      <c r="AY63" s="698"/>
      <c r="AZ63" s="698"/>
      <c r="BA63" s="698"/>
      <c r="BB63" s="698"/>
      <c r="BC63" s="698"/>
      <c r="BD63" s="698"/>
      <c r="BE63" s="698"/>
      <c r="BF63" s="698"/>
      <c r="BG63" s="699" t="s">
        <v>119</v>
      </c>
      <c r="BH63" s="699"/>
      <c r="BI63" s="699"/>
      <c r="BJ63" s="699"/>
      <c r="BK63" s="699"/>
      <c r="BL63" s="700">
        <f>D7+I7+N7+S7+X7+AC7+AH7+AM7+AR7+AW7+BB7+BG7+BL7+BQ7+BQ13+BL13+BG13+BB13+AW13+AR13+AM13+AH13+AC13+X13+S13+N13+I13+D13+D19+I19+N19+S19+X19+AC19+AH19+AM19+AR19+AW19+BB19+BG19+BL19+BQ19+BQ25+BL25+BG25+BB25+AW25+AR25+AM25+AH25+AC25+X25+S25+N25+I25+D25+D31+I31+N31+S31+X31+AC31+AH31+AM31+AR31+AW31+BB31+BG31+BL31+BQ31+BQ37+BL37+BG37+BB37+AW37+AR37+AM37+AH37+AC37+X37+S37+N37+I37+D37+D43+I43+N43+S43+X43+AC43+AH43+AM43+AR43+AW43+BB43+BG43+BL43+BQ43+BQ49+BL49+BG49+BB49+AW49+AR49+AM49+AH49+AC49+X49+S49+N49+I49+D49+D55+I55+N55+S55+X55+AC55+AH55+AM55+AR55+AW55+BB55+BG55+BL55+BQ55+BQ61+BL61+BG61+BB61+AW61+AR61+AM61+AH61+AC61+X61+S61+N61+I61+D61</f>
        <v>57</v>
      </c>
      <c r="BM63" s="700"/>
      <c r="BN63" s="700"/>
      <c r="BO63" s="700"/>
      <c r="BP63" s="701" t="s">
        <v>120</v>
      </c>
      <c r="BQ63" s="701"/>
      <c r="BR63" s="701"/>
    </row>
    <row r="64" spans="1:83" ht="6.75" customHeight="1" x14ac:dyDescent="0.25">
      <c r="A64" s="676"/>
      <c r="B64" s="676"/>
      <c r="C64" s="676"/>
      <c r="D64" s="29"/>
      <c r="E64" s="29"/>
      <c r="F64" s="47"/>
      <c r="G64" s="702"/>
      <c r="H64" s="702"/>
      <c r="I64" s="702"/>
      <c r="J64" s="48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697"/>
      <c r="Y64" s="697"/>
      <c r="Z64" s="697"/>
      <c r="AA64" s="697"/>
      <c r="AB64" s="697"/>
      <c r="AC64" s="697"/>
      <c r="AD64" s="697"/>
      <c r="AE64" s="697"/>
      <c r="AF64" s="697"/>
      <c r="AG64" s="697"/>
      <c r="AH64" s="697"/>
      <c r="AI64" s="697"/>
      <c r="AJ64" s="697"/>
      <c r="AK64" s="697"/>
      <c r="AL64" s="697"/>
      <c r="AM64" s="697"/>
      <c r="AN64" s="697"/>
      <c r="AO64" s="697"/>
      <c r="AP64" s="697"/>
      <c r="AQ64" s="697"/>
      <c r="AR64" s="697"/>
      <c r="AS64" s="697"/>
      <c r="AT64" s="46"/>
      <c r="AU64" s="698"/>
      <c r="AV64" s="698"/>
      <c r="AW64" s="698"/>
      <c r="AX64" s="698"/>
      <c r="AY64" s="698"/>
      <c r="AZ64" s="698"/>
      <c r="BA64" s="698"/>
      <c r="BB64" s="698"/>
      <c r="BC64" s="698"/>
      <c r="BD64" s="698"/>
      <c r="BE64" s="698"/>
      <c r="BF64" s="698"/>
      <c r="BG64" s="699"/>
      <c r="BH64" s="699"/>
      <c r="BI64" s="699"/>
      <c r="BJ64" s="699"/>
      <c r="BK64" s="699"/>
      <c r="BL64" s="700"/>
      <c r="BM64" s="700"/>
      <c r="BN64" s="700"/>
      <c r="BO64" s="700"/>
      <c r="BP64" s="701"/>
      <c r="BQ64" s="701"/>
      <c r="BR64" s="701"/>
    </row>
    <row r="65" spans="1:90" ht="37.5" customHeight="1" x14ac:dyDescent="0.25">
      <c r="A65" s="676"/>
      <c r="B65" s="676"/>
      <c r="C65" s="676"/>
      <c r="D65" s="29"/>
      <c r="E65" s="29"/>
      <c r="F65" s="47"/>
      <c r="G65" s="702"/>
      <c r="H65" s="702"/>
      <c r="I65" s="702"/>
      <c r="J65" s="48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697"/>
      <c r="Y65" s="697"/>
      <c r="Z65" s="697"/>
      <c r="AA65" s="697"/>
      <c r="AB65" s="697"/>
      <c r="AC65" s="697"/>
      <c r="AD65" s="697"/>
      <c r="AE65" s="697"/>
      <c r="AF65" s="697"/>
      <c r="AG65" s="697"/>
      <c r="AH65" s="697"/>
      <c r="AI65" s="697"/>
      <c r="AJ65" s="697"/>
      <c r="AK65" s="697"/>
      <c r="AL65" s="697"/>
      <c r="AM65" s="697"/>
      <c r="AN65" s="697"/>
      <c r="AO65" s="697"/>
      <c r="AP65" s="697"/>
      <c r="AQ65" s="697"/>
      <c r="AR65" s="697"/>
      <c r="AS65" s="697"/>
      <c r="AT65" s="46"/>
      <c r="AU65" s="698"/>
      <c r="AV65" s="698"/>
      <c r="AW65" s="698"/>
      <c r="AX65" s="698"/>
      <c r="AY65" s="698"/>
      <c r="AZ65" s="698"/>
      <c r="BA65" s="698"/>
      <c r="BB65" s="698"/>
      <c r="BC65" s="698"/>
      <c r="BD65" s="698"/>
      <c r="BE65" s="698"/>
      <c r="BF65" s="698"/>
      <c r="BG65" s="699"/>
      <c r="BH65" s="699"/>
      <c r="BI65" s="699"/>
      <c r="BJ65" s="699"/>
      <c r="BK65" s="699"/>
      <c r="BL65" s="700"/>
      <c r="BM65" s="700"/>
      <c r="BN65" s="700"/>
      <c r="BO65" s="700"/>
      <c r="BP65" s="701"/>
      <c r="BQ65" s="701"/>
      <c r="BR65" s="701"/>
    </row>
    <row r="66" spans="1:90" ht="6" customHeight="1" x14ac:dyDescent="0.25">
      <c r="A66" s="676"/>
      <c r="B66" s="676"/>
      <c r="C66" s="676"/>
      <c r="D66" s="675"/>
      <c r="E66" s="675"/>
      <c r="F66" s="47"/>
      <c r="G66" s="703" cm="1">
        <f t="array" aca="1" ref="G66" ca="1">SUM(COUNTIF(INDIRECT({"B7","G7","L7","Q7","V7","AA7","AF7","AK7","AP7","AU7","AZ7","BE7","BJ7","BO7","B13","G13","L13","Q13","V13","AA13","AF13","AK13","AP13","AU13","AZ13","BE13","BJ13","BO13","B19","G19","L19","Q19","V19","AA19","AF19","AK19","AP19","AU19","AZ19","BE19","BJ19","BO19","B25","G25","L25","Q25","V25","AA25","AF25","AK25","AP25","AU25","AZ25","BE25","BJ25","BO25","B31","G31","L31","Q31","V31","AA31","AF31","AK31","AP31","AU31","AZ31","BE31","BJ31","BO31","B37","G37","L37","Q37","V37","AA37","AF37","AK37","AP37","AU37","AZ37","BE37","BJ37","BO37","B43","G43","L43","Q43","V43","AA43","AF43","AK43","AP43","AU43","AZ43","BE43","BJ43","BO43","B49","G49","L49","Q49"}),"&gt;0"))</f>
        <v>102</v>
      </c>
      <c r="H66" s="703"/>
      <c r="I66" s="703"/>
      <c r="J66" s="48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697"/>
      <c r="Y66" s="697"/>
      <c r="Z66" s="697"/>
      <c r="AA66" s="697"/>
      <c r="AB66" s="697"/>
      <c r="AC66" s="697"/>
      <c r="AD66" s="697"/>
      <c r="AE66" s="697"/>
      <c r="AF66" s="697"/>
      <c r="AG66" s="697"/>
      <c r="AH66" s="697"/>
      <c r="AI66" s="697"/>
      <c r="AJ66" s="697"/>
      <c r="AK66" s="697"/>
      <c r="AL66" s="697"/>
      <c r="AM66" s="697"/>
      <c r="AN66" s="697"/>
      <c r="AO66" s="697"/>
      <c r="AP66" s="697"/>
      <c r="AQ66" s="697"/>
      <c r="AR66" s="697"/>
      <c r="AS66" s="697"/>
      <c r="AT66" s="46"/>
      <c r="AU66" s="698"/>
      <c r="AV66" s="698"/>
      <c r="AW66" s="698"/>
      <c r="AX66" s="698"/>
      <c r="AY66" s="698"/>
      <c r="AZ66" s="698"/>
      <c r="BA66" s="698"/>
      <c r="BB66" s="698"/>
      <c r="BC66" s="698"/>
      <c r="BD66" s="698"/>
      <c r="BE66" s="698"/>
      <c r="BF66" s="698"/>
      <c r="BG66" s="699"/>
      <c r="BH66" s="699"/>
      <c r="BI66" s="699"/>
      <c r="BJ66" s="699"/>
      <c r="BK66" s="699"/>
      <c r="BL66" s="700"/>
      <c r="BM66" s="700"/>
      <c r="BN66" s="700"/>
      <c r="BO66" s="700"/>
      <c r="BP66" s="701"/>
      <c r="BQ66" s="701"/>
      <c r="BR66" s="701"/>
    </row>
    <row r="67" spans="1:90" ht="30" customHeight="1" x14ac:dyDescent="0.25">
      <c r="B67" s="17"/>
      <c r="G67" s="703"/>
      <c r="H67" s="703"/>
      <c r="I67" s="703"/>
      <c r="J67" s="48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704" t="s">
        <v>13</v>
      </c>
      <c r="Y67" s="704"/>
      <c r="Z67" s="704"/>
      <c r="AA67" s="704"/>
      <c r="AB67" s="704"/>
      <c r="AC67" s="704"/>
      <c r="AD67" s="704"/>
      <c r="AE67" s="704"/>
      <c r="AF67" s="704"/>
      <c r="AG67" s="704"/>
      <c r="AH67" s="704"/>
      <c r="AI67" s="704"/>
      <c r="AJ67" s="706">
        <f>AU67-AD75</f>
        <v>-4.2170000000112395E-3</v>
      </c>
      <c r="AK67" s="706"/>
      <c r="AL67" s="706"/>
      <c r="AM67" s="706"/>
      <c r="AN67" s="706"/>
      <c r="AO67" s="706"/>
      <c r="AP67" s="706"/>
      <c r="AQ67" s="706"/>
      <c r="AR67" s="706"/>
      <c r="AS67" s="706"/>
      <c r="AT67" s="706"/>
      <c r="AU67" s="707">
        <f>B7+G7+L7+Q7+V7+AA7+AF7+AK7+AP7+AU7+AZ7+BE7+BJ7+BO7+BO13+BJ13+BE13+AZ13+AU13+AP13+AK13+AF13+AA13+V13+Q13+L13+G13+B13+B19+G19+L19+Q19+V19+AA19+AF19+AK19+AP19+AU19+AZ19+BE19+BJ19+BO19+B25+G25+L25+Q25+V25+AA25+AF25+AK25+AP25+AU25+AZ25+BE25+BJ25+BO25+BO31+BJ31+BE31+AZ31+AU31+AP31+AK31+AF31+AA31+V31+Q31+L31+G31+B31+B37+G37+L37+Q37+V37+AA37+AF37+AK37+AP37+AU37+AZ37+BE37+BJ37+BO37+BO43+BJ43+BE43+AZ43+AU43+AP43+AK43+AF43+AA43+V43+Q43+L43+G43+B43+B49+G49+L49+Q49+V49+AA49+AF49+AK49+AP49+AU49+AZ49+BE49+BJ49+BO49+BO55+BJ55+BE55+AZ55+AU55+AP55+AK55+AF55+AA55+V55+Q55+L55+G55+B55+B61+G61+L61+Q61+V61+AA61+AF61+AK61+AP61+AU61+AZ61+BE61+BJ61+BO61</f>
        <v>200.045783</v>
      </c>
      <c r="AV67" s="707"/>
      <c r="AW67" s="707"/>
      <c r="AX67" s="707"/>
      <c r="AY67" s="707"/>
      <c r="AZ67" s="707"/>
      <c r="BA67" s="707"/>
      <c r="BB67" s="707"/>
      <c r="BC67" s="707"/>
      <c r="BD67" s="707"/>
      <c r="BE67" s="707"/>
      <c r="BF67" s="707"/>
      <c r="BG67" s="699"/>
      <c r="BH67" s="699"/>
      <c r="BI67" s="699"/>
      <c r="BJ67" s="699"/>
      <c r="BK67" s="699"/>
      <c r="BL67" s="708">
        <f>BL63*1.5</f>
        <v>85.5</v>
      </c>
      <c r="BM67" s="708"/>
      <c r="BN67" s="708"/>
      <c r="BO67" s="708"/>
      <c r="BP67" s="708"/>
      <c r="BQ67" s="708"/>
      <c r="BR67" s="708"/>
      <c r="BS67" s="50"/>
      <c r="BT67" s="50"/>
      <c r="BW67" s="51"/>
      <c r="BX67" s="51"/>
      <c r="BY67" s="51"/>
      <c r="BZ67" s="51"/>
      <c r="CA67" s="51"/>
      <c r="CB67" s="51"/>
      <c r="CC67" s="27"/>
      <c r="CD67" s="27"/>
      <c r="CE67" s="27"/>
      <c r="CG67" s="27"/>
      <c r="CH67" s="27"/>
      <c r="CI67" s="27"/>
      <c r="CJ67" s="27"/>
      <c r="CK67" s="27"/>
      <c r="CL67" s="27"/>
    </row>
    <row r="68" spans="1:90" ht="34.5" customHeight="1" x14ac:dyDescent="0.25">
      <c r="G68" s="703"/>
      <c r="H68" s="703"/>
      <c r="I68" s="703"/>
      <c r="J68" s="52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704"/>
      <c r="Y68" s="704"/>
      <c r="Z68" s="704"/>
      <c r="AA68" s="704"/>
      <c r="AB68" s="704"/>
      <c r="AC68" s="704"/>
      <c r="AD68" s="704"/>
      <c r="AE68" s="704"/>
      <c r="AF68" s="704"/>
      <c r="AG68" s="704"/>
      <c r="AH68" s="704"/>
      <c r="AI68" s="704"/>
      <c r="AJ68" s="706"/>
      <c r="AK68" s="706"/>
      <c r="AL68" s="706"/>
      <c r="AM68" s="706"/>
      <c r="AN68" s="706"/>
      <c r="AO68" s="706"/>
      <c r="AP68" s="706"/>
      <c r="AQ68" s="706"/>
      <c r="AR68" s="706"/>
      <c r="AS68" s="706"/>
      <c r="AT68" s="706"/>
      <c r="AU68" s="707"/>
      <c r="AV68" s="707"/>
      <c r="AW68" s="707"/>
      <c r="AX68" s="707"/>
      <c r="AY68" s="707"/>
      <c r="AZ68" s="707"/>
      <c r="BA68" s="707"/>
      <c r="BB68" s="707"/>
      <c r="BC68" s="707"/>
      <c r="BD68" s="707"/>
      <c r="BE68" s="707"/>
      <c r="BF68" s="707"/>
      <c r="BG68" s="699"/>
      <c r="BH68" s="699"/>
      <c r="BI68" s="699"/>
      <c r="BJ68" s="699"/>
      <c r="BK68" s="699"/>
      <c r="BL68" s="708"/>
      <c r="BM68" s="708"/>
      <c r="BN68" s="708"/>
      <c r="BO68" s="708"/>
      <c r="BP68" s="708"/>
      <c r="BQ68" s="708"/>
      <c r="BR68" s="708"/>
      <c r="BS68" s="50"/>
      <c r="BT68" s="50"/>
      <c r="BW68" s="27"/>
      <c r="BX68" s="27"/>
      <c r="BY68" s="27"/>
      <c r="BZ68" s="27"/>
      <c r="CA68" s="27"/>
      <c r="CB68" s="27"/>
      <c r="CC68" s="27"/>
      <c r="CD68" s="27"/>
      <c r="CE68" s="27"/>
      <c r="CG68" s="27"/>
      <c r="CH68" s="27"/>
      <c r="CI68" s="27"/>
      <c r="CJ68" s="27"/>
      <c r="CK68" s="27"/>
      <c r="CL68" s="27"/>
    </row>
    <row r="69" spans="1:90" ht="15" customHeight="1" x14ac:dyDescent="0.25">
      <c r="G69" s="709"/>
      <c r="H69" s="709"/>
      <c r="I69" s="709"/>
      <c r="J69" s="52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704"/>
      <c r="Y69" s="704"/>
      <c r="Z69" s="704"/>
      <c r="AA69" s="704"/>
      <c r="AB69" s="704"/>
      <c r="AC69" s="704"/>
      <c r="AD69" s="704"/>
      <c r="AE69" s="704"/>
      <c r="AF69" s="704"/>
      <c r="AG69" s="704"/>
      <c r="AH69" s="704"/>
      <c r="AI69" s="704"/>
      <c r="AJ69" s="706"/>
      <c r="AK69" s="706"/>
      <c r="AL69" s="706"/>
      <c r="AM69" s="706"/>
      <c r="AN69" s="706"/>
      <c r="AO69" s="706"/>
      <c r="AP69" s="706"/>
      <c r="AQ69" s="706"/>
      <c r="AR69" s="706"/>
      <c r="AS69" s="706"/>
      <c r="AT69" s="706"/>
      <c r="AU69" s="707"/>
      <c r="AV69" s="707"/>
      <c r="AW69" s="707"/>
      <c r="AX69" s="707"/>
      <c r="AY69" s="707"/>
      <c r="AZ69" s="707"/>
      <c r="BA69" s="707"/>
      <c r="BB69" s="707"/>
      <c r="BC69" s="707"/>
      <c r="BD69" s="707"/>
      <c r="BE69" s="707"/>
      <c r="BF69" s="707"/>
      <c r="BG69" s="699"/>
      <c r="BH69" s="699"/>
      <c r="BI69" s="699"/>
      <c r="BJ69" s="699"/>
      <c r="BK69" s="699"/>
      <c r="BL69" s="708"/>
      <c r="BM69" s="708"/>
      <c r="BN69" s="708"/>
      <c r="BO69" s="708"/>
      <c r="BP69" s="708"/>
      <c r="BQ69" s="708"/>
      <c r="BR69" s="708"/>
      <c r="BS69" s="50"/>
      <c r="BT69" s="50"/>
      <c r="BW69" s="27"/>
      <c r="BX69" s="27"/>
      <c r="BY69" s="27"/>
      <c r="BZ69" s="27"/>
      <c r="CA69" s="27"/>
      <c r="CB69" s="27"/>
      <c r="CC69" s="27"/>
      <c r="CD69" s="27"/>
      <c r="CE69" s="27"/>
      <c r="CG69" s="27"/>
      <c r="CH69" s="27"/>
      <c r="CI69" s="27"/>
      <c r="CJ69" s="27"/>
      <c r="CK69" s="27"/>
      <c r="CL69" s="27"/>
    </row>
    <row r="70" spans="1:90" ht="15" customHeight="1" x14ac:dyDescent="0.25">
      <c r="G70" s="709"/>
      <c r="H70" s="709"/>
      <c r="I70" s="709"/>
      <c r="J70" s="52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704"/>
      <c r="Y70" s="704"/>
      <c r="Z70" s="704"/>
      <c r="AA70" s="704"/>
      <c r="AB70" s="704"/>
      <c r="AC70" s="704"/>
      <c r="AD70" s="704"/>
      <c r="AE70" s="704"/>
      <c r="AF70" s="704"/>
      <c r="AG70" s="704"/>
      <c r="AH70" s="704"/>
      <c r="AI70" s="704"/>
      <c r="AJ70" s="706"/>
      <c r="AK70" s="706"/>
      <c r="AL70" s="706"/>
      <c r="AM70" s="706"/>
      <c r="AN70" s="706"/>
      <c r="AO70" s="706"/>
      <c r="AP70" s="706"/>
      <c r="AQ70" s="706"/>
      <c r="AR70" s="706"/>
      <c r="AS70" s="706"/>
      <c r="AT70" s="706"/>
      <c r="AU70" s="707"/>
      <c r="AV70" s="707"/>
      <c r="AW70" s="707"/>
      <c r="AX70" s="707"/>
      <c r="AY70" s="707"/>
      <c r="AZ70" s="707"/>
      <c r="BA70" s="707"/>
      <c r="BB70" s="707"/>
      <c r="BC70" s="707"/>
      <c r="BD70" s="707"/>
      <c r="BE70" s="707"/>
      <c r="BF70" s="707"/>
      <c r="BG70" s="699"/>
      <c r="BH70" s="699"/>
      <c r="BI70" s="699"/>
      <c r="BJ70" s="699"/>
      <c r="BK70" s="699"/>
      <c r="BL70" s="708"/>
      <c r="BM70" s="708"/>
      <c r="BN70" s="708"/>
      <c r="BO70" s="708"/>
      <c r="BP70" s="708"/>
      <c r="BQ70" s="708"/>
      <c r="BR70" s="708"/>
      <c r="BS70" s="50"/>
      <c r="BT70" s="50"/>
      <c r="BW70" s="27"/>
      <c r="BX70" s="27"/>
      <c r="BY70" s="27"/>
      <c r="BZ70" s="27"/>
      <c r="CA70" s="27"/>
      <c r="CB70" s="27"/>
      <c r="CC70" s="27"/>
      <c r="CD70" s="27"/>
      <c r="CE70" s="27"/>
      <c r="CG70" s="27"/>
      <c r="CH70" s="27"/>
      <c r="CI70" s="27"/>
      <c r="CJ70" s="27"/>
      <c r="CK70" s="27"/>
      <c r="CL70" s="27"/>
    </row>
    <row r="71" spans="1:90" ht="15" customHeight="1" x14ac:dyDescent="0.25">
      <c r="G71" s="709"/>
      <c r="H71" s="709"/>
      <c r="I71" s="709"/>
      <c r="J71" s="52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704"/>
      <c r="Y71" s="704"/>
      <c r="Z71" s="704"/>
      <c r="AA71" s="704"/>
      <c r="AB71" s="704"/>
      <c r="AC71" s="704"/>
      <c r="AD71" s="704"/>
      <c r="AE71" s="704"/>
      <c r="AF71" s="704"/>
      <c r="AG71" s="704"/>
      <c r="AH71" s="704"/>
      <c r="AI71" s="704"/>
      <c r="AJ71" s="706"/>
      <c r="AK71" s="706"/>
      <c r="AL71" s="706"/>
      <c r="AM71" s="706"/>
      <c r="AN71" s="706"/>
      <c r="AO71" s="706"/>
      <c r="AP71" s="706"/>
      <c r="AQ71" s="706"/>
      <c r="AR71" s="706"/>
      <c r="AS71" s="706"/>
      <c r="AT71" s="706"/>
      <c r="AU71" s="707"/>
      <c r="AV71" s="707"/>
      <c r="AW71" s="707"/>
      <c r="AX71" s="707"/>
      <c r="AY71" s="707"/>
      <c r="AZ71" s="707"/>
      <c r="BA71" s="707"/>
      <c r="BB71" s="707"/>
      <c r="BC71" s="707"/>
      <c r="BD71" s="707"/>
      <c r="BE71" s="707"/>
      <c r="BF71" s="707"/>
      <c r="BG71" s="699"/>
      <c r="BH71" s="699"/>
      <c r="BI71" s="699"/>
      <c r="BJ71" s="699"/>
      <c r="BK71" s="699"/>
      <c r="BL71" s="699" t="s">
        <v>121</v>
      </c>
      <c r="BM71" s="699"/>
      <c r="BN71" s="699"/>
      <c r="BO71" s="699"/>
      <c r="BP71" s="699"/>
      <c r="BQ71" s="699"/>
      <c r="BR71" s="699"/>
      <c r="BS71" s="53"/>
      <c r="BT71" s="53"/>
    </row>
    <row r="72" spans="1:90" ht="22.5" customHeight="1" x14ac:dyDescent="0.25">
      <c r="G72" s="709"/>
      <c r="H72" s="709"/>
      <c r="I72" s="709"/>
      <c r="J72" s="52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704"/>
      <c r="Y72" s="704"/>
      <c r="Z72" s="704"/>
      <c r="AA72" s="704"/>
      <c r="AB72" s="704"/>
      <c r="AC72" s="704"/>
      <c r="AD72" s="704"/>
      <c r="AE72" s="704"/>
      <c r="AF72" s="704"/>
      <c r="AG72" s="704"/>
      <c r="AH72" s="704"/>
      <c r="AI72" s="704"/>
      <c r="AJ72" s="706"/>
      <c r="AK72" s="706"/>
      <c r="AL72" s="706"/>
      <c r="AM72" s="706"/>
      <c r="AN72" s="706"/>
      <c r="AO72" s="706"/>
      <c r="AP72" s="706"/>
      <c r="AQ72" s="706"/>
      <c r="AR72" s="706"/>
      <c r="AS72" s="706"/>
      <c r="AT72" s="706"/>
      <c r="AU72" s="707"/>
      <c r="AV72" s="707"/>
      <c r="AW72" s="707"/>
      <c r="AX72" s="707"/>
      <c r="AY72" s="707"/>
      <c r="AZ72" s="707"/>
      <c r="BA72" s="707"/>
      <c r="BB72" s="707"/>
      <c r="BC72" s="707"/>
      <c r="BD72" s="707"/>
      <c r="BE72" s="707"/>
      <c r="BF72" s="707"/>
      <c r="BG72" s="699"/>
      <c r="BH72" s="699"/>
      <c r="BI72" s="699"/>
      <c r="BJ72" s="699"/>
      <c r="BK72" s="699"/>
      <c r="BL72" s="699"/>
      <c r="BM72" s="699"/>
      <c r="BN72" s="699"/>
      <c r="BO72" s="699"/>
      <c r="BP72" s="699"/>
      <c r="BQ72" s="699"/>
      <c r="BR72" s="699"/>
      <c r="BS72" s="53"/>
      <c r="BT72" s="53"/>
    </row>
    <row r="73" spans="1:90" ht="23.25" x14ac:dyDescent="0.35">
      <c r="A73" s="54"/>
      <c r="E73" s="54"/>
      <c r="F73" s="54"/>
      <c r="G73" s="54"/>
      <c r="H73" s="54"/>
      <c r="I73" s="54"/>
      <c r="J73" s="54"/>
      <c r="K73" s="54"/>
    </row>
    <row r="74" spans="1:90" ht="24" thickBot="1" x14ac:dyDescent="0.4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X74" s="55"/>
    </row>
    <row r="75" spans="1:90" ht="15.75" thickTop="1" x14ac:dyDescent="0.25">
      <c r="AD75" s="775">
        <v>200.05</v>
      </c>
      <c r="AE75" s="776"/>
      <c r="AF75" s="776"/>
      <c r="AG75" s="776"/>
      <c r="AH75" s="777"/>
      <c r="AL75" s="727" t="s">
        <v>122</v>
      </c>
      <c r="AM75" s="727"/>
      <c r="AN75" s="727"/>
      <c r="AO75" s="727" t="s">
        <v>123</v>
      </c>
      <c r="AP75" s="727"/>
      <c r="AQ75" s="727"/>
      <c r="AR75" s="727" t="s">
        <v>124</v>
      </c>
      <c r="AS75" s="727"/>
      <c r="AT75" s="727" t="s">
        <v>125</v>
      </c>
      <c r="AU75" s="727"/>
      <c r="AY75" s="739" t="s">
        <v>126</v>
      </c>
      <c r="AZ75" s="740"/>
      <c r="BA75" s="740"/>
      <c r="BB75" s="740"/>
      <c r="BC75" s="740"/>
      <c r="BD75" s="740"/>
      <c r="BE75" s="740"/>
      <c r="BF75" s="740"/>
      <c r="BG75" s="740"/>
      <c r="BH75" s="741"/>
      <c r="BI75" s="13"/>
      <c r="BJ75" s="13"/>
      <c r="BK75" s="13"/>
      <c r="BL75" s="13"/>
      <c r="BM75" s="13"/>
      <c r="BN75" s="13"/>
      <c r="BO75" s="13"/>
      <c r="BP75" s="13"/>
      <c r="BQ75" s="13"/>
      <c r="BR75" s="13"/>
    </row>
    <row r="76" spans="1:90" x14ac:dyDescent="0.25">
      <c r="O76" s="1992" t="s">
        <v>127</v>
      </c>
      <c r="P76" s="1992"/>
      <c r="Q76" s="1992"/>
      <c r="R76" s="1992"/>
      <c r="S76" s="1992"/>
      <c r="T76" s="1992"/>
      <c r="U76" s="1992"/>
      <c r="V76" s="1992"/>
      <c r="AD76" s="778"/>
      <c r="AE76" s="779"/>
      <c r="AF76" s="779"/>
      <c r="AG76" s="779"/>
      <c r="AH76" s="780"/>
      <c r="AL76" s="727"/>
      <c r="AM76" s="727"/>
      <c r="AN76" s="727"/>
      <c r="AO76" s="727"/>
      <c r="AP76" s="727"/>
      <c r="AQ76" s="727"/>
      <c r="AR76" s="727"/>
      <c r="AS76" s="727"/>
      <c r="AT76" s="727"/>
      <c r="AU76" s="727"/>
      <c r="AY76" s="750"/>
      <c r="AZ76" s="751"/>
      <c r="BA76" s="751"/>
      <c r="BB76" s="751"/>
      <c r="BC76" s="751"/>
      <c r="BD76" s="751"/>
      <c r="BE76" s="751"/>
      <c r="BF76" s="751"/>
      <c r="BG76" s="751"/>
      <c r="BH76" s="752"/>
      <c r="BI76" s="13"/>
      <c r="BJ76" s="13"/>
      <c r="BK76" s="13"/>
      <c r="BL76" s="13"/>
      <c r="BM76" s="13"/>
      <c r="BN76" s="13"/>
      <c r="BO76" s="13"/>
      <c r="BP76" s="13"/>
      <c r="BQ76" s="13"/>
      <c r="BR76" s="13"/>
    </row>
    <row r="77" spans="1:90" x14ac:dyDescent="0.25">
      <c r="O77" s="1992"/>
      <c r="P77" s="1992"/>
      <c r="Q77" s="1992"/>
      <c r="R77" s="1992"/>
      <c r="S77" s="1992"/>
      <c r="T77" s="1992"/>
      <c r="U77" s="1992"/>
      <c r="V77" s="1992"/>
      <c r="AA77" s="56"/>
      <c r="AD77" s="778"/>
      <c r="AE77" s="779"/>
      <c r="AF77" s="779"/>
      <c r="AG77" s="779"/>
      <c r="AH77" s="780"/>
      <c r="AL77" s="727"/>
      <c r="AM77" s="727"/>
      <c r="AN77" s="727"/>
      <c r="AO77" s="727"/>
      <c r="AP77" s="727"/>
      <c r="AQ77" s="727"/>
      <c r="AR77" s="727"/>
      <c r="AS77" s="727"/>
      <c r="AT77" s="727"/>
      <c r="AU77" s="727"/>
      <c r="AY77" s="742"/>
      <c r="AZ77" s="743"/>
      <c r="BA77" s="743"/>
      <c r="BB77" s="743"/>
      <c r="BC77" s="743"/>
      <c r="BD77" s="743"/>
      <c r="BE77" s="743"/>
      <c r="BF77" s="743"/>
      <c r="BG77" s="743"/>
      <c r="BH77" s="744"/>
      <c r="BI77" s="13"/>
      <c r="BJ77" s="13"/>
      <c r="BK77" s="13"/>
      <c r="BL77" s="13"/>
      <c r="BM77" s="13"/>
      <c r="BN77" s="13"/>
      <c r="BO77" s="13"/>
      <c r="BP77" s="13"/>
      <c r="BQ77" s="13"/>
      <c r="BR77" s="13"/>
    </row>
    <row r="78" spans="1:90" x14ac:dyDescent="0.25">
      <c r="O78" s="1992"/>
      <c r="P78" s="1992"/>
      <c r="Q78" s="1992"/>
      <c r="R78" s="1992"/>
      <c r="S78" s="1992"/>
      <c r="T78" s="1992"/>
      <c r="U78" s="1992"/>
      <c r="V78" s="1992"/>
      <c r="AD78" s="778"/>
      <c r="AE78" s="779"/>
      <c r="AF78" s="779"/>
      <c r="AG78" s="779"/>
      <c r="AH78" s="780"/>
      <c r="AL78" s="774">
        <v>4935</v>
      </c>
      <c r="AM78" s="774"/>
      <c r="AN78" s="774"/>
      <c r="AO78" s="774">
        <f ca="1">AT94</f>
        <v>4935</v>
      </c>
      <c r="AP78" s="774"/>
      <c r="AQ78" s="774"/>
      <c r="AR78" s="726">
        <f>AU67</f>
        <v>200.045783</v>
      </c>
      <c r="AS78" s="726"/>
      <c r="AT78" s="726">
        <f>AU67+BL67</f>
        <v>285.54578300000003</v>
      </c>
      <c r="AU78" s="726"/>
      <c r="AY78" s="727" t="s">
        <v>128</v>
      </c>
      <c r="AZ78" s="727"/>
      <c r="BA78" s="727"/>
      <c r="BB78" s="727"/>
      <c r="BC78" s="727"/>
      <c r="BD78" s="727"/>
      <c r="BE78" s="727"/>
      <c r="BF78" s="727"/>
      <c r="BG78" s="727"/>
      <c r="BH78" s="727"/>
      <c r="BI78" s="13"/>
      <c r="BJ78" s="13"/>
      <c r="BK78" s="13"/>
      <c r="BL78" s="13"/>
      <c r="BM78" s="13"/>
      <c r="BN78" s="13"/>
      <c r="BO78" s="13"/>
      <c r="BP78" s="13"/>
      <c r="BQ78" s="13"/>
      <c r="BR78" s="13"/>
    </row>
    <row r="79" spans="1:90" x14ac:dyDescent="0.25">
      <c r="O79" s="1992"/>
      <c r="P79" s="1992"/>
      <c r="Q79" s="1992"/>
      <c r="R79" s="1992"/>
      <c r="S79" s="1992"/>
      <c r="T79" s="1992"/>
      <c r="U79" s="1992"/>
      <c r="V79" s="1992"/>
      <c r="AD79" s="778"/>
      <c r="AE79" s="779"/>
      <c r="AF79" s="779"/>
      <c r="AG79" s="779"/>
      <c r="AH79" s="780"/>
      <c r="AL79" s="774"/>
      <c r="AM79" s="774"/>
      <c r="AN79" s="774"/>
      <c r="AO79" s="774"/>
      <c r="AP79" s="774"/>
      <c r="AQ79" s="774"/>
      <c r="AR79" s="726"/>
      <c r="AS79" s="726"/>
      <c r="AT79" s="726"/>
      <c r="AU79" s="726"/>
      <c r="AY79" s="727"/>
      <c r="AZ79" s="727"/>
      <c r="BA79" s="727"/>
      <c r="BB79" s="727"/>
      <c r="BC79" s="727"/>
      <c r="BD79" s="727"/>
      <c r="BE79" s="727"/>
      <c r="BF79" s="727"/>
      <c r="BG79" s="727"/>
      <c r="BH79" s="727"/>
      <c r="BI79" s="13"/>
      <c r="BJ79" s="13"/>
      <c r="BK79" s="13"/>
      <c r="BL79" s="13"/>
      <c r="BM79" s="13"/>
      <c r="BN79" s="13"/>
      <c r="BO79" s="13"/>
      <c r="BP79" s="13"/>
      <c r="BQ79" s="13"/>
      <c r="BR79" s="13"/>
    </row>
    <row r="80" spans="1:90" ht="15" customHeight="1" x14ac:dyDescent="0.25">
      <c r="O80" s="1992"/>
      <c r="P80" s="1992"/>
      <c r="Q80" s="1992"/>
      <c r="R80" s="1992"/>
      <c r="S80" s="1992"/>
      <c r="T80" s="1992"/>
      <c r="U80" s="1992"/>
      <c r="V80" s="1992"/>
      <c r="AD80" s="778"/>
      <c r="AE80" s="779"/>
      <c r="AF80" s="779"/>
      <c r="AG80" s="779"/>
      <c r="AH80" s="780"/>
      <c r="AL80" s="774"/>
      <c r="AM80" s="774"/>
      <c r="AN80" s="774"/>
      <c r="AO80" s="774"/>
      <c r="AP80" s="774"/>
      <c r="AQ80" s="774"/>
      <c r="AR80" s="726"/>
      <c r="AS80" s="726"/>
      <c r="AT80" s="726"/>
      <c r="AU80" s="726"/>
      <c r="AY80" s="728">
        <f ca="1">AR78/((72*3.1415/59)*(AO78/3.281))</f>
        <v>3.469212682207997E-2</v>
      </c>
      <c r="AZ80" s="729"/>
      <c r="BA80" s="729"/>
      <c r="BB80" s="729"/>
      <c r="BC80" s="729"/>
      <c r="BD80" s="729"/>
      <c r="BE80" s="729"/>
      <c r="BF80" s="729"/>
      <c r="BG80" s="729"/>
      <c r="BH80" s="730"/>
      <c r="BI80" s="57"/>
      <c r="BJ80" s="57"/>
      <c r="BK80" s="57"/>
      <c r="BL80" s="57"/>
      <c r="BM80" s="57"/>
      <c r="BN80" s="57"/>
      <c r="BO80" s="57"/>
      <c r="BP80" s="57"/>
      <c r="BQ80" s="57"/>
      <c r="BR80" s="57"/>
    </row>
    <row r="81" spans="30:70" ht="15.75" customHeight="1" thickBot="1" x14ac:dyDescent="0.3">
      <c r="AD81" s="781"/>
      <c r="AE81" s="782"/>
      <c r="AF81" s="782"/>
      <c r="AG81" s="782"/>
      <c r="AH81" s="783"/>
      <c r="AL81" s="774"/>
      <c r="AM81" s="774"/>
      <c r="AN81" s="774"/>
      <c r="AO81" s="774"/>
      <c r="AP81" s="774"/>
      <c r="AQ81" s="774"/>
      <c r="AR81" s="726"/>
      <c r="AS81" s="726"/>
      <c r="AT81" s="726"/>
      <c r="AU81" s="726"/>
      <c r="AY81" s="731"/>
      <c r="AZ81" s="732"/>
      <c r="BA81" s="732"/>
      <c r="BB81" s="732"/>
      <c r="BC81" s="732"/>
      <c r="BD81" s="732"/>
      <c r="BE81" s="732"/>
      <c r="BF81" s="732"/>
      <c r="BG81" s="732"/>
      <c r="BH81" s="733"/>
      <c r="BI81" s="57"/>
      <c r="BJ81" s="57"/>
      <c r="BK81" s="57"/>
      <c r="BL81" s="57"/>
      <c r="BM81" s="57"/>
      <c r="BN81" s="57"/>
      <c r="BO81" s="57"/>
      <c r="BP81" s="57"/>
      <c r="BQ81" s="57"/>
      <c r="BR81" s="57"/>
    </row>
    <row r="82" spans="30:70" ht="15.75" customHeight="1" thickTop="1" x14ac:dyDescent="0.25">
      <c r="AY82" s="734"/>
      <c r="AZ82" s="735"/>
      <c r="BA82" s="735"/>
      <c r="BB82" s="735"/>
      <c r="BC82" s="735"/>
      <c r="BD82" s="735"/>
      <c r="BE82" s="735"/>
      <c r="BF82" s="735"/>
      <c r="BG82" s="735"/>
      <c r="BH82" s="736"/>
      <c r="BI82" s="57"/>
      <c r="BJ82" s="57"/>
      <c r="BK82" s="57"/>
      <c r="BL82" s="57"/>
      <c r="BM82" s="57"/>
      <c r="BN82" s="57"/>
      <c r="BO82" s="57"/>
      <c r="BP82" s="57"/>
      <c r="BQ82" s="57"/>
      <c r="BR82" s="57"/>
    </row>
    <row r="83" spans="30:70" x14ac:dyDescent="0.25">
      <c r="AY83" s="739" t="s">
        <v>129</v>
      </c>
      <c r="AZ83" s="740"/>
      <c r="BA83" s="740"/>
      <c r="BB83" s="740"/>
      <c r="BC83" s="740"/>
      <c r="BD83" s="740"/>
      <c r="BE83" s="740"/>
      <c r="BF83" s="740"/>
      <c r="BG83" s="740"/>
      <c r="BH83" s="741"/>
      <c r="BI83" s="13"/>
      <c r="BJ83" s="13"/>
      <c r="BK83" s="13"/>
      <c r="BL83" s="13"/>
      <c r="BM83" s="13"/>
      <c r="BN83" s="13"/>
      <c r="BO83" s="13"/>
      <c r="BP83" s="13"/>
      <c r="BQ83" s="13"/>
      <c r="BR83" s="13"/>
    </row>
    <row r="84" spans="30:70" x14ac:dyDescent="0.25">
      <c r="AY84" s="742"/>
      <c r="AZ84" s="743"/>
      <c r="BA84" s="743"/>
      <c r="BB84" s="743"/>
      <c r="BC84" s="743"/>
      <c r="BD84" s="743"/>
      <c r="BE84" s="743"/>
      <c r="BF84" s="743"/>
      <c r="BG84" s="743"/>
      <c r="BH84" s="744"/>
      <c r="BI84" s="13"/>
      <c r="BJ84" s="13"/>
      <c r="BK84" s="13"/>
      <c r="BL84" s="13"/>
      <c r="BM84" s="13"/>
      <c r="BN84" s="13"/>
      <c r="BO84" s="13"/>
      <c r="BP84" s="13"/>
      <c r="BQ84" s="13"/>
      <c r="BR84" s="13"/>
    </row>
    <row r="85" spans="30:70" x14ac:dyDescent="0.25">
      <c r="AN85" s="1255">
        <v>50</v>
      </c>
      <c r="AO85" s="1255"/>
      <c r="AP85" s="1255"/>
      <c r="AQ85" s="746" cm="1">
        <f t="array" aca="1" ref="AQ85" ca="1">SUM(COUNTIF(INDIRECT({"B7","G7","L7","Q7","V7","AA7","AF7","AK7","AP7","AU7","AZ7","BE7","BJ7","BO7","B13","G13","L13","Q13","V13","AA13","AF13","AK13","AP13","AU13","AZ13","BE13","BJ13","BO13","B19","G19","L19","Q19","V19","AA19","AF19","AK19","AP19","AU19","AZ19","BE19","BJ19","BO19","B25","G25","L25","Q25","V25","AA25","AF25","AK25","AP25","AU25","AZ25","BE25","BJ25","BO25","B31","G31","L31","Q31","V31","AA31","AF31","AK31","AP31","AU31","AZ31","BE31","BJ31"}),"&gt;0"))</f>
        <v>69</v>
      </c>
      <c r="AR85" s="746"/>
      <c r="AS85" s="746"/>
      <c r="AT85" s="747">
        <f ca="1">AQ85*AN85</f>
        <v>3450</v>
      </c>
      <c r="AU85" s="748"/>
      <c r="AV85" s="748"/>
      <c r="AW85" s="749"/>
      <c r="AY85" s="739" t="s">
        <v>130</v>
      </c>
      <c r="AZ85" s="740"/>
      <c r="BA85" s="740"/>
      <c r="BB85" s="740"/>
      <c r="BC85" s="740"/>
      <c r="BD85" s="740"/>
      <c r="BE85" s="740"/>
      <c r="BF85" s="740"/>
      <c r="BG85" s="740"/>
      <c r="BH85" s="741"/>
      <c r="BI85" s="13"/>
      <c r="BJ85" s="13"/>
      <c r="BK85" s="13"/>
      <c r="BL85" s="13"/>
      <c r="BM85" s="13"/>
      <c r="BN85" s="13"/>
      <c r="BO85" s="13"/>
      <c r="BP85" s="13"/>
      <c r="BQ85" s="13"/>
      <c r="BR85" s="13"/>
    </row>
    <row r="86" spans="30:70" x14ac:dyDescent="0.25">
      <c r="AN86" s="1255"/>
      <c r="AO86" s="1255"/>
      <c r="AP86" s="1255"/>
      <c r="AQ86" s="746"/>
      <c r="AR86" s="746"/>
      <c r="AS86" s="746"/>
      <c r="AT86" s="747"/>
      <c r="AU86" s="748"/>
      <c r="AV86" s="748"/>
      <c r="AW86" s="749"/>
      <c r="AY86" s="750"/>
      <c r="AZ86" s="751"/>
      <c r="BA86" s="751"/>
      <c r="BB86" s="751"/>
      <c r="BC86" s="751"/>
      <c r="BD86" s="751"/>
      <c r="BE86" s="751"/>
      <c r="BF86" s="751"/>
      <c r="BG86" s="751"/>
      <c r="BH86" s="752"/>
      <c r="BI86" s="13"/>
      <c r="BJ86" s="13"/>
      <c r="BK86" s="13"/>
      <c r="BL86" s="13"/>
      <c r="BM86" s="13"/>
      <c r="BN86" s="13"/>
      <c r="BO86" s="13"/>
      <c r="BP86" s="13"/>
      <c r="BQ86" s="13"/>
      <c r="BR86" s="13"/>
    </row>
    <row r="87" spans="30:70" ht="15" customHeight="1" x14ac:dyDescent="0.25">
      <c r="AN87" s="1255"/>
      <c r="AO87" s="1255"/>
      <c r="AP87" s="1255"/>
      <c r="AQ87" s="746"/>
      <c r="AR87" s="746"/>
      <c r="AS87" s="746"/>
      <c r="AT87" s="747"/>
      <c r="AU87" s="748"/>
      <c r="AV87" s="748"/>
      <c r="AW87" s="749"/>
      <c r="AY87" s="750"/>
      <c r="AZ87" s="751"/>
      <c r="BA87" s="751"/>
      <c r="BB87" s="751"/>
      <c r="BC87" s="751"/>
      <c r="BD87" s="751"/>
      <c r="BE87" s="751"/>
      <c r="BF87" s="751"/>
      <c r="BG87" s="751"/>
      <c r="BH87" s="752"/>
      <c r="BI87" s="13"/>
      <c r="BJ87" s="13"/>
      <c r="BK87" s="13"/>
      <c r="BL87" s="13"/>
      <c r="BM87" s="13"/>
      <c r="BN87" s="13"/>
      <c r="BO87" s="13"/>
      <c r="BP87" s="13"/>
      <c r="BQ87" s="13"/>
      <c r="BR87" s="13"/>
    </row>
    <row r="88" spans="30:70" ht="15" customHeight="1" x14ac:dyDescent="0.25">
      <c r="AN88" s="727">
        <v>45</v>
      </c>
      <c r="AO88" s="727"/>
      <c r="AP88" s="727"/>
      <c r="AQ88" s="746" cm="1">
        <f t="array" aca="1" ref="AQ88" ca="1">SUM(COUNTIF(INDIRECT({"BO31","B37","G37","L37","Q37","V37","AA37","AF37","AK37","AP37","AU37","AZ37","BE37","BJ37","BO37","B43","G43","L43","Q43","V43","AA43","AF43","AK43","AP43","AU43","AZ43","BE43","BJ43","BO43","B49","G49","L49","Q49"}),"&gt;0"))</f>
        <v>33</v>
      </c>
      <c r="AR88" s="746"/>
      <c r="AS88" s="746"/>
      <c r="AT88" s="747">
        <f ca="1">AQ88*AN88</f>
        <v>1485</v>
      </c>
      <c r="AU88" s="748"/>
      <c r="AV88" s="748"/>
      <c r="AW88" s="749"/>
      <c r="AY88" s="742"/>
      <c r="AZ88" s="743"/>
      <c r="BA88" s="743"/>
      <c r="BB88" s="743"/>
      <c r="BC88" s="743"/>
      <c r="BD88" s="743"/>
      <c r="BE88" s="743"/>
      <c r="BF88" s="743"/>
      <c r="BG88" s="743"/>
      <c r="BH88" s="744"/>
      <c r="BI88" s="13"/>
      <c r="BJ88" s="13"/>
      <c r="BK88" s="13"/>
      <c r="BL88" s="13"/>
      <c r="BM88" s="13"/>
      <c r="BN88" s="13"/>
      <c r="BO88" s="13"/>
      <c r="BP88" s="13"/>
      <c r="BQ88" s="13"/>
      <c r="BR88" s="13"/>
    </row>
    <row r="89" spans="30:70" ht="26.25" x14ac:dyDescent="0.25">
      <c r="AN89" s="727"/>
      <c r="AO89" s="727"/>
      <c r="AP89" s="727"/>
      <c r="AQ89" s="746"/>
      <c r="AR89" s="746"/>
      <c r="AS89" s="746"/>
      <c r="AT89" s="747"/>
      <c r="AU89" s="748"/>
      <c r="AV89" s="748"/>
      <c r="AW89" s="749"/>
      <c r="AY89" s="728">
        <f ca="1">AT78/((72*3.1415/59)*(AO78/3.281))</f>
        <v>4.9519616803650031E-2</v>
      </c>
      <c r="AZ89" s="729"/>
      <c r="BA89" s="729"/>
      <c r="BB89" s="729"/>
      <c r="BC89" s="729"/>
      <c r="BD89" s="729"/>
      <c r="BE89" s="729"/>
      <c r="BF89" s="729"/>
      <c r="BG89" s="729"/>
      <c r="BH89" s="730"/>
      <c r="BI89" s="57"/>
      <c r="BJ89" s="57"/>
      <c r="BK89" s="57"/>
      <c r="BL89" s="57"/>
      <c r="BM89" s="57"/>
      <c r="BN89" s="57"/>
      <c r="BO89" s="57"/>
      <c r="BP89" s="57"/>
      <c r="BQ89" s="57"/>
      <c r="BR89" s="57"/>
    </row>
    <row r="90" spans="30:70" ht="26.25" x14ac:dyDescent="0.25">
      <c r="AN90" s="727"/>
      <c r="AO90" s="727"/>
      <c r="AP90" s="727"/>
      <c r="AQ90" s="746"/>
      <c r="AR90" s="746"/>
      <c r="AS90" s="746"/>
      <c r="AT90" s="747"/>
      <c r="AU90" s="748"/>
      <c r="AV90" s="748"/>
      <c r="AW90" s="749"/>
      <c r="AY90" s="731"/>
      <c r="AZ90" s="732"/>
      <c r="BA90" s="732"/>
      <c r="BB90" s="732"/>
      <c r="BC90" s="732"/>
      <c r="BD90" s="732"/>
      <c r="BE90" s="732"/>
      <c r="BF90" s="732"/>
      <c r="BG90" s="732"/>
      <c r="BH90" s="733"/>
      <c r="BI90" s="57"/>
      <c r="BJ90" s="57"/>
      <c r="BK90" s="57"/>
      <c r="BL90" s="57"/>
      <c r="BM90" s="57"/>
      <c r="BN90" s="57"/>
      <c r="BO90" s="57"/>
      <c r="BP90" s="57"/>
      <c r="BQ90" s="57"/>
      <c r="BR90" s="57"/>
    </row>
    <row r="91" spans="30:70" ht="15" customHeight="1" x14ac:dyDescent="0.25">
      <c r="AN91" s="727"/>
      <c r="AO91" s="727"/>
      <c r="AP91" s="727"/>
      <c r="AQ91" s="746"/>
      <c r="AR91" s="746"/>
      <c r="AS91" s="746"/>
      <c r="AT91" s="747"/>
      <c r="AU91" s="748"/>
      <c r="AV91" s="748"/>
      <c r="AW91" s="749"/>
      <c r="AY91" s="731"/>
      <c r="AZ91" s="732"/>
      <c r="BA91" s="732"/>
      <c r="BB91" s="732"/>
      <c r="BC91" s="732"/>
      <c r="BD91" s="732"/>
      <c r="BE91" s="732"/>
      <c r="BF91" s="732"/>
      <c r="BG91" s="732"/>
      <c r="BH91" s="733"/>
      <c r="BI91" s="57"/>
      <c r="BJ91" s="57"/>
      <c r="BK91" s="57"/>
      <c r="BL91" s="57"/>
      <c r="BM91" s="57"/>
      <c r="BN91" s="57"/>
      <c r="BO91" s="57"/>
      <c r="BP91" s="57"/>
      <c r="BQ91" s="57"/>
      <c r="BR91" s="57"/>
    </row>
    <row r="92" spans="30:70" ht="15" customHeight="1" x14ac:dyDescent="0.25">
      <c r="AN92" s="727"/>
      <c r="AO92" s="727"/>
      <c r="AP92" s="727"/>
      <c r="AQ92" s="746"/>
      <c r="AR92" s="746"/>
      <c r="AS92" s="746"/>
      <c r="AT92" s="747"/>
      <c r="AU92" s="748"/>
      <c r="AV92" s="748"/>
      <c r="AW92" s="749"/>
      <c r="AY92" s="731"/>
      <c r="AZ92" s="732"/>
      <c r="BA92" s="732"/>
      <c r="BB92" s="732"/>
      <c r="BC92" s="732"/>
      <c r="BD92" s="732"/>
      <c r="BE92" s="732"/>
      <c r="BF92" s="732"/>
      <c r="BG92" s="732"/>
      <c r="BH92" s="733"/>
      <c r="BI92" s="57"/>
      <c r="BJ92" s="57"/>
      <c r="BK92" s="57"/>
      <c r="BL92" s="57"/>
      <c r="BM92" s="57"/>
      <c r="BN92" s="57"/>
      <c r="BO92" s="57"/>
      <c r="BP92" s="57"/>
      <c r="BQ92" s="57"/>
      <c r="BR92" s="57"/>
    </row>
    <row r="93" spans="30:70" ht="15" customHeight="1" x14ac:dyDescent="0.25">
      <c r="AN93" s="727"/>
      <c r="AO93" s="727"/>
      <c r="AP93" s="727"/>
      <c r="AQ93" s="746"/>
      <c r="AR93" s="746"/>
      <c r="AS93" s="746"/>
      <c r="AT93" s="747"/>
      <c r="AU93" s="748"/>
      <c r="AV93" s="748"/>
      <c r="AW93" s="749"/>
      <c r="AY93" s="734"/>
      <c r="AZ93" s="735"/>
      <c r="BA93" s="735"/>
      <c r="BB93" s="735"/>
      <c r="BC93" s="735"/>
      <c r="BD93" s="735"/>
      <c r="BE93" s="735"/>
      <c r="BF93" s="735"/>
      <c r="BG93" s="735"/>
      <c r="BH93" s="736"/>
      <c r="BI93" s="57"/>
      <c r="BJ93" s="57"/>
      <c r="BK93" s="57"/>
      <c r="BL93" s="57"/>
      <c r="BM93" s="57"/>
      <c r="BN93" s="57"/>
      <c r="BO93" s="57"/>
      <c r="BP93" s="57"/>
      <c r="BQ93" s="57"/>
      <c r="BR93" s="57"/>
    </row>
    <row r="94" spans="30:70" x14ac:dyDescent="0.25">
      <c r="AQ94" s="1254">
        <f ca="1">AQ91+AQ88+AQ85</f>
        <v>102</v>
      </c>
      <c r="AR94" s="1254"/>
      <c r="AS94" s="1254"/>
      <c r="AT94" s="747">
        <f ca="1">AT88+AT91+AT85</f>
        <v>4935</v>
      </c>
      <c r="AU94" s="748"/>
      <c r="AV94" s="748"/>
      <c r="AW94" s="749"/>
    </row>
    <row r="95" spans="30:70" x14ac:dyDescent="0.25">
      <c r="AQ95" s="1254"/>
      <c r="AR95" s="1254"/>
      <c r="AS95" s="1254"/>
      <c r="AT95" s="747"/>
      <c r="AU95" s="748"/>
      <c r="AV95" s="748"/>
      <c r="AW95" s="749"/>
    </row>
    <row r="96" spans="30:70" ht="15" customHeight="1" x14ac:dyDescent="0.25">
      <c r="AQ96" s="1254"/>
      <c r="AR96" s="1254"/>
      <c r="AS96" s="1254"/>
      <c r="AT96" s="747"/>
      <c r="AU96" s="748"/>
      <c r="AV96" s="748"/>
      <c r="AW96" s="749"/>
    </row>
    <row r="97" spans="45:47" ht="15" customHeight="1" x14ac:dyDescent="0.25"/>
    <row r="98" spans="45:47" ht="15" customHeight="1" x14ac:dyDescent="0.25"/>
    <row r="99" spans="45:47" ht="15" customHeight="1" x14ac:dyDescent="0.25"/>
    <row r="100" spans="45:47" ht="15" customHeight="1" x14ac:dyDescent="0.25"/>
    <row r="101" spans="45:47" ht="15" customHeight="1" x14ac:dyDescent="0.25"/>
    <row r="102" spans="45:47" ht="15" customHeight="1" x14ac:dyDescent="0.25"/>
    <row r="103" spans="45:47" ht="15" customHeight="1" x14ac:dyDescent="0.25"/>
    <row r="104" spans="45:47" ht="15" customHeight="1" x14ac:dyDescent="0.25"/>
    <row r="105" spans="45:47" ht="15" customHeight="1" x14ac:dyDescent="0.25"/>
    <row r="106" spans="45:47" ht="15" customHeight="1" x14ac:dyDescent="0.25"/>
    <row r="107" spans="45:47" ht="15" customHeight="1" x14ac:dyDescent="0.25">
      <c r="AS107" s="27"/>
      <c r="AT107" s="27"/>
      <c r="AU107" s="27"/>
    </row>
  </sheetData>
  <mergeCells count="681">
    <mergeCell ref="AQ91:AS93"/>
    <mergeCell ref="AT91:AW93"/>
    <mergeCell ref="AQ94:AS96"/>
    <mergeCell ref="AT94:AW96"/>
    <mergeCell ref="AY83:BH84"/>
    <mergeCell ref="AN85:AP87"/>
    <mergeCell ref="AQ85:AS87"/>
    <mergeCell ref="AT85:AW87"/>
    <mergeCell ref="AY85:BH88"/>
    <mergeCell ref="AN88:AP90"/>
    <mergeCell ref="AQ88:AS90"/>
    <mergeCell ref="AT88:AW90"/>
    <mergeCell ref="AY89:BH93"/>
    <mergeCell ref="AN91:AP93"/>
    <mergeCell ref="O76:V80"/>
    <mergeCell ref="AL78:AN81"/>
    <mergeCell ref="AO78:AQ81"/>
    <mergeCell ref="AR78:AS81"/>
    <mergeCell ref="AT78:AU81"/>
    <mergeCell ref="AY78:BH79"/>
    <mergeCell ref="AY80:BH82"/>
    <mergeCell ref="AD75:AH81"/>
    <mergeCell ref="AL75:AN77"/>
    <mergeCell ref="AO75:AQ77"/>
    <mergeCell ref="AR75:AS77"/>
    <mergeCell ref="AT75:AU77"/>
    <mergeCell ref="AY75:BH77"/>
    <mergeCell ref="BP63:BR66"/>
    <mergeCell ref="A64:C66"/>
    <mergeCell ref="D66:E66"/>
    <mergeCell ref="G66:I68"/>
    <mergeCell ref="X67:AI72"/>
    <mergeCell ref="AJ67:AT72"/>
    <mergeCell ref="AU67:BF72"/>
    <mergeCell ref="BL67:BR70"/>
    <mergeCell ref="G69:I72"/>
    <mergeCell ref="BL71:BR72"/>
    <mergeCell ref="BN60:BN61"/>
    <mergeCell ref="BO60:BR60"/>
    <mergeCell ref="X62:AI66"/>
    <mergeCell ref="A63:C63"/>
    <mergeCell ref="D63:E63"/>
    <mergeCell ref="G63:I65"/>
    <mergeCell ref="AJ63:AS66"/>
    <mergeCell ref="AU63:BF66"/>
    <mergeCell ref="BG63:BK72"/>
    <mergeCell ref="BL63:BO66"/>
    <mergeCell ref="AY60:AY61"/>
    <mergeCell ref="AZ60:BC60"/>
    <mergeCell ref="BD60:BD61"/>
    <mergeCell ref="BE60:BH60"/>
    <mergeCell ref="BI60:BI61"/>
    <mergeCell ref="BJ60:BM60"/>
    <mergeCell ref="AJ60:AJ61"/>
    <mergeCell ref="AK60:AN60"/>
    <mergeCell ref="AO60:AO61"/>
    <mergeCell ref="AP60:AS60"/>
    <mergeCell ref="AT60:AT61"/>
    <mergeCell ref="AU60:AX60"/>
    <mergeCell ref="U60:U61"/>
    <mergeCell ref="V60:Y60"/>
    <mergeCell ref="Z60:Z61"/>
    <mergeCell ref="AA60:AD60"/>
    <mergeCell ref="AE60:AE61"/>
    <mergeCell ref="AF60:AI60"/>
    <mergeCell ref="BL59:BM59"/>
    <mergeCell ref="BQ59:BR59"/>
    <mergeCell ref="A60:A61"/>
    <mergeCell ref="B60:E60"/>
    <mergeCell ref="F60:F61"/>
    <mergeCell ref="G60:J60"/>
    <mergeCell ref="K60:K61"/>
    <mergeCell ref="L60:O60"/>
    <mergeCell ref="P60:P61"/>
    <mergeCell ref="Q60:T60"/>
    <mergeCell ref="BN57:BP59"/>
    <mergeCell ref="D59:E59"/>
    <mergeCell ref="I59:J59"/>
    <mergeCell ref="N59:O59"/>
    <mergeCell ref="S59:T59"/>
    <mergeCell ref="X59:Y59"/>
    <mergeCell ref="AC59:AD59"/>
    <mergeCell ref="AH59:AI59"/>
    <mergeCell ref="AM59:AN59"/>
    <mergeCell ref="AR59:AS59"/>
    <mergeCell ref="AJ57:AL59"/>
    <mergeCell ref="AO57:AQ59"/>
    <mergeCell ref="AT57:AV59"/>
    <mergeCell ref="AY57:BA59"/>
    <mergeCell ref="BD57:BF59"/>
    <mergeCell ref="BI57:BK59"/>
    <mergeCell ref="AW59:AX59"/>
    <mergeCell ref="BB59:BC59"/>
    <mergeCell ref="BG59:BH59"/>
    <mergeCell ref="BL56:BM56"/>
    <mergeCell ref="BN56:BP56"/>
    <mergeCell ref="BQ56:BR56"/>
    <mergeCell ref="A57:C59"/>
    <mergeCell ref="F57:H59"/>
    <mergeCell ref="K57:M59"/>
    <mergeCell ref="P57:R59"/>
    <mergeCell ref="U57:W59"/>
    <mergeCell ref="Z57:AB59"/>
    <mergeCell ref="AE57:AG59"/>
    <mergeCell ref="AW56:AX56"/>
    <mergeCell ref="AY56:BA56"/>
    <mergeCell ref="BB56:BC56"/>
    <mergeCell ref="BD56:BF56"/>
    <mergeCell ref="BG56:BH56"/>
    <mergeCell ref="BI56:BK56"/>
    <mergeCell ref="AH56:AI56"/>
    <mergeCell ref="AJ56:AL56"/>
    <mergeCell ref="AM56:AN56"/>
    <mergeCell ref="AO56:AQ56"/>
    <mergeCell ref="AR56:AS56"/>
    <mergeCell ref="AT56:AV56"/>
    <mergeCell ref="S56:T56"/>
    <mergeCell ref="U56:W56"/>
    <mergeCell ref="X56:Y56"/>
    <mergeCell ref="Z56:AB56"/>
    <mergeCell ref="AC56:AD56"/>
    <mergeCell ref="AE56:AG56"/>
    <mergeCell ref="BJ54:BM54"/>
    <mergeCell ref="BN54:BN55"/>
    <mergeCell ref="BO54:BR54"/>
    <mergeCell ref="A56:C56"/>
    <mergeCell ref="D56:E56"/>
    <mergeCell ref="F56:H56"/>
    <mergeCell ref="I56:J56"/>
    <mergeCell ref="K56:M56"/>
    <mergeCell ref="N56:O56"/>
    <mergeCell ref="P56:R56"/>
    <mergeCell ref="AU54:AX54"/>
    <mergeCell ref="AY54:AY55"/>
    <mergeCell ref="AZ54:BC54"/>
    <mergeCell ref="BD54:BD55"/>
    <mergeCell ref="BE54:BH54"/>
    <mergeCell ref="BI54:BI55"/>
    <mergeCell ref="AF54:AI54"/>
    <mergeCell ref="AJ54:AJ55"/>
    <mergeCell ref="AK54:AN54"/>
    <mergeCell ref="AO54:AO55"/>
    <mergeCell ref="AP54:AS54"/>
    <mergeCell ref="AT54:AT55"/>
    <mergeCell ref="Q54:T54"/>
    <mergeCell ref="U54:U55"/>
    <mergeCell ref="V54:Y54"/>
    <mergeCell ref="Z54:Z55"/>
    <mergeCell ref="AA54:AD54"/>
    <mergeCell ref="AE54:AE55"/>
    <mergeCell ref="BG53:BH53"/>
    <mergeCell ref="BD51:BF53"/>
    <mergeCell ref="AR53:AS53"/>
    <mergeCell ref="AW53:AX53"/>
    <mergeCell ref="BB53:BC53"/>
    <mergeCell ref="BL53:BM53"/>
    <mergeCell ref="BQ53:BR53"/>
    <mergeCell ref="A54:A55"/>
    <mergeCell ref="B54:E54"/>
    <mergeCell ref="F54:F55"/>
    <mergeCell ref="G54:J54"/>
    <mergeCell ref="K54:K55"/>
    <mergeCell ref="L54:O54"/>
    <mergeCell ref="P54:P55"/>
    <mergeCell ref="BI51:BK53"/>
    <mergeCell ref="BN51:BP53"/>
    <mergeCell ref="D53:E53"/>
    <mergeCell ref="I53:J53"/>
    <mergeCell ref="N53:O53"/>
    <mergeCell ref="S53:T53"/>
    <mergeCell ref="X53:Y53"/>
    <mergeCell ref="AC53:AD53"/>
    <mergeCell ref="AH53:AI53"/>
    <mergeCell ref="AM53:AN53"/>
    <mergeCell ref="AE51:AG53"/>
    <mergeCell ref="AJ51:AL53"/>
    <mergeCell ref="AO51:AQ53"/>
    <mergeCell ref="AT51:AV53"/>
    <mergeCell ref="AY51:BA53"/>
    <mergeCell ref="BD50:BF50"/>
    <mergeCell ref="BG50:BH50"/>
    <mergeCell ref="AE50:AG50"/>
    <mergeCell ref="AH50:AI50"/>
    <mergeCell ref="AJ50:AL50"/>
    <mergeCell ref="AM50:AN50"/>
    <mergeCell ref="AO50:AQ50"/>
    <mergeCell ref="AR50:AS50"/>
    <mergeCell ref="P50:R50"/>
    <mergeCell ref="S50:T50"/>
    <mergeCell ref="A51:C53"/>
    <mergeCell ref="F51:H53"/>
    <mergeCell ref="K51:M53"/>
    <mergeCell ref="P51:R53"/>
    <mergeCell ref="U51:W53"/>
    <mergeCell ref="Z51:AB53"/>
    <mergeCell ref="AT50:AV50"/>
    <mergeCell ref="AW50:AX50"/>
    <mergeCell ref="AY50:BA50"/>
    <mergeCell ref="BI48:BI49"/>
    <mergeCell ref="BJ48:BM48"/>
    <mergeCell ref="BN48:BN49"/>
    <mergeCell ref="BO48:BR48"/>
    <mergeCell ref="A50:C50"/>
    <mergeCell ref="D50:E50"/>
    <mergeCell ref="F50:H50"/>
    <mergeCell ref="I50:J50"/>
    <mergeCell ref="K50:M50"/>
    <mergeCell ref="N50:O50"/>
    <mergeCell ref="AT48:AT49"/>
    <mergeCell ref="AU48:AX48"/>
    <mergeCell ref="AY48:AY49"/>
    <mergeCell ref="AZ48:BC48"/>
    <mergeCell ref="BD48:BD49"/>
    <mergeCell ref="BE48:BH48"/>
    <mergeCell ref="AE48:AE49"/>
    <mergeCell ref="AF48:AI48"/>
    <mergeCell ref="AJ48:AJ49"/>
    <mergeCell ref="AK48:AN48"/>
    <mergeCell ref="BI50:BK50"/>
    <mergeCell ref="BL50:BM50"/>
    <mergeCell ref="BN50:BP50"/>
    <mergeCell ref="BQ50:BR50"/>
    <mergeCell ref="AP48:AS48"/>
    <mergeCell ref="P48:P49"/>
    <mergeCell ref="Q48:T48"/>
    <mergeCell ref="U48:U49"/>
    <mergeCell ref="V48:Y48"/>
    <mergeCell ref="Z48:Z49"/>
    <mergeCell ref="AA48:AD48"/>
    <mergeCell ref="BB47:BC47"/>
    <mergeCell ref="U50:W50"/>
    <mergeCell ref="X50:Y50"/>
    <mergeCell ref="Z50:AB50"/>
    <mergeCell ref="AC50:AD50"/>
    <mergeCell ref="BB50:BC50"/>
    <mergeCell ref="BG47:BH47"/>
    <mergeCell ref="BL47:BM47"/>
    <mergeCell ref="BQ47:BR47"/>
    <mergeCell ref="A48:A49"/>
    <mergeCell ref="B48:E48"/>
    <mergeCell ref="F48:F49"/>
    <mergeCell ref="G48:J48"/>
    <mergeCell ref="K48:K49"/>
    <mergeCell ref="L48:O48"/>
    <mergeCell ref="AY45:BA47"/>
    <mergeCell ref="BD45:BF47"/>
    <mergeCell ref="BI45:BK47"/>
    <mergeCell ref="BN45:BP47"/>
    <mergeCell ref="X47:Y47"/>
    <mergeCell ref="AC47:AD47"/>
    <mergeCell ref="AH47:AI47"/>
    <mergeCell ref="AM47:AN47"/>
    <mergeCell ref="AR47:AS47"/>
    <mergeCell ref="AW47:AX47"/>
    <mergeCell ref="P44:Q47"/>
    <mergeCell ref="R44:T47"/>
    <mergeCell ref="Z44:AB44"/>
    <mergeCell ref="AC44:AD44"/>
    <mergeCell ref="AO48:AO49"/>
    <mergeCell ref="BI44:BK44"/>
    <mergeCell ref="BL44:BM44"/>
    <mergeCell ref="BN44:BP44"/>
    <mergeCell ref="BQ44:BR44"/>
    <mergeCell ref="U45:W47"/>
    <mergeCell ref="Z45:AB47"/>
    <mergeCell ref="AE45:AG47"/>
    <mergeCell ref="AJ45:AL47"/>
    <mergeCell ref="AO45:AQ47"/>
    <mergeCell ref="AT45:AV47"/>
    <mergeCell ref="AT44:AV44"/>
    <mergeCell ref="AW44:AX44"/>
    <mergeCell ref="AY44:BA44"/>
    <mergeCell ref="BB44:BC44"/>
    <mergeCell ref="BD44:BF44"/>
    <mergeCell ref="BG44:BH44"/>
    <mergeCell ref="AE44:AG44"/>
    <mergeCell ref="AH44:AI44"/>
    <mergeCell ref="AJ44:AL44"/>
    <mergeCell ref="AM44:AN44"/>
    <mergeCell ref="AO44:AQ44"/>
    <mergeCell ref="AR44:AS44"/>
    <mergeCell ref="U44:W44"/>
    <mergeCell ref="X44:Y44"/>
    <mergeCell ref="BI42:BI43"/>
    <mergeCell ref="BJ42:BM42"/>
    <mergeCell ref="BN42:BN43"/>
    <mergeCell ref="BO42:BR42"/>
    <mergeCell ref="A44:B47"/>
    <mergeCell ref="C44:E47"/>
    <mergeCell ref="F44:G47"/>
    <mergeCell ref="H44:J47"/>
    <mergeCell ref="K44:L47"/>
    <mergeCell ref="M44:O47"/>
    <mergeCell ref="AT42:AT43"/>
    <mergeCell ref="AU42:AX42"/>
    <mergeCell ref="AY42:AY43"/>
    <mergeCell ref="AZ42:BC42"/>
    <mergeCell ref="BD42:BD43"/>
    <mergeCell ref="BE42:BH42"/>
    <mergeCell ref="AE42:AE43"/>
    <mergeCell ref="AF42:AI42"/>
    <mergeCell ref="AJ42:AJ43"/>
    <mergeCell ref="AK42:AN42"/>
    <mergeCell ref="AO42:AO43"/>
    <mergeCell ref="AP42:AS42"/>
    <mergeCell ref="P42:P43"/>
    <mergeCell ref="Q42:T42"/>
    <mergeCell ref="U42:U43"/>
    <mergeCell ref="V42:Y42"/>
    <mergeCell ref="Z42:Z43"/>
    <mergeCell ref="AA42:AD42"/>
    <mergeCell ref="BI38:BJ41"/>
    <mergeCell ref="BK38:BM41"/>
    <mergeCell ref="BN38:BO41"/>
    <mergeCell ref="BP38:BR41"/>
    <mergeCell ref="A42:A43"/>
    <mergeCell ref="B42:E42"/>
    <mergeCell ref="F42:F43"/>
    <mergeCell ref="G42:J42"/>
    <mergeCell ref="K42:K43"/>
    <mergeCell ref="L42:O42"/>
    <mergeCell ref="AT38:AU41"/>
    <mergeCell ref="AV38:AX41"/>
    <mergeCell ref="AY38:AZ41"/>
    <mergeCell ref="BA38:BC41"/>
    <mergeCell ref="BD38:BE41"/>
    <mergeCell ref="BF38:BH41"/>
    <mergeCell ref="AE38:AF41"/>
    <mergeCell ref="AG38:AI41"/>
    <mergeCell ref="AJ38:AK41"/>
    <mergeCell ref="AL38:AN41"/>
    <mergeCell ref="AO38:AP41"/>
    <mergeCell ref="AQ38:AS41"/>
    <mergeCell ref="P38:Q41"/>
    <mergeCell ref="R38:T41"/>
    <mergeCell ref="U38:V41"/>
    <mergeCell ref="W38:Y41"/>
    <mergeCell ref="Z38:AA41"/>
    <mergeCell ref="AB38:AD41"/>
    <mergeCell ref="BI36:BI37"/>
    <mergeCell ref="V36:Y36"/>
    <mergeCell ref="Z36:Z37"/>
    <mergeCell ref="AA36:AD36"/>
    <mergeCell ref="BJ36:BM36"/>
    <mergeCell ref="BN36:BN37"/>
    <mergeCell ref="BO36:BR36"/>
    <mergeCell ref="A38:B41"/>
    <mergeCell ref="C38:E41"/>
    <mergeCell ref="F38:G41"/>
    <mergeCell ref="H38:J41"/>
    <mergeCell ref="K38:L41"/>
    <mergeCell ref="M38:O41"/>
    <mergeCell ref="AT36:AT37"/>
    <mergeCell ref="AU36:AX36"/>
    <mergeCell ref="AY36:AY37"/>
    <mergeCell ref="AZ36:BC36"/>
    <mergeCell ref="BD36:BD37"/>
    <mergeCell ref="BE36:BH36"/>
    <mergeCell ref="AE36:AE37"/>
    <mergeCell ref="AF36:AI36"/>
    <mergeCell ref="AJ36:AJ37"/>
    <mergeCell ref="AK36:AN36"/>
    <mergeCell ref="AO36:AO37"/>
    <mergeCell ref="AP36:AS36"/>
    <mergeCell ref="P36:P37"/>
    <mergeCell ref="Q36:T36"/>
    <mergeCell ref="U36:U37"/>
    <mergeCell ref="BI32:BJ35"/>
    <mergeCell ref="BK32:BM35"/>
    <mergeCell ref="BN32:BO35"/>
    <mergeCell ref="BP32:BR35"/>
    <mergeCell ref="A36:A37"/>
    <mergeCell ref="B36:E36"/>
    <mergeCell ref="F36:F37"/>
    <mergeCell ref="G36:J36"/>
    <mergeCell ref="K36:K37"/>
    <mergeCell ref="L36:O36"/>
    <mergeCell ref="AT32:AU35"/>
    <mergeCell ref="AV32:AX35"/>
    <mergeCell ref="AY32:AZ35"/>
    <mergeCell ref="BA32:BC35"/>
    <mergeCell ref="BD32:BE35"/>
    <mergeCell ref="BF32:BH35"/>
    <mergeCell ref="AE32:AF35"/>
    <mergeCell ref="AG32:AI35"/>
    <mergeCell ref="AJ32:AK35"/>
    <mergeCell ref="AL32:AN35"/>
    <mergeCell ref="AO32:AP35"/>
    <mergeCell ref="AQ32:AS35"/>
    <mergeCell ref="P32:Q35"/>
    <mergeCell ref="R32:T35"/>
    <mergeCell ref="U32:V35"/>
    <mergeCell ref="W32:Y35"/>
    <mergeCell ref="Z32:AA35"/>
    <mergeCell ref="AB32:AD35"/>
    <mergeCell ref="BI30:BI31"/>
    <mergeCell ref="BJ30:BM30"/>
    <mergeCell ref="BN30:BN31"/>
    <mergeCell ref="BO30:BR30"/>
    <mergeCell ref="A32:B35"/>
    <mergeCell ref="C32:E35"/>
    <mergeCell ref="F32:G35"/>
    <mergeCell ref="H32:J35"/>
    <mergeCell ref="K32:L35"/>
    <mergeCell ref="M32:O35"/>
    <mergeCell ref="AT30:AT31"/>
    <mergeCell ref="AU30:AX30"/>
    <mergeCell ref="AY30:AY31"/>
    <mergeCell ref="AZ30:BC30"/>
    <mergeCell ref="BD30:BD31"/>
    <mergeCell ref="BE30:BH30"/>
    <mergeCell ref="AE30:AE31"/>
    <mergeCell ref="AF30:AI30"/>
    <mergeCell ref="AJ30:AJ31"/>
    <mergeCell ref="AK30:AN30"/>
    <mergeCell ref="AO30:AO31"/>
    <mergeCell ref="AP30:AS30"/>
    <mergeCell ref="P30:P31"/>
    <mergeCell ref="Q30:T30"/>
    <mergeCell ref="U30:U31"/>
    <mergeCell ref="V30:Y30"/>
    <mergeCell ref="Z30:Z31"/>
    <mergeCell ref="AA30:AD30"/>
    <mergeCell ref="BI26:BJ29"/>
    <mergeCell ref="W26:Y29"/>
    <mergeCell ref="Z26:AA29"/>
    <mergeCell ref="AB26:AD29"/>
    <mergeCell ref="BK26:BM29"/>
    <mergeCell ref="BN26:BO29"/>
    <mergeCell ref="BP26:BR29"/>
    <mergeCell ref="A30:A31"/>
    <mergeCell ref="B30:E30"/>
    <mergeCell ref="F30:F31"/>
    <mergeCell ref="G30:J30"/>
    <mergeCell ref="K30:K31"/>
    <mergeCell ref="L30:O30"/>
    <mergeCell ref="AT26:AU29"/>
    <mergeCell ref="AV26:AX29"/>
    <mergeCell ref="AY26:AZ29"/>
    <mergeCell ref="BA26:BC29"/>
    <mergeCell ref="BD26:BE29"/>
    <mergeCell ref="BF26:BH29"/>
    <mergeCell ref="AE26:AF29"/>
    <mergeCell ref="AG26:AI29"/>
    <mergeCell ref="AJ26:AK29"/>
    <mergeCell ref="AL26:AN29"/>
    <mergeCell ref="AO26:AP29"/>
    <mergeCell ref="AQ26:AS29"/>
    <mergeCell ref="P26:Q29"/>
    <mergeCell ref="R26:T29"/>
    <mergeCell ref="U26:V29"/>
    <mergeCell ref="BI24:BI25"/>
    <mergeCell ref="BJ24:BM24"/>
    <mergeCell ref="BN24:BN25"/>
    <mergeCell ref="BO24:BR24"/>
    <mergeCell ref="A26:B29"/>
    <mergeCell ref="C26:E29"/>
    <mergeCell ref="F26:G29"/>
    <mergeCell ref="H26:J29"/>
    <mergeCell ref="K26:L29"/>
    <mergeCell ref="M26:O29"/>
    <mergeCell ref="AT24:AT25"/>
    <mergeCell ref="AU24:AX24"/>
    <mergeCell ref="AY24:AY25"/>
    <mergeCell ref="AZ24:BC24"/>
    <mergeCell ref="BD24:BD25"/>
    <mergeCell ref="BE24:BH24"/>
    <mergeCell ref="AE24:AE25"/>
    <mergeCell ref="AF24:AI24"/>
    <mergeCell ref="AJ24:AJ25"/>
    <mergeCell ref="AK24:AN24"/>
    <mergeCell ref="AO24:AO25"/>
    <mergeCell ref="AP24:AS24"/>
    <mergeCell ref="P24:P25"/>
    <mergeCell ref="Q24:T24"/>
    <mergeCell ref="U24:U25"/>
    <mergeCell ref="V24:Y24"/>
    <mergeCell ref="Z24:Z25"/>
    <mergeCell ref="AA24:AD24"/>
    <mergeCell ref="BI20:BJ23"/>
    <mergeCell ref="BK20:BM23"/>
    <mergeCell ref="BN20:BO23"/>
    <mergeCell ref="BP20:BR23"/>
    <mergeCell ref="A24:A25"/>
    <mergeCell ref="B24:E24"/>
    <mergeCell ref="F24:F25"/>
    <mergeCell ref="G24:J24"/>
    <mergeCell ref="K24:K25"/>
    <mergeCell ref="L24:O24"/>
    <mergeCell ref="AT20:AU23"/>
    <mergeCell ref="AV20:AX23"/>
    <mergeCell ref="AY20:AZ23"/>
    <mergeCell ref="BA20:BC23"/>
    <mergeCell ref="BD20:BE23"/>
    <mergeCell ref="BF20:BH23"/>
    <mergeCell ref="AE20:AF23"/>
    <mergeCell ref="AG20:AI23"/>
    <mergeCell ref="AJ20:AK23"/>
    <mergeCell ref="AL20:AN23"/>
    <mergeCell ref="AO20:AP23"/>
    <mergeCell ref="AQ20:AS23"/>
    <mergeCell ref="P20:Q23"/>
    <mergeCell ref="R20:T23"/>
    <mergeCell ref="U20:V23"/>
    <mergeCell ref="W20:Y23"/>
    <mergeCell ref="Z20:AA23"/>
    <mergeCell ref="AB20:AD23"/>
    <mergeCell ref="BI18:BI19"/>
    <mergeCell ref="V18:Y18"/>
    <mergeCell ref="Z18:Z19"/>
    <mergeCell ref="AA18:AD18"/>
    <mergeCell ref="BJ18:BM18"/>
    <mergeCell ref="BN18:BN19"/>
    <mergeCell ref="BO18:BR18"/>
    <mergeCell ref="A20:B23"/>
    <mergeCell ref="C20:E23"/>
    <mergeCell ref="F20:G23"/>
    <mergeCell ref="H20:J23"/>
    <mergeCell ref="K20:L23"/>
    <mergeCell ref="M20:O23"/>
    <mergeCell ref="AT18:AT19"/>
    <mergeCell ref="AU18:AX18"/>
    <mergeCell ref="AY18:AY19"/>
    <mergeCell ref="AZ18:BC18"/>
    <mergeCell ref="BD18:BD19"/>
    <mergeCell ref="BE18:BH18"/>
    <mergeCell ref="AE18:AE19"/>
    <mergeCell ref="AF18:AI18"/>
    <mergeCell ref="AJ18:AJ19"/>
    <mergeCell ref="AK18:AN18"/>
    <mergeCell ref="AO18:AO19"/>
    <mergeCell ref="AP18:AS18"/>
    <mergeCell ref="P18:P19"/>
    <mergeCell ref="Q18:T18"/>
    <mergeCell ref="U18:U19"/>
    <mergeCell ref="BI14:BJ17"/>
    <mergeCell ref="BK14:BM17"/>
    <mergeCell ref="BN14:BO17"/>
    <mergeCell ref="BP14:BR17"/>
    <mergeCell ref="A18:A19"/>
    <mergeCell ref="B18:E18"/>
    <mergeCell ref="F18:F19"/>
    <mergeCell ref="G18:J18"/>
    <mergeCell ref="K18:K19"/>
    <mergeCell ref="L18:O18"/>
    <mergeCell ref="AT14:AU17"/>
    <mergeCell ref="AV14:AX17"/>
    <mergeCell ref="AY14:AZ17"/>
    <mergeCell ref="BA14:BC17"/>
    <mergeCell ref="BD14:BE17"/>
    <mergeCell ref="BF14:BH17"/>
    <mergeCell ref="AE14:AF17"/>
    <mergeCell ref="AG14:AI17"/>
    <mergeCell ref="AJ14:AK17"/>
    <mergeCell ref="AL14:AN17"/>
    <mergeCell ref="AO14:AP17"/>
    <mergeCell ref="AQ14:AS17"/>
    <mergeCell ref="P14:Q17"/>
    <mergeCell ref="R14:T17"/>
    <mergeCell ref="U14:V17"/>
    <mergeCell ref="W14:Y17"/>
    <mergeCell ref="Z14:AA17"/>
    <mergeCell ref="AB14:AD17"/>
    <mergeCell ref="BI12:BI13"/>
    <mergeCell ref="BJ12:BM12"/>
    <mergeCell ref="BN12:BN13"/>
    <mergeCell ref="BO12:BR12"/>
    <mergeCell ref="A14:B17"/>
    <mergeCell ref="C14:E17"/>
    <mergeCell ref="F14:G17"/>
    <mergeCell ref="H14:J17"/>
    <mergeCell ref="K14:L17"/>
    <mergeCell ref="M14:O17"/>
    <mergeCell ref="AT12:AT13"/>
    <mergeCell ref="AU12:AX12"/>
    <mergeCell ref="AY12:AY13"/>
    <mergeCell ref="AZ12:BC12"/>
    <mergeCell ref="BD12:BD13"/>
    <mergeCell ref="BE12:BH12"/>
    <mergeCell ref="AE12:AE13"/>
    <mergeCell ref="AF12:AI12"/>
    <mergeCell ref="AJ12:AJ13"/>
    <mergeCell ref="AK12:AN12"/>
    <mergeCell ref="AO12:AO13"/>
    <mergeCell ref="AP12:AS12"/>
    <mergeCell ref="P12:P13"/>
    <mergeCell ref="Q12:T12"/>
    <mergeCell ref="U12:U13"/>
    <mergeCell ref="V12:Y12"/>
    <mergeCell ref="Z12:Z13"/>
    <mergeCell ref="AA12:AD12"/>
    <mergeCell ref="BI8:BJ11"/>
    <mergeCell ref="W8:Y11"/>
    <mergeCell ref="Z8:AA11"/>
    <mergeCell ref="AB8:AD11"/>
    <mergeCell ref="BK8:BM11"/>
    <mergeCell ref="BN8:BO11"/>
    <mergeCell ref="BP8:BR11"/>
    <mergeCell ref="A12:A13"/>
    <mergeCell ref="B12:E12"/>
    <mergeCell ref="F12:F13"/>
    <mergeCell ref="G12:J12"/>
    <mergeCell ref="K12:K13"/>
    <mergeCell ref="L12:O12"/>
    <mergeCell ref="AT8:AU11"/>
    <mergeCell ref="AV8:AX11"/>
    <mergeCell ref="AY8:AZ11"/>
    <mergeCell ref="BA8:BC11"/>
    <mergeCell ref="BD8:BE11"/>
    <mergeCell ref="BF8:BH11"/>
    <mergeCell ref="AE8:AF11"/>
    <mergeCell ref="AG8:AI11"/>
    <mergeCell ref="AJ8:AK11"/>
    <mergeCell ref="AL8:AN11"/>
    <mergeCell ref="AO8:AP11"/>
    <mergeCell ref="AQ8:AS11"/>
    <mergeCell ref="P8:Q11"/>
    <mergeCell ref="R8:T11"/>
    <mergeCell ref="U8:V11"/>
    <mergeCell ref="BI6:BI7"/>
    <mergeCell ref="BJ6:BM6"/>
    <mergeCell ref="BN6:BN7"/>
    <mergeCell ref="BO6:BR6"/>
    <mergeCell ref="A8:B11"/>
    <mergeCell ref="C8:E11"/>
    <mergeCell ref="F8:G11"/>
    <mergeCell ref="H8:J11"/>
    <mergeCell ref="K8:L11"/>
    <mergeCell ref="M8:O11"/>
    <mergeCell ref="AT6:AT7"/>
    <mergeCell ref="AU6:AX6"/>
    <mergeCell ref="AY6:AY7"/>
    <mergeCell ref="AZ6:BC6"/>
    <mergeCell ref="BD6:BD7"/>
    <mergeCell ref="BE6:BH6"/>
    <mergeCell ref="AE6:AE7"/>
    <mergeCell ref="AF6:AI6"/>
    <mergeCell ref="AJ6:AJ7"/>
    <mergeCell ref="AK6:AN6"/>
    <mergeCell ref="AO6:AO7"/>
    <mergeCell ref="AP6:AS6"/>
    <mergeCell ref="P6:P7"/>
    <mergeCell ref="Q6:T6"/>
    <mergeCell ref="U6:U7"/>
    <mergeCell ref="V6:Y6"/>
    <mergeCell ref="Z6:Z7"/>
    <mergeCell ref="AA6:AD6"/>
    <mergeCell ref="BI2:BJ5"/>
    <mergeCell ref="BK2:BM5"/>
    <mergeCell ref="BN2:BO5"/>
    <mergeCell ref="BP2:BR5"/>
    <mergeCell ref="A6:A7"/>
    <mergeCell ref="B6:E6"/>
    <mergeCell ref="F6:F7"/>
    <mergeCell ref="G6:J6"/>
    <mergeCell ref="K6:K7"/>
    <mergeCell ref="L6:O6"/>
    <mergeCell ref="AT2:AU5"/>
    <mergeCell ref="AV2:AX5"/>
    <mergeCell ref="AY2:AZ5"/>
    <mergeCell ref="BA2:BC5"/>
    <mergeCell ref="BD2:BE5"/>
    <mergeCell ref="BF2:BH5"/>
    <mergeCell ref="AE2:AF5"/>
    <mergeCell ref="AG2:AI5"/>
    <mergeCell ref="AJ2:AK5"/>
    <mergeCell ref="AL2:AN5"/>
    <mergeCell ref="AO2:AP5"/>
    <mergeCell ref="AQ2:AS5"/>
    <mergeCell ref="P2:Q5"/>
    <mergeCell ref="R2:T5"/>
    <mergeCell ref="U2:V5"/>
    <mergeCell ref="W2:Y5"/>
    <mergeCell ref="Z2:AA5"/>
    <mergeCell ref="AB2:AD5"/>
    <mergeCell ref="A2:B5"/>
    <mergeCell ref="C2:E5"/>
    <mergeCell ref="F2:G5"/>
    <mergeCell ref="H2:J5"/>
    <mergeCell ref="K2:L5"/>
    <mergeCell ref="M2:O5"/>
  </mergeCells>
  <pageMargins left="0.5" right="0" top="0.65" bottom="0" header="0.3" footer="0.3"/>
  <pageSetup paperSize="8" scale="46" orientation="landscape" r:id="rId1"/>
  <colBreaks count="1" manualBreakCount="1">
    <brk id="70" max="50" man="1"/>
  </colBreaks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9B6C8-973A-4F52-941D-D0EC73515FE7}">
  <sheetPr codeName="Sheet5">
    <tabColor rgb="FFFFC000"/>
    <pageSetUpPr fitToPage="1"/>
  </sheetPr>
  <dimension ref="A1:CL124"/>
  <sheetViews>
    <sheetView view="pageBreakPreview" zoomScale="55" zoomScaleNormal="115" zoomScaleSheetLayoutView="55" workbookViewId="0">
      <selection activeCell="O31" sqref="O31:R31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140625" customWidth="1"/>
    <col min="47" max="47" width="10.71093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4.140625" customWidth="1"/>
    <col min="62" max="62" width="10.7109375" customWidth="1"/>
    <col min="63" max="63" width="4.28515625" customWidth="1"/>
    <col min="64" max="65" width="5.5703125" customWidth="1"/>
    <col min="66" max="66" width="4.140625" customWidth="1"/>
    <col min="67" max="67" width="10.7109375" customWidth="1"/>
    <col min="68" max="68" width="4.28515625" customWidth="1"/>
    <col min="69" max="70" width="5.5703125" customWidth="1"/>
    <col min="71" max="71" width="1" customWidth="1"/>
    <col min="72" max="72" width="56.7109375" customWidth="1"/>
    <col min="73" max="73" width="13" customWidth="1"/>
    <col min="74" max="74" width="7" customWidth="1"/>
  </cols>
  <sheetData>
    <row r="1" spans="1:83" ht="75" customHeight="1" thickBot="1" x14ac:dyDescent="0.3"/>
    <row r="2" spans="1:83" ht="30" customHeight="1" thickTop="1" x14ac:dyDescent="0.25">
      <c r="A2" s="3634" t="s">
        <v>110</v>
      </c>
      <c r="B2" s="3635"/>
      <c r="C2" s="3630">
        <f>B7/((36*3.1415/44)*(70/3.281))</f>
        <v>4.9090375894641373E-2</v>
      </c>
      <c r="D2" s="3630"/>
      <c r="E2" s="3631"/>
      <c r="F2" s="3634" t="s">
        <v>110</v>
      </c>
      <c r="G2" s="3635"/>
      <c r="H2" s="3630">
        <f>G7/((36*3.1415/44)*(70/3.281))</f>
        <v>1.8418008786622506E-3</v>
      </c>
      <c r="I2" s="3630"/>
      <c r="J2" s="3631"/>
      <c r="K2" s="3634" t="s">
        <v>110</v>
      </c>
      <c r="L2" s="3635"/>
      <c r="M2" s="3630">
        <f>L7/((36*3.1415/44)*(70/3.281))</f>
        <v>1.3421440066291252E-2</v>
      </c>
      <c r="N2" s="3630"/>
      <c r="O2" s="3631"/>
      <c r="P2" s="3634" t="s">
        <v>110</v>
      </c>
      <c r="Q2" s="3635"/>
      <c r="R2" s="3630">
        <f>Q7/((36*3.1415/44)*(70/3.281))</f>
        <v>1.823565226398268E-6</v>
      </c>
      <c r="S2" s="3630"/>
      <c r="T2" s="3631"/>
      <c r="U2" s="3634" t="s">
        <v>110</v>
      </c>
      <c r="V2" s="3635"/>
      <c r="W2" s="3630">
        <f>V7/((36*3.1415/44)*(70/3.281))</f>
        <v>1.8235652263982678E-5</v>
      </c>
      <c r="X2" s="3630"/>
      <c r="Y2" s="3631"/>
      <c r="Z2" s="3634" t="s">
        <v>110</v>
      </c>
      <c r="AA2" s="3635"/>
      <c r="AB2" s="3630">
        <f>AA7/((36*3.1415/44)*(70/3.281))</f>
        <v>1.0649620922165884E-2</v>
      </c>
      <c r="AC2" s="3630"/>
      <c r="AD2" s="3631"/>
      <c r="AE2" s="3634" t="s">
        <v>110</v>
      </c>
      <c r="AF2" s="3635"/>
      <c r="AG2" s="3630">
        <f>AF7/((36*3.1415/44)*(70/3.281))</f>
        <v>2.8247025356909167E-2</v>
      </c>
      <c r="AH2" s="3630"/>
      <c r="AI2" s="3631"/>
      <c r="AJ2" s="3634" t="s">
        <v>110</v>
      </c>
      <c r="AK2" s="3635"/>
      <c r="AL2" s="3630">
        <f>AK7/((36*3.1415/44)*(70/3.281))</f>
        <v>7.8595661257765351E-3</v>
      </c>
      <c r="AM2" s="3630"/>
      <c r="AN2" s="3631"/>
      <c r="AO2" s="3634" t="s">
        <v>110</v>
      </c>
      <c r="AP2" s="3635"/>
      <c r="AQ2" s="3630">
        <f>AP7/((36*3.1415/44)*(70/3.281))</f>
        <v>1.1105512228765451E-2</v>
      </c>
      <c r="AR2" s="3630"/>
      <c r="AS2" s="3631"/>
      <c r="AT2" s="3634" t="s">
        <v>110</v>
      </c>
      <c r="AU2" s="3635"/>
      <c r="AV2" s="3630">
        <f>AU7/((36*3.1415/44)*(70/3.281))</f>
        <v>1.4351458331754368E-2</v>
      </c>
      <c r="AW2" s="3630"/>
      <c r="AX2" s="3631"/>
      <c r="AY2" s="3634" t="s">
        <v>110</v>
      </c>
      <c r="AZ2" s="3635"/>
      <c r="BA2" s="3630">
        <f>AZ7/((36*3.1415/44)*(70/3.281))</f>
        <v>3.8896646279075055E-2</v>
      </c>
      <c r="BB2" s="3630"/>
      <c r="BC2" s="3631"/>
      <c r="BD2" s="3634" t="s">
        <v>110</v>
      </c>
      <c r="BE2" s="3635"/>
      <c r="BF2" s="3630">
        <f>BE7/((36*3.1415/44)*(70/3.281))</f>
        <v>3.3808899297423887E-2</v>
      </c>
      <c r="BG2" s="3630"/>
      <c r="BH2" s="3631"/>
      <c r="BI2" s="3634" t="s">
        <v>110</v>
      </c>
      <c r="BJ2" s="3635"/>
      <c r="BK2" s="3630">
        <f>BJ7/((36*3.1415/44)*(70/3.281))</f>
        <v>4.157728716188051E-3</v>
      </c>
      <c r="BL2" s="3630"/>
      <c r="BM2" s="3631"/>
      <c r="BN2" s="3634" t="s">
        <v>110</v>
      </c>
      <c r="BO2" s="3635"/>
      <c r="BP2" s="3630">
        <f>BO7/((36*3.1415/44)*(70/3.281))</f>
        <v>1.2491421800828136E-2</v>
      </c>
      <c r="BQ2" s="3630"/>
      <c r="BR2" s="3631"/>
    </row>
    <row r="3" spans="1:83" ht="5.25" customHeight="1" x14ac:dyDescent="0.25">
      <c r="A3" s="3636"/>
      <c r="B3" s="3637"/>
      <c r="C3" s="3632"/>
      <c r="D3" s="3632"/>
      <c r="E3" s="3633"/>
      <c r="F3" s="3636"/>
      <c r="G3" s="3637"/>
      <c r="H3" s="3632"/>
      <c r="I3" s="3632"/>
      <c r="J3" s="3633"/>
      <c r="K3" s="3636"/>
      <c r="L3" s="3637"/>
      <c r="M3" s="3632"/>
      <c r="N3" s="3632"/>
      <c r="O3" s="3633"/>
      <c r="P3" s="3636"/>
      <c r="Q3" s="3637"/>
      <c r="R3" s="3632"/>
      <c r="S3" s="3632"/>
      <c r="T3" s="3633"/>
      <c r="U3" s="3636"/>
      <c r="V3" s="3637"/>
      <c r="W3" s="3632"/>
      <c r="X3" s="3632"/>
      <c r="Y3" s="3633"/>
      <c r="Z3" s="3636"/>
      <c r="AA3" s="3637"/>
      <c r="AB3" s="3632"/>
      <c r="AC3" s="3632"/>
      <c r="AD3" s="3633"/>
      <c r="AE3" s="3636"/>
      <c r="AF3" s="3637"/>
      <c r="AG3" s="3632"/>
      <c r="AH3" s="3632"/>
      <c r="AI3" s="3633"/>
      <c r="AJ3" s="3636"/>
      <c r="AK3" s="3637"/>
      <c r="AL3" s="3632"/>
      <c r="AM3" s="3632"/>
      <c r="AN3" s="3633"/>
      <c r="AO3" s="3636"/>
      <c r="AP3" s="3637"/>
      <c r="AQ3" s="3632"/>
      <c r="AR3" s="3632"/>
      <c r="AS3" s="3633"/>
      <c r="AT3" s="3636"/>
      <c r="AU3" s="3637"/>
      <c r="AV3" s="3632"/>
      <c r="AW3" s="3632"/>
      <c r="AX3" s="3633"/>
      <c r="AY3" s="3636"/>
      <c r="AZ3" s="3637"/>
      <c r="BA3" s="3632"/>
      <c r="BB3" s="3632"/>
      <c r="BC3" s="3633"/>
      <c r="BD3" s="3636"/>
      <c r="BE3" s="3637"/>
      <c r="BF3" s="3632"/>
      <c r="BG3" s="3632"/>
      <c r="BH3" s="3633"/>
      <c r="BI3" s="3636"/>
      <c r="BJ3" s="3637"/>
      <c r="BK3" s="3632"/>
      <c r="BL3" s="3632"/>
      <c r="BM3" s="3633"/>
      <c r="BN3" s="3636"/>
      <c r="BO3" s="3637"/>
      <c r="BP3" s="3632"/>
      <c r="BQ3" s="3632"/>
      <c r="BR3" s="3633"/>
    </row>
    <row r="4" spans="1:83" ht="14.25" customHeight="1" x14ac:dyDescent="0.25">
      <c r="A4" s="3504" t="s">
        <v>111</v>
      </c>
      <c r="B4" s="3193"/>
      <c r="C4" s="3196" t="s">
        <v>25</v>
      </c>
      <c r="D4" s="3196"/>
      <c r="E4" s="3505"/>
      <c r="F4" s="3504" t="s">
        <v>111</v>
      </c>
      <c r="G4" s="3193"/>
      <c r="H4" s="3196" t="s">
        <v>25</v>
      </c>
      <c r="I4" s="3196"/>
      <c r="J4" s="3505"/>
      <c r="K4" s="3504" t="s">
        <v>111</v>
      </c>
      <c r="L4" s="3193"/>
      <c r="M4" s="3196" t="s">
        <v>25</v>
      </c>
      <c r="N4" s="3196"/>
      <c r="O4" s="3505"/>
      <c r="P4" s="3504" t="s">
        <v>111</v>
      </c>
      <c r="Q4" s="3193"/>
      <c r="R4" s="3196" t="s">
        <v>25</v>
      </c>
      <c r="S4" s="3196"/>
      <c r="T4" s="3505"/>
      <c r="U4" s="3504" t="s">
        <v>111</v>
      </c>
      <c r="V4" s="3193"/>
      <c r="W4" s="3196" t="s">
        <v>25</v>
      </c>
      <c r="X4" s="3196"/>
      <c r="Y4" s="3505"/>
      <c r="Z4" s="3504" t="s">
        <v>111</v>
      </c>
      <c r="AA4" s="3193"/>
      <c r="AB4" s="3196" t="s">
        <v>25</v>
      </c>
      <c r="AC4" s="3196"/>
      <c r="AD4" s="3505"/>
      <c r="AE4" s="3504" t="s">
        <v>111</v>
      </c>
      <c r="AF4" s="3193"/>
      <c r="AG4" s="3196" t="s">
        <v>25</v>
      </c>
      <c r="AH4" s="3196"/>
      <c r="AI4" s="3505"/>
      <c r="AJ4" s="3504" t="s">
        <v>111</v>
      </c>
      <c r="AK4" s="3193"/>
      <c r="AL4" s="3196" t="s">
        <v>25</v>
      </c>
      <c r="AM4" s="3196"/>
      <c r="AN4" s="3505"/>
      <c r="AO4" s="3504" t="s">
        <v>111</v>
      </c>
      <c r="AP4" s="3193"/>
      <c r="AQ4" s="3196" t="s">
        <v>25</v>
      </c>
      <c r="AR4" s="3196"/>
      <c r="AS4" s="3505"/>
      <c r="AT4" s="3504" t="s">
        <v>111</v>
      </c>
      <c r="AU4" s="3193"/>
      <c r="AV4" s="3196" t="s">
        <v>25</v>
      </c>
      <c r="AW4" s="3196"/>
      <c r="AX4" s="3505"/>
      <c r="AY4" s="3504" t="s">
        <v>111</v>
      </c>
      <c r="AZ4" s="3193"/>
      <c r="BA4" s="3196" t="s">
        <v>25</v>
      </c>
      <c r="BB4" s="3196"/>
      <c r="BC4" s="3505"/>
      <c r="BD4" s="3504" t="s">
        <v>111</v>
      </c>
      <c r="BE4" s="3193"/>
      <c r="BF4" s="3196" t="s">
        <v>25</v>
      </c>
      <c r="BG4" s="3196"/>
      <c r="BH4" s="3505"/>
      <c r="BI4" s="3504" t="s">
        <v>111</v>
      </c>
      <c r="BJ4" s="3193"/>
      <c r="BK4" s="3196" t="s">
        <v>25</v>
      </c>
      <c r="BL4" s="3196"/>
      <c r="BM4" s="3505"/>
      <c r="BN4" s="3504" t="s">
        <v>111</v>
      </c>
      <c r="BO4" s="3193"/>
      <c r="BP4" s="3196" t="s">
        <v>25</v>
      </c>
      <c r="BQ4" s="3196"/>
      <c r="BR4" s="3505"/>
    </row>
    <row r="5" spans="1:83" ht="9" customHeight="1" x14ac:dyDescent="0.25">
      <c r="A5" s="3506"/>
      <c r="B5" s="3195"/>
      <c r="C5" s="3197"/>
      <c r="D5" s="3197"/>
      <c r="E5" s="3507"/>
      <c r="F5" s="3506"/>
      <c r="G5" s="3195"/>
      <c r="H5" s="3197"/>
      <c r="I5" s="3197"/>
      <c r="J5" s="3507"/>
      <c r="K5" s="3506"/>
      <c r="L5" s="3195"/>
      <c r="M5" s="3197"/>
      <c r="N5" s="3197"/>
      <c r="O5" s="3507"/>
      <c r="P5" s="3506"/>
      <c r="Q5" s="3195"/>
      <c r="R5" s="3197"/>
      <c r="S5" s="3197"/>
      <c r="T5" s="3507"/>
      <c r="U5" s="3506"/>
      <c r="V5" s="3195"/>
      <c r="W5" s="3197"/>
      <c r="X5" s="3197"/>
      <c r="Y5" s="3507"/>
      <c r="Z5" s="3506"/>
      <c r="AA5" s="3195"/>
      <c r="AB5" s="3197"/>
      <c r="AC5" s="3197"/>
      <c r="AD5" s="3507"/>
      <c r="AE5" s="3506"/>
      <c r="AF5" s="3195"/>
      <c r="AG5" s="3197"/>
      <c r="AH5" s="3197"/>
      <c r="AI5" s="3507"/>
      <c r="AJ5" s="3506"/>
      <c r="AK5" s="3195"/>
      <c r="AL5" s="3197"/>
      <c r="AM5" s="3197"/>
      <c r="AN5" s="3507"/>
      <c r="AO5" s="3506"/>
      <c r="AP5" s="3195"/>
      <c r="AQ5" s="3197"/>
      <c r="AR5" s="3197"/>
      <c r="AS5" s="3507"/>
      <c r="AT5" s="3506"/>
      <c r="AU5" s="3195"/>
      <c r="AV5" s="3197"/>
      <c r="AW5" s="3197"/>
      <c r="AX5" s="3507"/>
      <c r="AY5" s="3506"/>
      <c r="AZ5" s="3195"/>
      <c r="BA5" s="3197"/>
      <c r="BB5" s="3197"/>
      <c r="BC5" s="3507"/>
      <c r="BD5" s="3506"/>
      <c r="BE5" s="3195"/>
      <c r="BF5" s="3197"/>
      <c r="BG5" s="3197"/>
      <c r="BH5" s="3507"/>
      <c r="BI5" s="3506"/>
      <c r="BJ5" s="3195"/>
      <c r="BK5" s="3197"/>
      <c r="BL5" s="3197"/>
      <c r="BM5" s="3507"/>
      <c r="BN5" s="3506"/>
      <c r="BO5" s="3195"/>
      <c r="BP5" s="3197"/>
      <c r="BQ5" s="3197"/>
      <c r="BR5" s="3507"/>
    </row>
    <row r="6" spans="1:83" s="22" customFormat="1" ht="80.099999999999994" customHeight="1" x14ac:dyDescent="1.35">
      <c r="A6" s="3622" t="s">
        <v>137</v>
      </c>
      <c r="B6" s="588">
        <v>1</v>
      </c>
      <c r="C6" s="589"/>
      <c r="D6" s="3624"/>
      <c r="E6" s="126" t="s">
        <v>170</v>
      </c>
      <c r="F6" s="3622" t="s">
        <v>137</v>
      </c>
      <c r="G6" s="588">
        <v>2</v>
      </c>
      <c r="H6" s="589"/>
      <c r="I6" s="3624"/>
      <c r="J6" s="126" t="s">
        <v>171</v>
      </c>
      <c r="K6" s="3622" t="s">
        <v>137</v>
      </c>
      <c r="L6" s="588">
        <v>3</v>
      </c>
      <c r="M6" s="589"/>
      <c r="N6" s="3624"/>
      <c r="O6" s="126" t="s">
        <v>172</v>
      </c>
      <c r="P6" s="3622" t="s">
        <v>137</v>
      </c>
      <c r="Q6" s="588">
        <v>5</v>
      </c>
      <c r="R6" s="589"/>
      <c r="S6" s="3624"/>
      <c r="T6" s="126" t="s">
        <v>173</v>
      </c>
      <c r="U6" s="3622" t="s">
        <v>137</v>
      </c>
      <c r="V6" s="588">
        <v>6</v>
      </c>
      <c r="W6" s="589"/>
      <c r="X6" s="3624"/>
      <c r="Y6" s="126" t="s">
        <v>174</v>
      </c>
      <c r="Z6" s="3622" t="s">
        <v>137</v>
      </c>
      <c r="AA6" s="588">
        <v>7</v>
      </c>
      <c r="AB6" s="589"/>
      <c r="AC6" s="3624"/>
      <c r="AD6" s="126" t="s">
        <v>175</v>
      </c>
      <c r="AE6" s="3622" t="s">
        <v>137</v>
      </c>
      <c r="AF6" s="588">
        <v>8</v>
      </c>
      <c r="AG6" s="589"/>
      <c r="AH6" s="3624"/>
      <c r="AI6" s="126" t="s">
        <v>176</v>
      </c>
      <c r="AJ6" s="3622" t="s">
        <v>137</v>
      </c>
      <c r="AK6" s="588">
        <v>9</v>
      </c>
      <c r="AL6" s="589"/>
      <c r="AM6" s="3624"/>
      <c r="AN6" s="126" t="s">
        <v>177</v>
      </c>
      <c r="AO6" s="3622" t="s">
        <v>137</v>
      </c>
      <c r="AP6" s="1296">
        <v>10</v>
      </c>
      <c r="AQ6" s="1297"/>
      <c r="AR6" s="3611"/>
      <c r="AS6" s="126" t="s">
        <v>178</v>
      </c>
      <c r="AT6" s="3622" t="s">
        <v>137</v>
      </c>
      <c r="AU6" s="588">
        <v>11</v>
      </c>
      <c r="AV6" s="589"/>
      <c r="AW6" s="3624"/>
      <c r="AX6" s="126" t="s">
        <v>179</v>
      </c>
      <c r="AY6" s="3622" t="s">
        <v>137</v>
      </c>
      <c r="AZ6" s="588">
        <v>12</v>
      </c>
      <c r="BA6" s="589"/>
      <c r="BB6" s="3624"/>
      <c r="BC6" s="126" t="s">
        <v>181</v>
      </c>
      <c r="BD6" s="3622" t="s">
        <v>137</v>
      </c>
      <c r="BE6" s="588">
        <v>13</v>
      </c>
      <c r="BF6" s="589"/>
      <c r="BG6" s="3624"/>
      <c r="BH6" s="126" t="s">
        <v>182</v>
      </c>
      <c r="BI6" s="3622" t="s">
        <v>137</v>
      </c>
      <c r="BJ6" s="1296">
        <v>15</v>
      </c>
      <c r="BK6" s="1297"/>
      <c r="BL6" s="3611"/>
      <c r="BM6" s="126" t="s">
        <v>183</v>
      </c>
      <c r="BN6" s="3622" t="s">
        <v>137</v>
      </c>
      <c r="BO6" s="1296">
        <v>16</v>
      </c>
      <c r="BP6" s="1297"/>
      <c r="BQ6" s="3611"/>
      <c r="BR6" s="126" t="s">
        <v>184</v>
      </c>
    </row>
    <row r="7" spans="1:83" ht="27" customHeight="1" thickBot="1" x14ac:dyDescent="0.3">
      <c r="A7" s="3623"/>
      <c r="B7" s="61">
        <v>2.6920000000000002</v>
      </c>
      <c r="C7" s="62" t="s">
        <v>113</v>
      </c>
      <c r="D7" s="63"/>
      <c r="E7" s="64" t="s">
        <v>114</v>
      </c>
      <c r="F7" s="3623"/>
      <c r="G7" s="61">
        <v>0.10100000000000001</v>
      </c>
      <c r="H7" s="62" t="s">
        <v>113</v>
      </c>
      <c r="I7" s="63"/>
      <c r="J7" s="64" t="s">
        <v>114</v>
      </c>
      <c r="K7" s="3623"/>
      <c r="L7" s="61">
        <v>0.73599999999999999</v>
      </c>
      <c r="M7" s="62" t="s">
        <v>113</v>
      </c>
      <c r="N7" s="63"/>
      <c r="O7" s="64" t="s">
        <v>114</v>
      </c>
      <c r="P7" s="3623"/>
      <c r="Q7" s="61">
        <v>1E-4</v>
      </c>
      <c r="R7" s="62" t="s">
        <v>113</v>
      </c>
      <c r="S7" s="63"/>
      <c r="T7" s="64" t="s">
        <v>114</v>
      </c>
      <c r="U7" s="3623"/>
      <c r="V7" s="61">
        <v>1E-3</v>
      </c>
      <c r="W7" s="62" t="s">
        <v>113</v>
      </c>
      <c r="X7" s="63"/>
      <c r="Y7" s="64" t="s">
        <v>114</v>
      </c>
      <c r="Z7" s="3623"/>
      <c r="AA7" s="61">
        <v>0.58399999999999996</v>
      </c>
      <c r="AB7" s="62" t="s">
        <v>113</v>
      </c>
      <c r="AC7" s="63">
        <v>1</v>
      </c>
      <c r="AD7" s="64" t="s">
        <v>114</v>
      </c>
      <c r="AE7" s="3623"/>
      <c r="AF7" s="61">
        <v>1.5489999999999999</v>
      </c>
      <c r="AG7" s="62" t="s">
        <v>113</v>
      </c>
      <c r="AH7" s="63"/>
      <c r="AI7" s="64" t="s">
        <v>114</v>
      </c>
      <c r="AJ7" s="3623"/>
      <c r="AK7" s="61">
        <v>0.43099999999999999</v>
      </c>
      <c r="AL7" s="62" t="s">
        <v>113</v>
      </c>
      <c r="AM7" s="63"/>
      <c r="AN7" s="64" t="s">
        <v>114</v>
      </c>
      <c r="AO7" s="3623"/>
      <c r="AP7" s="61">
        <v>0.60899999999999999</v>
      </c>
      <c r="AQ7" s="62" t="s">
        <v>113</v>
      </c>
      <c r="AR7" s="63"/>
      <c r="AS7" s="64" t="s">
        <v>114</v>
      </c>
      <c r="AT7" s="3623"/>
      <c r="AU7" s="61">
        <v>0.78700000000000003</v>
      </c>
      <c r="AV7" s="62" t="s">
        <v>113</v>
      </c>
      <c r="AW7" s="63">
        <v>1</v>
      </c>
      <c r="AX7" s="64" t="s">
        <v>114</v>
      </c>
      <c r="AY7" s="3623"/>
      <c r="AZ7" s="61">
        <v>2.133</v>
      </c>
      <c r="BA7" s="62" t="s">
        <v>113</v>
      </c>
      <c r="BB7" s="63"/>
      <c r="BC7" s="64" t="s">
        <v>114</v>
      </c>
      <c r="BD7" s="3623"/>
      <c r="BE7" s="61">
        <v>1.8540000000000001</v>
      </c>
      <c r="BF7" s="62" t="s">
        <v>113</v>
      </c>
      <c r="BG7" s="63"/>
      <c r="BH7" s="64" t="s">
        <v>114</v>
      </c>
      <c r="BI7" s="3623"/>
      <c r="BJ7" s="61">
        <v>0.22800000000000001</v>
      </c>
      <c r="BK7" s="62" t="s">
        <v>113</v>
      </c>
      <c r="BL7" s="63">
        <v>1</v>
      </c>
      <c r="BM7" s="64" t="s">
        <v>114</v>
      </c>
      <c r="BN7" s="3623"/>
      <c r="BO7" s="61">
        <v>0.68500000000000005</v>
      </c>
      <c r="BP7" s="62" t="s">
        <v>113</v>
      </c>
      <c r="BQ7" s="63"/>
      <c r="BR7" s="64" t="s">
        <v>114</v>
      </c>
      <c r="BW7" s="27"/>
      <c r="BX7" s="27"/>
      <c r="BY7" s="27"/>
      <c r="BZ7" s="27"/>
      <c r="CA7" s="27"/>
      <c r="CB7" s="27"/>
      <c r="CC7" s="27"/>
      <c r="CD7" s="27"/>
      <c r="CE7" s="27"/>
    </row>
    <row r="8" spans="1:83" ht="26.1" customHeight="1" thickTop="1" x14ac:dyDescent="0.25">
      <c r="A8" s="3634" t="s">
        <v>110</v>
      </c>
      <c r="B8" s="3635"/>
      <c r="C8" s="3630">
        <f>B13/((36*3.1415/44)*(70/3.281))</f>
        <v>1.823565226398268E-6</v>
      </c>
      <c r="D8" s="3630"/>
      <c r="E8" s="3631"/>
      <c r="F8" s="3634" t="s">
        <v>110</v>
      </c>
      <c r="G8" s="3635"/>
      <c r="H8" s="3630">
        <f>G13/((36*3.1415/44)*(70/3.281))</f>
        <v>1.1105512228765451E-2</v>
      </c>
      <c r="I8" s="3630"/>
      <c r="J8" s="3631"/>
      <c r="K8" s="3634" t="s">
        <v>110</v>
      </c>
      <c r="L8" s="3635"/>
      <c r="M8" s="3630">
        <f>L13/((36*3.1415/44)*(70/3.281))</f>
        <v>1.823565226398268E-6</v>
      </c>
      <c r="N8" s="3630"/>
      <c r="O8" s="3631"/>
      <c r="P8" s="3634" t="s">
        <v>110</v>
      </c>
      <c r="Q8" s="3635"/>
      <c r="R8" s="3630">
        <f>Q13/((36*3.1415/44)*(70/3.281))</f>
        <v>1.823565226398268E-6</v>
      </c>
      <c r="S8" s="3630"/>
      <c r="T8" s="3631"/>
      <c r="U8" s="3634" t="s">
        <v>110</v>
      </c>
      <c r="V8" s="3635"/>
      <c r="W8" s="3630">
        <f>V13/((36*3.1415/44)*(70/3.281))</f>
        <v>1.0175493963302336E-2</v>
      </c>
      <c r="X8" s="3630"/>
      <c r="Y8" s="3631"/>
      <c r="Z8" s="3634" t="s">
        <v>110</v>
      </c>
      <c r="AA8" s="3635"/>
      <c r="AB8" s="3630">
        <f>AA13/((36*3.1415/44)*(70/3.281))</f>
        <v>7.7811528210414094E-2</v>
      </c>
      <c r="AC8" s="3630"/>
      <c r="AD8" s="3631"/>
      <c r="AE8" s="3634" t="s">
        <v>110</v>
      </c>
      <c r="AF8" s="3635"/>
      <c r="AG8" s="3630">
        <f>AF13/((36*3.1415/44)*(70/3.281))</f>
        <v>7.1793762963299798E-2</v>
      </c>
      <c r="AH8" s="3630"/>
      <c r="AI8" s="3631"/>
      <c r="AJ8" s="3634" t="s">
        <v>110</v>
      </c>
      <c r="AK8" s="3635"/>
      <c r="AL8" s="3630">
        <f>AK13/((36*3.1415/44)*(70/3.281))</f>
        <v>4.6318556750516004E-3</v>
      </c>
      <c r="AM8" s="3630"/>
      <c r="AN8" s="3631"/>
      <c r="AO8" s="3634" t="s">
        <v>110</v>
      </c>
      <c r="AP8" s="3635"/>
      <c r="AQ8" s="3630">
        <f>AP13/((36*3.1415/44)*(70/3.281))</f>
        <v>1.823565226398268E-6</v>
      </c>
      <c r="AR8" s="3630"/>
      <c r="AS8" s="3631"/>
      <c r="AT8" s="3634" t="s">
        <v>110</v>
      </c>
      <c r="AU8" s="3635"/>
      <c r="AV8" s="3630">
        <f>AU13/((36*3.1415/44)*(70/3.281))</f>
        <v>1.8418008786622506E-3</v>
      </c>
      <c r="AW8" s="3630"/>
      <c r="AX8" s="3631"/>
      <c r="AY8" s="3634" t="s">
        <v>110</v>
      </c>
      <c r="AZ8" s="3635"/>
      <c r="BA8" s="3630">
        <f>AZ13/((36*3.1415/44)*(70/3.281))</f>
        <v>4.6318556750516004E-3</v>
      </c>
      <c r="BB8" s="3630"/>
      <c r="BC8" s="3631"/>
      <c r="BD8" s="3634" t="s">
        <v>110</v>
      </c>
      <c r="BE8" s="3635"/>
      <c r="BF8" s="3630">
        <f>BE13/((36*3.1415/44)*(70/3.281))</f>
        <v>1.823565226398268E-6</v>
      </c>
      <c r="BG8" s="3630"/>
      <c r="BH8" s="3631"/>
      <c r="BI8" s="3634" t="s">
        <v>110</v>
      </c>
      <c r="BJ8" s="3635"/>
      <c r="BK8" s="3630">
        <f>BJ13/((36*3.1415/44)*(70/3.281))</f>
        <v>1.823565226398268E-6</v>
      </c>
      <c r="BL8" s="3630"/>
      <c r="BM8" s="3631"/>
      <c r="BN8" s="3634" t="s">
        <v>110</v>
      </c>
      <c r="BO8" s="3635"/>
      <c r="BP8" s="3630">
        <f>BO13/((36*3.1415/44)*(70/3.281))</f>
        <v>8.3336930846400845E-3</v>
      </c>
      <c r="BQ8" s="3630"/>
      <c r="BR8" s="3631"/>
    </row>
    <row r="9" spans="1:83" ht="11.25" customHeight="1" x14ac:dyDescent="0.25">
      <c r="A9" s="3636"/>
      <c r="B9" s="3637"/>
      <c r="C9" s="3632"/>
      <c r="D9" s="3632"/>
      <c r="E9" s="3633"/>
      <c r="F9" s="3636"/>
      <c r="G9" s="3637"/>
      <c r="H9" s="3632"/>
      <c r="I9" s="3632"/>
      <c r="J9" s="3633"/>
      <c r="K9" s="3636"/>
      <c r="L9" s="3637"/>
      <c r="M9" s="3632"/>
      <c r="N9" s="3632"/>
      <c r="O9" s="3633"/>
      <c r="P9" s="3636"/>
      <c r="Q9" s="3637"/>
      <c r="R9" s="3632"/>
      <c r="S9" s="3632"/>
      <c r="T9" s="3633"/>
      <c r="U9" s="3636"/>
      <c r="V9" s="3637"/>
      <c r="W9" s="3632"/>
      <c r="X9" s="3632"/>
      <c r="Y9" s="3633"/>
      <c r="Z9" s="3636"/>
      <c r="AA9" s="3637"/>
      <c r="AB9" s="3632"/>
      <c r="AC9" s="3632"/>
      <c r="AD9" s="3633"/>
      <c r="AE9" s="3636"/>
      <c r="AF9" s="3637"/>
      <c r="AG9" s="3632"/>
      <c r="AH9" s="3632"/>
      <c r="AI9" s="3633"/>
      <c r="AJ9" s="3636"/>
      <c r="AK9" s="3637"/>
      <c r="AL9" s="3632"/>
      <c r="AM9" s="3632"/>
      <c r="AN9" s="3633"/>
      <c r="AO9" s="3636"/>
      <c r="AP9" s="3637"/>
      <c r="AQ9" s="3632"/>
      <c r="AR9" s="3632"/>
      <c r="AS9" s="3633"/>
      <c r="AT9" s="3636"/>
      <c r="AU9" s="3637"/>
      <c r="AV9" s="3632"/>
      <c r="AW9" s="3632"/>
      <c r="AX9" s="3633"/>
      <c r="AY9" s="3636"/>
      <c r="AZ9" s="3637"/>
      <c r="BA9" s="3632"/>
      <c r="BB9" s="3632"/>
      <c r="BC9" s="3633"/>
      <c r="BD9" s="3636"/>
      <c r="BE9" s="3637"/>
      <c r="BF9" s="3632"/>
      <c r="BG9" s="3632"/>
      <c r="BH9" s="3633"/>
      <c r="BI9" s="3636"/>
      <c r="BJ9" s="3637"/>
      <c r="BK9" s="3632"/>
      <c r="BL9" s="3632"/>
      <c r="BM9" s="3633"/>
      <c r="BN9" s="3636"/>
      <c r="BO9" s="3637"/>
      <c r="BP9" s="3632"/>
      <c r="BQ9" s="3632"/>
      <c r="BR9" s="3633"/>
    </row>
    <row r="10" spans="1:83" ht="21.95" customHeight="1" x14ac:dyDescent="0.25">
      <c r="A10" s="3504" t="s">
        <v>111</v>
      </c>
      <c r="B10" s="3193"/>
      <c r="C10" s="3196" t="s">
        <v>25</v>
      </c>
      <c r="D10" s="3196"/>
      <c r="E10" s="3505"/>
      <c r="F10" s="3504" t="s">
        <v>111</v>
      </c>
      <c r="G10" s="3193"/>
      <c r="H10" s="3196" t="s">
        <v>25</v>
      </c>
      <c r="I10" s="3196"/>
      <c r="J10" s="3505"/>
      <c r="K10" s="3504" t="s">
        <v>111</v>
      </c>
      <c r="L10" s="3193"/>
      <c r="M10" s="3196" t="s">
        <v>25</v>
      </c>
      <c r="N10" s="3196"/>
      <c r="O10" s="3505"/>
      <c r="P10" s="3504" t="s">
        <v>111</v>
      </c>
      <c r="Q10" s="3193"/>
      <c r="R10" s="3196" t="s">
        <v>25</v>
      </c>
      <c r="S10" s="3196"/>
      <c r="T10" s="3505"/>
      <c r="U10" s="3504" t="s">
        <v>111</v>
      </c>
      <c r="V10" s="3193"/>
      <c r="W10" s="3196" t="s">
        <v>25</v>
      </c>
      <c r="X10" s="3196"/>
      <c r="Y10" s="3505"/>
      <c r="Z10" s="3504" t="s">
        <v>111</v>
      </c>
      <c r="AA10" s="3193"/>
      <c r="AB10" s="3196" t="s">
        <v>25</v>
      </c>
      <c r="AC10" s="3196"/>
      <c r="AD10" s="3505"/>
      <c r="AE10" s="3504" t="s">
        <v>111</v>
      </c>
      <c r="AF10" s="3193"/>
      <c r="AG10" s="3196" t="s">
        <v>25</v>
      </c>
      <c r="AH10" s="3196"/>
      <c r="AI10" s="3505"/>
      <c r="AJ10" s="3504" t="s">
        <v>111</v>
      </c>
      <c r="AK10" s="3193"/>
      <c r="AL10" s="3196" t="s">
        <v>25</v>
      </c>
      <c r="AM10" s="3196"/>
      <c r="AN10" s="3505"/>
      <c r="AO10" s="3504" t="s">
        <v>111</v>
      </c>
      <c r="AP10" s="3193"/>
      <c r="AQ10" s="3196" t="s">
        <v>25</v>
      </c>
      <c r="AR10" s="3196"/>
      <c r="AS10" s="3505"/>
      <c r="AT10" s="3504" t="s">
        <v>111</v>
      </c>
      <c r="AU10" s="3193"/>
      <c r="AV10" s="3196" t="s">
        <v>25</v>
      </c>
      <c r="AW10" s="3196"/>
      <c r="AX10" s="3505"/>
      <c r="AY10" s="3504" t="s">
        <v>111</v>
      </c>
      <c r="AZ10" s="3193"/>
      <c r="BA10" s="3196" t="s">
        <v>25</v>
      </c>
      <c r="BB10" s="3196"/>
      <c r="BC10" s="3505"/>
      <c r="BD10" s="3504" t="s">
        <v>111</v>
      </c>
      <c r="BE10" s="3193"/>
      <c r="BF10" s="3196" t="s">
        <v>25</v>
      </c>
      <c r="BG10" s="3196"/>
      <c r="BH10" s="3505"/>
      <c r="BI10" s="3504" t="s">
        <v>111</v>
      </c>
      <c r="BJ10" s="3193"/>
      <c r="BK10" s="3196" t="s">
        <v>25</v>
      </c>
      <c r="BL10" s="3196"/>
      <c r="BM10" s="3505"/>
      <c r="BN10" s="3504" t="s">
        <v>111</v>
      </c>
      <c r="BO10" s="3193"/>
      <c r="BP10" s="3196" t="s">
        <v>25</v>
      </c>
      <c r="BQ10" s="3196"/>
      <c r="BR10" s="3505"/>
    </row>
    <row r="11" spans="1:83" ht="6" customHeight="1" x14ac:dyDescent="0.25">
      <c r="A11" s="3506"/>
      <c r="B11" s="3195"/>
      <c r="C11" s="3197"/>
      <c r="D11" s="3197"/>
      <c r="E11" s="3507"/>
      <c r="F11" s="3506"/>
      <c r="G11" s="3195"/>
      <c r="H11" s="3197"/>
      <c r="I11" s="3197"/>
      <c r="J11" s="3507"/>
      <c r="K11" s="3506"/>
      <c r="L11" s="3195"/>
      <c r="M11" s="3197"/>
      <c r="N11" s="3197"/>
      <c r="O11" s="3507"/>
      <c r="P11" s="3506"/>
      <c r="Q11" s="3195"/>
      <c r="R11" s="3197"/>
      <c r="S11" s="3197"/>
      <c r="T11" s="3507"/>
      <c r="U11" s="3506"/>
      <c r="V11" s="3195"/>
      <c r="W11" s="3197"/>
      <c r="X11" s="3197"/>
      <c r="Y11" s="3507"/>
      <c r="Z11" s="3506"/>
      <c r="AA11" s="3195"/>
      <c r="AB11" s="3197"/>
      <c r="AC11" s="3197"/>
      <c r="AD11" s="3507"/>
      <c r="AE11" s="3506"/>
      <c r="AF11" s="3195"/>
      <c r="AG11" s="3197"/>
      <c r="AH11" s="3197"/>
      <c r="AI11" s="3507"/>
      <c r="AJ11" s="3506"/>
      <c r="AK11" s="3195"/>
      <c r="AL11" s="3197"/>
      <c r="AM11" s="3197"/>
      <c r="AN11" s="3507"/>
      <c r="AO11" s="3506"/>
      <c r="AP11" s="3195"/>
      <c r="AQ11" s="3197"/>
      <c r="AR11" s="3197"/>
      <c r="AS11" s="3507"/>
      <c r="AT11" s="3506"/>
      <c r="AU11" s="3195"/>
      <c r="AV11" s="3197"/>
      <c r="AW11" s="3197"/>
      <c r="AX11" s="3507"/>
      <c r="AY11" s="3506"/>
      <c r="AZ11" s="3195"/>
      <c r="BA11" s="3197"/>
      <c r="BB11" s="3197"/>
      <c r="BC11" s="3507"/>
      <c r="BD11" s="3506"/>
      <c r="BE11" s="3195"/>
      <c r="BF11" s="3197"/>
      <c r="BG11" s="3197"/>
      <c r="BH11" s="3507"/>
      <c r="BI11" s="3506"/>
      <c r="BJ11" s="3195"/>
      <c r="BK11" s="3197"/>
      <c r="BL11" s="3197"/>
      <c r="BM11" s="3507"/>
      <c r="BN11" s="3506"/>
      <c r="BO11" s="3195"/>
      <c r="BP11" s="3197"/>
      <c r="BQ11" s="3197"/>
      <c r="BR11" s="3507"/>
    </row>
    <row r="12" spans="1:83" s="22" customFormat="1" ht="80.099999999999994" customHeight="1" x14ac:dyDescent="1.35">
      <c r="A12" s="3622" t="s">
        <v>137</v>
      </c>
      <c r="B12" s="588">
        <v>17</v>
      </c>
      <c r="C12" s="589"/>
      <c r="D12" s="3624"/>
      <c r="E12" s="126" t="s">
        <v>185</v>
      </c>
      <c r="F12" s="3622" t="s">
        <v>137</v>
      </c>
      <c r="G12" s="1296">
        <v>18</v>
      </c>
      <c r="H12" s="1297"/>
      <c r="I12" s="3611"/>
      <c r="J12" s="126" t="s">
        <v>186</v>
      </c>
      <c r="K12" s="3622" t="s">
        <v>137</v>
      </c>
      <c r="L12" s="588">
        <v>19</v>
      </c>
      <c r="M12" s="589"/>
      <c r="N12" s="3624"/>
      <c r="O12" s="126" t="s">
        <v>187</v>
      </c>
      <c r="P12" s="3622" t="s">
        <v>137</v>
      </c>
      <c r="Q12" s="1296">
        <v>20</v>
      </c>
      <c r="R12" s="1297"/>
      <c r="S12" s="3611"/>
      <c r="T12" s="126" t="s">
        <v>188</v>
      </c>
      <c r="U12" s="3622" t="s">
        <v>137</v>
      </c>
      <c r="V12" s="588">
        <v>21</v>
      </c>
      <c r="W12" s="589"/>
      <c r="X12" s="3624"/>
      <c r="Y12" s="126" t="s">
        <v>189</v>
      </c>
      <c r="Z12" s="3622" t="s">
        <v>137</v>
      </c>
      <c r="AA12" s="1296">
        <v>22</v>
      </c>
      <c r="AB12" s="1297"/>
      <c r="AC12" s="3611"/>
      <c r="AD12" s="126" t="s">
        <v>190</v>
      </c>
      <c r="AE12" s="3622" t="s">
        <v>137</v>
      </c>
      <c r="AF12" s="1296">
        <v>23</v>
      </c>
      <c r="AG12" s="1297"/>
      <c r="AH12" s="3611"/>
      <c r="AI12" s="126" t="s">
        <v>191</v>
      </c>
      <c r="AJ12" s="3622" t="s">
        <v>137</v>
      </c>
      <c r="AK12" s="1296">
        <v>24</v>
      </c>
      <c r="AL12" s="1297"/>
      <c r="AM12" s="3611"/>
      <c r="AN12" s="126" t="s">
        <v>192</v>
      </c>
      <c r="AO12" s="3622" t="s">
        <v>137</v>
      </c>
      <c r="AP12" s="1296">
        <v>25</v>
      </c>
      <c r="AQ12" s="1297"/>
      <c r="AR12" s="3611"/>
      <c r="AS12" s="126" t="s">
        <v>193</v>
      </c>
      <c r="AT12" s="3622" t="s">
        <v>137</v>
      </c>
      <c r="AU12" s="1296">
        <v>26</v>
      </c>
      <c r="AV12" s="1297"/>
      <c r="AW12" s="3611"/>
      <c r="AX12" s="126" t="s">
        <v>194</v>
      </c>
      <c r="AY12" s="3622" t="s">
        <v>137</v>
      </c>
      <c r="AZ12" s="588">
        <v>27</v>
      </c>
      <c r="BA12" s="589"/>
      <c r="BB12" s="3624"/>
      <c r="BC12" s="126" t="s">
        <v>197</v>
      </c>
      <c r="BD12" s="3622" t="s">
        <v>137</v>
      </c>
      <c r="BE12" s="1296">
        <v>28</v>
      </c>
      <c r="BF12" s="1297"/>
      <c r="BG12" s="3611"/>
      <c r="BH12" s="126" t="s">
        <v>198</v>
      </c>
      <c r="BI12" s="3622" t="s">
        <v>137</v>
      </c>
      <c r="BJ12" s="1296">
        <v>29</v>
      </c>
      <c r="BK12" s="1297"/>
      <c r="BL12" s="3611"/>
      <c r="BM12" s="126" t="s">
        <v>199</v>
      </c>
      <c r="BN12" s="3622" t="s">
        <v>137</v>
      </c>
      <c r="BO12" s="1296">
        <v>30</v>
      </c>
      <c r="BP12" s="1297"/>
      <c r="BQ12" s="3611"/>
      <c r="BR12" s="126" t="s">
        <v>208</v>
      </c>
    </row>
    <row r="13" spans="1:83" ht="27" customHeight="1" thickBot="1" x14ac:dyDescent="0.3">
      <c r="A13" s="3623"/>
      <c r="B13" s="61">
        <v>1E-4</v>
      </c>
      <c r="C13" s="62" t="s">
        <v>113</v>
      </c>
      <c r="D13" s="63"/>
      <c r="E13" s="64" t="s">
        <v>114</v>
      </c>
      <c r="F13" s="3623"/>
      <c r="G13" s="61">
        <v>0.60899999999999999</v>
      </c>
      <c r="H13" s="62" t="s">
        <v>113</v>
      </c>
      <c r="I13" s="63">
        <v>1</v>
      </c>
      <c r="J13" s="64" t="s">
        <v>114</v>
      </c>
      <c r="K13" s="3623"/>
      <c r="L13" s="61">
        <v>1E-4</v>
      </c>
      <c r="M13" s="62" t="s">
        <v>113</v>
      </c>
      <c r="N13" s="63"/>
      <c r="O13" s="64" t="s">
        <v>114</v>
      </c>
      <c r="P13" s="3623"/>
      <c r="Q13" s="61">
        <v>1E-4</v>
      </c>
      <c r="R13" s="62" t="s">
        <v>113</v>
      </c>
      <c r="S13" s="63"/>
      <c r="T13" s="64" t="s">
        <v>114</v>
      </c>
      <c r="U13" s="3623"/>
      <c r="V13" s="61">
        <v>0.55800000000000005</v>
      </c>
      <c r="W13" s="62" t="s">
        <v>113</v>
      </c>
      <c r="X13" s="63"/>
      <c r="Y13" s="64" t="s">
        <v>114</v>
      </c>
      <c r="Z13" s="3623"/>
      <c r="AA13" s="61">
        <v>4.2670000000000003</v>
      </c>
      <c r="AB13" s="62" t="s">
        <v>113</v>
      </c>
      <c r="AC13" s="63">
        <v>1</v>
      </c>
      <c r="AD13" s="64" t="s">
        <v>114</v>
      </c>
      <c r="AE13" s="3623"/>
      <c r="AF13" s="61">
        <v>3.9369999999999998</v>
      </c>
      <c r="AG13" s="62" t="s">
        <v>113</v>
      </c>
      <c r="AH13" s="63"/>
      <c r="AI13" s="64" t="s">
        <v>114</v>
      </c>
      <c r="AJ13" s="3623"/>
      <c r="AK13" s="61">
        <v>0.254</v>
      </c>
      <c r="AL13" s="62" t="s">
        <v>113</v>
      </c>
      <c r="AM13" s="63"/>
      <c r="AN13" s="64" t="s">
        <v>114</v>
      </c>
      <c r="AO13" s="3623"/>
      <c r="AP13" s="61">
        <v>1E-4</v>
      </c>
      <c r="AQ13" s="62" t="s">
        <v>113</v>
      </c>
      <c r="AR13" s="63"/>
      <c r="AS13" s="64" t="s">
        <v>114</v>
      </c>
      <c r="AT13" s="3623"/>
      <c r="AU13" s="61">
        <v>0.10100000000000001</v>
      </c>
      <c r="AV13" s="62" t="s">
        <v>113</v>
      </c>
      <c r="AW13" s="63">
        <v>1</v>
      </c>
      <c r="AX13" s="64" t="s">
        <v>114</v>
      </c>
      <c r="AY13" s="3623"/>
      <c r="AZ13" s="61">
        <v>0.254</v>
      </c>
      <c r="BA13" s="62" t="s">
        <v>113</v>
      </c>
      <c r="BB13" s="63"/>
      <c r="BC13" s="64" t="s">
        <v>114</v>
      </c>
      <c r="BD13" s="3623"/>
      <c r="BE13" s="61">
        <v>1E-4</v>
      </c>
      <c r="BF13" s="62" t="s">
        <v>113</v>
      </c>
      <c r="BG13" s="63"/>
      <c r="BH13" s="64" t="s">
        <v>114</v>
      </c>
      <c r="BI13" s="3623"/>
      <c r="BJ13" s="61">
        <v>1E-4</v>
      </c>
      <c r="BK13" s="62" t="s">
        <v>113</v>
      </c>
      <c r="BL13" s="63"/>
      <c r="BM13" s="64" t="s">
        <v>114</v>
      </c>
      <c r="BN13" s="3623"/>
      <c r="BO13" s="61">
        <v>0.45700000000000002</v>
      </c>
      <c r="BP13" s="62" t="s">
        <v>113</v>
      </c>
      <c r="BQ13" s="63">
        <v>1</v>
      </c>
      <c r="BR13" s="64" t="s">
        <v>114</v>
      </c>
      <c r="BW13" s="27"/>
      <c r="BX13" s="27"/>
      <c r="BY13" s="27"/>
      <c r="BZ13" s="27"/>
      <c r="CA13" s="27"/>
      <c r="CB13" s="27"/>
      <c r="CC13" s="27"/>
      <c r="CD13" s="27"/>
      <c r="CE13" s="27"/>
    </row>
    <row r="14" spans="1:83" ht="29.25" customHeight="1" thickTop="1" x14ac:dyDescent="0.25">
      <c r="A14" s="3634" t="s">
        <v>110</v>
      </c>
      <c r="B14" s="3635"/>
      <c r="C14" s="3630">
        <f>B19/((36*3.1415/44)*(70/3.281))</f>
        <v>3.2277104507249339E-3</v>
      </c>
      <c r="D14" s="3630"/>
      <c r="E14" s="3631"/>
      <c r="F14" s="3634" t="s">
        <v>110</v>
      </c>
      <c r="G14" s="3635"/>
      <c r="H14" s="3630">
        <f>G19/((36*3.1415/44)*(70/3.281))</f>
        <v>1.1105512228765451E-2</v>
      </c>
      <c r="I14" s="3630"/>
      <c r="J14" s="3631"/>
      <c r="K14" s="3634" t="s">
        <v>110</v>
      </c>
      <c r="L14" s="3635"/>
      <c r="M14" s="3630">
        <f>L19/((36*3.1415/44)*(70/3.281))</f>
        <v>6.0177652471142843E-3</v>
      </c>
      <c r="N14" s="3630"/>
      <c r="O14" s="3631"/>
      <c r="P14" s="3634" t="s">
        <v>110</v>
      </c>
      <c r="Q14" s="3635"/>
      <c r="R14" s="3630">
        <f>Q19/((36*3.1415/44)*(70/3.281))</f>
        <v>2.0843350537732203E-2</v>
      </c>
      <c r="S14" s="3630"/>
      <c r="T14" s="3631"/>
      <c r="U14" s="3634" t="s">
        <v>110</v>
      </c>
      <c r="V14" s="3635"/>
      <c r="W14" s="3630">
        <f>V19/((36*3.1415/44)*(70/3.281))</f>
        <v>7.8595661257765351E-3</v>
      </c>
      <c r="X14" s="3630"/>
      <c r="Y14" s="3631"/>
      <c r="Z14" s="3634" t="s">
        <v>110</v>
      </c>
      <c r="AA14" s="3635"/>
      <c r="AB14" s="3630">
        <f>AA19/((36*3.1415/44)*(70/3.281))</f>
        <v>1.823565226398268E-6</v>
      </c>
      <c r="AC14" s="3630"/>
      <c r="AD14" s="3631"/>
      <c r="AE14" s="3634" t="s">
        <v>110</v>
      </c>
      <c r="AF14" s="3635"/>
      <c r="AG14" s="3630">
        <f>AF19/((36*3.1415/44)*(70/3.281))</f>
        <v>3.2277104507249339E-3</v>
      </c>
      <c r="AH14" s="3630"/>
      <c r="AI14" s="3631"/>
      <c r="AJ14" s="3634" t="s">
        <v>110</v>
      </c>
      <c r="AK14" s="3635"/>
      <c r="AL14" s="3630">
        <f>AK19/((36*3.1415/44)*(70/3.281))</f>
        <v>1.823565226398268E-6</v>
      </c>
      <c r="AM14" s="3630"/>
      <c r="AN14" s="3631"/>
      <c r="AO14" s="3634" t="s">
        <v>110</v>
      </c>
      <c r="AP14" s="3635"/>
      <c r="AQ14" s="3630">
        <f>AP19/((36*3.1415/44)*(70/3.281))</f>
        <v>1.823565226398268E-6</v>
      </c>
      <c r="AR14" s="3630"/>
      <c r="AS14" s="3631"/>
      <c r="AT14" s="3634" t="s">
        <v>110</v>
      </c>
      <c r="AU14" s="3635"/>
      <c r="AV14" s="3630">
        <f>AU19/((36*3.1415/44)*(70/3.281))</f>
        <v>1.8527422700206402E-2</v>
      </c>
      <c r="AW14" s="3630"/>
      <c r="AX14" s="3631"/>
      <c r="AY14" s="3612" t="s">
        <v>110</v>
      </c>
      <c r="AZ14" s="3613"/>
      <c r="BA14" s="3616">
        <f>AZ19/((36*3.1415/44)*(60/3.281))</f>
        <v>1.8913410673127368E-2</v>
      </c>
      <c r="BB14" s="3617"/>
      <c r="BC14" s="3618"/>
      <c r="BD14" s="3612" t="s">
        <v>110</v>
      </c>
      <c r="BE14" s="3613"/>
      <c r="BF14" s="3616">
        <f>BE19/((36*3.1415/44)*(60/3.281))</f>
        <v>1.0807663241787068E-2</v>
      </c>
      <c r="BG14" s="3617"/>
      <c r="BH14" s="3618"/>
      <c r="BI14" s="3612" t="s">
        <v>110</v>
      </c>
      <c r="BJ14" s="3613"/>
      <c r="BK14" s="3616">
        <f>BJ19/((36*3.1415/44)*(60/3.281))</f>
        <v>2.4317242294020904E-2</v>
      </c>
      <c r="BL14" s="3617"/>
      <c r="BM14" s="3618"/>
      <c r="BN14" s="3612" t="s">
        <v>110</v>
      </c>
      <c r="BO14" s="3613"/>
      <c r="BP14" s="3616">
        <f>BO19/((36*3.1415/44)*(60/3.281))</f>
        <v>2.1274927641313125E-6</v>
      </c>
      <c r="BQ14" s="3617"/>
      <c r="BR14" s="3618"/>
    </row>
    <row r="15" spans="1:83" ht="6.75" customHeight="1" x14ac:dyDescent="0.25">
      <c r="A15" s="3636"/>
      <c r="B15" s="3637"/>
      <c r="C15" s="3632"/>
      <c r="D15" s="3632"/>
      <c r="E15" s="3633"/>
      <c r="F15" s="3636"/>
      <c r="G15" s="3637"/>
      <c r="H15" s="3632"/>
      <c r="I15" s="3632"/>
      <c r="J15" s="3633"/>
      <c r="K15" s="3636"/>
      <c r="L15" s="3637"/>
      <c r="M15" s="3632"/>
      <c r="N15" s="3632"/>
      <c r="O15" s="3633"/>
      <c r="P15" s="3636"/>
      <c r="Q15" s="3637"/>
      <c r="R15" s="3632"/>
      <c r="S15" s="3632"/>
      <c r="T15" s="3633"/>
      <c r="U15" s="3636"/>
      <c r="V15" s="3637"/>
      <c r="W15" s="3632"/>
      <c r="X15" s="3632"/>
      <c r="Y15" s="3633"/>
      <c r="Z15" s="3636"/>
      <c r="AA15" s="3637"/>
      <c r="AB15" s="3632"/>
      <c r="AC15" s="3632"/>
      <c r="AD15" s="3633"/>
      <c r="AE15" s="3636"/>
      <c r="AF15" s="3637"/>
      <c r="AG15" s="3632"/>
      <c r="AH15" s="3632"/>
      <c r="AI15" s="3633"/>
      <c r="AJ15" s="3636"/>
      <c r="AK15" s="3637"/>
      <c r="AL15" s="3632"/>
      <c r="AM15" s="3632"/>
      <c r="AN15" s="3633"/>
      <c r="AO15" s="3636"/>
      <c r="AP15" s="3637"/>
      <c r="AQ15" s="3632"/>
      <c r="AR15" s="3632"/>
      <c r="AS15" s="3633"/>
      <c r="AT15" s="3636"/>
      <c r="AU15" s="3637"/>
      <c r="AV15" s="3632"/>
      <c r="AW15" s="3632"/>
      <c r="AX15" s="3633"/>
      <c r="AY15" s="3614"/>
      <c r="AZ15" s="3615"/>
      <c r="BA15" s="3619"/>
      <c r="BB15" s="3620"/>
      <c r="BC15" s="3621"/>
      <c r="BD15" s="3614"/>
      <c r="BE15" s="3615"/>
      <c r="BF15" s="3619"/>
      <c r="BG15" s="3620"/>
      <c r="BH15" s="3621"/>
      <c r="BI15" s="3614"/>
      <c r="BJ15" s="3615"/>
      <c r="BK15" s="3619"/>
      <c r="BL15" s="3620"/>
      <c r="BM15" s="3621"/>
      <c r="BN15" s="3614"/>
      <c r="BO15" s="3615"/>
      <c r="BP15" s="3619"/>
      <c r="BQ15" s="3620"/>
      <c r="BR15" s="3621"/>
    </row>
    <row r="16" spans="1:83" ht="21.95" customHeight="1" x14ac:dyDescent="0.25">
      <c r="A16" s="3504" t="s">
        <v>111</v>
      </c>
      <c r="B16" s="3193"/>
      <c r="C16" s="3196" t="s">
        <v>25</v>
      </c>
      <c r="D16" s="3196"/>
      <c r="E16" s="3505"/>
      <c r="F16" s="3504" t="s">
        <v>111</v>
      </c>
      <c r="G16" s="3193"/>
      <c r="H16" s="3196" t="s">
        <v>25</v>
      </c>
      <c r="I16" s="3196"/>
      <c r="J16" s="3505"/>
      <c r="K16" s="3504" t="s">
        <v>111</v>
      </c>
      <c r="L16" s="3193"/>
      <c r="M16" s="3196" t="s">
        <v>25</v>
      </c>
      <c r="N16" s="3196"/>
      <c r="O16" s="3505"/>
      <c r="P16" s="3504" t="s">
        <v>111</v>
      </c>
      <c r="Q16" s="3193"/>
      <c r="R16" s="3196" t="s">
        <v>25</v>
      </c>
      <c r="S16" s="3196"/>
      <c r="T16" s="3505"/>
      <c r="U16" s="3504" t="s">
        <v>111</v>
      </c>
      <c r="V16" s="3193"/>
      <c r="W16" s="3196" t="s">
        <v>25</v>
      </c>
      <c r="X16" s="3196"/>
      <c r="Y16" s="3505"/>
      <c r="Z16" s="3504" t="s">
        <v>111</v>
      </c>
      <c r="AA16" s="3193"/>
      <c r="AB16" s="3196" t="s">
        <v>25</v>
      </c>
      <c r="AC16" s="3196"/>
      <c r="AD16" s="3505"/>
      <c r="AE16" s="3504" t="s">
        <v>111</v>
      </c>
      <c r="AF16" s="3193"/>
      <c r="AG16" s="3196" t="s">
        <v>25</v>
      </c>
      <c r="AH16" s="3196"/>
      <c r="AI16" s="3505"/>
      <c r="AJ16" s="3504" t="s">
        <v>111</v>
      </c>
      <c r="AK16" s="3193"/>
      <c r="AL16" s="3196" t="s">
        <v>25</v>
      </c>
      <c r="AM16" s="3196"/>
      <c r="AN16" s="3505"/>
      <c r="AO16" s="3504" t="s">
        <v>111</v>
      </c>
      <c r="AP16" s="3193"/>
      <c r="AQ16" s="3196" t="s">
        <v>25</v>
      </c>
      <c r="AR16" s="3196"/>
      <c r="AS16" s="3505"/>
      <c r="AT16" s="3504" t="s">
        <v>111</v>
      </c>
      <c r="AU16" s="3193"/>
      <c r="AV16" s="3196" t="s">
        <v>25</v>
      </c>
      <c r="AW16" s="3196"/>
      <c r="AX16" s="3505"/>
      <c r="AY16" s="3504" t="s">
        <v>111</v>
      </c>
      <c r="AZ16" s="3193"/>
      <c r="BA16" s="3196" t="s">
        <v>25</v>
      </c>
      <c r="BB16" s="3196"/>
      <c r="BC16" s="3505"/>
      <c r="BD16" s="3504" t="s">
        <v>111</v>
      </c>
      <c r="BE16" s="3193"/>
      <c r="BF16" s="3196" t="s">
        <v>25</v>
      </c>
      <c r="BG16" s="3196"/>
      <c r="BH16" s="3505"/>
      <c r="BI16" s="3504" t="s">
        <v>111</v>
      </c>
      <c r="BJ16" s="3193"/>
      <c r="BK16" s="3196" t="s">
        <v>25</v>
      </c>
      <c r="BL16" s="3196"/>
      <c r="BM16" s="3505"/>
      <c r="BN16" s="3504" t="s">
        <v>111</v>
      </c>
      <c r="BO16" s="3193"/>
      <c r="BP16" s="3196" t="s">
        <v>25</v>
      </c>
      <c r="BQ16" s="3196"/>
      <c r="BR16" s="3505"/>
    </row>
    <row r="17" spans="1:83" ht="6" customHeight="1" x14ac:dyDescent="0.25">
      <c r="A17" s="3506"/>
      <c r="B17" s="3195"/>
      <c r="C17" s="3197"/>
      <c r="D17" s="3197"/>
      <c r="E17" s="3507"/>
      <c r="F17" s="3506"/>
      <c r="G17" s="3195"/>
      <c r="H17" s="3197"/>
      <c r="I17" s="3197"/>
      <c r="J17" s="3507"/>
      <c r="K17" s="3506"/>
      <c r="L17" s="3195"/>
      <c r="M17" s="3197"/>
      <c r="N17" s="3197"/>
      <c r="O17" s="3507"/>
      <c r="P17" s="3506"/>
      <c r="Q17" s="3195"/>
      <c r="R17" s="3197"/>
      <c r="S17" s="3197"/>
      <c r="T17" s="3507"/>
      <c r="U17" s="3506"/>
      <c r="V17" s="3195"/>
      <c r="W17" s="3197"/>
      <c r="X17" s="3197"/>
      <c r="Y17" s="3507"/>
      <c r="Z17" s="3506"/>
      <c r="AA17" s="3195"/>
      <c r="AB17" s="3197"/>
      <c r="AC17" s="3197"/>
      <c r="AD17" s="3507"/>
      <c r="AE17" s="3506"/>
      <c r="AF17" s="3195"/>
      <c r="AG17" s="3197"/>
      <c r="AH17" s="3197"/>
      <c r="AI17" s="3507"/>
      <c r="AJ17" s="3506"/>
      <c r="AK17" s="3195"/>
      <c r="AL17" s="3197"/>
      <c r="AM17" s="3197"/>
      <c r="AN17" s="3507"/>
      <c r="AO17" s="3506"/>
      <c r="AP17" s="3195"/>
      <c r="AQ17" s="3197"/>
      <c r="AR17" s="3197"/>
      <c r="AS17" s="3507"/>
      <c r="AT17" s="3506"/>
      <c r="AU17" s="3195"/>
      <c r="AV17" s="3197"/>
      <c r="AW17" s="3197"/>
      <c r="AX17" s="3507"/>
      <c r="AY17" s="3506"/>
      <c r="AZ17" s="3195"/>
      <c r="BA17" s="3197"/>
      <c r="BB17" s="3197"/>
      <c r="BC17" s="3507"/>
      <c r="BD17" s="3506"/>
      <c r="BE17" s="3195"/>
      <c r="BF17" s="3197"/>
      <c r="BG17" s="3197"/>
      <c r="BH17" s="3507"/>
      <c r="BI17" s="3506"/>
      <c r="BJ17" s="3195"/>
      <c r="BK17" s="3197"/>
      <c r="BL17" s="3197"/>
      <c r="BM17" s="3507"/>
      <c r="BN17" s="3506"/>
      <c r="BO17" s="3195"/>
      <c r="BP17" s="3197"/>
      <c r="BQ17" s="3197"/>
      <c r="BR17" s="3507"/>
    </row>
    <row r="18" spans="1:83" s="22" customFormat="1" ht="80.099999999999994" customHeight="1" x14ac:dyDescent="1.35">
      <c r="A18" s="3622" t="s">
        <v>137</v>
      </c>
      <c r="B18" s="588">
        <v>31</v>
      </c>
      <c r="C18" s="589"/>
      <c r="D18" s="3624"/>
      <c r="E18" s="126" t="s">
        <v>195</v>
      </c>
      <c r="F18" s="3622" t="s">
        <v>137</v>
      </c>
      <c r="G18" s="1296">
        <v>32</v>
      </c>
      <c r="H18" s="1297"/>
      <c r="I18" s="3611"/>
      <c r="J18" s="126" t="s">
        <v>202</v>
      </c>
      <c r="K18" s="3622" t="s">
        <v>137</v>
      </c>
      <c r="L18" s="1296">
        <v>33</v>
      </c>
      <c r="M18" s="1297"/>
      <c r="N18" s="3611"/>
      <c r="O18" s="126" t="s">
        <v>180</v>
      </c>
      <c r="P18" s="3622" t="s">
        <v>137</v>
      </c>
      <c r="Q18" s="1296">
        <v>34</v>
      </c>
      <c r="R18" s="1297"/>
      <c r="S18" s="3611"/>
      <c r="T18" s="126" t="s">
        <v>204</v>
      </c>
      <c r="U18" s="3622" t="s">
        <v>137</v>
      </c>
      <c r="V18" s="1296">
        <v>35</v>
      </c>
      <c r="W18" s="1297"/>
      <c r="X18" s="3611"/>
      <c r="Y18" s="126" t="s">
        <v>206</v>
      </c>
      <c r="Z18" s="3622" t="s">
        <v>137</v>
      </c>
      <c r="AA18" s="1296">
        <v>36</v>
      </c>
      <c r="AB18" s="1297"/>
      <c r="AC18" s="3611"/>
      <c r="AD18" s="126" t="s">
        <v>207</v>
      </c>
      <c r="AE18" s="3622" t="s">
        <v>137</v>
      </c>
      <c r="AF18" s="588">
        <v>37</v>
      </c>
      <c r="AG18" s="589"/>
      <c r="AH18" s="3624"/>
      <c r="AI18" s="126" t="s">
        <v>200</v>
      </c>
      <c r="AJ18" s="3622" t="s">
        <v>137</v>
      </c>
      <c r="AK18" s="1296">
        <v>38</v>
      </c>
      <c r="AL18" s="1297"/>
      <c r="AM18" s="3611"/>
      <c r="AN18" s="126" t="s">
        <v>209</v>
      </c>
      <c r="AO18" s="3622" t="s">
        <v>137</v>
      </c>
      <c r="AP18" s="1296">
        <v>39</v>
      </c>
      <c r="AQ18" s="1297"/>
      <c r="AR18" s="3611"/>
      <c r="AS18" s="126" t="s">
        <v>201</v>
      </c>
      <c r="AT18" s="3622" t="s">
        <v>137</v>
      </c>
      <c r="AU18" s="1296">
        <v>40</v>
      </c>
      <c r="AV18" s="1297"/>
      <c r="AW18" s="3611"/>
      <c r="AX18" s="126" t="s">
        <v>203</v>
      </c>
      <c r="AY18" s="3625" t="s">
        <v>169</v>
      </c>
      <c r="AZ18" s="588">
        <v>4</v>
      </c>
      <c r="BA18" s="589"/>
      <c r="BB18" s="3624"/>
      <c r="BC18" s="126" t="s">
        <v>210</v>
      </c>
      <c r="BD18" s="3625" t="s">
        <v>169</v>
      </c>
      <c r="BE18" s="588">
        <v>14</v>
      </c>
      <c r="BF18" s="589"/>
      <c r="BG18" s="3624"/>
      <c r="BH18" s="126" t="s">
        <v>211</v>
      </c>
      <c r="BI18" s="3625" t="s">
        <v>169</v>
      </c>
      <c r="BJ18" s="1296">
        <v>41</v>
      </c>
      <c r="BK18" s="1297"/>
      <c r="BL18" s="3611"/>
      <c r="BM18" s="126" t="s">
        <v>212</v>
      </c>
      <c r="BN18" s="3625" t="s">
        <v>169</v>
      </c>
      <c r="BO18" s="1296">
        <v>42</v>
      </c>
      <c r="BP18" s="1297"/>
      <c r="BQ18" s="3611"/>
      <c r="BR18" s="126" t="s">
        <v>230</v>
      </c>
    </row>
    <row r="19" spans="1:83" ht="27" thickBot="1" x14ac:dyDescent="0.3">
      <c r="A19" s="3623"/>
      <c r="B19" s="61">
        <v>0.17699999999999999</v>
      </c>
      <c r="C19" s="62" t="s">
        <v>113</v>
      </c>
      <c r="D19" s="63"/>
      <c r="E19" s="64" t="s">
        <v>114</v>
      </c>
      <c r="F19" s="3623"/>
      <c r="G19" s="61">
        <v>0.60899999999999999</v>
      </c>
      <c r="H19" s="62" t="s">
        <v>113</v>
      </c>
      <c r="I19" s="63"/>
      <c r="J19" s="64" t="s">
        <v>114</v>
      </c>
      <c r="K19" s="3623"/>
      <c r="L19" s="61">
        <v>0.33</v>
      </c>
      <c r="M19" s="62" t="s">
        <v>113</v>
      </c>
      <c r="N19" s="63"/>
      <c r="O19" s="64" t="s">
        <v>114</v>
      </c>
      <c r="P19" s="3623"/>
      <c r="Q19" s="61">
        <v>1.143</v>
      </c>
      <c r="R19" s="62" t="s">
        <v>113</v>
      </c>
      <c r="S19" s="63">
        <v>1</v>
      </c>
      <c r="T19" s="64" t="s">
        <v>114</v>
      </c>
      <c r="U19" s="3623"/>
      <c r="V19" s="61">
        <v>0.43099999999999999</v>
      </c>
      <c r="W19" s="62" t="s">
        <v>113</v>
      </c>
      <c r="X19" s="63"/>
      <c r="Y19" s="64" t="s">
        <v>114</v>
      </c>
      <c r="Z19" s="3623"/>
      <c r="AA19" s="61">
        <v>1E-4</v>
      </c>
      <c r="AB19" s="62" t="s">
        <v>113</v>
      </c>
      <c r="AC19" s="63"/>
      <c r="AD19" s="64" t="s">
        <v>114</v>
      </c>
      <c r="AE19" s="3623"/>
      <c r="AF19" s="61">
        <v>0.17699999999999999</v>
      </c>
      <c r="AG19" s="62" t="s">
        <v>113</v>
      </c>
      <c r="AH19" s="63"/>
      <c r="AI19" s="64" t="s">
        <v>114</v>
      </c>
      <c r="AJ19" s="3623"/>
      <c r="AK19" s="61">
        <v>1E-4</v>
      </c>
      <c r="AL19" s="62" t="s">
        <v>113</v>
      </c>
      <c r="AM19" s="63">
        <v>1</v>
      </c>
      <c r="AN19" s="64" t="s">
        <v>114</v>
      </c>
      <c r="AO19" s="3623"/>
      <c r="AP19" s="61">
        <v>1E-4</v>
      </c>
      <c r="AQ19" s="62" t="s">
        <v>113</v>
      </c>
      <c r="AR19" s="63"/>
      <c r="AS19" s="64" t="s">
        <v>114</v>
      </c>
      <c r="AT19" s="3623"/>
      <c r="AU19" s="61">
        <v>1.016</v>
      </c>
      <c r="AV19" s="62" t="s">
        <v>113</v>
      </c>
      <c r="AW19" s="63"/>
      <c r="AX19" s="64" t="s">
        <v>114</v>
      </c>
      <c r="AY19" s="3626"/>
      <c r="AZ19" s="61">
        <v>0.88900000000000001</v>
      </c>
      <c r="BA19" s="62" t="s">
        <v>113</v>
      </c>
      <c r="BB19" s="63">
        <v>1</v>
      </c>
      <c r="BC19" s="64" t="s">
        <v>114</v>
      </c>
      <c r="BD19" s="3626"/>
      <c r="BE19" s="61">
        <v>0.50800000000000001</v>
      </c>
      <c r="BF19" s="62" t="s">
        <v>113</v>
      </c>
      <c r="BG19" s="63"/>
      <c r="BH19" s="64" t="s">
        <v>114</v>
      </c>
      <c r="BI19" s="3626"/>
      <c r="BJ19" s="61">
        <v>1.143</v>
      </c>
      <c r="BK19" s="62" t="s">
        <v>113</v>
      </c>
      <c r="BL19" s="63"/>
      <c r="BM19" s="64" t="s">
        <v>114</v>
      </c>
      <c r="BN19" s="3626"/>
      <c r="BO19" s="61">
        <v>1E-4</v>
      </c>
      <c r="BP19" s="62" t="s">
        <v>113</v>
      </c>
      <c r="BQ19" s="63">
        <v>1</v>
      </c>
      <c r="BR19" s="64" t="s">
        <v>114</v>
      </c>
      <c r="BW19" s="27"/>
      <c r="BX19" s="27"/>
      <c r="BY19" s="27"/>
      <c r="BZ19" s="27"/>
      <c r="CA19" s="27"/>
      <c r="CB19" s="27"/>
      <c r="CC19" s="27"/>
      <c r="CD19" s="27"/>
      <c r="CE19" s="27"/>
    </row>
    <row r="20" spans="1:83" ht="26.1" customHeight="1" thickTop="1" x14ac:dyDescent="0.25">
      <c r="A20" s="3612" t="s">
        <v>110</v>
      </c>
      <c r="B20" s="3613"/>
      <c r="C20" s="3616">
        <f>B25/((36*3.1415/44)*(60/3.281))</f>
        <v>2.1274927641313125E-6</v>
      </c>
      <c r="D20" s="3617"/>
      <c r="E20" s="3618"/>
      <c r="F20" s="3612" t="s">
        <v>110</v>
      </c>
      <c r="G20" s="3613"/>
      <c r="H20" s="3616">
        <f>G25/((36*3.1415/44)*(60/3.281))</f>
        <v>2.1274927641313125E-6</v>
      </c>
      <c r="I20" s="3617"/>
      <c r="J20" s="3618"/>
      <c r="K20" s="3612" t="s">
        <v>110</v>
      </c>
      <c r="L20" s="3613"/>
      <c r="M20" s="3616">
        <f>L25/((36*3.1415/44)*(60/3.281))</f>
        <v>2.1274927641313125E-6</v>
      </c>
      <c r="N20" s="3617"/>
      <c r="O20" s="3618"/>
      <c r="P20" s="3612" t="s">
        <v>110</v>
      </c>
      <c r="Q20" s="3613"/>
      <c r="R20" s="3616">
        <f>Q25/((36*3.1415/44)*(60/3.281))</f>
        <v>5.250652141876079E-2</v>
      </c>
      <c r="S20" s="3617"/>
      <c r="T20" s="3618"/>
      <c r="U20" s="3612" t="s">
        <v>110</v>
      </c>
      <c r="V20" s="3613"/>
      <c r="W20" s="3616">
        <f>V25/((36*3.1415/44)*(60/3.281))</f>
        <v>2.1487676917726259E-3</v>
      </c>
      <c r="X20" s="3617"/>
      <c r="Y20" s="3618"/>
      <c r="Z20" s="3612" t="s">
        <v>110</v>
      </c>
      <c r="AA20" s="3613"/>
      <c r="AB20" s="3616">
        <f>AA25/((36*3.1415/44)*(60/3.281))</f>
        <v>1.6743368053713431E-2</v>
      </c>
      <c r="AC20" s="3617"/>
      <c r="AD20" s="3618"/>
      <c r="AE20" s="3612" t="s">
        <v>110</v>
      </c>
      <c r="AF20" s="3613"/>
      <c r="AG20" s="3616">
        <f>AF25/((36*3.1415/44)*(60/3.281))</f>
        <v>2.1274927641313126E-5</v>
      </c>
      <c r="AH20" s="3617"/>
      <c r="AI20" s="3618"/>
      <c r="AJ20" s="3612" t="s">
        <v>110</v>
      </c>
      <c r="AK20" s="3613"/>
      <c r="AL20" s="3616">
        <f>AK25/((36*3.1415/44)*(60/3.281))</f>
        <v>6.6462873951462206E-2</v>
      </c>
      <c r="AM20" s="3617"/>
      <c r="AN20" s="3618"/>
      <c r="AO20" s="3612" t="s">
        <v>110</v>
      </c>
      <c r="AP20" s="3613"/>
      <c r="AQ20" s="3616">
        <f>AP25/((36*3.1415/44)*(60/3.281))</f>
        <v>9.7226419320800995E-3</v>
      </c>
      <c r="AR20" s="3617"/>
      <c r="AS20" s="3618"/>
      <c r="AT20" s="3612" t="s">
        <v>110</v>
      </c>
      <c r="AU20" s="3613"/>
      <c r="AV20" s="3616">
        <f>AU25/((36*3.1415/44)*(60/3.281))</f>
        <v>2.1274927641313125E-6</v>
      </c>
      <c r="AW20" s="3617"/>
      <c r="AX20" s="3618"/>
      <c r="AY20" s="3612" t="s">
        <v>110</v>
      </c>
      <c r="AZ20" s="3613"/>
      <c r="BA20" s="3616">
        <f>AZ25/((36*3.1415/44)*(60/3.281))</f>
        <v>1.6743368053713431E-2</v>
      </c>
      <c r="BB20" s="3617"/>
      <c r="BC20" s="3618"/>
      <c r="BD20" s="3612" t="s">
        <v>110</v>
      </c>
      <c r="BE20" s="3613"/>
      <c r="BF20" s="3616">
        <f>BE25/((36*3.1415/44)*(60/3.281))</f>
        <v>4.7549463278334834E-2</v>
      </c>
      <c r="BG20" s="3617"/>
      <c r="BH20" s="3618"/>
      <c r="BI20" s="3612" t="s">
        <v>110</v>
      </c>
      <c r="BJ20" s="3613"/>
      <c r="BK20" s="3616">
        <f>BJ25/((36*3.1415/44)*(60/3.281))</f>
        <v>2.8082904486533326E-2</v>
      </c>
      <c r="BL20" s="3617"/>
      <c r="BM20" s="3618"/>
      <c r="BN20" s="3612" t="s">
        <v>110</v>
      </c>
      <c r="BO20" s="3613"/>
      <c r="BP20" s="3616">
        <f>BO25/((36*3.1415/44)*(60/3.281))</f>
        <v>2.1274927641313125E-6</v>
      </c>
      <c r="BQ20" s="3617"/>
      <c r="BR20" s="3618"/>
    </row>
    <row r="21" spans="1:83" ht="9" customHeight="1" x14ac:dyDescent="0.25">
      <c r="A21" s="3614"/>
      <c r="B21" s="3615"/>
      <c r="C21" s="3619"/>
      <c r="D21" s="3620"/>
      <c r="E21" s="3621"/>
      <c r="F21" s="3614"/>
      <c r="G21" s="3615"/>
      <c r="H21" s="3619"/>
      <c r="I21" s="3620"/>
      <c r="J21" s="3621"/>
      <c r="K21" s="3614"/>
      <c r="L21" s="3615"/>
      <c r="M21" s="3619"/>
      <c r="N21" s="3620"/>
      <c r="O21" s="3621"/>
      <c r="P21" s="3614"/>
      <c r="Q21" s="3615"/>
      <c r="R21" s="3619"/>
      <c r="S21" s="3620"/>
      <c r="T21" s="3621"/>
      <c r="U21" s="3614"/>
      <c r="V21" s="3615"/>
      <c r="W21" s="3619"/>
      <c r="X21" s="3620"/>
      <c r="Y21" s="3621"/>
      <c r="Z21" s="3614"/>
      <c r="AA21" s="3615"/>
      <c r="AB21" s="3619"/>
      <c r="AC21" s="3620"/>
      <c r="AD21" s="3621"/>
      <c r="AE21" s="3614"/>
      <c r="AF21" s="3615"/>
      <c r="AG21" s="3619"/>
      <c r="AH21" s="3620"/>
      <c r="AI21" s="3621"/>
      <c r="AJ21" s="3614"/>
      <c r="AK21" s="3615"/>
      <c r="AL21" s="3619"/>
      <c r="AM21" s="3620"/>
      <c r="AN21" s="3621"/>
      <c r="AO21" s="3614"/>
      <c r="AP21" s="3615"/>
      <c r="AQ21" s="3619"/>
      <c r="AR21" s="3620"/>
      <c r="AS21" s="3621"/>
      <c r="AT21" s="3614"/>
      <c r="AU21" s="3615"/>
      <c r="AV21" s="3619"/>
      <c r="AW21" s="3620"/>
      <c r="AX21" s="3621"/>
      <c r="AY21" s="3614"/>
      <c r="AZ21" s="3615"/>
      <c r="BA21" s="3619"/>
      <c r="BB21" s="3620"/>
      <c r="BC21" s="3621"/>
      <c r="BD21" s="3614"/>
      <c r="BE21" s="3615"/>
      <c r="BF21" s="3619"/>
      <c r="BG21" s="3620"/>
      <c r="BH21" s="3621"/>
      <c r="BI21" s="3614"/>
      <c r="BJ21" s="3615"/>
      <c r="BK21" s="3619"/>
      <c r="BL21" s="3620"/>
      <c r="BM21" s="3621"/>
      <c r="BN21" s="3614"/>
      <c r="BO21" s="3615"/>
      <c r="BP21" s="3619"/>
      <c r="BQ21" s="3620"/>
      <c r="BR21" s="3621"/>
    </row>
    <row r="22" spans="1:83" ht="21.95" customHeight="1" x14ac:dyDescent="0.25">
      <c r="A22" s="3504" t="s">
        <v>111</v>
      </c>
      <c r="B22" s="3193"/>
      <c r="C22" s="3196" t="s">
        <v>25</v>
      </c>
      <c r="D22" s="3196"/>
      <c r="E22" s="3505"/>
      <c r="F22" s="3504" t="s">
        <v>111</v>
      </c>
      <c r="G22" s="3193"/>
      <c r="H22" s="3196" t="s">
        <v>25</v>
      </c>
      <c r="I22" s="3196"/>
      <c r="J22" s="3505"/>
      <c r="K22" s="3504" t="s">
        <v>111</v>
      </c>
      <c r="L22" s="3193"/>
      <c r="M22" s="3196" t="s">
        <v>25</v>
      </c>
      <c r="N22" s="3196"/>
      <c r="O22" s="3505"/>
      <c r="P22" s="3504" t="s">
        <v>111</v>
      </c>
      <c r="Q22" s="3193"/>
      <c r="R22" s="3196" t="s">
        <v>25</v>
      </c>
      <c r="S22" s="3196"/>
      <c r="T22" s="3505"/>
      <c r="U22" s="3504" t="s">
        <v>111</v>
      </c>
      <c r="V22" s="3193"/>
      <c r="W22" s="3196" t="s">
        <v>25</v>
      </c>
      <c r="X22" s="3196"/>
      <c r="Y22" s="3505"/>
      <c r="Z22" s="3504" t="s">
        <v>111</v>
      </c>
      <c r="AA22" s="3193"/>
      <c r="AB22" s="3196" t="s">
        <v>25</v>
      </c>
      <c r="AC22" s="3196"/>
      <c r="AD22" s="3505"/>
      <c r="AE22" s="3504" t="s">
        <v>111</v>
      </c>
      <c r="AF22" s="3193"/>
      <c r="AG22" s="3196" t="s">
        <v>25</v>
      </c>
      <c r="AH22" s="3196"/>
      <c r="AI22" s="3505"/>
      <c r="AJ22" s="3504" t="s">
        <v>111</v>
      </c>
      <c r="AK22" s="3193"/>
      <c r="AL22" s="3196" t="s">
        <v>25</v>
      </c>
      <c r="AM22" s="3196"/>
      <c r="AN22" s="3505"/>
      <c r="AO22" s="3504" t="s">
        <v>111</v>
      </c>
      <c r="AP22" s="3193"/>
      <c r="AQ22" s="3196" t="s">
        <v>25</v>
      </c>
      <c r="AR22" s="3196"/>
      <c r="AS22" s="3505"/>
      <c r="AT22" s="3504" t="s">
        <v>111</v>
      </c>
      <c r="AU22" s="3193"/>
      <c r="AV22" s="3196" t="s">
        <v>25</v>
      </c>
      <c r="AW22" s="3196"/>
      <c r="AX22" s="3505"/>
      <c r="AY22" s="3504" t="s">
        <v>111</v>
      </c>
      <c r="AZ22" s="3193"/>
      <c r="BA22" s="3196" t="s">
        <v>25</v>
      </c>
      <c r="BB22" s="3196"/>
      <c r="BC22" s="3505"/>
      <c r="BD22" s="3504" t="s">
        <v>111</v>
      </c>
      <c r="BE22" s="3193"/>
      <c r="BF22" s="3196" t="s">
        <v>25</v>
      </c>
      <c r="BG22" s="3196"/>
      <c r="BH22" s="3505"/>
      <c r="BI22" s="3504" t="s">
        <v>111</v>
      </c>
      <c r="BJ22" s="3193"/>
      <c r="BK22" s="3196" t="s">
        <v>25</v>
      </c>
      <c r="BL22" s="3196"/>
      <c r="BM22" s="3505"/>
      <c r="BN22" s="3504" t="s">
        <v>111</v>
      </c>
      <c r="BO22" s="3193"/>
      <c r="BP22" s="3196" t="s">
        <v>25</v>
      </c>
      <c r="BQ22" s="3196"/>
      <c r="BR22" s="3505"/>
    </row>
    <row r="23" spans="1:83" ht="6" customHeight="1" x14ac:dyDescent="0.25">
      <c r="A23" s="3506"/>
      <c r="B23" s="3195"/>
      <c r="C23" s="3197"/>
      <c r="D23" s="3197"/>
      <c r="E23" s="3507"/>
      <c r="F23" s="3506"/>
      <c r="G23" s="3195"/>
      <c r="H23" s="3197"/>
      <c r="I23" s="3197"/>
      <c r="J23" s="3507"/>
      <c r="K23" s="3506"/>
      <c r="L23" s="3195"/>
      <c r="M23" s="3197"/>
      <c r="N23" s="3197"/>
      <c r="O23" s="3507"/>
      <c r="P23" s="3506"/>
      <c r="Q23" s="3195"/>
      <c r="R23" s="3197"/>
      <c r="S23" s="3197"/>
      <c r="T23" s="3507"/>
      <c r="U23" s="3506"/>
      <c r="V23" s="3195"/>
      <c r="W23" s="3197"/>
      <c r="X23" s="3197"/>
      <c r="Y23" s="3507"/>
      <c r="Z23" s="3506"/>
      <c r="AA23" s="3195"/>
      <c r="AB23" s="3197"/>
      <c r="AC23" s="3197"/>
      <c r="AD23" s="3507"/>
      <c r="AE23" s="3506"/>
      <c r="AF23" s="3195"/>
      <c r="AG23" s="3197"/>
      <c r="AH23" s="3197"/>
      <c r="AI23" s="3507"/>
      <c r="AJ23" s="3506"/>
      <c r="AK23" s="3195"/>
      <c r="AL23" s="3197"/>
      <c r="AM23" s="3197"/>
      <c r="AN23" s="3507"/>
      <c r="AO23" s="3506"/>
      <c r="AP23" s="3195"/>
      <c r="AQ23" s="3197"/>
      <c r="AR23" s="3197"/>
      <c r="AS23" s="3507"/>
      <c r="AT23" s="3506"/>
      <c r="AU23" s="3195"/>
      <c r="AV23" s="3197"/>
      <c r="AW23" s="3197"/>
      <c r="AX23" s="3507"/>
      <c r="AY23" s="3506"/>
      <c r="AZ23" s="3195"/>
      <c r="BA23" s="3197"/>
      <c r="BB23" s="3197"/>
      <c r="BC23" s="3507"/>
      <c r="BD23" s="3506"/>
      <c r="BE23" s="3195"/>
      <c r="BF23" s="3197"/>
      <c r="BG23" s="3197"/>
      <c r="BH23" s="3507"/>
      <c r="BI23" s="3506"/>
      <c r="BJ23" s="3195"/>
      <c r="BK23" s="3197"/>
      <c r="BL23" s="3197"/>
      <c r="BM23" s="3507"/>
      <c r="BN23" s="3506"/>
      <c r="BO23" s="3195"/>
      <c r="BP23" s="3197"/>
      <c r="BQ23" s="3197"/>
      <c r="BR23" s="3507"/>
    </row>
    <row r="24" spans="1:83" s="22" customFormat="1" ht="80.099999999999994" customHeight="1" x14ac:dyDescent="1.35">
      <c r="A24" s="3625" t="s">
        <v>169</v>
      </c>
      <c r="B24" s="1296">
        <v>43</v>
      </c>
      <c r="C24" s="1297"/>
      <c r="D24" s="3611"/>
      <c r="E24" s="126" t="s">
        <v>214</v>
      </c>
      <c r="F24" s="3625" t="s">
        <v>169</v>
      </c>
      <c r="G24" s="1296">
        <v>44</v>
      </c>
      <c r="H24" s="1297"/>
      <c r="I24" s="3611"/>
      <c r="J24" s="126" t="s">
        <v>215</v>
      </c>
      <c r="K24" s="3625" t="s">
        <v>169</v>
      </c>
      <c r="L24" s="1296">
        <v>45</v>
      </c>
      <c r="M24" s="1297"/>
      <c r="N24" s="3611"/>
      <c r="O24" s="126" t="s">
        <v>231</v>
      </c>
      <c r="P24" s="3625" t="s">
        <v>169</v>
      </c>
      <c r="Q24" s="1296">
        <v>46</v>
      </c>
      <c r="R24" s="1297"/>
      <c r="S24" s="3611"/>
      <c r="T24" s="126" t="s">
        <v>217</v>
      </c>
      <c r="U24" s="3625" t="s">
        <v>169</v>
      </c>
      <c r="V24" s="1296">
        <v>47</v>
      </c>
      <c r="W24" s="1297"/>
      <c r="X24" s="3611"/>
      <c r="Y24" s="126" t="s">
        <v>218</v>
      </c>
      <c r="Z24" s="3625" t="s">
        <v>169</v>
      </c>
      <c r="AA24" s="1296">
        <v>48</v>
      </c>
      <c r="AB24" s="1297"/>
      <c r="AC24" s="3611"/>
      <c r="AD24" s="126" t="s">
        <v>232</v>
      </c>
      <c r="AE24" s="3625" t="s">
        <v>169</v>
      </c>
      <c r="AF24" s="1296">
        <v>49</v>
      </c>
      <c r="AG24" s="1297"/>
      <c r="AH24" s="3611"/>
      <c r="AI24" s="126" t="s">
        <v>233</v>
      </c>
      <c r="AJ24" s="3625" t="s">
        <v>169</v>
      </c>
      <c r="AK24" s="1296">
        <v>50</v>
      </c>
      <c r="AL24" s="1297"/>
      <c r="AM24" s="3611"/>
      <c r="AN24" s="126" t="s">
        <v>221</v>
      </c>
      <c r="AO24" s="3625" t="s">
        <v>169</v>
      </c>
      <c r="AP24" s="1296">
        <v>51</v>
      </c>
      <c r="AQ24" s="1297"/>
      <c r="AR24" s="3611"/>
      <c r="AS24" s="126" t="s">
        <v>224</v>
      </c>
      <c r="AT24" s="3625" t="s">
        <v>169</v>
      </c>
      <c r="AU24" s="1296">
        <v>52</v>
      </c>
      <c r="AV24" s="1297"/>
      <c r="AW24" s="3611"/>
      <c r="AX24" s="126" t="s">
        <v>225</v>
      </c>
      <c r="AY24" s="3625" t="s">
        <v>169</v>
      </c>
      <c r="AZ24" s="1296">
        <v>53</v>
      </c>
      <c r="BA24" s="1297"/>
      <c r="BB24" s="3611"/>
      <c r="BC24" s="126" t="s">
        <v>226</v>
      </c>
      <c r="BD24" s="3625" t="s">
        <v>169</v>
      </c>
      <c r="BE24" s="1296">
        <v>83</v>
      </c>
      <c r="BF24" s="1297"/>
      <c r="BG24" s="3611"/>
      <c r="BH24" s="126" t="s">
        <v>234</v>
      </c>
      <c r="BI24" s="3625" t="s">
        <v>169</v>
      </c>
      <c r="BJ24" s="1296">
        <v>84</v>
      </c>
      <c r="BK24" s="1297"/>
      <c r="BL24" s="3611"/>
      <c r="BM24" s="126" t="s">
        <v>235</v>
      </c>
      <c r="BN24" s="3625" t="s">
        <v>169</v>
      </c>
      <c r="BO24" s="1296">
        <v>85</v>
      </c>
      <c r="BP24" s="1297"/>
      <c r="BQ24" s="3611"/>
      <c r="BR24" s="126" t="s">
        <v>213</v>
      </c>
    </row>
    <row r="25" spans="1:83" ht="27" customHeight="1" thickBot="1" x14ac:dyDescent="0.3">
      <c r="A25" s="3626"/>
      <c r="B25" s="61">
        <v>1E-4</v>
      </c>
      <c r="C25" s="62" t="s">
        <v>113</v>
      </c>
      <c r="D25" s="63"/>
      <c r="E25" s="64" t="s">
        <v>114</v>
      </c>
      <c r="F25" s="3626"/>
      <c r="G25" s="61">
        <v>1E-4</v>
      </c>
      <c r="H25" s="62" t="s">
        <v>113</v>
      </c>
      <c r="I25" s="63"/>
      <c r="J25" s="64" t="s">
        <v>114</v>
      </c>
      <c r="K25" s="3626"/>
      <c r="L25" s="61">
        <v>1E-4</v>
      </c>
      <c r="M25" s="62" t="s">
        <v>113</v>
      </c>
      <c r="N25" s="63"/>
      <c r="O25" s="64" t="s">
        <v>114</v>
      </c>
      <c r="P25" s="3626"/>
      <c r="Q25" s="61">
        <v>2.468</v>
      </c>
      <c r="R25" s="62" t="s">
        <v>113</v>
      </c>
      <c r="S25" s="63">
        <v>1</v>
      </c>
      <c r="T25" s="64" t="s">
        <v>114</v>
      </c>
      <c r="U25" s="3626"/>
      <c r="V25" s="61">
        <v>0.10100000000000001</v>
      </c>
      <c r="W25" s="62" t="s">
        <v>113</v>
      </c>
      <c r="X25" s="63"/>
      <c r="Y25" s="64" t="s">
        <v>114</v>
      </c>
      <c r="Z25" s="3626"/>
      <c r="AA25" s="61">
        <v>0.78700000000000003</v>
      </c>
      <c r="AB25" s="62" t="s">
        <v>113</v>
      </c>
      <c r="AC25" s="63"/>
      <c r="AD25" s="64" t="s">
        <v>114</v>
      </c>
      <c r="AE25" s="3626"/>
      <c r="AF25" s="61">
        <v>1E-3</v>
      </c>
      <c r="AG25" s="62" t="s">
        <v>113</v>
      </c>
      <c r="AH25" s="63"/>
      <c r="AI25" s="64" t="s">
        <v>114</v>
      </c>
      <c r="AJ25" s="3626"/>
      <c r="AK25" s="61">
        <v>3.1240000000000001</v>
      </c>
      <c r="AL25" s="62" t="s">
        <v>113</v>
      </c>
      <c r="AM25" s="63"/>
      <c r="AN25" s="64" t="s">
        <v>114</v>
      </c>
      <c r="AO25" s="3626"/>
      <c r="AP25" s="61">
        <v>0.45700000000000002</v>
      </c>
      <c r="AQ25" s="62" t="s">
        <v>113</v>
      </c>
      <c r="AR25" s="63"/>
      <c r="AS25" s="64" t="s">
        <v>114</v>
      </c>
      <c r="AT25" s="3626"/>
      <c r="AU25" s="61">
        <v>1E-4</v>
      </c>
      <c r="AV25" s="62" t="s">
        <v>113</v>
      </c>
      <c r="AW25" s="63"/>
      <c r="AX25" s="64" t="s">
        <v>114</v>
      </c>
      <c r="AY25" s="3626"/>
      <c r="AZ25" s="61">
        <v>0.78700000000000003</v>
      </c>
      <c r="BA25" s="62" t="s">
        <v>113</v>
      </c>
      <c r="BB25" s="63"/>
      <c r="BC25" s="64" t="s">
        <v>114</v>
      </c>
      <c r="BD25" s="3626"/>
      <c r="BE25" s="61">
        <v>2.2349999999999999</v>
      </c>
      <c r="BF25" s="62" t="s">
        <v>113</v>
      </c>
      <c r="BG25" s="63">
        <v>1</v>
      </c>
      <c r="BH25" s="64" t="s">
        <v>114</v>
      </c>
      <c r="BI25" s="3626"/>
      <c r="BJ25" s="61">
        <v>1.32</v>
      </c>
      <c r="BK25" s="62" t="s">
        <v>113</v>
      </c>
      <c r="BL25" s="63"/>
      <c r="BM25" s="64" t="s">
        <v>114</v>
      </c>
      <c r="BN25" s="3626"/>
      <c r="BO25" s="61">
        <v>1E-4</v>
      </c>
      <c r="BP25" s="62" t="s">
        <v>113</v>
      </c>
      <c r="BQ25" s="63"/>
      <c r="BR25" s="64" t="s">
        <v>114</v>
      </c>
      <c r="BW25" s="27"/>
      <c r="BX25" s="27"/>
      <c r="BY25" s="27"/>
      <c r="BZ25" s="27"/>
      <c r="CA25" s="27"/>
      <c r="CB25" s="27"/>
      <c r="CC25" s="27"/>
      <c r="CD25" s="27"/>
      <c r="CE25" s="27"/>
    </row>
    <row r="26" spans="1:83" ht="26.1" customHeight="1" thickTop="1" x14ac:dyDescent="0.25">
      <c r="A26" s="3612" t="s">
        <v>110</v>
      </c>
      <c r="B26" s="3613"/>
      <c r="C26" s="3616">
        <f>B31/((36*3.1415/44)*(60/3.281))</f>
        <v>2.1274927641313125E-6</v>
      </c>
      <c r="D26" s="3617"/>
      <c r="E26" s="3618"/>
      <c r="F26" s="3612" t="s">
        <v>110</v>
      </c>
      <c r="G26" s="3613"/>
      <c r="H26" s="3616">
        <f>G31/((36*3.1415/44)*(60/3.281))</f>
        <v>1.9977157055193023E-2</v>
      </c>
      <c r="I26" s="3617"/>
      <c r="J26" s="3618"/>
      <c r="K26" s="3612" t="s">
        <v>110</v>
      </c>
      <c r="L26" s="3613"/>
      <c r="M26" s="3616">
        <f>L31/((36*3.1415/44)*(60/3.281))</f>
        <v>9.1694938134059562E-3</v>
      </c>
      <c r="N26" s="3617"/>
      <c r="O26" s="3618"/>
      <c r="P26" s="3612" t="s">
        <v>110</v>
      </c>
      <c r="Q26" s="3613"/>
      <c r="R26" s="3616">
        <f>Q31/((36*3.1415/44)*(60/3.281))</f>
        <v>9.9970884986530367E-2</v>
      </c>
      <c r="S26" s="3617"/>
      <c r="T26" s="3618"/>
      <c r="U26" s="3593" t="s">
        <v>110</v>
      </c>
      <c r="V26" s="3594"/>
      <c r="W26" s="3599">
        <f>V31/((36*3.1415/44)*(20/3.281))</f>
        <v>3.8869292800679071E-2</v>
      </c>
      <c r="X26" s="3600"/>
      <c r="Y26" s="3601"/>
      <c r="Z26" s="3593" t="s">
        <v>110</v>
      </c>
      <c r="AA26" s="3594"/>
      <c r="AB26" s="3599">
        <f t="shared" ref="AB26" si="0">AA31/((36*3.1415/44)*(20/3.281))</f>
        <v>6.3824782923939371E-6</v>
      </c>
      <c r="AC26" s="3600"/>
      <c r="AD26" s="3601"/>
      <c r="AE26" s="3593" t="s">
        <v>110</v>
      </c>
      <c r="AF26" s="3594"/>
      <c r="AG26" s="3599">
        <f t="shared" ref="AG26" si="1">AF31/((36*3.1415/44)*(20/3.281))</f>
        <v>9.7013670044387833E-3</v>
      </c>
      <c r="AH26" s="3600"/>
      <c r="AI26" s="3601"/>
      <c r="AJ26" s="3593" t="s">
        <v>110</v>
      </c>
      <c r="AK26" s="3594"/>
      <c r="AL26" s="3599">
        <f t="shared" ref="AL26" si="2">AK31/((36*3.1415/44)*(20/3.281))</f>
        <v>9.5609524820061173E-2</v>
      </c>
      <c r="AM26" s="3600"/>
      <c r="AN26" s="3601"/>
      <c r="AO26" s="3593" t="s">
        <v>110</v>
      </c>
      <c r="AP26" s="3594"/>
      <c r="AQ26" s="3599">
        <f t="shared" ref="AQ26" si="3">AP31/((36*3.1415/44)*(20/3.281))</f>
        <v>6.3824782923939361E-5</v>
      </c>
      <c r="AR26" s="3600"/>
      <c r="AS26" s="3601"/>
      <c r="AT26" s="3593" t="s">
        <v>110</v>
      </c>
      <c r="AU26" s="3594"/>
      <c r="AV26" s="3599">
        <f t="shared" ref="AV26" si="4">AU31/((36*3.1415/44)*(20/3.281))</f>
        <v>5.1825723734238771E-2</v>
      </c>
      <c r="AW26" s="3600"/>
      <c r="AX26" s="3601"/>
      <c r="AY26" s="3593" t="s">
        <v>110</v>
      </c>
      <c r="AZ26" s="3594"/>
      <c r="BA26" s="3599">
        <f t="shared" ref="BA26" si="5">AZ31/((36*3.1415/44)*(20/3.281))</f>
        <v>6.4463030753178765E-3</v>
      </c>
      <c r="BB26" s="3600"/>
      <c r="BC26" s="3601"/>
      <c r="BD26" s="3593" t="s">
        <v>110</v>
      </c>
      <c r="BE26" s="3594"/>
      <c r="BF26" s="3599">
        <f t="shared" ref="BF26" si="6">BE31/((36*3.1415/44)*(20/3.281))</f>
        <v>6.3824782923939371E-6</v>
      </c>
      <c r="BG26" s="3600"/>
      <c r="BH26" s="3601"/>
      <c r="BI26" s="3593" t="s">
        <v>110</v>
      </c>
      <c r="BJ26" s="3594"/>
      <c r="BK26" s="3599">
        <f t="shared" ref="BK26" si="7">BJ31/((36*3.1415/44)*(20/3.281))</f>
        <v>6.3824782923939371E-6</v>
      </c>
      <c r="BL26" s="3600"/>
      <c r="BM26" s="3601"/>
      <c r="BN26" s="3593" t="s">
        <v>110</v>
      </c>
      <c r="BO26" s="3594"/>
      <c r="BP26" s="3599">
        <f t="shared" ref="BP26" si="8">BO31/((36*3.1415/44)*(20/3.281))</f>
        <v>5.5080787663359672E-2</v>
      </c>
      <c r="BQ26" s="3600"/>
      <c r="BR26" s="3601"/>
    </row>
    <row r="27" spans="1:83" ht="6.75" customHeight="1" x14ac:dyDescent="0.25">
      <c r="A27" s="3614"/>
      <c r="B27" s="3615"/>
      <c r="C27" s="3619"/>
      <c r="D27" s="3620"/>
      <c r="E27" s="3621"/>
      <c r="F27" s="3614"/>
      <c r="G27" s="3615"/>
      <c r="H27" s="3619"/>
      <c r="I27" s="3620"/>
      <c r="J27" s="3621"/>
      <c r="K27" s="3614"/>
      <c r="L27" s="3615"/>
      <c r="M27" s="3619"/>
      <c r="N27" s="3620"/>
      <c r="O27" s="3621"/>
      <c r="P27" s="3614"/>
      <c r="Q27" s="3615"/>
      <c r="R27" s="3619"/>
      <c r="S27" s="3620"/>
      <c r="T27" s="3621"/>
      <c r="U27" s="3595"/>
      <c r="V27" s="3596"/>
      <c r="W27" s="3602"/>
      <c r="X27" s="3603"/>
      <c r="Y27" s="3604"/>
      <c r="Z27" s="3595"/>
      <c r="AA27" s="3596"/>
      <c r="AB27" s="3602"/>
      <c r="AC27" s="3603"/>
      <c r="AD27" s="3604"/>
      <c r="AE27" s="3595"/>
      <c r="AF27" s="3596"/>
      <c r="AG27" s="3602"/>
      <c r="AH27" s="3603"/>
      <c r="AI27" s="3604"/>
      <c r="AJ27" s="3595"/>
      <c r="AK27" s="3596"/>
      <c r="AL27" s="3602"/>
      <c r="AM27" s="3603"/>
      <c r="AN27" s="3604"/>
      <c r="AO27" s="3595"/>
      <c r="AP27" s="3596"/>
      <c r="AQ27" s="3602"/>
      <c r="AR27" s="3603"/>
      <c r="AS27" s="3604"/>
      <c r="AT27" s="3595"/>
      <c r="AU27" s="3596"/>
      <c r="AV27" s="3602"/>
      <c r="AW27" s="3603"/>
      <c r="AX27" s="3604"/>
      <c r="AY27" s="3595"/>
      <c r="AZ27" s="3596"/>
      <c r="BA27" s="3602"/>
      <c r="BB27" s="3603"/>
      <c r="BC27" s="3604"/>
      <c r="BD27" s="3595"/>
      <c r="BE27" s="3596"/>
      <c r="BF27" s="3602"/>
      <c r="BG27" s="3603"/>
      <c r="BH27" s="3604"/>
      <c r="BI27" s="3595"/>
      <c r="BJ27" s="3596"/>
      <c r="BK27" s="3602"/>
      <c r="BL27" s="3603"/>
      <c r="BM27" s="3604"/>
      <c r="BN27" s="3595"/>
      <c r="BO27" s="3596"/>
      <c r="BP27" s="3602"/>
      <c r="BQ27" s="3603"/>
      <c r="BR27" s="3604"/>
    </row>
    <row r="28" spans="1:83" ht="21.95" customHeight="1" x14ac:dyDescent="0.25">
      <c r="A28" s="3504" t="s">
        <v>111</v>
      </c>
      <c r="B28" s="3193"/>
      <c r="C28" s="3196" t="s">
        <v>25</v>
      </c>
      <c r="D28" s="3196"/>
      <c r="E28" s="3505"/>
      <c r="F28" s="3504" t="s">
        <v>111</v>
      </c>
      <c r="G28" s="3193"/>
      <c r="H28" s="3196" t="s">
        <v>25</v>
      </c>
      <c r="I28" s="3196"/>
      <c r="J28" s="3505"/>
      <c r="K28" s="3504" t="s">
        <v>111</v>
      </c>
      <c r="L28" s="3193"/>
      <c r="M28" s="3196" t="s">
        <v>25</v>
      </c>
      <c r="N28" s="3196"/>
      <c r="O28" s="3505"/>
      <c r="P28" s="3504" t="s">
        <v>111</v>
      </c>
      <c r="Q28" s="3193"/>
      <c r="R28" s="3196" t="s">
        <v>25</v>
      </c>
      <c r="S28" s="3196"/>
      <c r="T28" s="3505"/>
      <c r="U28" s="3595"/>
      <c r="V28" s="3596"/>
      <c r="W28" s="3602"/>
      <c r="X28" s="3603"/>
      <c r="Y28" s="3604"/>
      <c r="Z28" s="3595"/>
      <c r="AA28" s="3596"/>
      <c r="AB28" s="3602"/>
      <c r="AC28" s="3603"/>
      <c r="AD28" s="3604"/>
      <c r="AE28" s="3595"/>
      <c r="AF28" s="3596"/>
      <c r="AG28" s="3602"/>
      <c r="AH28" s="3603"/>
      <c r="AI28" s="3604"/>
      <c r="AJ28" s="3595"/>
      <c r="AK28" s="3596"/>
      <c r="AL28" s="3602"/>
      <c r="AM28" s="3603"/>
      <c r="AN28" s="3604"/>
      <c r="AO28" s="3595"/>
      <c r="AP28" s="3596"/>
      <c r="AQ28" s="3602"/>
      <c r="AR28" s="3603"/>
      <c r="AS28" s="3604"/>
      <c r="AT28" s="3595"/>
      <c r="AU28" s="3596"/>
      <c r="AV28" s="3602"/>
      <c r="AW28" s="3603"/>
      <c r="AX28" s="3604"/>
      <c r="AY28" s="3595"/>
      <c r="AZ28" s="3596"/>
      <c r="BA28" s="3602"/>
      <c r="BB28" s="3603"/>
      <c r="BC28" s="3604"/>
      <c r="BD28" s="3595"/>
      <c r="BE28" s="3596"/>
      <c r="BF28" s="3602"/>
      <c r="BG28" s="3603"/>
      <c r="BH28" s="3604"/>
      <c r="BI28" s="3595"/>
      <c r="BJ28" s="3596"/>
      <c r="BK28" s="3602"/>
      <c r="BL28" s="3603"/>
      <c r="BM28" s="3604"/>
      <c r="BN28" s="3595"/>
      <c r="BO28" s="3596"/>
      <c r="BP28" s="3602"/>
      <c r="BQ28" s="3603"/>
      <c r="BR28" s="3604"/>
    </row>
    <row r="29" spans="1:83" ht="6" customHeight="1" x14ac:dyDescent="0.25">
      <c r="A29" s="3506"/>
      <c r="B29" s="3195"/>
      <c r="C29" s="3197"/>
      <c r="D29" s="3197"/>
      <c r="E29" s="3507"/>
      <c r="F29" s="3506"/>
      <c r="G29" s="3195"/>
      <c r="H29" s="3197"/>
      <c r="I29" s="3197"/>
      <c r="J29" s="3507"/>
      <c r="K29" s="3506"/>
      <c r="L29" s="3195"/>
      <c r="M29" s="3197"/>
      <c r="N29" s="3197"/>
      <c r="O29" s="3507"/>
      <c r="P29" s="3506"/>
      <c r="Q29" s="3195"/>
      <c r="R29" s="3197"/>
      <c r="S29" s="3197"/>
      <c r="T29" s="3507"/>
      <c r="U29" s="3597"/>
      <c r="V29" s="3598"/>
      <c r="W29" s="3605"/>
      <c r="X29" s="3606"/>
      <c r="Y29" s="3607"/>
      <c r="Z29" s="3597"/>
      <c r="AA29" s="3598"/>
      <c r="AB29" s="3605"/>
      <c r="AC29" s="3606"/>
      <c r="AD29" s="3607"/>
      <c r="AE29" s="3597"/>
      <c r="AF29" s="3598"/>
      <c r="AG29" s="3605"/>
      <c r="AH29" s="3606"/>
      <c r="AI29" s="3607"/>
      <c r="AJ29" s="3597"/>
      <c r="AK29" s="3598"/>
      <c r="AL29" s="3605"/>
      <c r="AM29" s="3606"/>
      <c r="AN29" s="3607"/>
      <c r="AO29" s="3597"/>
      <c r="AP29" s="3598"/>
      <c r="AQ29" s="3605"/>
      <c r="AR29" s="3606"/>
      <c r="AS29" s="3607"/>
      <c r="AT29" s="3597"/>
      <c r="AU29" s="3598"/>
      <c r="AV29" s="3605"/>
      <c r="AW29" s="3606"/>
      <c r="AX29" s="3607"/>
      <c r="AY29" s="3597"/>
      <c r="AZ29" s="3598"/>
      <c r="BA29" s="3605"/>
      <c r="BB29" s="3606"/>
      <c r="BC29" s="3607"/>
      <c r="BD29" s="3597"/>
      <c r="BE29" s="3598"/>
      <c r="BF29" s="3605"/>
      <c r="BG29" s="3606"/>
      <c r="BH29" s="3607"/>
      <c r="BI29" s="3597"/>
      <c r="BJ29" s="3598"/>
      <c r="BK29" s="3605"/>
      <c r="BL29" s="3606"/>
      <c r="BM29" s="3607"/>
      <c r="BN29" s="3597"/>
      <c r="BO29" s="3598"/>
      <c r="BP29" s="3605"/>
      <c r="BQ29" s="3606"/>
      <c r="BR29" s="3607"/>
    </row>
    <row r="30" spans="1:83" s="22" customFormat="1" ht="80.099999999999994" customHeight="1" x14ac:dyDescent="1.35">
      <c r="A30" s="3625" t="s">
        <v>169</v>
      </c>
      <c r="B30" s="1296">
        <v>86</v>
      </c>
      <c r="C30" s="1297"/>
      <c r="D30" s="3611"/>
      <c r="E30" s="126" t="s">
        <v>216</v>
      </c>
      <c r="F30" s="3625" t="s">
        <v>169</v>
      </c>
      <c r="G30" s="1296">
        <v>87</v>
      </c>
      <c r="H30" s="1297"/>
      <c r="I30" s="3611"/>
      <c r="J30" s="126" t="s">
        <v>220</v>
      </c>
      <c r="K30" s="3625" t="s">
        <v>169</v>
      </c>
      <c r="L30" s="3627">
        <v>88</v>
      </c>
      <c r="M30" s="3628"/>
      <c r="N30" s="3629"/>
      <c r="O30" s="126" t="s">
        <v>219</v>
      </c>
      <c r="P30" s="3625" t="s">
        <v>169</v>
      </c>
      <c r="Q30" s="1296">
        <v>89</v>
      </c>
      <c r="R30" s="1297"/>
      <c r="S30" s="3611"/>
      <c r="T30" s="126" t="s">
        <v>236</v>
      </c>
      <c r="U30" s="3591" t="s">
        <v>168</v>
      </c>
      <c r="V30" s="1296">
        <v>54</v>
      </c>
      <c r="W30" s="1297"/>
      <c r="X30" s="1297"/>
      <c r="Y30" s="1298"/>
      <c r="Z30" s="3591" t="s">
        <v>168</v>
      </c>
      <c r="AA30" s="1296">
        <v>55</v>
      </c>
      <c r="AB30" s="1297"/>
      <c r="AC30" s="1297"/>
      <c r="AD30" s="1298"/>
      <c r="AE30" s="3591" t="s">
        <v>168</v>
      </c>
      <c r="AF30" s="1296">
        <v>56</v>
      </c>
      <c r="AG30" s="1297"/>
      <c r="AH30" s="1297"/>
      <c r="AI30" s="1298"/>
      <c r="AJ30" s="3591" t="s">
        <v>168</v>
      </c>
      <c r="AK30" s="1296">
        <v>57</v>
      </c>
      <c r="AL30" s="1297"/>
      <c r="AM30" s="1297"/>
      <c r="AN30" s="1298"/>
      <c r="AO30" s="3591" t="s">
        <v>168</v>
      </c>
      <c r="AP30" s="1296">
        <v>58</v>
      </c>
      <c r="AQ30" s="1297"/>
      <c r="AR30" s="1297"/>
      <c r="AS30" s="1298"/>
      <c r="AT30" s="3591" t="s">
        <v>168</v>
      </c>
      <c r="AU30" s="1296">
        <v>59</v>
      </c>
      <c r="AV30" s="1297"/>
      <c r="AW30" s="1297"/>
      <c r="AX30" s="1298"/>
      <c r="AY30" s="3591" t="s">
        <v>168</v>
      </c>
      <c r="AZ30" s="1296">
        <v>60</v>
      </c>
      <c r="BA30" s="1297"/>
      <c r="BB30" s="1297"/>
      <c r="BC30" s="1298"/>
      <c r="BD30" s="3591" t="s">
        <v>168</v>
      </c>
      <c r="BE30" s="1296">
        <v>61</v>
      </c>
      <c r="BF30" s="1297"/>
      <c r="BG30" s="1297"/>
      <c r="BH30" s="1298"/>
      <c r="BI30" s="3591" t="s">
        <v>168</v>
      </c>
      <c r="BJ30" s="1296">
        <v>62</v>
      </c>
      <c r="BK30" s="1297"/>
      <c r="BL30" s="1297"/>
      <c r="BM30" s="1298"/>
      <c r="BN30" s="3591" t="s">
        <v>168</v>
      </c>
      <c r="BO30" s="1296">
        <v>63</v>
      </c>
      <c r="BP30" s="1297"/>
      <c r="BQ30" s="1297"/>
      <c r="BR30" s="1298"/>
    </row>
    <row r="31" spans="1:83" ht="27" thickBot="1" x14ac:dyDescent="0.3">
      <c r="A31" s="3626"/>
      <c r="B31" s="61">
        <v>1E-4</v>
      </c>
      <c r="C31" s="62" t="s">
        <v>113</v>
      </c>
      <c r="D31" s="63"/>
      <c r="E31" s="64" t="s">
        <v>114</v>
      </c>
      <c r="F31" s="3626"/>
      <c r="G31" s="61">
        <v>0.93899999999999995</v>
      </c>
      <c r="H31" s="62" t="s">
        <v>113</v>
      </c>
      <c r="I31" s="63">
        <v>1</v>
      </c>
      <c r="J31" s="64" t="s">
        <v>114</v>
      </c>
      <c r="K31" s="3626"/>
      <c r="L31" s="61">
        <v>0.43099999999999999</v>
      </c>
      <c r="M31" s="62" t="s">
        <v>113</v>
      </c>
      <c r="N31" s="63"/>
      <c r="O31" s="64" t="s">
        <v>114</v>
      </c>
      <c r="P31" s="3626"/>
      <c r="Q31" s="61">
        <v>4.6989999999999998</v>
      </c>
      <c r="R31" s="62" t="s">
        <v>113</v>
      </c>
      <c r="S31" s="63"/>
      <c r="T31" s="64" t="s">
        <v>114</v>
      </c>
      <c r="U31" s="3592"/>
      <c r="V31" s="61">
        <v>0.60899999999999999</v>
      </c>
      <c r="W31" s="62" t="s">
        <v>113</v>
      </c>
      <c r="X31" s="63"/>
      <c r="Y31" s="64" t="s">
        <v>114</v>
      </c>
      <c r="Z31" s="3592"/>
      <c r="AA31" s="61">
        <v>1E-4</v>
      </c>
      <c r="AB31" s="62" t="s">
        <v>113</v>
      </c>
      <c r="AC31" s="63"/>
      <c r="AD31" s="64" t="s">
        <v>114</v>
      </c>
      <c r="AE31" s="3592"/>
      <c r="AF31" s="61">
        <v>0.152</v>
      </c>
      <c r="AG31" s="62" t="s">
        <v>113</v>
      </c>
      <c r="AH31" s="63"/>
      <c r="AI31" s="64" t="s">
        <v>114</v>
      </c>
      <c r="AJ31" s="3592"/>
      <c r="AK31" s="61">
        <v>1.498</v>
      </c>
      <c r="AL31" s="62" t="s">
        <v>113</v>
      </c>
      <c r="AM31" s="63">
        <v>1</v>
      </c>
      <c r="AN31" s="64" t="s">
        <v>114</v>
      </c>
      <c r="AO31" s="3592"/>
      <c r="AP31" s="61">
        <v>1E-3</v>
      </c>
      <c r="AQ31" s="62" t="s">
        <v>113</v>
      </c>
      <c r="AR31" s="63"/>
      <c r="AS31" s="64" t="s">
        <v>114</v>
      </c>
      <c r="AT31" s="3592"/>
      <c r="AU31" s="61">
        <v>0.81200000000000006</v>
      </c>
      <c r="AV31" s="62" t="s">
        <v>113</v>
      </c>
      <c r="AW31" s="63"/>
      <c r="AX31" s="64" t="s">
        <v>114</v>
      </c>
      <c r="AY31" s="3592"/>
      <c r="AZ31" s="61">
        <v>0.10100000000000001</v>
      </c>
      <c r="BA31" s="62" t="s">
        <v>113</v>
      </c>
      <c r="BB31" s="63"/>
      <c r="BC31" s="64" t="s">
        <v>114</v>
      </c>
      <c r="BD31" s="3592"/>
      <c r="BE31" s="61">
        <v>1E-4</v>
      </c>
      <c r="BF31" s="62" t="s">
        <v>113</v>
      </c>
      <c r="BG31" s="63"/>
      <c r="BH31" s="64" t="s">
        <v>114</v>
      </c>
      <c r="BI31" s="3592"/>
      <c r="BJ31" s="61">
        <v>1E-4</v>
      </c>
      <c r="BK31" s="62" t="s">
        <v>113</v>
      </c>
      <c r="BL31" s="63"/>
      <c r="BM31" s="64" t="s">
        <v>114</v>
      </c>
      <c r="BN31" s="3592"/>
      <c r="BO31" s="61">
        <v>0.86299999999999999</v>
      </c>
      <c r="BP31" s="62" t="s">
        <v>113</v>
      </c>
      <c r="BQ31" s="63"/>
      <c r="BR31" s="64" t="s">
        <v>114</v>
      </c>
      <c r="BW31" s="27"/>
      <c r="BX31" s="27"/>
      <c r="BY31" s="27"/>
      <c r="BZ31" s="27"/>
      <c r="CA31" s="27"/>
      <c r="CB31" s="27"/>
      <c r="CC31" s="27"/>
      <c r="CD31" s="27"/>
      <c r="CE31" s="27"/>
    </row>
    <row r="32" spans="1:83" ht="26.1" customHeight="1" thickTop="1" x14ac:dyDescent="0.25">
      <c r="A32" s="3593" t="s">
        <v>110</v>
      </c>
      <c r="B32" s="3594"/>
      <c r="C32" s="3599">
        <f t="shared" ref="C32" si="9">B37/((36*3.1415/44)*(20/3.281))</f>
        <v>2.7508481440217867E-2</v>
      </c>
      <c r="D32" s="3600"/>
      <c r="E32" s="3601"/>
      <c r="F32" s="3593" t="s">
        <v>110</v>
      </c>
      <c r="G32" s="3594"/>
      <c r="H32" s="3599">
        <f t="shared" ref="H32" si="10">G37/((36*3.1415/44)*(20/3.281))</f>
        <v>6.3824782923939361E-5</v>
      </c>
      <c r="I32" s="3600"/>
      <c r="J32" s="3601"/>
      <c r="K32" s="3593" t="s">
        <v>110</v>
      </c>
      <c r="L32" s="3594"/>
      <c r="M32" s="3599">
        <f t="shared" ref="M32" si="11">L37/((36*3.1415/44)*(20/3.281))</f>
        <v>6.3824782923939371E-6</v>
      </c>
      <c r="N32" s="3600"/>
      <c r="O32" s="3601"/>
      <c r="P32" s="3593" t="s">
        <v>110</v>
      </c>
      <c r="Q32" s="3594"/>
      <c r="R32" s="3599">
        <f t="shared" ref="R32" si="12">Q37/((36*3.1415/44)*(20/3.281))</f>
        <v>6.3824782923939371E-6</v>
      </c>
      <c r="S32" s="3600"/>
      <c r="T32" s="3601"/>
      <c r="U32" s="3593" t="s">
        <v>110</v>
      </c>
      <c r="V32" s="3594"/>
      <c r="W32" s="3599">
        <f t="shared" ref="W32" si="13">V37/((36*3.1415/44)*(20/3.281))</f>
        <v>6.3824782923939371E-6</v>
      </c>
      <c r="X32" s="3600"/>
      <c r="Y32" s="3601"/>
      <c r="Z32" s="3593" t="s">
        <v>110</v>
      </c>
      <c r="AA32" s="3594"/>
      <c r="AB32" s="3599">
        <f t="shared" ref="AB32" si="14">AA37/((36*3.1415/44)*(20/3.281))</f>
        <v>6.3824782923939371E-6</v>
      </c>
      <c r="AC32" s="3600"/>
      <c r="AD32" s="3601"/>
      <c r="AE32" s="3593" t="s">
        <v>110</v>
      </c>
      <c r="AF32" s="3594"/>
      <c r="AG32" s="3599">
        <f t="shared" ref="AG32" si="15">AF37/((36*3.1415/44)*(20/3.281))</f>
        <v>7.1356107308964217E-2</v>
      </c>
      <c r="AH32" s="3600"/>
      <c r="AI32" s="3601"/>
      <c r="AJ32" s="3593" t="s">
        <v>110</v>
      </c>
      <c r="AK32" s="3594"/>
      <c r="AL32" s="3599">
        <f t="shared" ref="AL32" si="16">AK37/((36*3.1415/44)*(20/3.281))</f>
        <v>6.8037218596919372E-2</v>
      </c>
      <c r="AM32" s="3600"/>
      <c r="AN32" s="3601"/>
      <c r="AO32" s="3593" t="s">
        <v>110</v>
      </c>
      <c r="AP32" s="3594"/>
      <c r="AQ32" s="3599">
        <f t="shared" ref="AQ32" si="17">AP37/((36*3.1415/44)*(20/3.281))</f>
        <v>2.2657797937998474E-2</v>
      </c>
      <c r="AR32" s="3600"/>
      <c r="AS32" s="3601"/>
      <c r="AT32" s="3593" t="s">
        <v>110</v>
      </c>
      <c r="AU32" s="3594"/>
      <c r="AV32" s="3599">
        <f t="shared" ref="AV32" si="18">AU37/((36*3.1415/44)*(20/3.281))</f>
        <v>6.3824782923939371E-6</v>
      </c>
      <c r="AW32" s="3600"/>
      <c r="AX32" s="3601"/>
      <c r="AY32" s="3593" t="s">
        <v>110</v>
      </c>
      <c r="AZ32" s="3594"/>
      <c r="BA32" s="3599">
        <f t="shared" ref="BA32" si="19">AZ37/((36*3.1415/44)*(20/3.281))</f>
        <v>6.3824782923939371E-6</v>
      </c>
      <c r="BB32" s="3600"/>
      <c r="BC32" s="3601"/>
      <c r="BD32" s="3593" t="s">
        <v>110</v>
      </c>
      <c r="BE32" s="3594"/>
      <c r="BF32" s="3599">
        <f t="shared" ref="BF32" si="20">BE37/((36*3.1415/44)*(20/3.281))</f>
        <v>6.3824782923939371E-6</v>
      </c>
      <c r="BG32" s="3600"/>
      <c r="BH32" s="3601"/>
      <c r="BI32" s="3593" t="s">
        <v>110</v>
      </c>
      <c r="BJ32" s="3594"/>
      <c r="BK32" s="3599">
        <f t="shared" ref="BK32" si="21">BJ37/((36*3.1415/44)*(20/3.281))</f>
        <v>6.3824782923939371E-6</v>
      </c>
      <c r="BL32" s="3600"/>
      <c r="BM32" s="3601"/>
      <c r="BN32" s="3593" t="s">
        <v>110</v>
      </c>
      <c r="BO32" s="3594"/>
      <c r="BP32" s="3599">
        <f t="shared" ref="BP32" si="22">BO37/((36*3.1415/44)*(20/3.281))</f>
        <v>6.3824782923939371E-6</v>
      </c>
      <c r="BQ32" s="3600"/>
      <c r="BR32" s="3601"/>
    </row>
    <row r="33" spans="1:83" ht="6.75" customHeight="1" x14ac:dyDescent="0.25">
      <c r="A33" s="3595"/>
      <c r="B33" s="3596"/>
      <c r="C33" s="3602"/>
      <c r="D33" s="3603"/>
      <c r="E33" s="3604"/>
      <c r="F33" s="3595"/>
      <c r="G33" s="3596"/>
      <c r="H33" s="3602"/>
      <c r="I33" s="3603"/>
      <c r="J33" s="3604"/>
      <c r="K33" s="3595"/>
      <c r="L33" s="3596"/>
      <c r="M33" s="3602"/>
      <c r="N33" s="3603"/>
      <c r="O33" s="3604"/>
      <c r="P33" s="3595"/>
      <c r="Q33" s="3596"/>
      <c r="R33" s="3602"/>
      <c r="S33" s="3603"/>
      <c r="T33" s="3604"/>
      <c r="U33" s="3595"/>
      <c r="V33" s="3596"/>
      <c r="W33" s="3602"/>
      <c r="X33" s="3603"/>
      <c r="Y33" s="3604"/>
      <c r="Z33" s="3595"/>
      <c r="AA33" s="3596"/>
      <c r="AB33" s="3602"/>
      <c r="AC33" s="3603"/>
      <c r="AD33" s="3604"/>
      <c r="AE33" s="3595"/>
      <c r="AF33" s="3596"/>
      <c r="AG33" s="3602"/>
      <c r="AH33" s="3603"/>
      <c r="AI33" s="3604"/>
      <c r="AJ33" s="3595"/>
      <c r="AK33" s="3596"/>
      <c r="AL33" s="3602"/>
      <c r="AM33" s="3603"/>
      <c r="AN33" s="3604"/>
      <c r="AO33" s="3595"/>
      <c r="AP33" s="3596"/>
      <c r="AQ33" s="3602"/>
      <c r="AR33" s="3603"/>
      <c r="AS33" s="3604"/>
      <c r="AT33" s="3595"/>
      <c r="AU33" s="3596"/>
      <c r="AV33" s="3602"/>
      <c r="AW33" s="3603"/>
      <c r="AX33" s="3604"/>
      <c r="AY33" s="3595"/>
      <c r="AZ33" s="3596"/>
      <c r="BA33" s="3602"/>
      <c r="BB33" s="3603"/>
      <c r="BC33" s="3604"/>
      <c r="BD33" s="3595"/>
      <c r="BE33" s="3596"/>
      <c r="BF33" s="3602"/>
      <c r="BG33" s="3603"/>
      <c r="BH33" s="3604"/>
      <c r="BI33" s="3595"/>
      <c r="BJ33" s="3596"/>
      <c r="BK33" s="3602"/>
      <c r="BL33" s="3603"/>
      <c r="BM33" s="3604"/>
      <c r="BN33" s="3595"/>
      <c r="BO33" s="3596"/>
      <c r="BP33" s="3602"/>
      <c r="BQ33" s="3603"/>
      <c r="BR33" s="3604"/>
    </row>
    <row r="34" spans="1:83" ht="21.95" customHeight="1" x14ac:dyDescent="0.25">
      <c r="A34" s="3595"/>
      <c r="B34" s="3596"/>
      <c r="C34" s="3602"/>
      <c r="D34" s="3603"/>
      <c r="E34" s="3604"/>
      <c r="F34" s="3595"/>
      <c r="G34" s="3596"/>
      <c r="H34" s="3602"/>
      <c r="I34" s="3603"/>
      <c r="J34" s="3604"/>
      <c r="K34" s="3595"/>
      <c r="L34" s="3596"/>
      <c r="M34" s="3602"/>
      <c r="N34" s="3603"/>
      <c r="O34" s="3604"/>
      <c r="P34" s="3595"/>
      <c r="Q34" s="3596"/>
      <c r="R34" s="3602"/>
      <c r="S34" s="3603"/>
      <c r="T34" s="3604"/>
      <c r="U34" s="3595"/>
      <c r="V34" s="3596"/>
      <c r="W34" s="3602"/>
      <c r="X34" s="3603"/>
      <c r="Y34" s="3604"/>
      <c r="Z34" s="3595"/>
      <c r="AA34" s="3596"/>
      <c r="AB34" s="3602"/>
      <c r="AC34" s="3603"/>
      <c r="AD34" s="3604"/>
      <c r="AE34" s="3595"/>
      <c r="AF34" s="3596"/>
      <c r="AG34" s="3602"/>
      <c r="AH34" s="3603"/>
      <c r="AI34" s="3604"/>
      <c r="AJ34" s="3595"/>
      <c r="AK34" s="3596"/>
      <c r="AL34" s="3602"/>
      <c r="AM34" s="3603"/>
      <c r="AN34" s="3604"/>
      <c r="AO34" s="3595"/>
      <c r="AP34" s="3596"/>
      <c r="AQ34" s="3602"/>
      <c r="AR34" s="3603"/>
      <c r="AS34" s="3604"/>
      <c r="AT34" s="3595"/>
      <c r="AU34" s="3596"/>
      <c r="AV34" s="3602"/>
      <c r="AW34" s="3603"/>
      <c r="AX34" s="3604"/>
      <c r="AY34" s="3595"/>
      <c r="AZ34" s="3596"/>
      <c r="BA34" s="3602"/>
      <c r="BB34" s="3603"/>
      <c r="BC34" s="3604"/>
      <c r="BD34" s="3595"/>
      <c r="BE34" s="3596"/>
      <c r="BF34" s="3602"/>
      <c r="BG34" s="3603"/>
      <c r="BH34" s="3604"/>
      <c r="BI34" s="3595"/>
      <c r="BJ34" s="3596"/>
      <c r="BK34" s="3602"/>
      <c r="BL34" s="3603"/>
      <c r="BM34" s="3604"/>
      <c r="BN34" s="3595"/>
      <c r="BO34" s="3596"/>
      <c r="BP34" s="3602"/>
      <c r="BQ34" s="3603"/>
      <c r="BR34" s="3604"/>
    </row>
    <row r="35" spans="1:83" ht="6" customHeight="1" x14ac:dyDescent="0.25">
      <c r="A35" s="3597"/>
      <c r="B35" s="3598"/>
      <c r="C35" s="3605"/>
      <c r="D35" s="3606"/>
      <c r="E35" s="3607"/>
      <c r="F35" s="3597"/>
      <c r="G35" s="3598"/>
      <c r="H35" s="3605"/>
      <c r="I35" s="3606"/>
      <c r="J35" s="3607"/>
      <c r="K35" s="3597"/>
      <c r="L35" s="3598"/>
      <c r="M35" s="3605"/>
      <c r="N35" s="3606"/>
      <c r="O35" s="3607"/>
      <c r="P35" s="3597"/>
      <c r="Q35" s="3598"/>
      <c r="R35" s="3605"/>
      <c r="S35" s="3606"/>
      <c r="T35" s="3607"/>
      <c r="U35" s="3597"/>
      <c r="V35" s="3598"/>
      <c r="W35" s="3605"/>
      <c r="X35" s="3606"/>
      <c r="Y35" s="3607"/>
      <c r="Z35" s="3597"/>
      <c r="AA35" s="3598"/>
      <c r="AB35" s="3605"/>
      <c r="AC35" s="3606"/>
      <c r="AD35" s="3607"/>
      <c r="AE35" s="3597"/>
      <c r="AF35" s="3598"/>
      <c r="AG35" s="3605"/>
      <c r="AH35" s="3606"/>
      <c r="AI35" s="3607"/>
      <c r="AJ35" s="3597"/>
      <c r="AK35" s="3598"/>
      <c r="AL35" s="3605"/>
      <c r="AM35" s="3606"/>
      <c r="AN35" s="3607"/>
      <c r="AO35" s="3597"/>
      <c r="AP35" s="3598"/>
      <c r="AQ35" s="3605"/>
      <c r="AR35" s="3606"/>
      <c r="AS35" s="3607"/>
      <c r="AT35" s="3597"/>
      <c r="AU35" s="3598"/>
      <c r="AV35" s="3605"/>
      <c r="AW35" s="3606"/>
      <c r="AX35" s="3607"/>
      <c r="AY35" s="3597"/>
      <c r="AZ35" s="3598"/>
      <c r="BA35" s="3605"/>
      <c r="BB35" s="3606"/>
      <c r="BC35" s="3607"/>
      <c r="BD35" s="3597"/>
      <c r="BE35" s="3598"/>
      <c r="BF35" s="3605"/>
      <c r="BG35" s="3606"/>
      <c r="BH35" s="3607"/>
      <c r="BI35" s="3597"/>
      <c r="BJ35" s="3598"/>
      <c r="BK35" s="3605"/>
      <c r="BL35" s="3606"/>
      <c r="BM35" s="3607"/>
      <c r="BN35" s="3597"/>
      <c r="BO35" s="3598"/>
      <c r="BP35" s="3605"/>
      <c r="BQ35" s="3606"/>
      <c r="BR35" s="3607"/>
    </row>
    <row r="36" spans="1:83" s="22" customFormat="1" ht="80.099999999999994" customHeight="1" x14ac:dyDescent="1.35">
      <c r="A36" s="3591" t="s">
        <v>168</v>
      </c>
      <c r="B36" s="1296">
        <v>64</v>
      </c>
      <c r="C36" s="1297"/>
      <c r="D36" s="1297"/>
      <c r="E36" s="1298"/>
      <c r="F36" s="3591" t="s">
        <v>168</v>
      </c>
      <c r="G36" s="1296">
        <v>65</v>
      </c>
      <c r="H36" s="1297"/>
      <c r="I36" s="1297"/>
      <c r="J36" s="1298"/>
      <c r="K36" s="3638" t="s">
        <v>249</v>
      </c>
      <c r="L36" s="1296">
        <v>66</v>
      </c>
      <c r="M36" s="1297"/>
      <c r="N36" s="1297"/>
      <c r="O36" s="1298"/>
      <c r="P36" s="3591" t="s">
        <v>168</v>
      </c>
      <c r="Q36" s="1296">
        <v>67</v>
      </c>
      <c r="R36" s="1297"/>
      <c r="S36" s="1297"/>
      <c r="T36" s="1298"/>
      <c r="U36" s="3591" t="s">
        <v>168</v>
      </c>
      <c r="V36" s="1296">
        <v>68</v>
      </c>
      <c r="W36" s="1297"/>
      <c r="X36" s="1297"/>
      <c r="Y36" s="1298"/>
      <c r="Z36" s="3591" t="s">
        <v>168</v>
      </c>
      <c r="AA36" s="1296">
        <v>69</v>
      </c>
      <c r="AB36" s="1297"/>
      <c r="AC36" s="1297"/>
      <c r="AD36" s="1298"/>
      <c r="AE36" s="3591" t="s">
        <v>168</v>
      </c>
      <c r="AF36" s="1296">
        <v>70</v>
      </c>
      <c r="AG36" s="1297"/>
      <c r="AH36" s="1297"/>
      <c r="AI36" s="1298"/>
      <c r="AJ36" s="3591" t="s">
        <v>168</v>
      </c>
      <c r="AK36" s="588">
        <v>71</v>
      </c>
      <c r="AL36" s="589"/>
      <c r="AM36" s="589"/>
      <c r="AN36" s="590"/>
      <c r="AO36" s="3591" t="s">
        <v>168</v>
      </c>
      <c r="AP36" s="588">
        <v>72</v>
      </c>
      <c r="AQ36" s="589"/>
      <c r="AR36" s="589"/>
      <c r="AS36" s="590"/>
      <c r="AT36" s="3591" t="s">
        <v>168</v>
      </c>
      <c r="AU36" s="588">
        <v>73</v>
      </c>
      <c r="AV36" s="589"/>
      <c r="AW36" s="589"/>
      <c r="AX36" s="590"/>
      <c r="AY36" s="3591" t="s">
        <v>168</v>
      </c>
      <c r="AZ36" s="588">
        <v>74</v>
      </c>
      <c r="BA36" s="589"/>
      <c r="BB36" s="589"/>
      <c r="BC36" s="590"/>
      <c r="BD36" s="3591" t="s">
        <v>168</v>
      </c>
      <c r="BE36" s="588">
        <v>75</v>
      </c>
      <c r="BF36" s="589"/>
      <c r="BG36" s="589"/>
      <c r="BH36" s="590"/>
      <c r="BI36" s="3591" t="s">
        <v>168</v>
      </c>
      <c r="BJ36" s="1296">
        <v>76</v>
      </c>
      <c r="BK36" s="1297"/>
      <c r="BL36" s="1297"/>
      <c r="BM36" s="1298"/>
      <c r="BN36" s="3591" t="s">
        <v>168</v>
      </c>
      <c r="BO36" s="588">
        <v>77</v>
      </c>
      <c r="BP36" s="589"/>
      <c r="BQ36" s="589"/>
      <c r="BR36" s="590"/>
    </row>
    <row r="37" spans="1:83" ht="28.5" customHeight="1" thickBot="1" x14ac:dyDescent="0.3">
      <c r="A37" s="3592"/>
      <c r="B37" s="61">
        <v>0.43099999999999999</v>
      </c>
      <c r="C37" s="62" t="s">
        <v>113</v>
      </c>
      <c r="D37" s="63"/>
      <c r="E37" s="64" t="s">
        <v>114</v>
      </c>
      <c r="F37" s="3592"/>
      <c r="G37" s="61">
        <v>1E-3</v>
      </c>
      <c r="H37" s="62" t="s">
        <v>113</v>
      </c>
      <c r="I37" s="63"/>
      <c r="J37" s="64" t="s">
        <v>114</v>
      </c>
      <c r="K37" s="3639"/>
      <c r="L37" s="61">
        <v>1E-4</v>
      </c>
      <c r="M37" s="62" t="s">
        <v>113</v>
      </c>
      <c r="N37" s="63"/>
      <c r="O37" s="64" t="s">
        <v>114</v>
      </c>
      <c r="P37" s="3592"/>
      <c r="Q37" s="61">
        <v>1E-4</v>
      </c>
      <c r="R37" s="62" t="s">
        <v>113</v>
      </c>
      <c r="S37" s="63"/>
      <c r="T37" s="64" t="s">
        <v>114</v>
      </c>
      <c r="U37" s="3592"/>
      <c r="V37" s="61">
        <v>1E-4</v>
      </c>
      <c r="W37" s="62" t="s">
        <v>113</v>
      </c>
      <c r="X37" s="63"/>
      <c r="Y37" s="64" t="s">
        <v>114</v>
      </c>
      <c r="Z37" s="3592"/>
      <c r="AA37" s="61">
        <v>1E-4</v>
      </c>
      <c r="AB37" s="62" t="s">
        <v>113</v>
      </c>
      <c r="AC37" s="63"/>
      <c r="AD37" s="64" t="s">
        <v>114</v>
      </c>
      <c r="AE37" s="3592"/>
      <c r="AF37" s="61">
        <v>1.1180000000000001</v>
      </c>
      <c r="AG37" s="62" t="s">
        <v>113</v>
      </c>
      <c r="AH37" s="63"/>
      <c r="AI37" s="64" t="s">
        <v>114</v>
      </c>
      <c r="AJ37" s="3592"/>
      <c r="AK37" s="61">
        <v>1.0660000000000001</v>
      </c>
      <c r="AL37" s="62" t="s">
        <v>113</v>
      </c>
      <c r="AM37" s="63">
        <v>1</v>
      </c>
      <c r="AN37" s="64" t="s">
        <v>114</v>
      </c>
      <c r="AO37" s="3592"/>
      <c r="AP37" s="61">
        <v>0.35499999999999998</v>
      </c>
      <c r="AQ37" s="62" t="s">
        <v>113</v>
      </c>
      <c r="AR37" s="63"/>
      <c r="AS37" s="64" t="s">
        <v>114</v>
      </c>
      <c r="AT37" s="3592"/>
      <c r="AU37" s="61">
        <v>1E-4</v>
      </c>
      <c r="AV37" s="62" t="s">
        <v>113</v>
      </c>
      <c r="AW37" s="63"/>
      <c r="AX37" s="64" t="s">
        <v>114</v>
      </c>
      <c r="AY37" s="3592"/>
      <c r="AZ37" s="61">
        <v>1E-4</v>
      </c>
      <c r="BA37" s="62" t="s">
        <v>113</v>
      </c>
      <c r="BB37" s="63"/>
      <c r="BC37" s="64" t="s">
        <v>114</v>
      </c>
      <c r="BD37" s="3592"/>
      <c r="BE37" s="61">
        <v>1E-4</v>
      </c>
      <c r="BF37" s="62" t="s">
        <v>113</v>
      </c>
      <c r="BG37" s="63"/>
      <c r="BH37" s="64" t="s">
        <v>114</v>
      </c>
      <c r="BI37" s="3592"/>
      <c r="BJ37" s="61">
        <v>1E-4</v>
      </c>
      <c r="BK37" s="62" t="s">
        <v>113</v>
      </c>
      <c r="BL37" s="63"/>
      <c r="BM37" s="64" t="s">
        <v>114</v>
      </c>
      <c r="BN37" s="3592"/>
      <c r="BO37" s="61">
        <v>1E-4</v>
      </c>
      <c r="BP37" s="62" t="s">
        <v>113</v>
      </c>
      <c r="BQ37" s="63"/>
      <c r="BR37" s="64" t="s">
        <v>114</v>
      </c>
      <c r="BW37" s="27"/>
      <c r="BX37" s="27"/>
      <c r="BY37" s="27"/>
      <c r="BZ37" s="27"/>
      <c r="CA37" s="27"/>
      <c r="CB37" s="27"/>
      <c r="CC37" s="27"/>
      <c r="CD37" s="27"/>
      <c r="CE37" s="27"/>
    </row>
    <row r="38" spans="1:83" ht="26.1" customHeight="1" thickTop="1" x14ac:dyDescent="0.25">
      <c r="A38" s="3593" t="s">
        <v>110</v>
      </c>
      <c r="B38" s="3594"/>
      <c r="C38" s="3599">
        <f t="shared" ref="C38" si="23">B43/((36*3.1415/44)*(20/3.281))</f>
        <v>1.4552050506658176E-2</v>
      </c>
      <c r="D38" s="3600"/>
      <c r="E38" s="3601"/>
      <c r="F38" s="3593" t="s">
        <v>110</v>
      </c>
      <c r="G38" s="3594"/>
      <c r="H38" s="3599">
        <f t="shared" ref="H38" si="24">G43/((36*3.1415/44)*(20/3.281))</f>
        <v>6.3824782923939361E-5</v>
      </c>
      <c r="I38" s="3600"/>
      <c r="J38" s="3601"/>
      <c r="K38" s="3593" t="s">
        <v>110</v>
      </c>
      <c r="L38" s="3594"/>
      <c r="M38" s="3599">
        <f t="shared" ref="M38" si="25">L43/((36*3.1415/44)*(20/3.281))</f>
        <v>1.2956430933559693E-2</v>
      </c>
      <c r="N38" s="3600"/>
      <c r="O38" s="3601"/>
      <c r="P38" s="3593" t="s">
        <v>110</v>
      </c>
      <c r="Q38" s="3594"/>
      <c r="R38" s="3599">
        <f t="shared" ref="R38" si="26">Q43/((36*3.1415/44)*(20/3.281))</f>
        <v>1.9402734008877567E-2</v>
      </c>
      <c r="S38" s="3600"/>
      <c r="T38" s="3601"/>
      <c r="U38" s="3593" t="s">
        <v>110</v>
      </c>
      <c r="V38" s="3594"/>
      <c r="W38" s="3599">
        <f t="shared" ref="W38" si="27">V43/((36*3.1415/44)*(20/3.281))</f>
        <v>6.3824782923939371E-6</v>
      </c>
      <c r="X38" s="3600"/>
      <c r="Y38" s="3601"/>
    </row>
    <row r="39" spans="1:83" ht="6.75" customHeight="1" x14ac:dyDescent="0.25">
      <c r="A39" s="3595"/>
      <c r="B39" s="3596"/>
      <c r="C39" s="3602"/>
      <c r="D39" s="3603"/>
      <c r="E39" s="3604"/>
      <c r="F39" s="3595"/>
      <c r="G39" s="3596"/>
      <c r="H39" s="3602"/>
      <c r="I39" s="3603"/>
      <c r="J39" s="3604"/>
      <c r="K39" s="3595"/>
      <c r="L39" s="3596"/>
      <c r="M39" s="3602"/>
      <c r="N39" s="3603"/>
      <c r="O39" s="3604"/>
      <c r="P39" s="3595"/>
      <c r="Q39" s="3596"/>
      <c r="R39" s="3602"/>
      <c r="S39" s="3603"/>
      <c r="T39" s="3604"/>
      <c r="U39" s="3595"/>
      <c r="V39" s="3596"/>
      <c r="W39" s="3602"/>
      <c r="X39" s="3603"/>
      <c r="Y39" s="3604"/>
    </row>
    <row r="40" spans="1:83" ht="21.95" customHeight="1" x14ac:dyDescent="0.25">
      <c r="A40" s="3595"/>
      <c r="B40" s="3596"/>
      <c r="C40" s="3602"/>
      <c r="D40" s="3603"/>
      <c r="E40" s="3604"/>
      <c r="F40" s="3595"/>
      <c r="G40" s="3596"/>
      <c r="H40" s="3602"/>
      <c r="I40" s="3603"/>
      <c r="J40" s="3604"/>
      <c r="K40" s="3595"/>
      <c r="L40" s="3596"/>
      <c r="M40" s="3602"/>
      <c r="N40" s="3603"/>
      <c r="O40" s="3604"/>
      <c r="P40" s="3595"/>
      <c r="Q40" s="3596"/>
      <c r="R40" s="3602"/>
      <c r="S40" s="3603"/>
      <c r="T40" s="3604"/>
      <c r="U40" s="3595"/>
      <c r="V40" s="3596"/>
      <c r="W40" s="3602"/>
      <c r="X40" s="3603"/>
      <c r="Y40" s="3604"/>
    </row>
    <row r="41" spans="1:83" ht="6" customHeight="1" x14ac:dyDescent="0.25">
      <c r="A41" s="3597"/>
      <c r="B41" s="3598"/>
      <c r="C41" s="3605"/>
      <c r="D41" s="3606"/>
      <c r="E41" s="3607"/>
      <c r="F41" s="3597"/>
      <c r="G41" s="3598"/>
      <c r="H41" s="3605"/>
      <c r="I41" s="3606"/>
      <c r="J41" s="3607"/>
      <c r="K41" s="3597"/>
      <c r="L41" s="3598"/>
      <c r="M41" s="3605"/>
      <c r="N41" s="3606"/>
      <c r="O41" s="3607"/>
      <c r="P41" s="3597"/>
      <c r="Q41" s="3598"/>
      <c r="R41" s="3605"/>
      <c r="S41" s="3606"/>
      <c r="T41" s="3607"/>
      <c r="U41" s="3597"/>
      <c r="V41" s="3598"/>
      <c r="W41" s="3605"/>
      <c r="X41" s="3606"/>
      <c r="Y41" s="3607"/>
    </row>
    <row r="42" spans="1:83" s="22" customFormat="1" ht="80.099999999999994" customHeight="1" x14ac:dyDescent="1.35">
      <c r="A42" s="3591" t="s">
        <v>168</v>
      </c>
      <c r="B42" s="1296">
        <v>78</v>
      </c>
      <c r="C42" s="1297"/>
      <c r="D42" s="1297"/>
      <c r="E42" s="1298"/>
      <c r="F42" s="3591" t="s">
        <v>168</v>
      </c>
      <c r="G42" s="588">
        <v>79</v>
      </c>
      <c r="H42" s="589"/>
      <c r="I42" s="589"/>
      <c r="J42" s="590"/>
      <c r="K42" s="3591" t="s">
        <v>168</v>
      </c>
      <c r="L42" s="3627">
        <v>80</v>
      </c>
      <c r="M42" s="3628"/>
      <c r="N42" s="3628"/>
      <c r="O42" s="3640"/>
      <c r="P42" s="3591" t="s">
        <v>168</v>
      </c>
      <c r="Q42" s="1296">
        <v>81</v>
      </c>
      <c r="R42" s="1297"/>
      <c r="S42" s="1297"/>
      <c r="T42" s="1298"/>
      <c r="U42" s="3591" t="s">
        <v>168</v>
      </c>
      <c r="V42" s="1296">
        <v>82</v>
      </c>
      <c r="W42" s="1297"/>
      <c r="X42" s="1297"/>
      <c r="Y42" s="1298"/>
      <c r="AK42" s="3641"/>
      <c r="AL42" s="3641"/>
      <c r="AO42" s="702">
        <v>59</v>
      </c>
      <c r="AP42" s="702"/>
      <c r="AQ42" s="702"/>
      <c r="BF42" s="678">
        <v>59</v>
      </c>
      <c r="BG42" s="678"/>
      <c r="BH42" s="678"/>
    </row>
    <row r="43" spans="1:83" ht="26.25" customHeight="1" thickBot="1" x14ac:dyDescent="0.3">
      <c r="A43" s="3592"/>
      <c r="B43" s="61">
        <v>0.22800000000000001</v>
      </c>
      <c r="C43" s="62" t="s">
        <v>113</v>
      </c>
      <c r="D43" s="63"/>
      <c r="E43" s="64" t="s">
        <v>114</v>
      </c>
      <c r="F43" s="3592"/>
      <c r="G43" s="61">
        <v>1E-3</v>
      </c>
      <c r="H43" s="62" t="s">
        <v>113</v>
      </c>
      <c r="I43" s="63"/>
      <c r="J43" s="64" t="s">
        <v>114</v>
      </c>
      <c r="K43" s="3592"/>
      <c r="L43" s="61">
        <v>0.20300000000000001</v>
      </c>
      <c r="M43" s="62" t="s">
        <v>113</v>
      </c>
      <c r="N43" s="63"/>
      <c r="O43" s="64" t="s">
        <v>114</v>
      </c>
      <c r="P43" s="3592"/>
      <c r="Q43" s="61">
        <v>0.30399999999999999</v>
      </c>
      <c r="R43" s="62" t="s">
        <v>113</v>
      </c>
      <c r="S43" s="63"/>
      <c r="T43" s="64" t="s">
        <v>114</v>
      </c>
      <c r="U43" s="3592"/>
      <c r="V43" s="61">
        <v>1E-4</v>
      </c>
      <c r="W43" s="62" t="s">
        <v>113</v>
      </c>
      <c r="X43" s="63"/>
      <c r="Y43" s="64" t="s">
        <v>114</v>
      </c>
      <c r="BW43" s="27"/>
      <c r="BX43" s="27"/>
      <c r="BY43" s="27"/>
      <c r="BZ43" s="27"/>
      <c r="CA43" s="27"/>
      <c r="CB43" s="27"/>
      <c r="CC43" s="27"/>
      <c r="CD43" s="27"/>
      <c r="CE43" s="27"/>
    </row>
    <row r="44" spans="1:83" ht="26.1" customHeight="1" thickTop="1" x14ac:dyDescent="0.25"/>
    <row r="45" spans="1:83" ht="6.75" customHeight="1" x14ac:dyDescent="0.25"/>
    <row r="46" spans="1:83" ht="21.95" customHeight="1" x14ac:dyDescent="0.25"/>
    <row r="47" spans="1:83" ht="6" customHeight="1" thickBot="1" x14ac:dyDescent="0.3"/>
    <row r="48" spans="1:83" s="22" customFormat="1" ht="80.099999999999994" customHeight="1" thickBot="1" x14ac:dyDescent="1.4">
      <c r="A48"/>
      <c r="B48" s="3608" t="s">
        <v>282</v>
      </c>
      <c r="C48" s="3609"/>
      <c r="D48" s="3609"/>
      <c r="E48" s="3609"/>
      <c r="F48" s="3609"/>
      <c r="G48" s="3609"/>
      <c r="H48" s="3609"/>
      <c r="I48" s="3609"/>
      <c r="J48" s="3609"/>
      <c r="K48" s="3609"/>
      <c r="L48" s="3609"/>
      <c r="M48" s="3609"/>
      <c r="N48" s="3609"/>
      <c r="O48" s="3609"/>
      <c r="P48" s="3609"/>
      <c r="Q48" s="3610"/>
      <c r="R48"/>
      <c r="S48" s="1992" t="s">
        <v>283</v>
      </c>
      <c r="T48" s="1992"/>
      <c r="U48" s="1992"/>
      <c r="V48" s="1992"/>
      <c r="W48" s="1992"/>
      <c r="X48" s="1992"/>
      <c r="Y48" s="1992"/>
      <c r="Z48" s="1992"/>
      <c r="AA48" s="1992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</row>
    <row r="49" spans="1:83" ht="15.75" customHeight="1" thickBot="1" x14ac:dyDescent="0.3">
      <c r="Y49" s="697" t="s">
        <v>116</v>
      </c>
      <c r="Z49" s="697"/>
      <c r="AA49" s="697"/>
      <c r="AB49" s="697"/>
      <c r="AC49" s="697"/>
      <c r="AD49" s="697"/>
      <c r="AE49" s="697"/>
      <c r="AF49" s="697"/>
      <c r="AG49" s="697"/>
      <c r="AH49" s="697"/>
      <c r="AI49" s="697"/>
      <c r="AJ49" s="697"/>
      <c r="AK49" s="697" t="s">
        <v>117</v>
      </c>
      <c r="AL49" s="697"/>
      <c r="AM49" s="697"/>
      <c r="AN49" s="697"/>
      <c r="AO49" s="697"/>
      <c r="AP49" s="697"/>
      <c r="AQ49" s="697"/>
      <c r="AR49" s="697"/>
      <c r="AS49" s="697"/>
      <c r="AT49" s="697"/>
      <c r="AU49" s="697"/>
      <c r="AV49" s="697" t="s">
        <v>118</v>
      </c>
      <c r="AW49" s="697"/>
      <c r="AX49" s="697"/>
      <c r="AY49" s="697"/>
      <c r="AZ49" s="697"/>
      <c r="BA49" s="697"/>
      <c r="BB49" s="697"/>
      <c r="BC49" s="697"/>
      <c r="BD49" s="697"/>
      <c r="BE49" s="697"/>
      <c r="BF49" s="697"/>
      <c r="BG49" s="697"/>
      <c r="BH49" s="699" t="s">
        <v>119</v>
      </c>
      <c r="BI49" s="699"/>
      <c r="BJ49" s="699"/>
      <c r="BK49" s="699"/>
      <c r="BL49" s="699"/>
      <c r="BM49" s="1802">
        <f>D7+I7+N7+S7+X7+AC7+AH7+AM7+AR7+AW7+BB7+BG7+BL7+BQ7+BQ13+BL13+BG13+BB13+AW13+AR13+AM13+AH13+AC13+X13+S13+N13+I13+D13+D19+I19+N19+S19+X19+AC19+AH19+AM19+AR19+AW19+BB19+BG19+BL19+BQ19+BQ25+BL25+BG25+BB25+AW25+AR25+AM25+AH25+AC25+X25+S25+N25+I25+D31+D25+I31+N31+S31+X31+AC31+AH31+AM31+AR31+AW31+BB31+BG31+BL31+BQ31+BQ37+BL37+BG37+BB37+AW37+AR37+AM37+AH37+AC37+X37+S37+N37+I37+D37+D43+I43+N43+S43+X43</f>
        <v>16</v>
      </c>
      <c r="BN49" s="1802"/>
      <c r="BO49" s="1802"/>
      <c r="BP49" s="1802"/>
      <c r="BQ49" s="701" t="s">
        <v>120</v>
      </c>
      <c r="BR49" s="701"/>
      <c r="BS49" s="701"/>
      <c r="BW49" s="27"/>
      <c r="BX49" s="27"/>
      <c r="BY49" s="27"/>
      <c r="BZ49" s="27"/>
      <c r="CA49" s="27"/>
      <c r="CB49" s="27"/>
      <c r="CC49" s="27"/>
      <c r="CD49" s="27"/>
      <c r="CE49" s="27"/>
    </row>
    <row r="50" spans="1:83" ht="26.1" hidden="1" customHeight="1" thickTop="1" x14ac:dyDescent="0.25">
      <c r="Y50" s="697"/>
      <c r="Z50" s="697"/>
      <c r="AA50" s="697"/>
      <c r="AB50" s="697"/>
      <c r="AC50" s="697"/>
      <c r="AD50" s="697"/>
      <c r="AE50" s="697"/>
      <c r="AF50" s="697"/>
      <c r="AG50" s="697"/>
      <c r="AH50" s="697"/>
      <c r="AI50" s="697"/>
      <c r="AJ50" s="697"/>
      <c r="AK50" s="697"/>
      <c r="AL50" s="697"/>
      <c r="AM50" s="697"/>
      <c r="AN50" s="697"/>
      <c r="AO50" s="697"/>
      <c r="AP50" s="697"/>
      <c r="AQ50" s="697"/>
      <c r="AR50" s="697"/>
      <c r="AS50" s="697"/>
      <c r="AT50" s="697"/>
      <c r="AU50" s="697"/>
      <c r="AV50" s="697"/>
      <c r="AW50" s="697"/>
      <c r="AX50" s="697"/>
      <c r="AY50" s="697"/>
      <c r="AZ50" s="697"/>
      <c r="BA50" s="697"/>
      <c r="BB50" s="697"/>
      <c r="BC50" s="697"/>
      <c r="BD50" s="697"/>
      <c r="BE50" s="697"/>
      <c r="BF50" s="697"/>
      <c r="BG50" s="697"/>
      <c r="BH50" s="699"/>
      <c r="BI50" s="699"/>
      <c r="BJ50" s="699"/>
      <c r="BK50" s="699"/>
      <c r="BL50" s="699"/>
      <c r="BM50" s="1802"/>
      <c r="BN50" s="1802"/>
      <c r="BO50" s="1802"/>
      <c r="BP50" s="1802"/>
      <c r="BQ50" s="701"/>
      <c r="BR50" s="701"/>
      <c r="BS50" s="701"/>
    </row>
    <row r="51" spans="1:83" ht="6.75" hidden="1" customHeight="1" x14ac:dyDescent="0.25">
      <c r="Y51" s="697"/>
      <c r="Z51" s="697"/>
      <c r="AA51" s="697"/>
      <c r="AB51" s="697"/>
      <c r="AC51" s="697"/>
      <c r="AD51" s="697"/>
      <c r="AE51" s="697"/>
      <c r="AF51" s="697"/>
      <c r="AG51" s="697"/>
      <c r="AH51" s="697"/>
      <c r="AI51" s="697"/>
      <c r="AJ51" s="697"/>
      <c r="AK51" s="697"/>
      <c r="AL51" s="697"/>
      <c r="AM51" s="697"/>
      <c r="AN51" s="697"/>
      <c r="AO51" s="697"/>
      <c r="AP51" s="697"/>
      <c r="AQ51" s="697"/>
      <c r="AR51" s="697"/>
      <c r="AS51" s="697"/>
      <c r="AT51" s="697"/>
      <c r="AU51" s="697"/>
      <c r="AV51" s="697"/>
      <c r="AW51" s="697"/>
      <c r="AX51" s="697"/>
      <c r="AY51" s="697"/>
      <c r="AZ51" s="697"/>
      <c r="BA51" s="697"/>
      <c r="BB51" s="697"/>
      <c r="BC51" s="697"/>
      <c r="BD51" s="697"/>
      <c r="BE51" s="697"/>
      <c r="BF51" s="697"/>
      <c r="BG51" s="697"/>
      <c r="BH51" s="699"/>
      <c r="BI51" s="699"/>
      <c r="BJ51" s="699"/>
      <c r="BK51" s="699"/>
      <c r="BL51" s="699"/>
      <c r="BM51" s="1802"/>
      <c r="BN51" s="1802"/>
      <c r="BO51" s="1802"/>
      <c r="BP51" s="1802"/>
      <c r="BQ51" s="701"/>
      <c r="BR51" s="701"/>
      <c r="BS51" s="701"/>
    </row>
    <row r="52" spans="1:83" ht="21.95" hidden="1" customHeight="1" x14ac:dyDescent="0.25">
      <c r="Y52" s="697"/>
      <c r="Z52" s="697"/>
      <c r="AA52" s="697"/>
      <c r="AB52" s="697"/>
      <c r="AC52" s="697"/>
      <c r="AD52" s="697"/>
      <c r="AE52" s="697"/>
      <c r="AF52" s="697"/>
      <c r="AG52" s="697"/>
      <c r="AH52" s="697"/>
      <c r="AI52" s="697"/>
      <c r="AJ52" s="697"/>
      <c r="AK52" s="697"/>
      <c r="AL52" s="697"/>
      <c r="AM52" s="697"/>
      <c r="AN52" s="697"/>
      <c r="AO52" s="697"/>
      <c r="AP52" s="697"/>
      <c r="AQ52" s="697"/>
      <c r="AR52" s="697"/>
      <c r="AS52" s="697"/>
      <c r="AT52" s="697"/>
      <c r="AU52" s="697"/>
      <c r="AV52" s="697"/>
      <c r="AW52" s="697"/>
      <c r="AX52" s="697"/>
      <c r="AY52" s="697"/>
      <c r="AZ52" s="697"/>
      <c r="BA52" s="697"/>
      <c r="BB52" s="697"/>
      <c r="BC52" s="697"/>
      <c r="BD52" s="697"/>
      <c r="BE52" s="697"/>
      <c r="BF52" s="697"/>
      <c r="BG52" s="697"/>
      <c r="BH52" s="699"/>
      <c r="BI52" s="699"/>
      <c r="BJ52" s="699"/>
      <c r="BK52" s="699"/>
      <c r="BL52" s="699"/>
      <c r="BM52" s="1802"/>
      <c r="BN52" s="1802"/>
      <c r="BO52" s="1802"/>
      <c r="BP52" s="1802"/>
      <c r="BQ52" s="701"/>
      <c r="BR52" s="701"/>
      <c r="BS52" s="701"/>
    </row>
    <row r="53" spans="1:83" ht="6" hidden="1" customHeight="1" x14ac:dyDescent="0.25">
      <c r="Y53" s="697"/>
      <c r="Z53" s="697"/>
      <c r="AA53" s="697"/>
      <c r="AB53" s="697"/>
      <c r="AC53" s="697"/>
      <c r="AD53" s="697"/>
      <c r="AE53" s="697"/>
      <c r="AF53" s="697"/>
      <c r="AG53" s="697"/>
      <c r="AH53" s="697"/>
      <c r="AI53" s="697"/>
      <c r="AJ53" s="697"/>
      <c r="AK53" s="697"/>
      <c r="AL53" s="697"/>
      <c r="AM53" s="697"/>
      <c r="AN53" s="697"/>
      <c r="AO53" s="697"/>
      <c r="AP53" s="697"/>
      <c r="AQ53" s="697"/>
      <c r="AR53" s="697"/>
      <c r="AS53" s="697"/>
      <c r="AT53" s="697"/>
      <c r="AU53" s="697"/>
      <c r="AV53" s="697"/>
      <c r="AW53" s="697"/>
      <c r="AX53" s="697"/>
      <c r="AY53" s="697"/>
      <c r="AZ53" s="697"/>
      <c r="BA53" s="697"/>
      <c r="BB53" s="697"/>
      <c r="BC53" s="697"/>
      <c r="BD53" s="697"/>
      <c r="BE53" s="697"/>
      <c r="BF53" s="697"/>
      <c r="BG53" s="697"/>
      <c r="BH53" s="699"/>
      <c r="BI53" s="699"/>
      <c r="BJ53" s="699"/>
      <c r="BK53" s="699"/>
      <c r="BL53" s="699"/>
      <c r="BM53" s="1802"/>
      <c r="BN53" s="1802"/>
      <c r="BO53" s="1802"/>
      <c r="BP53" s="1802"/>
      <c r="BQ53" s="701"/>
      <c r="BR53" s="701"/>
      <c r="BS53" s="701"/>
    </row>
    <row r="54" spans="1:83" ht="60" hidden="1" customHeight="1" thickTop="1" thickBot="1" x14ac:dyDescent="0.3">
      <c r="Y54" s="697"/>
      <c r="Z54" s="697"/>
      <c r="AA54" s="697"/>
      <c r="AB54" s="697"/>
      <c r="AC54" s="697"/>
      <c r="AD54" s="697"/>
      <c r="AE54" s="697"/>
      <c r="AF54" s="697"/>
      <c r="AG54" s="697"/>
      <c r="AH54" s="697"/>
      <c r="AI54" s="697"/>
      <c r="AJ54" s="697"/>
      <c r="AK54" s="697"/>
      <c r="AL54" s="697"/>
      <c r="AM54" s="697"/>
      <c r="AN54" s="697"/>
      <c r="AO54" s="697"/>
      <c r="AP54" s="697"/>
      <c r="AQ54" s="697"/>
      <c r="AR54" s="697"/>
      <c r="AS54" s="697"/>
      <c r="AT54" s="697"/>
      <c r="AU54" s="697"/>
      <c r="AV54" s="697"/>
      <c r="AW54" s="697"/>
      <c r="AX54" s="697"/>
      <c r="AY54" s="697"/>
      <c r="AZ54" s="697"/>
      <c r="BA54" s="697"/>
      <c r="BB54" s="697"/>
      <c r="BC54" s="697"/>
      <c r="BD54" s="697"/>
      <c r="BE54" s="697"/>
      <c r="BF54" s="697"/>
      <c r="BG54" s="697"/>
      <c r="BH54" s="699"/>
      <c r="BI54" s="699"/>
      <c r="BJ54" s="699"/>
      <c r="BK54" s="699"/>
      <c r="BL54" s="699"/>
      <c r="BM54" s="1802"/>
      <c r="BN54" s="1802"/>
      <c r="BO54" s="1802"/>
      <c r="BP54" s="1802"/>
      <c r="BQ54" s="701"/>
      <c r="BR54" s="701"/>
      <c r="BS54" s="701"/>
    </row>
    <row r="55" spans="1:83" ht="27.75" hidden="1" customHeight="1" thickTop="1" thickBot="1" x14ac:dyDescent="0.3">
      <c r="Y55" s="697"/>
      <c r="Z55" s="697"/>
      <c r="AA55" s="697"/>
      <c r="AB55" s="697"/>
      <c r="AC55" s="697"/>
      <c r="AD55" s="697"/>
      <c r="AE55" s="697"/>
      <c r="AF55" s="697"/>
      <c r="AG55" s="697"/>
      <c r="AH55" s="697"/>
      <c r="AI55" s="697"/>
      <c r="AJ55" s="697"/>
      <c r="AK55" s="697"/>
      <c r="AL55" s="697"/>
      <c r="AM55" s="697"/>
      <c r="AN55" s="697"/>
      <c r="AO55" s="697"/>
      <c r="AP55" s="697"/>
      <c r="AQ55" s="697"/>
      <c r="AR55" s="697"/>
      <c r="AS55" s="697"/>
      <c r="AT55" s="697"/>
      <c r="AU55" s="697"/>
      <c r="AV55" s="697"/>
      <c r="AW55" s="697"/>
      <c r="AX55" s="697"/>
      <c r="AY55" s="697"/>
      <c r="AZ55" s="697"/>
      <c r="BA55" s="697"/>
      <c r="BB55" s="697"/>
      <c r="BC55" s="697"/>
      <c r="BD55" s="697"/>
      <c r="BE55" s="697"/>
      <c r="BF55" s="697"/>
      <c r="BG55" s="697"/>
      <c r="BH55" s="699"/>
      <c r="BI55" s="699"/>
      <c r="BJ55" s="699"/>
      <c r="BK55" s="699"/>
      <c r="BL55" s="699"/>
      <c r="BM55" s="1802"/>
      <c r="BN55" s="1802"/>
      <c r="BO55" s="1802"/>
      <c r="BP55" s="1802"/>
      <c r="BQ55" s="701"/>
      <c r="BR55" s="701"/>
      <c r="BS55" s="701"/>
      <c r="BW55" s="27"/>
      <c r="BX55" s="27"/>
      <c r="BY55" s="27"/>
      <c r="BZ55" s="27"/>
      <c r="CA55" s="27"/>
      <c r="CB55" s="27"/>
      <c r="CC55" s="27"/>
      <c r="CD55" s="27"/>
      <c r="CE55" s="27"/>
    </row>
    <row r="56" spans="1:83" ht="26.1" hidden="1" customHeight="1" x14ac:dyDescent="0.25">
      <c r="Y56" s="697"/>
      <c r="Z56" s="697"/>
      <c r="AA56" s="697"/>
      <c r="AB56" s="697"/>
      <c r="AC56" s="697"/>
      <c r="AD56" s="697"/>
      <c r="AE56" s="697"/>
      <c r="AF56" s="697"/>
      <c r="AG56" s="697"/>
      <c r="AH56" s="697"/>
      <c r="AI56" s="697"/>
      <c r="AJ56" s="697"/>
      <c r="AK56" s="697"/>
      <c r="AL56" s="697"/>
      <c r="AM56" s="697"/>
      <c r="AN56" s="697"/>
      <c r="AO56" s="697"/>
      <c r="AP56" s="697"/>
      <c r="AQ56" s="697"/>
      <c r="AR56" s="697"/>
      <c r="AS56" s="697"/>
      <c r="AT56" s="697"/>
      <c r="AU56" s="697"/>
      <c r="AV56" s="697"/>
      <c r="AW56" s="697"/>
      <c r="AX56" s="697"/>
      <c r="AY56" s="697"/>
      <c r="AZ56" s="697"/>
      <c r="BA56" s="697"/>
      <c r="BB56" s="697"/>
      <c r="BC56" s="697"/>
      <c r="BD56" s="697"/>
      <c r="BE56" s="697"/>
      <c r="BF56" s="697"/>
      <c r="BG56" s="697"/>
      <c r="BH56" s="699"/>
      <c r="BI56" s="699"/>
      <c r="BJ56" s="699"/>
      <c r="BK56" s="699"/>
      <c r="BL56" s="699"/>
      <c r="BM56" s="1802"/>
      <c r="BN56" s="1802"/>
      <c r="BO56" s="1802"/>
      <c r="BP56" s="1802"/>
      <c r="BQ56" s="701"/>
      <c r="BR56" s="701"/>
      <c r="BS56" s="701"/>
    </row>
    <row r="57" spans="1:83" ht="6.75" hidden="1" customHeight="1" x14ac:dyDescent="0.25">
      <c r="Y57" s="697"/>
      <c r="Z57" s="697"/>
      <c r="AA57" s="697"/>
      <c r="AB57" s="697"/>
      <c r="AC57" s="697"/>
      <c r="AD57" s="697"/>
      <c r="AE57" s="697"/>
      <c r="AF57" s="697"/>
      <c r="AG57" s="697"/>
      <c r="AH57" s="697"/>
      <c r="AI57" s="697"/>
      <c r="AJ57" s="697"/>
      <c r="AK57" s="697"/>
      <c r="AL57" s="697"/>
      <c r="AM57" s="697"/>
      <c r="AN57" s="697"/>
      <c r="AO57" s="697"/>
      <c r="AP57" s="697"/>
      <c r="AQ57" s="697"/>
      <c r="AR57" s="697"/>
      <c r="AS57" s="697"/>
      <c r="AT57" s="697"/>
      <c r="AU57" s="697"/>
      <c r="AV57" s="697"/>
      <c r="AW57" s="697"/>
      <c r="AX57" s="697"/>
      <c r="AY57" s="697"/>
      <c r="AZ57" s="697"/>
      <c r="BA57" s="697"/>
      <c r="BB57" s="697"/>
      <c r="BC57" s="697"/>
      <c r="BD57" s="697"/>
      <c r="BE57" s="697"/>
      <c r="BF57" s="697"/>
      <c r="BG57" s="697"/>
      <c r="BH57" s="699"/>
      <c r="BI57" s="699"/>
      <c r="BJ57" s="699"/>
      <c r="BK57" s="699"/>
      <c r="BL57" s="699"/>
      <c r="BM57" s="1802"/>
      <c r="BN57" s="1802"/>
      <c r="BO57" s="1802"/>
      <c r="BP57" s="1802"/>
      <c r="BQ57" s="701"/>
      <c r="BR57" s="701"/>
      <c r="BS57" s="701"/>
    </row>
    <row r="58" spans="1:83" ht="21.95" hidden="1" customHeight="1" x14ac:dyDescent="0.25">
      <c r="Y58" s="697"/>
      <c r="Z58" s="697"/>
      <c r="AA58" s="697"/>
      <c r="AB58" s="697"/>
      <c r="AC58" s="697"/>
      <c r="AD58" s="697"/>
      <c r="AE58" s="697"/>
      <c r="AF58" s="697"/>
      <c r="AG58" s="697"/>
      <c r="AH58" s="697"/>
      <c r="AI58" s="697"/>
      <c r="AJ58" s="697"/>
      <c r="AK58" s="697"/>
      <c r="AL58" s="697"/>
      <c r="AM58" s="697"/>
      <c r="AN58" s="697"/>
      <c r="AO58" s="697"/>
      <c r="AP58" s="697"/>
      <c r="AQ58" s="697"/>
      <c r="AR58" s="697"/>
      <c r="AS58" s="697"/>
      <c r="AT58" s="697"/>
      <c r="AU58" s="697"/>
      <c r="AV58" s="697"/>
      <c r="AW58" s="697"/>
      <c r="AX58" s="697"/>
      <c r="AY58" s="697"/>
      <c r="AZ58" s="697"/>
      <c r="BA58" s="697"/>
      <c r="BB58" s="697"/>
      <c r="BC58" s="697"/>
      <c r="BD58" s="697"/>
      <c r="BE58" s="697"/>
      <c r="BF58" s="697"/>
      <c r="BG58" s="697"/>
      <c r="BH58" s="699"/>
      <c r="BI58" s="699"/>
      <c r="BJ58" s="699"/>
      <c r="BK58" s="699"/>
      <c r="BL58" s="699"/>
      <c r="BM58" s="1802"/>
      <c r="BN58" s="1802"/>
      <c r="BO58" s="1802"/>
      <c r="BP58" s="1802"/>
      <c r="BQ58" s="701"/>
      <c r="BR58" s="701"/>
      <c r="BS58" s="701"/>
    </row>
    <row r="59" spans="1:83" ht="6" hidden="1" customHeight="1" x14ac:dyDescent="0.25">
      <c r="Y59" s="697"/>
      <c r="Z59" s="697"/>
      <c r="AA59" s="697"/>
      <c r="AB59" s="697"/>
      <c r="AC59" s="697"/>
      <c r="AD59" s="697"/>
      <c r="AE59" s="697"/>
      <c r="AF59" s="697"/>
      <c r="AG59" s="697"/>
      <c r="AH59" s="697"/>
      <c r="AI59" s="697"/>
      <c r="AJ59" s="697"/>
      <c r="AK59" s="697"/>
      <c r="AL59" s="697"/>
      <c r="AM59" s="697"/>
      <c r="AN59" s="697"/>
      <c r="AO59" s="697"/>
      <c r="AP59" s="697"/>
      <c r="AQ59" s="697"/>
      <c r="AR59" s="697"/>
      <c r="AS59" s="697"/>
      <c r="AT59" s="697"/>
      <c r="AU59" s="697"/>
      <c r="AV59" s="697"/>
      <c r="AW59" s="697"/>
      <c r="AX59" s="697"/>
      <c r="AY59" s="697"/>
      <c r="AZ59" s="697"/>
      <c r="BA59" s="697"/>
      <c r="BB59" s="697"/>
      <c r="BC59" s="697"/>
      <c r="BD59" s="697"/>
      <c r="BE59" s="697"/>
      <c r="BF59" s="697"/>
      <c r="BG59" s="697"/>
      <c r="BH59" s="699"/>
      <c r="BI59" s="699"/>
      <c r="BJ59" s="699"/>
      <c r="BK59" s="699"/>
      <c r="BL59" s="699"/>
      <c r="BM59" s="1802"/>
      <c r="BN59" s="1802"/>
      <c r="BO59" s="1802"/>
      <c r="BP59" s="1802"/>
      <c r="BQ59" s="701"/>
      <c r="BR59" s="701"/>
      <c r="BS59" s="701"/>
    </row>
    <row r="60" spans="1:83" ht="60" hidden="1" customHeight="1" thickTop="1" thickBot="1" x14ac:dyDescent="0.3">
      <c r="Y60" s="697"/>
      <c r="Z60" s="697"/>
      <c r="AA60" s="697"/>
      <c r="AB60" s="697"/>
      <c r="AC60" s="697"/>
      <c r="AD60" s="697"/>
      <c r="AE60" s="697"/>
      <c r="AF60" s="697"/>
      <c r="AG60" s="697"/>
      <c r="AH60" s="697"/>
      <c r="AI60" s="697"/>
      <c r="AJ60" s="697"/>
      <c r="AK60" s="697"/>
      <c r="AL60" s="697"/>
      <c r="AM60" s="697"/>
      <c r="AN60" s="697"/>
      <c r="AO60" s="697"/>
      <c r="AP60" s="697"/>
      <c r="AQ60" s="697"/>
      <c r="AR60" s="697"/>
      <c r="AS60" s="697"/>
      <c r="AT60" s="697"/>
      <c r="AU60" s="697"/>
      <c r="AV60" s="697"/>
      <c r="AW60" s="697"/>
      <c r="AX60" s="697"/>
      <c r="AY60" s="697"/>
      <c r="AZ60" s="697"/>
      <c r="BA60" s="697"/>
      <c r="BB60" s="697"/>
      <c r="BC60" s="697"/>
      <c r="BD60" s="697"/>
      <c r="BE60" s="697"/>
      <c r="BF60" s="697"/>
      <c r="BG60" s="697"/>
      <c r="BH60" s="699"/>
      <c r="BI60" s="699"/>
      <c r="BJ60" s="699"/>
      <c r="BK60" s="699"/>
      <c r="BL60" s="699"/>
      <c r="BM60" s="1802"/>
      <c r="BN60" s="1802"/>
      <c r="BO60" s="1802"/>
      <c r="BP60" s="1802"/>
      <c r="BQ60" s="701"/>
      <c r="BR60" s="701"/>
      <c r="BS60" s="701"/>
    </row>
    <row r="61" spans="1:83" ht="58.5" hidden="1" customHeight="1" thickBot="1" x14ac:dyDescent="0.3">
      <c r="Y61" s="697"/>
      <c r="Z61" s="697"/>
      <c r="AA61" s="697"/>
      <c r="AB61" s="697"/>
      <c r="AC61" s="697"/>
      <c r="AD61" s="697"/>
      <c r="AE61" s="697"/>
      <c r="AF61" s="697"/>
      <c r="AG61" s="697"/>
      <c r="AH61" s="697"/>
      <c r="AI61" s="697"/>
      <c r="AJ61" s="697"/>
      <c r="AK61" s="697"/>
      <c r="AL61" s="697"/>
      <c r="AM61" s="697"/>
      <c r="AN61" s="697"/>
      <c r="AO61" s="697"/>
      <c r="AP61" s="697"/>
      <c r="AQ61" s="697"/>
      <c r="AR61" s="697"/>
      <c r="AS61" s="697"/>
      <c r="AT61" s="697"/>
      <c r="AU61" s="697"/>
      <c r="AV61" s="697"/>
      <c r="AW61" s="697"/>
      <c r="AX61" s="697"/>
      <c r="AY61" s="697"/>
      <c r="AZ61" s="697"/>
      <c r="BA61" s="697"/>
      <c r="BB61" s="697"/>
      <c r="BC61" s="697"/>
      <c r="BD61" s="697"/>
      <c r="BE61" s="697"/>
      <c r="BF61" s="697"/>
      <c r="BG61" s="697"/>
      <c r="BH61" s="699"/>
      <c r="BI61" s="699"/>
      <c r="BJ61" s="699"/>
      <c r="BK61" s="699"/>
      <c r="BL61" s="699"/>
      <c r="BM61" s="1802"/>
      <c r="BN61" s="1802"/>
      <c r="BO61" s="1802"/>
      <c r="BP61" s="1802"/>
      <c r="BQ61" s="701"/>
      <c r="BR61" s="701"/>
      <c r="BS61" s="701"/>
      <c r="BW61" s="27"/>
      <c r="BX61" s="27"/>
      <c r="BY61" s="27"/>
      <c r="BZ61" s="27"/>
      <c r="CA61" s="27"/>
      <c r="CB61" s="27"/>
      <c r="CC61" s="27"/>
      <c r="CD61" s="27"/>
      <c r="CE61" s="27"/>
    </row>
    <row r="62" spans="1:83" s="42" customFormat="1" ht="30" customHeight="1" thickTop="1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 s="697"/>
      <c r="Z62" s="697"/>
      <c r="AA62" s="697"/>
      <c r="AB62" s="697"/>
      <c r="AC62" s="697"/>
      <c r="AD62" s="697"/>
      <c r="AE62" s="697"/>
      <c r="AF62" s="697"/>
      <c r="AG62" s="697"/>
      <c r="AH62" s="697"/>
      <c r="AI62" s="697"/>
      <c r="AJ62" s="697"/>
      <c r="AK62" s="697"/>
      <c r="AL62" s="697"/>
      <c r="AM62" s="697"/>
      <c r="AN62" s="697"/>
      <c r="AO62" s="697"/>
      <c r="AP62" s="697"/>
      <c r="AQ62" s="697"/>
      <c r="AR62" s="697"/>
      <c r="AS62" s="697"/>
      <c r="AT62" s="697"/>
      <c r="AU62" s="697"/>
      <c r="AV62" s="697"/>
      <c r="AW62" s="697"/>
      <c r="AX62" s="697"/>
      <c r="AY62" s="697"/>
      <c r="AZ62" s="697"/>
      <c r="BA62" s="697"/>
      <c r="BB62" s="697"/>
      <c r="BC62" s="697"/>
      <c r="BD62" s="697"/>
      <c r="BE62" s="697"/>
      <c r="BF62" s="697"/>
      <c r="BG62" s="697"/>
      <c r="BH62" s="699"/>
      <c r="BI62" s="699"/>
      <c r="BJ62" s="699"/>
      <c r="BK62" s="699"/>
      <c r="BL62" s="699"/>
      <c r="BM62" s="1802"/>
      <c r="BN62" s="1802"/>
      <c r="BO62" s="1802"/>
      <c r="BP62" s="1802"/>
      <c r="BQ62" s="701"/>
      <c r="BR62" s="701"/>
      <c r="BS62" s="701"/>
      <c r="BW62" s="43"/>
      <c r="BX62" s="43"/>
      <c r="BY62" s="43"/>
      <c r="BZ62" s="43"/>
      <c r="CA62" s="43"/>
      <c r="CB62" s="43"/>
      <c r="CC62" s="43"/>
      <c r="CD62" s="43"/>
      <c r="CE62" s="43"/>
    </row>
    <row r="63" spans="1:83" ht="21.95" customHeight="1" x14ac:dyDescent="0.25">
      <c r="Y63" s="697"/>
      <c r="Z63" s="697"/>
      <c r="AA63" s="697"/>
      <c r="AB63" s="697"/>
      <c r="AC63" s="697"/>
      <c r="AD63" s="697"/>
      <c r="AE63" s="697"/>
      <c r="AF63" s="697"/>
      <c r="AG63" s="697"/>
      <c r="AH63" s="697"/>
      <c r="AI63" s="697"/>
      <c r="AJ63" s="697"/>
      <c r="AK63" s="697"/>
      <c r="AL63" s="697"/>
      <c r="AM63" s="697"/>
      <c r="AN63" s="697"/>
      <c r="AO63" s="697"/>
      <c r="AP63" s="697"/>
      <c r="AQ63" s="697"/>
      <c r="AR63" s="697"/>
      <c r="AS63" s="697"/>
      <c r="AT63" s="697"/>
      <c r="AU63" s="697"/>
      <c r="AV63" s="697"/>
      <c r="AW63" s="697"/>
      <c r="AX63" s="697"/>
      <c r="AY63" s="697"/>
      <c r="AZ63" s="697"/>
      <c r="BA63" s="697"/>
      <c r="BB63" s="697"/>
      <c r="BC63" s="697"/>
      <c r="BD63" s="697"/>
      <c r="BE63" s="697"/>
      <c r="BF63" s="697"/>
      <c r="BG63" s="697"/>
      <c r="BH63" s="699"/>
      <c r="BI63" s="699"/>
      <c r="BJ63" s="699"/>
      <c r="BK63" s="699"/>
      <c r="BL63" s="699"/>
      <c r="BM63" s="1802"/>
      <c r="BN63" s="1802"/>
      <c r="BO63" s="1802"/>
      <c r="BP63" s="1802"/>
      <c r="BQ63" s="701"/>
      <c r="BR63" s="701"/>
      <c r="BS63" s="701"/>
    </row>
    <row r="64" spans="1:83" ht="6.75" customHeight="1" x14ac:dyDescent="0.25">
      <c r="Y64" s="705"/>
      <c r="Z64" s="704"/>
      <c r="AA64" s="704"/>
      <c r="AB64" s="704"/>
      <c r="AC64" s="704"/>
      <c r="AD64" s="704"/>
      <c r="AE64" s="704"/>
      <c r="AF64" s="704"/>
      <c r="AG64" s="704"/>
      <c r="AH64" s="704"/>
      <c r="AI64" s="704"/>
      <c r="AJ64" s="704"/>
      <c r="AK64" s="706">
        <f>AV64-AD103</f>
        <v>1.8550000000000395</v>
      </c>
      <c r="AL64" s="706"/>
      <c r="AM64" s="706"/>
      <c r="AN64" s="706"/>
      <c r="AO64" s="706"/>
      <c r="AP64" s="706"/>
      <c r="AQ64" s="706"/>
      <c r="AR64" s="706"/>
      <c r="AS64" s="706"/>
      <c r="AT64" s="706"/>
      <c r="AU64" s="706"/>
      <c r="AV64" s="707">
        <f>B7+G7+L7+Q7+V7+AA7+AF7+AK7+AP7+AU7+AZ7+BE7+BJ7+BO7+B13+G13+L13+Q13+V13+AA13+AF13+AK13+AP13+AU13+AZ13+BE13+BJ13+BO13+B19+G19+L19+Q19+V19+AA19+AF19+AK19+AP19+AU19+AZ19+BE19+BJ19+BO19+B25+G25+L25+Q25+V25+AA25+AF25+AK25+AP25+AU25+AZ25+BE25+BJ25+BO25+B31+G31+L31+Q31+V31+AA31+AF31+AK31+AP31+AU31+AZ31+BE31+BJ31+BO31+B37+G37+L37+Q37+V37+AA37+AF37+AK37+AP37+AU37+AZ37+BE37+BJ37+BO37+B43+G43+L43+Q43+V43</f>
        <v>54.345000000000041</v>
      </c>
      <c r="AW64" s="707"/>
      <c r="AX64" s="707"/>
      <c r="AY64" s="707"/>
      <c r="AZ64" s="707"/>
      <c r="BA64" s="707"/>
      <c r="BB64" s="707"/>
      <c r="BC64" s="707"/>
      <c r="BD64" s="707"/>
      <c r="BE64" s="707"/>
      <c r="BF64" s="707"/>
      <c r="BG64" s="707"/>
      <c r="BH64" s="699"/>
      <c r="BI64" s="699"/>
      <c r="BJ64" s="699"/>
      <c r="BK64" s="699"/>
      <c r="BL64" s="699"/>
      <c r="BM64" s="708">
        <f>BM49*1.5</f>
        <v>24</v>
      </c>
      <c r="BN64" s="708"/>
      <c r="BO64" s="708"/>
      <c r="BP64" s="708"/>
      <c r="BQ64" s="708"/>
      <c r="BR64" s="708"/>
      <c r="BS64" s="708"/>
    </row>
    <row r="65" spans="1:90" ht="37.5" customHeight="1" x14ac:dyDescent="0.25">
      <c r="Y65" s="704"/>
      <c r="Z65" s="704"/>
      <c r="AA65" s="704"/>
      <c r="AB65" s="704"/>
      <c r="AC65" s="704"/>
      <c r="AD65" s="704"/>
      <c r="AE65" s="704"/>
      <c r="AF65" s="704"/>
      <c r="AG65" s="704"/>
      <c r="AH65" s="704"/>
      <c r="AI65" s="704"/>
      <c r="AJ65" s="704"/>
      <c r="AK65" s="706"/>
      <c r="AL65" s="706"/>
      <c r="AM65" s="706"/>
      <c r="AN65" s="706"/>
      <c r="AO65" s="706"/>
      <c r="AP65" s="706"/>
      <c r="AQ65" s="706"/>
      <c r="AR65" s="706"/>
      <c r="AS65" s="706"/>
      <c r="AT65" s="706"/>
      <c r="AU65" s="706"/>
      <c r="AV65" s="707"/>
      <c r="AW65" s="707"/>
      <c r="AX65" s="707"/>
      <c r="AY65" s="707"/>
      <c r="AZ65" s="707"/>
      <c r="BA65" s="707"/>
      <c r="BB65" s="707"/>
      <c r="BC65" s="707"/>
      <c r="BD65" s="707"/>
      <c r="BE65" s="707"/>
      <c r="BF65" s="707"/>
      <c r="BG65" s="707"/>
      <c r="BH65" s="699"/>
      <c r="BI65" s="699"/>
      <c r="BJ65" s="699"/>
      <c r="BK65" s="699"/>
      <c r="BL65" s="699"/>
      <c r="BM65" s="708"/>
      <c r="BN65" s="708"/>
      <c r="BO65" s="708"/>
      <c r="BP65" s="708"/>
      <c r="BQ65" s="708"/>
      <c r="BR65" s="708"/>
      <c r="BS65" s="708"/>
    </row>
    <row r="66" spans="1:90" ht="6" customHeight="1" x14ac:dyDescent="0.25">
      <c r="Y66" s="704"/>
      <c r="Z66" s="704"/>
      <c r="AA66" s="704"/>
      <c r="AB66" s="704"/>
      <c r="AC66" s="704"/>
      <c r="AD66" s="704"/>
      <c r="AE66" s="704"/>
      <c r="AF66" s="704"/>
      <c r="AG66" s="704"/>
      <c r="AH66" s="704"/>
      <c r="AI66" s="704"/>
      <c r="AJ66" s="704"/>
      <c r="AK66" s="706"/>
      <c r="AL66" s="706"/>
      <c r="AM66" s="706"/>
      <c r="AN66" s="706"/>
      <c r="AO66" s="706"/>
      <c r="AP66" s="706"/>
      <c r="AQ66" s="706"/>
      <c r="AR66" s="706"/>
      <c r="AS66" s="706"/>
      <c r="AT66" s="706"/>
      <c r="AU66" s="706"/>
      <c r="AV66" s="707"/>
      <c r="AW66" s="707"/>
      <c r="AX66" s="707"/>
      <c r="AY66" s="707"/>
      <c r="AZ66" s="707"/>
      <c r="BA66" s="707"/>
      <c r="BB66" s="707"/>
      <c r="BC66" s="707"/>
      <c r="BD66" s="707"/>
      <c r="BE66" s="707"/>
      <c r="BF66" s="707"/>
      <c r="BG66" s="707"/>
      <c r="BH66" s="699"/>
      <c r="BI66" s="699"/>
      <c r="BJ66" s="699"/>
      <c r="BK66" s="699"/>
      <c r="BL66" s="699"/>
      <c r="BM66" s="708"/>
      <c r="BN66" s="708"/>
      <c r="BO66" s="708"/>
      <c r="BP66" s="708"/>
      <c r="BQ66" s="708"/>
      <c r="BR66" s="708"/>
      <c r="BS66" s="708"/>
    </row>
    <row r="67" spans="1:90" ht="30" customHeight="1" x14ac:dyDescent="0.25">
      <c r="Y67" s="704"/>
      <c r="Z67" s="704"/>
      <c r="AA67" s="704"/>
      <c r="AB67" s="704"/>
      <c r="AC67" s="704"/>
      <c r="AD67" s="704"/>
      <c r="AE67" s="704"/>
      <c r="AF67" s="704"/>
      <c r="AG67" s="704"/>
      <c r="AH67" s="704"/>
      <c r="AI67" s="704"/>
      <c r="AJ67" s="704"/>
      <c r="AK67" s="706"/>
      <c r="AL67" s="706"/>
      <c r="AM67" s="706"/>
      <c r="AN67" s="706"/>
      <c r="AO67" s="706"/>
      <c r="AP67" s="706"/>
      <c r="AQ67" s="706"/>
      <c r="AR67" s="706"/>
      <c r="AS67" s="706"/>
      <c r="AT67" s="706"/>
      <c r="AU67" s="706"/>
      <c r="AV67" s="707"/>
      <c r="AW67" s="707"/>
      <c r="AX67" s="707"/>
      <c r="AY67" s="707"/>
      <c r="AZ67" s="707"/>
      <c r="BA67" s="707"/>
      <c r="BB67" s="707"/>
      <c r="BC67" s="707"/>
      <c r="BD67" s="707"/>
      <c r="BE67" s="707"/>
      <c r="BF67" s="707"/>
      <c r="BG67" s="707"/>
      <c r="BH67" s="699"/>
      <c r="BI67" s="699"/>
      <c r="BJ67" s="699"/>
      <c r="BK67" s="699"/>
      <c r="BL67" s="699"/>
      <c r="BM67" s="708"/>
      <c r="BN67" s="708"/>
      <c r="BO67" s="708"/>
      <c r="BP67" s="708"/>
      <c r="BQ67" s="708"/>
      <c r="BR67" s="708"/>
      <c r="BS67" s="708"/>
      <c r="BT67" s="50"/>
      <c r="BW67" s="51"/>
      <c r="BX67" s="51"/>
      <c r="BY67" s="51"/>
      <c r="BZ67" s="51"/>
      <c r="CA67" s="51"/>
      <c r="CB67" s="51"/>
      <c r="CC67" s="27"/>
      <c r="CD67" s="27"/>
      <c r="CE67" s="27"/>
      <c r="CG67" s="27"/>
      <c r="CH67" s="27"/>
      <c r="CI67" s="27"/>
      <c r="CJ67" s="27"/>
      <c r="CK67" s="27"/>
      <c r="CL67" s="27"/>
    </row>
    <row r="68" spans="1:90" ht="34.5" customHeight="1" x14ac:dyDescent="0.25">
      <c r="H68" s="702" cm="1">
        <f t="array" aca="1" ref="H68" ca="1">SUM(COUNTIF(INDIRECT({"B6","G6","L6","Q6","V6","AA6","AF6","AK6","AP6","AU6","AZ6","BE6","BJ6","BO6","B12","G12","L12","Q12","V12","AA12","AF12","AK12","AP12","AU12","AZ12","BE12","BJ12","BO12","B18","G18","L18","Q18","V18","AA18","AF18","AK18","AP18","AU18","AZ18","BE18","BJ18","BO18","B24","G24","L24","Q24","V24","AA24","AF24","AK24","AP24","AU24","AZ24","BE24","BJ24","BO24","B30","G30","L30","Q30","V30","AA30","AF30","AK30","AP30","AU30","AZ30","BE30","BJ30","BO30","B36","G36","L36","Q36","V36","AA36","AF36","AK36","AP36","AU36","AZ36","BE36","BJ36","BO36","B42","G42","L42","Q42","V42"}),"&gt;0"))</f>
        <v>89</v>
      </c>
      <c r="I68" s="702"/>
      <c r="J68" s="702"/>
      <c r="K68" s="702"/>
      <c r="Y68" s="704"/>
      <c r="Z68" s="704"/>
      <c r="AA68" s="704"/>
      <c r="AB68" s="704"/>
      <c r="AC68" s="704"/>
      <c r="AD68" s="704"/>
      <c r="AE68" s="704"/>
      <c r="AF68" s="704"/>
      <c r="AG68" s="704"/>
      <c r="AH68" s="704"/>
      <c r="AI68" s="704"/>
      <c r="AJ68" s="704"/>
      <c r="AK68" s="706"/>
      <c r="AL68" s="706"/>
      <c r="AM68" s="706"/>
      <c r="AN68" s="706"/>
      <c r="AO68" s="706"/>
      <c r="AP68" s="706"/>
      <c r="AQ68" s="706"/>
      <c r="AR68" s="706"/>
      <c r="AS68" s="706"/>
      <c r="AT68" s="706"/>
      <c r="AU68" s="706"/>
      <c r="AV68" s="707"/>
      <c r="AW68" s="707"/>
      <c r="AX68" s="707"/>
      <c r="AY68" s="707"/>
      <c r="AZ68" s="707"/>
      <c r="BA68" s="707"/>
      <c r="BB68" s="707"/>
      <c r="BC68" s="707"/>
      <c r="BD68" s="707"/>
      <c r="BE68" s="707"/>
      <c r="BF68" s="707"/>
      <c r="BG68" s="707"/>
      <c r="BH68" s="699"/>
      <c r="BI68" s="699"/>
      <c r="BJ68" s="699"/>
      <c r="BK68" s="699"/>
      <c r="BL68" s="699"/>
      <c r="BM68" s="708"/>
      <c r="BN68" s="708"/>
      <c r="BO68" s="708"/>
      <c r="BP68" s="708"/>
      <c r="BQ68" s="708"/>
      <c r="BR68" s="708"/>
      <c r="BS68" s="708"/>
      <c r="BT68" s="50"/>
      <c r="BW68" s="27"/>
      <c r="BX68" s="27"/>
      <c r="BY68" s="27"/>
      <c r="BZ68" s="27"/>
      <c r="CA68" s="27"/>
      <c r="CB68" s="27"/>
      <c r="CC68" s="27"/>
      <c r="CD68" s="27"/>
      <c r="CE68" s="27"/>
      <c r="CG68" s="27"/>
      <c r="CH68" s="27"/>
      <c r="CI68" s="27"/>
      <c r="CJ68" s="27"/>
      <c r="CK68" s="27"/>
      <c r="CL68" s="27"/>
    </row>
    <row r="69" spans="1:90" ht="15" customHeight="1" x14ac:dyDescent="0.25">
      <c r="H69" s="702"/>
      <c r="I69" s="702"/>
      <c r="J69" s="702"/>
      <c r="K69" s="702"/>
      <c r="Y69" s="704"/>
      <c r="Z69" s="704"/>
      <c r="AA69" s="704"/>
      <c r="AB69" s="704"/>
      <c r="AC69" s="704"/>
      <c r="AD69" s="704"/>
      <c r="AE69" s="704"/>
      <c r="AF69" s="704"/>
      <c r="AG69" s="704"/>
      <c r="AH69" s="704"/>
      <c r="AI69" s="704"/>
      <c r="AJ69" s="704"/>
      <c r="AK69" s="706"/>
      <c r="AL69" s="706"/>
      <c r="AM69" s="706"/>
      <c r="AN69" s="706"/>
      <c r="AO69" s="706"/>
      <c r="AP69" s="706"/>
      <c r="AQ69" s="706"/>
      <c r="AR69" s="706"/>
      <c r="AS69" s="706"/>
      <c r="AT69" s="706"/>
      <c r="AU69" s="706"/>
      <c r="AV69" s="707"/>
      <c r="AW69" s="707"/>
      <c r="AX69" s="707"/>
      <c r="AY69" s="707"/>
      <c r="AZ69" s="707"/>
      <c r="BA69" s="707"/>
      <c r="BB69" s="707"/>
      <c r="BC69" s="707"/>
      <c r="BD69" s="707"/>
      <c r="BE69" s="707"/>
      <c r="BF69" s="707"/>
      <c r="BG69" s="707"/>
      <c r="BH69" s="699"/>
      <c r="BI69" s="699"/>
      <c r="BJ69" s="699"/>
      <c r="BK69" s="699"/>
      <c r="BL69" s="699"/>
      <c r="BM69" s="699" t="s">
        <v>121</v>
      </c>
      <c r="BN69" s="699"/>
      <c r="BO69" s="699"/>
      <c r="BP69" s="699"/>
      <c r="BQ69" s="699"/>
      <c r="BR69" s="699"/>
      <c r="BS69" s="699"/>
      <c r="BT69" s="50"/>
      <c r="BW69" s="27"/>
      <c r="BX69" s="27"/>
      <c r="BY69" s="27"/>
      <c r="BZ69" s="27"/>
      <c r="CA69" s="27"/>
      <c r="CB69" s="27"/>
      <c r="CC69" s="27"/>
      <c r="CD69" s="27"/>
      <c r="CE69" s="27"/>
      <c r="CG69" s="27"/>
      <c r="CH69" s="27"/>
      <c r="CI69" s="27"/>
      <c r="CJ69" s="27"/>
      <c r="CK69" s="27"/>
      <c r="CL69" s="27"/>
    </row>
    <row r="70" spans="1:90" ht="15" customHeight="1" x14ac:dyDescent="0.25">
      <c r="H70" s="702"/>
      <c r="I70" s="702"/>
      <c r="J70" s="702"/>
      <c r="K70" s="702"/>
      <c r="Y70" s="704"/>
      <c r="Z70" s="704"/>
      <c r="AA70" s="704"/>
      <c r="AB70" s="704"/>
      <c r="AC70" s="704"/>
      <c r="AD70" s="704"/>
      <c r="AE70" s="704"/>
      <c r="AF70" s="704"/>
      <c r="AG70" s="704"/>
      <c r="AH70" s="704"/>
      <c r="AI70" s="704"/>
      <c r="AJ70" s="704"/>
      <c r="AK70" s="706"/>
      <c r="AL70" s="706"/>
      <c r="AM70" s="706"/>
      <c r="AN70" s="706"/>
      <c r="AO70" s="706"/>
      <c r="AP70" s="706"/>
      <c r="AQ70" s="706"/>
      <c r="AR70" s="706"/>
      <c r="AS70" s="706"/>
      <c r="AT70" s="706"/>
      <c r="AU70" s="706"/>
      <c r="AV70" s="707"/>
      <c r="AW70" s="707"/>
      <c r="AX70" s="707"/>
      <c r="AY70" s="707"/>
      <c r="AZ70" s="707"/>
      <c r="BA70" s="707"/>
      <c r="BB70" s="707"/>
      <c r="BC70" s="707"/>
      <c r="BD70" s="707"/>
      <c r="BE70" s="707"/>
      <c r="BF70" s="707"/>
      <c r="BG70" s="707"/>
      <c r="BH70" s="699"/>
      <c r="BI70" s="699"/>
      <c r="BJ70" s="699"/>
      <c r="BK70" s="699"/>
      <c r="BL70" s="699"/>
      <c r="BM70" s="699"/>
      <c r="BN70" s="699"/>
      <c r="BO70" s="699"/>
      <c r="BP70" s="699"/>
      <c r="BQ70" s="699"/>
      <c r="BR70" s="699"/>
      <c r="BS70" s="699"/>
      <c r="BT70" s="50"/>
      <c r="BW70" s="27"/>
      <c r="BX70" s="27"/>
      <c r="BY70" s="27"/>
      <c r="BZ70" s="27"/>
      <c r="CA70" s="27"/>
      <c r="CB70" s="27"/>
      <c r="CC70" s="27"/>
      <c r="CD70" s="27"/>
      <c r="CE70" s="27"/>
      <c r="CG70" s="27"/>
      <c r="CH70" s="27"/>
      <c r="CI70" s="27"/>
      <c r="CJ70" s="27"/>
      <c r="CK70" s="27"/>
      <c r="CL70" s="27"/>
    </row>
    <row r="71" spans="1:90" ht="15" customHeight="1" x14ac:dyDescent="0.25">
      <c r="H71" s="702"/>
      <c r="I71" s="702"/>
      <c r="J71" s="702"/>
      <c r="K71" s="702"/>
      <c r="Y71" s="704"/>
      <c r="Z71" s="704"/>
      <c r="AA71" s="704"/>
      <c r="AB71" s="704"/>
      <c r="AC71" s="704"/>
      <c r="AD71" s="704"/>
      <c r="AE71" s="704"/>
      <c r="AF71" s="704"/>
      <c r="AG71" s="704"/>
      <c r="AH71" s="704"/>
      <c r="AI71" s="704"/>
      <c r="AJ71" s="704"/>
      <c r="AK71" s="706"/>
      <c r="AL71" s="706"/>
      <c r="AM71" s="706"/>
      <c r="AN71" s="706"/>
      <c r="AO71" s="706"/>
      <c r="AP71" s="706"/>
      <c r="AQ71" s="706"/>
      <c r="AR71" s="706"/>
      <c r="AS71" s="706"/>
      <c r="AT71" s="706"/>
      <c r="AU71" s="706"/>
      <c r="AV71" s="707"/>
      <c r="AW71" s="707"/>
      <c r="AX71" s="707"/>
      <c r="AY71" s="707"/>
      <c r="AZ71" s="707"/>
      <c r="BA71" s="707"/>
      <c r="BB71" s="707"/>
      <c r="BC71" s="707"/>
      <c r="BD71" s="707"/>
      <c r="BE71" s="707"/>
      <c r="BF71" s="707"/>
      <c r="BG71" s="707"/>
      <c r="BH71" s="699"/>
      <c r="BI71" s="699"/>
      <c r="BJ71" s="699"/>
      <c r="BK71" s="699"/>
      <c r="BL71" s="699"/>
      <c r="BM71" s="699"/>
      <c r="BN71" s="699"/>
      <c r="BO71" s="699"/>
      <c r="BP71" s="699"/>
      <c r="BQ71" s="699"/>
      <c r="BR71" s="699"/>
      <c r="BS71" s="699"/>
      <c r="BT71" s="53"/>
    </row>
    <row r="72" spans="1:90" ht="22.5" customHeight="1" x14ac:dyDescent="0.25">
      <c r="H72" s="703" cm="1">
        <f t="array" aca="1" ref="H72" ca="1">SUM(COUNTIF(INDIRECT({"B7","G7","L7","Q7","V7","AA7","AF7","AK7","AP7","AU7","AZ7","BE7","BJ7","BO7","B13","G13","L13","Q13","V13","AA13","AF13","AK13","AP13","AU13","AZ13","BE13","BJ13","BO13","B19","G19","L19","Q19","V19","AA19","AF19","AK19","AP19","AU19","AZ19","BE19","BJ19","BO19","B25","G25","L25","Q25","V25","AA25","AF25","AK25","AP25","AU25","AZ25","BE25","BJ25","BO25","B31","G31","L31","Q31","V31","AA31","AF31","AK31","AP31","AU31","AZ31","BE31","BJ31","BO31","B37","G37","L37","Q37","V37","AA37","AF37","AK37","AP37","AU37","AZ37","BE37","BJ37","BO37","B43","G43","L43","Q43","V43"}),"&gt;0"))</f>
        <v>89</v>
      </c>
      <c r="I72" s="703"/>
      <c r="J72" s="703"/>
      <c r="K72" s="703"/>
      <c r="Y72" s="704"/>
      <c r="Z72" s="704"/>
      <c r="AA72" s="704"/>
      <c r="AB72" s="704"/>
      <c r="AC72" s="704"/>
      <c r="AD72" s="704"/>
      <c r="AE72" s="704"/>
      <c r="AF72" s="704"/>
      <c r="AG72" s="704"/>
      <c r="AH72" s="704"/>
      <c r="AI72" s="704"/>
      <c r="AJ72" s="704"/>
      <c r="AK72" s="706"/>
      <c r="AL72" s="706"/>
      <c r="AM72" s="706"/>
      <c r="AN72" s="706"/>
      <c r="AO72" s="706"/>
      <c r="AP72" s="706"/>
      <c r="AQ72" s="706"/>
      <c r="AR72" s="706"/>
      <c r="AS72" s="706"/>
      <c r="AT72" s="706"/>
      <c r="AU72" s="706"/>
      <c r="AV72" s="707"/>
      <c r="AW72" s="707"/>
      <c r="AX72" s="707"/>
      <c r="AY72" s="707"/>
      <c r="AZ72" s="707"/>
      <c r="BA72" s="707"/>
      <c r="BB72" s="707"/>
      <c r="BC72" s="707"/>
      <c r="BD72" s="707"/>
      <c r="BE72" s="707"/>
      <c r="BF72" s="707"/>
      <c r="BG72" s="707"/>
      <c r="BH72" s="699"/>
      <c r="BI72" s="699"/>
      <c r="BJ72" s="699"/>
      <c r="BK72" s="699"/>
      <c r="BL72" s="699"/>
      <c r="BM72" s="699"/>
      <c r="BN72" s="699"/>
      <c r="BO72" s="699"/>
      <c r="BP72" s="699"/>
      <c r="BQ72" s="699"/>
      <c r="BR72" s="699"/>
      <c r="BS72" s="699"/>
      <c r="BT72" s="53"/>
    </row>
    <row r="73" spans="1:90" ht="22.5" customHeight="1" x14ac:dyDescent="0.25">
      <c r="H73" s="703"/>
      <c r="I73" s="703"/>
      <c r="J73" s="703"/>
      <c r="K73" s="703"/>
      <c r="Y73" s="704"/>
      <c r="Z73" s="704"/>
      <c r="AA73" s="704"/>
      <c r="AB73" s="704"/>
      <c r="AC73" s="704"/>
      <c r="AD73" s="704"/>
      <c r="AE73" s="704"/>
      <c r="AF73" s="704"/>
      <c r="AG73" s="704"/>
      <c r="AH73" s="704"/>
      <c r="AI73" s="704"/>
      <c r="AJ73" s="704"/>
      <c r="AK73" s="706"/>
      <c r="AL73" s="706"/>
      <c r="AM73" s="706"/>
      <c r="AN73" s="706"/>
      <c r="AO73" s="706"/>
      <c r="AP73" s="706"/>
      <c r="AQ73" s="706"/>
      <c r="AR73" s="706"/>
      <c r="AS73" s="706"/>
      <c r="AT73" s="706"/>
      <c r="AU73" s="706"/>
      <c r="AV73" s="707"/>
      <c r="AW73" s="707"/>
      <c r="AX73" s="707"/>
      <c r="AY73" s="707"/>
      <c r="AZ73" s="707"/>
      <c r="BA73" s="707"/>
      <c r="BB73" s="707"/>
      <c r="BC73" s="707"/>
      <c r="BD73" s="707"/>
      <c r="BE73" s="707"/>
      <c r="BF73" s="707"/>
      <c r="BG73" s="707"/>
      <c r="BH73" s="699"/>
      <c r="BI73" s="699"/>
      <c r="BJ73" s="699"/>
      <c r="BK73" s="699"/>
      <c r="BL73" s="699"/>
      <c r="BM73" s="699"/>
      <c r="BN73" s="699"/>
      <c r="BO73" s="699"/>
      <c r="BP73" s="699"/>
      <c r="BQ73" s="699"/>
      <c r="BR73" s="699"/>
      <c r="BS73" s="699"/>
      <c r="BT73" s="53"/>
    </row>
    <row r="74" spans="1:90" ht="34.5" customHeight="1" x14ac:dyDescent="0.35">
      <c r="A74" s="54"/>
      <c r="E74" s="54"/>
      <c r="F74" s="54"/>
      <c r="G74" s="54"/>
      <c r="H74" s="703"/>
      <c r="I74" s="703"/>
      <c r="J74" s="703"/>
      <c r="K74" s="703"/>
      <c r="Y74" s="704"/>
      <c r="Z74" s="704"/>
      <c r="AA74" s="704"/>
      <c r="AB74" s="704"/>
      <c r="AC74" s="704"/>
      <c r="AD74" s="704"/>
      <c r="AE74" s="704"/>
      <c r="AF74" s="704"/>
      <c r="AG74" s="704"/>
      <c r="AH74" s="704"/>
      <c r="AI74" s="704"/>
      <c r="AJ74" s="704"/>
      <c r="AK74" s="706"/>
      <c r="AL74" s="706"/>
      <c r="AM74" s="706"/>
      <c r="AN74" s="706"/>
      <c r="AO74" s="706"/>
      <c r="AP74" s="706"/>
      <c r="AQ74" s="706"/>
      <c r="AR74" s="706"/>
      <c r="AS74" s="706"/>
      <c r="AT74" s="706"/>
      <c r="AU74" s="706"/>
      <c r="AV74" s="707"/>
      <c r="AW74" s="707"/>
      <c r="AX74" s="707"/>
      <c r="AY74" s="707"/>
      <c r="AZ74" s="707"/>
      <c r="BA74" s="707"/>
      <c r="BB74" s="707"/>
      <c r="BC74" s="707"/>
      <c r="BD74" s="707"/>
      <c r="BE74" s="707"/>
      <c r="BF74" s="707"/>
      <c r="BG74" s="707"/>
      <c r="BH74" s="699"/>
      <c r="BI74" s="699"/>
      <c r="BJ74" s="699"/>
      <c r="BK74" s="699"/>
      <c r="BL74" s="699"/>
      <c r="BM74" s="699"/>
      <c r="BN74" s="699"/>
      <c r="BO74" s="699"/>
      <c r="BP74" s="699"/>
      <c r="BQ74" s="699"/>
      <c r="BR74" s="699"/>
      <c r="BS74" s="699"/>
    </row>
    <row r="75" spans="1:90" ht="87" customHeight="1" x14ac:dyDescent="0.25">
      <c r="A75" s="70"/>
      <c r="B75" s="72"/>
      <c r="C75" s="72"/>
      <c r="D75" s="72"/>
      <c r="E75" s="72"/>
      <c r="F75" s="70"/>
      <c r="G75" s="72"/>
      <c r="H75" s="703">
        <v>60</v>
      </c>
      <c r="I75" s="703"/>
      <c r="J75" s="703"/>
      <c r="K75" s="703"/>
      <c r="L75" s="72"/>
      <c r="M75" s="72"/>
      <c r="N75" s="72"/>
      <c r="O75" s="72"/>
      <c r="P75" s="70"/>
      <c r="Q75" s="72"/>
      <c r="R75" s="72"/>
      <c r="S75" s="72"/>
      <c r="T75" s="72"/>
      <c r="U75" s="70"/>
      <c r="V75" s="72"/>
      <c r="W75" s="72"/>
    </row>
    <row r="76" spans="1:90" ht="26.25" x14ac:dyDescent="0.25">
      <c r="A76" s="70"/>
      <c r="B76" s="32"/>
      <c r="C76" s="33"/>
      <c r="D76" s="34"/>
      <c r="E76" s="35"/>
      <c r="F76" s="70"/>
      <c r="G76" s="702"/>
      <c r="H76" s="702"/>
      <c r="I76" s="702"/>
      <c r="J76" s="35"/>
      <c r="K76" s="70"/>
      <c r="L76" s="32"/>
      <c r="M76" s="33"/>
      <c r="N76" s="34"/>
      <c r="O76" s="35"/>
      <c r="P76" s="70"/>
      <c r="Q76" s="32"/>
      <c r="R76" s="33"/>
      <c r="S76" s="34"/>
      <c r="T76" s="35"/>
      <c r="U76" s="70"/>
      <c r="V76" s="32"/>
      <c r="W76" s="33"/>
    </row>
    <row r="77" spans="1:90" ht="15" customHeight="1" x14ac:dyDescent="0.25">
      <c r="A77" s="44"/>
      <c r="B77" s="44"/>
      <c r="C77" s="44"/>
      <c r="D77" s="69"/>
      <c r="E77" s="69"/>
      <c r="F77" s="44"/>
      <c r="G77" s="702"/>
      <c r="H77" s="702"/>
      <c r="I77" s="702"/>
      <c r="J77" s="69"/>
      <c r="K77" s="44"/>
      <c r="L77" s="44"/>
      <c r="M77" s="44"/>
      <c r="N77" s="69"/>
      <c r="O77" s="69"/>
      <c r="P77" s="44"/>
      <c r="Q77" s="44"/>
      <c r="R77" s="44"/>
      <c r="S77" s="69"/>
      <c r="T77" s="69"/>
      <c r="U77" s="44"/>
      <c r="V77" s="44"/>
      <c r="W77" s="44"/>
    </row>
    <row r="78" spans="1:90" ht="15" customHeight="1" x14ac:dyDescent="0.25">
      <c r="A78" s="47"/>
      <c r="B78" s="47"/>
      <c r="C78" s="47"/>
      <c r="D78" s="69"/>
      <c r="E78" s="69"/>
      <c r="F78" s="47"/>
      <c r="G78" s="702"/>
      <c r="H78" s="702"/>
      <c r="I78" s="702"/>
      <c r="J78" s="69"/>
      <c r="K78" s="47"/>
      <c r="L78" s="47"/>
      <c r="M78" s="47"/>
      <c r="N78" s="69"/>
      <c r="O78" s="69"/>
      <c r="P78" s="47"/>
      <c r="Q78" s="47"/>
      <c r="R78" s="47"/>
      <c r="S78" s="69"/>
      <c r="T78" s="69"/>
      <c r="U78" s="47"/>
      <c r="V78" s="47"/>
      <c r="W78" s="47"/>
    </row>
    <row r="79" spans="1:90" ht="15" customHeight="1" x14ac:dyDescent="0.25">
      <c r="A79" s="47"/>
      <c r="B79" s="47"/>
      <c r="C79" s="47"/>
      <c r="D79" s="101"/>
      <c r="E79" s="69"/>
      <c r="F79" s="47"/>
      <c r="G79" s="703"/>
      <c r="H79" s="703"/>
      <c r="I79" s="703"/>
      <c r="J79" s="69"/>
      <c r="K79" s="47"/>
      <c r="L79" s="47"/>
      <c r="M79" s="47"/>
      <c r="N79" s="101"/>
      <c r="O79" s="69"/>
      <c r="P79" s="47"/>
      <c r="Q79" s="47"/>
      <c r="R79" s="47"/>
      <c r="S79" s="101"/>
      <c r="T79" s="69"/>
      <c r="U79" s="47"/>
      <c r="V79" s="47"/>
      <c r="W79" s="47"/>
    </row>
    <row r="80" spans="1:90" ht="15" customHeight="1" x14ac:dyDescent="0.25">
      <c r="A80" s="47"/>
      <c r="B80" s="47"/>
      <c r="C80" s="47"/>
      <c r="D80" s="69"/>
      <c r="E80" s="69"/>
      <c r="F80" s="47"/>
      <c r="G80" s="703"/>
      <c r="H80" s="703"/>
      <c r="I80" s="703"/>
      <c r="J80" s="69"/>
      <c r="K80" s="47"/>
      <c r="L80" s="47"/>
      <c r="M80" s="47"/>
      <c r="N80" s="69"/>
      <c r="O80" s="69"/>
      <c r="P80" s="47"/>
      <c r="Q80" s="47"/>
      <c r="R80" s="47"/>
      <c r="S80" s="69"/>
      <c r="T80" s="69"/>
      <c r="U80" s="47"/>
      <c r="V80" s="47"/>
      <c r="W80" s="47"/>
    </row>
    <row r="81" spans="1:70" ht="15" customHeight="1" x14ac:dyDescent="0.25">
      <c r="A81" s="70"/>
      <c r="B81" s="72"/>
      <c r="C81" s="72"/>
      <c r="D81" s="72"/>
      <c r="E81" s="72"/>
      <c r="F81" s="70"/>
      <c r="G81" s="703"/>
      <c r="H81" s="703"/>
      <c r="I81" s="703"/>
      <c r="J81" s="72"/>
      <c r="K81" s="70"/>
      <c r="L81" s="72"/>
      <c r="M81" s="72"/>
      <c r="N81" s="72"/>
      <c r="O81" s="72"/>
      <c r="P81" s="70"/>
      <c r="Q81" s="72"/>
      <c r="R81" s="72"/>
      <c r="S81" s="72"/>
      <c r="T81" s="72"/>
      <c r="U81" s="70"/>
      <c r="V81" s="72"/>
      <c r="W81" s="72"/>
    </row>
    <row r="82" spans="1:70" ht="15.75" customHeight="1" x14ac:dyDescent="0.25">
      <c r="A82" s="70"/>
      <c r="B82" s="32"/>
      <c r="C82" s="33"/>
      <c r="D82" s="34"/>
      <c r="E82" s="35"/>
      <c r="F82" s="70"/>
      <c r="G82" s="32"/>
      <c r="H82" s="33"/>
      <c r="I82" s="34"/>
      <c r="J82" s="35"/>
      <c r="K82" s="70"/>
      <c r="L82" s="32"/>
      <c r="M82" s="33"/>
      <c r="N82" s="34"/>
      <c r="O82" s="35"/>
      <c r="P82" s="70"/>
      <c r="Q82" s="32"/>
      <c r="R82" s="33"/>
      <c r="S82" s="34"/>
      <c r="T82" s="35"/>
      <c r="U82" s="70"/>
      <c r="V82" s="32"/>
      <c r="W82" s="33"/>
    </row>
    <row r="83" spans="1:70" ht="15.75" customHeight="1" x14ac:dyDescent="0.25">
      <c r="A83" s="44"/>
      <c r="B83" s="44"/>
      <c r="C83" s="44"/>
      <c r="D83" s="69"/>
      <c r="E83" s="69"/>
      <c r="F83" s="44"/>
      <c r="G83" s="44"/>
      <c r="H83" s="44"/>
      <c r="I83" s="69"/>
      <c r="J83" s="69"/>
      <c r="K83" s="44"/>
      <c r="L83" s="44"/>
      <c r="M83" s="44"/>
      <c r="N83" s="69"/>
      <c r="O83" s="69"/>
      <c r="P83" s="44"/>
      <c r="Q83" s="44"/>
      <c r="R83" s="44"/>
      <c r="S83" s="69"/>
      <c r="T83" s="69"/>
      <c r="U83" s="44"/>
      <c r="V83" s="44"/>
      <c r="W83" s="44"/>
    </row>
    <row r="84" spans="1:70" ht="24" customHeight="1" x14ac:dyDescent="0.25">
      <c r="A84" s="47"/>
      <c r="B84" s="47"/>
      <c r="C84" s="47"/>
      <c r="D84" s="69"/>
      <c r="E84" s="69"/>
      <c r="F84" s="47"/>
      <c r="G84" s="47"/>
      <c r="H84" s="47"/>
      <c r="I84" s="69"/>
      <c r="J84" s="69"/>
      <c r="K84" s="47"/>
      <c r="L84" s="47"/>
      <c r="M84" s="47"/>
      <c r="N84" s="69"/>
      <c r="O84" s="69"/>
      <c r="P84" s="47"/>
      <c r="Q84" s="47"/>
      <c r="R84" s="47"/>
      <c r="S84" s="69"/>
      <c r="T84" s="69"/>
      <c r="U84" s="47"/>
      <c r="V84" s="47"/>
      <c r="W84" s="47"/>
    </row>
    <row r="85" spans="1:70" ht="27.75" customHeight="1" x14ac:dyDescent="0.25">
      <c r="A85" s="47"/>
      <c r="B85" s="47"/>
      <c r="C85" s="47"/>
      <c r="D85" s="101"/>
      <c r="E85" s="69"/>
      <c r="F85" s="47"/>
      <c r="G85" s="47"/>
      <c r="H85" s="47"/>
      <c r="I85" s="101"/>
      <c r="J85" s="69"/>
      <c r="K85" s="47"/>
      <c r="L85" s="47"/>
      <c r="M85" s="47"/>
      <c r="N85" s="101"/>
      <c r="O85" s="69"/>
      <c r="P85" s="47"/>
      <c r="Q85" s="47"/>
      <c r="R85" s="47"/>
      <c r="S85" s="101"/>
      <c r="T85" s="69"/>
      <c r="U85" s="47"/>
      <c r="V85" s="47"/>
      <c r="W85" s="47"/>
    </row>
    <row r="86" spans="1:70" x14ac:dyDescent="0.25">
      <c r="BK86" s="13"/>
      <c r="BL86" s="13"/>
      <c r="BM86" s="13"/>
      <c r="BN86" s="13"/>
      <c r="BO86" s="13"/>
      <c r="BP86" s="13"/>
      <c r="BQ86" s="13"/>
      <c r="BR86" s="13"/>
    </row>
    <row r="87" spans="1:70" x14ac:dyDescent="0.25">
      <c r="BK87" s="13"/>
      <c r="BL87" s="13"/>
      <c r="BM87" s="13"/>
      <c r="BN87" s="13"/>
      <c r="BO87" s="13"/>
      <c r="BP87" s="13"/>
      <c r="BQ87" s="13"/>
      <c r="BR87" s="13"/>
    </row>
    <row r="88" spans="1:70" ht="15" customHeight="1" x14ac:dyDescent="0.25">
      <c r="BK88" s="13"/>
      <c r="BL88" s="13"/>
      <c r="BM88" s="13"/>
      <c r="BN88" s="13"/>
      <c r="BO88" s="13"/>
      <c r="BP88" s="13"/>
      <c r="BQ88" s="13"/>
      <c r="BR88" s="13"/>
    </row>
    <row r="89" spans="1:70" ht="15" customHeight="1" x14ac:dyDescent="0.25">
      <c r="BK89" s="13"/>
      <c r="BL89" s="13"/>
      <c r="BM89" s="13"/>
      <c r="BN89" s="13"/>
      <c r="BO89" s="13"/>
      <c r="BP89" s="13"/>
      <c r="BQ89" s="13"/>
      <c r="BR89" s="13"/>
    </row>
    <row r="90" spans="1:70" ht="26.25" x14ac:dyDescent="0.25">
      <c r="BK90" s="57"/>
      <c r="BL90" s="57"/>
      <c r="BM90" s="57"/>
      <c r="BN90" s="57"/>
      <c r="BO90" s="57"/>
      <c r="BP90" s="57"/>
      <c r="BQ90" s="57"/>
      <c r="BR90" s="57"/>
    </row>
    <row r="91" spans="1:70" ht="26.25" x14ac:dyDescent="0.25">
      <c r="BK91" s="57"/>
      <c r="BL91" s="57"/>
      <c r="BM91" s="57"/>
      <c r="BN91" s="57"/>
      <c r="BO91" s="57"/>
      <c r="BP91" s="57"/>
      <c r="BQ91" s="57"/>
      <c r="BR91" s="57"/>
    </row>
    <row r="92" spans="1:70" ht="15" customHeight="1" x14ac:dyDescent="0.25">
      <c r="BK92" s="57"/>
      <c r="BL92" s="57"/>
      <c r="BM92" s="57"/>
      <c r="BN92" s="57"/>
      <c r="BO92" s="57"/>
      <c r="BP92" s="57"/>
      <c r="BQ92" s="57"/>
      <c r="BR92" s="57"/>
    </row>
    <row r="93" spans="1:70" ht="15" customHeight="1" x14ac:dyDescent="0.25">
      <c r="BK93" s="57"/>
      <c r="BL93" s="57"/>
      <c r="BM93" s="57"/>
      <c r="BN93" s="57"/>
      <c r="BO93" s="57"/>
      <c r="BP93" s="57"/>
      <c r="BQ93" s="57"/>
      <c r="BR93" s="57"/>
    </row>
    <row r="94" spans="1:70" ht="15" customHeight="1" x14ac:dyDescent="0.25">
      <c r="BK94" s="57"/>
      <c r="BL94" s="57"/>
      <c r="BM94" s="57"/>
      <c r="BN94" s="57"/>
      <c r="BO94" s="57"/>
      <c r="BP94" s="57"/>
      <c r="BQ94" s="57"/>
      <c r="BR94" s="57"/>
    </row>
    <row r="97" spans="30:62" ht="15" customHeight="1" x14ac:dyDescent="0.25"/>
    <row r="98" spans="30:62" ht="15" customHeight="1" x14ac:dyDescent="0.25"/>
    <row r="99" spans="30:62" ht="15" customHeight="1" x14ac:dyDescent="0.25"/>
    <row r="100" spans="30:62" ht="15" customHeight="1" x14ac:dyDescent="0.25"/>
    <row r="101" spans="30:62" ht="15" customHeight="1" x14ac:dyDescent="0.25"/>
    <row r="102" spans="30:62" ht="15" customHeight="1" thickBot="1" x14ac:dyDescent="0.3"/>
    <row r="103" spans="30:62" ht="15" customHeight="1" thickTop="1" x14ac:dyDescent="0.25">
      <c r="AD103" s="775">
        <v>52.49</v>
      </c>
      <c r="AE103" s="776"/>
      <c r="AF103" s="776"/>
      <c r="AG103" s="776"/>
      <c r="AH103" s="777"/>
      <c r="AL103" s="727" t="s">
        <v>122</v>
      </c>
      <c r="AM103" s="727"/>
      <c r="AN103" s="727"/>
      <c r="AO103" s="727" t="s">
        <v>123</v>
      </c>
      <c r="AP103" s="727"/>
      <c r="AQ103" s="727"/>
      <c r="AR103" s="727" t="s">
        <v>124</v>
      </c>
      <c r="AS103" s="727"/>
      <c r="AT103" s="727" t="s">
        <v>125</v>
      </c>
      <c r="AU103" s="727"/>
      <c r="AY103" s="739" t="s">
        <v>126</v>
      </c>
      <c r="AZ103" s="740"/>
      <c r="BA103" s="740"/>
      <c r="BB103" s="740"/>
      <c r="BC103" s="740"/>
      <c r="BD103" s="740"/>
      <c r="BE103" s="740"/>
      <c r="BF103" s="740"/>
      <c r="BG103" s="740"/>
      <c r="BH103" s="741"/>
      <c r="BI103" s="13"/>
      <c r="BJ103" s="13"/>
    </row>
    <row r="104" spans="30:62" ht="15" customHeight="1" x14ac:dyDescent="0.25">
      <c r="AD104" s="778"/>
      <c r="AE104" s="779"/>
      <c r="AF104" s="779"/>
      <c r="AG104" s="779"/>
      <c r="AH104" s="780"/>
      <c r="AL104" s="727"/>
      <c r="AM104" s="727"/>
      <c r="AN104" s="727"/>
      <c r="AO104" s="727"/>
      <c r="AP104" s="727"/>
      <c r="AQ104" s="727"/>
      <c r="AR104" s="727"/>
      <c r="AS104" s="727"/>
      <c r="AT104" s="727"/>
      <c r="AU104" s="727"/>
      <c r="AY104" s="750"/>
      <c r="AZ104" s="751"/>
      <c r="BA104" s="751"/>
      <c r="BB104" s="751"/>
      <c r="BC104" s="751"/>
      <c r="BD104" s="751"/>
      <c r="BE104" s="751"/>
      <c r="BF104" s="751"/>
      <c r="BG104" s="751"/>
      <c r="BH104" s="752"/>
      <c r="BI104" s="13"/>
      <c r="BJ104" s="13"/>
    </row>
    <row r="105" spans="30:62" ht="15" customHeight="1" x14ac:dyDescent="0.25">
      <c r="AD105" s="778"/>
      <c r="AE105" s="779"/>
      <c r="AF105" s="779"/>
      <c r="AG105" s="779"/>
      <c r="AH105" s="780"/>
      <c r="AL105" s="727"/>
      <c r="AM105" s="727"/>
      <c r="AN105" s="727"/>
      <c r="AO105" s="727"/>
      <c r="AP105" s="727"/>
      <c r="AQ105" s="727"/>
      <c r="AR105" s="727"/>
      <c r="AS105" s="727"/>
      <c r="AT105" s="727"/>
      <c r="AU105" s="727"/>
      <c r="AY105" s="742"/>
      <c r="AZ105" s="743"/>
      <c r="BA105" s="743"/>
      <c r="BB105" s="743"/>
      <c r="BC105" s="743"/>
      <c r="BD105" s="743"/>
      <c r="BE105" s="743"/>
      <c r="BF105" s="743"/>
      <c r="BG105" s="743"/>
      <c r="BH105" s="744"/>
      <c r="BI105" s="13"/>
      <c r="BJ105" s="13"/>
    </row>
    <row r="106" spans="30:62" ht="15" customHeight="1" x14ac:dyDescent="0.25">
      <c r="AD106" s="778"/>
      <c r="AE106" s="779"/>
      <c r="AF106" s="779"/>
      <c r="AG106" s="779"/>
      <c r="AH106" s="780"/>
      <c r="AL106" s="774">
        <v>4560</v>
      </c>
      <c r="AM106" s="774"/>
      <c r="AN106" s="774"/>
      <c r="AO106" s="774">
        <f ca="1">AT122</f>
        <v>4560</v>
      </c>
      <c r="AP106" s="774"/>
      <c r="AQ106" s="774"/>
      <c r="AR106" s="726">
        <f>AV64</f>
        <v>54.345000000000041</v>
      </c>
      <c r="AS106" s="726"/>
      <c r="AT106" s="726">
        <f>AR106+BM64</f>
        <v>78.345000000000041</v>
      </c>
      <c r="AU106" s="726"/>
      <c r="AY106" s="727" t="s">
        <v>128</v>
      </c>
      <c r="AZ106" s="727"/>
      <c r="BA106" s="727"/>
      <c r="BB106" s="727"/>
      <c r="BC106" s="727"/>
      <c r="BD106" s="727"/>
      <c r="BE106" s="727"/>
      <c r="BF106" s="727"/>
      <c r="BG106" s="727"/>
      <c r="BH106" s="727"/>
      <c r="BI106" s="13"/>
      <c r="BJ106" s="13"/>
    </row>
    <row r="107" spans="30:62" ht="15" customHeight="1" x14ac:dyDescent="0.25">
      <c r="AD107" s="778"/>
      <c r="AE107" s="779"/>
      <c r="AF107" s="779"/>
      <c r="AG107" s="779"/>
      <c r="AH107" s="780"/>
      <c r="AL107" s="774"/>
      <c r="AM107" s="774"/>
      <c r="AN107" s="774"/>
      <c r="AO107" s="774"/>
      <c r="AP107" s="774"/>
      <c r="AQ107" s="774"/>
      <c r="AR107" s="726"/>
      <c r="AS107" s="726"/>
      <c r="AT107" s="726"/>
      <c r="AU107" s="726"/>
      <c r="AY107" s="727"/>
      <c r="AZ107" s="727"/>
      <c r="BA107" s="727"/>
      <c r="BB107" s="727"/>
      <c r="BC107" s="727"/>
      <c r="BD107" s="727"/>
      <c r="BE107" s="727"/>
      <c r="BF107" s="727"/>
      <c r="BG107" s="727"/>
      <c r="BH107" s="727"/>
      <c r="BI107" s="13"/>
      <c r="BJ107" s="13"/>
    </row>
    <row r="108" spans="30:62" ht="15" customHeight="1" x14ac:dyDescent="0.25">
      <c r="AD108" s="778"/>
      <c r="AE108" s="779"/>
      <c r="AF108" s="779"/>
      <c r="AG108" s="779"/>
      <c r="AH108" s="780"/>
      <c r="AL108" s="774"/>
      <c r="AM108" s="774"/>
      <c r="AN108" s="774"/>
      <c r="AO108" s="774"/>
      <c r="AP108" s="774"/>
      <c r="AQ108" s="774"/>
      <c r="AR108" s="726"/>
      <c r="AS108" s="726"/>
      <c r="AT108" s="726"/>
      <c r="AU108" s="726"/>
      <c r="AY108" s="728">
        <f ca="1">AR106/((36*3.1415/59)*(AO106/3.281))</f>
        <v>2.0399213701364414E-2</v>
      </c>
      <c r="AZ108" s="729"/>
      <c r="BA108" s="729"/>
      <c r="BB108" s="729"/>
      <c r="BC108" s="729"/>
      <c r="BD108" s="729"/>
      <c r="BE108" s="729"/>
      <c r="BF108" s="729"/>
      <c r="BG108" s="729"/>
      <c r="BH108" s="730"/>
      <c r="BI108" s="57"/>
      <c r="BJ108" s="57"/>
    </row>
    <row r="109" spans="30:62" ht="27" thickBot="1" x14ac:dyDescent="0.3">
      <c r="AD109" s="781"/>
      <c r="AE109" s="782"/>
      <c r="AF109" s="782"/>
      <c r="AG109" s="782"/>
      <c r="AH109" s="783"/>
      <c r="AL109" s="774"/>
      <c r="AM109" s="774"/>
      <c r="AN109" s="774"/>
      <c r="AO109" s="774"/>
      <c r="AP109" s="774"/>
      <c r="AQ109" s="774"/>
      <c r="AR109" s="726"/>
      <c r="AS109" s="726"/>
      <c r="AT109" s="726"/>
      <c r="AU109" s="726"/>
      <c r="AY109" s="731"/>
      <c r="AZ109" s="732"/>
      <c r="BA109" s="732"/>
      <c r="BB109" s="732"/>
      <c r="BC109" s="732"/>
      <c r="BD109" s="732"/>
      <c r="BE109" s="732"/>
      <c r="BF109" s="732"/>
      <c r="BG109" s="732"/>
      <c r="BH109" s="733"/>
      <c r="BI109" s="57"/>
      <c r="BJ109" s="57"/>
    </row>
    <row r="110" spans="30:62" ht="27" thickTop="1" x14ac:dyDescent="0.25">
      <c r="AY110" s="734"/>
      <c r="AZ110" s="735"/>
      <c r="BA110" s="735"/>
      <c r="BB110" s="735"/>
      <c r="BC110" s="735"/>
      <c r="BD110" s="735"/>
      <c r="BE110" s="735"/>
      <c r="BF110" s="735"/>
      <c r="BG110" s="735"/>
      <c r="BH110" s="736"/>
      <c r="BI110" s="57"/>
      <c r="BJ110" s="57"/>
    </row>
    <row r="111" spans="30:62" x14ac:dyDescent="0.25">
      <c r="AY111" s="739" t="s">
        <v>129</v>
      </c>
      <c r="AZ111" s="740"/>
      <c r="BA111" s="740"/>
      <c r="BB111" s="740"/>
      <c r="BC111" s="740"/>
      <c r="BD111" s="740"/>
      <c r="BE111" s="740"/>
      <c r="BF111" s="740"/>
      <c r="BG111" s="740"/>
      <c r="BH111" s="741"/>
      <c r="BI111" s="13"/>
      <c r="BJ111" s="13"/>
    </row>
    <row r="112" spans="30:62" x14ac:dyDescent="0.25">
      <c r="AY112" s="742"/>
      <c r="AZ112" s="743"/>
      <c r="BA112" s="743"/>
      <c r="BB112" s="743"/>
      <c r="BC112" s="743"/>
      <c r="BD112" s="743"/>
      <c r="BE112" s="743"/>
      <c r="BF112" s="743"/>
      <c r="BG112" s="743"/>
      <c r="BH112" s="744"/>
      <c r="BI112" s="13"/>
      <c r="BJ112" s="13"/>
    </row>
    <row r="113" spans="40:62" x14ac:dyDescent="0.25">
      <c r="AN113" s="1255">
        <v>70</v>
      </c>
      <c r="AO113" s="1255"/>
      <c r="AP113" s="1255"/>
      <c r="AQ113" s="746" cm="1">
        <f t="array" aca="1" ref="AQ113" ca="1">SUM(COUNTIF(INDIRECT({"B7","G7","L7","Q7","V7","AA7","AF7","AK7","AP7","AU7","AZ7","BE7","BJ7","BO7","B13","G13","L13","Q13","V13","AA13","AF13","AK13","AP13","AU13","AZ13","BE13","BJ13","BO13","B19","G19","L19","Q19","V19","AA19","AF19","AK19","AP19","AU19"}),"&gt;0"))</f>
        <v>38</v>
      </c>
      <c r="AR113" s="746"/>
      <c r="AS113" s="746"/>
      <c r="AT113" s="747">
        <f ca="1">AQ113*AN113</f>
        <v>2660</v>
      </c>
      <c r="AU113" s="748"/>
      <c r="AV113" s="748"/>
      <c r="AW113" s="749"/>
      <c r="AY113" s="739" t="s">
        <v>130</v>
      </c>
      <c r="AZ113" s="740"/>
      <c r="BA113" s="740"/>
      <c r="BB113" s="740"/>
      <c r="BC113" s="740"/>
      <c r="BD113" s="740"/>
      <c r="BE113" s="740"/>
      <c r="BF113" s="740"/>
      <c r="BG113" s="740"/>
      <c r="BH113" s="741"/>
      <c r="BI113" s="13"/>
      <c r="BJ113" s="13"/>
    </row>
    <row r="114" spans="40:62" x14ac:dyDescent="0.25">
      <c r="AN114" s="1255"/>
      <c r="AO114" s="1255"/>
      <c r="AP114" s="1255"/>
      <c r="AQ114" s="746"/>
      <c r="AR114" s="746"/>
      <c r="AS114" s="746"/>
      <c r="AT114" s="747"/>
      <c r="AU114" s="748"/>
      <c r="AV114" s="748"/>
      <c r="AW114" s="749"/>
      <c r="AY114" s="750"/>
      <c r="AZ114" s="751"/>
      <c r="BA114" s="751"/>
      <c r="BB114" s="751"/>
      <c r="BC114" s="751"/>
      <c r="BD114" s="751"/>
      <c r="BE114" s="751"/>
      <c r="BF114" s="751"/>
      <c r="BG114" s="751"/>
      <c r="BH114" s="752"/>
      <c r="BI114" s="13"/>
      <c r="BJ114" s="13"/>
    </row>
    <row r="115" spans="40:62" x14ac:dyDescent="0.25">
      <c r="AN115" s="1255"/>
      <c r="AO115" s="1255"/>
      <c r="AP115" s="1255"/>
      <c r="AQ115" s="746"/>
      <c r="AR115" s="746"/>
      <c r="AS115" s="746"/>
      <c r="AT115" s="747"/>
      <c r="AU115" s="748"/>
      <c r="AV115" s="748"/>
      <c r="AW115" s="749"/>
      <c r="AY115" s="750"/>
      <c r="AZ115" s="751"/>
      <c r="BA115" s="751"/>
      <c r="BB115" s="751"/>
      <c r="BC115" s="751"/>
      <c r="BD115" s="751"/>
      <c r="BE115" s="751"/>
      <c r="BF115" s="751"/>
      <c r="BG115" s="751"/>
      <c r="BH115" s="752"/>
      <c r="BI115" s="13"/>
      <c r="BJ115" s="13"/>
    </row>
    <row r="116" spans="40:62" x14ac:dyDescent="0.25">
      <c r="AN116" s="1255">
        <v>60</v>
      </c>
      <c r="AO116" s="1255"/>
      <c r="AP116" s="1255"/>
      <c r="AQ116" s="746" cm="1">
        <f t="array" aca="1" ref="AQ116" ca="1">SUM(COUNTIF(INDIRECT({"AZ19","BE19","BJ19","BO19","B25","G25","L25","Q25","V25","AA25","AF25","AK25","AP25","AU25","AZ25","BE25","BJ25","BO25","B31","G31","L31","Q31"}),"&gt;0"))</f>
        <v>22</v>
      </c>
      <c r="AR116" s="746"/>
      <c r="AS116" s="746"/>
      <c r="AT116" s="747">
        <f ca="1">AQ116*AN116</f>
        <v>1320</v>
      </c>
      <c r="AU116" s="748"/>
      <c r="AV116" s="748"/>
      <c r="AW116" s="749"/>
      <c r="AY116" s="742"/>
      <c r="AZ116" s="743"/>
      <c r="BA116" s="743"/>
      <c r="BB116" s="743"/>
      <c r="BC116" s="743"/>
      <c r="BD116" s="743"/>
      <c r="BE116" s="743"/>
      <c r="BF116" s="743"/>
      <c r="BG116" s="743"/>
      <c r="BH116" s="744"/>
      <c r="BI116" s="13"/>
      <c r="BJ116" s="13"/>
    </row>
    <row r="117" spans="40:62" ht="26.25" x14ac:dyDescent="0.25">
      <c r="AN117" s="1255"/>
      <c r="AO117" s="1255"/>
      <c r="AP117" s="1255"/>
      <c r="AQ117" s="746"/>
      <c r="AR117" s="746"/>
      <c r="AS117" s="746"/>
      <c r="AT117" s="747"/>
      <c r="AU117" s="748"/>
      <c r="AV117" s="748"/>
      <c r="AW117" s="749"/>
      <c r="AY117" s="728">
        <f ca="1">AT106/((36*3.1415/59)*(AO106/3.281))</f>
        <v>2.940797492747069E-2</v>
      </c>
      <c r="AZ117" s="729"/>
      <c r="BA117" s="729"/>
      <c r="BB117" s="729"/>
      <c r="BC117" s="729"/>
      <c r="BD117" s="729"/>
      <c r="BE117" s="729"/>
      <c r="BF117" s="729"/>
      <c r="BG117" s="729"/>
      <c r="BH117" s="730"/>
      <c r="BI117" s="57"/>
      <c r="BJ117" s="57"/>
    </row>
    <row r="118" spans="40:62" ht="26.25" x14ac:dyDescent="0.25">
      <c r="AN118" s="1255"/>
      <c r="AO118" s="1255"/>
      <c r="AP118" s="1255"/>
      <c r="AQ118" s="746"/>
      <c r="AR118" s="746"/>
      <c r="AS118" s="746"/>
      <c r="AT118" s="747"/>
      <c r="AU118" s="748"/>
      <c r="AV118" s="748"/>
      <c r="AW118" s="749"/>
      <c r="AY118" s="731"/>
      <c r="AZ118" s="732"/>
      <c r="BA118" s="732"/>
      <c r="BB118" s="732"/>
      <c r="BC118" s="732"/>
      <c r="BD118" s="732"/>
      <c r="BE118" s="732"/>
      <c r="BF118" s="732"/>
      <c r="BG118" s="732"/>
      <c r="BH118" s="733"/>
      <c r="BI118" s="57"/>
      <c r="BJ118" s="57"/>
    </row>
    <row r="119" spans="40:62" ht="26.25" x14ac:dyDescent="0.25">
      <c r="AN119" s="1419">
        <v>20</v>
      </c>
      <c r="AO119" s="1419"/>
      <c r="AP119" s="1419"/>
      <c r="AQ119" s="746" cm="1">
        <f t="array" aca="1" ref="AQ119" ca="1">SUM(COUNTIF(INDIRECT({"V31","AA31","AF31","AK31","AP31","AU31","AZ31","BE31","BJ31","BO31","B37","G37","L37","Q37","V37","AA37","AF37","AK37","AP37","AU37","AZ37","BE37","BJ37","BO37","B43","G43","L43","Q43","V43"}),"&gt;0"))</f>
        <v>29</v>
      </c>
      <c r="AR119" s="746"/>
      <c r="AS119" s="746"/>
      <c r="AT119" s="747">
        <f ca="1">AN119*AQ119</f>
        <v>580</v>
      </c>
      <c r="AU119" s="748"/>
      <c r="AV119" s="748"/>
      <c r="AW119" s="749"/>
      <c r="AY119" s="731"/>
      <c r="AZ119" s="732"/>
      <c r="BA119" s="732"/>
      <c r="BB119" s="732"/>
      <c r="BC119" s="732"/>
      <c r="BD119" s="732"/>
      <c r="BE119" s="732"/>
      <c r="BF119" s="732"/>
      <c r="BG119" s="732"/>
      <c r="BH119" s="733"/>
      <c r="BI119" s="57"/>
      <c r="BJ119" s="57"/>
    </row>
    <row r="120" spans="40:62" ht="26.25" x14ac:dyDescent="0.25">
      <c r="AN120" s="1419"/>
      <c r="AO120" s="1419"/>
      <c r="AP120" s="1419"/>
      <c r="AQ120" s="746"/>
      <c r="AR120" s="746"/>
      <c r="AS120" s="746"/>
      <c r="AT120" s="747"/>
      <c r="AU120" s="748"/>
      <c r="AV120" s="748"/>
      <c r="AW120" s="749"/>
      <c r="AY120" s="731"/>
      <c r="AZ120" s="732"/>
      <c r="BA120" s="732"/>
      <c r="BB120" s="732"/>
      <c r="BC120" s="732"/>
      <c r="BD120" s="732"/>
      <c r="BE120" s="732"/>
      <c r="BF120" s="732"/>
      <c r="BG120" s="732"/>
      <c r="BH120" s="733"/>
      <c r="BI120" s="57"/>
      <c r="BJ120" s="57"/>
    </row>
    <row r="121" spans="40:62" ht="26.25" x14ac:dyDescent="0.25">
      <c r="AN121" s="1419"/>
      <c r="AO121" s="1419"/>
      <c r="AP121" s="1419"/>
      <c r="AQ121" s="746"/>
      <c r="AR121" s="746"/>
      <c r="AS121" s="746"/>
      <c r="AT121" s="747"/>
      <c r="AU121" s="748"/>
      <c r="AV121" s="748"/>
      <c r="AW121" s="749"/>
      <c r="AY121" s="734"/>
      <c r="AZ121" s="735"/>
      <c r="BA121" s="735"/>
      <c r="BB121" s="735"/>
      <c r="BC121" s="735"/>
      <c r="BD121" s="735"/>
      <c r="BE121" s="735"/>
      <c r="BF121" s="735"/>
      <c r="BG121" s="735"/>
      <c r="BH121" s="736"/>
      <c r="BI121" s="57"/>
      <c r="BJ121" s="57"/>
    </row>
    <row r="122" spans="40:62" x14ac:dyDescent="0.25">
      <c r="AQ122" s="1254">
        <f ca="1">AQ119+AQ116+AQ113</f>
        <v>89</v>
      </c>
      <c r="AR122" s="1254"/>
      <c r="AS122" s="1254"/>
      <c r="AT122" s="747">
        <f ca="1">AT116+AT113+AT119</f>
        <v>4560</v>
      </c>
      <c r="AU122" s="748"/>
      <c r="AV122" s="748"/>
      <c r="AW122" s="749"/>
    </row>
    <row r="123" spans="40:62" x14ac:dyDescent="0.25">
      <c r="AQ123" s="1254"/>
      <c r="AR123" s="1254"/>
      <c r="AS123" s="1254"/>
      <c r="AT123" s="747"/>
      <c r="AU123" s="748"/>
      <c r="AV123" s="748"/>
      <c r="AW123" s="749"/>
    </row>
    <row r="124" spans="40:62" x14ac:dyDescent="0.25">
      <c r="AQ124" s="1254"/>
      <c r="AR124" s="1254"/>
      <c r="AS124" s="1254"/>
      <c r="AT124" s="747"/>
      <c r="AU124" s="748"/>
      <c r="AV124" s="748"/>
      <c r="AW124" s="749"/>
    </row>
  </sheetData>
  <mergeCells count="523">
    <mergeCell ref="BE36:BH36"/>
    <mergeCell ref="BJ36:BM36"/>
    <mergeCell ref="BO36:BR36"/>
    <mergeCell ref="B42:E42"/>
    <mergeCell ref="G42:J42"/>
    <mergeCell ref="L42:O42"/>
    <mergeCell ref="Q42:T42"/>
    <mergeCell ref="V42:Y42"/>
    <mergeCell ref="L36:O36"/>
    <mergeCell ref="Q36:T36"/>
    <mergeCell ref="V36:Y36"/>
    <mergeCell ref="AA36:AD36"/>
    <mergeCell ref="AF36:AI36"/>
    <mergeCell ref="AK36:AN36"/>
    <mergeCell ref="AP36:AS36"/>
    <mergeCell ref="AU36:AX36"/>
    <mergeCell ref="AZ36:BC36"/>
    <mergeCell ref="AK42:AL42"/>
    <mergeCell ref="BF42:BH42"/>
    <mergeCell ref="AT36:AT37"/>
    <mergeCell ref="AY36:AY37"/>
    <mergeCell ref="BD36:BD37"/>
    <mergeCell ref="BI36:BI37"/>
    <mergeCell ref="BN36:BN37"/>
    <mergeCell ref="BP32:BR35"/>
    <mergeCell ref="BK32:BM35"/>
    <mergeCell ref="AY26:AZ29"/>
    <mergeCell ref="BA26:BC29"/>
    <mergeCell ref="BD26:BE29"/>
    <mergeCell ref="BF32:BH35"/>
    <mergeCell ref="BI32:BJ35"/>
    <mergeCell ref="A38:B41"/>
    <mergeCell ref="C38:E41"/>
    <mergeCell ref="F38:G41"/>
    <mergeCell ref="H38:J41"/>
    <mergeCell ref="K38:L41"/>
    <mergeCell ref="M38:O41"/>
    <mergeCell ref="P38:Q41"/>
    <mergeCell ref="R38:T41"/>
    <mergeCell ref="U38:V41"/>
    <mergeCell ref="A36:A37"/>
    <mergeCell ref="F36:F37"/>
    <mergeCell ref="K36:K37"/>
    <mergeCell ref="W38:Y41"/>
    <mergeCell ref="AQ32:AS35"/>
    <mergeCell ref="W32:Y35"/>
    <mergeCell ref="Z32:AA35"/>
    <mergeCell ref="AB32:AD35"/>
    <mergeCell ref="AE32:AF35"/>
    <mergeCell ref="AG32:AI35"/>
    <mergeCell ref="AJ32:AK35"/>
    <mergeCell ref="AL32:AN35"/>
    <mergeCell ref="AO32:AP35"/>
    <mergeCell ref="BN32:BO35"/>
    <mergeCell ref="AT32:AU35"/>
    <mergeCell ref="AV32:AX35"/>
    <mergeCell ref="AY32:AZ35"/>
    <mergeCell ref="BA32:BC35"/>
    <mergeCell ref="A2:B3"/>
    <mergeCell ref="C2:E3"/>
    <mergeCell ref="F2:G3"/>
    <mergeCell ref="H2:J3"/>
    <mergeCell ref="K2:L3"/>
    <mergeCell ref="M2:O3"/>
    <mergeCell ref="P2:Q3"/>
    <mergeCell ref="R2:T3"/>
    <mergeCell ref="U2:V3"/>
    <mergeCell ref="BI2:BJ3"/>
    <mergeCell ref="BK2:BM3"/>
    <mergeCell ref="AB2:AD3"/>
    <mergeCell ref="AE2:AF3"/>
    <mergeCell ref="AG2:AI3"/>
    <mergeCell ref="AJ2:AK3"/>
    <mergeCell ref="AL2:AN3"/>
    <mergeCell ref="AO2:AP3"/>
    <mergeCell ref="AQ2:AS3"/>
    <mergeCell ref="W2:Y3"/>
    <mergeCell ref="Z2:AA3"/>
    <mergeCell ref="A6:A7"/>
    <mergeCell ref="F6:F7"/>
    <mergeCell ref="K6:K7"/>
    <mergeCell ref="BD32:BE35"/>
    <mergeCell ref="P6:P7"/>
    <mergeCell ref="U6:U7"/>
    <mergeCell ref="BP2:BR3"/>
    <mergeCell ref="A4:B5"/>
    <mergeCell ref="C4:E5"/>
    <mergeCell ref="F4:G5"/>
    <mergeCell ref="H4:J5"/>
    <mergeCell ref="K4:L5"/>
    <mergeCell ref="M4:O5"/>
    <mergeCell ref="P4:Q5"/>
    <mergeCell ref="R4:T5"/>
    <mergeCell ref="U4:V5"/>
    <mergeCell ref="AT2:AU3"/>
    <mergeCell ref="AV2:AX3"/>
    <mergeCell ref="AY2:AZ3"/>
    <mergeCell ref="BA2:BC3"/>
    <mergeCell ref="BD2:BE3"/>
    <mergeCell ref="BF2:BH3"/>
    <mergeCell ref="AO8:AP9"/>
    <mergeCell ref="AQ8:AS9"/>
    <mergeCell ref="BN2:BO3"/>
    <mergeCell ref="BN6:BN7"/>
    <mergeCell ref="BJ6:BL6"/>
    <mergeCell ref="W4:Y5"/>
    <mergeCell ref="BF8:BH9"/>
    <mergeCell ref="BI8:BJ9"/>
    <mergeCell ref="BK8:BM9"/>
    <mergeCell ref="BN8:BO9"/>
    <mergeCell ref="BO6:BQ6"/>
    <mergeCell ref="Z6:Z7"/>
    <mergeCell ref="AE6:AE7"/>
    <mergeCell ref="AJ6:AJ7"/>
    <mergeCell ref="AO6:AO7"/>
    <mergeCell ref="AT8:AU9"/>
    <mergeCell ref="AV8:AX9"/>
    <mergeCell ref="AY8:AZ9"/>
    <mergeCell ref="BA8:BC9"/>
    <mergeCell ref="BD8:BE9"/>
    <mergeCell ref="AT6:AT7"/>
    <mergeCell ref="AY6:AY7"/>
    <mergeCell ref="BD6:BD7"/>
    <mergeCell ref="BI6:BI7"/>
    <mergeCell ref="K12:K13"/>
    <mergeCell ref="P12:P13"/>
    <mergeCell ref="U12:U13"/>
    <mergeCell ref="B12:D12"/>
    <mergeCell ref="G12:I12"/>
    <mergeCell ref="L12:N12"/>
    <mergeCell ref="Q12:S12"/>
    <mergeCell ref="BP8:BR9"/>
    <mergeCell ref="A8:B9"/>
    <mergeCell ref="C8:E9"/>
    <mergeCell ref="F8:G9"/>
    <mergeCell ref="H8:J9"/>
    <mergeCell ref="K8:L9"/>
    <mergeCell ref="M8:O9"/>
    <mergeCell ref="P8:Q9"/>
    <mergeCell ref="R8:T9"/>
    <mergeCell ref="U8:V9"/>
    <mergeCell ref="W8:Y9"/>
    <mergeCell ref="Z8:AA9"/>
    <mergeCell ref="AB8:AD9"/>
    <mergeCell ref="AE8:AF9"/>
    <mergeCell ref="AG8:AI9"/>
    <mergeCell ref="AJ8:AK9"/>
    <mergeCell ref="AL8:AN9"/>
    <mergeCell ref="BN14:BO15"/>
    <mergeCell ref="BP14:BR15"/>
    <mergeCell ref="A16:B17"/>
    <mergeCell ref="C16:E17"/>
    <mergeCell ref="F16:G17"/>
    <mergeCell ref="H16:J17"/>
    <mergeCell ref="K16:L17"/>
    <mergeCell ref="A14:B15"/>
    <mergeCell ref="C14:E15"/>
    <mergeCell ref="F14:G15"/>
    <mergeCell ref="H14:J15"/>
    <mergeCell ref="K14:L15"/>
    <mergeCell ref="M14:O15"/>
    <mergeCell ref="P14:Q15"/>
    <mergeCell ref="R14:T15"/>
    <mergeCell ref="U14:V15"/>
    <mergeCell ref="W14:Y15"/>
    <mergeCell ref="Z14:AA15"/>
    <mergeCell ref="AB14:AD15"/>
    <mergeCell ref="AE14:AF15"/>
    <mergeCell ref="AG14:AI15"/>
    <mergeCell ref="AJ14:AK15"/>
    <mergeCell ref="AL14:AN15"/>
    <mergeCell ref="AO14:AP15"/>
    <mergeCell ref="BA16:BC17"/>
    <mergeCell ref="BD16:BE17"/>
    <mergeCell ref="M16:O17"/>
    <mergeCell ref="P16:Q17"/>
    <mergeCell ref="R16:T17"/>
    <mergeCell ref="U16:V17"/>
    <mergeCell ref="W16:Y17"/>
    <mergeCell ref="Z16:AA17"/>
    <mergeCell ref="AB16:AD17"/>
    <mergeCell ref="BF14:BH15"/>
    <mergeCell ref="BI14:BJ15"/>
    <mergeCell ref="BK14:BM15"/>
    <mergeCell ref="AQ14:AS15"/>
    <mergeCell ref="AT14:AU15"/>
    <mergeCell ref="AV14:AX15"/>
    <mergeCell ref="AY14:AZ15"/>
    <mergeCell ref="BA14:BC15"/>
    <mergeCell ref="BD14:BE15"/>
    <mergeCell ref="AT24:AT25"/>
    <mergeCell ref="Z24:Z25"/>
    <mergeCell ref="AE24:AE25"/>
    <mergeCell ref="A24:A25"/>
    <mergeCell ref="F24:F25"/>
    <mergeCell ref="A20:B21"/>
    <mergeCell ref="C20:E21"/>
    <mergeCell ref="F20:G21"/>
    <mergeCell ref="H20:J21"/>
    <mergeCell ref="K20:L21"/>
    <mergeCell ref="M20:O21"/>
    <mergeCell ref="P20:Q21"/>
    <mergeCell ref="L24:N24"/>
    <mergeCell ref="Q24:S24"/>
    <mergeCell ref="A22:B23"/>
    <mergeCell ref="C22:E23"/>
    <mergeCell ref="F22:G23"/>
    <mergeCell ref="H22:J23"/>
    <mergeCell ref="K22:L23"/>
    <mergeCell ref="M22:O23"/>
    <mergeCell ref="P22:Q23"/>
    <mergeCell ref="R22:T23"/>
    <mergeCell ref="R20:T21"/>
    <mergeCell ref="U20:V21"/>
    <mergeCell ref="BK22:BM23"/>
    <mergeCell ref="BN20:BO21"/>
    <mergeCell ref="BP20:BR21"/>
    <mergeCell ref="AV22:AX23"/>
    <mergeCell ref="AY22:AZ23"/>
    <mergeCell ref="BA22:BC23"/>
    <mergeCell ref="BD22:BE23"/>
    <mergeCell ref="BF22:BH23"/>
    <mergeCell ref="BK26:BM29"/>
    <mergeCell ref="BN26:BO29"/>
    <mergeCell ref="AY20:AZ21"/>
    <mergeCell ref="BA20:BC21"/>
    <mergeCell ref="BD20:BE21"/>
    <mergeCell ref="BF20:BH21"/>
    <mergeCell ref="BI20:BJ21"/>
    <mergeCell ref="BP26:BR29"/>
    <mergeCell ref="BN22:BO23"/>
    <mergeCell ref="BP22:BR23"/>
    <mergeCell ref="BK20:BM21"/>
    <mergeCell ref="AY24:AY25"/>
    <mergeCell ref="BD24:BD25"/>
    <mergeCell ref="BI24:BI25"/>
    <mergeCell ref="BN24:BN25"/>
    <mergeCell ref="AU24:AW24"/>
    <mergeCell ref="AE30:AE31"/>
    <mergeCell ref="AJ30:AJ31"/>
    <mergeCell ref="AO30:AO31"/>
    <mergeCell ref="A30:A31"/>
    <mergeCell ref="F30:F31"/>
    <mergeCell ref="K30:K31"/>
    <mergeCell ref="P30:P31"/>
    <mergeCell ref="U30:U31"/>
    <mergeCell ref="Q30:S30"/>
    <mergeCell ref="L30:N30"/>
    <mergeCell ref="G30:I30"/>
    <mergeCell ref="B30:D30"/>
    <mergeCell ref="V30:Y30"/>
    <mergeCell ref="AA30:AD30"/>
    <mergeCell ref="AF30:AI30"/>
    <mergeCell ref="AK30:AN30"/>
    <mergeCell ref="AE36:AE37"/>
    <mergeCell ref="AJ36:AJ37"/>
    <mergeCell ref="AO36:AO37"/>
    <mergeCell ref="P36:P37"/>
    <mergeCell ref="U36:U37"/>
    <mergeCell ref="B36:E36"/>
    <mergeCell ref="G36:J36"/>
    <mergeCell ref="A42:A43"/>
    <mergeCell ref="F42:F43"/>
    <mergeCell ref="K42:K43"/>
    <mergeCell ref="P42:P43"/>
    <mergeCell ref="U42:U43"/>
    <mergeCell ref="AO42:AQ42"/>
    <mergeCell ref="Y49:AJ63"/>
    <mergeCell ref="AK49:AU63"/>
    <mergeCell ref="AT103:AU105"/>
    <mergeCell ref="AV49:BG63"/>
    <mergeCell ref="BH49:BL74"/>
    <mergeCell ref="BM49:BP63"/>
    <mergeCell ref="BQ49:BS63"/>
    <mergeCell ref="Y64:AJ74"/>
    <mergeCell ref="AK64:AU74"/>
    <mergeCell ref="AV64:BG74"/>
    <mergeCell ref="BM64:BS68"/>
    <mergeCell ref="H68:K71"/>
    <mergeCell ref="BM69:BS74"/>
    <mergeCell ref="H72:K74"/>
    <mergeCell ref="G76:I78"/>
    <mergeCell ref="G79:I81"/>
    <mergeCell ref="AD103:AH109"/>
    <mergeCell ref="AL103:AN105"/>
    <mergeCell ref="AO103:AQ105"/>
    <mergeCell ref="AR103:AS105"/>
    <mergeCell ref="H75:K75"/>
    <mergeCell ref="AQ116:AS118"/>
    <mergeCell ref="AT116:AW118"/>
    <mergeCell ref="AY117:BH121"/>
    <mergeCell ref="AN119:AP121"/>
    <mergeCell ref="AY103:BH105"/>
    <mergeCell ref="AL106:AN109"/>
    <mergeCell ref="AO106:AQ109"/>
    <mergeCell ref="AR106:AS109"/>
    <mergeCell ref="AT106:AU109"/>
    <mergeCell ref="AY106:BH107"/>
    <mergeCell ref="AQ119:AS121"/>
    <mergeCell ref="AT119:AW121"/>
    <mergeCell ref="AY108:BH110"/>
    <mergeCell ref="AQ122:AS124"/>
    <mergeCell ref="AT122:AW124"/>
    <mergeCell ref="AY111:BH112"/>
    <mergeCell ref="AN113:AP115"/>
    <mergeCell ref="AQ113:AS115"/>
    <mergeCell ref="AT113:AW115"/>
    <mergeCell ref="AY113:BH116"/>
    <mergeCell ref="AN116:AP118"/>
    <mergeCell ref="B6:D6"/>
    <mergeCell ref="G6:I6"/>
    <mergeCell ref="L6:N6"/>
    <mergeCell ref="Q6:S6"/>
    <mergeCell ref="V6:X6"/>
    <mergeCell ref="AA6:AC6"/>
    <mergeCell ref="AF6:AH6"/>
    <mergeCell ref="AK6:AM6"/>
    <mergeCell ref="AP6:AR6"/>
    <mergeCell ref="AU6:AW6"/>
    <mergeCell ref="AZ6:BB6"/>
    <mergeCell ref="BE6:BG6"/>
    <mergeCell ref="V18:X18"/>
    <mergeCell ref="Q18:S18"/>
    <mergeCell ref="L18:N18"/>
    <mergeCell ref="G18:I18"/>
    <mergeCell ref="BO12:BQ12"/>
    <mergeCell ref="BF10:BH11"/>
    <mergeCell ref="BI10:BJ11"/>
    <mergeCell ref="BK10:BM11"/>
    <mergeCell ref="BN10:BO11"/>
    <mergeCell ref="BP10:BR11"/>
    <mergeCell ref="AT12:AT13"/>
    <mergeCell ref="AY12:AY13"/>
    <mergeCell ref="BD12:BD13"/>
    <mergeCell ref="BI12:BI13"/>
    <mergeCell ref="BN12:BN13"/>
    <mergeCell ref="AT10:AU11"/>
    <mergeCell ref="AV10:AX11"/>
    <mergeCell ref="AY10:AZ11"/>
    <mergeCell ref="BA10:BC11"/>
    <mergeCell ref="BD10:BE11"/>
    <mergeCell ref="AU12:AW12"/>
    <mergeCell ref="AZ12:BB12"/>
    <mergeCell ref="BE12:BG12"/>
    <mergeCell ref="BJ12:BL12"/>
    <mergeCell ref="BO18:BQ18"/>
    <mergeCell ref="BJ18:BL18"/>
    <mergeCell ref="BE18:BG18"/>
    <mergeCell ref="AZ18:BB18"/>
    <mergeCell ref="AU18:AW18"/>
    <mergeCell ref="AP18:AR18"/>
    <mergeCell ref="AK18:AM18"/>
    <mergeCell ref="AF18:AH18"/>
    <mergeCell ref="AA18:AC18"/>
    <mergeCell ref="BN18:BN19"/>
    <mergeCell ref="AT18:AT19"/>
    <mergeCell ref="AY18:AY19"/>
    <mergeCell ref="BD18:BD19"/>
    <mergeCell ref="BI18:BI19"/>
    <mergeCell ref="AJ18:AJ19"/>
    <mergeCell ref="AO18:AO19"/>
    <mergeCell ref="AE18:AE19"/>
    <mergeCell ref="AT30:AT31"/>
    <mergeCell ref="AY30:AY31"/>
    <mergeCell ref="BD30:BD31"/>
    <mergeCell ref="BI30:BI31"/>
    <mergeCell ref="BN30:BN31"/>
    <mergeCell ref="AP30:AS30"/>
    <mergeCell ref="AU30:AX30"/>
    <mergeCell ref="AZ30:BC30"/>
    <mergeCell ref="BE30:BH30"/>
    <mergeCell ref="BJ30:BM30"/>
    <mergeCell ref="BO30:BR30"/>
    <mergeCell ref="Z4:AA5"/>
    <mergeCell ref="AB4:AD5"/>
    <mergeCell ref="AE4:AF5"/>
    <mergeCell ref="AG4:AI5"/>
    <mergeCell ref="AJ4:AK5"/>
    <mergeCell ref="AL4:AN5"/>
    <mergeCell ref="AO4:AP5"/>
    <mergeCell ref="AQ4:AS5"/>
    <mergeCell ref="AT4:AU5"/>
    <mergeCell ref="AV4:AX5"/>
    <mergeCell ref="AY4:AZ5"/>
    <mergeCell ref="BA4:BC5"/>
    <mergeCell ref="BD4:BE5"/>
    <mergeCell ref="BF4:BH5"/>
    <mergeCell ref="BI4:BJ5"/>
    <mergeCell ref="BK4:BM5"/>
    <mergeCell ref="BN4:BO5"/>
    <mergeCell ref="BP4:BR5"/>
    <mergeCell ref="BK16:BM17"/>
    <mergeCell ref="BN16:BO17"/>
    <mergeCell ref="BP16:BR17"/>
    <mergeCell ref="AY16:AZ17"/>
    <mergeCell ref="BI22:BJ23"/>
    <mergeCell ref="AJ24:AJ25"/>
    <mergeCell ref="AO24:AO25"/>
    <mergeCell ref="V24:X24"/>
    <mergeCell ref="AA24:AC24"/>
    <mergeCell ref="AF24:AH24"/>
    <mergeCell ref="K24:K25"/>
    <mergeCell ref="P24:P25"/>
    <mergeCell ref="U24:U25"/>
    <mergeCell ref="B24:D24"/>
    <mergeCell ref="G24:I24"/>
    <mergeCell ref="AE26:AF29"/>
    <mergeCell ref="A10:B11"/>
    <mergeCell ref="C10:E11"/>
    <mergeCell ref="F10:G11"/>
    <mergeCell ref="H10:J11"/>
    <mergeCell ref="K10:L11"/>
    <mergeCell ref="M10:O11"/>
    <mergeCell ref="P10:Q11"/>
    <mergeCell ref="R10:T11"/>
    <mergeCell ref="U10:V11"/>
    <mergeCell ref="Z18:Z19"/>
    <mergeCell ref="U22:V23"/>
    <mergeCell ref="A18:A19"/>
    <mergeCell ref="F18:F19"/>
    <mergeCell ref="K18:K19"/>
    <mergeCell ref="P18:P19"/>
    <mergeCell ref="U18:U19"/>
    <mergeCell ref="B18:D18"/>
    <mergeCell ref="Z22:AA23"/>
    <mergeCell ref="AB22:AD23"/>
    <mergeCell ref="Z20:AA21"/>
    <mergeCell ref="AB20:AD21"/>
    <mergeCell ref="A12:A13"/>
    <mergeCell ref="F12:F13"/>
    <mergeCell ref="AQ20:AS21"/>
    <mergeCell ref="W26:Y29"/>
    <mergeCell ref="W10:Y11"/>
    <mergeCell ref="Z10:AA11"/>
    <mergeCell ref="AB10:AD11"/>
    <mergeCell ref="AE10:AF11"/>
    <mergeCell ref="AG10:AI11"/>
    <mergeCell ref="AJ10:AK11"/>
    <mergeCell ref="AL10:AN11"/>
    <mergeCell ref="AO10:AP11"/>
    <mergeCell ref="W22:Y23"/>
    <mergeCell ref="W20:Y21"/>
    <mergeCell ref="Z12:Z13"/>
    <mergeCell ref="AE12:AE13"/>
    <mergeCell ref="AJ12:AJ13"/>
    <mergeCell ref="AO12:AO13"/>
    <mergeCell ref="V12:X12"/>
    <mergeCell ref="AA12:AC12"/>
    <mergeCell ref="AF12:AH12"/>
    <mergeCell ref="AK12:AM12"/>
    <mergeCell ref="AP12:AR12"/>
    <mergeCell ref="AQ10:AS11"/>
    <mergeCell ref="Z26:AA29"/>
    <mergeCell ref="AB26:AD29"/>
    <mergeCell ref="BF16:BH17"/>
    <mergeCell ref="BI16:BJ17"/>
    <mergeCell ref="AE16:AF17"/>
    <mergeCell ref="AG16:AI17"/>
    <mergeCell ref="AQ22:AS23"/>
    <mergeCell ref="AT22:AU23"/>
    <mergeCell ref="AJ16:AK17"/>
    <mergeCell ref="AL16:AN17"/>
    <mergeCell ref="AO16:AP17"/>
    <mergeCell ref="AQ16:AS17"/>
    <mergeCell ref="AT16:AU17"/>
    <mergeCell ref="AE20:AF21"/>
    <mergeCell ref="AG20:AI21"/>
    <mergeCell ref="AJ20:AK21"/>
    <mergeCell ref="AL20:AN21"/>
    <mergeCell ref="AO20:AP21"/>
    <mergeCell ref="AE22:AF23"/>
    <mergeCell ref="AG22:AI23"/>
    <mergeCell ref="AJ22:AK23"/>
    <mergeCell ref="AL22:AN23"/>
    <mergeCell ref="AO22:AP23"/>
    <mergeCell ref="AV16:AX17"/>
    <mergeCell ref="AT20:AU21"/>
    <mergeCell ref="AV20:AX21"/>
    <mergeCell ref="BO24:BQ24"/>
    <mergeCell ref="AJ26:AK29"/>
    <mergeCell ref="AL26:AN29"/>
    <mergeCell ref="A26:B27"/>
    <mergeCell ref="C26:E27"/>
    <mergeCell ref="F26:G27"/>
    <mergeCell ref="H26:J27"/>
    <mergeCell ref="K26:L27"/>
    <mergeCell ref="M26:O27"/>
    <mergeCell ref="P26:Q27"/>
    <mergeCell ref="R26:T27"/>
    <mergeCell ref="U26:V29"/>
    <mergeCell ref="BF26:BH29"/>
    <mergeCell ref="BI26:BJ29"/>
    <mergeCell ref="AK24:AM24"/>
    <mergeCell ref="AP24:AR24"/>
    <mergeCell ref="AG26:AI29"/>
    <mergeCell ref="AO26:AP29"/>
    <mergeCell ref="AQ26:AS29"/>
    <mergeCell ref="AT26:AU29"/>
    <mergeCell ref="AV26:AX29"/>
    <mergeCell ref="AZ24:BB24"/>
    <mergeCell ref="BE24:BG24"/>
    <mergeCell ref="BJ24:BL24"/>
    <mergeCell ref="S48:AA48"/>
    <mergeCell ref="A28:B29"/>
    <mergeCell ref="C28:E29"/>
    <mergeCell ref="F28:G29"/>
    <mergeCell ref="H28:J29"/>
    <mergeCell ref="K28:L29"/>
    <mergeCell ref="M28:O29"/>
    <mergeCell ref="P28:Q29"/>
    <mergeCell ref="R28:T29"/>
    <mergeCell ref="Z36:Z37"/>
    <mergeCell ref="Z30:Z31"/>
    <mergeCell ref="A32:B35"/>
    <mergeCell ref="C32:E35"/>
    <mergeCell ref="F32:G35"/>
    <mergeCell ref="H32:J35"/>
    <mergeCell ref="K32:L35"/>
    <mergeCell ref="M32:O35"/>
    <mergeCell ref="P32:Q35"/>
    <mergeCell ref="R32:T35"/>
    <mergeCell ref="U32:V35"/>
    <mergeCell ref="B48:Q48"/>
  </mergeCells>
  <pageMargins left="1.2" right="0.7" top="0.75" bottom="0.75" header="0.3" footer="0.3"/>
  <pageSetup paperSize="8" scale="42" orientation="landscape" r:id="rId1"/>
  <colBreaks count="1" manualBreakCount="1">
    <brk id="70" max="50" man="1"/>
  </colBreaks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BDF50-8F56-44D6-BCAF-8FDD687AB47A}">
  <sheetPr>
    <pageSetUpPr fitToPage="1"/>
  </sheetPr>
  <dimension ref="A1:CL107"/>
  <sheetViews>
    <sheetView view="pageBreakPreview" topLeftCell="B1" zoomScale="55" zoomScaleNormal="115" zoomScaleSheetLayoutView="55" workbookViewId="0">
      <selection activeCell="O31" sqref="O31:R31"/>
    </sheetView>
  </sheetViews>
  <sheetFormatPr defaultRowHeight="15" x14ac:dyDescent="0.25"/>
  <cols>
    <col min="1" max="1" width="4" customWidth="1"/>
    <col min="2" max="2" width="10.7109375" customWidth="1"/>
    <col min="3" max="3" width="4.28515625" customWidth="1"/>
    <col min="4" max="5" width="5.5703125" customWidth="1"/>
    <col min="6" max="6" width="4.140625" customWidth="1"/>
    <col min="7" max="7" width="10.7109375" customWidth="1"/>
    <col min="8" max="8" width="4.28515625" customWidth="1"/>
    <col min="9" max="10" width="5.5703125" customWidth="1"/>
    <col min="11" max="11" width="4.140625" customWidth="1"/>
    <col min="12" max="12" width="10.7109375" customWidth="1"/>
    <col min="13" max="13" width="4.28515625" customWidth="1"/>
    <col min="14" max="15" width="5.5703125" customWidth="1"/>
    <col min="16" max="16" width="4.140625" customWidth="1"/>
    <col min="17" max="17" width="10.7109375" customWidth="1"/>
    <col min="18" max="18" width="4.28515625" customWidth="1"/>
    <col min="19" max="20" width="5.5703125" customWidth="1"/>
    <col min="21" max="21" width="4.140625" customWidth="1"/>
    <col min="22" max="22" width="10.7109375" customWidth="1"/>
    <col min="23" max="23" width="4.28515625" customWidth="1"/>
    <col min="24" max="25" width="5.5703125" customWidth="1"/>
    <col min="26" max="26" width="4.140625" customWidth="1"/>
    <col min="27" max="27" width="10.7109375" customWidth="1"/>
    <col min="28" max="28" width="4.28515625" customWidth="1"/>
    <col min="29" max="30" width="5.5703125" customWidth="1"/>
    <col min="31" max="31" width="4.140625" customWidth="1"/>
    <col min="32" max="32" width="10.7109375" customWidth="1"/>
    <col min="33" max="33" width="4.28515625" customWidth="1"/>
    <col min="34" max="35" width="5.5703125" customWidth="1"/>
    <col min="36" max="36" width="4.140625" customWidth="1"/>
    <col min="37" max="37" width="10.7109375" customWidth="1"/>
    <col min="38" max="38" width="4.28515625" customWidth="1"/>
    <col min="39" max="40" width="5.5703125" customWidth="1"/>
    <col min="41" max="41" width="4.140625" customWidth="1"/>
    <col min="42" max="42" width="10.7109375" customWidth="1"/>
    <col min="43" max="43" width="4.28515625" customWidth="1"/>
    <col min="44" max="45" width="5.5703125" customWidth="1"/>
    <col min="46" max="46" width="4.140625" customWidth="1"/>
    <col min="47" max="47" width="10.7109375" customWidth="1"/>
    <col min="48" max="48" width="4.28515625" customWidth="1"/>
    <col min="49" max="50" width="5.5703125" customWidth="1"/>
    <col min="51" max="51" width="4.140625" customWidth="1"/>
    <col min="52" max="52" width="10.7109375" customWidth="1"/>
    <col min="53" max="53" width="4.28515625" customWidth="1"/>
    <col min="54" max="55" width="5.5703125" customWidth="1"/>
    <col min="56" max="56" width="4.140625" customWidth="1"/>
    <col min="57" max="57" width="10.7109375" customWidth="1"/>
    <col min="58" max="58" width="4.28515625" customWidth="1"/>
    <col min="59" max="60" width="5.5703125" customWidth="1"/>
    <col min="61" max="61" width="4.140625" customWidth="1"/>
    <col min="62" max="62" width="10.7109375" customWidth="1"/>
    <col min="63" max="63" width="4.28515625" customWidth="1"/>
    <col min="64" max="65" width="5.5703125" customWidth="1"/>
    <col min="66" max="66" width="4.140625" customWidth="1"/>
    <col min="67" max="67" width="10.7109375" customWidth="1"/>
    <col min="68" max="68" width="4.28515625" customWidth="1"/>
    <col min="69" max="70" width="5.5703125" customWidth="1"/>
    <col min="71" max="71" width="1" customWidth="1"/>
    <col min="72" max="72" width="56.7109375" customWidth="1"/>
    <col min="73" max="73" width="13" customWidth="1"/>
    <col min="74" max="74" width="7" customWidth="1"/>
  </cols>
  <sheetData>
    <row r="1" spans="1:83" ht="75" customHeight="1" thickBot="1" x14ac:dyDescent="0.3">
      <c r="AJ1" s="3652"/>
      <c r="BD1" s="3642"/>
      <c r="BE1" s="3643"/>
      <c r="BF1" s="3643"/>
      <c r="BG1" s="3643"/>
      <c r="BH1" s="3643"/>
      <c r="BI1" s="3642"/>
      <c r="BJ1" s="3643"/>
      <c r="BK1" s="3643"/>
      <c r="BL1" s="3643"/>
      <c r="BM1" s="3643"/>
      <c r="BN1" s="3642"/>
      <c r="BO1" s="3643"/>
      <c r="BP1" s="3643"/>
      <c r="BQ1" s="3643"/>
      <c r="BR1" s="3643"/>
    </row>
    <row r="2" spans="1:83" ht="35.1" customHeight="1" x14ac:dyDescent="0.25">
      <c r="F2" s="3671" t="s">
        <v>250</v>
      </c>
      <c r="G2" s="3672"/>
      <c r="H2" s="3672"/>
      <c r="I2" s="3673">
        <f>G7/((36*3.1415/59)*(70/3.281))</f>
        <v>8.0692761268123369E-3</v>
      </c>
      <c r="J2" s="3674"/>
      <c r="K2" s="3671" t="s">
        <v>250</v>
      </c>
      <c r="L2" s="3672"/>
      <c r="M2" s="3672"/>
      <c r="N2" s="3669">
        <f>L7/((36*3.1415/59)*(70/3.281))</f>
        <v>0.12111249895788334</v>
      </c>
      <c r="O2" s="3670"/>
      <c r="P2" s="3671" t="s">
        <v>250</v>
      </c>
      <c r="Q2" s="3672"/>
      <c r="R2" s="3672"/>
      <c r="S2" s="3673">
        <f>Q7/((36*3.1415/59)*(30/3.281))</f>
        <v>1.8828310962562118E-2</v>
      </c>
      <c r="T2" s="3674"/>
      <c r="U2" s="3671" t="s">
        <v>250</v>
      </c>
      <c r="V2" s="3672"/>
      <c r="W2" s="3672"/>
      <c r="X2" s="3678">
        <f>V7/((36*3.1415/59)*(30/3.281))</f>
        <v>0.10578087431693989</v>
      </c>
      <c r="Y2" s="3679"/>
      <c r="Z2" s="3668"/>
      <c r="AA2" s="3668"/>
      <c r="AB2" s="3668"/>
      <c r="AC2" s="3653"/>
      <c r="AD2" s="3653"/>
      <c r="AE2" s="3668"/>
      <c r="AF2" s="3668"/>
      <c r="AG2" s="3668"/>
      <c r="AH2" s="3653"/>
      <c r="AI2" s="3653"/>
      <c r="AJ2" s="3652"/>
      <c r="BD2" s="3642"/>
      <c r="BE2" s="203"/>
      <c r="BF2" s="202"/>
      <c r="BG2" s="201"/>
      <c r="BH2" s="200"/>
      <c r="BI2" s="3642"/>
      <c r="BJ2" s="203"/>
      <c r="BK2" s="202"/>
      <c r="BL2" s="201"/>
      <c r="BM2" s="200"/>
      <c r="BN2" s="3642"/>
      <c r="BO2" s="203"/>
      <c r="BP2" s="202"/>
      <c r="BQ2" s="201"/>
      <c r="BR2" s="200"/>
    </row>
    <row r="3" spans="1:83" ht="6.75" customHeight="1" x14ac:dyDescent="0.25">
      <c r="F3" s="3659" t="s">
        <v>111</v>
      </c>
      <c r="G3" s="3660"/>
      <c r="H3" s="3660"/>
      <c r="I3" s="3660"/>
      <c r="J3" s="3661"/>
      <c r="K3" s="3659" t="s">
        <v>111</v>
      </c>
      <c r="L3" s="3660"/>
      <c r="M3" s="3660"/>
      <c r="N3" s="3660"/>
      <c r="O3" s="3661"/>
      <c r="P3" s="3662"/>
      <c r="Q3" s="2539"/>
      <c r="R3" s="2539"/>
      <c r="S3" s="2539"/>
      <c r="T3" s="3663"/>
      <c r="U3" s="3662"/>
      <c r="V3" s="2539"/>
      <c r="W3" s="2539"/>
      <c r="X3" s="2539"/>
      <c r="Y3" s="3663"/>
      <c r="Z3" s="3657"/>
      <c r="AA3" s="3657"/>
      <c r="AB3" s="3657"/>
      <c r="AC3" s="3657"/>
      <c r="AD3" s="3657"/>
      <c r="AE3" s="3657"/>
      <c r="AF3" s="3657"/>
      <c r="AG3" s="3657"/>
      <c r="AH3" s="3657"/>
      <c r="AI3" s="3657"/>
      <c r="AJ3" s="3652"/>
      <c r="BD3" s="674"/>
      <c r="BE3" s="674"/>
      <c r="BF3" s="674"/>
      <c r="BG3" s="675"/>
      <c r="BH3" s="675"/>
      <c r="BI3" s="674"/>
      <c r="BJ3" s="674"/>
      <c r="BK3" s="674"/>
      <c r="BL3" s="675"/>
      <c r="BM3" s="675"/>
      <c r="BN3" s="674"/>
      <c r="BO3" s="674"/>
      <c r="BP3" s="674"/>
      <c r="BQ3" s="675"/>
      <c r="BR3" s="675"/>
    </row>
    <row r="4" spans="1:83" ht="21.95" customHeight="1" x14ac:dyDescent="0.25">
      <c r="F4" s="3659"/>
      <c r="G4" s="3660"/>
      <c r="H4" s="3660"/>
      <c r="I4" s="3660"/>
      <c r="J4" s="3661"/>
      <c r="K4" s="3659"/>
      <c r="L4" s="3660"/>
      <c r="M4" s="3660"/>
      <c r="N4" s="3660"/>
      <c r="O4" s="3661"/>
      <c r="P4" s="3664"/>
      <c r="Q4" s="2542"/>
      <c r="R4" s="2542"/>
      <c r="S4" s="2542"/>
      <c r="T4" s="3665"/>
      <c r="U4" s="3664"/>
      <c r="V4" s="2542"/>
      <c r="W4" s="2542"/>
      <c r="X4" s="2542"/>
      <c r="Y4" s="3665"/>
      <c r="Z4" s="3657"/>
      <c r="AA4" s="3657"/>
      <c r="AB4" s="3657"/>
      <c r="AC4" s="3657"/>
      <c r="AD4" s="3657"/>
      <c r="AE4" s="3657"/>
      <c r="AF4" s="3657"/>
      <c r="AG4" s="3657"/>
      <c r="AH4" s="3657"/>
      <c r="AI4" s="3657"/>
      <c r="AJ4" s="3652"/>
      <c r="BD4" s="676"/>
      <c r="BE4" s="676"/>
      <c r="BF4" s="676"/>
      <c r="BG4" s="29"/>
      <c r="BH4" s="29"/>
      <c r="BI4" s="676"/>
      <c r="BJ4" s="676"/>
      <c r="BK4" s="676"/>
      <c r="BL4" s="29"/>
      <c r="BM4" s="29"/>
      <c r="BN4" s="676"/>
      <c r="BO4" s="676"/>
      <c r="BP4" s="676"/>
      <c r="BQ4" s="29"/>
      <c r="BR4" s="29"/>
    </row>
    <row r="5" spans="1:83" ht="6" customHeight="1" x14ac:dyDescent="0.25">
      <c r="F5" s="3659"/>
      <c r="G5" s="3660"/>
      <c r="H5" s="3660"/>
      <c r="I5" s="3660"/>
      <c r="J5" s="3661"/>
      <c r="K5" s="3659"/>
      <c r="L5" s="3660"/>
      <c r="M5" s="3660"/>
      <c r="N5" s="3660"/>
      <c r="O5" s="3661"/>
      <c r="P5" s="3666"/>
      <c r="Q5" s="2545"/>
      <c r="R5" s="2545"/>
      <c r="S5" s="2545"/>
      <c r="T5" s="3667"/>
      <c r="U5" s="3666"/>
      <c r="V5" s="2545"/>
      <c r="W5" s="2545"/>
      <c r="X5" s="2545"/>
      <c r="Y5" s="3667"/>
      <c r="Z5" s="3657"/>
      <c r="AA5" s="3657"/>
      <c r="AB5" s="3657"/>
      <c r="AC5" s="3657"/>
      <c r="AD5" s="3657"/>
      <c r="AE5" s="3657"/>
      <c r="AF5" s="3657"/>
      <c r="AG5" s="3657"/>
      <c r="AH5" s="3657"/>
      <c r="AI5" s="3657"/>
      <c r="AJ5" s="3652"/>
      <c r="BD5" s="676"/>
      <c r="BE5" s="676"/>
      <c r="BF5" s="676"/>
      <c r="BG5" s="30"/>
      <c r="BH5" s="29"/>
      <c r="BI5" s="676"/>
      <c r="BJ5" s="676"/>
      <c r="BK5" s="676"/>
      <c r="BL5" s="30"/>
      <c r="BM5" s="29"/>
      <c r="BN5" s="676"/>
      <c r="BO5" s="676"/>
      <c r="BP5" s="676"/>
      <c r="BQ5" s="30"/>
      <c r="BR5" s="29"/>
    </row>
    <row r="6" spans="1:83" s="22" customFormat="1" ht="84.95" customHeight="1" x14ac:dyDescent="1.35">
      <c r="A6"/>
      <c r="B6"/>
      <c r="C6"/>
      <c r="D6"/>
      <c r="E6"/>
      <c r="F6" s="3654" t="s">
        <v>137</v>
      </c>
      <c r="G6" s="3562">
        <v>3</v>
      </c>
      <c r="H6" s="3562"/>
      <c r="I6" s="3562"/>
      <c r="J6" s="3658"/>
      <c r="K6" s="3654" t="s">
        <v>137</v>
      </c>
      <c r="L6" s="3562">
        <v>4</v>
      </c>
      <c r="M6" s="3562"/>
      <c r="N6" s="3562"/>
      <c r="O6" s="3658"/>
      <c r="P6" s="3654" t="s">
        <v>266</v>
      </c>
      <c r="Q6" s="3562">
        <v>1</v>
      </c>
      <c r="R6" s="3562"/>
      <c r="S6" s="3562"/>
      <c r="T6" s="3658"/>
      <c r="U6" s="3654" t="s">
        <v>266</v>
      </c>
      <c r="V6" s="3562">
        <v>2</v>
      </c>
      <c r="W6" s="3562"/>
      <c r="X6" s="3562"/>
      <c r="Y6" s="3658"/>
      <c r="Z6" s="3656"/>
      <c r="AA6" s="1474"/>
      <c r="AB6" s="1474"/>
      <c r="AC6" s="1474"/>
      <c r="AD6" s="1474"/>
      <c r="AE6" s="3656"/>
      <c r="AF6" s="1474"/>
      <c r="AG6" s="1474"/>
      <c r="AH6" s="1474"/>
      <c r="AI6" s="1474"/>
      <c r="AJ6" s="3652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 s="676"/>
      <c r="BE6" s="676"/>
      <c r="BF6" s="676"/>
      <c r="BG6" s="675"/>
      <c r="BH6" s="675"/>
      <c r="BI6" s="676"/>
      <c r="BJ6" s="676"/>
      <c r="BK6" s="676"/>
      <c r="BL6" s="675"/>
      <c r="BM6" s="675"/>
      <c r="BN6" s="676"/>
      <c r="BO6" s="676"/>
      <c r="BP6" s="676"/>
      <c r="BQ6" s="675"/>
      <c r="BR6" s="675"/>
      <c r="BS6"/>
    </row>
    <row r="7" spans="1:83" ht="27" customHeight="1" thickBot="1" x14ac:dyDescent="0.3">
      <c r="F7" s="3655"/>
      <c r="G7" s="183">
        <v>0.33</v>
      </c>
      <c r="H7" s="184" t="s">
        <v>113</v>
      </c>
      <c r="I7" s="185"/>
      <c r="J7" s="186" t="s">
        <v>114</v>
      </c>
      <c r="K7" s="3655"/>
      <c r="L7" s="183">
        <v>4.9530000000000003</v>
      </c>
      <c r="M7" s="184" t="s">
        <v>113</v>
      </c>
      <c r="N7" s="185"/>
      <c r="O7" s="186" t="s">
        <v>114</v>
      </c>
      <c r="P7" s="3655"/>
      <c r="Q7" s="183">
        <v>0.33</v>
      </c>
      <c r="R7" s="184" t="s">
        <v>113</v>
      </c>
      <c r="S7" s="185"/>
      <c r="T7" s="186" t="s">
        <v>114</v>
      </c>
      <c r="U7" s="3655"/>
      <c r="V7" s="183">
        <v>1.8540000000000001</v>
      </c>
      <c r="W7" s="184" t="s">
        <v>113</v>
      </c>
      <c r="X7" s="185"/>
      <c r="Y7" s="186" t="s">
        <v>114</v>
      </c>
      <c r="Z7" s="3656"/>
      <c r="AA7" s="212"/>
      <c r="AB7" s="211"/>
      <c r="AC7" s="210"/>
      <c r="AD7" s="209"/>
      <c r="AE7" s="3656"/>
      <c r="AF7" s="212"/>
      <c r="AG7" s="211"/>
      <c r="AH7" s="210"/>
      <c r="AI7" s="209"/>
      <c r="AJ7" s="3652"/>
      <c r="BD7" s="677"/>
      <c r="BE7" s="717"/>
      <c r="BF7" s="717"/>
      <c r="BG7" s="717"/>
      <c r="BH7" s="717"/>
      <c r="BI7" s="677"/>
      <c r="BJ7" s="717"/>
      <c r="BK7" s="717"/>
      <c r="BL7" s="717"/>
      <c r="BM7" s="717"/>
      <c r="BN7" s="677"/>
      <c r="BO7" s="717"/>
      <c r="BP7" s="717"/>
      <c r="BQ7" s="717"/>
      <c r="BR7" s="717"/>
      <c r="BW7" s="27"/>
      <c r="BX7" s="27"/>
      <c r="BY7" s="27"/>
      <c r="BZ7" s="27"/>
      <c r="CA7" s="27"/>
      <c r="CB7" s="27"/>
      <c r="CC7" s="27"/>
      <c r="CD7" s="27"/>
      <c r="CE7" s="27"/>
    </row>
    <row r="8" spans="1:83" ht="35.1" customHeight="1" x14ac:dyDescent="0.25">
      <c r="AJ8" s="3652"/>
      <c r="BD8" s="677"/>
      <c r="BE8" s="32"/>
      <c r="BF8" s="33"/>
      <c r="BG8" s="34"/>
      <c r="BH8" s="35"/>
      <c r="BI8" s="677"/>
      <c r="BJ8" s="32"/>
      <c r="BK8" s="33"/>
      <c r="BL8" s="34"/>
      <c r="BM8" s="35"/>
      <c r="BN8" s="677"/>
      <c r="BO8" s="32"/>
      <c r="BP8" s="33"/>
      <c r="BQ8" s="34"/>
      <c r="BR8" s="35"/>
    </row>
    <row r="9" spans="1:83" ht="6.75" customHeight="1" x14ac:dyDescent="0.25">
      <c r="AJ9" s="3652"/>
      <c r="BD9" s="674"/>
      <c r="BE9" s="674"/>
      <c r="BF9" s="674"/>
      <c r="BG9" s="675"/>
      <c r="BH9" s="675"/>
      <c r="BI9" s="674"/>
      <c r="BJ9" s="674"/>
      <c r="BK9" s="674"/>
      <c r="BL9" s="675"/>
      <c r="BM9" s="675"/>
      <c r="BN9" s="674"/>
      <c r="BO9" s="674"/>
      <c r="BP9" s="674"/>
      <c r="BQ9" s="675"/>
      <c r="BR9" s="675"/>
    </row>
    <row r="10" spans="1:83" ht="21.95" customHeight="1" x14ac:dyDescent="0.25">
      <c r="AJ10" s="3652"/>
      <c r="BD10" s="676"/>
      <c r="BE10" s="676"/>
      <c r="BF10" s="676"/>
      <c r="BG10" s="29"/>
      <c r="BH10" s="29"/>
      <c r="BI10" s="676"/>
      <c r="BJ10" s="676"/>
      <c r="BK10" s="676"/>
      <c r="BL10" s="29"/>
      <c r="BM10" s="29"/>
      <c r="BN10" s="676"/>
      <c r="BO10" s="676"/>
      <c r="BP10" s="676"/>
      <c r="BQ10" s="29"/>
      <c r="BR10" s="29"/>
    </row>
    <row r="11" spans="1:83" ht="6" customHeight="1" x14ac:dyDescent="0.25">
      <c r="AJ11" s="3652"/>
      <c r="BD11" s="676"/>
      <c r="BE11" s="676"/>
      <c r="BF11" s="676"/>
      <c r="BG11" s="30"/>
      <c r="BH11" s="29"/>
      <c r="BI11" s="676"/>
      <c r="BJ11" s="676"/>
      <c r="BK11" s="676"/>
      <c r="BL11" s="30"/>
      <c r="BM11" s="29"/>
      <c r="BN11" s="676"/>
      <c r="BO11" s="676"/>
      <c r="BP11" s="676"/>
      <c r="BQ11" s="30"/>
      <c r="BR11" s="29"/>
    </row>
    <row r="12" spans="1:83" s="22" customFormat="1" ht="84.95" customHeight="1" x14ac:dyDescent="1.35">
      <c r="A12"/>
      <c r="B12"/>
      <c r="C12"/>
      <c r="D12"/>
      <c r="E12"/>
      <c r="F12"/>
      <c r="G12"/>
      <c r="H12" s="3675" cm="1">
        <f t="array" aca="1" ref="H12" ca="1">SUM(COUNTIF(INDIRECT({"G6","L6","Q6","V6"}),"&gt;0"))</f>
        <v>4</v>
      </c>
      <c r="I12" s="3675"/>
      <c r="J12" s="3675"/>
      <c r="K12" s="3675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 s="365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 s="676"/>
      <c r="BE12" s="676"/>
      <c r="BF12" s="676"/>
      <c r="BG12" s="675"/>
      <c r="BH12" s="675"/>
      <c r="BI12" s="676"/>
      <c r="BJ12" s="676"/>
      <c r="BK12" s="676"/>
      <c r="BL12" s="675"/>
      <c r="BM12" s="675"/>
      <c r="BN12" s="676"/>
      <c r="BO12" s="676"/>
      <c r="BP12" s="676"/>
      <c r="BQ12" s="675"/>
      <c r="BR12" s="675"/>
      <c r="BS12"/>
    </row>
    <row r="13" spans="1:83" ht="27" customHeight="1" x14ac:dyDescent="0.25">
      <c r="AJ13" s="3652"/>
      <c r="BD13" s="677"/>
      <c r="BE13" s="678"/>
      <c r="BF13" s="678"/>
      <c r="BG13" s="678"/>
      <c r="BH13" s="678"/>
      <c r="BI13" s="677"/>
      <c r="BJ13" s="678"/>
      <c r="BK13" s="678"/>
      <c r="BL13" s="678"/>
      <c r="BM13" s="678"/>
      <c r="BN13" s="677"/>
      <c r="BO13" s="678"/>
      <c r="BP13" s="678"/>
      <c r="BQ13" s="678"/>
      <c r="BR13" s="678"/>
      <c r="BW13" s="27"/>
      <c r="BX13" s="27"/>
      <c r="BY13" s="27"/>
      <c r="BZ13" s="27"/>
      <c r="CA13" s="27"/>
      <c r="CB13" s="27"/>
      <c r="CC13" s="27"/>
      <c r="CD13" s="27"/>
      <c r="CE13" s="27"/>
    </row>
    <row r="14" spans="1:83" ht="35.1" customHeight="1" x14ac:dyDescent="0.25">
      <c r="H14" s="1474" cm="1">
        <f t="array" aca="1" ref="H14" ca="1">SUM(COUNTIF(INDIRECT({"G7","L7","Q7","V7"}),"&gt;0"))</f>
        <v>4</v>
      </c>
      <c r="I14" s="1474"/>
      <c r="J14" s="1474"/>
      <c r="K14" s="1474"/>
      <c r="AJ14" s="3652"/>
      <c r="BD14" s="677"/>
      <c r="BE14" s="32"/>
      <c r="BF14" s="33"/>
      <c r="BG14" s="34"/>
      <c r="BH14" s="35"/>
      <c r="BI14" s="677"/>
      <c r="BJ14" s="32"/>
      <c r="BK14" s="33"/>
      <c r="BL14" s="34"/>
      <c r="BM14" s="35"/>
      <c r="BN14" s="677"/>
      <c r="BO14" s="32"/>
      <c r="BP14" s="33"/>
      <c r="BQ14" s="34"/>
      <c r="BR14" s="35"/>
    </row>
    <row r="15" spans="1:83" ht="6.75" customHeight="1" x14ac:dyDescent="0.25">
      <c r="H15" s="1474"/>
      <c r="I15" s="1474"/>
      <c r="J15" s="1474"/>
      <c r="K15" s="1474"/>
      <c r="AJ15" s="3652"/>
      <c r="BD15" s="674"/>
      <c r="BE15" s="674"/>
      <c r="BF15" s="674"/>
      <c r="BG15" s="675"/>
      <c r="BH15" s="675"/>
      <c r="BI15" s="674"/>
      <c r="BJ15" s="674"/>
      <c r="BK15" s="674"/>
      <c r="BL15" s="675"/>
      <c r="BM15" s="675"/>
      <c r="BN15" s="674"/>
      <c r="BO15" s="674"/>
      <c r="BP15" s="674"/>
      <c r="BQ15" s="675"/>
      <c r="BR15" s="675"/>
    </row>
    <row r="16" spans="1:83" ht="21.95" customHeight="1" x14ac:dyDescent="0.25">
      <c r="H16" s="1474"/>
      <c r="I16" s="1474"/>
      <c r="J16" s="1474"/>
      <c r="K16" s="1474"/>
      <c r="AJ16" s="3652"/>
      <c r="BD16" s="676"/>
      <c r="BE16" s="676"/>
      <c r="BF16" s="676"/>
      <c r="BG16" s="29"/>
      <c r="BH16" s="29"/>
      <c r="BI16" s="676"/>
      <c r="BJ16" s="676"/>
      <c r="BK16" s="676"/>
      <c r="BL16" s="29"/>
      <c r="BM16" s="29"/>
      <c r="BN16" s="676"/>
      <c r="BO16" s="676"/>
      <c r="BP16" s="676"/>
      <c r="BQ16" s="29"/>
      <c r="BR16" s="29"/>
    </row>
    <row r="17" spans="1:83" ht="6" customHeight="1" x14ac:dyDescent="0.25">
      <c r="H17" s="1474"/>
      <c r="I17" s="1474"/>
      <c r="J17" s="1474"/>
      <c r="K17" s="1474"/>
      <c r="AJ17" s="3652"/>
      <c r="BD17" s="676"/>
      <c r="BE17" s="676"/>
      <c r="BF17" s="676"/>
      <c r="BG17" s="30"/>
      <c r="BH17" s="29"/>
      <c r="BI17" s="676"/>
      <c r="BJ17" s="676"/>
      <c r="BK17" s="676"/>
      <c r="BL17" s="30"/>
      <c r="BM17" s="29"/>
      <c r="BN17" s="676"/>
      <c r="BO17" s="676"/>
      <c r="BP17" s="676"/>
      <c r="BQ17" s="30"/>
      <c r="BR17" s="29"/>
    </row>
    <row r="18" spans="1:83" s="22" customFormat="1" ht="84.95" customHeight="1" x14ac:dyDescent="1.35">
      <c r="A18"/>
      <c r="B18"/>
      <c r="C18"/>
      <c r="D18"/>
      <c r="E18"/>
      <c r="F18"/>
      <c r="G18"/>
      <c r="H18" s="208"/>
      <c r="I18" s="3676">
        <v>2</v>
      </c>
      <c r="J18" s="3676"/>
      <c r="K18" s="3676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 s="3652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 s="676"/>
      <c r="BE18" s="676"/>
      <c r="BF18" s="676"/>
      <c r="BG18" s="675"/>
      <c r="BH18" s="675"/>
      <c r="BI18" s="676"/>
      <c r="BJ18" s="676"/>
      <c r="BK18" s="676"/>
      <c r="BL18" s="675"/>
      <c r="BM18" s="675"/>
      <c r="BN18" s="676"/>
      <c r="BO18" s="676"/>
      <c r="BP18" s="676"/>
      <c r="BQ18" s="675"/>
      <c r="BR18" s="675"/>
      <c r="BS18"/>
    </row>
    <row r="19" spans="1:83" ht="26.25" customHeight="1" x14ac:dyDescent="0.25">
      <c r="A19" s="697" t="s">
        <v>255</v>
      </c>
      <c r="B19" s="697"/>
      <c r="C19" s="697"/>
      <c r="D19" s="697"/>
      <c r="E19" s="697"/>
      <c r="F19" s="697"/>
      <c r="G19" s="697"/>
      <c r="H19" s="697"/>
      <c r="I19" s="697"/>
      <c r="J19" s="697"/>
      <c r="K19" s="697" t="s">
        <v>117</v>
      </c>
      <c r="L19" s="697"/>
      <c r="M19" s="697"/>
      <c r="N19" s="697"/>
      <c r="O19" s="697"/>
      <c r="P19" s="697"/>
      <c r="Q19" s="697"/>
      <c r="R19" s="697"/>
      <c r="S19" s="697"/>
      <c r="T19" s="697"/>
      <c r="U19" s="697" t="s">
        <v>118</v>
      </c>
      <c r="V19" s="697"/>
      <c r="W19" s="697"/>
      <c r="X19" s="697"/>
      <c r="Y19" s="697"/>
      <c r="Z19" s="697"/>
      <c r="AA19" s="697"/>
      <c r="AB19" s="697"/>
      <c r="AC19" s="697"/>
      <c r="AD19" s="697"/>
      <c r="AE19" s="700">
        <f>I7+N7+S7+X7</f>
        <v>0</v>
      </c>
      <c r="AF19" s="700"/>
      <c r="AG19" s="701" t="s">
        <v>120</v>
      </c>
      <c r="AH19" s="701"/>
      <c r="AI19" s="701"/>
      <c r="AJ19" s="3652"/>
      <c r="BD19" s="677"/>
      <c r="BE19" s="678"/>
      <c r="BF19" s="678"/>
      <c r="BG19" s="678"/>
      <c r="BH19" s="678"/>
      <c r="BI19" s="677"/>
      <c r="BJ19" s="678"/>
      <c r="BK19" s="678"/>
      <c r="BL19" s="678"/>
      <c r="BM19" s="678"/>
      <c r="BN19" s="677"/>
      <c r="BO19" s="678"/>
      <c r="BP19" s="678"/>
      <c r="BQ19" s="678"/>
      <c r="BR19" s="678"/>
      <c r="BW19" s="27"/>
      <c r="BX19" s="27"/>
      <c r="BY19" s="27"/>
      <c r="BZ19" s="27"/>
      <c r="CA19" s="27"/>
      <c r="CB19" s="27"/>
      <c r="CC19" s="27"/>
      <c r="CD19" s="27"/>
      <c r="CE19" s="27"/>
    </row>
    <row r="20" spans="1:83" ht="35.1" customHeight="1" x14ac:dyDescent="0.25">
      <c r="A20" s="697"/>
      <c r="B20" s="697"/>
      <c r="C20" s="697"/>
      <c r="D20" s="697"/>
      <c r="E20" s="697"/>
      <c r="F20" s="697"/>
      <c r="G20" s="697"/>
      <c r="H20" s="697"/>
      <c r="I20" s="697"/>
      <c r="J20" s="697"/>
      <c r="K20" s="697"/>
      <c r="L20" s="697"/>
      <c r="M20" s="697"/>
      <c r="N20" s="697"/>
      <c r="O20" s="697"/>
      <c r="P20" s="697"/>
      <c r="Q20" s="697"/>
      <c r="R20" s="697"/>
      <c r="S20" s="697"/>
      <c r="T20" s="697"/>
      <c r="U20" s="697"/>
      <c r="V20" s="697"/>
      <c r="W20" s="697"/>
      <c r="X20" s="697"/>
      <c r="Y20" s="697"/>
      <c r="Z20" s="697"/>
      <c r="AA20" s="697"/>
      <c r="AB20" s="697"/>
      <c r="AC20" s="697"/>
      <c r="AD20" s="697"/>
      <c r="AE20" s="700"/>
      <c r="AF20" s="700"/>
      <c r="AG20" s="701"/>
      <c r="AH20" s="701"/>
      <c r="AI20" s="701"/>
      <c r="AJ20" s="3652"/>
      <c r="BD20" s="677"/>
      <c r="BE20" s="32"/>
      <c r="BF20" s="33"/>
      <c r="BG20" s="34"/>
      <c r="BH20" s="35"/>
      <c r="BI20" s="677"/>
      <c r="BJ20" s="32"/>
      <c r="BK20" s="33"/>
      <c r="BL20" s="34"/>
      <c r="BM20" s="35"/>
      <c r="BN20" s="677"/>
      <c r="BO20" s="32"/>
      <c r="BP20" s="33"/>
      <c r="BQ20" s="34"/>
      <c r="BR20" s="35"/>
    </row>
    <row r="21" spans="1:83" ht="6.75" customHeight="1" x14ac:dyDescent="0.25">
      <c r="A21" s="3677"/>
      <c r="B21" s="708"/>
      <c r="C21" s="708"/>
      <c r="D21" s="708"/>
      <c r="E21" s="708"/>
      <c r="F21" s="708"/>
      <c r="G21" s="708"/>
      <c r="H21" s="708"/>
      <c r="I21" s="708"/>
      <c r="J21" s="708"/>
      <c r="K21" s="3677"/>
      <c r="L21" s="708"/>
      <c r="M21" s="708"/>
      <c r="N21" s="708"/>
      <c r="O21" s="708"/>
      <c r="P21" s="708"/>
      <c r="Q21" s="708"/>
      <c r="R21" s="708"/>
      <c r="S21" s="708"/>
      <c r="T21" s="708"/>
      <c r="U21" s="3677">
        <f>G7+Q7+V7+L7</f>
        <v>7.4670000000000005</v>
      </c>
      <c r="V21" s="708"/>
      <c r="W21" s="708"/>
      <c r="X21" s="708"/>
      <c r="Y21" s="708"/>
      <c r="Z21" s="708"/>
      <c r="AA21" s="708"/>
      <c r="AB21" s="708"/>
      <c r="AC21" s="708"/>
      <c r="AD21" s="708"/>
      <c r="AE21" s="699" t="s">
        <v>119</v>
      </c>
      <c r="AF21" s="699"/>
      <c r="AG21" s="699"/>
      <c r="AH21" s="699"/>
      <c r="AI21" s="699"/>
      <c r="AJ21" s="3652"/>
      <c r="BD21" s="674"/>
      <c r="BE21" s="674"/>
      <c r="BF21" s="674"/>
      <c r="BG21" s="675"/>
      <c r="BH21" s="675"/>
      <c r="BI21" s="674"/>
      <c r="BJ21" s="674"/>
      <c r="BK21" s="674"/>
      <c r="BL21" s="675"/>
      <c r="BM21" s="675"/>
      <c r="BN21" s="674"/>
      <c r="BO21" s="674"/>
      <c r="BP21" s="674"/>
      <c r="BQ21" s="675"/>
      <c r="BR21" s="675"/>
    </row>
    <row r="22" spans="1:83" ht="21.95" customHeight="1" x14ac:dyDescent="0.25">
      <c r="A22" s="3677"/>
      <c r="B22" s="708"/>
      <c r="C22" s="708"/>
      <c r="D22" s="708"/>
      <c r="E22" s="708"/>
      <c r="F22" s="708"/>
      <c r="G22" s="708"/>
      <c r="H22" s="708"/>
      <c r="I22" s="708"/>
      <c r="J22" s="708"/>
      <c r="K22" s="3677"/>
      <c r="L22" s="708"/>
      <c r="M22" s="708"/>
      <c r="N22" s="708"/>
      <c r="O22" s="708"/>
      <c r="P22" s="708"/>
      <c r="Q22" s="708"/>
      <c r="R22" s="708"/>
      <c r="S22" s="708"/>
      <c r="T22" s="708"/>
      <c r="U22" s="3677"/>
      <c r="V22" s="708"/>
      <c r="W22" s="708"/>
      <c r="X22" s="708"/>
      <c r="Y22" s="708"/>
      <c r="Z22" s="708"/>
      <c r="AA22" s="708"/>
      <c r="AB22" s="708"/>
      <c r="AC22" s="708"/>
      <c r="AD22" s="708"/>
      <c r="AE22" s="699"/>
      <c r="AF22" s="699"/>
      <c r="AG22" s="699"/>
      <c r="AH22" s="699"/>
      <c r="AI22" s="699"/>
      <c r="AJ22" s="3652"/>
      <c r="BD22" s="676"/>
      <c r="BE22" s="676"/>
      <c r="BF22" s="676"/>
      <c r="BG22" s="29"/>
      <c r="BH22" s="29"/>
      <c r="BI22" s="676"/>
      <c r="BJ22" s="676"/>
      <c r="BK22" s="676"/>
      <c r="BL22" s="29"/>
      <c r="BM22" s="29"/>
      <c r="BN22" s="676"/>
      <c r="BO22" s="676"/>
      <c r="BP22" s="676"/>
      <c r="BQ22" s="29"/>
      <c r="BR22" s="29"/>
    </row>
    <row r="23" spans="1:83" ht="6" customHeight="1" x14ac:dyDescent="0.25">
      <c r="A23" s="3677"/>
      <c r="B23" s="708"/>
      <c r="C23" s="708"/>
      <c r="D23" s="708"/>
      <c r="E23" s="708"/>
      <c r="F23" s="708"/>
      <c r="G23" s="708"/>
      <c r="H23" s="708"/>
      <c r="I23" s="708"/>
      <c r="J23" s="708"/>
      <c r="K23" s="3677"/>
      <c r="L23" s="708"/>
      <c r="M23" s="708"/>
      <c r="N23" s="708"/>
      <c r="O23" s="708"/>
      <c r="P23" s="708"/>
      <c r="Q23" s="708"/>
      <c r="R23" s="708"/>
      <c r="S23" s="708"/>
      <c r="T23" s="708"/>
      <c r="U23" s="3677"/>
      <c r="V23" s="708"/>
      <c r="W23" s="708"/>
      <c r="X23" s="708"/>
      <c r="Y23" s="708"/>
      <c r="Z23" s="708"/>
      <c r="AA23" s="708"/>
      <c r="AB23" s="708"/>
      <c r="AC23" s="708"/>
      <c r="AD23" s="708"/>
      <c r="AE23" s="699"/>
      <c r="AF23" s="699"/>
      <c r="AG23" s="699"/>
      <c r="AH23" s="699"/>
      <c r="AI23" s="699"/>
      <c r="AJ23" s="3652"/>
      <c r="BD23" s="676"/>
      <c r="BE23" s="676"/>
      <c r="BF23" s="676"/>
      <c r="BG23" s="30"/>
      <c r="BH23" s="29"/>
      <c r="BI23" s="676"/>
      <c r="BJ23" s="676"/>
      <c r="BK23" s="676"/>
      <c r="BL23" s="30"/>
      <c r="BM23" s="29"/>
      <c r="BN23" s="676"/>
      <c r="BO23" s="676"/>
      <c r="BP23" s="676"/>
      <c r="BQ23" s="30"/>
      <c r="BR23" s="29"/>
    </row>
    <row r="24" spans="1:83" s="22" customFormat="1" ht="84.95" customHeight="1" x14ac:dyDescent="1.35">
      <c r="A24" s="3677"/>
      <c r="B24" s="708"/>
      <c r="C24" s="708"/>
      <c r="D24" s="708"/>
      <c r="E24" s="708"/>
      <c r="F24" s="708"/>
      <c r="G24" s="708"/>
      <c r="H24" s="708"/>
      <c r="I24" s="708"/>
      <c r="J24" s="708"/>
      <c r="K24" s="3677"/>
      <c r="L24" s="708"/>
      <c r="M24" s="708"/>
      <c r="N24" s="708"/>
      <c r="O24" s="708"/>
      <c r="P24" s="708"/>
      <c r="Q24" s="708"/>
      <c r="R24" s="708"/>
      <c r="S24" s="708"/>
      <c r="T24" s="708"/>
      <c r="U24" s="3677"/>
      <c r="V24" s="708"/>
      <c r="W24" s="708"/>
      <c r="X24" s="708"/>
      <c r="Y24" s="708"/>
      <c r="Z24" s="708"/>
      <c r="AA24" s="708"/>
      <c r="AB24" s="708"/>
      <c r="AC24" s="708"/>
      <c r="AD24" s="708"/>
      <c r="AE24" s="699"/>
      <c r="AF24" s="699"/>
      <c r="AG24" s="699"/>
      <c r="AH24" s="699"/>
      <c r="AI24" s="699"/>
      <c r="AJ24" s="3652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 s="676"/>
      <c r="BE24" s="676"/>
      <c r="BF24" s="676"/>
      <c r="BG24" s="675"/>
      <c r="BH24" s="675"/>
      <c r="BI24" s="676"/>
      <c r="BJ24" s="676"/>
      <c r="BK24" s="676"/>
      <c r="BL24" s="675"/>
      <c r="BM24" s="675"/>
      <c r="BN24" s="676"/>
      <c r="BO24" s="676"/>
      <c r="BP24" s="676"/>
      <c r="BQ24" s="675"/>
      <c r="BR24" s="675"/>
      <c r="BS24"/>
    </row>
    <row r="25" spans="1:83" ht="27" customHeight="1" x14ac:dyDescent="0.25">
      <c r="A25" s="3677"/>
      <c r="B25" s="708"/>
      <c r="C25" s="708"/>
      <c r="D25" s="708"/>
      <c r="E25" s="708"/>
      <c r="F25" s="708"/>
      <c r="G25" s="708"/>
      <c r="H25" s="708"/>
      <c r="I25" s="708"/>
      <c r="J25" s="708"/>
      <c r="K25" s="3677"/>
      <c r="L25" s="708"/>
      <c r="M25" s="708"/>
      <c r="N25" s="708"/>
      <c r="O25" s="708"/>
      <c r="P25" s="708"/>
      <c r="Q25" s="708"/>
      <c r="R25" s="708"/>
      <c r="S25" s="708"/>
      <c r="T25" s="708"/>
      <c r="U25" s="3677"/>
      <c r="V25" s="708"/>
      <c r="W25" s="708"/>
      <c r="X25" s="708"/>
      <c r="Y25" s="708"/>
      <c r="Z25" s="708"/>
      <c r="AA25" s="708"/>
      <c r="AB25" s="708"/>
      <c r="AC25" s="708"/>
      <c r="AD25" s="708"/>
      <c r="AE25" s="699"/>
      <c r="AF25" s="699"/>
      <c r="AG25" s="699"/>
      <c r="AH25" s="699"/>
      <c r="AI25" s="699"/>
      <c r="AJ25" s="3652"/>
      <c r="BD25" s="677"/>
      <c r="BE25" s="678"/>
      <c r="BF25" s="678"/>
      <c r="BG25" s="678"/>
      <c r="BH25" s="678"/>
      <c r="BI25" s="677"/>
      <c r="BJ25" s="678"/>
      <c r="BK25" s="678"/>
      <c r="BL25" s="678"/>
      <c r="BM25" s="678"/>
      <c r="BN25" s="677"/>
      <c r="BO25" s="678"/>
      <c r="BP25" s="678"/>
      <c r="BQ25" s="678"/>
      <c r="BR25" s="678"/>
      <c r="BW25" s="27"/>
      <c r="BX25" s="27"/>
      <c r="BY25" s="27"/>
      <c r="BZ25" s="27"/>
      <c r="CA25" s="27"/>
      <c r="CB25" s="27"/>
      <c r="CC25" s="27"/>
      <c r="CD25" s="27"/>
      <c r="CE25" s="27"/>
    </row>
    <row r="26" spans="1:83" ht="35.1" customHeight="1" x14ac:dyDescent="0.25">
      <c r="A26" s="3677"/>
      <c r="B26" s="708"/>
      <c r="C26" s="708"/>
      <c r="D26" s="708"/>
      <c r="E26" s="708"/>
      <c r="F26" s="708"/>
      <c r="G26" s="708"/>
      <c r="H26" s="708"/>
      <c r="I26" s="708"/>
      <c r="J26" s="708"/>
      <c r="K26" s="3677"/>
      <c r="L26" s="708"/>
      <c r="M26" s="708"/>
      <c r="N26" s="708"/>
      <c r="O26" s="708"/>
      <c r="P26" s="708"/>
      <c r="Q26" s="708"/>
      <c r="R26" s="708"/>
      <c r="S26" s="708"/>
      <c r="T26" s="708"/>
      <c r="U26" s="3677"/>
      <c r="V26" s="708"/>
      <c r="W26" s="708"/>
      <c r="X26" s="708"/>
      <c r="Y26" s="708"/>
      <c r="Z26" s="708"/>
      <c r="AA26" s="708"/>
      <c r="AB26" s="708"/>
      <c r="AC26" s="708"/>
      <c r="AD26" s="708"/>
      <c r="AE26" s="207"/>
      <c r="AF26" s="708">
        <f>AE19*1.5</f>
        <v>0</v>
      </c>
      <c r="AG26" s="708"/>
      <c r="AH26" s="708"/>
      <c r="AI26" s="708"/>
      <c r="AJ26" s="3652"/>
      <c r="BD26" s="677"/>
      <c r="BE26" s="32"/>
      <c r="BF26" s="33"/>
      <c r="BG26" s="34"/>
      <c r="BH26" s="35"/>
      <c r="BI26" s="677"/>
      <c r="BJ26" s="32"/>
      <c r="BK26" s="33"/>
      <c r="BL26" s="34"/>
      <c r="BM26" s="35"/>
      <c r="BN26" s="677"/>
      <c r="BO26" s="32"/>
      <c r="BP26" s="33"/>
      <c r="BQ26" s="34"/>
      <c r="BR26" s="35"/>
    </row>
    <row r="27" spans="1:83" ht="6.75" customHeight="1" x14ac:dyDescent="0.25">
      <c r="A27" s="3677"/>
      <c r="B27" s="708"/>
      <c r="C27" s="708"/>
      <c r="D27" s="708"/>
      <c r="E27" s="708"/>
      <c r="F27" s="708"/>
      <c r="G27" s="708"/>
      <c r="H27" s="708"/>
      <c r="I27" s="708"/>
      <c r="J27" s="708"/>
      <c r="K27" s="3677"/>
      <c r="L27" s="708"/>
      <c r="M27" s="708"/>
      <c r="N27" s="708"/>
      <c r="O27" s="708"/>
      <c r="P27" s="708"/>
      <c r="Q27" s="708"/>
      <c r="R27" s="708"/>
      <c r="S27" s="708"/>
      <c r="T27" s="708"/>
      <c r="U27" s="3677"/>
      <c r="V27" s="708"/>
      <c r="W27" s="708"/>
      <c r="X27" s="708"/>
      <c r="Y27" s="708"/>
      <c r="Z27" s="708"/>
      <c r="AA27" s="708"/>
      <c r="AB27" s="708"/>
      <c r="AC27" s="708"/>
      <c r="AD27" s="708"/>
      <c r="AE27" s="206"/>
      <c r="AF27" s="708"/>
      <c r="AG27" s="708"/>
      <c r="AH27" s="708"/>
      <c r="AI27" s="708"/>
      <c r="AJ27" s="3652"/>
      <c r="AK27" s="90"/>
      <c r="AL27" s="90"/>
      <c r="BD27" s="91"/>
      <c r="BE27" s="91"/>
      <c r="BF27" s="91"/>
      <c r="BG27" s="40"/>
      <c r="BH27" s="41"/>
      <c r="BI27" s="37"/>
      <c r="BJ27" s="38"/>
      <c r="BK27" s="39"/>
      <c r="BL27" s="40"/>
      <c r="BM27" s="41"/>
      <c r="BN27" s="37"/>
      <c r="BO27" s="38"/>
      <c r="BP27" s="39"/>
      <c r="BQ27" s="40"/>
      <c r="BR27" s="41"/>
      <c r="BS27" s="90"/>
    </row>
    <row r="28" spans="1:83" ht="21.95" customHeight="1" x14ac:dyDescent="0.25">
      <c r="A28" s="3677"/>
      <c r="B28" s="708"/>
      <c r="C28" s="708"/>
      <c r="D28" s="708"/>
      <c r="E28" s="708"/>
      <c r="F28" s="708"/>
      <c r="G28" s="708"/>
      <c r="H28" s="708"/>
      <c r="I28" s="708"/>
      <c r="J28" s="708"/>
      <c r="K28" s="3677"/>
      <c r="L28" s="708"/>
      <c r="M28" s="708"/>
      <c r="N28" s="708"/>
      <c r="O28" s="708"/>
      <c r="P28" s="708"/>
      <c r="Q28" s="708"/>
      <c r="R28" s="708"/>
      <c r="S28" s="708"/>
      <c r="T28" s="708"/>
      <c r="U28" s="3677"/>
      <c r="V28" s="708"/>
      <c r="W28" s="708"/>
      <c r="X28" s="708"/>
      <c r="Y28" s="708"/>
      <c r="Z28" s="708"/>
      <c r="AA28" s="708"/>
      <c r="AB28" s="708"/>
      <c r="AC28" s="708"/>
      <c r="AD28" s="708"/>
      <c r="AE28" s="206"/>
      <c r="AF28" s="708"/>
      <c r="AG28" s="708"/>
      <c r="AH28" s="708"/>
      <c r="AI28" s="708"/>
      <c r="AJ28" s="3652"/>
      <c r="AK28" s="90"/>
      <c r="AL28" s="90"/>
      <c r="AM28" s="90"/>
      <c r="AN28" s="90"/>
      <c r="AO28" s="90"/>
      <c r="AP28" s="90"/>
      <c r="AQ28" s="90"/>
      <c r="AR28" s="90"/>
      <c r="AS28" s="90"/>
      <c r="AT28" s="90"/>
      <c r="AU28" s="91"/>
      <c r="AV28" s="91"/>
      <c r="AW28" s="91"/>
      <c r="AX28" s="91"/>
      <c r="AY28" s="91"/>
      <c r="AZ28" s="91"/>
      <c r="BA28" s="91"/>
      <c r="BB28" s="91"/>
      <c r="BC28" s="91"/>
      <c r="BD28" s="91"/>
      <c r="BE28" s="91"/>
      <c r="BF28" s="91"/>
      <c r="BG28" s="45"/>
      <c r="BH28" s="45"/>
      <c r="BI28" s="45"/>
      <c r="BJ28" s="45"/>
      <c r="BK28" s="45"/>
      <c r="BL28" s="92"/>
      <c r="BM28" s="92"/>
      <c r="BN28" s="92"/>
      <c r="BO28" s="92"/>
      <c r="BP28" s="93"/>
      <c r="BQ28" s="93"/>
      <c r="BR28" s="93"/>
      <c r="BS28" s="90"/>
    </row>
    <row r="29" spans="1:83" ht="6" customHeight="1" x14ac:dyDescent="0.25">
      <c r="A29" s="3677"/>
      <c r="B29" s="708"/>
      <c r="C29" s="708"/>
      <c r="D29" s="708"/>
      <c r="E29" s="708"/>
      <c r="F29" s="708"/>
      <c r="G29" s="708"/>
      <c r="H29" s="708"/>
      <c r="I29" s="708"/>
      <c r="J29" s="708"/>
      <c r="K29" s="3677"/>
      <c r="L29" s="708"/>
      <c r="M29" s="708"/>
      <c r="N29" s="708"/>
      <c r="O29" s="708"/>
      <c r="P29" s="708"/>
      <c r="Q29" s="708"/>
      <c r="R29" s="708"/>
      <c r="S29" s="708"/>
      <c r="T29" s="708"/>
      <c r="U29" s="708"/>
      <c r="V29" s="708"/>
      <c r="W29" s="708"/>
      <c r="X29" s="708"/>
      <c r="Y29" s="708"/>
      <c r="Z29" s="708"/>
      <c r="AA29" s="708"/>
      <c r="AB29" s="708"/>
      <c r="AC29" s="708"/>
      <c r="AD29" s="708"/>
      <c r="AE29" s="206"/>
      <c r="AF29" s="708"/>
      <c r="AG29" s="708"/>
      <c r="AH29" s="708"/>
      <c r="AI29" s="708"/>
      <c r="AJ29" s="3652"/>
      <c r="AK29" s="90"/>
      <c r="AL29" s="90"/>
      <c r="AM29" s="90"/>
      <c r="AN29" s="90"/>
      <c r="AO29" s="90"/>
      <c r="AP29" s="90"/>
      <c r="AQ29" s="90"/>
      <c r="AR29" s="90"/>
      <c r="AS29" s="90"/>
      <c r="AT29" s="90"/>
      <c r="AU29" s="91"/>
      <c r="AV29" s="91"/>
      <c r="AW29" s="91"/>
      <c r="AX29" s="91"/>
      <c r="AY29" s="91"/>
      <c r="AZ29" s="91"/>
      <c r="BA29" s="91"/>
      <c r="BB29" s="91"/>
      <c r="BC29" s="91"/>
      <c r="BD29" s="91"/>
      <c r="BE29" s="91"/>
      <c r="BF29" s="91"/>
      <c r="BG29" s="45"/>
      <c r="BH29" s="45"/>
      <c r="BI29" s="45"/>
      <c r="BJ29" s="45"/>
      <c r="BK29" s="45"/>
      <c r="BL29" s="92"/>
      <c r="BM29" s="92"/>
      <c r="BN29" s="92"/>
      <c r="BO29" s="92"/>
      <c r="BP29" s="93"/>
      <c r="BQ29" s="93"/>
      <c r="BR29" s="93"/>
      <c r="BS29" s="90"/>
    </row>
    <row r="30" spans="1:83" s="22" customFormat="1" ht="84.95" customHeight="1" x14ac:dyDescent="1.3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 s="3652"/>
      <c r="AK30"/>
      <c r="AL30"/>
      <c r="AM30"/>
      <c r="AN30"/>
      <c r="AO30" s="3642"/>
      <c r="AP30" s="3643"/>
      <c r="AQ30" s="3643"/>
      <c r="AR30" s="3643"/>
      <c r="AS30" s="3643"/>
      <c r="AT30" s="3642"/>
      <c r="AU30" s="3643"/>
      <c r="AV30" s="3643"/>
      <c r="AW30" s="3643"/>
      <c r="AX30" s="3643"/>
      <c r="AY30" s="3642"/>
      <c r="AZ30" s="3643"/>
      <c r="BA30" s="3643"/>
      <c r="BB30" s="3643"/>
      <c r="BC30" s="3643"/>
      <c r="BD30" s="3642"/>
      <c r="BE30" s="3643"/>
      <c r="BF30" s="3643"/>
      <c r="BG30" s="3643"/>
      <c r="BH30" s="3643"/>
      <c r="BI30" s="3642"/>
      <c r="BJ30" s="3643"/>
      <c r="BK30" s="3643"/>
      <c r="BL30" s="3643"/>
      <c r="BM30" s="3643"/>
      <c r="BN30" s="3642"/>
      <c r="BO30" s="3643"/>
      <c r="BP30" s="3643"/>
      <c r="BQ30" s="3643"/>
      <c r="BR30" s="3643"/>
    </row>
    <row r="31" spans="1:83" ht="26.25" x14ac:dyDescent="0.25">
      <c r="AJ31" s="3652"/>
      <c r="AO31" s="3642"/>
      <c r="AP31" s="203"/>
      <c r="AQ31" s="202"/>
      <c r="AR31" s="201"/>
      <c r="AS31" s="200"/>
      <c r="AT31" s="3642"/>
      <c r="AU31" s="203"/>
      <c r="AV31" s="202"/>
      <c r="AW31" s="201"/>
      <c r="AX31" s="200"/>
      <c r="AY31" s="3642"/>
      <c r="AZ31" s="203"/>
      <c r="BA31" s="202"/>
      <c r="BB31" s="201"/>
      <c r="BC31" s="200"/>
      <c r="BD31" s="3642"/>
      <c r="BE31" s="203"/>
      <c r="BF31" s="202"/>
      <c r="BG31" s="201"/>
      <c r="BH31" s="200"/>
      <c r="BI31" s="3642"/>
      <c r="BJ31" s="203"/>
      <c r="BK31" s="202"/>
      <c r="BL31" s="201"/>
      <c r="BM31" s="200"/>
      <c r="BN31" s="3642"/>
      <c r="BO31" s="203"/>
      <c r="BP31" s="202"/>
      <c r="BQ31" s="201"/>
      <c r="BR31" s="200"/>
      <c r="BW31" s="27"/>
      <c r="BX31" s="27"/>
      <c r="BY31" s="27"/>
      <c r="BZ31" s="27"/>
      <c r="CA31" s="27"/>
      <c r="CB31" s="27"/>
      <c r="CC31" s="27"/>
      <c r="CD31" s="27"/>
      <c r="CE31" s="27"/>
    </row>
    <row r="32" spans="1:83" ht="35.1" customHeight="1" x14ac:dyDescent="0.25">
      <c r="A32" s="3649"/>
      <c r="B32" s="3649"/>
      <c r="C32" s="3649"/>
      <c r="D32" s="3650"/>
      <c r="E32" s="3650"/>
      <c r="F32" s="3649"/>
      <c r="G32" s="3649"/>
      <c r="H32" s="3649"/>
      <c r="I32" s="3650"/>
      <c r="J32" s="3650"/>
      <c r="K32" s="3649"/>
      <c r="L32" s="3649"/>
      <c r="M32" s="3649"/>
      <c r="N32" s="3650"/>
      <c r="O32" s="3650"/>
      <c r="P32" s="3649"/>
      <c r="Q32" s="3649"/>
      <c r="R32" s="3649"/>
      <c r="S32" s="3650"/>
      <c r="T32" s="3650"/>
      <c r="U32" s="3649"/>
      <c r="V32" s="3649"/>
      <c r="W32" s="3649"/>
      <c r="X32" s="3650"/>
      <c r="Y32" s="3650"/>
      <c r="Z32" s="3649"/>
      <c r="AA32" s="3649"/>
      <c r="AB32" s="3649"/>
      <c r="AC32" s="3650"/>
      <c r="AD32" s="3650"/>
      <c r="AE32" s="3649"/>
      <c r="AF32" s="3649"/>
      <c r="AG32" s="3649"/>
      <c r="AH32" s="3650"/>
      <c r="AI32" s="3650"/>
      <c r="AJ32" s="3652"/>
      <c r="AO32" s="3649"/>
      <c r="AP32" s="3649"/>
      <c r="AQ32" s="3649"/>
      <c r="AR32" s="3650"/>
      <c r="AS32" s="3650"/>
      <c r="AT32" s="3649"/>
      <c r="AU32" s="3649"/>
      <c r="AV32" s="3649"/>
      <c r="AW32" s="3650"/>
      <c r="AX32" s="3650"/>
      <c r="AY32" s="3649"/>
      <c r="AZ32" s="3649"/>
      <c r="BA32" s="3649"/>
      <c r="BB32" s="3650"/>
      <c r="BC32" s="3650"/>
      <c r="BD32" s="3649"/>
      <c r="BE32" s="3649"/>
      <c r="BF32" s="3649"/>
      <c r="BG32" s="3650"/>
      <c r="BH32" s="3650"/>
      <c r="BI32" s="3649"/>
      <c r="BJ32" s="3649"/>
      <c r="BK32" s="3649"/>
      <c r="BL32" s="3650"/>
      <c r="BM32" s="3650"/>
      <c r="BN32" s="3649"/>
      <c r="BO32" s="3649"/>
      <c r="BP32" s="3649"/>
      <c r="BQ32" s="3650"/>
      <c r="BR32" s="3650"/>
    </row>
    <row r="33" spans="1:83" ht="6.75" customHeight="1" x14ac:dyDescent="0.25">
      <c r="A33" s="3646"/>
      <c r="B33" s="3646"/>
      <c r="C33" s="3646"/>
      <c r="D33" s="3646"/>
      <c r="E33" s="3646"/>
      <c r="F33" s="3646"/>
      <c r="G33" s="3646"/>
      <c r="H33" s="3646"/>
      <c r="I33" s="3646"/>
      <c r="J33" s="3646"/>
      <c r="K33" s="3646"/>
      <c r="L33" s="3646"/>
      <c r="M33" s="3646"/>
      <c r="N33" s="3646"/>
      <c r="O33" s="3646"/>
      <c r="P33" s="3646"/>
      <c r="Q33" s="3646"/>
      <c r="R33" s="3646"/>
      <c r="S33" s="3646"/>
      <c r="T33" s="3646"/>
      <c r="U33" s="3646"/>
      <c r="V33" s="3646"/>
      <c r="W33" s="3646"/>
      <c r="X33" s="3646"/>
      <c r="Y33" s="3646"/>
      <c r="Z33" s="3646"/>
      <c r="AA33" s="3646"/>
      <c r="AB33" s="3646"/>
      <c r="AC33" s="3646"/>
      <c r="AD33" s="3646"/>
      <c r="AE33" s="3646"/>
      <c r="AF33" s="3646"/>
      <c r="AG33" s="3646"/>
      <c r="AH33" s="3646"/>
      <c r="AI33" s="3646"/>
      <c r="AJ33" s="3652"/>
      <c r="AO33" s="3646"/>
      <c r="AP33" s="3646"/>
      <c r="AQ33" s="3646"/>
      <c r="AR33" s="3646"/>
      <c r="AS33" s="3646"/>
      <c r="AT33" s="3646"/>
      <c r="AU33" s="3646"/>
      <c r="AV33" s="3646"/>
      <c r="AW33" s="3646"/>
      <c r="AX33" s="3646"/>
      <c r="AY33" s="3646"/>
      <c r="AZ33" s="3646"/>
      <c r="BA33" s="3646"/>
      <c r="BB33" s="3646"/>
      <c r="BC33" s="3646"/>
      <c r="BD33" s="3646"/>
      <c r="BE33" s="3646"/>
      <c r="BF33" s="3646"/>
      <c r="BG33" s="3646"/>
      <c r="BH33" s="3646"/>
      <c r="BI33" s="3646"/>
      <c r="BJ33" s="3646"/>
      <c r="BK33" s="3646"/>
      <c r="BL33" s="3646"/>
      <c r="BM33" s="3646"/>
      <c r="BN33" s="3646"/>
      <c r="BO33" s="3646"/>
      <c r="BP33" s="3646"/>
      <c r="BQ33" s="3646"/>
      <c r="BR33" s="3646"/>
    </row>
    <row r="34" spans="1:83" ht="21.95" customHeight="1" x14ac:dyDescent="0.25">
      <c r="A34" s="3646"/>
      <c r="B34" s="3646"/>
      <c r="C34" s="3646"/>
      <c r="D34" s="3646"/>
      <c r="E34" s="3646"/>
      <c r="F34" s="3646"/>
      <c r="G34" s="3646"/>
      <c r="H34" s="3646"/>
      <c r="I34" s="3646"/>
      <c r="J34" s="3646"/>
      <c r="K34" s="3646"/>
      <c r="L34" s="3646"/>
      <c r="M34" s="3646"/>
      <c r="N34" s="3646"/>
      <c r="O34" s="3646"/>
      <c r="P34" s="3646"/>
      <c r="Q34" s="3646"/>
      <c r="R34" s="3646"/>
      <c r="S34" s="3646"/>
      <c r="T34" s="3646"/>
      <c r="U34" s="3646"/>
      <c r="V34" s="3646"/>
      <c r="W34" s="3646"/>
      <c r="X34" s="3646"/>
      <c r="Y34" s="3646"/>
      <c r="Z34" s="3646"/>
      <c r="AA34" s="3646"/>
      <c r="AB34" s="3646"/>
      <c r="AC34" s="3646"/>
      <c r="AD34" s="3646"/>
      <c r="AE34" s="3646"/>
      <c r="AF34" s="3646"/>
      <c r="AG34" s="3646"/>
      <c r="AH34" s="3646"/>
      <c r="AI34" s="3646"/>
      <c r="AJ34" s="3652"/>
      <c r="AO34" s="3646"/>
      <c r="AP34" s="3646"/>
      <c r="AQ34" s="3646"/>
      <c r="AR34" s="3646"/>
      <c r="AS34" s="3646"/>
      <c r="AT34" s="3646"/>
      <c r="AU34" s="3646"/>
      <c r="AV34" s="3646"/>
      <c r="AW34" s="3646"/>
      <c r="AX34" s="3646"/>
      <c r="AY34" s="3646"/>
      <c r="AZ34" s="3646"/>
      <c r="BA34" s="3646"/>
      <c r="BB34" s="3646"/>
      <c r="BC34" s="3646"/>
      <c r="BD34" s="3646"/>
      <c r="BE34" s="3646"/>
      <c r="BF34" s="3646"/>
      <c r="BG34" s="3646"/>
      <c r="BH34" s="3646"/>
      <c r="BI34" s="3646"/>
      <c r="BJ34" s="3646"/>
      <c r="BK34" s="3646"/>
      <c r="BL34" s="3646"/>
      <c r="BM34" s="3646"/>
      <c r="BN34" s="3646"/>
      <c r="BO34" s="3646"/>
      <c r="BP34" s="3646"/>
      <c r="BQ34" s="3646"/>
      <c r="BR34" s="3646"/>
    </row>
    <row r="35" spans="1:83" ht="6" customHeight="1" x14ac:dyDescent="0.25">
      <c r="A35" s="3646"/>
      <c r="B35" s="3646"/>
      <c r="C35" s="3646"/>
      <c r="D35" s="3646"/>
      <c r="E35" s="3646"/>
      <c r="F35" s="3646"/>
      <c r="G35" s="3646"/>
      <c r="H35" s="3646"/>
      <c r="I35" s="3646"/>
      <c r="J35" s="3646"/>
      <c r="K35" s="3646"/>
      <c r="L35" s="3646"/>
      <c r="M35" s="3646"/>
      <c r="N35" s="3646"/>
      <c r="O35" s="3646"/>
      <c r="P35" s="3646"/>
      <c r="Q35" s="3646"/>
      <c r="R35" s="3646"/>
      <c r="S35" s="3646"/>
      <c r="T35" s="3646"/>
      <c r="U35" s="3646"/>
      <c r="V35" s="3646"/>
      <c r="W35" s="3646"/>
      <c r="X35" s="3646"/>
      <c r="Y35" s="3646"/>
      <c r="Z35" s="3646"/>
      <c r="AA35" s="3646"/>
      <c r="AB35" s="3646"/>
      <c r="AC35" s="3646"/>
      <c r="AD35" s="3646"/>
      <c r="AE35" s="3646"/>
      <c r="AF35" s="3646"/>
      <c r="AG35" s="3646"/>
      <c r="AH35" s="3646"/>
      <c r="AI35" s="3646"/>
      <c r="AJ35" s="3652"/>
      <c r="AO35" s="3646"/>
      <c r="AP35" s="3646"/>
      <c r="AQ35" s="3646"/>
      <c r="AR35" s="3646"/>
      <c r="AS35" s="3646"/>
      <c r="AT35" s="3646"/>
      <c r="AU35" s="3646"/>
      <c r="AV35" s="3646"/>
      <c r="AW35" s="3646"/>
      <c r="AX35" s="3646"/>
      <c r="AY35" s="3646"/>
      <c r="AZ35" s="3646"/>
      <c r="BA35" s="3646"/>
      <c r="BB35" s="3646"/>
      <c r="BC35" s="3646"/>
      <c r="BD35" s="3646"/>
      <c r="BE35" s="3646"/>
      <c r="BF35" s="3646"/>
      <c r="BG35" s="3646"/>
      <c r="BH35" s="3646"/>
      <c r="BI35" s="3646"/>
      <c r="BJ35" s="3646"/>
      <c r="BK35" s="3646"/>
      <c r="BL35" s="3646"/>
      <c r="BM35" s="3646"/>
      <c r="BN35" s="3646"/>
      <c r="BO35" s="3646"/>
      <c r="BP35" s="3646"/>
      <c r="BQ35" s="3646"/>
      <c r="BR35" s="3646"/>
    </row>
    <row r="36" spans="1:83" s="22" customFormat="1" ht="84.95" customHeight="1" x14ac:dyDescent="1.35">
      <c r="A36" s="3642"/>
      <c r="B36" s="3643"/>
      <c r="C36" s="3643"/>
      <c r="D36" s="3643"/>
      <c r="E36" s="3643"/>
      <c r="F36" s="3642"/>
      <c r="G36" s="3643"/>
      <c r="H36" s="3643"/>
      <c r="I36" s="3643"/>
      <c r="J36" s="3643"/>
      <c r="K36" s="3642"/>
      <c r="L36" s="3643"/>
      <c r="M36" s="3643"/>
      <c r="N36" s="3643"/>
      <c r="O36" s="3643"/>
      <c r="P36" s="3642"/>
      <c r="Q36" s="3643"/>
      <c r="R36" s="3643"/>
      <c r="S36" s="3643"/>
      <c r="T36" s="3643"/>
      <c r="U36" s="3642"/>
      <c r="V36" s="3643"/>
      <c r="W36" s="3643"/>
      <c r="X36" s="3643"/>
      <c r="Y36" s="3643"/>
      <c r="Z36" s="3642"/>
      <c r="AA36" s="3643"/>
      <c r="AB36" s="3643"/>
      <c r="AC36" s="3643"/>
      <c r="AD36" s="3643"/>
      <c r="AE36" s="3642"/>
      <c r="AF36" s="3643"/>
      <c r="AG36" s="3643"/>
      <c r="AH36" s="3643"/>
      <c r="AI36" s="3643"/>
      <c r="AJ36" s="3652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 s="3642"/>
      <c r="BE36" s="3643"/>
      <c r="BF36" s="3643"/>
      <c r="BG36" s="3643"/>
      <c r="BH36" s="3643"/>
      <c r="BI36" s="3642"/>
      <c r="BJ36" s="3643"/>
      <c r="BK36" s="3643"/>
      <c r="BL36" s="3643"/>
      <c r="BM36" s="3643"/>
      <c r="BN36" s="3642"/>
      <c r="BO36" s="3643"/>
      <c r="BP36" s="3643"/>
      <c r="BQ36" s="3643"/>
      <c r="BR36" s="3643"/>
    </row>
    <row r="37" spans="1:83" ht="26.25" x14ac:dyDescent="0.25">
      <c r="A37" s="3642"/>
      <c r="B37" s="203"/>
      <c r="C37" s="202"/>
      <c r="D37" s="201"/>
      <c r="E37" s="200"/>
      <c r="F37" s="3642"/>
      <c r="G37" s="203"/>
      <c r="H37" s="202"/>
      <c r="I37" s="201"/>
      <c r="J37" s="200"/>
      <c r="K37" s="3642"/>
      <c r="L37" s="203"/>
      <c r="M37" s="202"/>
      <c r="N37" s="201"/>
      <c r="O37" s="200"/>
      <c r="P37" s="3642"/>
      <c r="Q37" s="203"/>
      <c r="R37" s="202"/>
      <c r="S37" s="201"/>
      <c r="T37" s="200"/>
      <c r="U37" s="3642"/>
      <c r="V37" s="203"/>
      <c r="W37" s="202"/>
      <c r="X37" s="201"/>
      <c r="Y37" s="200"/>
      <c r="Z37" s="3642"/>
      <c r="AA37" s="203"/>
      <c r="AB37" s="202"/>
      <c r="AC37" s="201"/>
      <c r="AD37" s="200"/>
      <c r="AE37" s="3642"/>
      <c r="AF37" s="203"/>
      <c r="AG37" s="202"/>
      <c r="AH37" s="201"/>
      <c r="AI37" s="200"/>
      <c r="AJ37" s="3652"/>
      <c r="BD37" s="3642"/>
      <c r="BE37" s="203"/>
      <c r="BF37" s="202"/>
      <c r="BG37" s="201"/>
      <c r="BH37" s="200"/>
      <c r="BI37" s="3642"/>
      <c r="BJ37" s="203"/>
      <c r="BK37" s="202"/>
      <c r="BL37" s="201"/>
      <c r="BM37" s="200"/>
      <c r="BN37" s="3642"/>
      <c r="BO37" s="203"/>
      <c r="BP37" s="202"/>
      <c r="BQ37" s="201"/>
      <c r="BR37" s="200"/>
      <c r="BW37" s="27"/>
      <c r="BX37" s="27"/>
      <c r="BY37" s="27"/>
      <c r="BZ37" s="27"/>
      <c r="CA37" s="27"/>
      <c r="CB37" s="27"/>
      <c r="CC37" s="27"/>
      <c r="CD37" s="27"/>
      <c r="CE37" s="27"/>
    </row>
    <row r="38" spans="1:83" ht="35.1" customHeight="1" x14ac:dyDescent="0.25">
      <c r="A38" s="3649"/>
      <c r="B38" s="3649"/>
      <c r="C38" s="3649"/>
      <c r="D38" s="3650"/>
      <c r="E38" s="3650"/>
      <c r="F38" s="3649"/>
      <c r="G38" s="3649"/>
      <c r="H38" s="3649"/>
      <c r="I38" s="3650"/>
      <c r="J38" s="3650"/>
      <c r="K38" s="3649"/>
      <c r="L38" s="3649"/>
      <c r="M38" s="3649"/>
      <c r="N38" s="3650"/>
      <c r="O38" s="3650"/>
      <c r="P38" s="3649"/>
      <c r="Q38" s="3649"/>
      <c r="R38" s="3649"/>
      <c r="S38" s="3650"/>
      <c r="T38" s="3650"/>
      <c r="U38" s="3649"/>
      <c r="V38" s="3649"/>
      <c r="W38" s="3649"/>
      <c r="X38" s="3650"/>
      <c r="Y38" s="3650"/>
      <c r="Z38" s="3649"/>
      <c r="AA38" s="3649"/>
      <c r="AB38" s="3649"/>
      <c r="AC38" s="3650"/>
      <c r="AD38" s="3650"/>
      <c r="AE38" s="3651"/>
      <c r="AF38" s="3651"/>
      <c r="AG38" s="3651"/>
      <c r="AH38" s="3648"/>
      <c r="AI38" s="3648"/>
      <c r="AJ38" s="3652"/>
      <c r="BD38" s="674"/>
      <c r="BE38" s="674"/>
      <c r="BF38" s="674"/>
      <c r="BG38" s="675"/>
      <c r="BH38" s="675"/>
      <c r="BI38" s="674"/>
      <c r="BJ38" s="674"/>
      <c r="BK38" s="674"/>
      <c r="BL38" s="675"/>
      <c r="BM38" s="675"/>
      <c r="BN38" s="674"/>
      <c r="BO38" s="674"/>
      <c r="BP38" s="674"/>
      <c r="BQ38" s="675"/>
      <c r="BR38" s="675"/>
    </row>
    <row r="39" spans="1:83" ht="6.75" customHeight="1" x14ac:dyDescent="0.25">
      <c r="A39" s="3646"/>
      <c r="B39" s="3646"/>
      <c r="C39" s="3646"/>
      <c r="D39" s="3646"/>
      <c r="E39" s="3646"/>
      <c r="F39" s="3646"/>
      <c r="G39" s="3646"/>
      <c r="H39" s="3646"/>
      <c r="I39" s="3646"/>
      <c r="J39" s="3646"/>
      <c r="K39" s="3646"/>
      <c r="L39" s="3646"/>
      <c r="M39" s="3646"/>
      <c r="N39" s="3646"/>
      <c r="O39" s="3646"/>
      <c r="P39" s="3646"/>
      <c r="Q39" s="3646"/>
      <c r="R39" s="3646"/>
      <c r="S39" s="3646"/>
      <c r="T39" s="3646"/>
      <c r="U39" s="3646"/>
      <c r="V39" s="3646"/>
      <c r="W39" s="3646"/>
      <c r="X39" s="3646"/>
      <c r="Y39" s="3646"/>
      <c r="Z39" s="3646"/>
      <c r="AA39" s="3646"/>
      <c r="AB39" s="3646"/>
      <c r="AC39" s="3646"/>
      <c r="AD39" s="3646"/>
      <c r="AE39" s="3647"/>
      <c r="AF39" s="3647"/>
      <c r="AG39" s="3647"/>
      <c r="AH39" s="204"/>
      <c r="AI39" s="204"/>
      <c r="AJ39" s="3652"/>
      <c r="BD39" s="676"/>
      <c r="BE39" s="676"/>
      <c r="BF39" s="676"/>
      <c r="BG39" s="29"/>
      <c r="BH39" s="29"/>
      <c r="BI39" s="676"/>
      <c r="BJ39" s="676"/>
      <c r="BK39" s="676"/>
      <c r="BL39" s="29"/>
      <c r="BM39" s="29"/>
      <c r="BN39" s="676"/>
      <c r="BO39" s="676"/>
      <c r="BP39" s="676"/>
      <c r="BQ39" s="29"/>
      <c r="BR39" s="29"/>
    </row>
    <row r="40" spans="1:83" ht="21.95" customHeight="1" x14ac:dyDescent="0.25">
      <c r="A40" s="3646"/>
      <c r="B40" s="3646"/>
      <c r="C40" s="3646"/>
      <c r="D40" s="3646"/>
      <c r="E40" s="3646"/>
      <c r="F40" s="3646"/>
      <c r="G40" s="3646"/>
      <c r="H40" s="3646"/>
      <c r="I40" s="3646"/>
      <c r="J40" s="3646"/>
      <c r="K40" s="3646"/>
      <c r="L40" s="3646"/>
      <c r="M40" s="3646"/>
      <c r="N40" s="3646"/>
      <c r="O40" s="3646"/>
      <c r="P40" s="3646"/>
      <c r="Q40" s="3646"/>
      <c r="R40" s="3646"/>
      <c r="S40" s="3646"/>
      <c r="T40" s="3646"/>
      <c r="U40" s="3646"/>
      <c r="V40" s="3646"/>
      <c r="W40" s="3646"/>
      <c r="X40" s="3646"/>
      <c r="Y40" s="3646"/>
      <c r="Z40" s="3646"/>
      <c r="AA40" s="3646"/>
      <c r="AB40" s="3646"/>
      <c r="AC40" s="3646"/>
      <c r="AD40" s="3646"/>
      <c r="AE40" s="3647"/>
      <c r="AF40" s="3647"/>
      <c r="AG40" s="3647"/>
      <c r="AH40" s="205"/>
      <c r="AI40" s="204"/>
      <c r="AJ40" s="3652"/>
      <c r="BD40" s="676"/>
      <c r="BE40" s="676"/>
      <c r="BF40" s="676"/>
      <c r="BG40" s="30"/>
      <c r="BH40" s="29"/>
      <c r="BI40" s="676"/>
      <c r="BJ40" s="676"/>
      <c r="BK40" s="676"/>
      <c r="BL40" s="30"/>
      <c r="BM40" s="29"/>
      <c r="BN40" s="676"/>
      <c r="BO40" s="676"/>
      <c r="BP40" s="676"/>
      <c r="BQ40" s="30"/>
      <c r="BR40" s="29"/>
    </row>
    <row r="41" spans="1:83" ht="6" customHeight="1" x14ac:dyDescent="0.25">
      <c r="A41" s="3646"/>
      <c r="B41" s="3646"/>
      <c r="C41" s="3646"/>
      <c r="D41" s="3646"/>
      <c r="E41" s="3646"/>
      <c r="F41" s="3646"/>
      <c r="G41" s="3646"/>
      <c r="H41" s="3646"/>
      <c r="I41" s="3646"/>
      <c r="J41" s="3646"/>
      <c r="K41" s="3646"/>
      <c r="L41" s="3646"/>
      <c r="M41" s="3646"/>
      <c r="N41" s="3646"/>
      <c r="O41" s="3646"/>
      <c r="P41" s="3646"/>
      <c r="Q41" s="3646"/>
      <c r="R41" s="3646"/>
      <c r="S41" s="3646"/>
      <c r="T41" s="3646"/>
      <c r="U41" s="3646"/>
      <c r="V41" s="3646"/>
      <c r="W41" s="3646"/>
      <c r="X41" s="3646"/>
      <c r="Y41" s="3646"/>
      <c r="Z41" s="3646"/>
      <c r="AA41" s="3646"/>
      <c r="AB41" s="3646"/>
      <c r="AC41" s="3646"/>
      <c r="AD41" s="3646"/>
      <c r="AE41" s="3647"/>
      <c r="AF41" s="3647"/>
      <c r="AG41" s="3647"/>
      <c r="AH41" s="3648"/>
      <c r="AI41" s="3648"/>
      <c r="AJ41" s="3652"/>
      <c r="BD41" s="676"/>
      <c r="BE41" s="676"/>
      <c r="BF41" s="676"/>
      <c r="BG41" s="675"/>
      <c r="BH41" s="675"/>
      <c r="BI41" s="676"/>
      <c r="BJ41" s="676"/>
      <c r="BK41" s="676"/>
      <c r="BL41" s="675"/>
      <c r="BM41" s="675"/>
      <c r="BN41" s="676"/>
      <c r="BO41" s="676"/>
      <c r="BP41" s="676"/>
      <c r="BQ41" s="675"/>
      <c r="BR41" s="675"/>
    </row>
    <row r="42" spans="1:83" s="22" customFormat="1" ht="84.95" customHeight="1" x14ac:dyDescent="1.35">
      <c r="A42" s="3642"/>
      <c r="B42" s="3643"/>
      <c r="C42" s="3643"/>
      <c r="D42" s="3643"/>
      <c r="E42" s="3643"/>
      <c r="F42" s="3642"/>
      <c r="G42" s="3643"/>
      <c r="H42" s="3643"/>
      <c r="I42" s="3643"/>
      <c r="J42" s="3643"/>
      <c r="K42" s="3642"/>
      <c r="L42" s="3643"/>
      <c r="M42" s="3643"/>
      <c r="N42" s="3643"/>
      <c r="O42" s="3643"/>
      <c r="P42" s="3642"/>
      <c r="Q42" s="3643"/>
      <c r="R42" s="3643"/>
      <c r="S42" s="3643"/>
      <c r="T42" s="3643"/>
      <c r="U42" s="3642"/>
      <c r="V42" s="3643"/>
      <c r="W42" s="3643"/>
      <c r="X42" s="3643"/>
      <c r="Y42" s="3643"/>
      <c r="Z42" s="3642"/>
      <c r="AA42" s="3643"/>
      <c r="AB42" s="3643"/>
      <c r="AC42" s="3643"/>
      <c r="AD42" s="3643"/>
      <c r="AE42" s="3645"/>
      <c r="AF42" s="3644"/>
      <c r="AG42" s="3644"/>
      <c r="AH42" s="3644"/>
      <c r="AI42" s="3644"/>
      <c r="AJ42" s="365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 s="677"/>
      <c r="BE42" s="717"/>
      <c r="BF42" s="717"/>
      <c r="BG42" s="717"/>
      <c r="BH42" s="717"/>
      <c r="BI42" s="677"/>
      <c r="BJ42" s="717"/>
      <c r="BK42" s="717"/>
      <c r="BL42" s="717"/>
      <c r="BM42" s="717"/>
      <c r="BN42" s="677"/>
      <c r="BO42" s="717"/>
      <c r="BP42" s="717"/>
      <c r="BQ42" s="717"/>
      <c r="BR42" s="717"/>
    </row>
    <row r="43" spans="1:83" ht="27" customHeight="1" x14ac:dyDescent="0.25">
      <c r="A43" s="3642"/>
      <c r="B43" s="203"/>
      <c r="C43" s="202"/>
      <c r="D43" s="201"/>
      <c r="E43" s="200"/>
      <c r="F43" s="3642"/>
      <c r="G43" s="203"/>
      <c r="H43" s="202"/>
      <c r="I43" s="201"/>
      <c r="J43" s="200"/>
      <c r="K43" s="3642"/>
      <c r="L43" s="203"/>
      <c r="M43" s="202"/>
      <c r="N43" s="201"/>
      <c r="O43" s="200"/>
      <c r="P43" s="3642"/>
      <c r="Q43" s="203"/>
      <c r="R43" s="202"/>
      <c r="S43" s="201"/>
      <c r="T43" s="200"/>
      <c r="U43" s="3642"/>
      <c r="V43" s="203"/>
      <c r="W43" s="202"/>
      <c r="X43" s="201"/>
      <c r="Y43" s="200"/>
      <c r="Z43" s="3642"/>
      <c r="AA43" s="203"/>
      <c r="AB43" s="202"/>
      <c r="AC43" s="201"/>
      <c r="AD43" s="200"/>
      <c r="AE43" s="3645"/>
      <c r="AF43" s="199"/>
      <c r="AG43" s="198"/>
      <c r="AH43" s="197"/>
      <c r="AI43" s="196"/>
      <c r="AJ43" s="3652"/>
      <c r="BD43" s="677"/>
      <c r="BE43" s="32"/>
      <c r="BF43" s="33"/>
      <c r="BG43" s="34"/>
      <c r="BH43" s="35"/>
      <c r="BI43" s="677"/>
      <c r="BJ43" s="32"/>
      <c r="BK43" s="33"/>
      <c r="BL43" s="34"/>
      <c r="BM43" s="35"/>
      <c r="BN43" s="677"/>
      <c r="BO43" s="32"/>
      <c r="BP43" s="33"/>
      <c r="BQ43" s="34"/>
      <c r="BR43" s="35"/>
      <c r="BW43" s="27"/>
      <c r="BX43" s="27"/>
      <c r="BY43" s="27"/>
      <c r="BZ43" s="27"/>
      <c r="CA43" s="27"/>
      <c r="CB43" s="27"/>
      <c r="CC43" s="27"/>
      <c r="CD43" s="27"/>
      <c r="CE43" s="27"/>
    </row>
    <row r="44" spans="1:83" ht="26.1" hidden="1" customHeight="1" thickTop="1" x14ac:dyDescent="0.25">
      <c r="A44" s="674"/>
      <c r="B44" s="674"/>
      <c r="C44" s="674"/>
      <c r="D44" s="675"/>
      <c r="E44" s="675"/>
      <c r="F44" s="674"/>
      <c r="G44" s="674"/>
      <c r="H44" s="674"/>
      <c r="I44" s="675"/>
      <c r="J44" s="675"/>
      <c r="K44" s="674"/>
      <c r="L44" s="674"/>
      <c r="M44" s="674"/>
      <c r="N44" s="675"/>
      <c r="O44" s="675"/>
      <c r="P44" s="674"/>
      <c r="Q44" s="674"/>
      <c r="R44" s="674"/>
      <c r="S44" s="675"/>
      <c r="T44" s="675"/>
      <c r="U44" s="674"/>
      <c r="V44" s="674"/>
      <c r="W44" s="674"/>
      <c r="X44" s="675"/>
      <c r="Y44" s="675"/>
      <c r="Z44" s="674"/>
      <c r="AA44" s="674"/>
      <c r="AB44" s="674"/>
      <c r="AC44" s="675"/>
      <c r="AD44" s="675"/>
      <c r="AE44" s="674"/>
      <c r="AF44" s="674"/>
      <c r="AG44" s="674"/>
      <c r="AH44" s="675"/>
      <c r="AI44" s="675"/>
      <c r="AJ44" s="3652"/>
      <c r="BD44" s="674"/>
      <c r="BE44" s="674"/>
      <c r="BF44" s="674"/>
      <c r="BG44" s="675"/>
      <c r="BH44" s="675"/>
      <c r="BI44" s="674"/>
      <c r="BJ44" s="674"/>
      <c r="BK44" s="674"/>
      <c r="BL44" s="675"/>
      <c r="BM44" s="675"/>
      <c r="BN44" s="674"/>
      <c r="BO44" s="674"/>
      <c r="BP44" s="674"/>
      <c r="BQ44" s="675"/>
      <c r="BR44" s="675"/>
    </row>
    <row r="45" spans="1:83" ht="6.75" hidden="1" customHeight="1" x14ac:dyDescent="0.25">
      <c r="A45" s="676"/>
      <c r="B45" s="676"/>
      <c r="C45" s="676"/>
      <c r="D45" s="29"/>
      <c r="E45" s="29"/>
      <c r="F45" s="676"/>
      <c r="G45" s="676"/>
      <c r="H45" s="676"/>
      <c r="I45" s="29"/>
      <c r="J45" s="29"/>
      <c r="K45" s="676"/>
      <c r="L45" s="676"/>
      <c r="M45" s="676"/>
      <c r="N45" s="29"/>
      <c r="O45" s="29"/>
      <c r="P45" s="676"/>
      <c r="Q45" s="676"/>
      <c r="R45" s="676"/>
      <c r="S45" s="29"/>
      <c r="T45" s="29"/>
      <c r="U45" s="676"/>
      <c r="V45" s="676"/>
      <c r="W45" s="676"/>
      <c r="X45" s="29"/>
      <c r="Y45" s="29"/>
      <c r="Z45" s="676"/>
      <c r="AA45" s="676"/>
      <c r="AB45" s="676"/>
      <c r="AC45" s="29"/>
      <c r="AD45" s="29"/>
      <c r="AE45" s="676"/>
      <c r="AF45" s="676"/>
      <c r="AG45" s="676"/>
      <c r="AH45" s="29"/>
      <c r="AI45" s="29"/>
      <c r="AJ45" s="3652"/>
      <c r="BD45" s="676"/>
      <c r="BE45" s="676"/>
      <c r="BF45" s="676"/>
      <c r="BG45" s="29"/>
      <c r="BH45" s="29"/>
      <c r="BI45" s="676"/>
      <c r="BJ45" s="676"/>
      <c r="BK45" s="676"/>
      <c r="BL45" s="29"/>
      <c r="BM45" s="29"/>
      <c r="BN45" s="676"/>
      <c r="BO45" s="676"/>
      <c r="BP45" s="676"/>
      <c r="BQ45" s="29"/>
      <c r="BR45" s="29"/>
    </row>
    <row r="46" spans="1:83" ht="21.95" hidden="1" customHeight="1" x14ac:dyDescent="0.25">
      <c r="A46" s="676"/>
      <c r="B46" s="676"/>
      <c r="C46" s="676"/>
      <c r="D46" s="30"/>
      <c r="E46" s="29"/>
      <c r="F46" s="676"/>
      <c r="G46" s="676"/>
      <c r="H46" s="676"/>
      <c r="I46" s="30"/>
      <c r="J46" s="29"/>
      <c r="K46" s="676"/>
      <c r="L46" s="676"/>
      <c r="M46" s="676"/>
      <c r="N46" s="30"/>
      <c r="O46" s="29"/>
      <c r="P46" s="676"/>
      <c r="Q46" s="676"/>
      <c r="R46" s="676"/>
      <c r="S46" s="30"/>
      <c r="T46" s="29"/>
      <c r="U46" s="676"/>
      <c r="V46" s="676"/>
      <c r="W46" s="676"/>
      <c r="X46" s="30"/>
      <c r="Y46" s="29"/>
      <c r="Z46" s="676"/>
      <c r="AA46" s="676"/>
      <c r="AB46" s="676"/>
      <c r="AC46" s="30"/>
      <c r="AD46" s="29"/>
      <c r="AE46" s="676"/>
      <c r="AF46" s="676"/>
      <c r="AG46" s="676"/>
      <c r="AH46" s="30"/>
      <c r="AI46" s="29"/>
      <c r="AJ46" s="3652"/>
      <c r="BD46" s="676"/>
      <c r="BE46" s="676"/>
      <c r="BF46" s="676"/>
      <c r="BG46" s="30"/>
      <c r="BH46" s="29"/>
      <c r="BI46" s="676"/>
      <c r="BJ46" s="676"/>
      <c r="BK46" s="676"/>
      <c r="BL46" s="30"/>
      <c r="BM46" s="29"/>
      <c r="BN46" s="676"/>
      <c r="BO46" s="676"/>
      <c r="BP46" s="676"/>
      <c r="BQ46" s="30"/>
      <c r="BR46" s="29"/>
    </row>
    <row r="47" spans="1:83" ht="6" hidden="1" customHeight="1" x14ac:dyDescent="0.25">
      <c r="A47" s="676"/>
      <c r="B47" s="676"/>
      <c r="C47" s="676"/>
      <c r="D47" s="675"/>
      <c r="E47" s="675"/>
      <c r="F47" s="676"/>
      <c r="G47" s="676"/>
      <c r="H47" s="676"/>
      <c r="I47" s="675"/>
      <c r="J47" s="675"/>
      <c r="K47" s="676"/>
      <c r="L47" s="676"/>
      <c r="M47" s="676"/>
      <c r="N47" s="675"/>
      <c r="O47" s="675"/>
      <c r="P47" s="676"/>
      <c r="Q47" s="676"/>
      <c r="R47" s="676"/>
      <c r="S47" s="675"/>
      <c r="T47" s="675"/>
      <c r="U47" s="676"/>
      <c r="V47" s="676"/>
      <c r="W47" s="676"/>
      <c r="X47" s="675"/>
      <c r="Y47" s="675"/>
      <c r="Z47" s="676"/>
      <c r="AA47" s="676"/>
      <c r="AB47" s="676"/>
      <c r="AC47" s="675"/>
      <c r="AD47" s="675"/>
      <c r="AE47" s="676"/>
      <c r="AF47" s="676"/>
      <c r="AG47" s="676"/>
      <c r="AH47" s="675"/>
      <c r="AI47" s="675"/>
      <c r="AJ47" s="3652"/>
      <c r="BD47" s="676"/>
      <c r="BE47" s="676"/>
      <c r="BF47" s="676"/>
      <c r="BG47" s="675"/>
      <c r="BH47" s="675"/>
      <c r="BI47" s="676"/>
      <c r="BJ47" s="676"/>
      <c r="BK47" s="676"/>
      <c r="BL47" s="675"/>
      <c r="BM47" s="675"/>
      <c r="BN47" s="676"/>
      <c r="BO47" s="676"/>
      <c r="BP47" s="676"/>
      <c r="BQ47" s="675"/>
      <c r="BR47" s="675"/>
    </row>
    <row r="48" spans="1:83" ht="59.25" hidden="1" customHeight="1" thickTop="1" x14ac:dyDescent="0.25">
      <c r="A48" s="677"/>
      <c r="B48" s="678"/>
      <c r="C48" s="678"/>
      <c r="D48" s="678"/>
      <c r="E48" s="678"/>
      <c r="F48" s="677"/>
      <c r="G48" s="678"/>
      <c r="H48" s="678"/>
      <c r="I48" s="678"/>
      <c r="J48" s="678"/>
      <c r="K48" s="677"/>
      <c r="L48" s="678"/>
      <c r="M48" s="678"/>
      <c r="N48" s="678"/>
      <c r="O48" s="678"/>
      <c r="P48" s="677"/>
      <c r="Q48" s="678"/>
      <c r="R48" s="678"/>
      <c r="S48" s="678"/>
      <c r="T48" s="678"/>
      <c r="U48" s="677"/>
      <c r="V48" s="678"/>
      <c r="W48" s="678"/>
      <c r="X48" s="678"/>
      <c r="Y48" s="678"/>
      <c r="Z48" s="677"/>
      <c r="AA48" s="678"/>
      <c r="AB48" s="678"/>
      <c r="AC48" s="678"/>
      <c r="AD48" s="678"/>
      <c r="AE48" s="677"/>
      <c r="AF48" s="678"/>
      <c r="AG48" s="678"/>
      <c r="AH48" s="678"/>
      <c r="AI48" s="678"/>
      <c r="AJ48" s="3652"/>
      <c r="BD48" s="677"/>
      <c r="BE48" s="678"/>
      <c r="BF48" s="678"/>
      <c r="BG48" s="678"/>
      <c r="BH48" s="678"/>
      <c r="BI48" s="677"/>
      <c r="BJ48" s="678"/>
      <c r="BK48" s="678"/>
      <c r="BL48" s="678"/>
      <c r="BM48" s="678"/>
      <c r="BN48" s="677"/>
      <c r="BO48" s="678"/>
      <c r="BP48" s="678"/>
      <c r="BQ48" s="678"/>
      <c r="BR48" s="678"/>
    </row>
    <row r="49" spans="1:83" ht="27" hidden="1" customHeight="1" thickTop="1" x14ac:dyDescent="0.25">
      <c r="A49" s="677"/>
      <c r="B49" s="32"/>
      <c r="C49" s="33"/>
      <c r="D49" s="34"/>
      <c r="E49" s="35"/>
      <c r="F49" s="677"/>
      <c r="G49" s="32"/>
      <c r="H49" s="33"/>
      <c r="I49" s="34"/>
      <c r="J49" s="35"/>
      <c r="K49" s="677"/>
      <c r="L49" s="32"/>
      <c r="M49" s="33"/>
      <c r="N49" s="34"/>
      <c r="O49" s="35"/>
      <c r="P49" s="677"/>
      <c r="Q49" s="32"/>
      <c r="R49" s="33"/>
      <c r="S49" s="34"/>
      <c r="T49" s="35"/>
      <c r="U49" s="677"/>
      <c r="V49" s="32"/>
      <c r="W49" s="33"/>
      <c r="X49" s="34"/>
      <c r="Y49" s="35"/>
      <c r="Z49" s="677"/>
      <c r="AA49" s="32"/>
      <c r="AB49" s="33"/>
      <c r="AC49" s="34"/>
      <c r="AD49" s="35"/>
      <c r="AE49" s="677"/>
      <c r="AF49" s="32"/>
      <c r="AG49" s="33"/>
      <c r="AH49" s="34"/>
      <c r="AI49" s="35"/>
      <c r="AJ49" s="3652"/>
      <c r="BD49" s="677"/>
      <c r="BE49" s="32"/>
      <c r="BF49" s="33"/>
      <c r="BG49" s="34"/>
      <c r="BH49" s="35"/>
      <c r="BI49" s="677"/>
      <c r="BJ49" s="32"/>
      <c r="BK49" s="33"/>
      <c r="BL49" s="34"/>
      <c r="BM49" s="35"/>
      <c r="BN49" s="677"/>
      <c r="BO49" s="32"/>
      <c r="BP49" s="33"/>
      <c r="BQ49" s="34"/>
      <c r="BR49" s="35"/>
      <c r="BW49" s="27"/>
      <c r="BX49" s="27"/>
      <c r="BY49" s="27"/>
      <c r="BZ49" s="27"/>
      <c r="CA49" s="27"/>
      <c r="CB49" s="27"/>
      <c r="CC49" s="27"/>
      <c r="CD49" s="27"/>
      <c r="CE49" s="27"/>
    </row>
    <row r="50" spans="1:83" ht="26.1" hidden="1" customHeight="1" x14ac:dyDescent="0.25">
      <c r="A50" s="674"/>
      <c r="B50" s="674"/>
      <c r="C50" s="674"/>
      <c r="D50" s="675"/>
      <c r="E50" s="675"/>
      <c r="F50" s="674"/>
      <c r="G50" s="674"/>
      <c r="H50" s="674"/>
      <c r="I50" s="675"/>
      <c r="J50" s="675"/>
      <c r="K50" s="674"/>
      <c r="L50" s="674"/>
      <c r="M50" s="674"/>
      <c r="N50" s="675"/>
      <c r="O50" s="675"/>
      <c r="P50" s="674"/>
      <c r="Q50" s="674"/>
      <c r="R50" s="674"/>
      <c r="S50" s="675"/>
      <c r="T50" s="675"/>
      <c r="U50" s="674"/>
      <c r="V50" s="674"/>
      <c r="W50" s="674"/>
      <c r="X50" s="675"/>
      <c r="Y50" s="675"/>
      <c r="Z50" s="674"/>
      <c r="AA50" s="674"/>
      <c r="AB50" s="674"/>
      <c r="AC50" s="675"/>
      <c r="AD50" s="675"/>
      <c r="AE50" s="674"/>
      <c r="AF50" s="674"/>
      <c r="AG50" s="674"/>
      <c r="AH50" s="675"/>
      <c r="AI50" s="675"/>
      <c r="AJ50" s="3652"/>
      <c r="BD50" s="674"/>
      <c r="BE50" s="674"/>
      <c r="BF50" s="674"/>
      <c r="BG50" s="675"/>
      <c r="BH50" s="675"/>
      <c r="BI50" s="674"/>
      <c r="BJ50" s="674"/>
      <c r="BK50" s="674"/>
      <c r="BL50" s="675"/>
      <c r="BM50" s="675"/>
      <c r="BN50" s="674"/>
      <c r="BO50" s="674"/>
      <c r="BP50" s="674"/>
      <c r="BQ50" s="675"/>
      <c r="BR50" s="675"/>
    </row>
    <row r="51" spans="1:83" ht="6.75" hidden="1" customHeight="1" x14ac:dyDescent="0.25">
      <c r="A51" s="676"/>
      <c r="B51" s="676"/>
      <c r="C51" s="676"/>
      <c r="D51" s="29"/>
      <c r="E51" s="29"/>
      <c r="F51" s="676"/>
      <c r="G51" s="676"/>
      <c r="H51" s="676"/>
      <c r="I51" s="29"/>
      <c r="J51" s="29"/>
      <c r="K51" s="676"/>
      <c r="L51" s="676"/>
      <c r="M51" s="676"/>
      <c r="N51" s="29"/>
      <c r="O51" s="29"/>
      <c r="P51" s="676"/>
      <c r="Q51" s="676"/>
      <c r="R51" s="676"/>
      <c r="S51" s="29"/>
      <c r="T51" s="29"/>
      <c r="U51" s="676"/>
      <c r="V51" s="676"/>
      <c r="W51" s="676"/>
      <c r="X51" s="29"/>
      <c r="Y51" s="29"/>
      <c r="Z51" s="676"/>
      <c r="AA51" s="676"/>
      <c r="AB51" s="676"/>
      <c r="AC51" s="29"/>
      <c r="AD51" s="29"/>
      <c r="AE51" s="676"/>
      <c r="AF51" s="676"/>
      <c r="AG51" s="676"/>
      <c r="AH51" s="29"/>
      <c r="AI51" s="29"/>
      <c r="AJ51" s="3652"/>
      <c r="BD51" s="676"/>
      <c r="BE51" s="676"/>
      <c r="BF51" s="676"/>
      <c r="BG51" s="29"/>
      <c r="BH51" s="29"/>
      <c r="BI51" s="676"/>
      <c r="BJ51" s="676"/>
      <c r="BK51" s="676"/>
      <c r="BL51" s="29"/>
      <c r="BM51" s="29"/>
      <c r="BN51" s="676"/>
      <c r="BO51" s="676"/>
      <c r="BP51" s="676"/>
      <c r="BQ51" s="29"/>
      <c r="BR51" s="29"/>
    </row>
    <row r="52" spans="1:83" ht="21.95" hidden="1" customHeight="1" x14ac:dyDescent="0.25">
      <c r="A52" s="676"/>
      <c r="B52" s="676"/>
      <c r="C52" s="676"/>
      <c r="D52" s="30"/>
      <c r="E52" s="29"/>
      <c r="F52" s="676"/>
      <c r="G52" s="676"/>
      <c r="H52" s="676"/>
      <c r="I52" s="30"/>
      <c r="J52" s="29"/>
      <c r="K52" s="676"/>
      <c r="L52" s="676"/>
      <c r="M52" s="676"/>
      <c r="N52" s="30"/>
      <c r="O52" s="29"/>
      <c r="P52" s="676"/>
      <c r="Q52" s="676"/>
      <c r="R52" s="676"/>
      <c r="S52" s="30"/>
      <c r="T52" s="29"/>
      <c r="U52" s="676"/>
      <c r="V52" s="676"/>
      <c r="W52" s="676"/>
      <c r="X52" s="30"/>
      <c r="Y52" s="29"/>
      <c r="Z52" s="676"/>
      <c r="AA52" s="676"/>
      <c r="AB52" s="676"/>
      <c r="AC52" s="30"/>
      <c r="AD52" s="29"/>
      <c r="AE52" s="676"/>
      <c r="AF52" s="676"/>
      <c r="AG52" s="676"/>
      <c r="AH52" s="30"/>
      <c r="AI52" s="29"/>
      <c r="AJ52" s="3652"/>
      <c r="BD52" s="676"/>
      <c r="BE52" s="676"/>
      <c r="BF52" s="676"/>
      <c r="BG52" s="30"/>
      <c r="BH52" s="29"/>
      <c r="BI52" s="676"/>
      <c r="BJ52" s="676"/>
      <c r="BK52" s="676"/>
      <c r="BL52" s="30"/>
      <c r="BM52" s="29"/>
      <c r="BN52" s="676"/>
      <c r="BO52" s="676"/>
      <c r="BP52" s="676"/>
      <c r="BQ52" s="30"/>
      <c r="BR52" s="29"/>
    </row>
    <row r="53" spans="1:83" ht="6" hidden="1" customHeight="1" x14ac:dyDescent="0.25">
      <c r="A53" s="676"/>
      <c r="B53" s="676"/>
      <c r="C53" s="676"/>
      <c r="D53" s="675"/>
      <c r="E53" s="675"/>
      <c r="F53" s="676"/>
      <c r="G53" s="676"/>
      <c r="H53" s="676"/>
      <c r="I53" s="675"/>
      <c r="J53" s="675"/>
      <c r="K53" s="676"/>
      <c r="L53" s="676"/>
      <c r="M53" s="676"/>
      <c r="N53" s="675"/>
      <c r="O53" s="675"/>
      <c r="P53" s="676"/>
      <c r="Q53" s="676"/>
      <c r="R53" s="676"/>
      <c r="S53" s="675"/>
      <c r="T53" s="675"/>
      <c r="U53" s="676"/>
      <c r="V53" s="676"/>
      <c r="W53" s="676"/>
      <c r="X53" s="675"/>
      <c r="Y53" s="675"/>
      <c r="Z53" s="676"/>
      <c r="AA53" s="676"/>
      <c r="AB53" s="676"/>
      <c r="AC53" s="675"/>
      <c r="AD53" s="675"/>
      <c r="AE53" s="676"/>
      <c r="AF53" s="676"/>
      <c r="AG53" s="676"/>
      <c r="AH53" s="675"/>
      <c r="AI53" s="675"/>
      <c r="AJ53" s="3652"/>
      <c r="BD53" s="676"/>
      <c r="BE53" s="676"/>
      <c r="BF53" s="676"/>
      <c r="BG53" s="675"/>
      <c r="BH53" s="675"/>
      <c r="BI53" s="676"/>
      <c r="BJ53" s="676"/>
      <c r="BK53" s="676"/>
      <c r="BL53" s="675"/>
      <c r="BM53" s="675"/>
      <c r="BN53" s="676"/>
      <c r="BO53" s="676"/>
      <c r="BP53" s="676"/>
      <c r="BQ53" s="675"/>
      <c r="BR53" s="675"/>
    </row>
    <row r="54" spans="1:83" ht="59.25" hidden="1" customHeight="1" thickTop="1" x14ac:dyDescent="0.25">
      <c r="A54" s="677"/>
      <c r="B54" s="678"/>
      <c r="C54" s="678"/>
      <c r="D54" s="678"/>
      <c r="E54" s="678"/>
      <c r="F54" s="677"/>
      <c r="G54" s="678"/>
      <c r="H54" s="678"/>
      <c r="I54" s="678"/>
      <c r="J54" s="678"/>
      <c r="K54" s="677"/>
      <c r="L54" s="678"/>
      <c r="M54" s="678"/>
      <c r="N54" s="678"/>
      <c r="O54" s="678"/>
      <c r="P54" s="677"/>
      <c r="Q54" s="678"/>
      <c r="R54" s="678"/>
      <c r="S54" s="678"/>
      <c r="T54" s="678"/>
      <c r="U54" s="677"/>
      <c r="V54" s="678"/>
      <c r="W54" s="678"/>
      <c r="X54" s="678"/>
      <c r="Y54" s="678"/>
      <c r="Z54" s="677"/>
      <c r="AA54" s="678"/>
      <c r="AB54" s="678"/>
      <c r="AC54" s="678"/>
      <c r="AD54" s="678"/>
      <c r="AE54" s="677"/>
      <c r="AF54" s="678"/>
      <c r="AG54" s="678"/>
      <c r="AH54" s="678"/>
      <c r="AI54" s="678"/>
      <c r="AJ54" s="3652"/>
      <c r="BD54" s="677"/>
      <c r="BE54" s="678"/>
      <c r="BF54" s="678"/>
      <c r="BG54" s="678"/>
      <c r="BH54" s="678"/>
      <c r="BI54" s="677"/>
      <c r="BJ54" s="678"/>
      <c r="BK54" s="678"/>
      <c r="BL54" s="678"/>
      <c r="BM54" s="678"/>
      <c r="BN54" s="677"/>
      <c r="BO54" s="678"/>
      <c r="BP54" s="678"/>
      <c r="BQ54" s="678"/>
      <c r="BR54" s="678"/>
    </row>
    <row r="55" spans="1:83" ht="27" hidden="1" customHeight="1" thickTop="1" x14ac:dyDescent="0.25">
      <c r="A55" s="677"/>
      <c r="B55" s="32"/>
      <c r="C55" s="33"/>
      <c r="D55" s="34"/>
      <c r="E55" s="35"/>
      <c r="F55" s="677"/>
      <c r="G55" s="32"/>
      <c r="H55" s="33"/>
      <c r="I55" s="34"/>
      <c r="J55" s="35"/>
      <c r="K55" s="677"/>
      <c r="L55" s="32"/>
      <c r="M55" s="33"/>
      <c r="N55" s="34"/>
      <c r="O55" s="35"/>
      <c r="P55" s="677"/>
      <c r="Q55" s="32"/>
      <c r="R55" s="33"/>
      <c r="S55" s="34"/>
      <c r="T55" s="35"/>
      <c r="U55" s="677"/>
      <c r="V55" s="32"/>
      <c r="W55" s="33"/>
      <c r="X55" s="34"/>
      <c r="Y55" s="35"/>
      <c r="Z55" s="677"/>
      <c r="AA55" s="32"/>
      <c r="AB55" s="33"/>
      <c r="AC55" s="34"/>
      <c r="AD55" s="35"/>
      <c r="AE55" s="677"/>
      <c r="AF55" s="32"/>
      <c r="AG55" s="33"/>
      <c r="AH55" s="34"/>
      <c r="AI55" s="35"/>
      <c r="AJ55" s="3652"/>
      <c r="BD55" s="677"/>
      <c r="BE55" s="32"/>
      <c r="BF55" s="33"/>
      <c r="BG55" s="34"/>
      <c r="BH55" s="35"/>
      <c r="BI55" s="677"/>
      <c r="BJ55" s="32"/>
      <c r="BK55" s="33"/>
      <c r="BL55" s="34"/>
      <c r="BM55" s="35"/>
      <c r="BN55" s="677"/>
      <c r="BO55" s="32"/>
      <c r="BP55" s="33"/>
      <c r="BQ55" s="34"/>
      <c r="BR55" s="35"/>
      <c r="BW55" s="27"/>
      <c r="BX55" s="27"/>
      <c r="BY55" s="27"/>
      <c r="BZ55" s="27"/>
      <c r="CA55" s="27"/>
      <c r="CB55" s="27"/>
      <c r="CC55" s="27"/>
      <c r="CD55" s="27"/>
      <c r="CE55" s="27"/>
    </row>
    <row r="56" spans="1:83" ht="26.1" hidden="1" customHeight="1" x14ac:dyDescent="0.25">
      <c r="A56" s="674"/>
      <c r="B56" s="674"/>
      <c r="C56" s="674"/>
      <c r="D56" s="675"/>
      <c r="E56" s="675"/>
      <c r="F56" s="674"/>
      <c r="G56" s="674"/>
      <c r="H56" s="674"/>
      <c r="I56" s="675"/>
      <c r="J56" s="675"/>
      <c r="K56" s="674"/>
      <c r="L56" s="674"/>
      <c r="M56" s="674"/>
      <c r="N56" s="675"/>
      <c r="O56" s="675"/>
      <c r="P56" s="674"/>
      <c r="Q56" s="674"/>
      <c r="R56" s="674"/>
      <c r="S56" s="675"/>
      <c r="T56" s="675"/>
      <c r="U56" s="674"/>
      <c r="V56" s="674"/>
      <c r="W56" s="674"/>
      <c r="X56" s="675"/>
      <c r="Y56" s="675"/>
      <c r="Z56" s="674"/>
      <c r="AA56" s="674"/>
      <c r="AB56" s="674"/>
      <c r="AC56" s="675"/>
      <c r="AD56" s="675"/>
      <c r="AE56" s="674"/>
      <c r="AF56" s="674"/>
      <c r="AG56" s="674"/>
      <c r="AH56" s="675"/>
      <c r="AI56" s="675"/>
      <c r="AJ56" s="3652"/>
      <c r="BD56" s="674"/>
      <c r="BE56" s="674"/>
      <c r="BF56" s="674"/>
      <c r="BG56" s="675"/>
      <c r="BH56" s="675"/>
      <c r="BI56" s="674"/>
      <c r="BJ56" s="674"/>
      <c r="BK56" s="674"/>
      <c r="BL56" s="675"/>
      <c r="BM56" s="675"/>
      <c r="BN56" s="674"/>
      <c r="BO56" s="674"/>
      <c r="BP56" s="674"/>
      <c r="BQ56" s="675"/>
      <c r="BR56" s="675"/>
    </row>
    <row r="57" spans="1:83" ht="6.75" hidden="1" customHeight="1" x14ac:dyDescent="0.25">
      <c r="A57" s="676"/>
      <c r="B57" s="676"/>
      <c r="C57" s="676"/>
      <c r="D57" s="29"/>
      <c r="E57" s="29"/>
      <c r="F57" s="676"/>
      <c r="G57" s="676"/>
      <c r="H57" s="676"/>
      <c r="I57" s="29"/>
      <c r="J57" s="29"/>
      <c r="K57" s="676"/>
      <c r="L57" s="676"/>
      <c r="M57" s="676"/>
      <c r="N57" s="29"/>
      <c r="O57" s="29"/>
      <c r="P57" s="676"/>
      <c r="Q57" s="676"/>
      <c r="R57" s="676"/>
      <c r="S57" s="29"/>
      <c r="T57" s="29"/>
      <c r="U57" s="676"/>
      <c r="V57" s="676"/>
      <c r="W57" s="676"/>
      <c r="X57" s="29"/>
      <c r="Y57" s="29"/>
      <c r="Z57" s="676"/>
      <c r="AA57" s="676"/>
      <c r="AB57" s="676"/>
      <c r="AC57" s="29"/>
      <c r="AD57" s="29"/>
      <c r="AE57" s="676"/>
      <c r="AF57" s="676"/>
      <c r="AG57" s="676"/>
      <c r="AH57" s="29"/>
      <c r="AI57" s="29"/>
      <c r="AJ57" s="3652"/>
      <c r="BD57" s="676"/>
      <c r="BE57" s="676"/>
      <c r="BF57" s="676"/>
      <c r="BG57" s="29"/>
      <c r="BH57" s="29"/>
      <c r="BI57" s="676"/>
      <c r="BJ57" s="676"/>
      <c r="BK57" s="676"/>
      <c r="BL57" s="29"/>
      <c r="BM57" s="29"/>
      <c r="BN57" s="676"/>
      <c r="BO57" s="676"/>
      <c r="BP57" s="676"/>
      <c r="BQ57" s="29"/>
      <c r="BR57" s="29"/>
    </row>
    <row r="58" spans="1:83" ht="21.95" hidden="1" customHeight="1" x14ac:dyDescent="0.25">
      <c r="A58" s="676"/>
      <c r="B58" s="676"/>
      <c r="C58" s="676"/>
      <c r="D58" s="30"/>
      <c r="E58" s="29"/>
      <c r="F58" s="676"/>
      <c r="G58" s="676"/>
      <c r="H58" s="676"/>
      <c r="I58" s="30"/>
      <c r="J58" s="29"/>
      <c r="K58" s="676"/>
      <c r="L58" s="676"/>
      <c r="M58" s="676"/>
      <c r="N58" s="30"/>
      <c r="O58" s="29"/>
      <c r="P58" s="676"/>
      <c r="Q58" s="676"/>
      <c r="R58" s="676"/>
      <c r="S58" s="30"/>
      <c r="T58" s="29"/>
      <c r="U58" s="676"/>
      <c r="V58" s="676"/>
      <c r="W58" s="676"/>
      <c r="X58" s="30"/>
      <c r="Y58" s="29"/>
      <c r="Z58" s="676"/>
      <c r="AA58" s="676"/>
      <c r="AB58" s="676"/>
      <c r="AC58" s="30"/>
      <c r="AD58" s="29"/>
      <c r="AE58" s="676"/>
      <c r="AF58" s="676"/>
      <c r="AG58" s="676"/>
      <c r="AH58" s="30"/>
      <c r="AI58" s="29"/>
      <c r="AJ58" s="3652"/>
      <c r="BD58" s="676"/>
      <c r="BE58" s="676"/>
      <c r="BF58" s="676"/>
      <c r="BG58" s="30"/>
      <c r="BH58" s="29"/>
      <c r="BI58" s="676"/>
      <c r="BJ58" s="676"/>
      <c r="BK58" s="676"/>
      <c r="BL58" s="30"/>
      <c r="BM58" s="29"/>
      <c r="BN58" s="676"/>
      <c r="BO58" s="676"/>
      <c r="BP58" s="676"/>
      <c r="BQ58" s="30"/>
      <c r="BR58" s="29"/>
    </row>
    <row r="59" spans="1:83" ht="6" hidden="1" customHeight="1" x14ac:dyDescent="0.25">
      <c r="A59" s="676"/>
      <c r="B59" s="676"/>
      <c r="C59" s="676"/>
      <c r="D59" s="675"/>
      <c r="E59" s="675"/>
      <c r="F59" s="676"/>
      <c r="G59" s="676"/>
      <c r="H59" s="676"/>
      <c r="I59" s="675"/>
      <c r="J59" s="675"/>
      <c r="K59" s="676"/>
      <c r="L59" s="676"/>
      <c r="M59" s="676"/>
      <c r="N59" s="675"/>
      <c r="O59" s="675"/>
      <c r="P59" s="676"/>
      <c r="Q59" s="676"/>
      <c r="R59" s="676"/>
      <c r="S59" s="675"/>
      <c r="T59" s="675"/>
      <c r="U59" s="676"/>
      <c r="V59" s="676"/>
      <c r="W59" s="676"/>
      <c r="X59" s="675"/>
      <c r="Y59" s="675"/>
      <c r="Z59" s="676"/>
      <c r="AA59" s="676"/>
      <c r="AB59" s="676"/>
      <c r="AC59" s="675"/>
      <c r="AD59" s="675"/>
      <c r="AE59" s="676"/>
      <c r="AF59" s="676"/>
      <c r="AG59" s="676"/>
      <c r="AH59" s="675"/>
      <c r="AI59" s="675"/>
      <c r="AJ59" s="3652"/>
      <c r="BD59" s="676"/>
      <c r="BE59" s="676"/>
      <c r="BF59" s="676"/>
      <c r="BG59" s="675"/>
      <c r="BH59" s="675"/>
      <c r="BI59" s="676"/>
      <c r="BJ59" s="676"/>
      <c r="BK59" s="676"/>
      <c r="BL59" s="675"/>
      <c r="BM59" s="675"/>
      <c r="BN59" s="676"/>
      <c r="BO59" s="676"/>
      <c r="BP59" s="676"/>
      <c r="BQ59" s="675"/>
      <c r="BR59" s="675"/>
    </row>
    <row r="60" spans="1:83" ht="59.25" hidden="1" customHeight="1" thickTop="1" x14ac:dyDescent="0.25">
      <c r="A60" s="677"/>
      <c r="B60" s="678"/>
      <c r="C60" s="678"/>
      <c r="D60" s="678"/>
      <c r="E60" s="678"/>
      <c r="F60" s="677"/>
      <c r="G60" s="678"/>
      <c r="H60" s="678"/>
      <c r="I60" s="678"/>
      <c r="J60" s="678"/>
      <c r="K60" s="677"/>
      <c r="L60" s="678"/>
      <c r="M60" s="678"/>
      <c r="N60" s="678"/>
      <c r="O60" s="678"/>
      <c r="P60" s="677"/>
      <c r="Q60" s="678"/>
      <c r="R60" s="678"/>
      <c r="S60" s="678"/>
      <c r="T60" s="678"/>
      <c r="U60" s="677"/>
      <c r="V60" s="678"/>
      <c r="W60" s="678"/>
      <c r="X60" s="678"/>
      <c r="Y60" s="678"/>
      <c r="Z60" s="677"/>
      <c r="AA60" s="678"/>
      <c r="AB60" s="678"/>
      <c r="AC60" s="678"/>
      <c r="AD60" s="678"/>
      <c r="AE60" s="677"/>
      <c r="AF60" s="678"/>
      <c r="AG60" s="678"/>
      <c r="AH60" s="678"/>
      <c r="AI60" s="678"/>
      <c r="AJ60" s="3652"/>
      <c r="BD60" s="677"/>
      <c r="BE60" s="678"/>
      <c r="BF60" s="678"/>
      <c r="BG60" s="678"/>
      <c r="BH60" s="678"/>
      <c r="BI60" s="677"/>
      <c r="BJ60" s="678"/>
      <c r="BK60" s="678"/>
      <c r="BL60" s="678"/>
      <c r="BM60" s="678"/>
      <c r="BN60" s="677"/>
      <c r="BO60" s="678"/>
      <c r="BP60" s="678"/>
      <c r="BQ60" s="678"/>
      <c r="BR60" s="678"/>
    </row>
    <row r="61" spans="1:83" ht="26.25" x14ac:dyDescent="0.25">
      <c r="A61" s="677"/>
      <c r="B61" s="32"/>
      <c r="C61" s="33"/>
      <c r="D61" s="34"/>
      <c r="E61" s="35"/>
      <c r="F61" s="677"/>
      <c r="G61" s="32"/>
      <c r="H61" s="33"/>
      <c r="I61" s="34"/>
      <c r="J61" s="35"/>
      <c r="K61" s="677"/>
      <c r="L61" s="32"/>
      <c r="M61" s="33"/>
      <c r="N61" s="34"/>
      <c r="O61" s="35"/>
      <c r="P61" s="677"/>
      <c r="Q61" s="32"/>
      <c r="R61" s="33"/>
      <c r="S61" s="34"/>
      <c r="T61" s="35"/>
      <c r="U61" s="677"/>
      <c r="V61" s="32"/>
      <c r="W61" s="33"/>
      <c r="X61" s="34"/>
      <c r="Y61" s="35"/>
      <c r="Z61" s="677"/>
      <c r="AA61" s="32"/>
      <c r="AB61" s="33"/>
      <c r="AC61" s="34"/>
      <c r="AD61" s="35"/>
      <c r="AE61" s="677"/>
      <c r="AF61" s="32"/>
      <c r="AG61" s="33"/>
      <c r="AH61" s="34"/>
      <c r="AI61" s="35"/>
      <c r="AJ61" s="3652"/>
      <c r="BD61" s="677"/>
      <c r="BE61" s="32"/>
      <c r="BF61" s="33"/>
      <c r="BG61" s="34"/>
      <c r="BH61" s="35"/>
      <c r="BI61" s="677"/>
      <c r="BJ61" s="32"/>
      <c r="BK61" s="33"/>
      <c r="BL61" s="34"/>
      <c r="BM61" s="35"/>
      <c r="BN61" s="677"/>
      <c r="BO61" s="32"/>
      <c r="BP61" s="33"/>
      <c r="BQ61" s="34"/>
      <c r="BR61" s="35"/>
      <c r="BW61" s="27"/>
      <c r="BX61" s="27"/>
      <c r="BY61" s="27"/>
      <c r="BZ61" s="27"/>
      <c r="CA61" s="27"/>
      <c r="CB61" s="27"/>
      <c r="CC61" s="27"/>
      <c r="CD61" s="27"/>
      <c r="CE61" s="27"/>
    </row>
    <row r="62" spans="1:83" s="194" customFormat="1" ht="63" customHeight="1" x14ac:dyDescent="0.25">
      <c r="A62" s="37"/>
      <c r="B62" s="38"/>
      <c r="C62" s="39"/>
      <c r="D62" s="40"/>
      <c r="E62" s="41"/>
      <c r="F62" s="37"/>
      <c r="G62" s="38"/>
      <c r="H62" s="39"/>
      <c r="I62" s="40"/>
      <c r="J62" s="41"/>
      <c r="K62" s="37"/>
      <c r="L62" s="38"/>
      <c r="M62" s="39"/>
      <c r="N62" s="40"/>
      <c r="O62" s="41"/>
      <c r="P62" s="37"/>
      <c r="Q62" s="38"/>
      <c r="R62" s="39"/>
      <c r="S62" s="40"/>
      <c r="T62" s="41"/>
      <c r="U62" s="37"/>
      <c r="V62" s="38"/>
      <c r="W62" s="39"/>
      <c r="X62" s="187"/>
      <c r="Y62" s="187"/>
      <c r="Z62" s="187"/>
      <c r="AA62" s="187"/>
      <c r="AB62" s="187"/>
      <c r="AC62" s="187"/>
      <c r="AD62" s="187"/>
      <c r="AE62" s="187"/>
      <c r="AF62" s="187"/>
      <c r="AG62" s="187"/>
      <c r="AH62" s="187"/>
      <c r="AI62" s="187"/>
      <c r="AJ62" s="90"/>
      <c r="AK62" s="90"/>
      <c r="AL62" s="90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 s="91"/>
      <c r="BE62" s="91"/>
      <c r="BF62" s="91"/>
      <c r="BG62" s="40"/>
      <c r="BH62" s="41"/>
      <c r="BI62" s="37"/>
      <c r="BJ62" s="38"/>
      <c r="BK62" s="39"/>
      <c r="BL62" s="40"/>
      <c r="BM62" s="41"/>
      <c r="BN62" s="37"/>
      <c r="BO62" s="38"/>
      <c r="BP62" s="39"/>
      <c r="BQ62" s="40"/>
      <c r="BR62" s="41"/>
      <c r="BW62" s="195"/>
      <c r="BX62" s="195"/>
      <c r="BY62" s="195"/>
      <c r="BZ62" s="195"/>
      <c r="CA62" s="195"/>
      <c r="CB62" s="195"/>
      <c r="CC62" s="195"/>
      <c r="CD62" s="195"/>
      <c r="CE62" s="195"/>
    </row>
    <row r="63" spans="1:83" ht="21.95" customHeight="1" x14ac:dyDescent="0.25">
      <c r="A63" s="36"/>
      <c r="B63" s="36"/>
      <c r="C63" s="36"/>
      <c r="D63" s="29"/>
      <c r="E63" s="29"/>
      <c r="F63" s="44"/>
      <c r="G63" s="188"/>
      <c r="H63" s="188"/>
      <c r="I63" s="188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187"/>
      <c r="Y63" s="187"/>
      <c r="Z63" s="187"/>
      <c r="AA63" s="187"/>
      <c r="AB63" s="187"/>
      <c r="AC63" s="187"/>
      <c r="AD63" s="187"/>
      <c r="AE63" s="187"/>
      <c r="AF63" s="187"/>
      <c r="AG63" s="187"/>
      <c r="AH63" s="187"/>
      <c r="AI63" s="187"/>
      <c r="AJ63" s="90"/>
      <c r="AK63" s="90"/>
      <c r="AL63" s="90"/>
      <c r="AM63" s="90"/>
      <c r="AN63" s="90"/>
      <c r="AO63" s="90"/>
      <c r="AP63" s="90"/>
      <c r="AQ63" s="90"/>
      <c r="AR63" s="90"/>
      <c r="AS63" s="90"/>
      <c r="AT63" s="90"/>
      <c r="AU63" s="91"/>
      <c r="AV63" s="91"/>
      <c r="AW63" s="91"/>
      <c r="AX63" s="91"/>
      <c r="AY63" s="91"/>
      <c r="AZ63" s="91"/>
      <c r="BA63" s="91"/>
      <c r="BB63" s="91"/>
      <c r="BC63" s="91"/>
      <c r="BD63" s="91"/>
      <c r="BE63" s="91"/>
      <c r="BF63" s="91"/>
      <c r="BG63" s="45"/>
      <c r="BH63" s="45"/>
      <c r="BI63" s="45"/>
      <c r="BJ63" s="45"/>
      <c r="BK63" s="45"/>
      <c r="BL63" s="92"/>
      <c r="BM63" s="92"/>
      <c r="BN63" s="92"/>
      <c r="BO63" s="92"/>
      <c r="BP63" s="93"/>
      <c r="BQ63" s="93"/>
      <c r="BR63" s="93"/>
    </row>
    <row r="64" spans="1:83" ht="6.75" customHeight="1" x14ac:dyDescent="0.25">
      <c r="A64" s="28"/>
      <c r="B64" s="28"/>
      <c r="C64" s="28"/>
      <c r="D64" s="29"/>
      <c r="E64" s="29"/>
      <c r="F64" s="47"/>
      <c r="G64" s="188"/>
      <c r="H64" s="188"/>
      <c r="I64" s="188"/>
      <c r="J64" s="48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187"/>
      <c r="Y64" s="187"/>
      <c r="Z64" s="187"/>
      <c r="AA64" s="187"/>
      <c r="AB64" s="187"/>
      <c r="AC64" s="187"/>
      <c r="AD64" s="187"/>
      <c r="AE64" s="187"/>
      <c r="AF64" s="187"/>
      <c r="AG64" s="187"/>
      <c r="AH64" s="187"/>
      <c r="AI64" s="187"/>
      <c r="AJ64" s="90"/>
      <c r="AK64" s="90"/>
      <c r="AL64" s="90"/>
      <c r="AM64" s="90"/>
      <c r="AN64" s="90"/>
      <c r="AO64" s="90"/>
      <c r="AP64" s="90"/>
      <c r="AQ64" s="90"/>
      <c r="AR64" s="90"/>
      <c r="AS64" s="90"/>
      <c r="AT64" s="90"/>
      <c r="AU64" s="91"/>
      <c r="AV64" s="91"/>
      <c r="AW64" s="91"/>
      <c r="AX64" s="91"/>
      <c r="AY64" s="91"/>
      <c r="AZ64" s="91"/>
      <c r="BA64" s="91"/>
      <c r="BB64" s="91"/>
      <c r="BC64" s="91"/>
      <c r="BD64" s="91"/>
      <c r="BE64" s="91"/>
      <c r="BF64" s="91"/>
      <c r="BG64" s="45"/>
      <c r="BH64" s="45"/>
      <c r="BI64" s="45"/>
      <c r="BJ64" s="45"/>
      <c r="BK64" s="45"/>
      <c r="BL64" s="92"/>
      <c r="BM64" s="92"/>
      <c r="BN64" s="92"/>
      <c r="BO64" s="92"/>
      <c r="BP64" s="93"/>
      <c r="BQ64" s="93"/>
      <c r="BR64" s="93"/>
    </row>
    <row r="65" spans="1:90" ht="37.5" customHeight="1" x14ac:dyDescent="0.25">
      <c r="A65" s="28"/>
      <c r="B65" s="28"/>
      <c r="C65" s="28"/>
      <c r="D65" s="29"/>
      <c r="E65" s="29"/>
      <c r="F65" s="47"/>
      <c r="G65" s="188"/>
      <c r="H65" s="188"/>
      <c r="I65" s="188"/>
      <c r="J65" s="48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190"/>
      <c r="Y65" s="190"/>
      <c r="Z65" s="190"/>
      <c r="AA65" s="190"/>
      <c r="AB65" s="190"/>
      <c r="AC65" s="190"/>
      <c r="AD65" s="190"/>
      <c r="AE65" s="190"/>
      <c r="AF65" s="190"/>
      <c r="AG65" s="190"/>
      <c r="AH65" s="190"/>
      <c r="AI65" s="190"/>
      <c r="AJ65" s="192"/>
      <c r="AK65" s="192"/>
      <c r="AL65" s="192"/>
      <c r="AM65" s="192"/>
      <c r="AN65" s="192"/>
      <c r="AO65" s="192"/>
      <c r="AP65" s="192"/>
      <c r="AQ65" s="192"/>
      <c r="AR65" s="192"/>
      <c r="AS65" s="192"/>
      <c r="AT65" s="192"/>
      <c r="AU65" s="94"/>
      <c r="AV65" s="94"/>
      <c r="AW65" s="94"/>
      <c r="AX65" s="94"/>
      <c r="AY65" s="94"/>
      <c r="AZ65" s="94"/>
      <c r="BA65" s="94"/>
      <c r="BB65" s="94"/>
      <c r="BC65" s="94"/>
      <c r="BD65" s="94"/>
      <c r="BE65" s="94"/>
      <c r="BF65" s="94"/>
      <c r="BG65" s="45"/>
      <c r="BH65" s="45"/>
      <c r="BI65" s="45"/>
      <c r="BJ65" s="45"/>
      <c r="BK65" s="45"/>
      <c r="BL65" s="92"/>
      <c r="BM65" s="92"/>
      <c r="BN65" s="92"/>
      <c r="BO65" s="92"/>
      <c r="BP65" s="93"/>
      <c r="BQ65" s="93"/>
      <c r="BR65" s="93"/>
    </row>
    <row r="66" spans="1:90" ht="6" customHeight="1" x14ac:dyDescent="0.25">
      <c r="A66" s="28"/>
      <c r="B66" s="28"/>
      <c r="C66" s="28"/>
      <c r="D66" s="29"/>
      <c r="E66" s="29"/>
      <c r="F66" s="47"/>
      <c r="G66" s="189"/>
      <c r="H66" s="189"/>
      <c r="I66" s="189"/>
      <c r="J66" s="48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190"/>
      <c r="Y66" s="190"/>
      <c r="Z66" s="190"/>
      <c r="AA66" s="190"/>
      <c r="AB66" s="190"/>
      <c r="AC66" s="190"/>
      <c r="AD66" s="190"/>
      <c r="AE66" s="190"/>
      <c r="AF66" s="190"/>
      <c r="AG66" s="190"/>
      <c r="AH66" s="190"/>
      <c r="AI66" s="190"/>
      <c r="AJ66" s="192"/>
      <c r="AK66" s="192"/>
      <c r="AL66" s="192"/>
      <c r="AM66" s="192"/>
      <c r="AN66" s="192"/>
      <c r="AO66" s="192"/>
      <c r="AP66" s="192"/>
      <c r="AQ66" s="192"/>
      <c r="AR66" s="192"/>
      <c r="AS66" s="192"/>
      <c r="AT66" s="192"/>
      <c r="AU66" s="94"/>
      <c r="AV66" s="94"/>
      <c r="AW66" s="94"/>
      <c r="AX66" s="94"/>
      <c r="AY66" s="94"/>
      <c r="AZ66" s="94"/>
      <c r="BA66" s="94"/>
      <c r="BB66" s="94"/>
      <c r="BC66" s="94"/>
      <c r="BD66" s="94"/>
      <c r="BE66" s="94"/>
      <c r="BF66" s="94"/>
      <c r="BG66" s="45"/>
      <c r="BH66" s="45"/>
      <c r="BI66" s="45"/>
      <c r="BJ66" s="45"/>
      <c r="BK66" s="45"/>
      <c r="BL66" s="92"/>
      <c r="BM66" s="92"/>
      <c r="BN66" s="92"/>
      <c r="BO66" s="92"/>
      <c r="BP66" s="93"/>
      <c r="BQ66" s="93"/>
      <c r="BR66" s="93"/>
    </row>
    <row r="67" spans="1:90" ht="30" customHeight="1" x14ac:dyDescent="0.25">
      <c r="B67" s="17"/>
      <c r="G67" s="189"/>
      <c r="H67" s="189"/>
      <c r="I67" s="189"/>
      <c r="J67" s="48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190"/>
      <c r="Y67" s="190"/>
      <c r="Z67" s="190"/>
      <c r="AA67" s="190"/>
      <c r="AB67" s="190"/>
      <c r="AC67" s="190"/>
      <c r="AD67" s="190"/>
      <c r="AE67" s="190"/>
      <c r="AF67" s="190"/>
      <c r="AG67" s="190"/>
      <c r="AH67" s="190"/>
      <c r="AI67" s="190"/>
      <c r="AJ67" s="192"/>
      <c r="AK67" s="192"/>
      <c r="AL67" s="192"/>
      <c r="AM67" s="192"/>
      <c r="AN67" s="192"/>
      <c r="AO67" s="192"/>
      <c r="AP67" s="192"/>
      <c r="AQ67" s="192"/>
      <c r="AR67" s="192"/>
      <c r="AS67" s="192"/>
      <c r="AT67" s="192"/>
      <c r="AU67" s="94"/>
      <c r="AV67" s="94"/>
      <c r="AW67" s="94"/>
      <c r="AX67" s="94"/>
      <c r="AY67" s="94"/>
      <c r="AZ67" s="94"/>
      <c r="BA67" s="94"/>
      <c r="BB67" s="94"/>
      <c r="BC67" s="94"/>
      <c r="BD67" s="94"/>
      <c r="BE67" s="94"/>
      <c r="BF67" s="94"/>
      <c r="BG67" s="45"/>
      <c r="BH67" s="45"/>
      <c r="BI67" s="45"/>
      <c r="BJ67" s="45"/>
      <c r="BK67" s="45"/>
      <c r="BL67" s="95">
        <f>BL63*1.5</f>
        <v>0</v>
      </c>
      <c r="BM67" s="95"/>
      <c r="BN67" s="95"/>
      <c r="BO67" s="95"/>
      <c r="BP67" s="95"/>
      <c r="BQ67" s="95"/>
      <c r="BR67" s="95"/>
      <c r="BS67" s="50"/>
      <c r="BT67" s="50"/>
      <c r="BW67" s="51"/>
      <c r="BX67" s="51"/>
      <c r="BY67" s="51"/>
      <c r="BZ67" s="51"/>
      <c r="CA67" s="51"/>
      <c r="CB67" s="51"/>
      <c r="CC67" s="27"/>
      <c r="CD67" s="27"/>
      <c r="CE67" s="27"/>
      <c r="CG67" s="27"/>
      <c r="CH67" s="27"/>
      <c r="CI67" s="27"/>
      <c r="CJ67" s="27"/>
      <c r="CK67" s="27"/>
      <c r="CL67" s="27"/>
    </row>
    <row r="68" spans="1:90" ht="34.5" customHeight="1" x14ac:dyDescent="0.25">
      <c r="G68" s="189"/>
      <c r="H68" s="189"/>
      <c r="I68" s="189"/>
      <c r="J68" s="52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190"/>
      <c r="Y68" s="190"/>
      <c r="Z68" s="190"/>
      <c r="AA68" s="190"/>
      <c r="AB68" s="190"/>
      <c r="AC68" s="190"/>
      <c r="AD68" s="190"/>
      <c r="AE68" s="190"/>
      <c r="AF68" s="190"/>
      <c r="AG68" s="190"/>
      <c r="AH68" s="190"/>
      <c r="AI68" s="190"/>
      <c r="AJ68" s="192"/>
      <c r="AK68" s="192"/>
      <c r="AL68" s="192"/>
      <c r="AM68" s="192"/>
      <c r="AN68" s="192"/>
      <c r="AO68" s="192"/>
      <c r="AP68" s="192"/>
      <c r="AQ68" s="192"/>
      <c r="AR68" s="192"/>
      <c r="AS68" s="192"/>
      <c r="AT68" s="192"/>
      <c r="AU68" s="94"/>
      <c r="AV68" s="94"/>
      <c r="AW68" s="94"/>
      <c r="AX68" s="94"/>
      <c r="AY68" s="94"/>
      <c r="AZ68" s="94"/>
      <c r="BA68" s="94"/>
      <c r="BB68" s="94"/>
      <c r="BC68" s="94"/>
      <c r="BD68" s="94"/>
      <c r="BE68" s="94"/>
      <c r="BF68" s="94"/>
      <c r="BG68" s="45"/>
      <c r="BH68" s="45"/>
      <c r="BI68" s="45"/>
      <c r="BJ68" s="45"/>
      <c r="BK68" s="45"/>
      <c r="BL68" s="95"/>
      <c r="BM68" s="95"/>
      <c r="BN68" s="95"/>
      <c r="BO68" s="95"/>
      <c r="BP68" s="95"/>
      <c r="BQ68" s="95"/>
      <c r="BR68" s="95"/>
      <c r="BS68" s="50"/>
      <c r="BT68" s="50"/>
      <c r="BW68" s="27"/>
      <c r="BX68" s="27"/>
      <c r="BY68" s="27"/>
      <c r="BZ68" s="27"/>
      <c r="CA68" s="27"/>
      <c r="CB68" s="27"/>
      <c r="CC68" s="27"/>
      <c r="CD68" s="27"/>
      <c r="CE68" s="27"/>
      <c r="CG68" s="27"/>
      <c r="CH68" s="27"/>
      <c r="CI68" s="27"/>
      <c r="CJ68" s="27"/>
      <c r="CK68" s="27"/>
      <c r="CL68" s="27"/>
    </row>
    <row r="69" spans="1:90" ht="15" customHeight="1" x14ac:dyDescent="0.25">
      <c r="G69" s="193"/>
      <c r="H69" s="193"/>
      <c r="I69" s="193"/>
      <c r="J69" s="193"/>
      <c r="K69" s="193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190"/>
      <c r="Y69" s="190"/>
      <c r="Z69" s="190"/>
      <c r="AA69" s="190"/>
      <c r="AB69" s="190"/>
      <c r="AC69" s="190"/>
      <c r="AD69" s="190"/>
      <c r="AE69" s="190"/>
      <c r="AF69" s="190"/>
      <c r="AG69" s="190"/>
      <c r="AH69" s="190"/>
      <c r="AI69" s="190"/>
      <c r="AJ69" s="192"/>
      <c r="AK69" s="192"/>
      <c r="AL69" s="192"/>
      <c r="AM69" s="192"/>
      <c r="AN69" s="192"/>
      <c r="AO69" s="192"/>
      <c r="AP69" s="192"/>
      <c r="AQ69" s="192"/>
      <c r="AR69" s="192"/>
      <c r="AS69" s="192"/>
      <c r="AT69" s="192"/>
      <c r="AU69" s="94"/>
      <c r="AV69" s="94"/>
      <c r="AW69" s="94"/>
      <c r="AX69" s="94"/>
      <c r="AY69" s="94"/>
      <c r="AZ69" s="94"/>
      <c r="BA69" s="94"/>
      <c r="BB69" s="94"/>
      <c r="BC69" s="94"/>
      <c r="BD69" s="94"/>
      <c r="BE69" s="94"/>
      <c r="BF69" s="94"/>
      <c r="BG69" s="45"/>
      <c r="BH69" s="45"/>
      <c r="BI69" s="45"/>
      <c r="BJ69" s="45"/>
      <c r="BK69" s="45"/>
      <c r="BL69" s="95"/>
      <c r="BM69" s="95"/>
      <c r="BN69" s="95"/>
      <c r="BO69" s="95"/>
      <c r="BP69" s="95"/>
      <c r="BQ69" s="95"/>
      <c r="BR69" s="95"/>
      <c r="BS69" s="50"/>
      <c r="BT69" s="50"/>
      <c r="BW69" s="27"/>
      <c r="BX69" s="27"/>
      <c r="BY69" s="27"/>
      <c r="BZ69" s="27"/>
      <c r="CA69" s="27"/>
      <c r="CB69" s="27"/>
      <c r="CC69" s="27"/>
      <c r="CD69" s="27"/>
      <c r="CE69" s="27"/>
      <c r="CG69" s="27"/>
      <c r="CH69" s="27"/>
      <c r="CI69" s="27"/>
      <c r="CJ69" s="27"/>
      <c r="CK69" s="27"/>
      <c r="CL69" s="27"/>
    </row>
    <row r="70" spans="1:90" ht="15" customHeight="1" x14ac:dyDescent="0.25">
      <c r="G70" s="193"/>
      <c r="H70" s="193"/>
      <c r="I70" s="193"/>
      <c r="J70" s="193"/>
      <c r="K70" s="193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190"/>
      <c r="Y70" s="190"/>
      <c r="Z70" s="190"/>
      <c r="AA70" s="190"/>
      <c r="AB70" s="190"/>
      <c r="AC70" s="190"/>
      <c r="AD70" s="190"/>
      <c r="AE70" s="190"/>
      <c r="AF70" s="190"/>
      <c r="AG70" s="190"/>
      <c r="AH70" s="190"/>
      <c r="AI70" s="190"/>
      <c r="AJ70" s="192"/>
      <c r="AK70" s="192"/>
      <c r="AL70" s="192"/>
      <c r="AM70" s="192"/>
      <c r="AN70" s="192"/>
      <c r="AO70" s="192"/>
      <c r="AP70" s="192"/>
      <c r="AQ70" s="192"/>
      <c r="AR70" s="192"/>
      <c r="AS70" s="192"/>
      <c r="AT70" s="192"/>
      <c r="AU70" s="94"/>
      <c r="AV70" s="94"/>
      <c r="AW70" s="94"/>
      <c r="AX70" s="94"/>
      <c r="AY70" s="94"/>
      <c r="AZ70" s="94"/>
      <c r="BA70" s="94"/>
      <c r="BB70" s="94"/>
      <c r="BC70" s="94"/>
      <c r="BD70" s="94"/>
      <c r="BE70" s="94"/>
      <c r="BF70" s="94"/>
      <c r="BG70" s="45"/>
      <c r="BH70" s="45"/>
      <c r="BI70" s="45"/>
      <c r="BJ70" s="45"/>
      <c r="BK70" s="45"/>
      <c r="BL70" s="95"/>
      <c r="BM70" s="95"/>
      <c r="BN70" s="95"/>
      <c r="BO70" s="95"/>
      <c r="BP70" s="95"/>
      <c r="BQ70" s="95"/>
      <c r="BR70" s="95"/>
      <c r="BS70" s="50"/>
      <c r="BT70" s="50"/>
      <c r="BW70" s="27"/>
      <c r="BX70" s="27"/>
      <c r="BY70" s="27"/>
      <c r="BZ70" s="27"/>
      <c r="CA70" s="27"/>
      <c r="CB70" s="27"/>
      <c r="CC70" s="27"/>
      <c r="CD70" s="27"/>
      <c r="CE70" s="27"/>
      <c r="CG70" s="27"/>
      <c r="CH70" s="27"/>
      <c r="CI70" s="27"/>
      <c r="CJ70" s="27"/>
      <c r="CK70" s="27"/>
      <c r="CL70" s="27"/>
    </row>
    <row r="71" spans="1:90" ht="28.5" customHeight="1" x14ac:dyDescent="0.25">
      <c r="G71" s="193"/>
      <c r="H71" s="193"/>
      <c r="I71" s="193"/>
      <c r="J71" s="193"/>
      <c r="K71" s="193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190"/>
      <c r="Y71" s="190"/>
      <c r="Z71" s="190"/>
      <c r="AA71" s="190"/>
      <c r="AB71" s="190"/>
      <c r="AC71" s="190"/>
      <c r="AD71" s="190"/>
      <c r="AE71" s="190"/>
      <c r="AF71" s="190"/>
      <c r="AG71" s="190"/>
      <c r="AH71" s="190"/>
      <c r="AI71" s="190"/>
      <c r="AJ71" s="192"/>
      <c r="AK71" s="192"/>
      <c r="AL71" s="192"/>
      <c r="AM71" s="192"/>
      <c r="AN71" s="192"/>
      <c r="AO71" s="192"/>
      <c r="AP71" s="192"/>
      <c r="AQ71" s="192"/>
      <c r="AR71" s="192"/>
      <c r="AS71" s="192"/>
      <c r="AT71" s="192"/>
      <c r="AU71" s="94"/>
      <c r="AV71" s="94"/>
      <c r="AW71" s="94"/>
      <c r="AX71" s="94"/>
      <c r="AY71" s="94"/>
      <c r="AZ71" s="94"/>
      <c r="BA71" s="94"/>
      <c r="BB71" s="94"/>
      <c r="BC71" s="94"/>
      <c r="BD71" s="94"/>
      <c r="BE71" s="94"/>
      <c r="BF71" s="94"/>
      <c r="BG71" s="45"/>
      <c r="BH71" s="45"/>
      <c r="BI71" s="45"/>
      <c r="BJ71" s="45"/>
      <c r="BK71" s="45"/>
      <c r="BL71" s="45"/>
      <c r="BM71" s="45"/>
      <c r="BN71" s="45"/>
      <c r="BO71" s="45"/>
      <c r="BP71" s="45"/>
      <c r="BQ71" s="45"/>
      <c r="BR71" s="45"/>
      <c r="BS71" s="53"/>
      <c r="BT71" s="53"/>
    </row>
    <row r="72" spans="1:90" ht="75" customHeight="1" x14ac:dyDescent="0.25">
      <c r="G72" s="191"/>
      <c r="H72" s="191"/>
      <c r="I72" s="191"/>
      <c r="J72" s="191"/>
      <c r="K72" s="191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190"/>
      <c r="Y72" s="190"/>
      <c r="Z72" s="190"/>
      <c r="AA72" s="190"/>
      <c r="AB72" s="190"/>
      <c r="AC72" s="190"/>
      <c r="AD72" s="190"/>
      <c r="AE72" s="190"/>
      <c r="AF72" s="190"/>
      <c r="AG72" s="190"/>
      <c r="AH72" s="190"/>
      <c r="AI72" s="190"/>
      <c r="AJ72" s="192"/>
      <c r="AK72" s="192"/>
      <c r="AL72" s="192"/>
      <c r="AM72" s="192"/>
      <c r="AN72" s="192"/>
      <c r="AO72" s="192"/>
      <c r="AP72" s="192"/>
      <c r="AQ72" s="192"/>
      <c r="AR72" s="192"/>
      <c r="AS72" s="192"/>
      <c r="AT72" s="192"/>
      <c r="AU72" s="94"/>
      <c r="AV72" s="94"/>
      <c r="AW72" s="94"/>
      <c r="AX72" s="94"/>
      <c r="AY72" s="94"/>
      <c r="AZ72" s="94"/>
      <c r="BA72" s="94"/>
      <c r="BB72" s="94"/>
      <c r="BC72" s="94"/>
      <c r="BD72" s="94"/>
      <c r="BE72" s="94"/>
      <c r="BF72" s="94"/>
      <c r="BG72" s="45"/>
      <c r="BH72" s="45"/>
      <c r="BI72" s="45"/>
      <c r="BJ72" s="45"/>
      <c r="BK72" s="45"/>
      <c r="BL72" s="45"/>
      <c r="BM72" s="45"/>
      <c r="BN72" s="45"/>
      <c r="BO72" s="45"/>
      <c r="BP72" s="45"/>
      <c r="BQ72" s="45"/>
      <c r="BR72" s="45"/>
      <c r="BS72" s="53"/>
      <c r="BT72" s="53"/>
    </row>
    <row r="73" spans="1:90" ht="23.25" customHeight="1" x14ac:dyDescent="0.35">
      <c r="A73" s="54"/>
      <c r="E73" s="54"/>
      <c r="F73" s="54"/>
      <c r="G73" s="191"/>
      <c r="H73" s="191"/>
      <c r="I73" s="191"/>
      <c r="J73" s="191"/>
      <c r="K73" s="191"/>
    </row>
    <row r="74" spans="1:90" ht="23.25" customHeight="1" thickBot="1" x14ac:dyDescent="0.4">
      <c r="A74" s="54"/>
    </row>
    <row r="75" spans="1:90" ht="15.75" thickTop="1" x14ac:dyDescent="0.25">
      <c r="C75" s="775">
        <v>2.5139999999999998</v>
      </c>
      <c r="D75" s="776"/>
      <c r="E75" s="776"/>
      <c r="F75" s="776"/>
      <c r="G75" s="777"/>
      <c r="K75" s="727" t="s">
        <v>122</v>
      </c>
      <c r="L75" s="727"/>
      <c r="M75" s="727"/>
      <c r="N75" s="727" t="s">
        <v>123</v>
      </c>
      <c r="O75" s="727"/>
      <c r="P75" s="727"/>
      <c r="Q75" s="727" t="s">
        <v>124</v>
      </c>
      <c r="R75" s="727"/>
      <c r="S75" s="727" t="s">
        <v>125</v>
      </c>
      <c r="T75" s="727"/>
      <c r="X75" s="739" t="s">
        <v>126</v>
      </c>
      <c r="Y75" s="740"/>
      <c r="Z75" s="740"/>
      <c r="AA75" s="740"/>
      <c r="AB75" s="740"/>
      <c r="AC75" s="740"/>
      <c r="AD75" s="740"/>
      <c r="AE75" s="740"/>
      <c r="AF75" s="740"/>
      <c r="AG75" s="741"/>
      <c r="AH75" s="13"/>
      <c r="AM75" s="775">
        <v>0</v>
      </c>
      <c r="AN75" s="776"/>
      <c r="AO75" s="776"/>
      <c r="AP75" s="776"/>
      <c r="AQ75" s="777"/>
      <c r="AU75" s="727" t="s">
        <v>122</v>
      </c>
      <c r="AV75" s="727"/>
      <c r="AW75" s="727"/>
      <c r="AX75" s="727" t="s">
        <v>123</v>
      </c>
      <c r="AY75" s="727"/>
      <c r="AZ75" s="727"/>
      <c r="BA75" s="727" t="s">
        <v>124</v>
      </c>
      <c r="BB75" s="727"/>
      <c r="BC75" s="727" t="s">
        <v>125</v>
      </c>
      <c r="BD75" s="727"/>
      <c r="BH75" s="739" t="s">
        <v>126</v>
      </c>
      <c r="BI75" s="740"/>
      <c r="BJ75" s="740"/>
      <c r="BK75" s="740"/>
      <c r="BL75" s="740"/>
      <c r="BM75" s="740"/>
      <c r="BN75" s="740"/>
      <c r="BO75" s="740"/>
      <c r="BP75" s="740"/>
      <c r="BQ75" s="741"/>
      <c r="BR75" s="13"/>
    </row>
    <row r="76" spans="1:90" ht="15" customHeight="1" x14ac:dyDescent="0.25">
      <c r="C76" s="778"/>
      <c r="D76" s="779"/>
      <c r="E76" s="779"/>
      <c r="F76" s="779"/>
      <c r="G76" s="780"/>
      <c r="K76" s="727"/>
      <c r="L76" s="727"/>
      <c r="M76" s="727"/>
      <c r="N76" s="727"/>
      <c r="O76" s="727"/>
      <c r="P76" s="727"/>
      <c r="Q76" s="727"/>
      <c r="R76" s="727"/>
      <c r="S76" s="727"/>
      <c r="T76" s="727"/>
      <c r="X76" s="750"/>
      <c r="Y76" s="751"/>
      <c r="Z76" s="751"/>
      <c r="AA76" s="751"/>
      <c r="AB76" s="751"/>
      <c r="AC76" s="751"/>
      <c r="AD76" s="751"/>
      <c r="AE76" s="751"/>
      <c r="AF76" s="751"/>
      <c r="AG76" s="752"/>
      <c r="AH76" s="13"/>
      <c r="AM76" s="778"/>
      <c r="AN76" s="779"/>
      <c r="AO76" s="779"/>
      <c r="AP76" s="779"/>
      <c r="AQ76" s="780"/>
      <c r="AU76" s="727"/>
      <c r="AV76" s="727"/>
      <c r="AW76" s="727"/>
      <c r="AX76" s="727"/>
      <c r="AY76" s="727"/>
      <c r="AZ76" s="727"/>
      <c r="BA76" s="727"/>
      <c r="BB76" s="727"/>
      <c r="BC76" s="727"/>
      <c r="BD76" s="727"/>
      <c r="BH76" s="750"/>
      <c r="BI76" s="751"/>
      <c r="BJ76" s="751"/>
      <c r="BK76" s="751"/>
      <c r="BL76" s="751"/>
      <c r="BM76" s="751"/>
      <c r="BN76" s="751"/>
      <c r="BO76" s="751"/>
      <c r="BP76" s="751"/>
      <c r="BQ76" s="752"/>
      <c r="BR76" s="13"/>
    </row>
    <row r="77" spans="1:90" ht="15" customHeight="1" x14ac:dyDescent="0.25">
      <c r="C77" s="778"/>
      <c r="D77" s="779"/>
      <c r="E77" s="779"/>
      <c r="F77" s="779"/>
      <c r="G77" s="780"/>
      <c r="K77" s="727"/>
      <c r="L77" s="727"/>
      <c r="M77" s="727"/>
      <c r="N77" s="727"/>
      <c r="O77" s="727"/>
      <c r="P77" s="727"/>
      <c r="Q77" s="727"/>
      <c r="R77" s="727"/>
      <c r="S77" s="727"/>
      <c r="T77" s="727"/>
      <c r="X77" s="742"/>
      <c r="Y77" s="743"/>
      <c r="Z77" s="743"/>
      <c r="AA77" s="743"/>
      <c r="AB77" s="743"/>
      <c r="AC77" s="743"/>
      <c r="AD77" s="743"/>
      <c r="AE77" s="743"/>
      <c r="AF77" s="743"/>
      <c r="AG77" s="744"/>
      <c r="AH77" s="13"/>
      <c r="AM77" s="778"/>
      <c r="AN77" s="779"/>
      <c r="AO77" s="779"/>
      <c r="AP77" s="779"/>
      <c r="AQ77" s="780"/>
      <c r="AU77" s="727"/>
      <c r="AV77" s="727"/>
      <c r="AW77" s="727"/>
      <c r="AX77" s="727"/>
      <c r="AY77" s="727"/>
      <c r="AZ77" s="727"/>
      <c r="BA77" s="727"/>
      <c r="BB77" s="727"/>
      <c r="BC77" s="727"/>
      <c r="BD77" s="727"/>
      <c r="BH77" s="742"/>
      <c r="BI77" s="743"/>
      <c r="BJ77" s="743"/>
      <c r="BK77" s="743"/>
      <c r="BL77" s="743"/>
      <c r="BM77" s="743"/>
      <c r="BN77" s="743"/>
      <c r="BO77" s="743"/>
      <c r="BP77" s="743"/>
      <c r="BQ77" s="744"/>
      <c r="BR77" s="13"/>
    </row>
    <row r="78" spans="1:90" ht="15" customHeight="1" x14ac:dyDescent="0.25">
      <c r="C78" s="778"/>
      <c r="D78" s="779"/>
      <c r="E78" s="779"/>
      <c r="F78" s="779"/>
      <c r="G78" s="780"/>
      <c r="K78" s="774">
        <v>200</v>
      </c>
      <c r="L78" s="774"/>
      <c r="M78" s="774"/>
      <c r="N78" s="774">
        <f ca="1">S94</f>
        <v>200</v>
      </c>
      <c r="O78" s="774"/>
      <c r="P78" s="774"/>
      <c r="Q78" s="726">
        <f>U21</f>
        <v>7.4670000000000005</v>
      </c>
      <c r="R78" s="726"/>
      <c r="S78" s="726">
        <f>U21+AF26</f>
        <v>7.4670000000000005</v>
      </c>
      <c r="T78" s="726"/>
      <c r="X78" s="727" t="s">
        <v>128</v>
      </c>
      <c r="Y78" s="727"/>
      <c r="Z78" s="727"/>
      <c r="AA78" s="727"/>
      <c r="AB78" s="727"/>
      <c r="AC78" s="727"/>
      <c r="AD78" s="727"/>
      <c r="AE78" s="727"/>
      <c r="AF78" s="727"/>
      <c r="AG78" s="727"/>
      <c r="AH78" s="13"/>
      <c r="AM78" s="778"/>
      <c r="AN78" s="779"/>
      <c r="AO78" s="779"/>
      <c r="AP78" s="779"/>
      <c r="AQ78" s="780"/>
      <c r="AU78" s="774">
        <v>5860</v>
      </c>
      <c r="AV78" s="774"/>
      <c r="AW78" s="774"/>
      <c r="AX78" s="774">
        <f ca="1">BC94</f>
        <v>0</v>
      </c>
      <c r="AY78" s="774"/>
      <c r="AZ78" s="774"/>
      <c r="BA78" s="726">
        <f>BE21</f>
        <v>0</v>
      </c>
      <c r="BB78" s="726"/>
      <c r="BC78" s="726">
        <f>BE21+BO26</f>
        <v>0</v>
      </c>
      <c r="BD78" s="726"/>
      <c r="BH78" s="727" t="s">
        <v>128</v>
      </c>
      <c r="BI78" s="727"/>
      <c r="BJ78" s="727"/>
      <c r="BK78" s="727"/>
      <c r="BL78" s="727"/>
      <c r="BM78" s="727"/>
      <c r="BN78" s="727"/>
      <c r="BO78" s="727"/>
      <c r="BP78" s="727"/>
      <c r="BQ78" s="727"/>
      <c r="BR78" s="13"/>
    </row>
    <row r="79" spans="1:90" ht="15" customHeight="1" x14ac:dyDescent="0.25">
      <c r="C79" s="778"/>
      <c r="D79" s="779"/>
      <c r="E79" s="779"/>
      <c r="F79" s="779"/>
      <c r="G79" s="780"/>
      <c r="K79" s="774"/>
      <c r="L79" s="774"/>
      <c r="M79" s="774"/>
      <c r="N79" s="774"/>
      <c r="O79" s="774"/>
      <c r="P79" s="774"/>
      <c r="Q79" s="726"/>
      <c r="R79" s="726"/>
      <c r="S79" s="726"/>
      <c r="T79" s="726"/>
      <c r="X79" s="727"/>
      <c r="Y79" s="727"/>
      <c r="Z79" s="727"/>
      <c r="AA79" s="727"/>
      <c r="AB79" s="727"/>
      <c r="AC79" s="727"/>
      <c r="AD79" s="727"/>
      <c r="AE79" s="727"/>
      <c r="AF79" s="727"/>
      <c r="AG79" s="727"/>
      <c r="AH79" s="13"/>
      <c r="AM79" s="778"/>
      <c r="AN79" s="779"/>
      <c r="AO79" s="779"/>
      <c r="AP79" s="779"/>
      <c r="AQ79" s="780"/>
      <c r="AU79" s="774"/>
      <c r="AV79" s="774"/>
      <c r="AW79" s="774"/>
      <c r="AX79" s="774"/>
      <c r="AY79" s="774"/>
      <c r="AZ79" s="774"/>
      <c r="BA79" s="726"/>
      <c r="BB79" s="726"/>
      <c r="BC79" s="726"/>
      <c r="BD79" s="726"/>
      <c r="BH79" s="727"/>
      <c r="BI79" s="727"/>
      <c r="BJ79" s="727"/>
      <c r="BK79" s="727"/>
      <c r="BL79" s="727"/>
      <c r="BM79" s="727"/>
      <c r="BN79" s="727"/>
      <c r="BO79" s="727"/>
      <c r="BP79" s="727"/>
      <c r="BQ79" s="727"/>
      <c r="BR79" s="13"/>
    </row>
    <row r="80" spans="1:90" ht="15" customHeight="1" x14ac:dyDescent="0.25">
      <c r="C80" s="778"/>
      <c r="D80" s="779"/>
      <c r="E80" s="779"/>
      <c r="F80" s="779"/>
      <c r="G80" s="780"/>
      <c r="K80" s="774"/>
      <c r="L80" s="774"/>
      <c r="M80" s="774"/>
      <c r="N80" s="774"/>
      <c r="O80" s="774"/>
      <c r="P80" s="774"/>
      <c r="Q80" s="726"/>
      <c r="R80" s="726"/>
      <c r="S80" s="726"/>
      <c r="T80" s="726"/>
      <c r="X80" s="728">
        <f ca="1">Q78/((36*3.1415/59)*(N78/3.281))</f>
        <v>6.3904999071568783E-2</v>
      </c>
      <c r="Y80" s="729"/>
      <c r="Z80" s="729"/>
      <c r="AA80" s="729"/>
      <c r="AB80" s="729"/>
      <c r="AC80" s="729"/>
      <c r="AD80" s="729"/>
      <c r="AE80" s="729"/>
      <c r="AF80" s="729"/>
      <c r="AG80" s="730"/>
      <c r="AH80" s="57"/>
      <c r="AM80" s="778"/>
      <c r="AN80" s="779"/>
      <c r="AO80" s="779"/>
      <c r="AP80" s="779"/>
      <c r="AQ80" s="780"/>
      <c r="AU80" s="774"/>
      <c r="AV80" s="774"/>
      <c r="AW80" s="774"/>
      <c r="AX80" s="774"/>
      <c r="AY80" s="774"/>
      <c r="AZ80" s="774"/>
      <c r="BA80" s="726"/>
      <c r="BB80" s="726"/>
      <c r="BC80" s="726"/>
      <c r="BD80" s="726"/>
      <c r="BH80" s="728" t="e">
        <f ca="1">BA78/((84*3.1415/51)*(AX78/3.281))</f>
        <v>#DIV/0!</v>
      </c>
      <c r="BI80" s="729"/>
      <c r="BJ80" s="729"/>
      <c r="BK80" s="729"/>
      <c r="BL80" s="729"/>
      <c r="BM80" s="729"/>
      <c r="BN80" s="729"/>
      <c r="BO80" s="729"/>
      <c r="BP80" s="729"/>
      <c r="BQ80" s="730"/>
      <c r="BR80" s="57"/>
    </row>
    <row r="81" spans="3:70" ht="15.75" customHeight="1" thickBot="1" x14ac:dyDescent="0.3">
      <c r="C81" s="781"/>
      <c r="D81" s="782"/>
      <c r="E81" s="782"/>
      <c r="F81" s="782"/>
      <c r="G81" s="783"/>
      <c r="K81" s="774"/>
      <c r="L81" s="774"/>
      <c r="M81" s="774"/>
      <c r="N81" s="774"/>
      <c r="O81" s="774"/>
      <c r="P81" s="774"/>
      <c r="Q81" s="726"/>
      <c r="R81" s="726"/>
      <c r="S81" s="726"/>
      <c r="T81" s="726"/>
      <c r="X81" s="731"/>
      <c r="Y81" s="732"/>
      <c r="Z81" s="732"/>
      <c r="AA81" s="732"/>
      <c r="AB81" s="732"/>
      <c r="AC81" s="732"/>
      <c r="AD81" s="732"/>
      <c r="AE81" s="732"/>
      <c r="AF81" s="732"/>
      <c r="AG81" s="733"/>
      <c r="AH81" s="57"/>
      <c r="AM81" s="781"/>
      <c r="AN81" s="782"/>
      <c r="AO81" s="782"/>
      <c r="AP81" s="782"/>
      <c r="AQ81" s="783"/>
      <c r="AU81" s="774"/>
      <c r="AV81" s="774"/>
      <c r="AW81" s="774"/>
      <c r="AX81" s="774"/>
      <c r="AY81" s="774"/>
      <c r="AZ81" s="774"/>
      <c r="BA81" s="726"/>
      <c r="BB81" s="726"/>
      <c r="BC81" s="726"/>
      <c r="BD81" s="726"/>
      <c r="BH81" s="731"/>
      <c r="BI81" s="732"/>
      <c r="BJ81" s="732"/>
      <c r="BK81" s="732"/>
      <c r="BL81" s="732"/>
      <c r="BM81" s="732"/>
      <c r="BN81" s="732"/>
      <c r="BO81" s="732"/>
      <c r="BP81" s="732"/>
      <c r="BQ81" s="733"/>
      <c r="BR81" s="57"/>
    </row>
    <row r="82" spans="3:70" ht="15.75" customHeight="1" thickTop="1" x14ac:dyDescent="0.25">
      <c r="X82" s="734"/>
      <c r="Y82" s="735"/>
      <c r="Z82" s="735"/>
      <c r="AA82" s="735"/>
      <c r="AB82" s="735"/>
      <c r="AC82" s="735"/>
      <c r="AD82" s="735"/>
      <c r="AE82" s="735"/>
      <c r="AF82" s="735"/>
      <c r="AG82" s="736"/>
      <c r="AH82" s="57"/>
      <c r="BH82" s="734"/>
      <c r="BI82" s="735"/>
      <c r="BJ82" s="735"/>
      <c r="BK82" s="735"/>
      <c r="BL82" s="735"/>
      <c r="BM82" s="735"/>
      <c r="BN82" s="735"/>
      <c r="BO82" s="735"/>
      <c r="BP82" s="735"/>
      <c r="BQ82" s="736"/>
      <c r="BR82" s="57"/>
    </row>
    <row r="83" spans="3:70" x14ac:dyDescent="0.25">
      <c r="X83" s="739" t="s">
        <v>129</v>
      </c>
      <c r="Y83" s="740"/>
      <c r="Z83" s="740"/>
      <c r="AA83" s="740"/>
      <c r="AB83" s="740"/>
      <c r="AC83" s="740"/>
      <c r="AD83" s="740"/>
      <c r="AE83" s="740"/>
      <c r="AF83" s="740"/>
      <c r="AG83" s="741"/>
      <c r="AH83" s="13"/>
      <c r="BH83" s="739" t="s">
        <v>129</v>
      </c>
      <c r="BI83" s="740"/>
      <c r="BJ83" s="740"/>
      <c r="BK83" s="740"/>
      <c r="BL83" s="740"/>
      <c r="BM83" s="740"/>
      <c r="BN83" s="740"/>
      <c r="BO83" s="740"/>
      <c r="BP83" s="740"/>
      <c r="BQ83" s="741"/>
      <c r="BR83" s="13"/>
    </row>
    <row r="84" spans="3:70" x14ac:dyDescent="0.25">
      <c r="X84" s="742"/>
      <c r="Y84" s="743"/>
      <c r="Z84" s="743"/>
      <c r="AA84" s="743"/>
      <c r="AB84" s="743"/>
      <c r="AC84" s="743"/>
      <c r="AD84" s="743"/>
      <c r="AE84" s="743"/>
      <c r="AF84" s="743"/>
      <c r="AG84" s="744"/>
      <c r="AH84" s="13"/>
      <c r="BH84" s="742"/>
      <c r="BI84" s="743"/>
      <c r="BJ84" s="743"/>
      <c r="BK84" s="743"/>
      <c r="BL84" s="743"/>
      <c r="BM84" s="743"/>
      <c r="BN84" s="743"/>
      <c r="BO84" s="743"/>
      <c r="BP84" s="743"/>
      <c r="BQ84" s="744"/>
      <c r="BR84" s="13"/>
    </row>
    <row r="85" spans="3:70" x14ac:dyDescent="0.25">
      <c r="M85" s="1255">
        <v>70</v>
      </c>
      <c r="N85" s="1255"/>
      <c r="O85" s="1255"/>
      <c r="P85" s="746" cm="1">
        <f t="array" aca="1" ref="P85" ca="1">SUM(COUNTIF(INDIRECT({"G7","L7"}),"&gt;0"))</f>
        <v>2</v>
      </c>
      <c r="Q85" s="746"/>
      <c r="R85" s="746"/>
      <c r="S85" s="747">
        <f ca="1">P85*M85</f>
        <v>140</v>
      </c>
      <c r="T85" s="748"/>
      <c r="U85" s="748"/>
      <c r="V85" s="749"/>
      <c r="X85" s="739" t="s">
        <v>130</v>
      </c>
      <c r="Y85" s="740"/>
      <c r="Z85" s="740"/>
      <c r="AA85" s="740"/>
      <c r="AB85" s="740"/>
      <c r="AC85" s="740"/>
      <c r="AD85" s="740"/>
      <c r="AE85" s="740"/>
      <c r="AF85" s="740"/>
      <c r="AG85" s="741"/>
      <c r="AH85" s="13"/>
      <c r="AW85" s="1255">
        <v>70</v>
      </c>
      <c r="AX85" s="1255"/>
      <c r="AY85" s="1255"/>
      <c r="AZ85" s="746" cm="1">
        <f t="array" aca="1" ref="AZ85" ca="1">SUM(COUNTIF(INDIRECT({"AU6","AZ6"}),"&gt;0"))</f>
        <v>0</v>
      </c>
      <c r="BA85" s="746"/>
      <c r="BB85" s="746"/>
      <c r="BC85" s="747">
        <f ca="1">AZ85*AW85</f>
        <v>0</v>
      </c>
      <c r="BD85" s="748"/>
      <c r="BE85" s="748"/>
      <c r="BF85" s="749"/>
      <c r="BH85" s="739" t="s">
        <v>130</v>
      </c>
      <c r="BI85" s="740"/>
      <c r="BJ85" s="740"/>
      <c r="BK85" s="740"/>
      <c r="BL85" s="740"/>
      <c r="BM85" s="740"/>
      <c r="BN85" s="740"/>
      <c r="BO85" s="740"/>
      <c r="BP85" s="740"/>
      <c r="BQ85" s="741"/>
      <c r="BR85" s="13"/>
    </row>
    <row r="86" spans="3:70" x14ac:dyDescent="0.25">
      <c r="M86" s="1255"/>
      <c r="N86" s="1255"/>
      <c r="O86" s="1255"/>
      <c r="P86" s="746"/>
      <c r="Q86" s="746"/>
      <c r="R86" s="746"/>
      <c r="S86" s="747"/>
      <c r="T86" s="748"/>
      <c r="U86" s="748"/>
      <c r="V86" s="749"/>
      <c r="X86" s="750"/>
      <c r="Y86" s="751"/>
      <c r="Z86" s="751"/>
      <c r="AA86" s="751"/>
      <c r="AB86" s="751"/>
      <c r="AC86" s="751"/>
      <c r="AD86" s="751"/>
      <c r="AE86" s="751"/>
      <c r="AF86" s="751"/>
      <c r="AG86" s="752"/>
      <c r="AH86" s="13"/>
      <c r="AW86" s="1255"/>
      <c r="AX86" s="1255"/>
      <c r="AY86" s="1255"/>
      <c r="AZ86" s="746"/>
      <c r="BA86" s="746"/>
      <c r="BB86" s="746"/>
      <c r="BC86" s="747"/>
      <c r="BD86" s="748"/>
      <c r="BE86" s="748"/>
      <c r="BF86" s="749"/>
      <c r="BH86" s="750"/>
      <c r="BI86" s="751"/>
      <c r="BJ86" s="751"/>
      <c r="BK86" s="751"/>
      <c r="BL86" s="751"/>
      <c r="BM86" s="751"/>
      <c r="BN86" s="751"/>
      <c r="BO86" s="751"/>
      <c r="BP86" s="751"/>
      <c r="BQ86" s="752"/>
      <c r="BR86" s="13"/>
    </row>
    <row r="87" spans="3:70" ht="15" customHeight="1" x14ac:dyDescent="0.25">
      <c r="M87" s="1255"/>
      <c r="N87" s="1255"/>
      <c r="O87" s="1255"/>
      <c r="P87" s="746"/>
      <c r="Q87" s="746"/>
      <c r="R87" s="746"/>
      <c r="S87" s="747"/>
      <c r="T87" s="748"/>
      <c r="U87" s="748"/>
      <c r="V87" s="749"/>
      <c r="X87" s="750"/>
      <c r="Y87" s="751"/>
      <c r="Z87" s="751"/>
      <c r="AA87" s="751"/>
      <c r="AB87" s="751"/>
      <c r="AC87" s="751"/>
      <c r="AD87" s="751"/>
      <c r="AE87" s="751"/>
      <c r="AF87" s="751"/>
      <c r="AG87" s="752"/>
      <c r="AH87" s="13"/>
      <c r="AW87" s="1255"/>
      <c r="AX87" s="1255"/>
      <c r="AY87" s="1255"/>
      <c r="AZ87" s="746"/>
      <c r="BA87" s="746"/>
      <c r="BB87" s="746"/>
      <c r="BC87" s="747"/>
      <c r="BD87" s="748"/>
      <c r="BE87" s="748"/>
      <c r="BF87" s="749"/>
      <c r="BH87" s="750"/>
      <c r="BI87" s="751"/>
      <c r="BJ87" s="751"/>
      <c r="BK87" s="751"/>
      <c r="BL87" s="751"/>
      <c r="BM87" s="751"/>
      <c r="BN87" s="751"/>
      <c r="BO87" s="751"/>
      <c r="BP87" s="751"/>
      <c r="BQ87" s="752"/>
      <c r="BR87" s="13"/>
    </row>
    <row r="88" spans="3:70" ht="15" customHeight="1" x14ac:dyDescent="0.25">
      <c r="M88" s="1454">
        <v>30</v>
      </c>
      <c r="N88" s="1454"/>
      <c r="O88" s="1454"/>
      <c r="P88" s="746" cm="1">
        <f t="array" aca="1" ref="P88" ca="1">SUM(COUNTIF(INDIRECT({"Q7","V7"}),"&gt;0"))</f>
        <v>2</v>
      </c>
      <c r="Q88" s="746"/>
      <c r="R88" s="746"/>
      <c r="S88" s="747">
        <f ca="1">M88*P88</f>
        <v>60</v>
      </c>
      <c r="T88" s="748"/>
      <c r="U88" s="748"/>
      <c r="V88" s="749"/>
      <c r="X88" s="742"/>
      <c r="Y88" s="743"/>
      <c r="Z88" s="743"/>
      <c r="AA88" s="743"/>
      <c r="AB88" s="743"/>
      <c r="AC88" s="743"/>
      <c r="AD88" s="743"/>
      <c r="AE88" s="743"/>
      <c r="AF88" s="743"/>
      <c r="AG88" s="744"/>
      <c r="AH88" s="13"/>
      <c r="AW88" s="1255">
        <v>55</v>
      </c>
      <c r="AX88" s="1255"/>
      <c r="AY88" s="1255"/>
      <c r="AZ88" s="746" cm="1">
        <f t="array" aca="1" ref="AZ88" ca="1">SUM(COUNTIF(INDIRECT({"BE6"}),"&gt;0"))</f>
        <v>0</v>
      </c>
      <c r="BA88" s="746"/>
      <c r="BB88" s="746"/>
      <c r="BC88" s="747">
        <f ca="1">AW88*AZ88</f>
        <v>0</v>
      </c>
      <c r="BD88" s="748"/>
      <c r="BE88" s="748"/>
      <c r="BF88" s="749"/>
      <c r="BH88" s="742"/>
      <c r="BI88" s="743"/>
      <c r="BJ88" s="743"/>
      <c r="BK88" s="743"/>
      <c r="BL88" s="743"/>
      <c r="BM88" s="743"/>
      <c r="BN88" s="743"/>
      <c r="BO88" s="743"/>
      <c r="BP88" s="743"/>
      <c r="BQ88" s="744"/>
      <c r="BR88" s="13"/>
    </row>
    <row r="89" spans="3:70" ht="26.25" x14ac:dyDescent="0.25">
      <c r="M89" s="1454"/>
      <c r="N89" s="1454"/>
      <c r="O89" s="1454"/>
      <c r="P89" s="746"/>
      <c r="Q89" s="746"/>
      <c r="R89" s="746"/>
      <c r="S89" s="747"/>
      <c r="T89" s="748"/>
      <c r="U89" s="748"/>
      <c r="V89" s="749"/>
      <c r="X89" s="728">
        <f ca="1">S78/((36*3.1415/59)*(N78/3.281))</f>
        <v>6.3904999071568783E-2</v>
      </c>
      <c r="Y89" s="729"/>
      <c r="Z89" s="729"/>
      <c r="AA89" s="729"/>
      <c r="AB89" s="729"/>
      <c r="AC89" s="729"/>
      <c r="AD89" s="729"/>
      <c r="AE89" s="729"/>
      <c r="AF89" s="729"/>
      <c r="AG89" s="730"/>
      <c r="AH89" s="57"/>
      <c r="AW89" s="1255"/>
      <c r="AX89" s="1255"/>
      <c r="AY89" s="1255"/>
      <c r="AZ89" s="746"/>
      <c r="BA89" s="746"/>
      <c r="BB89" s="746"/>
      <c r="BC89" s="747"/>
      <c r="BD89" s="748"/>
      <c r="BE89" s="748"/>
      <c r="BF89" s="749"/>
      <c r="BH89" s="728" t="e">
        <f ca="1">BC78/((84*3.1415/51)*(AX78/3.281))</f>
        <v>#DIV/0!</v>
      </c>
      <c r="BI89" s="729"/>
      <c r="BJ89" s="729"/>
      <c r="BK89" s="729"/>
      <c r="BL89" s="729"/>
      <c r="BM89" s="729"/>
      <c r="BN89" s="729"/>
      <c r="BO89" s="729"/>
      <c r="BP89" s="729"/>
      <c r="BQ89" s="730"/>
      <c r="BR89" s="57"/>
    </row>
    <row r="90" spans="3:70" ht="26.25" x14ac:dyDescent="0.25">
      <c r="M90" s="1454"/>
      <c r="N90" s="1454"/>
      <c r="O90" s="1454"/>
      <c r="P90" s="746"/>
      <c r="Q90" s="746"/>
      <c r="R90" s="746"/>
      <c r="S90" s="747"/>
      <c r="T90" s="748"/>
      <c r="U90" s="748"/>
      <c r="V90" s="749"/>
      <c r="X90" s="731"/>
      <c r="Y90" s="732"/>
      <c r="Z90" s="732"/>
      <c r="AA90" s="732"/>
      <c r="AB90" s="732"/>
      <c r="AC90" s="732"/>
      <c r="AD90" s="732"/>
      <c r="AE90" s="732"/>
      <c r="AF90" s="732"/>
      <c r="AG90" s="733"/>
      <c r="AH90" s="57"/>
      <c r="AW90" s="1255"/>
      <c r="AX90" s="1255"/>
      <c r="AY90" s="1255"/>
      <c r="AZ90" s="746"/>
      <c r="BA90" s="746"/>
      <c r="BB90" s="746"/>
      <c r="BC90" s="747"/>
      <c r="BD90" s="748"/>
      <c r="BE90" s="748"/>
      <c r="BF90" s="749"/>
      <c r="BH90" s="731"/>
      <c r="BI90" s="732"/>
      <c r="BJ90" s="732"/>
      <c r="BK90" s="732"/>
      <c r="BL90" s="732"/>
      <c r="BM90" s="732"/>
      <c r="BN90" s="732"/>
      <c r="BO90" s="732"/>
      <c r="BP90" s="732"/>
      <c r="BQ90" s="733"/>
      <c r="BR90" s="57"/>
    </row>
    <row r="91" spans="3:70" ht="15" customHeight="1" x14ac:dyDescent="0.25">
      <c r="M91" s="727"/>
      <c r="N91" s="727"/>
      <c r="O91" s="727"/>
      <c r="P91" s="746"/>
      <c r="Q91" s="746"/>
      <c r="R91" s="746"/>
      <c r="S91" s="747"/>
      <c r="T91" s="748"/>
      <c r="U91" s="748"/>
      <c r="V91" s="749"/>
      <c r="X91" s="731"/>
      <c r="Y91" s="732"/>
      <c r="Z91" s="732"/>
      <c r="AA91" s="732"/>
      <c r="AB91" s="732"/>
      <c r="AC91" s="732"/>
      <c r="AD91" s="732"/>
      <c r="AE91" s="732"/>
      <c r="AF91" s="732"/>
      <c r="AG91" s="733"/>
      <c r="AH91" s="57"/>
      <c r="AW91" s="1255">
        <v>35</v>
      </c>
      <c r="AX91" s="1255"/>
      <c r="AY91" s="1255"/>
      <c r="AZ91" s="746" cm="1">
        <f t="array" aca="1" ref="AZ91" ca="1">SUM(COUNTIF(INDIRECT({"BJ6"}),"&gt;0"))</f>
        <v>0</v>
      </c>
      <c r="BA91" s="746"/>
      <c r="BB91" s="746"/>
      <c r="BC91" s="747">
        <f ca="1">AW91*AZ91</f>
        <v>0</v>
      </c>
      <c r="BD91" s="748"/>
      <c r="BE91" s="748"/>
      <c r="BF91" s="749"/>
      <c r="BH91" s="731"/>
      <c r="BI91" s="732"/>
      <c r="BJ91" s="732"/>
      <c r="BK91" s="732"/>
      <c r="BL91" s="732"/>
      <c r="BM91" s="732"/>
      <c r="BN91" s="732"/>
      <c r="BO91" s="732"/>
      <c r="BP91" s="732"/>
      <c r="BQ91" s="733"/>
      <c r="BR91" s="57"/>
    </row>
    <row r="92" spans="3:70" ht="15" customHeight="1" x14ac:dyDescent="0.25">
      <c r="M92" s="727"/>
      <c r="N92" s="727"/>
      <c r="O92" s="727"/>
      <c r="P92" s="746"/>
      <c r="Q92" s="746"/>
      <c r="R92" s="746"/>
      <c r="S92" s="747"/>
      <c r="T92" s="748"/>
      <c r="U92" s="748"/>
      <c r="V92" s="749"/>
      <c r="X92" s="731"/>
      <c r="Y92" s="732"/>
      <c r="Z92" s="732"/>
      <c r="AA92" s="732"/>
      <c r="AB92" s="732"/>
      <c r="AC92" s="732"/>
      <c r="AD92" s="732"/>
      <c r="AE92" s="732"/>
      <c r="AF92" s="732"/>
      <c r="AG92" s="733"/>
      <c r="AH92" s="57"/>
      <c r="AW92" s="1255"/>
      <c r="AX92" s="1255"/>
      <c r="AY92" s="1255"/>
      <c r="AZ92" s="746"/>
      <c r="BA92" s="746"/>
      <c r="BB92" s="746"/>
      <c r="BC92" s="747"/>
      <c r="BD92" s="748"/>
      <c r="BE92" s="748"/>
      <c r="BF92" s="749"/>
      <c r="BH92" s="731"/>
      <c r="BI92" s="732"/>
      <c r="BJ92" s="732"/>
      <c r="BK92" s="732"/>
      <c r="BL92" s="732"/>
      <c r="BM92" s="732"/>
      <c r="BN92" s="732"/>
      <c r="BO92" s="732"/>
      <c r="BP92" s="732"/>
      <c r="BQ92" s="733"/>
      <c r="BR92" s="57"/>
    </row>
    <row r="93" spans="3:70" ht="15" customHeight="1" x14ac:dyDescent="0.25">
      <c r="M93" s="727"/>
      <c r="N93" s="727"/>
      <c r="O93" s="727"/>
      <c r="P93" s="746"/>
      <c r="Q93" s="746"/>
      <c r="R93" s="746"/>
      <c r="S93" s="747"/>
      <c r="T93" s="748"/>
      <c r="U93" s="748"/>
      <c r="V93" s="749"/>
      <c r="X93" s="734"/>
      <c r="Y93" s="735"/>
      <c r="Z93" s="735"/>
      <c r="AA93" s="735"/>
      <c r="AB93" s="735"/>
      <c r="AC93" s="735"/>
      <c r="AD93" s="735"/>
      <c r="AE93" s="735"/>
      <c r="AF93" s="735"/>
      <c r="AG93" s="736"/>
      <c r="AH93" s="57"/>
      <c r="AW93" s="1255"/>
      <c r="AX93" s="1255"/>
      <c r="AY93" s="1255"/>
      <c r="AZ93" s="746"/>
      <c r="BA93" s="746"/>
      <c r="BB93" s="746"/>
      <c r="BC93" s="747"/>
      <c r="BD93" s="748"/>
      <c r="BE93" s="748"/>
      <c r="BF93" s="749"/>
      <c r="BH93" s="734"/>
      <c r="BI93" s="735"/>
      <c r="BJ93" s="735"/>
      <c r="BK93" s="735"/>
      <c r="BL93" s="735"/>
      <c r="BM93" s="735"/>
      <c r="BN93" s="735"/>
      <c r="BO93" s="735"/>
      <c r="BP93" s="735"/>
      <c r="BQ93" s="736"/>
      <c r="BR93" s="57"/>
    </row>
    <row r="94" spans="3:70" x14ac:dyDescent="0.25">
      <c r="P94" s="1254">
        <f ca="1">P88+P85</f>
        <v>4</v>
      </c>
      <c r="Q94" s="1254"/>
      <c r="R94" s="1254"/>
      <c r="S94" s="747">
        <f ca="1">S88+S85</f>
        <v>200</v>
      </c>
      <c r="T94" s="748"/>
      <c r="U94" s="748"/>
      <c r="V94" s="749"/>
      <c r="AZ94" s="1254">
        <f ca="1">AZ88+AZ85</f>
        <v>0</v>
      </c>
      <c r="BA94" s="1254"/>
      <c r="BB94" s="1254"/>
      <c r="BC94" s="747">
        <f ca="1">BC88+BC85+BC91</f>
        <v>0</v>
      </c>
      <c r="BD94" s="748"/>
      <c r="BE94" s="748"/>
      <c r="BF94" s="749"/>
    </row>
    <row r="95" spans="3:70" x14ac:dyDescent="0.25">
      <c r="P95" s="1254"/>
      <c r="Q95" s="1254"/>
      <c r="R95" s="1254"/>
      <c r="S95" s="747"/>
      <c r="T95" s="748"/>
      <c r="U95" s="748"/>
      <c r="V95" s="749"/>
      <c r="AZ95" s="1254"/>
      <c r="BA95" s="1254"/>
      <c r="BB95" s="1254"/>
      <c r="BC95" s="747"/>
      <c r="BD95" s="748"/>
      <c r="BE95" s="748"/>
      <c r="BF95" s="749"/>
    </row>
    <row r="96" spans="3:70" ht="15" customHeight="1" x14ac:dyDescent="0.25">
      <c r="P96" s="1254"/>
      <c r="Q96" s="1254"/>
      <c r="R96" s="1254"/>
      <c r="S96" s="747"/>
      <c r="T96" s="748"/>
      <c r="U96" s="748"/>
      <c r="V96" s="749"/>
      <c r="AZ96" s="1254"/>
      <c r="BA96" s="1254"/>
      <c r="BB96" s="1254"/>
      <c r="BC96" s="747"/>
      <c r="BD96" s="748"/>
      <c r="BE96" s="748"/>
      <c r="BF96" s="749"/>
    </row>
    <row r="97" spans="45:47" ht="15" customHeight="1" x14ac:dyDescent="0.25"/>
    <row r="98" spans="45:47" ht="15" customHeight="1" x14ac:dyDescent="0.25"/>
    <row r="99" spans="45:47" ht="15" customHeight="1" x14ac:dyDescent="0.25"/>
    <row r="100" spans="45:47" ht="15" customHeight="1" x14ac:dyDescent="0.25"/>
    <row r="101" spans="45:47" ht="15" customHeight="1" x14ac:dyDescent="0.25"/>
    <row r="102" spans="45:47" ht="15" customHeight="1" x14ac:dyDescent="0.25"/>
    <row r="103" spans="45:47" ht="15" customHeight="1" x14ac:dyDescent="0.25"/>
    <row r="104" spans="45:47" ht="15" customHeight="1" x14ac:dyDescent="0.25"/>
    <row r="105" spans="45:47" ht="15" customHeight="1" x14ac:dyDescent="0.25"/>
    <row r="106" spans="45:47" ht="15" customHeight="1" x14ac:dyDescent="0.25"/>
    <row r="107" spans="45:47" ht="15" customHeight="1" x14ac:dyDescent="0.25">
      <c r="AS107" s="27"/>
      <c r="AT107" s="27"/>
      <c r="AU107" s="27"/>
    </row>
  </sheetData>
  <mergeCells count="484">
    <mergeCell ref="U21:AD28"/>
    <mergeCell ref="H14:K17"/>
    <mergeCell ref="BO19:BR19"/>
    <mergeCell ref="BN16:BP18"/>
    <mergeCell ref="BQ18:BR18"/>
    <mergeCell ref="BN19:BN20"/>
    <mergeCell ref="BN15:BP15"/>
    <mergeCell ref="BQ15:BR15"/>
    <mergeCell ref="K29:T29"/>
    <mergeCell ref="BI25:BI26"/>
    <mergeCell ref="BJ25:BM25"/>
    <mergeCell ref="BD15:BF15"/>
    <mergeCell ref="BI16:BK18"/>
    <mergeCell ref="BG18:BH18"/>
    <mergeCell ref="BD19:BD20"/>
    <mergeCell ref="BE19:BH19"/>
    <mergeCell ref="BI19:BI20"/>
    <mergeCell ref="BJ19:BM19"/>
    <mergeCell ref="BG15:BH15"/>
    <mergeCell ref="BI15:BK15"/>
    <mergeCell ref="BL15:BM15"/>
    <mergeCell ref="A19:J20"/>
    <mergeCell ref="BN25:BN26"/>
    <mergeCell ref="BO25:BR25"/>
    <mergeCell ref="AE2:AG2"/>
    <mergeCell ref="N2:O2"/>
    <mergeCell ref="P2:R2"/>
    <mergeCell ref="S2:T2"/>
    <mergeCell ref="U2:W2"/>
    <mergeCell ref="H12:K12"/>
    <mergeCell ref="AE21:AI25"/>
    <mergeCell ref="AE19:AF20"/>
    <mergeCell ref="AG19:AI20"/>
    <mergeCell ref="I18:K18"/>
    <mergeCell ref="K21:T28"/>
    <mergeCell ref="X2:Y2"/>
    <mergeCell ref="Z2:AB2"/>
    <mergeCell ref="F2:H2"/>
    <mergeCell ref="I2:J2"/>
    <mergeCell ref="K2:M2"/>
    <mergeCell ref="AF26:AI29"/>
    <mergeCell ref="A21:J28"/>
    <mergeCell ref="K19:T20"/>
    <mergeCell ref="U19:AD20"/>
    <mergeCell ref="A29:J29"/>
    <mergeCell ref="U29:X29"/>
    <mergeCell ref="Y29:AB29"/>
    <mergeCell ref="AC29:AD29"/>
    <mergeCell ref="G6:J6"/>
    <mergeCell ref="K6:K7"/>
    <mergeCell ref="L6:O6"/>
    <mergeCell ref="P6:P7"/>
    <mergeCell ref="Q6:T6"/>
    <mergeCell ref="BN13:BN14"/>
    <mergeCell ref="BO13:BR13"/>
    <mergeCell ref="F3:J5"/>
    <mergeCell ref="K3:O5"/>
    <mergeCell ref="BI13:BI14"/>
    <mergeCell ref="BD13:BD14"/>
    <mergeCell ref="AA6:AD6"/>
    <mergeCell ref="BE13:BH13"/>
    <mergeCell ref="BJ13:BM13"/>
    <mergeCell ref="P3:T5"/>
    <mergeCell ref="U3:Y5"/>
    <mergeCell ref="U6:U7"/>
    <mergeCell ref="BQ12:BR12"/>
    <mergeCell ref="BI9:BK9"/>
    <mergeCell ref="BL9:BM9"/>
    <mergeCell ref="V6:Y6"/>
    <mergeCell ref="BI7:BI8"/>
    <mergeCell ref="BJ7:BM7"/>
    <mergeCell ref="BI4:BK6"/>
    <mergeCell ref="BN4:BP6"/>
    <mergeCell ref="BQ6:BR6"/>
    <mergeCell ref="Z3:AD5"/>
    <mergeCell ref="AE3:AI5"/>
    <mergeCell ref="Z6:Z7"/>
    <mergeCell ref="BQ3:BR3"/>
    <mergeCell ref="BN7:BN8"/>
    <mergeCell ref="BO7:BR7"/>
    <mergeCell ref="BN9:BP9"/>
    <mergeCell ref="BQ9:BR9"/>
    <mergeCell ref="F6:F7"/>
    <mergeCell ref="BD30:BD31"/>
    <mergeCell ref="BE30:BH30"/>
    <mergeCell ref="BI32:BK32"/>
    <mergeCell ref="BL32:BM32"/>
    <mergeCell ref="AT30:AT31"/>
    <mergeCell ref="AU30:AX30"/>
    <mergeCell ref="AY30:AY31"/>
    <mergeCell ref="AZ30:BC30"/>
    <mergeCell ref="P32:R32"/>
    <mergeCell ref="S32:T32"/>
    <mergeCell ref="BD4:BF6"/>
    <mergeCell ref="BG6:BH6"/>
    <mergeCell ref="BD7:BD8"/>
    <mergeCell ref="BE7:BH7"/>
    <mergeCell ref="BD10:BF12"/>
    <mergeCell ref="BD9:BF9"/>
    <mergeCell ref="BG9:BH9"/>
    <mergeCell ref="BG12:BH12"/>
    <mergeCell ref="BL6:BM6"/>
    <mergeCell ref="AE6:AE7"/>
    <mergeCell ref="AF6:AI6"/>
    <mergeCell ref="BI10:BK12"/>
    <mergeCell ref="BL12:BM12"/>
    <mergeCell ref="BI30:BI31"/>
    <mergeCell ref="BJ30:BM30"/>
    <mergeCell ref="BN30:BN31"/>
    <mergeCell ref="BO30:BR30"/>
    <mergeCell ref="AO30:AO31"/>
    <mergeCell ref="AP30:AS30"/>
    <mergeCell ref="AC53:AD53"/>
    <mergeCell ref="AH53:AI53"/>
    <mergeCell ref="AR32:AS32"/>
    <mergeCell ref="AJ1:AJ61"/>
    <mergeCell ref="AC2:AD2"/>
    <mergeCell ref="AH2:AI2"/>
    <mergeCell ref="AE32:AG32"/>
    <mergeCell ref="BN33:BR35"/>
    <mergeCell ref="AA36:AD36"/>
    <mergeCell ref="AE36:AE37"/>
    <mergeCell ref="AF36:AI36"/>
    <mergeCell ref="BD36:BD37"/>
    <mergeCell ref="BE36:BH36"/>
    <mergeCell ref="BO36:BR36"/>
    <mergeCell ref="AT33:AX35"/>
    <mergeCell ref="AY33:BC35"/>
    <mergeCell ref="BD33:BH35"/>
    <mergeCell ref="BN10:BP12"/>
    <mergeCell ref="Z54:Z55"/>
    <mergeCell ref="AH56:AI56"/>
    <mergeCell ref="U56:W56"/>
    <mergeCell ref="AT32:AV32"/>
    <mergeCell ref="AW32:AX32"/>
    <mergeCell ref="A33:E35"/>
    <mergeCell ref="F33:J35"/>
    <mergeCell ref="K33:O35"/>
    <mergeCell ref="P33:T35"/>
    <mergeCell ref="U33:Y35"/>
    <mergeCell ref="Z33:AD35"/>
    <mergeCell ref="AE33:AI35"/>
    <mergeCell ref="AO33:AS35"/>
    <mergeCell ref="A32:C32"/>
    <mergeCell ref="D32:E32"/>
    <mergeCell ref="F32:H32"/>
    <mergeCell ref="I32:J32"/>
    <mergeCell ref="K32:M32"/>
    <mergeCell ref="N32:O32"/>
    <mergeCell ref="U32:W32"/>
    <mergeCell ref="X32:Y32"/>
    <mergeCell ref="Z32:AB32"/>
    <mergeCell ref="AC32:AD32"/>
    <mergeCell ref="AO32:AQ32"/>
    <mergeCell ref="BI33:BM35"/>
    <mergeCell ref="AY32:BA32"/>
    <mergeCell ref="BB32:BC32"/>
    <mergeCell ref="BD32:BF32"/>
    <mergeCell ref="BG32:BH32"/>
    <mergeCell ref="BJ36:BM36"/>
    <mergeCell ref="BN36:BN37"/>
    <mergeCell ref="AH32:AI32"/>
    <mergeCell ref="BQ32:BR32"/>
    <mergeCell ref="BN32:BP32"/>
    <mergeCell ref="A36:A37"/>
    <mergeCell ref="B36:E36"/>
    <mergeCell ref="F36:F37"/>
    <mergeCell ref="G36:J36"/>
    <mergeCell ref="K36:K37"/>
    <mergeCell ref="L36:O36"/>
    <mergeCell ref="P36:P37"/>
    <mergeCell ref="Q36:T36"/>
    <mergeCell ref="U36:U37"/>
    <mergeCell ref="N38:O38"/>
    <mergeCell ref="P38:R38"/>
    <mergeCell ref="BI36:BI37"/>
    <mergeCell ref="S38:T38"/>
    <mergeCell ref="U38:W38"/>
    <mergeCell ref="X38:Y38"/>
    <mergeCell ref="Z38:AB38"/>
    <mergeCell ref="AC38:AD38"/>
    <mergeCell ref="AE38:AG38"/>
    <mergeCell ref="AH38:AI38"/>
    <mergeCell ref="BD38:BF38"/>
    <mergeCell ref="BG38:BH38"/>
    <mergeCell ref="BI38:BK38"/>
    <mergeCell ref="BL38:BM38"/>
    <mergeCell ref="BN38:BP38"/>
    <mergeCell ref="BQ38:BR38"/>
    <mergeCell ref="V36:Y36"/>
    <mergeCell ref="Z36:Z37"/>
    <mergeCell ref="A39:E41"/>
    <mergeCell ref="F39:J41"/>
    <mergeCell ref="K39:O41"/>
    <mergeCell ref="P39:T41"/>
    <mergeCell ref="U39:Y41"/>
    <mergeCell ref="Z39:AD41"/>
    <mergeCell ref="AE39:AG41"/>
    <mergeCell ref="BN39:BP41"/>
    <mergeCell ref="AH41:AI41"/>
    <mergeCell ref="BG41:BH41"/>
    <mergeCell ref="BL41:BM41"/>
    <mergeCell ref="BD39:BF41"/>
    <mergeCell ref="BI39:BK41"/>
    <mergeCell ref="BQ41:BR41"/>
    <mergeCell ref="A38:C38"/>
    <mergeCell ref="D38:E38"/>
    <mergeCell ref="F38:H38"/>
    <mergeCell ref="I38:J38"/>
    <mergeCell ref="K38:M38"/>
    <mergeCell ref="BE42:BH42"/>
    <mergeCell ref="BI42:BI43"/>
    <mergeCell ref="BJ42:BM42"/>
    <mergeCell ref="BN42:BN43"/>
    <mergeCell ref="BO42:BR42"/>
    <mergeCell ref="AF42:AI42"/>
    <mergeCell ref="L42:O42"/>
    <mergeCell ref="P42:P43"/>
    <mergeCell ref="Q42:T42"/>
    <mergeCell ref="U42:U43"/>
    <mergeCell ref="BD42:BD43"/>
    <mergeCell ref="V42:Y42"/>
    <mergeCell ref="Z42:Z43"/>
    <mergeCell ref="AA42:AD42"/>
    <mergeCell ref="AE42:AE43"/>
    <mergeCell ref="A42:A43"/>
    <mergeCell ref="B42:E42"/>
    <mergeCell ref="F42:F43"/>
    <mergeCell ref="G42:J42"/>
    <mergeCell ref="K42:K43"/>
    <mergeCell ref="BQ47:BR47"/>
    <mergeCell ref="P45:R47"/>
    <mergeCell ref="A44:C44"/>
    <mergeCell ref="D44:E44"/>
    <mergeCell ref="F44:H44"/>
    <mergeCell ref="I44:J44"/>
    <mergeCell ref="K44:M44"/>
    <mergeCell ref="N44:O44"/>
    <mergeCell ref="P44:R44"/>
    <mergeCell ref="S44:T44"/>
    <mergeCell ref="U44:W44"/>
    <mergeCell ref="X44:Y44"/>
    <mergeCell ref="Z44:AB44"/>
    <mergeCell ref="BL47:BM47"/>
    <mergeCell ref="AC44:AD44"/>
    <mergeCell ref="AE44:AG44"/>
    <mergeCell ref="AH44:AI44"/>
    <mergeCell ref="BD44:BF44"/>
    <mergeCell ref="BG44:BH44"/>
    <mergeCell ref="BI44:BK44"/>
    <mergeCell ref="D47:E47"/>
    <mergeCell ref="I47:J47"/>
    <mergeCell ref="BL44:BM44"/>
    <mergeCell ref="BN44:BP44"/>
    <mergeCell ref="BQ44:BR44"/>
    <mergeCell ref="N47:O47"/>
    <mergeCell ref="S47:T47"/>
    <mergeCell ref="X47:Y47"/>
    <mergeCell ref="AC47:AD47"/>
    <mergeCell ref="AH47:AI47"/>
    <mergeCell ref="BI45:BK47"/>
    <mergeCell ref="U45:W47"/>
    <mergeCell ref="Z45:AB47"/>
    <mergeCell ref="AE45:AG47"/>
    <mergeCell ref="BD45:BF47"/>
    <mergeCell ref="BG47:BH47"/>
    <mergeCell ref="BN45:BP47"/>
    <mergeCell ref="A48:A49"/>
    <mergeCell ref="B48:E48"/>
    <mergeCell ref="F48:F49"/>
    <mergeCell ref="G48:J48"/>
    <mergeCell ref="K48:K49"/>
    <mergeCell ref="L48:O48"/>
    <mergeCell ref="A45:C47"/>
    <mergeCell ref="F45:H47"/>
    <mergeCell ref="K45:M47"/>
    <mergeCell ref="P50:R50"/>
    <mergeCell ref="BD51:BF53"/>
    <mergeCell ref="BI51:BK53"/>
    <mergeCell ref="P48:P49"/>
    <mergeCell ref="Q48:T48"/>
    <mergeCell ref="U48:U49"/>
    <mergeCell ref="V48:Y48"/>
    <mergeCell ref="Z48:Z49"/>
    <mergeCell ref="AA48:AD48"/>
    <mergeCell ref="BG50:BH50"/>
    <mergeCell ref="AE48:AE49"/>
    <mergeCell ref="AF48:AI48"/>
    <mergeCell ref="BD48:BD49"/>
    <mergeCell ref="BE48:BH48"/>
    <mergeCell ref="AC50:AD50"/>
    <mergeCell ref="AE50:AG50"/>
    <mergeCell ref="AH50:AI50"/>
    <mergeCell ref="BD50:BF50"/>
    <mergeCell ref="S50:T50"/>
    <mergeCell ref="BI48:BI49"/>
    <mergeCell ref="BN51:BP53"/>
    <mergeCell ref="BQ50:BR50"/>
    <mergeCell ref="A51:C53"/>
    <mergeCell ref="F51:H53"/>
    <mergeCell ref="K51:M53"/>
    <mergeCell ref="P51:R53"/>
    <mergeCell ref="U51:W53"/>
    <mergeCell ref="Z51:AB53"/>
    <mergeCell ref="U50:W50"/>
    <mergeCell ref="BN50:BP50"/>
    <mergeCell ref="D53:E53"/>
    <mergeCell ref="I53:J53"/>
    <mergeCell ref="N53:O53"/>
    <mergeCell ref="S53:T53"/>
    <mergeCell ref="X53:Y53"/>
    <mergeCell ref="AE51:AG53"/>
    <mergeCell ref="BI50:BK50"/>
    <mergeCell ref="BL50:BM50"/>
    <mergeCell ref="A50:C50"/>
    <mergeCell ref="D50:E50"/>
    <mergeCell ref="F50:H50"/>
    <mergeCell ref="I50:J50"/>
    <mergeCell ref="K50:M50"/>
    <mergeCell ref="N50:O50"/>
    <mergeCell ref="Q54:T54"/>
    <mergeCell ref="BG53:BH53"/>
    <mergeCell ref="BL53:BM53"/>
    <mergeCell ref="BQ53:BR53"/>
    <mergeCell ref="X50:Y50"/>
    <mergeCell ref="Z50:AB50"/>
    <mergeCell ref="AA54:AD54"/>
    <mergeCell ref="AE54:AE55"/>
    <mergeCell ref="P56:R56"/>
    <mergeCell ref="BI54:BI55"/>
    <mergeCell ref="BJ54:BM54"/>
    <mergeCell ref="X56:Y56"/>
    <mergeCell ref="Z56:AB56"/>
    <mergeCell ref="AC56:AD56"/>
    <mergeCell ref="AE56:AG56"/>
    <mergeCell ref="U54:U55"/>
    <mergeCell ref="BN54:BN55"/>
    <mergeCell ref="AF54:AI54"/>
    <mergeCell ref="BD54:BD55"/>
    <mergeCell ref="BE54:BH54"/>
    <mergeCell ref="BD56:BF56"/>
    <mergeCell ref="BG56:BH56"/>
    <mergeCell ref="S56:T56"/>
    <mergeCell ref="V54:Y54"/>
    <mergeCell ref="A54:A55"/>
    <mergeCell ref="B54:E54"/>
    <mergeCell ref="F54:F55"/>
    <mergeCell ref="G54:J54"/>
    <mergeCell ref="K54:K55"/>
    <mergeCell ref="L54:O54"/>
    <mergeCell ref="P54:P55"/>
    <mergeCell ref="A56:C56"/>
    <mergeCell ref="D56:E56"/>
    <mergeCell ref="F56:H56"/>
    <mergeCell ref="I56:J56"/>
    <mergeCell ref="K56:M56"/>
    <mergeCell ref="N56:O56"/>
    <mergeCell ref="K78:M81"/>
    <mergeCell ref="N78:P81"/>
    <mergeCell ref="Q78:R81"/>
    <mergeCell ref="S78:T81"/>
    <mergeCell ref="X78:AG79"/>
    <mergeCell ref="A57:C59"/>
    <mergeCell ref="F57:H59"/>
    <mergeCell ref="K57:M59"/>
    <mergeCell ref="N59:O59"/>
    <mergeCell ref="D59:E59"/>
    <mergeCell ref="I59:J59"/>
    <mergeCell ref="A60:A61"/>
    <mergeCell ref="B60:E60"/>
    <mergeCell ref="F60:F61"/>
    <mergeCell ref="G60:J60"/>
    <mergeCell ref="K60:K61"/>
    <mergeCell ref="L60:O60"/>
    <mergeCell ref="C75:G81"/>
    <mergeCell ref="K75:M77"/>
    <mergeCell ref="N75:P77"/>
    <mergeCell ref="Q75:R77"/>
    <mergeCell ref="S75:T77"/>
    <mergeCell ref="AE60:AE61"/>
    <mergeCell ref="AF60:AI60"/>
    <mergeCell ref="P60:P61"/>
    <mergeCell ref="Q60:T60"/>
    <mergeCell ref="U60:U61"/>
    <mergeCell ref="V60:Y60"/>
    <mergeCell ref="AM75:AQ81"/>
    <mergeCell ref="BG59:BH59"/>
    <mergeCell ref="BL59:BM59"/>
    <mergeCell ref="AE57:AG59"/>
    <mergeCell ref="P57:R59"/>
    <mergeCell ref="U57:W59"/>
    <mergeCell ref="Z57:AB59"/>
    <mergeCell ref="S59:T59"/>
    <mergeCell ref="X59:Y59"/>
    <mergeCell ref="AC59:AD59"/>
    <mergeCell ref="AH59:AI59"/>
    <mergeCell ref="Z60:Z61"/>
    <mergeCell ref="AA60:AD60"/>
    <mergeCell ref="BN60:BN61"/>
    <mergeCell ref="BO60:BR60"/>
    <mergeCell ref="BN57:BP59"/>
    <mergeCell ref="BD60:BD61"/>
    <mergeCell ref="BE60:BH60"/>
    <mergeCell ref="BI60:BI61"/>
    <mergeCell ref="BJ60:BM60"/>
    <mergeCell ref="BD57:BF59"/>
    <mergeCell ref="BI57:BK59"/>
    <mergeCell ref="BQ59:BR59"/>
    <mergeCell ref="M88:O90"/>
    <mergeCell ref="P88:R90"/>
    <mergeCell ref="S88:V90"/>
    <mergeCell ref="AW88:AY90"/>
    <mergeCell ref="AZ88:BB90"/>
    <mergeCell ref="BC88:BF90"/>
    <mergeCell ref="X89:AG93"/>
    <mergeCell ref="BH89:BQ93"/>
    <mergeCell ref="M85:O87"/>
    <mergeCell ref="M91:O93"/>
    <mergeCell ref="P91:R93"/>
    <mergeCell ref="S91:V93"/>
    <mergeCell ref="AW91:AY93"/>
    <mergeCell ref="AZ91:BB93"/>
    <mergeCell ref="BC91:BF93"/>
    <mergeCell ref="BC85:BF87"/>
    <mergeCell ref="P94:R96"/>
    <mergeCell ref="S94:V96"/>
    <mergeCell ref="AZ94:BB96"/>
    <mergeCell ref="BC94:BF96"/>
    <mergeCell ref="AX78:AZ81"/>
    <mergeCell ref="BA78:BB81"/>
    <mergeCell ref="BC78:BD81"/>
    <mergeCell ref="X80:AG82"/>
    <mergeCell ref="X83:AG84"/>
    <mergeCell ref="BH83:BQ84"/>
    <mergeCell ref="BA75:BB77"/>
    <mergeCell ref="BC75:BD77"/>
    <mergeCell ref="BH75:BQ77"/>
    <mergeCell ref="BH78:BQ79"/>
    <mergeCell ref="BH80:BQ82"/>
    <mergeCell ref="P85:R87"/>
    <mergeCell ref="S85:V87"/>
    <mergeCell ref="X85:AG88"/>
    <mergeCell ref="AW85:AY87"/>
    <mergeCell ref="AZ85:BB87"/>
    <mergeCell ref="AU78:AW81"/>
    <mergeCell ref="BH85:BQ88"/>
    <mergeCell ref="X75:AG77"/>
    <mergeCell ref="AU75:AW77"/>
    <mergeCell ref="AX75:AZ77"/>
    <mergeCell ref="BQ56:BR56"/>
    <mergeCell ref="BI56:BK56"/>
    <mergeCell ref="BL56:BM56"/>
    <mergeCell ref="BN56:BP56"/>
    <mergeCell ref="BN48:BN49"/>
    <mergeCell ref="BO48:BR48"/>
    <mergeCell ref="BO54:BR54"/>
    <mergeCell ref="BJ48:BM48"/>
    <mergeCell ref="BD16:BF18"/>
    <mergeCell ref="BD21:BF21"/>
    <mergeCell ref="BG21:BH21"/>
    <mergeCell ref="BD25:BD26"/>
    <mergeCell ref="BE25:BH25"/>
    <mergeCell ref="BD22:BF24"/>
    <mergeCell ref="BG24:BH24"/>
    <mergeCell ref="BL18:BM18"/>
    <mergeCell ref="BI21:BK21"/>
    <mergeCell ref="BL21:BM21"/>
    <mergeCell ref="BN21:BP21"/>
    <mergeCell ref="BQ21:BR21"/>
    <mergeCell ref="BI22:BK24"/>
    <mergeCell ref="BN22:BP24"/>
    <mergeCell ref="BL24:BM24"/>
    <mergeCell ref="BQ24:BR24"/>
    <mergeCell ref="BI1:BI2"/>
    <mergeCell ref="BJ1:BM1"/>
    <mergeCell ref="BN1:BN2"/>
    <mergeCell ref="BO1:BR1"/>
    <mergeCell ref="BD3:BF3"/>
    <mergeCell ref="BG3:BH3"/>
    <mergeCell ref="BI3:BK3"/>
    <mergeCell ref="BL3:BM3"/>
    <mergeCell ref="BN3:BP3"/>
    <mergeCell ref="BD1:BD2"/>
    <mergeCell ref="BE1:BH1"/>
  </mergeCells>
  <pageMargins left="0.45" right="0" top="0.15" bottom="0" header="0.3" footer="0.3"/>
  <pageSetup paperSize="8" scale="88" orientation="landscape" r:id="rId1"/>
  <colBreaks count="1" manualBreakCount="1">
    <brk id="70" max="50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65</vt:i4>
      </vt:variant>
      <vt:variant>
        <vt:lpstr>Named Ranges</vt:lpstr>
      </vt:variant>
      <vt:variant>
        <vt:i4>63</vt:i4>
      </vt:variant>
    </vt:vector>
  </HeadingPairs>
  <TitlesOfParts>
    <vt:vector size="128" baseType="lpstr">
      <vt:lpstr>Daily Activity w Contents</vt:lpstr>
      <vt:lpstr>Daily Repair Rate (Old)</vt:lpstr>
      <vt:lpstr>Daily Repair Rate</vt:lpstr>
      <vt:lpstr>05-095 (2.)</vt:lpstr>
      <vt:lpstr>01-117</vt:lpstr>
      <vt:lpstr>06-131</vt:lpstr>
      <vt:lpstr>10-107</vt:lpstr>
      <vt:lpstr>10-108 (84xx)</vt:lpstr>
      <vt:lpstr>10-108 (90xx)</vt:lpstr>
      <vt:lpstr>11-111(90XX)</vt:lpstr>
      <vt:lpstr>01-115</vt:lpstr>
      <vt:lpstr>01-116 (36)</vt:lpstr>
      <vt:lpstr>01-116 (42)</vt:lpstr>
      <vt:lpstr>05-126</vt:lpstr>
      <vt:lpstr>05-093 PT</vt:lpstr>
      <vt:lpstr>05-093 (HDD)</vt:lpstr>
      <vt:lpstr>10-105 (36)</vt:lpstr>
      <vt:lpstr>12-112 (60)</vt:lpstr>
      <vt:lpstr>Daily Activity w Contents (2)</vt:lpstr>
      <vt:lpstr>10-108 (84x.5)</vt:lpstr>
      <vt:lpstr>11-111 (84)</vt:lpstr>
      <vt:lpstr>12-113</vt:lpstr>
      <vt:lpstr>10-108 (68x375)</vt:lpstr>
      <vt:lpstr>05-128</vt:lpstr>
      <vt:lpstr>11-111 (78x.5)</vt:lpstr>
      <vt:lpstr>11-111(84x0.75)</vt:lpstr>
      <vt:lpstr>11-111 (96x.75)</vt:lpstr>
      <vt:lpstr>10-108 (78x.5)</vt:lpstr>
      <vt:lpstr>10-108 (96x.625)</vt:lpstr>
      <vt:lpstr>10-108 (60x.375)</vt:lpstr>
      <vt:lpstr>10-108 (66x375)</vt:lpstr>
      <vt:lpstr>10-108 (54x.375)</vt:lpstr>
      <vt:lpstr>01-118</vt:lpstr>
      <vt:lpstr>02-123 Pri1</vt:lpstr>
      <vt:lpstr>10-108 (72x.5)</vt:lpstr>
      <vt:lpstr>Sheet1</vt:lpstr>
      <vt:lpstr>12-112 (3)</vt:lpstr>
      <vt:lpstr>12-112SN</vt:lpstr>
      <vt:lpstr>06-097(Ø42)</vt:lpstr>
      <vt:lpstr>05-093 fb</vt:lpstr>
      <vt:lpstr>11-109</vt:lpstr>
      <vt:lpstr>06-097</vt:lpstr>
      <vt:lpstr>02-120</vt:lpstr>
      <vt:lpstr>02-122</vt:lpstr>
      <vt:lpstr>02-121</vt:lpstr>
      <vt:lpstr>10-106</vt:lpstr>
      <vt:lpstr>12-114</vt:lpstr>
      <vt:lpstr>05-093 MA</vt:lpstr>
      <vt:lpstr>05-092 (60")</vt:lpstr>
      <vt:lpstr>05-092 (75)</vt:lpstr>
      <vt:lpstr>05-093 LP (2)</vt:lpstr>
      <vt:lpstr>11-110</vt:lpstr>
      <vt:lpstr>05-093 Land Accs.</vt:lpstr>
      <vt:lpstr>05-093(54")</vt:lpstr>
      <vt:lpstr>05-093</vt:lpstr>
      <vt:lpstr>05-093 (2.)</vt:lpstr>
      <vt:lpstr>07-063b</vt:lpstr>
      <vt:lpstr>09-104</vt:lpstr>
      <vt:lpstr>06-099b</vt:lpstr>
      <vt:lpstr>06-99a</vt:lpstr>
      <vt:lpstr>05-092</vt:lpstr>
      <vt:lpstr>Daily Chart</vt:lpstr>
      <vt:lpstr>05-095</vt:lpstr>
      <vt:lpstr>06-101 (2)</vt:lpstr>
      <vt:lpstr>06-101 </vt:lpstr>
      <vt:lpstr>'01-115'!Print_Area</vt:lpstr>
      <vt:lpstr>'01-116 (36)'!Print_Area</vt:lpstr>
      <vt:lpstr>'01-116 (42)'!Print_Area</vt:lpstr>
      <vt:lpstr>'01-117'!Print_Area</vt:lpstr>
      <vt:lpstr>'01-118'!Print_Area</vt:lpstr>
      <vt:lpstr>'02-120'!Print_Area</vt:lpstr>
      <vt:lpstr>'02-121'!Print_Area</vt:lpstr>
      <vt:lpstr>'02-122'!Print_Area</vt:lpstr>
      <vt:lpstr>'02-123 Pri1'!Print_Area</vt:lpstr>
      <vt:lpstr>'05-092'!Print_Area</vt:lpstr>
      <vt:lpstr>'05-092 (60")'!Print_Area</vt:lpstr>
      <vt:lpstr>'05-092 (75)'!Print_Area</vt:lpstr>
      <vt:lpstr>'05-093'!Print_Area</vt:lpstr>
      <vt:lpstr>'05-093 (2.)'!Print_Area</vt:lpstr>
      <vt:lpstr>'05-093 (HDD)'!Print_Area</vt:lpstr>
      <vt:lpstr>'05-093 fb'!Print_Area</vt:lpstr>
      <vt:lpstr>'05-093 Land Accs.'!Print_Area</vt:lpstr>
      <vt:lpstr>'05-093 LP (2)'!Print_Area</vt:lpstr>
      <vt:lpstr>'05-093 MA'!Print_Area</vt:lpstr>
      <vt:lpstr>'05-093 PT'!Print_Area</vt:lpstr>
      <vt:lpstr>'05-093(54")'!Print_Area</vt:lpstr>
      <vt:lpstr>'05-095'!Print_Area</vt:lpstr>
      <vt:lpstr>'05-095 (2.)'!Print_Area</vt:lpstr>
      <vt:lpstr>'05-126'!Print_Area</vt:lpstr>
      <vt:lpstr>'05-128'!Print_Area</vt:lpstr>
      <vt:lpstr>'06-097'!Print_Area</vt:lpstr>
      <vt:lpstr>'06-097(Ø42)'!Print_Area</vt:lpstr>
      <vt:lpstr>'06-099b'!Print_Area</vt:lpstr>
      <vt:lpstr>'06-101 '!Print_Area</vt:lpstr>
      <vt:lpstr>'06-101 (2)'!Print_Area</vt:lpstr>
      <vt:lpstr>'06-131'!Print_Area</vt:lpstr>
      <vt:lpstr>'06-99a'!Print_Area</vt:lpstr>
      <vt:lpstr>'07-063b'!Print_Area</vt:lpstr>
      <vt:lpstr>'09-104'!Print_Area</vt:lpstr>
      <vt:lpstr>'10-105 (36)'!Print_Area</vt:lpstr>
      <vt:lpstr>'10-106'!Print_Area</vt:lpstr>
      <vt:lpstr>'10-107'!Print_Area</vt:lpstr>
      <vt:lpstr>'10-108 (54x.375)'!Print_Area</vt:lpstr>
      <vt:lpstr>'10-108 (60x.375)'!Print_Area</vt:lpstr>
      <vt:lpstr>'10-108 (66x375)'!Print_Area</vt:lpstr>
      <vt:lpstr>'10-108 (68x375)'!Print_Area</vt:lpstr>
      <vt:lpstr>'10-108 (72x.5)'!Print_Area</vt:lpstr>
      <vt:lpstr>'10-108 (78x.5)'!Print_Area</vt:lpstr>
      <vt:lpstr>'10-108 (84x.5)'!Print_Area</vt:lpstr>
      <vt:lpstr>'10-108 (84xx)'!Print_Area</vt:lpstr>
      <vt:lpstr>'10-108 (90xx)'!Print_Area</vt:lpstr>
      <vt:lpstr>'10-108 (96x.625)'!Print_Area</vt:lpstr>
      <vt:lpstr>'11-109'!Print_Area</vt:lpstr>
      <vt:lpstr>'11-110'!Print_Area</vt:lpstr>
      <vt:lpstr>'11-111 (78x.5)'!Print_Area</vt:lpstr>
      <vt:lpstr>'11-111 (84)'!Print_Area</vt:lpstr>
      <vt:lpstr>'11-111 (96x.75)'!Print_Area</vt:lpstr>
      <vt:lpstr>'11-111(84x0.75)'!Print_Area</vt:lpstr>
      <vt:lpstr>'11-111(90XX)'!Print_Area</vt:lpstr>
      <vt:lpstr>'12-112 (3)'!Print_Area</vt:lpstr>
      <vt:lpstr>'12-112 (60)'!Print_Area</vt:lpstr>
      <vt:lpstr>'12-112SN'!Print_Area</vt:lpstr>
      <vt:lpstr>'12-113'!Print_Area</vt:lpstr>
      <vt:lpstr>'12-114'!Print_Area</vt:lpstr>
      <vt:lpstr>'Daily Activity w Contents'!Print_Area</vt:lpstr>
      <vt:lpstr>'Daily Activity w Contents (2)'!Print_Area</vt:lpstr>
      <vt:lpstr>'Daily Repair Rate'!Print_Area</vt:lpstr>
      <vt:lpstr>'Daily Repair Rate (Old)'!Print_Area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Emircan Cebecioglu</dc:creator>
  <cp:keywords/>
  <dc:description/>
  <cp:lastModifiedBy>FUAT TONGET</cp:lastModifiedBy>
  <cp:revision/>
  <cp:lastPrinted>2026-08-29T15:55:12Z</cp:lastPrinted>
  <dcterms:created xsi:type="dcterms:W3CDTF">2015-06-05T18:17:20Z</dcterms:created>
  <dcterms:modified xsi:type="dcterms:W3CDTF">2026-08-29T15:55:27Z</dcterms:modified>
  <cp:category/>
  <cp:contentStatus/>
</cp:coreProperties>
</file>